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quot;/&quot;d&quot;/&quot;yy"/>
  </numFmts>
  <fonts count="3">
    <font>
      <sz val="10.0"/>
      <color rgb="FF000000"/>
      <name val="Arial"/>
    </font>
    <font>
      <u/>
      <color rgb="FF0000FF"/>
    </font>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Font="1"/>
    <xf borderId="0" fillId="0" fontId="2" numFmtId="164" xfId="0" applyFont="1" applyNumberFormat="1"/>
    <xf borderId="0" fillId="0" fontId="2" numFmtId="49" xfId="0" applyFont="1" applyNumberFormat="1"/>
    <xf borderId="0" fillId="0" fontId="2" numFmtId="165" xfId="0" applyFont="1" applyNumberFormat="1"/>
    <xf borderId="0" fillId="0" fontId="2" numFmtId="9" xfId="0" applyFont="1" applyNumberFormat="1"/>
    <xf borderId="0" fillId="0" fontId="2"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392" Type="http://schemas.openxmlformats.org/officeDocument/2006/relationships/hyperlink" Target="http://palletfly.com/product_details.php?vid=24292" TargetMode="External"/><Relationship Id="rId391" Type="http://schemas.openxmlformats.org/officeDocument/2006/relationships/hyperlink" Target="http://amazon.com/dp/B0044SCY44" TargetMode="External"/><Relationship Id="rId390" Type="http://schemas.openxmlformats.org/officeDocument/2006/relationships/hyperlink" Target="http://palletfly.com/product_details.php?vid=15975" TargetMode="External"/><Relationship Id="rId1" Type="http://schemas.openxmlformats.org/officeDocument/2006/relationships/hyperlink" Target="https://www.palletfly.com/products.php" TargetMode="External"/><Relationship Id="rId2" Type="http://schemas.openxmlformats.org/officeDocument/2006/relationships/hyperlink" Target="https://www.palletfly.com/export_products.php?all=true" TargetMode="External"/><Relationship Id="rId3" Type="http://schemas.openxmlformats.org/officeDocument/2006/relationships/hyperlink" Target="https://www.palletfly.com/content.php?cid=29" TargetMode="External"/><Relationship Id="rId4" Type="http://schemas.openxmlformats.org/officeDocument/2006/relationships/hyperlink" Target="https://www.palletfly.com/register.php" TargetMode="External"/><Relationship Id="rId2180" Type="http://schemas.openxmlformats.org/officeDocument/2006/relationships/hyperlink" Target="http://palletfly.com/product_details.php?vid=13935" TargetMode="External"/><Relationship Id="rId2181" Type="http://schemas.openxmlformats.org/officeDocument/2006/relationships/hyperlink" Target="http://palletfly.com/product_details.php?vid=14656" TargetMode="External"/><Relationship Id="rId2182" Type="http://schemas.openxmlformats.org/officeDocument/2006/relationships/hyperlink" Target="http://palletfly.com/product_details.php?vid=18573" TargetMode="External"/><Relationship Id="rId2183" Type="http://schemas.openxmlformats.org/officeDocument/2006/relationships/hyperlink" Target="http://palletfly.com/product_details.php?vid=648" TargetMode="External"/><Relationship Id="rId9" Type="http://schemas.openxmlformats.org/officeDocument/2006/relationships/hyperlink" Target="http://amazon.com/dp/B000BPLGYS" TargetMode="External"/><Relationship Id="rId385" Type="http://schemas.openxmlformats.org/officeDocument/2006/relationships/hyperlink" Target="http://amazon.com/dp/B07TQMTMHC" TargetMode="External"/><Relationship Id="rId2184" Type="http://schemas.openxmlformats.org/officeDocument/2006/relationships/hyperlink" Target="http://palletfly.com/product_details.php?vid=16006" TargetMode="External"/><Relationship Id="rId384" Type="http://schemas.openxmlformats.org/officeDocument/2006/relationships/hyperlink" Target="http://palletfly.com/product_details.php?vid=10724" TargetMode="External"/><Relationship Id="rId2185" Type="http://schemas.openxmlformats.org/officeDocument/2006/relationships/hyperlink" Target="http://palletfly.com/product_details.php?vid=22451" TargetMode="External"/><Relationship Id="rId383" Type="http://schemas.openxmlformats.org/officeDocument/2006/relationships/hyperlink" Target="http://amazon.com/dp/B00IWLF9MS" TargetMode="External"/><Relationship Id="rId2186" Type="http://schemas.openxmlformats.org/officeDocument/2006/relationships/hyperlink" Target="http://palletfly.com/product_details.php?vid=22791" TargetMode="External"/><Relationship Id="rId382" Type="http://schemas.openxmlformats.org/officeDocument/2006/relationships/hyperlink" Target="http://palletfly.com/product_details.php?vid=13342" TargetMode="External"/><Relationship Id="rId2187" Type="http://schemas.openxmlformats.org/officeDocument/2006/relationships/hyperlink" Target="http://palletfly.com/product_details.php?vid=137" TargetMode="External"/><Relationship Id="rId5" Type="http://schemas.openxmlformats.org/officeDocument/2006/relationships/hyperlink" Target="https://www.palletfly.com/content.php?cid=51" TargetMode="External"/><Relationship Id="rId389" Type="http://schemas.openxmlformats.org/officeDocument/2006/relationships/hyperlink" Target="http://amazon.com/dp/B00814JXN2" TargetMode="External"/><Relationship Id="rId2188" Type="http://schemas.openxmlformats.org/officeDocument/2006/relationships/hyperlink" Target="http://palletfly.com/product_details.php?vid=23534" TargetMode="External"/><Relationship Id="rId6" Type="http://schemas.openxmlformats.org/officeDocument/2006/relationships/hyperlink" Target="http://palletfly.com/product_details.php?vid=20074" TargetMode="External"/><Relationship Id="rId388" Type="http://schemas.openxmlformats.org/officeDocument/2006/relationships/hyperlink" Target="http://palletfly.com/product_details.php?vid=21236" TargetMode="External"/><Relationship Id="rId2189" Type="http://schemas.openxmlformats.org/officeDocument/2006/relationships/hyperlink" Target="http://palletfly.com/product_details.php?vid=11634" TargetMode="External"/><Relationship Id="rId7" Type="http://schemas.openxmlformats.org/officeDocument/2006/relationships/hyperlink" Target="http://amazon.com/dp/B00CPXEI9E" TargetMode="External"/><Relationship Id="rId387" Type="http://schemas.openxmlformats.org/officeDocument/2006/relationships/hyperlink" Target="http://amazon.com/dp/B0856469HR" TargetMode="External"/><Relationship Id="rId8" Type="http://schemas.openxmlformats.org/officeDocument/2006/relationships/hyperlink" Target="http://palletfly.com/product_details.php?vid=24235" TargetMode="External"/><Relationship Id="rId386" Type="http://schemas.openxmlformats.org/officeDocument/2006/relationships/hyperlink" Target="http://palletfly.com/product_details.php?vid=23796" TargetMode="External"/><Relationship Id="rId381" Type="http://schemas.openxmlformats.org/officeDocument/2006/relationships/hyperlink" Target="http://amazon.com/dp/B01C49MHQY" TargetMode="External"/><Relationship Id="rId380" Type="http://schemas.openxmlformats.org/officeDocument/2006/relationships/hyperlink" Target="http://palletfly.com/product_details.php?vid=19379" TargetMode="External"/><Relationship Id="rId379" Type="http://schemas.openxmlformats.org/officeDocument/2006/relationships/hyperlink" Target="http://amazon.com/dp/B00207PHOK" TargetMode="External"/><Relationship Id="rId2170" Type="http://schemas.openxmlformats.org/officeDocument/2006/relationships/hyperlink" Target="http://palletfly.com/product_details.php?vid=18528" TargetMode="External"/><Relationship Id="rId2171" Type="http://schemas.openxmlformats.org/officeDocument/2006/relationships/hyperlink" Target="http://palletfly.com/product_details.php?vid=21920" TargetMode="External"/><Relationship Id="rId2172" Type="http://schemas.openxmlformats.org/officeDocument/2006/relationships/hyperlink" Target="http://palletfly.com/product_details.php?vid=22053" TargetMode="External"/><Relationship Id="rId374" Type="http://schemas.openxmlformats.org/officeDocument/2006/relationships/hyperlink" Target="http://palletfly.com/product_details.php?vid=15429" TargetMode="External"/><Relationship Id="rId2173" Type="http://schemas.openxmlformats.org/officeDocument/2006/relationships/hyperlink" Target="http://palletfly.com/product_details.php?vid=9439" TargetMode="External"/><Relationship Id="rId373" Type="http://schemas.openxmlformats.org/officeDocument/2006/relationships/hyperlink" Target="http://amazon.com/dp/B07PFG4S2Q" TargetMode="External"/><Relationship Id="rId2174" Type="http://schemas.openxmlformats.org/officeDocument/2006/relationships/hyperlink" Target="http://palletfly.com/product_details.php?vid=19985" TargetMode="External"/><Relationship Id="rId372" Type="http://schemas.openxmlformats.org/officeDocument/2006/relationships/hyperlink" Target="http://palletfly.com/product_details.php?vid=13393" TargetMode="External"/><Relationship Id="rId2175" Type="http://schemas.openxmlformats.org/officeDocument/2006/relationships/hyperlink" Target="http://palletfly.com/product_details.php?vid=22617" TargetMode="External"/><Relationship Id="rId371" Type="http://schemas.openxmlformats.org/officeDocument/2006/relationships/hyperlink" Target="http://amazon.com/dp/B01BZOKLOO" TargetMode="External"/><Relationship Id="rId2176" Type="http://schemas.openxmlformats.org/officeDocument/2006/relationships/hyperlink" Target="http://palletfly.com/product_details.php?vid=24000" TargetMode="External"/><Relationship Id="rId378" Type="http://schemas.openxmlformats.org/officeDocument/2006/relationships/hyperlink" Target="http://palletfly.com/product_details.php?vid=18673" TargetMode="External"/><Relationship Id="rId2177" Type="http://schemas.openxmlformats.org/officeDocument/2006/relationships/hyperlink" Target="http://palletfly.com/product_details.php?vid=16550" TargetMode="External"/><Relationship Id="rId377" Type="http://schemas.openxmlformats.org/officeDocument/2006/relationships/hyperlink" Target="http://amazon.com/dp/B00O10RHLK" TargetMode="External"/><Relationship Id="rId2178" Type="http://schemas.openxmlformats.org/officeDocument/2006/relationships/hyperlink" Target="http://palletfly.com/product_details.php?vid=1928" TargetMode="External"/><Relationship Id="rId376" Type="http://schemas.openxmlformats.org/officeDocument/2006/relationships/hyperlink" Target="http://palletfly.com/product_details.php?vid=7258" TargetMode="External"/><Relationship Id="rId2179" Type="http://schemas.openxmlformats.org/officeDocument/2006/relationships/hyperlink" Target="http://palletfly.com/product_details.php?vid=1466" TargetMode="External"/><Relationship Id="rId375" Type="http://schemas.openxmlformats.org/officeDocument/2006/relationships/hyperlink" Target="http://amazon.com/dp/B000C213NO" TargetMode="External"/><Relationship Id="rId2190" Type="http://schemas.openxmlformats.org/officeDocument/2006/relationships/hyperlink" Target="http://palletfly.com/product_details.php?vid=16655" TargetMode="External"/><Relationship Id="rId2191" Type="http://schemas.openxmlformats.org/officeDocument/2006/relationships/hyperlink" Target="http://palletfly.com/product_details.php?vid=17351" TargetMode="External"/><Relationship Id="rId2192" Type="http://schemas.openxmlformats.org/officeDocument/2006/relationships/hyperlink" Target="http://palletfly.com/product_details.php?vid=3557" TargetMode="External"/><Relationship Id="rId2193" Type="http://schemas.openxmlformats.org/officeDocument/2006/relationships/hyperlink" Target="http://palletfly.com/product_details.php?vid=24920" TargetMode="External"/><Relationship Id="rId2194" Type="http://schemas.openxmlformats.org/officeDocument/2006/relationships/hyperlink" Target="http://palletfly.com/product_details.php?vid=1375" TargetMode="External"/><Relationship Id="rId396" Type="http://schemas.openxmlformats.org/officeDocument/2006/relationships/hyperlink" Target="http://palletfly.com/product_details.php?vid=22654" TargetMode="External"/><Relationship Id="rId2195" Type="http://schemas.openxmlformats.org/officeDocument/2006/relationships/hyperlink" Target="http://palletfly.com/product_details.php?vid=3465" TargetMode="External"/><Relationship Id="rId395" Type="http://schemas.openxmlformats.org/officeDocument/2006/relationships/hyperlink" Target="http://amazon.com/dp/B072JWWS8Z" TargetMode="External"/><Relationship Id="rId2196" Type="http://schemas.openxmlformats.org/officeDocument/2006/relationships/hyperlink" Target="http://palletfly.com/product_details.php?vid=14357" TargetMode="External"/><Relationship Id="rId394" Type="http://schemas.openxmlformats.org/officeDocument/2006/relationships/hyperlink" Target="http://palletfly.com/product_details.php?vid=18317" TargetMode="External"/><Relationship Id="rId2197" Type="http://schemas.openxmlformats.org/officeDocument/2006/relationships/hyperlink" Target="http://palletfly.com/product_details.php?vid=16739" TargetMode="External"/><Relationship Id="rId393" Type="http://schemas.openxmlformats.org/officeDocument/2006/relationships/hyperlink" Target="http://amazon.com/dp/B001DYX7H0" TargetMode="External"/><Relationship Id="rId2198" Type="http://schemas.openxmlformats.org/officeDocument/2006/relationships/hyperlink" Target="http://palletfly.com/product_details.php?vid=18657" TargetMode="External"/><Relationship Id="rId2199" Type="http://schemas.openxmlformats.org/officeDocument/2006/relationships/hyperlink" Target="http://palletfly.com/product_details.php?vid=21406" TargetMode="External"/><Relationship Id="rId399" Type="http://schemas.openxmlformats.org/officeDocument/2006/relationships/hyperlink" Target="http://amazon.com/dp/B000JM86CS" TargetMode="External"/><Relationship Id="rId398" Type="http://schemas.openxmlformats.org/officeDocument/2006/relationships/hyperlink" Target="http://palletfly.com/product_details.php?vid=22006" TargetMode="External"/><Relationship Id="rId397" Type="http://schemas.openxmlformats.org/officeDocument/2006/relationships/hyperlink" Target="http://amazon.com/dp/B002MPPBG4" TargetMode="External"/><Relationship Id="rId1730" Type="http://schemas.openxmlformats.org/officeDocument/2006/relationships/hyperlink" Target="http://palletfly.com/product_details.php?vid=16738" TargetMode="External"/><Relationship Id="rId1731" Type="http://schemas.openxmlformats.org/officeDocument/2006/relationships/hyperlink" Target="http://amazon.com/dp/B00UHJDFOM" TargetMode="External"/><Relationship Id="rId1732" Type="http://schemas.openxmlformats.org/officeDocument/2006/relationships/hyperlink" Target="http://palletfly.com/product_details.php?vid=17000" TargetMode="External"/><Relationship Id="rId1733" Type="http://schemas.openxmlformats.org/officeDocument/2006/relationships/hyperlink" Target="http://amazon.com/dp/B079NPLGVY" TargetMode="External"/><Relationship Id="rId1734" Type="http://schemas.openxmlformats.org/officeDocument/2006/relationships/hyperlink" Target="http://palletfly.com/product_details.php?vid=18401" TargetMode="External"/><Relationship Id="rId1735" Type="http://schemas.openxmlformats.org/officeDocument/2006/relationships/hyperlink" Target="http://amazon.com/dp/B01648QP3W" TargetMode="External"/><Relationship Id="rId1736" Type="http://schemas.openxmlformats.org/officeDocument/2006/relationships/hyperlink" Target="http://palletfly.com/product_details.php?vid=19050" TargetMode="External"/><Relationship Id="rId1737" Type="http://schemas.openxmlformats.org/officeDocument/2006/relationships/hyperlink" Target="http://amazon.com/dp/B001EQCJ4O" TargetMode="External"/><Relationship Id="rId1738" Type="http://schemas.openxmlformats.org/officeDocument/2006/relationships/hyperlink" Target="http://palletfly.com/product_details.php?vid=19269" TargetMode="External"/><Relationship Id="rId1739" Type="http://schemas.openxmlformats.org/officeDocument/2006/relationships/hyperlink" Target="http://amazon.com/dp/B005SFUUWA" TargetMode="External"/><Relationship Id="rId1720" Type="http://schemas.openxmlformats.org/officeDocument/2006/relationships/hyperlink" Target="http://palletfly.com/product_details.php?vid=16816" TargetMode="External"/><Relationship Id="rId1721" Type="http://schemas.openxmlformats.org/officeDocument/2006/relationships/hyperlink" Target="http://amazon.com/dp/B001G9C6HY" TargetMode="External"/><Relationship Id="rId1722" Type="http://schemas.openxmlformats.org/officeDocument/2006/relationships/hyperlink" Target="http://palletfly.com/product_details.php?vid=20734" TargetMode="External"/><Relationship Id="rId1723" Type="http://schemas.openxmlformats.org/officeDocument/2006/relationships/hyperlink" Target="http://amazon.com/dp/B0000Y7TEQ" TargetMode="External"/><Relationship Id="rId1724" Type="http://schemas.openxmlformats.org/officeDocument/2006/relationships/hyperlink" Target="http://palletfly.com/product_details.php?vid=24329" TargetMode="External"/><Relationship Id="rId1725" Type="http://schemas.openxmlformats.org/officeDocument/2006/relationships/hyperlink" Target="http://amazon.com/dp/B07R11YW3Q" TargetMode="External"/><Relationship Id="rId1726" Type="http://schemas.openxmlformats.org/officeDocument/2006/relationships/hyperlink" Target="http://palletfly.com/product_details.php?vid=24746" TargetMode="External"/><Relationship Id="rId1727" Type="http://schemas.openxmlformats.org/officeDocument/2006/relationships/hyperlink" Target="http://amazon.com/dp/B0012F0KNO" TargetMode="External"/><Relationship Id="rId1728" Type="http://schemas.openxmlformats.org/officeDocument/2006/relationships/hyperlink" Target="http://palletfly.com/product_details.php?vid=10024" TargetMode="External"/><Relationship Id="rId1729" Type="http://schemas.openxmlformats.org/officeDocument/2006/relationships/hyperlink" Target="http://amazon.com/dp/B01BKAUKBW" TargetMode="External"/><Relationship Id="rId1752" Type="http://schemas.openxmlformats.org/officeDocument/2006/relationships/hyperlink" Target="http://palletfly.com/product_details.php?vid=18569" TargetMode="External"/><Relationship Id="rId1753" Type="http://schemas.openxmlformats.org/officeDocument/2006/relationships/hyperlink" Target="http://amazon.com/dp/B0047CP8BS" TargetMode="External"/><Relationship Id="rId1754" Type="http://schemas.openxmlformats.org/officeDocument/2006/relationships/hyperlink" Target="http://palletfly.com/product_details.php?vid=18596" TargetMode="External"/><Relationship Id="rId1755" Type="http://schemas.openxmlformats.org/officeDocument/2006/relationships/hyperlink" Target="http://amazon.com/dp/B003XQFW9C" TargetMode="External"/><Relationship Id="rId1756" Type="http://schemas.openxmlformats.org/officeDocument/2006/relationships/hyperlink" Target="http://palletfly.com/product_details.php?vid=21337" TargetMode="External"/><Relationship Id="rId1757" Type="http://schemas.openxmlformats.org/officeDocument/2006/relationships/hyperlink" Target="http://amazon.com/dp/B00006ICCJ" TargetMode="External"/><Relationship Id="rId1758" Type="http://schemas.openxmlformats.org/officeDocument/2006/relationships/hyperlink" Target="http://palletfly.com/product_details.php?vid=23555" TargetMode="External"/><Relationship Id="rId1759" Type="http://schemas.openxmlformats.org/officeDocument/2006/relationships/hyperlink" Target="http://amazon.com/dp/B093QC6253" TargetMode="External"/><Relationship Id="rId808" Type="http://schemas.openxmlformats.org/officeDocument/2006/relationships/hyperlink" Target="http://palletfly.com/product_details.php?vid=9151" TargetMode="External"/><Relationship Id="rId807" Type="http://schemas.openxmlformats.org/officeDocument/2006/relationships/hyperlink" Target="http://amazon.com/dp/B001CGTO1C" TargetMode="External"/><Relationship Id="rId806" Type="http://schemas.openxmlformats.org/officeDocument/2006/relationships/hyperlink" Target="http://palletfly.com/product_details.php?vid=11350" TargetMode="External"/><Relationship Id="rId805" Type="http://schemas.openxmlformats.org/officeDocument/2006/relationships/hyperlink" Target="http://amazon.com/dp/B0017D9IQG" TargetMode="External"/><Relationship Id="rId809" Type="http://schemas.openxmlformats.org/officeDocument/2006/relationships/hyperlink" Target="http://amazon.com/dp/B07GBFJWST" TargetMode="External"/><Relationship Id="rId800" Type="http://schemas.openxmlformats.org/officeDocument/2006/relationships/hyperlink" Target="http://palletfly.com/product_details.php?vid=21812" TargetMode="External"/><Relationship Id="rId804" Type="http://schemas.openxmlformats.org/officeDocument/2006/relationships/hyperlink" Target="http://palletfly.com/product_details.php?vid=24034" TargetMode="External"/><Relationship Id="rId803" Type="http://schemas.openxmlformats.org/officeDocument/2006/relationships/hyperlink" Target="http://amazon.com/dp/B008MHR5A6" TargetMode="External"/><Relationship Id="rId802" Type="http://schemas.openxmlformats.org/officeDocument/2006/relationships/hyperlink" Target="http://palletfly.com/product_details.php?vid=22411" TargetMode="External"/><Relationship Id="rId801" Type="http://schemas.openxmlformats.org/officeDocument/2006/relationships/hyperlink" Target="http://amazon.com/dp/B07BSR2QQJ" TargetMode="External"/><Relationship Id="rId1750" Type="http://schemas.openxmlformats.org/officeDocument/2006/relationships/hyperlink" Target="http://palletfly.com/product_details.php?vid=10017" TargetMode="External"/><Relationship Id="rId1751" Type="http://schemas.openxmlformats.org/officeDocument/2006/relationships/hyperlink" Target="http://amazon.com/dp/B01BKAUK9E" TargetMode="External"/><Relationship Id="rId1741" Type="http://schemas.openxmlformats.org/officeDocument/2006/relationships/hyperlink" Target="http://amazon.com/dp/B07X5TVLLP" TargetMode="External"/><Relationship Id="rId1742" Type="http://schemas.openxmlformats.org/officeDocument/2006/relationships/hyperlink" Target="http://palletfly.com/product_details.php?vid=15394" TargetMode="External"/><Relationship Id="rId1743" Type="http://schemas.openxmlformats.org/officeDocument/2006/relationships/hyperlink" Target="http://amazon.com/dp/B086SFD4YB" TargetMode="External"/><Relationship Id="rId1744" Type="http://schemas.openxmlformats.org/officeDocument/2006/relationships/hyperlink" Target="http://palletfly.com/product_details.php?vid=23469" TargetMode="External"/><Relationship Id="rId1745" Type="http://schemas.openxmlformats.org/officeDocument/2006/relationships/hyperlink" Target="http://amazon.com/dp/B00006IFGX" TargetMode="External"/><Relationship Id="rId1746" Type="http://schemas.openxmlformats.org/officeDocument/2006/relationships/hyperlink" Target="http://palletfly.com/product_details.php?vid=23521" TargetMode="External"/><Relationship Id="rId1747" Type="http://schemas.openxmlformats.org/officeDocument/2006/relationships/hyperlink" Target="http://amazon.com/dp/B07TVTF8PG" TargetMode="External"/><Relationship Id="rId1748" Type="http://schemas.openxmlformats.org/officeDocument/2006/relationships/hyperlink" Target="http://palletfly.com/product_details.php?vid=7445" TargetMode="External"/><Relationship Id="rId1749" Type="http://schemas.openxmlformats.org/officeDocument/2006/relationships/hyperlink" Target="http://amazon.com/dp/B005UQWXMC" TargetMode="External"/><Relationship Id="rId1740" Type="http://schemas.openxmlformats.org/officeDocument/2006/relationships/hyperlink" Target="http://palletfly.com/product_details.php?vid=11189" TargetMode="External"/><Relationship Id="rId1710" Type="http://schemas.openxmlformats.org/officeDocument/2006/relationships/hyperlink" Target="http://palletfly.com/product_details.php?vid=22443" TargetMode="External"/><Relationship Id="rId1711" Type="http://schemas.openxmlformats.org/officeDocument/2006/relationships/hyperlink" Target="http://amazon.com/dp/B001PLKQ3O" TargetMode="External"/><Relationship Id="rId1712" Type="http://schemas.openxmlformats.org/officeDocument/2006/relationships/hyperlink" Target="http://palletfly.com/product_details.php?vid=10810" TargetMode="External"/><Relationship Id="rId1713" Type="http://schemas.openxmlformats.org/officeDocument/2006/relationships/hyperlink" Target="http://amazon.com/dp/B0042ET09W" TargetMode="External"/><Relationship Id="rId1714" Type="http://schemas.openxmlformats.org/officeDocument/2006/relationships/hyperlink" Target="http://palletfly.com/product_details.php?vid=24427" TargetMode="External"/><Relationship Id="rId1715" Type="http://schemas.openxmlformats.org/officeDocument/2006/relationships/hyperlink" Target="http://amazon.com/dp/B000G2DBSA" TargetMode="External"/><Relationship Id="rId1716" Type="http://schemas.openxmlformats.org/officeDocument/2006/relationships/hyperlink" Target="http://palletfly.com/product_details.php?vid=24747" TargetMode="External"/><Relationship Id="rId1717" Type="http://schemas.openxmlformats.org/officeDocument/2006/relationships/hyperlink" Target="http://amazon.com/dp/B08YP2Z5BG" TargetMode="External"/><Relationship Id="rId1718" Type="http://schemas.openxmlformats.org/officeDocument/2006/relationships/hyperlink" Target="http://palletfly.com/product_details.php?vid=15985" TargetMode="External"/><Relationship Id="rId1719" Type="http://schemas.openxmlformats.org/officeDocument/2006/relationships/hyperlink" Target="http://amazon.com/dp/B0044SES8Y" TargetMode="External"/><Relationship Id="rId1700" Type="http://schemas.openxmlformats.org/officeDocument/2006/relationships/hyperlink" Target="http://palletfly.com/product_details.php?vid=21187" TargetMode="External"/><Relationship Id="rId1701" Type="http://schemas.openxmlformats.org/officeDocument/2006/relationships/hyperlink" Target="http://amazon.com/dp/B002I7A8IW" TargetMode="External"/><Relationship Id="rId1702" Type="http://schemas.openxmlformats.org/officeDocument/2006/relationships/hyperlink" Target="http://palletfly.com/product_details.php?vid=23658" TargetMode="External"/><Relationship Id="rId1703" Type="http://schemas.openxmlformats.org/officeDocument/2006/relationships/hyperlink" Target="http://amazon.com/dp/B0141QULJS" TargetMode="External"/><Relationship Id="rId1704" Type="http://schemas.openxmlformats.org/officeDocument/2006/relationships/hyperlink" Target="http://palletfly.com/product_details.php?vid=17343" TargetMode="External"/><Relationship Id="rId1705" Type="http://schemas.openxmlformats.org/officeDocument/2006/relationships/hyperlink" Target="http://amazon.com/dp/B004ZKXSGO" TargetMode="External"/><Relationship Id="rId1706" Type="http://schemas.openxmlformats.org/officeDocument/2006/relationships/hyperlink" Target="http://palletfly.com/product_details.php?vid=20606" TargetMode="External"/><Relationship Id="rId1707" Type="http://schemas.openxmlformats.org/officeDocument/2006/relationships/hyperlink" Target="http://amazon.com/dp/B004ZKXDCS" TargetMode="External"/><Relationship Id="rId1708" Type="http://schemas.openxmlformats.org/officeDocument/2006/relationships/hyperlink" Target="http://palletfly.com/product_details.php?vid=21092" TargetMode="External"/><Relationship Id="rId1709" Type="http://schemas.openxmlformats.org/officeDocument/2006/relationships/hyperlink" Target="http://amazon.com/dp/B010HZ9QCK" TargetMode="External"/><Relationship Id="rId40" Type="http://schemas.openxmlformats.org/officeDocument/2006/relationships/hyperlink" Target="http://palletfly.com/product_details.php?vid=23464" TargetMode="External"/><Relationship Id="rId1334" Type="http://schemas.openxmlformats.org/officeDocument/2006/relationships/hyperlink" Target="http://palletfly.com/product_details.php?vid=20027" TargetMode="External"/><Relationship Id="rId1335" Type="http://schemas.openxmlformats.org/officeDocument/2006/relationships/hyperlink" Target="http://amazon.com/dp/B08SHLDNVB" TargetMode="External"/><Relationship Id="rId42" Type="http://schemas.openxmlformats.org/officeDocument/2006/relationships/hyperlink" Target="http://palletfly.com/product_details.php?vid=19487" TargetMode="External"/><Relationship Id="rId1336" Type="http://schemas.openxmlformats.org/officeDocument/2006/relationships/hyperlink" Target="http://palletfly.com/product_details.php?vid=8114" TargetMode="External"/><Relationship Id="rId41" Type="http://schemas.openxmlformats.org/officeDocument/2006/relationships/hyperlink" Target="http://amazon.com/dp/B015N3QYA8" TargetMode="External"/><Relationship Id="rId1337" Type="http://schemas.openxmlformats.org/officeDocument/2006/relationships/hyperlink" Target="http://amazon.com/dp/B00Y65AT38" TargetMode="External"/><Relationship Id="rId44" Type="http://schemas.openxmlformats.org/officeDocument/2006/relationships/hyperlink" Target="http://palletfly.com/product_details.php?vid=20059" TargetMode="External"/><Relationship Id="rId1338" Type="http://schemas.openxmlformats.org/officeDocument/2006/relationships/hyperlink" Target="http://palletfly.com/product_details.php?vid=13925" TargetMode="External"/><Relationship Id="rId43" Type="http://schemas.openxmlformats.org/officeDocument/2006/relationships/hyperlink" Target="http://amazon.com/dp/B089B658NP" TargetMode="External"/><Relationship Id="rId1339" Type="http://schemas.openxmlformats.org/officeDocument/2006/relationships/hyperlink" Target="http://amazon.com/dp/B01KHSUVBW" TargetMode="External"/><Relationship Id="rId46" Type="http://schemas.openxmlformats.org/officeDocument/2006/relationships/hyperlink" Target="http://palletfly.com/product_details.php?vid=15940" TargetMode="External"/><Relationship Id="rId45" Type="http://schemas.openxmlformats.org/officeDocument/2006/relationships/hyperlink" Target="http://amazon.com/dp/B07BB1V7X8" TargetMode="External"/><Relationship Id="rId745" Type="http://schemas.openxmlformats.org/officeDocument/2006/relationships/hyperlink" Target="http://amazon.com/dp/B00LJO8008" TargetMode="External"/><Relationship Id="rId744" Type="http://schemas.openxmlformats.org/officeDocument/2006/relationships/hyperlink" Target="http://palletfly.com/product_details.php?vid=11636" TargetMode="External"/><Relationship Id="rId743" Type="http://schemas.openxmlformats.org/officeDocument/2006/relationships/hyperlink" Target="http://amazon.com/dp/B01BKAUNM8" TargetMode="External"/><Relationship Id="rId742" Type="http://schemas.openxmlformats.org/officeDocument/2006/relationships/hyperlink" Target="http://palletfly.com/product_details.php?vid=14330" TargetMode="External"/><Relationship Id="rId749" Type="http://schemas.openxmlformats.org/officeDocument/2006/relationships/hyperlink" Target="http://amazon.com/dp/B00UHUKKRG" TargetMode="External"/><Relationship Id="rId748" Type="http://schemas.openxmlformats.org/officeDocument/2006/relationships/hyperlink" Target="http://palletfly.com/product_details.php?vid=23034" TargetMode="External"/><Relationship Id="rId747" Type="http://schemas.openxmlformats.org/officeDocument/2006/relationships/hyperlink" Target="http://amazon.com/dp/B00XEZXMOE" TargetMode="External"/><Relationship Id="rId746" Type="http://schemas.openxmlformats.org/officeDocument/2006/relationships/hyperlink" Target="http://palletfly.com/product_details.php?vid=21294" TargetMode="External"/><Relationship Id="rId48" Type="http://schemas.openxmlformats.org/officeDocument/2006/relationships/hyperlink" Target="http://palletfly.com/product_details.php?vid=24384" TargetMode="External"/><Relationship Id="rId47" Type="http://schemas.openxmlformats.org/officeDocument/2006/relationships/hyperlink" Target="http://amazon.com/dp/B0012RX16K" TargetMode="External"/><Relationship Id="rId49" Type="http://schemas.openxmlformats.org/officeDocument/2006/relationships/hyperlink" Target="http://amazon.com/dp/B000E148DK" TargetMode="External"/><Relationship Id="rId741" Type="http://schemas.openxmlformats.org/officeDocument/2006/relationships/hyperlink" Target="http://amazon.com/dp/B08SJ6W9D8" TargetMode="External"/><Relationship Id="rId1330" Type="http://schemas.openxmlformats.org/officeDocument/2006/relationships/hyperlink" Target="http://palletfly.com/product_details.php?vid=13937" TargetMode="External"/><Relationship Id="rId740" Type="http://schemas.openxmlformats.org/officeDocument/2006/relationships/hyperlink" Target="http://palletfly.com/product_details.php?vid=20036" TargetMode="External"/><Relationship Id="rId1331" Type="http://schemas.openxmlformats.org/officeDocument/2006/relationships/hyperlink" Target="http://amazon.com/dp/B07B4HNZKN" TargetMode="External"/><Relationship Id="rId1332" Type="http://schemas.openxmlformats.org/officeDocument/2006/relationships/hyperlink" Target="http://palletfly.com/product_details.php?vid=18701" TargetMode="External"/><Relationship Id="rId1333" Type="http://schemas.openxmlformats.org/officeDocument/2006/relationships/hyperlink" Target="http://amazon.com/dp/B08SJFKDQX" TargetMode="External"/><Relationship Id="rId1323" Type="http://schemas.openxmlformats.org/officeDocument/2006/relationships/hyperlink" Target="http://amazon.com/dp/B00XAH0FFK" TargetMode="External"/><Relationship Id="rId1324" Type="http://schemas.openxmlformats.org/officeDocument/2006/relationships/hyperlink" Target="http://palletfly.com/product_details.php?vid=5905" TargetMode="External"/><Relationship Id="rId31" Type="http://schemas.openxmlformats.org/officeDocument/2006/relationships/hyperlink" Target="http://amazon.com/dp/B00BIDDBRC" TargetMode="External"/><Relationship Id="rId1325" Type="http://schemas.openxmlformats.org/officeDocument/2006/relationships/hyperlink" Target="http://amazon.com/dp/B01BKAUQKM" TargetMode="External"/><Relationship Id="rId30" Type="http://schemas.openxmlformats.org/officeDocument/2006/relationships/hyperlink" Target="http://palletfly.com/product_details.php?vid=24676" TargetMode="External"/><Relationship Id="rId1326" Type="http://schemas.openxmlformats.org/officeDocument/2006/relationships/hyperlink" Target="http://palletfly.com/product_details.php?vid=11669" TargetMode="External"/><Relationship Id="rId33" Type="http://schemas.openxmlformats.org/officeDocument/2006/relationships/hyperlink" Target="http://amazon.com/dp/B000JM476C" TargetMode="External"/><Relationship Id="rId1327" Type="http://schemas.openxmlformats.org/officeDocument/2006/relationships/hyperlink" Target="http://amazon.com/dp/B084PRMCXX" TargetMode="External"/><Relationship Id="rId32" Type="http://schemas.openxmlformats.org/officeDocument/2006/relationships/hyperlink" Target="http://palletfly.com/product_details.php?vid=21139" TargetMode="External"/><Relationship Id="rId1328" Type="http://schemas.openxmlformats.org/officeDocument/2006/relationships/hyperlink" Target="http://palletfly.com/product_details.php?vid=12613" TargetMode="External"/><Relationship Id="rId35" Type="http://schemas.openxmlformats.org/officeDocument/2006/relationships/hyperlink" Target="http://amazon.com/dp/B0040YQEC0" TargetMode="External"/><Relationship Id="rId1329" Type="http://schemas.openxmlformats.org/officeDocument/2006/relationships/hyperlink" Target="http://amazon.com/dp/B00IAOVRM8" TargetMode="External"/><Relationship Id="rId34" Type="http://schemas.openxmlformats.org/officeDocument/2006/relationships/hyperlink" Target="http://palletfly.com/product_details.php?vid=9547" TargetMode="External"/><Relationship Id="rId739" Type="http://schemas.openxmlformats.org/officeDocument/2006/relationships/hyperlink" Target="http://amazon.com/dp/B001WYPGZ2" TargetMode="External"/><Relationship Id="rId734" Type="http://schemas.openxmlformats.org/officeDocument/2006/relationships/hyperlink" Target="http://palletfly.com/product_details.php?vid=7534" TargetMode="External"/><Relationship Id="rId733" Type="http://schemas.openxmlformats.org/officeDocument/2006/relationships/hyperlink" Target="http://amazon.com/dp/B000FGCWZU" TargetMode="External"/><Relationship Id="rId732" Type="http://schemas.openxmlformats.org/officeDocument/2006/relationships/hyperlink" Target="http://palletfly.com/product_details.php?vid=18720" TargetMode="External"/><Relationship Id="rId731" Type="http://schemas.openxmlformats.org/officeDocument/2006/relationships/hyperlink" Target="http://amazon.com/dp/B00BAATL9U" TargetMode="External"/><Relationship Id="rId738" Type="http://schemas.openxmlformats.org/officeDocument/2006/relationships/hyperlink" Target="http://palletfly.com/product_details.php?vid=12733" TargetMode="External"/><Relationship Id="rId737" Type="http://schemas.openxmlformats.org/officeDocument/2006/relationships/hyperlink" Target="http://amazon.com/dp/B08SJ3KCYQ" TargetMode="External"/><Relationship Id="rId736" Type="http://schemas.openxmlformats.org/officeDocument/2006/relationships/hyperlink" Target="http://palletfly.com/product_details.php?vid=20029" TargetMode="External"/><Relationship Id="rId735" Type="http://schemas.openxmlformats.org/officeDocument/2006/relationships/hyperlink" Target="http://amazon.com/dp/B07D6WHQJL" TargetMode="External"/><Relationship Id="rId37" Type="http://schemas.openxmlformats.org/officeDocument/2006/relationships/hyperlink" Target="http://amazon.com/dp/B097YSDC5J" TargetMode="External"/><Relationship Id="rId36" Type="http://schemas.openxmlformats.org/officeDocument/2006/relationships/hyperlink" Target="http://palletfly.com/product_details.php?vid=22784" TargetMode="External"/><Relationship Id="rId39" Type="http://schemas.openxmlformats.org/officeDocument/2006/relationships/hyperlink" Target="http://amazon.com/dp/B00ZGEXYSA" TargetMode="External"/><Relationship Id="rId38" Type="http://schemas.openxmlformats.org/officeDocument/2006/relationships/hyperlink" Target="http://palletfly.com/product_details.php?vid=20166" TargetMode="External"/><Relationship Id="rId730" Type="http://schemas.openxmlformats.org/officeDocument/2006/relationships/hyperlink" Target="http://palletfly.com/product_details.php?vid=14556" TargetMode="External"/><Relationship Id="rId1320" Type="http://schemas.openxmlformats.org/officeDocument/2006/relationships/hyperlink" Target="http://palletfly.com/product_details.php?vid=19126" TargetMode="External"/><Relationship Id="rId1321" Type="http://schemas.openxmlformats.org/officeDocument/2006/relationships/hyperlink" Target="http://amazon.com/dp/B089D97YP3" TargetMode="External"/><Relationship Id="rId1322" Type="http://schemas.openxmlformats.org/officeDocument/2006/relationships/hyperlink" Target="http://palletfly.com/product_details.php?vid=4110" TargetMode="External"/><Relationship Id="rId1356" Type="http://schemas.openxmlformats.org/officeDocument/2006/relationships/hyperlink" Target="http://palletfly.com/product_details.php?vid=23849" TargetMode="External"/><Relationship Id="rId2203" Type="http://schemas.openxmlformats.org/officeDocument/2006/relationships/hyperlink" Target="http://palletfly.com/product_details.php?vid=20823" TargetMode="External"/><Relationship Id="rId1357" Type="http://schemas.openxmlformats.org/officeDocument/2006/relationships/hyperlink" Target="http://amazon.com/dp/B0006HVGX2" TargetMode="External"/><Relationship Id="rId2204" Type="http://schemas.openxmlformats.org/officeDocument/2006/relationships/hyperlink" Target="http://palletfly.com/product_details.php?vid=11195" TargetMode="External"/><Relationship Id="rId20" Type="http://schemas.openxmlformats.org/officeDocument/2006/relationships/hyperlink" Target="http://palletfly.com/product_details.php?vid=22259" TargetMode="External"/><Relationship Id="rId1358" Type="http://schemas.openxmlformats.org/officeDocument/2006/relationships/hyperlink" Target="http://palletfly.com/product_details.php?vid=17395" TargetMode="External"/><Relationship Id="rId2205" Type="http://schemas.openxmlformats.org/officeDocument/2006/relationships/hyperlink" Target="http://palletfly.com/product_details.php?vid=3716" TargetMode="External"/><Relationship Id="rId1359" Type="http://schemas.openxmlformats.org/officeDocument/2006/relationships/hyperlink" Target="http://amazon.com/dp/B00008611E" TargetMode="External"/><Relationship Id="rId2206" Type="http://schemas.openxmlformats.org/officeDocument/2006/relationships/hyperlink" Target="http://palletfly.com/product_details.php?vid=13303" TargetMode="External"/><Relationship Id="rId22" Type="http://schemas.openxmlformats.org/officeDocument/2006/relationships/hyperlink" Target="http://palletfly.com/product_details.php?vid=4277" TargetMode="External"/><Relationship Id="rId2207" Type="http://schemas.openxmlformats.org/officeDocument/2006/relationships/hyperlink" Target="http://palletfly.com/product_details.php?vid=14325" TargetMode="External"/><Relationship Id="rId21" Type="http://schemas.openxmlformats.org/officeDocument/2006/relationships/hyperlink" Target="http://amazon.com/dp/B008HO9DIG" TargetMode="External"/><Relationship Id="rId2208" Type="http://schemas.openxmlformats.org/officeDocument/2006/relationships/hyperlink" Target="http://palletfly.com/product_details.php?vid=14658" TargetMode="External"/><Relationship Id="rId24" Type="http://schemas.openxmlformats.org/officeDocument/2006/relationships/hyperlink" Target="http://palletfly.com/product_details.php?vid=21145" TargetMode="External"/><Relationship Id="rId2209" Type="http://schemas.openxmlformats.org/officeDocument/2006/relationships/hyperlink" Target="http://palletfly.com/product_details.php?vid=14143" TargetMode="External"/><Relationship Id="rId23" Type="http://schemas.openxmlformats.org/officeDocument/2006/relationships/hyperlink" Target="http://amazon.com/dp/B00YA8LFPW" TargetMode="External"/><Relationship Id="rId767" Type="http://schemas.openxmlformats.org/officeDocument/2006/relationships/hyperlink" Target="http://amazon.com/dp/B002ON02CC" TargetMode="External"/><Relationship Id="rId766" Type="http://schemas.openxmlformats.org/officeDocument/2006/relationships/hyperlink" Target="http://palletfly.com/product_details.php?vid=20856" TargetMode="External"/><Relationship Id="rId765" Type="http://schemas.openxmlformats.org/officeDocument/2006/relationships/hyperlink" Target="http://amazon.com/dp/B07599CB1N" TargetMode="External"/><Relationship Id="rId764" Type="http://schemas.openxmlformats.org/officeDocument/2006/relationships/hyperlink" Target="http://palletfly.com/product_details.php?vid=15912" TargetMode="External"/><Relationship Id="rId769" Type="http://schemas.openxmlformats.org/officeDocument/2006/relationships/hyperlink" Target="http://amazon.com/dp/B08CX539V2" TargetMode="External"/><Relationship Id="rId768" Type="http://schemas.openxmlformats.org/officeDocument/2006/relationships/hyperlink" Target="http://palletfly.com/product_details.php?vid=22885" TargetMode="External"/><Relationship Id="rId26" Type="http://schemas.openxmlformats.org/officeDocument/2006/relationships/hyperlink" Target="http://palletfly.com/product_details.php?vid=13344" TargetMode="External"/><Relationship Id="rId25" Type="http://schemas.openxmlformats.org/officeDocument/2006/relationships/hyperlink" Target="http://amazon.com/dp/B001DKOCGE" TargetMode="External"/><Relationship Id="rId28" Type="http://schemas.openxmlformats.org/officeDocument/2006/relationships/hyperlink" Target="http://palletfly.com/product_details.php?vid=23782" TargetMode="External"/><Relationship Id="rId1350" Type="http://schemas.openxmlformats.org/officeDocument/2006/relationships/hyperlink" Target="http://palletfly.com/product_details.php?vid=19274" TargetMode="External"/><Relationship Id="rId27" Type="http://schemas.openxmlformats.org/officeDocument/2006/relationships/hyperlink" Target="http://amazon.com/dp/B01H1QQZRM" TargetMode="External"/><Relationship Id="rId1351" Type="http://schemas.openxmlformats.org/officeDocument/2006/relationships/hyperlink" Target="http://amazon.com/dp/B000J0B3K2" TargetMode="External"/><Relationship Id="rId763" Type="http://schemas.openxmlformats.org/officeDocument/2006/relationships/hyperlink" Target="http://amazon.com/dp/B00290J30C" TargetMode="External"/><Relationship Id="rId1352" Type="http://schemas.openxmlformats.org/officeDocument/2006/relationships/hyperlink" Target="http://palletfly.com/product_details.php?vid=21691" TargetMode="External"/><Relationship Id="rId29" Type="http://schemas.openxmlformats.org/officeDocument/2006/relationships/hyperlink" Target="http://amazon.com/dp/B015N3QPHA" TargetMode="External"/><Relationship Id="rId762" Type="http://schemas.openxmlformats.org/officeDocument/2006/relationships/hyperlink" Target="http://palletfly.com/product_details.php?vid=24794" TargetMode="External"/><Relationship Id="rId1353" Type="http://schemas.openxmlformats.org/officeDocument/2006/relationships/hyperlink" Target="http://amazon.com/dp/B001A4271A" TargetMode="External"/><Relationship Id="rId2200" Type="http://schemas.openxmlformats.org/officeDocument/2006/relationships/hyperlink" Target="http://palletfly.com/product_details.php?vid=11125" TargetMode="External"/><Relationship Id="rId761" Type="http://schemas.openxmlformats.org/officeDocument/2006/relationships/hyperlink" Target="http://amazon.com/dp/B0043MHBQ2" TargetMode="External"/><Relationship Id="rId1354" Type="http://schemas.openxmlformats.org/officeDocument/2006/relationships/hyperlink" Target="http://palletfly.com/product_details.php?vid=22795" TargetMode="External"/><Relationship Id="rId2201" Type="http://schemas.openxmlformats.org/officeDocument/2006/relationships/hyperlink" Target="http://palletfly.com/product_details.php?vid=17424" TargetMode="External"/><Relationship Id="rId760" Type="http://schemas.openxmlformats.org/officeDocument/2006/relationships/hyperlink" Target="http://palletfly.com/product_details.php?vid=21970" TargetMode="External"/><Relationship Id="rId1355" Type="http://schemas.openxmlformats.org/officeDocument/2006/relationships/hyperlink" Target="http://amazon.com/dp/B001E1Z6J4" TargetMode="External"/><Relationship Id="rId2202" Type="http://schemas.openxmlformats.org/officeDocument/2006/relationships/hyperlink" Target="http://palletfly.com/product_details.php?vid=22801" TargetMode="External"/><Relationship Id="rId1345" Type="http://schemas.openxmlformats.org/officeDocument/2006/relationships/hyperlink" Target="http://amazon.com/dp/B00A6W5CU0" TargetMode="External"/><Relationship Id="rId1346" Type="http://schemas.openxmlformats.org/officeDocument/2006/relationships/hyperlink" Target="http://palletfly.com/product_details.php?vid=15539" TargetMode="External"/><Relationship Id="rId1347" Type="http://schemas.openxmlformats.org/officeDocument/2006/relationships/hyperlink" Target="http://amazon.com/dp/B003D87AGS" TargetMode="External"/><Relationship Id="rId1348" Type="http://schemas.openxmlformats.org/officeDocument/2006/relationships/hyperlink" Target="http://palletfly.com/product_details.php?vid=18614" TargetMode="External"/><Relationship Id="rId11" Type="http://schemas.openxmlformats.org/officeDocument/2006/relationships/hyperlink" Target="http://amazon.com/dp/B00407VXA0" TargetMode="External"/><Relationship Id="rId1349" Type="http://schemas.openxmlformats.org/officeDocument/2006/relationships/hyperlink" Target="http://amazon.com/dp/B01MQLT2V9" TargetMode="External"/><Relationship Id="rId10" Type="http://schemas.openxmlformats.org/officeDocument/2006/relationships/hyperlink" Target="http://palletfly.com/product_details.php?vid=24669" TargetMode="External"/><Relationship Id="rId13" Type="http://schemas.openxmlformats.org/officeDocument/2006/relationships/hyperlink" Target="http://amazon.com/dp/B07J2YLHJ2" TargetMode="External"/><Relationship Id="rId12" Type="http://schemas.openxmlformats.org/officeDocument/2006/relationships/hyperlink" Target="http://palletfly.com/product_details.php?vid=13844" TargetMode="External"/><Relationship Id="rId756" Type="http://schemas.openxmlformats.org/officeDocument/2006/relationships/hyperlink" Target="http://palletfly.com/product_details.php?vid=21416" TargetMode="External"/><Relationship Id="rId755" Type="http://schemas.openxmlformats.org/officeDocument/2006/relationships/hyperlink" Target="http://amazon.com/dp/B000KNQ2AY" TargetMode="External"/><Relationship Id="rId754" Type="http://schemas.openxmlformats.org/officeDocument/2006/relationships/hyperlink" Target="http://palletfly.com/product_details.php?vid=21415" TargetMode="External"/><Relationship Id="rId753" Type="http://schemas.openxmlformats.org/officeDocument/2006/relationships/hyperlink" Target="http://amazon.com/dp/B000X5G1BO" TargetMode="External"/><Relationship Id="rId759" Type="http://schemas.openxmlformats.org/officeDocument/2006/relationships/hyperlink" Target="http://amazon.com/dp/B0016N2BSY" TargetMode="External"/><Relationship Id="rId758" Type="http://schemas.openxmlformats.org/officeDocument/2006/relationships/hyperlink" Target="http://palletfly.com/product_details.php?vid=21417" TargetMode="External"/><Relationship Id="rId757" Type="http://schemas.openxmlformats.org/officeDocument/2006/relationships/hyperlink" Target="http://amazon.com/dp/B000XAHE1A" TargetMode="External"/><Relationship Id="rId15" Type="http://schemas.openxmlformats.org/officeDocument/2006/relationships/hyperlink" Target="http://amazon.com/dp/B004RUHPOS" TargetMode="External"/><Relationship Id="rId14" Type="http://schemas.openxmlformats.org/officeDocument/2006/relationships/hyperlink" Target="http://palletfly.com/product_details.php?vid=24670" TargetMode="External"/><Relationship Id="rId17" Type="http://schemas.openxmlformats.org/officeDocument/2006/relationships/hyperlink" Target="http://amazon.com/dp/B01N7YBXEQ" TargetMode="External"/><Relationship Id="rId16" Type="http://schemas.openxmlformats.org/officeDocument/2006/relationships/hyperlink" Target="http://palletfly.com/product_details.php?vid=21753" TargetMode="External"/><Relationship Id="rId1340" Type="http://schemas.openxmlformats.org/officeDocument/2006/relationships/hyperlink" Target="http://palletfly.com/product_details.php?vid=18855" TargetMode="External"/><Relationship Id="rId19" Type="http://schemas.openxmlformats.org/officeDocument/2006/relationships/hyperlink" Target="http://amazon.com/dp/B07C5L7NKV" TargetMode="External"/><Relationship Id="rId752" Type="http://schemas.openxmlformats.org/officeDocument/2006/relationships/hyperlink" Target="http://palletfly.com/product_details.php?vid=19073" TargetMode="External"/><Relationship Id="rId1341" Type="http://schemas.openxmlformats.org/officeDocument/2006/relationships/hyperlink" Target="http://amazon.com/dp/B001E65TUA" TargetMode="External"/><Relationship Id="rId18" Type="http://schemas.openxmlformats.org/officeDocument/2006/relationships/hyperlink" Target="http://palletfly.com/product_details.php?vid=24561" TargetMode="External"/><Relationship Id="rId751" Type="http://schemas.openxmlformats.org/officeDocument/2006/relationships/hyperlink" Target="http://amazon.com/dp/B005IQ1WSU" TargetMode="External"/><Relationship Id="rId1342" Type="http://schemas.openxmlformats.org/officeDocument/2006/relationships/hyperlink" Target="http://palletfly.com/product_details.php?vid=19202" TargetMode="External"/><Relationship Id="rId750" Type="http://schemas.openxmlformats.org/officeDocument/2006/relationships/hyperlink" Target="http://palletfly.com/product_details.php?vid=15491" TargetMode="External"/><Relationship Id="rId1343" Type="http://schemas.openxmlformats.org/officeDocument/2006/relationships/hyperlink" Target="http://amazon.com/dp/B007SZ1SJW" TargetMode="External"/><Relationship Id="rId1344" Type="http://schemas.openxmlformats.org/officeDocument/2006/relationships/hyperlink" Target="http://palletfly.com/product_details.php?vid=24029" TargetMode="External"/><Relationship Id="rId84" Type="http://schemas.openxmlformats.org/officeDocument/2006/relationships/hyperlink" Target="http://palletfly.com/product_details.php?vid=23409" TargetMode="External"/><Relationship Id="rId1774" Type="http://schemas.openxmlformats.org/officeDocument/2006/relationships/hyperlink" Target="http://palletfly.com/product_details.php?vid=23548" TargetMode="External"/><Relationship Id="rId83" Type="http://schemas.openxmlformats.org/officeDocument/2006/relationships/hyperlink" Target="http://amazon.com/dp/B00147F8WS" TargetMode="External"/><Relationship Id="rId1775" Type="http://schemas.openxmlformats.org/officeDocument/2006/relationships/hyperlink" Target="http://amazon.com/dp/B00ED3NG8S" TargetMode="External"/><Relationship Id="rId86" Type="http://schemas.openxmlformats.org/officeDocument/2006/relationships/hyperlink" Target="http://palletfly.com/product_details.php?vid=18034" TargetMode="External"/><Relationship Id="rId1776" Type="http://schemas.openxmlformats.org/officeDocument/2006/relationships/hyperlink" Target="http://palletfly.com/product_details.php?vid=17267" TargetMode="External"/><Relationship Id="rId85" Type="http://schemas.openxmlformats.org/officeDocument/2006/relationships/hyperlink" Target="http://amazon.com/dp/B000WZP3WI" TargetMode="External"/><Relationship Id="rId1777" Type="http://schemas.openxmlformats.org/officeDocument/2006/relationships/hyperlink" Target="http://amazon.com/dp/B003BLE7F4" TargetMode="External"/><Relationship Id="rId88" Type="http://schemas.openxmlformats.org/officeDocument/2006/relationships/hyperlink" Target="http://palletfly.com/product_details.php?vid=22455" TargetMode="External"/><Relationship Id="rId1778" Type="http://schemas.openxmlformats.org/officeDocument/2006/relationships/hyperlink" Target="http://palletfly.com/product_details.php?vid=17402" TargetMode="External"/><Relationship Id="rId87" Type="http://schemas.openxmlformats.org/officeDocument/2006/relationships/hyperlink" Target="http://amazon.com/dp/B01KVR0ZYM" TargetMode="External"/><Relationship Id="rId1779" Type="http://schemas.openxmlformats.org/officeDocument/2006/relationships/hyperlink" Target="http://amazon.com/dp/B009US20EW" TargetMode="External"/><Relationship Id="rId89" Type="http://schemas.openxmlformats.org/officeDocument/2006/relationships/hyperlink" Target="http://amazon.com/dp/B099TJGJ91" TargetMode="External"/><Relationship Id="rId709" Type="http://schemas.openxmlformats.org/officeDocument/2006/relationships/hyperlink" Target="http://amazon.com/dp/B01457B8HW" TargetMode="External"/><Relationship Id="rId708" Type="http://schemas.openxmlformats.org/officeDocument/2006/relationships/hyperlink" Target="http://palletfly.com/product_details.php?vid=10183" TargetMode="External"/><Relationship Id="rId707" Type="http://schemas.openxmlformats.org/officeDocument/2006/relationships/hyperlink" Target="http://amazon.com/dp/B01K7MVE0A" TargetMode="External"/><Relationship Id="rId706" Type="http://schemas.openxmlformats.org/officeDocument/2006/relationships/hyperlink" Target="http://palletfly.com/product_details.php?vid=13727" TargetMode="External"/><Relationship Id="rId80" Type="http://schemas.openxmlformats.org/officeDocument/2006/relationships/hyperlink" Target="http://palletfly.com/product_details.php?vid=23789" TargetMode="External"/><Relationship Id="rId82" Type="http://schemas.openxmlformats.org/officeDocument/2006/relationships/hyperlink" Target="http://palletfly.com/product_details.php?vid=3701" TargetMode="External"/><Relationship Id="rId81" Type="http://schemas.openxmlformats.org/officeDocument/2006/relationships/hyperlink" Target="http://amazon.com/dp/B015N3QPR0" TargetMode="External"/><Relationship Id="rId701" Type="http://schemas.openxmlformats.org/officeDocument/2006/relationships/hyperlink" Target="http://amazon.com/dp/B004XWJ3G8" TargetMode="External"/><Relationship Id="rId700" Type="http://schemas.openxmlformats.org/officeDocument/2006/relationships/hyperlink" Target="http://palletfly.com/product_details.php?vid=19449" TargetMode="External"/><Relationship Id="rId705" Type="http://schemas.openxmlformats.org/officeDocument/2006/relationships/hyperlink" Target="http://amazon.com/dp/B003FYLW9Q" TargetMode="External"/><Relationship Id="rId704" Type="http://schemas.openxmlformats.org/officeDocument/2006/relationships/hyperlink" Target="http://palletfly.com/product_details.php?vid=22356" TargetMode="External"/><Relationship Id="rId703" Type="http://schemas.openxmlformats.org/officeDocument/2006/relationships/hyperlink" Target="http://amazon.com/dp/B075KGJ1YY" TargetMode="External"/><Relationship Id="rId702" Type="http://schemas.openxmlformats.org/officeDocument/2006/relationships/hyperlink" Target="http://palletfly.com/product_details.php?vid=20968" TargetMode="External"/><Relationship Id="rId1770" Type="http://schemas.openxmlformats.org/officeDocument/2006/relationships/hyperlink" Target="http://palletfly.com/product_details.php?vid=21276" TargetMode="External"/><Relationship Id="rId1771" Type="http://schemas.openxmlformats.org/officeDocument/2006/relationships/hyperlink" Target="http://amazon.com/dp/B000QHR12C" TargetMode="External"/><Relationship Id="rId1772" Type="http://schemas.openxmlformats.org/officeDocument/2006/relationships/hyperlink" Target="http://palletfly.com/product_details.php?vid=23241" TargetMode="External"/><Relationship Id="rId1773" Type="http://schemas.openxmlformats.org/officeDocument/2006/relationships/hyperlink" Target="http://amazon.com/dp/B00GS0OWSC" TargetMode="External"/><Relationship Id="rId73" Type="http://schemas.openxmlformats.org/officeDocument/2006/relationships/hyperlink" Target="http://amazon.com/dp/B007HJ89VE" TargetMode="External"/><Relationship Id="rId1763" Type="http://schemas.openxmlformats.org/officeDocument/2006/relationships/hyperlink" Target="http://amazon.com/dp/B004OV4X1I" TargetMode="External"/><Relationship Id="rId72" Type="http://schemas.openxmlformats.org/officeDocument/2006/relationships/hyperlink" Target="http://palletfly.com/product_details.php?vid=24672" TargetMode="External"/><Relationship Id="rId1764" Type="http://schemas.openxmlformats.org/officeDocument/2006/relationships/hyperlink" Target="http://palletfly.com/product_details.php?vid=13750" TargetMode="External"/><Relationship Id="rId75" Type="http://schemas.openxmlformats.org/officeDocument/2006/relationships/hyperlink" Target="http://amazon.com/dp/B07DD3W154" TargetMode="External"/><Relationship Id="rId1765" Type="http://schemas.openxmlformats.org/officeDocument/2006/relationships/hyperlink" Target="http://amazon.com/dp/B07S97BNDS" TargetMode="External"/><Relationship Id="rId74" Type="http://schemas.openxmlformats.org/officeDocument/2006/relationships/hyperlink" Target="http://palletfly.com/product_details.php?vid=21007" TargetMode="External"/><Relationship Id="rId1766" Type="http://schemas.openxmlformats.org/officeDocument/2006/relationships/hyperlink" Target="http://palletfly.com/product_details.php?vid=16004" TargetMode="External"/><Relationship Id="rId77" Type="http://schemas.openxmlformats.org/officeDocument/2006/relationships/hyperlink" Target="http://amazon.com/dp/B00CD1YPZU" TargetMode="External"/><Relationship Id="rId1767" Type="http://schemas.openxmlformats.org/officeDocument/2006/relationships/hyperlink" Target="http://amazon.com/dp/B000QE2WDS" TargetMode="External"/><Relationship Id="rId76" Type="http://schemas.openxmlformats.org/officeDocument/2006/relationships/hyperlink" Target="http://palletfly.com/product_details.php?vid=14907" TargetMode="External"/><Relationship Id="rId1768" Type="http://schemas.openxmlformats.org/officeDocument/2006/relationships/hyperlink" Target="http://palletfly.com/product_details.php?vid=16858" TargetMode="External"/><Relationship Id="rId79" Type="http://schemas.openxmlformats.org/officeDocument/2006/relationships/hyperlink" Target="http://amazon.com/dp/B018E0L00Q" TargetMode="External"/><Relationship Id="rId1769" Type="http://schemas.openxmlformats.org/officeDocument/2006/relationships/hyperlink" Target="http://amazon.com/dp/B07B66ZKPV" TargetMode="External"/><Relationship Id="rId78" Type="http://schemas.openxmlformats.org/officeDocument/2006/relationships/hyperlink" Target="http://palletfly.com/product_details.php?vid=17203" TargetMode="External"/><Relationship Id="rId71" Type="http://schemas.openxmlformats.org/officeDocument/2006/relationships/hyperlink" Target="http://amazon.com/dp/B0006VPO1S" TargetMode="External"/><Relationship Id="rId70" Type="http://schemas.openxmlformats.org/officeDocument/2006/relationships/hyperlink" Target="http://palletfly.com/product_details.php?vid=11753" TargetMode="External"/><Relationship Id="rId1760" Type="http://schemas.openxmlformats.org/officeDocument/2006/relationships/hyperlink" Target="http://palletfly.com/product_details.php?vid=3521" TargetMode="External"/><Relationship Id="rId1761" Type="http://schemas.openxmlformats.org/officeDocument/2006/relationships/hyperlink" Target="http://amazon.com/dp/B00A98QX4K" TargetMode="External"/><Relationship Id="rId1762" Type="http://schemas.openxmlformats.org/officeDocument/2006/relationships/hyperlink" Target="http://palletfly.com/product_details.php?vid=5446" TargetMode="External"/><Relationship Id="rId62" Type="http://schemas.openxmlformats.org/officeDocument/2006/relationships/hyperlink" Target="http://palletfly.com/product_details.php?vid=13009" TargetMode="External"/><Relationship Id="rId1312" Type="http://schemas.openxmlformats.org/officeDocument/2006/relationships/hyperlink" Target="http://palletfly.com/product_details.php?vid=21715" TargetMode="External"/><Relationship Id="rId1796" Type="http://schemas.openxmlformats.org/officeDocument/2006/relationships/hyperlink" Target="http://palletfly.com/product_details.php?vid=21098" TargetMode="External"/><Relationship Id="rId61" Type="http://schemas.openxmlformats.org/officeDocument/2006/relationships/hyperlink" Target="http://amazon.com/dp/B084PRXX5V" TargetMode="External"/><Relationship Id="rId1313" Type="http://schemas.openxmlformats.org/officeDocument/2006/relationships/hyperlink" Target="http://amazon.com/dp/B00004TS6V" TargetMode="External"/><Relationship Id="rId1797" Type="http://schemas.openxmlformats.org/officeDocument/2006/relationships/hyperlink" Target="http://amazon.com/dp/B008X09W26" TargetMode="External"/><Relationship Id="rId64" Type="http://schemas.openxmlformats.org/officeDocument/2006/relationships/hyperlink" Target="http://palletfly.com/product_details.php?vid=8789" TargetMode="External"/><Relationship Id="rId1314" Type="http://schemas.openxmlformats.org/officeDocument/2006/relationships/hyperlink" Target="http://palletfly.com/product_details.php?vid=24784" TargetMode="External"/><Relationship Id="rId1798" Type="http://schemas.openxmlformats.org/officeDocument/2006/relationships/hyperlink" Target="http://palletfly.com/product_details.php?vid=17094" TargetMode="External"/><Relationship Id="rId63" Type="http://schemas.openxmlformats.org/officeDocument/2006/relationships/hyperlink" Target="http://amazon.com/dp/B00LWFOD00" TargetMode="External"/><Relationship Id="rId1315" Type="http://schemas.openxmlformats.org/officeDocument/2006/relationships/hyperlink" Target="http://amazon.com/dp/B000SHSYDU" TargetMode="External"/><Relationship Id="rId1799" Type="http://schemas.openxmlformats.org/officeDocument/2006/relationships/hyperlink" Target="http://amazon.com/dp/B00125KZN4" TargetMode="External"/><Relationship Id="rId66" Type="http://schemas.openxmlformats.org/officeDocument/2006/relationships/hyperlink" Target="http://palletfly.com/product_details.php?vid=23000" TargetMode="External"/><Relationship Id="rId1316" Type="http://schemas.openxmlformats.org/officeDocument/2006/relationships/hyperlink" Target="http://palletfly.com/product_details.php?vid=13735" TargetMode="External"/><Relationship Id="rId65" Type="http://schemas.openxmlformats.org/officeDocument/2006/relationships/hyperlink" Target="http://amazon.com/dp/B075TLBP4V" TargetMode="External"/><Relationship Id="rId1317" Type="http://schemas.openxmlformats.org/officeDocument/2006/relationships/hyperlink" Target="http://amazon.com/dp/B01BKAUADU" TargetMode="External"/><Relationship Id="rId68" Type="http://schemas.openxmlformats.org/officeDocument/2006/relationships/hyperlink" Target="http://palletfly.com/product_details.php?vid=24685" TargetMode="External"/><Relationship Id="rId1318" Type="http://schemas.openxmlformats.org/officeDocument/2006/relationships/hyperlink" Target="http://palletfly.com/product_details.php?vid=18510" TargetMode="External"/><Relationship Id="rId67" Type="http://schemas.openxmlformats.org/officeDocument/2006/relationships/hyperlink" Target="http://amazon.com/dp/B00P0NJGHU" TargetMode="External"/><Relationship Id="rId1319" Type="http://schemas.openxmlformats.org/officeDocument/2006/relationships/hyperlink" Target="http://amazon.com/dp/B0006SVDKM" TargetMode="External"/><Relationship Id="rId729" Type="http://schemas.openxmlformats.org/officeDocument/2006/relationships/hyperlink" Target="http://amazon.com/dp/B004O7G5HC" TargetMode="External"/><Relationship Id="rId728" Type="http://schemas.openxmlformats.org/officeDocument/2006/relationships/hyperlink" Target="http://palletfly.com/product_details.php?vid=22007" TargetMode="External"/><Relationship Id="rId60" Type="http://schemas.openxmlformats.org/officeDocument/2006/relationships/hyperlink" Target="http://palletfly.com/product_details.php?vid=11664" TargetMode="External"/><Relationship Id="rId723" Type="http://schemas.openxmlformats.org/officeDocument/2006/relationships/hyperlink" Target="http://amazon.com/dp/B0058I1R0Q" TargetMode="External"/><Relationship Id="rId722" Type="http://schemas.openxmlformats.org/officeDocument/2006/relationships/hyperlink" Target="http://palletfly.com/product_details.php?vid=23638" TargetMode="External"/><Relationship Id="rId721" Type="http://schemas.openxmlformats.org/officeDocument/2006/relationships/hyperlink" Target="http://amazon.com/dp/B01N7L2926" TargetMode="External"/><Relationship Id="rId720" Type="http://schemas.openxmlformats.org/officeDocument/2006/relationships/hyperlink" Target="http://palletfly.com/product_details.php?vid=19779" TargetMode="External"/><Relationship Id="rId727" Type="http://schemas.openxmlformats.org/officeDocument/2006/relationships/hyperlink" Target="http://amazon.com/dp/B06XDLY282" TargetMode="External"/><Relationship Id="rId726" Type="http://schemas.openxmlformats.org/officeDocument/2006/relationships/hyperlink" Target="http://palletfly.com/product_details.php?vid=8596" TargetMode="External"/><Relationship Id="rId725" Type="http://schemas.openxmlformats.org/officeDocument/2006/relationships/hyperlink" Target="http://amazon.com/dp/B00Z7RNVE8" TargetMode="External"/><Relationship Id="rId724" Type="http://schemas.openxmlformats.org/officeDocument/2006/relationships/hyperlink" Target="http://palletfly.com/product_details.php?vid=7515" TargetMode="External"/><Relationship Id="rId69" Type="http://schemas.openxmlformats.org/officeDocument/2006/relationships/hyperlink" Target="http://amazon.com/dp/B004NBZAW0" TargetMode="External"/><Relationship Id="rId1790" Type="http://schemas.openxmlformats.org/officeDocument/2006/relationships/hyperlink" Target="http://palletfly.com/product_details.php?vid=18705" TargetMode="External"/><Relationship Id="rId1791" Type="http://schemas.openxmlformats.org/officeDocument/2006/relationships/hyperlink" Target="http://amazon.com/dp/B08SJDNQ6T" TargetMode="External"/><Relationship Id="rId1792" Type="http://schemas.openxmlformats.org/officeDocument/2006/relationships/hyperlink" Target="http://palletfly.com/product_details.php?vid=20026" TargetMode="External"/><Relationship Id="rId1793" Type="http://schemas.openxmlformats.org/officeDocument/2006/relationships/hyperlink" Target="http://amazon.com/dp/B0094IP5UY" TargetMode="External"/><Relationship Id="rId1310" Type="http://schemas.openxmlformats.org/officeDocument/2006/relationships/hyperlink" Target="http://palletfly.com/product_details.php?vid=19215" TargetMode="External"/><Relationship Id="rId1794" Type="http://schemas.openxmlformats.org/officeDocument/2006/relationships/hyperlink" Target="http://palletfly.com/product_details.php?vid=20813" TargetMode="External"/><Relationship Id="rId1311" Type="http://schemas.openxmlformats.org/officeDocument/2006/relationships/hyperlink" Target="http://amazon.com/dp/B00182JYU6" TargetMode="External"/><Relationship Id="rId1795" Type="http://schemas.openxmlformats.org/officeDocument/2006/relationships/hyperlink" Target="http://amazon.com/dp/B08SJR82WQ" TargetMode="External"/><Relationship Id="rId51" Type="http://schemas.openxmlformats.org/officeDocument/2006/relationships/hyperlink" Target="http://amazon.com/dp/B01N2M0DXX" TargetMode="External"/><Relationship Id="rId1301" Type="http://schemas.openxmlformats.org/officeDocument/2006/relationships/hyperlink" Target="http://amazon.com/dp/B0031450XY" TargetMode="External"/><Relationship Id="rId1785" Type="http://schemas.openxmlformats.org/officeDocument/2006/relationships/hyperlink" Target="http://amazon.com/dp/B071ZT4XBD" TargetMode="External"/><Relationship Id="rId50" Type="http://schemas.openxmlformats.org/officeDocument/2006/relationships/hyperlink" Target="http://palletfly.com/product_details.php?vid=23091" TargetMode="External"/><Relationship Id="rId1302" Type="http://schemas.openxmlformats.org/officeDocument/2006/relationships/hyperlink" Target="http://palletfly.com/product_details.php?vid=21319" TargetMode="External"/><Relationship Id="rId1786" Type="http://schemas.openxmlformats.org/officeDocument/2006/relationships/hyperlink" Target="http://palletfly.com/product_details.php?vid=14627" TargetMode="External"/><Relationship Id="rId53" Type="http://schemas.openxmlformats.org/officeDocument/2006/relationships/hyperlink" Target="http://amazon.com/dp/B001DLBTVY" TargetMode="External"/><Relationship Id="rId1303" Type="http://schemas.openxmlformats.org/officeDocument/2006/relationships/hyperlink" Target="http://amazon.com/dp/B003U9RORA" TargetMode="External"/><Relationship Id="rId1787" Type="http://schemas.openxmlformats.org/officeDocument/2006/relationships/hyperlink" Target="http://amazon.com/dp/B000NNXL5K" TargetMode="External"/><Relationship Id="rId52" Type="http://schemas.openxmlformats.org/officeDocument/2006/relationships/hyperlink" Target="http://palletfly.com/product_details.php?vid=19710" TargetMode="External"/><Relationship Id="rId1304" Type="http://schemas.openxmlformats.org/officeDocument/2006/relationships/hyperlink" Target="http://palletfly.com/product_details.php?vid=21672" TargetMode="External"/><Relationship Id="rId1788" Type="http://schemas.openxmlformats.org/officeDocument/2006/relationships/hyperlink" Target="http://palletfly.com/product_details.php?vid=18617" TargetMode="External"/><Relationship Id="rId55" Type="http://schemas.openxmlformats.org/officeDocument/2006/relationships/hyperlink" Target="http://amazon.com/dp/B001XUQP64" TargetMode="External"/><Relationship Id="rId1305" Type="http://schemas.openxmlformats.org/officeDocument/2006/relationships/hyperlink" Target="http://amazon.com/dp/B01A6T9M7G" TargetMode="External"/><Relationship Id="rId1789" Type="http://schemas.openxmlformats.org/officeDocument/2006/relationships/hyperlink" Target="http://amazon.com/dp/B00AVYCCL0" TargetMode="External"/><Relationship Id="rId54" Type="http://schemas.openxmlformats.org/officeDocument/2006/relationships/hyperlink" Target="http://palletfly.com/product_details.php?vid=17218" TargetMode="External"/><Relationship Id="rId1306" Type="http://schemas.openxmlformats.org/officeDocument/2006/relationships/hyperlink" Target="http://palletfly.com/product_details.php?vid=22059" TargetMode="External"/><Relationship Id="rId57" Type="http://schemas.openxmlformats.org/officeDocument/2006/relationships/hyperlink" Target="http://amazon.com/dp/B00ZITX8CA" TargetMode="External"/><Relationship Id="rId1307" Type="http://schemas.openxmlformats.org/officeDocument/2006/relationships/hyperlink" Target="http://amazon.com/dp/B001ASBF5U" TargetMode="External"/><Relationship Id="rId56" Type="http://schemas.openxmlformats.org/officeDocument/2006/relationships/hyperlink" Target="http://palletfly.com/product_details.php?vid=22957" TargetMode="External"/><Relationship Id="rId1308" Type="http://schemas.openxmlformats.org/officeDocument/2006/relationships/hyperlink" Target="http://palletfly.com/product_details.php?vid=5473" TargetMode="External"/><Relationship Id="rId1309" Type="http://schemas.openxmlformats.org/officeDocument/2006/relationships/hyperlink" Target="http://amazon.com/dp/B0719MBB8B" TargetMode="External"/><Relationship Id="rId719" Type="http://schemas.openxmlformats.org/officeDocument/2006/relationships/hyperlink" Target="http://amazon.com/dp/B0050A64QY" TargetMode="External"/><Relationship Id="rId718" Type="http://schemas.openxmlformats.org/officeDocument/2006/relationships/hyperlink" Target="http://palletfly.com/product_details.php?vid=24018" TargetMode="External"/><Relationship Id="rId717" Type="http://schemas.openxmlformats.org/officeDocument/2006/relationships/hyperlink" Target="http://amazon.com/dp/B00CQ5Z2P0" TargetMode="External"/><Relationship Id="rId712" Type="http://schemas.openxmlformats.org/officeDocument/2006/relationships/hyperlink" Target="http://palletfly.com/product_details.php?vid=15291" TargetMode="External"/><Relationship Id="rId711" Type="http://schemas.openxmlformats.org/officeDocument/2006/relationships/hyperlink" Target="http://amazon.com/dp/B000BKRLMO" TargetMode="External"/><Relationship Id="rId710" Type="http://schemas.openxmlformats.org/officeDocument/2006/relationships/hyperlink" Target="http://palletfly.com/product_details.php?vid=14351" TargetMode="External"/><Relationship Id="rId716" Type="http://schemas.openxmlformats.org/officeDocument/2006/relationships/hyperlink" Target="http://palletfly.com/product_details.php?vid=13911" TargetMode="External"/><Relationship Id="rId715" Type="http://schemas.openxmlformats.org/officeDocument/2006/relationships/hyperlink" Target="http://amazon.com/dp/B00T3ZZQZM" TargetMode="External"/><Relationship Id="rId714" Type="http://schemas.openxmlformats.org/officeDocument/2006/relationships/hyperlink" Target="http://palletfly.com/product_details.php?vid=23765" TargetMode="External"/><Relationship Id="rId713" Type="http://schemas.openxmlformats.org/officeDocument/2006/relationships/hyperlink" Target="http://amazon.com/dp/B004JK7MP8" TargetMode="External"/><Relationship Id="rId59" Type="http://schemas.openxmlformats.org/officeDocument/2006/relationships/hyperlink" Target="http://amazon.com/dp/B01AYZZUDC" TargetMode="External"/><Relationship Id="rId58" Type="http://schemas.openxmlformats.org/officeDocument/2006/relationships/hyperlink" Target="http://palletfly.com/product_details.php?vid=2818" TargetMode="External"/><Relationship Id="rId1780" Type="http://schemas.openxmlformats.org/officeDocument/2006/relationships/hyperlink" Target="http://palletfly.com/product_details.php?vid=18638" TargetMode="External"/><Relationship Id="rId1781" Type="http://schemas.openxmlformats.org/officeDocument/2006/relationships/hyperlink" Target="http://amazon.com/dp/B005PFEOAM" TargetMode="External"/><Relationship Id="rId1782" Type="http://schemas.openxmlformats.org/officeDocument/2006/relationships/hyperlink" Target="http://palletfly.com/product_details.php?vid=21499" TargetMode="External"/><Relationship Id="rId1783" Type="http://schemas.openxmlformats.org/officeDocument/2006/relationships/hyperlink" Target="http://amazon.com/dp/B007Z7OXG8" TargetMode="External"/><Relationship Id="rId1300" Type="http://schemas.openxmlformats.org/officeDocument/2006/relationships/hyperlink" Target="http://palletfly.com/product_details.php?vid=18635" TargetMode="External"/><Relationship Id="rId1784" Type="http://schemas.openxmlformats.org/officeDocument/2006/relationships/hyperlink" Target="http://palletfly.com/product_details.php?vid=6521" TargetMode="External"/><Relationship Id="rId349" Type="http://schemas.openxmlformats.org/officeDocument/2006/relationships/hyperlink" Target="http://amazon.com/dp/B002KUL1LA" TargetMode="External"/><Relationship Id="rId348" Type="http://schemas.openxmlformats.org/officeDocument/2006/relationships/hyperlink" Target="http://palletfly.com/product_details.php?vid=24466" TargetMode="External"/><Relationship Id="rId347" Type="http://schemas.openxmlformats.org/officeDocument/2006/relationships/hyperlink" Target="http://amazon.com/dp/B006NVMSQ4" TargetMode="External"/><Relationship Id="rId346" Type="http://schemas.openxmlformats.org/officeDocument/2006/relationships/hyperlink" Target="http://palletfly.com/product_details.php?vid=18884" TargetMode="External"/><Relationship Id="rId2260" Type="http://schemas.openxmlformats.org/officeDocument/2006/relationships/drawing" Target="../drawings/drawing1.xml"/><Relationship Id="rId341" Type="http://schemas.openxmlformats.org/officeDocument/2006/relationships/hyperlink" Target="http://amazon.com/dp/B084KWJL23" TargetMode="External"/><Relationship Id="rId340" Type="http://schemas.openxmlformats.org/officeDocument/2006/relationships/hyperlink" Target="http://palletfly.com/product_details.php?vid=22952" TargetMode="External"/><Relationship Id="rId345" Type="http://schemas.openxmlformats.org/officeDocument/2006/relationships/hyperlink" Target="http://amazon.com/dp/B07C9235D7" TargetMode="External"/><Relationship Id="rId344" Type="http://schemas.openxmlformats.org/officeDocument/2006/relationships/hyperlink" Target="http://palletfly.com/product_details.php?vid=24016" TargetMode="External"/><Relationship Id="rId343" Type="http://schemas.openxmlformats.org/officeDocument/2006/relationships/hyperlink" Target="http://amazon.com/dp/B001ASMGNU" TargetMode="External"/><Relationship Id="rId342" Type="http://schemas.openxmlformats.org/officeDocument/2006/relationships/hyperlink" Target="http://palletfly.com/product_details.php?vid=19900" TargetMode="External"/><Relationship Id="rId2258" Type="http://schemas.openxmlformats.org/officeDocument/2006/relationships/hyperlink" Target="http://palletfly.com/product_details.php?vid=24414" TargetMode="External"/><Relationship Id="rId2259" Type="http://schemas.openxmlformats.org/officeDocument/2006/relationships/hyperlink" Target="http://palletfly.com/product_details.php?vid=15111" TargetMode="External"/><Relationship Id="rId338" Type="http://schemas.openxmlformats.org/officeDocument/2006/relationships/hyperlink" Target="http://palletfly.com/product_details.php?vid=18616" TargetMode="External"/><Relationship Id="rId337" Type="http://schemas.openxmlformats.org/officeDocument/2006/relationships/hyperlink" Target="http://amazon.com/dp/B001600LVG" TargetMode="External"/><Relationship Id="rId336" Type="http://schemas.openxmlformats.org/officeDocument/2006/relationships/hyperlink" Target="http://palletfly.com/product_details.php?vid=21951" TargetMode="External"/><Relationship Id="rId335" Type="http://schemas.openxmlformats.org/officeDocument/2006/relationships/hyperlink" Target="http://amazon.com/dp/B0044S99X8" TargetMode="External"/><Relationship Id="rId339" Type="http://schemas.openxmlformats.org/officeDocument/2006/relationships/hyperlink" Target="http://amazon.com/dp/B009M27MI0" TargetMode="External"/><Relationship Id="rId330" Type="http://schemas.openxmlformats.org/officeDocument/2006/relationships/hyperlink" Target="http://palletfly.com/product_details.php?vid=14756" TargetMode="External"/><Relationship Id="rId2250" Type="http://schemas.openxmlformats.org/officeDocument/2006/relationships/hyperlink" Target="http://palletfly.com/product_details.php?vid=14323" TargetMode="External"/><Relationship Id="rId2251" Type="http://schemas.openxmlformats.org/officeDocument/2006/relationships/hyperlink" Target="http://palletfly.com/product_details.php?vid=20041" TargetMode="External"/><Relationship Id="rId2252" Type="http://schemas.openxmlformats.org/officeDocument/2006/relationships/hyperlink" Target="http://palletfly.com/product_details.php?vid=20859" TargetMode="External"/><Relationship Id="rId2253" Type="http://schemas.openxmlformats.org/officeDocument/2006/relationships/hyperlink" Target="http://palletfly.com/product_details.php?vid=11937" TargetMode="External"/><Relationship Id="rId334" Type="http://schemas.openxmlformats.org/officeDocument/2006/relationships/hyperlink" Target="http://palletfly.com/product_details.php?vid=20835" TargetMode="External"/><Relationship Id="rId2254" Type="http://schemas.openxmlformats.org/officeDocument/2006/relationships/hyperlink" Target="http://palletfly.com/product_details.php?vid=1079" TargetMode="External"/><Relationship Id="rId333" Type="http://schemas.openxmlformats.org/officeDocument/2006/relationships/hyperlink" Target="http://amazon.com/dp/B00NQGPPW8" TargetMode="External"/><Relationship Id="rId2255" Type="http://schemas.openxmlformats.org/officeDocument/2006/relationships/hyperlink" Target="http://palletfly.com/product_details.php?vid=6654" TargetMode="External"/><Relationship Id="rId332" Type="http://schemas.openxmlformats.org/officeDocument/2006/relationships/hyperlink" Target="http://palletfly.com/product_details.php?vid=23128" TargetMode="External"/><Relationship Id="rId2256" Type="http://schemas.openxmlformats.org/officeDocument/2006/relationships/hyperlink" Target="http://palletfly.com/product_details.php?vid=21242" TargetMode="External"/><Relationship Id="rId331" Type="http://schemas.openxmlformats.org/officeDocument/2006/relationships/hyperlink" Target="http://amazon.com/dp/B07XYQV9S3" TargetMode="External"/><Relationship Id="rId2257" Type="http://schemas.openxmlformats.org/officeDocument/2006/relationships/hyperlink" Target="http://palletfly.com/product_details.php?vid=22301" TargetMode="External"/><Relationship Id="rId370" Type="http://schemas.openxmlformats.org/officeDocument/2006/relationships/hyperlink" Target="http://palletfly.com/product_details.php?vid=24851" TargetMode="External"/><Relationship Id="rId369" Type="http://schemas.openxmlformats.org/officeDocument/2006/relationships/hyperlink" Target="http://amazon.com/dp/B00290FKBI" TargetMode="External"/><Relationship Id="rId368" Type="http://schemas.openxmlformats.org/officeDocument/2006/relationships/hyperlink" Target="http://palletfly.com/product_details.php?vid=22934" TargetMode="External"/><Relationship Id="rId363" Type="http://schemas.openxmlformats.org/officeDocument/2006/relationships/hyperlink" Target="http://amazon.com/dp/B0000CFM7I" TargetMode="External"/><Relationship Id="rId362" Type="http://schemas.openxmlformats.org/officeDocument/2006/relationships/hyperlink" Target="http://palletfly.com/product_details.php?vid=10967" TargetMode="External"/><Relationship Id="rId361" Type="http://schemas.openxmlformats.org/officeDocument/2006/relationships/hyperlink" Target="http://amazon.com/dp/B01N5FZT14" TargetMode="External"/><Relationship Id="rId360" Type="http://schemas.openxmlformats.org/officeDocument/2006/relationships/hyperlink" Target="http://palletfly.com/product_details.php?vid=8606" TargetMode="External"/><Relationship Id="rId367" Type="http://schemas.openxmlformats.org/officeDocument/2006/relationships/hyperlink" Target="http://amazon.com/dp/B07L9CY75M" TargetMode="External"/><Relationship Id="rId366" Type="http://schemas.openxmlformats.org/officeDocument/2006/relationships/hyperlink" Target="http://palletfly.com/product_details.php?vid=8413" TargetMode="External"/><Relationship Id="rId365" Type="http://schemas.openxmlformats.org/officeDocument/2006/relationships/hyperlink" Target="http://amazon.com/dp/B001BKK3LO" TargetMode="External"/><Relationship Id="rId364" Type="http://schemas.openxmlformats.org/officeDocument/2006/relationships/hyperlink" Target="http://palletfly.com/product_details.php?vid=14905" TargetMode="External"/><Relationship Id="rId95" Type="http://schemas.openxmlformats.org/officeDocument/2006/relationships/hyperlink" Target="http://amazon.com/dp/B00BNAPBFU" TargetMode="External"/><Relationship Id="rId94" Type="http://schemas.openxmlformats.org/officeDocument/2006/relationships/hyperlink" Target="http://palletfly.com/product_details.php?vid=22510" TargetMode="External"/><Relationship Id="rId97" Type="http://schemas.openxmlformats.org/officeDocument/2006/relationships/hyperlink" Target="http://amazon.com/dp/B0002GPWB4" TargetMode="External"/><Relationship Id="rId96" Type="http://schemas.openxmlformats.org/officeDocument/2006/relationships/hyperlink" Target="http://palletfly.com/product_details.php?vid=8142" TargetMode="External"/><Relationship Id="rId99" Type="http://schemas.openxmlformats.org/officeDocument/2006/relationships/hyperlink" Target="http://amazon.com/dp/B08563VH37" TargetMode="External"/><Relationship Id="rId98" Type="http://schemas.openxmlformats.org/officeDocument/2006/relationships/hyperlink" Target="http://palletfly.com/product_details.php?vid=23512" TargetMode="External"/><Relationship Id="rId91" Type="http://schemas.openxmlformats.org/officeDocument/2006/relationships/hyperlink" Target="http://amazon.com/dp/B001CFQUGA" TargetMode="External"/><Relationship Id="rId90" Type="http://schemas.openxmlformats.org/officeDocument/2006/relationships/hyperlink" Target="http://palletfly.com/product_details.php?vid=6768" TargetMode="External"/><Relationship Id="rId93" Type="http://schemas.openxmlformats.org/officeDocument/2006/relationships/hyperlink" Target="http://amazon.com/dp/B06Y19LMJH" TargetMode="External"/><Relationship Id="rId92" Type="http://schemas.openxmlformats.org/officeDocument/2006/relationships/hyperlink" Target="http://palletfly.com/product_details.php?vid=22367" TargetMode="External"/><Relationship Id="rId359" Type="http://schemas.openxmlformats.org/officeDocument/2006/relationships/hyperlink" Target="http://amazon.com/dp/B086MNTYK7" TargetMode="External"/><Relationship Id="rId358" Type="http://schemas.openxmlformats.org/officeDocument/2006/relationships/hyperlink" Target="http://palletfly.com/product_details.php?vid=23716" TargetMode="External"/><Relationship Id="rId357" Type="http://schemas.openxmlformats.org/officeDocument/2006/relationships/hyperlink" Target="http://amazon.com/dp/B089T7BF64" TargetMode="External"/><Relationship Id="rId352" Type="http://schemas.openxmlformats.org/officeDocument/2006/relationships/hyperlink" Target="http://palletfly.com/product_details.php?vid=19474" TargetMode="External"/><Relationship Id="rId351" Type="http://schemas.openxmlformats.org/officeDocument/2006/relationships/hyperlink" Target="http://amazon.com/dp/B0050A678E" TargetMode="External"/><Relationship Id="rId350" Type="http://schemas.openxmlformats.org/officeDocument/2006/relationships/hyperlink" Target="http://palletfly.com/product_details.php?vid=15967" TargetMode="External"/><Relationship Id="rId356" Type="http://schemas.openxmlformats.org/officeDocument/2006/relationships/hyperlink" Target="http://palletfly.com/product_details.php?vid=18226" TargetMode="External"/><Relationship Id="rId355" Type="http://schemas.openxmlformats.org/officeDocument/2006/relationships/hyperlink" Target="http://amazon.com/dp/B07FSZD6TQ" TargetMode="External"/><Relationship Id="rId354" Type="http://schemas.openxmlformats.org/officeDocument/2006/relationships/hyperlink" Target="http://palletfly.com/product_details.php?vid=20629" TargetMode="External"/><Relationship Id="rId353" Type="http://schemas.openxmlformats.org/officeDocument/2006/relationships/hyperlink" Target="http://amazon.com/dp/B074V13V36" TargetMode="External"/><Relationship Id="rId1378" Type="http://schemas.openxmlformats.org/officeDocument/2006/relationships/hyperlink" Target="http://palletfly.com/product_details.php?vid=10670" TargetMode="External"/><Relationship Id="rId2225" Type="http://schemas.openxmlformats.org/officeDocument/2006/relationships/hyperlink" Target="http://palletfly.com/product_details.php?vid=21355" TargetMode="External"/><Relationship Id="rId1379" Type="http://schemas.openxmlformats.org/officeDocument/2006/relationships/hyperlink" Target="http://amazon.com/dp/B00IX1XD52" TargetMode="External"/><Relationship Id="rId2226" Type="http://schemas.openxmlformats.org/officeDocument/2006/relationships/hyperlink" Target="http://palletfly.com/product_details.php?vid=18942" TargetMode="External"/><Relationship Id="rId2227" Type="http://schemas.openxmlformats.org/officeDocument/2006/relationships/hyperlink" Target="http://palletfly.com/product_details.php?vid=14789" TargetMode="External"/><Relationship Id="rId2228" Type="http://schemas.openxmlformats.org/officeDocument/2006/relationships/hyperlink" Target="http://palletfly.com/product_details.php?vid=21348" TargetMode="External"/><Relationship Id="rId2229" Type="http://schemas.openxmlformats.org/officeDocument/2006/relationships/hyperlink" Target="http://palletfly.com/product_details.php?vid=21356" TargetMode="External"/><Relationship Id="rId305" Type="http://schemas.openxmlformats.org/officeDocument/2006/relationships/hyperlink" Target="http://amazon.com/dp/B00000DMBF" TargetMode="External"/><Relationship Id="rId789" Type="http://schemas.openxmlformats.org/officeDocument/2006/relationships/hyperlink" Target="http://amazon.com/dp/B06WWGWQFD" TargetMode="External"/><Relationship Id="rId304" Type="http://schemas.openxmlformats.org/officeDocument/2006/relationships/hyperlink" Target="http://palletfly.com/product_details.php?vid=6170" TargetMode="External"/><Relationship Id="rId788" Type="http://schemas.openxmlformats.org/officeDocument/2006/relationships/hyperlink" Target="http://palletfly.com/product_details.php?vid=18201" TargetMode="External"/><Relationship Id="rId303" Type="http://schemas.openxmlformats.org/officeDocument/2006/relationships/hyperlink" Target="http://amazon.com/dp/B003OBZG8I" TargetMode="External"/><Relationship Id="rId787" Type="http://schemas.openxmlformats.org/officeDocument/2006/relationships/hyperlink" Target="http://amazon.com/dp/B0797MR2G6" TargetMode="External"/><Relationship Id="rId302" Type="http://schemas.openxmlformats.org/officeDocument/2006/relationships/hyperlink" Target="http://palletfly.com/product_details.php?vid=23172" TargetMode="External"/><Relationship Id="rId786" Type="http://schemas.openxmlformats.org/officeDocument/2006/relationships/hyperlink" Target="http://palletfly.com/product_details.php?vid=16662" TargetMode="External"/><Relationship Id="rId309" Type="http://schemas.openxmlformats.org/officeDocument/2006/relationships/hyperlink" Target="http://amazon.com/dp/B000C1VZMY" TargetMode="External"/><Relationship Id="rId308" Type="http://schemas.openxmlformats.org/officeDocument/2006/relationships/hyperlink" Target="http://palletfly.com/product_details.php?vid=16975" TargetMode="External"/><Relationship Id="rId307" Type="http://schemas.openxmlformats.org/officeDocument/2006/relationships/hyperlink" Target="http://amazon.com/dp/B074JLYYHJ" TargetMode="External"/><Relationship Id="rId306" Type="http://schemas.openxmlformats.org/officeDocument/2006/relationships/hyperlink" Target="http://palletfly.com/product_details.php?vid=22577" TargetMode="External"/><Relationship Id="rId781" Type="http://schemas.openxmlformats.org/officeDocument/2006/relationships/hyperlink" Target="http://amazon.com/dp/B01NAZ11HC" TargetMode="External"/><Relationship Id="rId1370" Type="http://schemas.openxmlformats.org/officeDocument/2006/relationships/hyperlink" Target="http://palletfly.com/product_details.php?vid=11723" TargetMode="External"/><Relationship Id="rId780" Type="http://schemas.openxmlformats.org/officeDocument/2006/relationships/hyperlink" Target="http://palletfly.com/product_details.php?vid=22779" TargetMode="External"/><Relationship Id="rId1371" Type="http://schemas.openxmlformats.org/officeDocument/2006/relationships/hyperlink" Target="http://amazon.com/dp/B0006YY9FM" TargetMode="External"/><Relationship Id="rId1372" Type="http://schemas.openxmlformats.org/officeDocument/2006/relationships/hyperlink" Target="http://palletfly.com/product_details.php?vid=24013" TargetMode="External"/><Relationship Id="rId1373" Type="http://schemas.openxmlformats.org/officeDocument/2006/relationships/hyperlink" Target="http://amazon.com/dp/B009XO3WG8" TargetMode="External"/><Relationship Id="rId2220" Type="http://schemas.openxmlformats.org/officeDocument/2006/relationships/hyperlink" Target="http://palletfly.com/product_details.php?vid=13311" TargetMode="External"/><Relationship Id="rId301" Type="http://schemas.openxmlformats.org/officeDocument/2006/relationships/hyperlink" Target="http://amazon.com/dp/B00IKQ1MQC" TargetMode="External"/><Relationship Id="rId785" Type="http://schemas.openxmlformats.org/officeDocument/2006/relationships/hyperlink" Target="http://amazon.com/dp/B07SR29FHB" TargetMode="External"/><Relationship Id="rId1374" Type="http://schemas.openxmlformats.org/officeDocument/2006/relationships/hyperlink" Target="http://palletfly.com/product_details.php?vid=4819" TargetMode="External"/><Relationship Id="rId2221" Type="http://schemas.openxmlformats.org/officeDocument/2006/relationships/hyperlink" Target="http://palletfly.com/product_details.php?vid=15970" TargetMode="External"/><Relationship Id="rId300" Type="http://schemas.openxmlformats.org/officeDocument/2006/relationships/hyperlink" Target="http://palletfly.com/product_details.php?vid=20812" TargetMode="External"/><Relationship Id="rId784" Type="http://schemas.openxmlformats.org/officeDocument/2006/relationships/hyperlink" Target="http://palletfly.com/product_details.php?vid=20361" TargetMode="External"/><Relationship Id="rId1375" Type="http://schemas.openxmlformats.org/officeDocument/2006/relationships/hyperlink" Target="http://amazon.com/dp/B06Y18QJ27" TargetMode="External"/><Relationship Id="rId2222" Type="http://schemas.openxmlformats.org/officeDocument/2006/relationships/hyperlink" Target="http://palletfly.com/product_details.php?vid=15991" TargetMode="External"/><Relationship Id="rId783" Type="http://schemas.openxmlformats.org/officeDocument/2006/relationships/hyperlink" Target="http://amazon.com/dp/B077Y86FJP" TargetMode="External"/><Relationship Id="rId1376" Type="http://schemas.openxmlformats.org/officeDocument/2006/relationships/hyperlink" Target="http://palletfly.com/product_details.php?vid=22953" TargetMode="External"/><Relationship Id="rId2223" Type="http://schemas.openxmlformats.org/officeDocument/2006/relationships/hyperlink" Target="http://palletfly.com/product_details.php?vid=17410" TargetMode="External"/><Relationship Id="rId782" Type="http://schemas.openxmlformats.org/officeDocument/2006/relationships/hyperlink" Target="http://palletfly.com/product_details.php?vid=17001" TargetMode="External"/><Relationship Id="rId1377" Type="http://schemas.openxmlformats.org/officeDocument/2006/relationships/hyperlink" Target="http://amazon.com/dp/B00290FJ9Q" TargetMode="External"/><Relationship Id="rId2224" Type="http://schemas.openxmlformats.org/officeDocument/2006/relationships/hyperlink" Target="http://palletfly.com/product_details.php?vid=21226" TargetMode="External"/><Relationship Id="rId1367" Type="http://schemas.openxmlformats.org/officeDocument/2006/relationships/hyperlink" Target="http://amazon.com/dp/B003BOUY6M" TargetMode="External"/><Relationship Id="rId2214" Type="http://schemas.openxmlformats.org/officeDocument/2006/relationships/hyperlink" Target="http://palletfly.com/product_details.php?vid=11717" TargetMode="External"/><Relationship Id="rId1368" Type="http://schemas.openxmlformats.org/officeDocument/2006/relationships/hyperlink" Target="http://palletfly.com/product_details.php?vid=22170" TargetMode="External"/><Relationship Id="rId2215" Type="http://schemas.openxmlformats.org/officeDocument/2006/relationships/hyperlink" Target="http://palletfly.com/product_details.php?vid=24430" TargetMode="External"/><Relationship Id="rId1369" Type="http://schemas.openxmlformats.org/officeDocument/2006/relationships/hyperlink" Target="http://amazon.com/dp/B07F66PNVN" TargetMode="External"/><Relationship Id="rId2216" Type="http://schemas.openxmlformats.org/officeDocument/2006/relationships/hyperlink" Target="http://palletfly.com/product_details.php?vid=24440" TargetMode="External"/><Relationship Id="rId2217" Type="http://schemas.openxmlformats.org/officeDocument/2006/relationships/hyperlink" Target="http://palletfly.com/product_details.php?vid=3610" TargetMode="External"/><Relationship Id="rId2218" Type="http://schemas.openxmlformats.org/officeDocument/2006/relationships/hyperlink" Target="http://palletfly.com/product_details.php?vid=5231" TargetMode="External"/><Relationship Id="rId2219" Type="http://schemas.openxmlformats.org/officeDocument/2006/relationships/hyperlink" Target="http://palletfly.com/product_details.php?vid=13090" TargetMode="External"/><Relationship Id="rId778" Type="http://schemas.openxmlformats.org/officeDocument/2006/relationships/hyperlink" Target="http://palletfly.com/product_details.php?vid=15963" TargetMode="External"/><Relationship Id="rId777" Type="http://schemas.openxmlformats.org/officeDocument/2006/relationships/hyperlink" Target="http://amazon.com/dp/B00RLDI0DS" TargetMode="External"/><Relationship Id="rId776" Type="http://schemas.openxmlformats.org/officeDocument/2006/relationships/hyperlink" Target="http://palletfly.com/product_details.php?vid=13083" TargetMode="External"/><Relationship Id="rId775" Type="http://schemas.openxmlformats.org/officeDocument/2006/relationships/hyperlink" Target="http://amazon.com/dp/B002Z7FU9C" TargetMode="External"/><Relationship Id="rId779" Type="http://schemas.openxmlformats.org/officeDocument/2006/relationships/hyperlink" Target="http://amazon.com/dp/B0050A69LY" TargetMode="External"/><Relationship Id="rId770" Type="http://schemas.openxmlformats.org/officeDocument/2006/relationships/hyperlink" Target="http://palletfly.com/product_details.php?vid=20711" TargetMode="External"/><Relationship Id="rId1360" Type="http://schemas.openxmlformats.org/officeDocument/2006/relationships/hyperlink" Target="http://palletfly.com/product_details.php?vid=18553" TargetMode="External"/><Relationship Id="rId1361" Type="http://schemas.openxmlformats.org/officeDocument/2006/relationships/hyperlink" Target="http://amazon.com/dp/B00INWYERW" TargetMode="External"/><Relationship Id="rId1362" Type="http://schemas.openxmlformats.org/officeDocument/2006/relationships/hyperlink" Target="http://palletfly.com/product_details.php?vid=19886" TargetMode="External"/><Relationship Id="rId774" Type="http://schemas.openxmlformats.org/officeDocument/2006/relationships/hyperlink" Target="http://palletfly.com/product_details.php?vid=11532" TargetMode="External"/><Relationship Id="rId1363" Type="http://schemas.openxmlformats.org/officeDocument/2006/relationships/hyperlink" Target="http://amazon.com/dp/B0008GQ0PA" TargetMode="External"/><Relationship Id="rId2210" Type="http://schemas.openxmlformats.org/officeDocument/2006/relationships/hyperlink" Target="http://palletfly.com/product_details.php?vid=1922" TargetMode="External"/><Relationship Id="rId773" Type="http://schemas.openxmlformats.org/officeDocument/2006/relationships/hyperlink" Target="http://amazon.com/dp/B001M4SDES" TargetMode="External"/><Relationship Id="rId1364" Type="http://schemas.openxmlformats.org/officeDocument/2006/relationships/hyperlink" Target="http://palletfly.com/product_details.php?vid=21341" TargetMode="External"/><Relationship Id="rId2211" Type="http://schemas.openxmlformats.org/officeDocument/2006/relationships/hyperlink" Target="http://palletfly.com/product_details.php?vid=21240" TargetMode="External"/><Relationship Id="rId772" Type="http://schemas.openxmlformats.org/officeDocument/2006/relationships/hyperlink" Target="http://palletfly.com/product_details.php?vid=21904" TargetMode="External"/><Relationship Id="rId1365" Type="http://schemas.openxmlformats.org/officeDocument/2006/relationships/hyperlink" Target="http://amazon.com/dp/B000086122" TargetMode="External"/><Relationship Id="rId2212" Type="http://schemas.openxmlformats.org/officeDocument/2006/relationships/hyperlink" Target="http://palletfly.com/product_details.php?vid=21493" TargetMode="External"/><Relationship Id="rId771" Type="http://schemas.openxmlformats.org/officeDocument/2006/relationships/hyperlink" Target="http://amazon.com/dp/B00AU1JM3K" TargetMode="External"/><Relationship Id="rId1366" Type="http://schemas.openxmlformats.org/officeDocument/2006/relationships/hyperlink" Target="http://palletfly.com/product_details.php?vid=21910" TargetMode="External"/><Relationship Id="rId2213" Type="http://schemas.openxmlformats.org/officeDocument/2006/relationships/hyperlink" Target="http://palletfly.com/product_details.php?vid=21917" TargetMode="External"/><Relationship Id="rId2247" Type="http://schemas.openxmlformats.org/officeDocument/2006/relationships/hyperlink" Target="http://palletfly.com/product_details.php?vid=9522" TargetMode="External"/><Relationship Id="rId2248" Type="http://schemas.openxmlformats.org/officeDocument/2006/relationships/hyperlink" Target="http://palletfly.com/product_details.php?vid=21491" TargetMode="External"/><Relationship Id="rId2249" Type="http://schemas.openxmlformats.org/officeDocument/2006/relationships/hyperlink" Target="http://palletfly.com/product_details.php?vid=22011" TargetMode="External"/><Relationship Id="rId327" Type="http://schemas.openxmlformats.org/officeDocument/2006/relationships/hyperlink" Target="http://amazon.com/dp/B00F8LPPA6" TargetMode="External"/><Relationship Id="rId326" Type="http://schemas.openxmlformats.org/officeDocument/2006/relationships/hyperlink" Target="http://palletfly.com/product_details.php?vid=24965" TargetMode="External"/><Relationship Id="rId325" Type="http://schemas.openxmlformats.org/officeDocument/2006/relationships/hyperlink" Target="http://amazon.com/dp/B003U6KUUQ" TargetMode="External"/><Relationship Id="rId324" Type="http://schemas.openxmlformats.org/officeDocument/2006/relationships/hyperlink" Target="http://palletfly.com/product_details.php?vid=15971" TargetMode="External"/><Relationship Id="rId329" Type="http://schemas.openxmlformats.org/officeDocument/2006/relationships/hyperlink" Target="http://amazon.com/dp/B07F2LXLQ7" TargetMode="External"/><Relationship Id="rId1390" Type="http://schemas.openxmlformats.org/officeDocument/2006/relationships/hyperlink" Target="http://palletfly.com/product_details.php?vid=6911" TargetMode="External"/><Relationship Id="rId328" Type="http://schemas.openxmlformats.org/officeDocument/2006/relationships/hyperlink" Target="http://palletfly.com/product_details.php?vid=19973" TargetMode="External"/><Relationship Id="rId1391" Type="http://schemas.openxmlformats.org/officeDocument/2006/relationships/hyperlink" Target="http://amazon.com/dp/B0044FSS8I" TargetMode="External"/><Relationship Id="rId1392" Type="http://schemas.openxmlformats.org/officeDocument/2006/relationships/hyperlink" Target="http://palletfly.com/product_details.php?vid=8790" TargetMode="External"/><Relationship Id="rId1393" Type="http://schemas.openxmlformats.org/officeDocument/2006/relationships/hyperlink" Target="http://amazon.com/dp/B00FLLFJOU" TargetMode="External"/><Relationship Id="rId2240" Type="http://schemas.openxmlformats.org/officeDocument/2006/relationships/hyperlink" Target="http://palletfly.com/product_details.php?vid=15982" TargetMode="External"/><Relationship Id="rId1394" Type="http://schemas.openxmlformats.org/officeDocument/2006/relationships/hyperlink" Target="http://palletfly.com/product_details.php?vid=18664" TargetMode="External"/><Relationship Id="rId2241" Type="http://schemas.openxmlformats.org/officeDocument/2006/relationships/hyperlink" Target="http://palletfly.com/product_details.php?vid=16730" TargetMode="External"/><Relationship Id="rId1395" Type="http://schemas.openxmlformats.org/officeDocument/2006/relationships/hyperlink" Target="http://amazon.com/dp/B004FLKP5K" TargetMode="External"/><Relationship Id="rId2242" Type="http://schemas.openxmlformats.org/officeDocument/2006/relationships/hyperlink" Target="http://palletfly.com/product_details.php?vid=18650" TargetMode="External"/><Relationship Id="rId323" Type="http://schemas.openxmlformats.org/officeDocument/2006/relationships/hyperlink" Target="http://amazon.com/dp/B00NG0IEXG" TargetMode="External"/><Relationship Id="rId1396" Type="http://schemas.openxmlformats.org/officeDocument/2006/relationships/hyperlink" Target="http://palletfly.com/product_details.php?vid=22137" TargetMode="External"/><Relationship Id="rId2243" Type="http://schemas.openxmlformats.org/officeDocument/2006/relationships/hyperlink" Target="http://palletfly.com/product_details.php?vid=20039" TargetMode="External"/><Relationship Id="rId322" Type="http://schemas.openxmlformats.org/officeDocument/2006/relationships/hyperlink" Target="http://palletfly.com/product_details.php?vid=21966" TargetMode="External"/><Relationship Id="rId1397" Type="http://schemas.openxmlformats.org/officeDocument/2006/relationships/hyperlink" Target="http://amazon.com/dp/B08Z5HNJ3Y" TargetMode="External"/><Relationship Id="rId2244" Type="http://schemas.openxmlformats.org/officeDocument/2006/relationships/hyperlink" Target="http://palletfly.com/product_details.php?vid=22054" TargetMode="External"/><Relationship Id="rId321" Type="http://schemas.openxmlformats.org/officeDocument/2006/relationships/hyperlink" Target="http://amazon.com/dp/B0006HXDNI" TargetMode="External"/><Relationship Id="rId1398" Type="http://schemas.openxmlformats.org/officeDocument/2006/relationships/hyperlink" Target="http://palletfly.com/product_details.php?vid=23675" TargetMode="External"/><Relationship Id="rId2245" Type="http://schemas.openxmlformats.org/officeDocument/2006/relationships/hyperlink" Target="http://palletfly.com/product_details.php?vid=22481" TargetMode="External"/><Relationship Id="rId320" Type="http://schemas.openxmlformats.org/officeDocument/2006/relationships/hyperlink" Target="http://palletfly.com/product_details.php?vid=17366" TargetMode="External"/><Relationship Id="rId1399" Type="http://schemas.openxmlformats.org/officeDocument/2006/relationships/hyperlink" Target="http://amazon.com/dp/B002GKC2GW" TargetMode="External"/><Relationship Id="rId2246" Type="http://schemas.openxmlformats.org/officeDocument/2006/relationships/hyperlink" Target="http://palletfly.com/product_details.php?vid=23037" TargetMode="External"/><Relationship Id="rId1389" Type="http://schemas.openxmlformats.org/officeDocument/2006/relationships/hyperlink" Target="http://amazon.com/dp/B00B4GO3VQ" TargetMode="External"/><Relationship Id="rId2236" Type="http://schemas.openxmlformats.org/officeDocument/2006/relationships/hyperlink" Target="http://palletfly.com/product_details.php?vid=8206" TargetMode="External"/><Relationship Id="rId2237" Type="http://schemas.openxmlformats.org/officeDocument/2006/relationships/hyperlink" Target="http://palletfly.com/product_details.php?vid=22955" TargetMode="External"/><Relationship Id="rId2238" Type="http://schemas.openxmlformats.org/officeDocument/2006/relationships/hyperlink" Target="http://palletfly.com/product_details.php?vid=24025" TargetMode="External"/><Relationship Id="rId2239" Type="http://schemas.openxmlformats.org/officeDocument/2006/relationships/hyperlink" Target="http://palletfly.com/product_details.php?vid=10548" TargetMode="External"/><Relationship Id="rId316" Type="http://schemas.openxmlformats.org/officeDocument/2006/relationships/hyperlink" Target="http://palletfly.com/product_details.php?vid=9848" TargetMode="External"/><Relationship Id="rId315" Type="http://schemas.openxmlformats.org/officeDocument/2006/relationships/hyperlink" Target="http://amazon.com/dp/B0044SB59O" TargetMode="External"/><Relationship Id="rId799" Type="http://schemas.openxmlformats.org/officeDocument/2006/relationships/hyperlink" Target="http://amazon.com/dp/B000P2796G" TargetMode="External"/><Relationship Id="rId314" Type="http://schemas.openxmlformats.org/officeDocument/2006/relationships/hyperlink" Target="http://palletfly.com/product_details.php?vid=20837" TargetMode="External"/><Relationship Id="rId798" Type="http://schemas.openxmlformats.org/officeDocument/2006/relationships/hyperlink" Target="http://palletfly.com/product_details.php?vid=14737" TargetMode="External"/><Relationship Id="rId313" Type="http://schemas.openxmlformats.org/officeDocument/2006/relationships/hyperlink" Target="http://amazon.com/dp/B000V9G720" TargetMode="External"/><Relationship Id="rId797" Type="http://schemas.openxmlformats.org/officeDocument/2006/relationships/hyperlink" Target="http://amazon.com/dp/B00007LB2K" TargetMode="External"/><Relationship Id="rId319" Type="http://schemas.openxmlformats.org/officeDocument/2006/relationships/hyperlink" Target="http://amazon.com/dp/B07G1YNC22" TargetMode="External"/><Relationship Id="rId318" Type="http://schemas.openxmlformats.org/officeDocument/2006/relationships/hyperlink" Target="http://palletfly.com/product_details.php?vid=17008" TargetMode="External"/><Relationship Id="rId317" Type="http://schemas.openxmlformats.org/officeDocument/2006/relationships/hyperlink" Target="http://amazon.com/dp/B07Z6HRYM1" TargetMode="External"/><Relationship Id="rId1380" Type="http://schemas.openxmlformats.org/officeDocument/2006/relationships/hyperlink" Target="http://palletfly.com/product_details.php?vid=16981" TargetMode="External"/><Relationship Id="rId792" Type="http://schemas.openxmlformats.org/officeDocument/2006/relationships/hyperlink" Target="http://palletfly.com/product_details.php?vid=21414" TargetMode="External"/><Relationship Id="rId1381" Type="http://schemas.openxmlformats.org/officeDocument/2006/relationships/hyperlink" Target="http://amazon.com/dp/B0050ZIHL4" TargetMode="External"/><Relationship Id="rId791" Type="http://schemas.openxmlformats.org/officeDocument/2006/relationships/hyperlink" Target="http://amazon.com/dp/B01I4RM12A" TargetMode="External"/><Relationship Id="rId1382" Type="http://schemas.openxmlformats.org/officeDocument/2006/relationships/hyperlink" Target="http://palletfly.com/product_details.php?vid=18649" TargetMode="External"/><Relationship Id="rId790" Type="http://schemas.openxmlformats.org/officeDocument/2006/relationships/hyperlink" Target="http://palletfly.com/product_details.php?vid=18950" TargetMode="External"/><Relationship Id="rId1383" Type="http://schemas.openxmlformats.org/officeDocument/2006/relationships/hyperlink" Target="http://amazon.com/dp/B07RBTZSN6" TargetMode="External"/><Relationship Id="rId2230" Type="http://schemas.openxmlformats.org/officeDocument/2006/relationships/hyperlink" Target="http://palletfly.com/product_details.php?vid=16537" TargetMode="External"/><Relationship Id="rId1384" Type="http://schemas.openxmlformats.org/officeDocument/2006/relationships/hyperlink" Target="http://palletfly.com/product_details.php?vid=21412" TargetMode="External"/><Relationship Id="rId2231" Type="http://schemas.openxmlformats.org/officeDocument/2006/relationships/hyperlink" Target="http://palletfly.com/product_details.php?vid=23515" TargetMode="External"/><Relationship Id="rId312" Type="http://schemas.openxmlformats.org/officeDocument/2006/relationships/hyperlink" Target="http://palletfly.com/product_details.php?vid=24832" TargetMode="External"/><Relationship Id="rId796" Type="http://schemas.openxmlformats.org/officeDocument/2006/relationships/hyperlink" Target="http://palletfly.com/product_details.php?vid=21669" TargetMode="External"/><Relationship Id="rId1385" Type="http://schemas.openxmlformats.org/officeDocument/2006/relationships/hyperlink" Target="http://amazon.com/dp/B000KNJUOO" TargetMode="External"/><Relationship Id="rId2232" Type="http://schemas.openxmlformats.org/officeDocument/2006/relationships/hyperlink" Target="http://palletfly.com/product_details.php?vid=3453" TargetMode="External"/><Relationship Id="rId311" Type="http://schemas.openxmlformats.org/officeDocument/2006/relationships/hyperlink" Target="http://amazon.com/dp/B016PE57PW" TargetMode="External"/><Relationship Id="rId795" Type="http://schemas.openxmlformats.org/officeDocument/2006/relationships/hyperlink" Target="http://amazon.com/dp/B00359LMVE" TargetMode="External"/><Relationship Id="rId1386" Type="http://schemas.openxmlformats.org/officeDocument/2006/relationships/hyperlink" Target="http://palletfly.com/product_details.php?vid=23284" TargetMode="External"/><Relationship Id="rId2233" Type="http://schemas.openxmlformats.org/officeDocument/2006/relationships/hyperlink" Target="http://palletfly.com/product_details.php?vid=24916" TargetMode="External"/><Relationship Id="rId310" Type="http://schemas.openxmlformats.org/officeDocument/2006/relationships/hyperlink" Target="http://palletfly.com/product_details.php?vid=18563" TargetMode="External"/><Relationship Id="rId794" Type="http://schemas.openxmlformats.org/officeDocument/2006/relationships/hyperlink" Target="http://palletfly.com/product_details.php?vid=22974" TargetMode="External"/><Relationship Id="rId1387" Type="http://schemas.openxmlformats.org/officeDocument/2006/relationships/hyperlink" Target="http://amazon.com/dp/B002C47XMU" TargetMode="External"/><Relationship Id="rId2234" Type="http://schemas.openxmlformats.org/officeDocument/2006/relationships/hyperlink" Target="http://palletfly.com/product_details.php?vid=29572" TargetMode="External"/><Relationship Id="rId793" Type="http://schemas.openxmlformats.org/officeDocument/2006/relationships/hyperlink" Target="http://amazon.com/dp/B000KNLUYW" TargetMode="External"/><Relationship Id="rId1388" Type="http://schemas.openxmlformats.org/officeDocument/2006/relationships/hyperlink" Target="http://palletfly.com/product_details.php?vid=17313" TargetMode="External"/><Relationship Id="rId2235" Type="http://schemas.openxmlformats.org/officeDocument/2006/relationships/hyperlink" Target="http://palletfly.com/product_details.php?vid=15922" TargetMode="External"/><Relationship Id="rId297" Type="http://schemas.openxmlformats.org/officeDocument/2006/relationships/hyperlink" Target="http://amazon.com/dp/B001IWMP1G" TargetMode="External"/><Relationship Id="rId296" Type="http://schemas.openxmlformats.org/officeDocument/2006/relationships/hyperlink" Target="http://palletfly.com/product_details.php?vid=4421" TargetMode="External"/><Relationship Id="rId295" Type="http://schemas.openxmlformats.org/officeDocument/2006/relationships/hyperlink" Target="http://amazon.com/dp/B0040T6TUM" TargetMode="External"/><Relationship Id="rId294" Type="http://schemas.openxmlformats.org/officeDocument/2006/relationships/hyperlink" Target="http://palletfly.com/product_details.php?vid=12993" TargetMode="External"/><Relationship Id="rId299" Type="http://schemas.openxmlformats.org/officeDocument/2006/relationships/hyperlink" Target="http://amazon.com/dp/B0020MMCJI" TargetMode="External"/><Relationship Id="rId298" Type="http://schemas.openxmlformats.org/officeDocument/2006/relationships/hyperlink" Target="http://palletfly.com/product_details.php?vid=10734" TargetMode="External"/><Relationship Id="rId271" Type="http://schemas.openxmlformats.org/officeDocument/2006/relationships/hyperlink" Target="http://amazon.com/dp/B089QTHF38" TargetMode="External"/><Relationship Id="rId270" Type="http://schemas.openxmlformats.org/officeDocument/2006/relationships/hyperlink" Target="http://palletfly.com/product_details.php?vid=19082" TargetMode="External"/><Relationship Id="rId269" Type="http://schemas.openxmlformats.org/officeDocument/2006/relationships/hyperlink" Target="http://amazon.com/dp/B07F2S3S7R" TargetMode="External"/><Relationship Id="rId264" Type="http://schemas.openxmlformats.org/officeDocument/2006/relationships/hyperlink" Target="http://palletfly.com/product_details.php?vid=21679" TargetMode="External"/><Relationship Id="rId263" Type="http://schemas.openxmlformats.org/officeDocument/2006/relationships/hyperlink" Target="http://amazon.com/dp/B00PG09LGI" TargetMode="External"/><Relationship Id="rId262" Type="http://schemas.openxmlformats.org/officeDocument/2006/relationships/hyperlink" Target="http://palletfly.com/product_details.php?vid=17164" TargetMode="External"/><Relationship Id="rId261" Type="http://schemas.openxmlformats.org/officeDocument/2006/relationships/hyperlink" Target="http://amazon.com/dp/B00FACLIOA" TargetMode="External"/><Relationship Id="rId268" Type="http://schemas.openxmlformats.org/officeDocument/2006/relationships/hyperlink" Target="http://palletfly.com/product_details.php?vid=19976" TargetMode="External"/><Relationship Id="rId267" Type="http://schemas.openxmlformats.org/officeDocument/2006/relationships/hyperlink" Target="http://amazon.com/dp/B000OR1ZY4" TargetMode="External"/><Relationship Id="rId266" Type="http://schemas.openxmlformats.org/officeDocument/2006/relationships/hyperlink" Target="http://palletfly.com/product_details.php?vid=11754" TargetMode="External"/><Relationship Id="rId265" Type="http://schemas.openxmlformats.org/officeDocument/2006/relationships/hyperlink" Target="http://amazon.com/dp/B00X69QGXM" TargetMode="External"/><Relationship Id="rId260" Type="http://schemas.openxmlformats.org/officeDocument/2006/relationships/hyperlink" Target="http://palletfly.com/product_details.php?vid=21248" TargetMode="External"/><Relationship Id="rId259" Type="http://schemas.openxmlformats.org/officeDocument/2006/relationships/hyperlink" Target="http://amazon.com/dp/B08314KJSS" TargetMode="External"/><Relationship Id="rId258" Type="http://schemas.openxmlformats.org/officeDocument/2006/relationships/hyperlink" Target="http://palletfly.com/product_details.php?vid=19503" TargetMode="External"/><Relationship Id="rId253" Type="http://schemas.openxmlformats.org/officeDocument/2006/relationships/hyperlink" Target="http://amazon.com/dp/B0008GM87O" TargetMode="External"/><Relationship Id="rId252" Type="http://schemas.openxmlformats.org/officeDocument/2006/relationships/hyperlink" Target="http://palletfly.com/product_details.php?vid=23012" TargetMode="External"/><Relationship Id="rId251" Type="http://schemas.openxmlformats.org/officeDocument/2006/relationships/hyperlink" Target="http://amazon.com/dp/B06WWBMFDP" TargetMode="External"/><Relationship Id="rId250" Type="http://schemas.openxmlformats.org/officeDocument/2006/relationships/hyperlink" Target="http://palletfly.com/product_details.php?vid=18345" TargetMode="External"/><Relationship Id="rId257" Type="http://schemas.openxmlformats.org/officeDocument/2006/relationships/hyperlink" Target="http://amazon.com/dp/B084PRW6WH" TargetMode="External"/><Relationship Id="rId256" Type="http://schemas.openxmlformats.org/officeDocument/2006/relationships/hyperlink" Target="http://palletfly.com/product_details.php?vid=11663" TargetMode="External"/><Relationship Id="rId255" Type="http://schemas.openxmlformats.org/officeDocument/2006/relationships/hyperlink" Target="http://amazon.com/dp/B09FH9LJDG" TargetMode="External"/><Relationship Id="rId254" Type="http://schemas.openxmlformats.org/officeDocument/2006/relationships/hyperlink" Target="http://palletfly.com/product_details.php?vid=32081" TargetMode="External"/><Relationship Id="rId293" Type="http://schemas.openxmlformats.org/officeDocument/2006/relationships/hyperlink" Target="http://amazon.com/dp/B003FMCWYC" TargetMode="External"/><Relationship Id="rId292" Type="http://schemas.openxmlformats.org/officeDocument/2006/relationships/hyperlink" Target="http://palletfly.com/product_details.php?vid=17404" TargetMode="External"/><Relationship Id="rId291" Type="http://schemas.openxmlformats.org/officeDocument/2006/relationships/hyperlink" Target="http://amazon.com/dp/B003N5TSK2" TargetMode="External"/><Relationship Id="rId290" Type="http://schemas.openxmlformats.org/officeDocument/2006/relationships/hyperlink" Target="http://palletfly.com/product_details.php?vid=20712" TargetMode="External"/><Relationship Id="rId286" Type="http://schemas.openxmlformats.org/officeDocument/2006/relationships/hyperlink" Target="http://palletfly.com/product_details.php?vid=16539" TargetMode="External"/><Relationship Id="rId285" Type="http://schemas.openxmlformats.org/officeDocument/2006/relationships/hyperlink" Target="http://amazon.com/dp/B0006HXP72" TargetMode="External"/><Relationship Id="rId284" Type="http://schemas.openxmlformats.org/officeDocument/2006/relationships/hyperlink" Target="http://palletfly.com/product_details.php?vid=23011" TargetMode="External"/><Relationship Id="rId283" Type="http://schemas.openxmlformats.org/officeDocument/2006/relationships/hyperlink" Target="http://amazon.com/dp/B009S2XL9I" TargetMode="External"/><Relationship Id="rId289" Type="http://schemas.openxmlformats.org/officeDocument/2006/relationships/hyperlink" Target="http://amazon.com/dp/B001IV15F4" TargetMode="External"/><Relationship Id="rId288" Type="http://schemas.openxmlformats.org/officeDocument/2006/relationships/hyperlink" Target="http://palletfly.com/product_details.php?vid=17123" TargetMode="External"/><Relationship Id="rId287" Type="http://schemas.openxmlformats.org/officeDocument/2006/relationships/hyperlink" Target="http://amazon.com/dp/B0097P42MQ" TargetMode="External"/><Relationship Id="rId282" Type="http://schemas.openxmlformats.org/officeDocument/2006/relationships/hyperlink" Target="http://palletfly.com/product_details.php?vid=8575" TargetMode="External"/><Relationship Id="rId281" Type="http://schemas.openxmlformats.org/officeDocument/2006/relationships/hyperlink" Target="http://amazon.com/dp/B084PRKBKJ" TargetMode="External"/><Relationship Id="rId280" Type="http://schemas.openxmlformats.org/officeDocument/2006/relationships/hyperlink" Target="http://palletfly.com/product_details.php?vid=11703" TargetMode="External"/><Relationship Id="rId275" Type="http://schemas.openxmlformats.org/officeDocument/2006/relationships/hyperlink" Target="http://amazon.com/dp/B01BI0DY4O" TargetMode="External"/><Relationship Id="rId274" Type="http://schemas.openxmlformats.org/officeDocument/2006/relationships/hyperlink" Target="http://palletfly.com/product_details.php?vid=23985" TargetMode="External"/><Relationship Id="rId273" Type="http://schemas.openxmlformats.org/officeDocument/2006/relationships/hyperlink" Target="http://amazon.com/dp/B001E1V5JY" TargetMode="External"/><Relationship Id="rId272" Type="http://schemas.openxmlformats.org/officeDocument/2006/relationships/hyperlink" Target="http://palletfly.com/product_details.php?vid=24496" TargetMode="External"/><Relationship Id="rId279" Type="http://schemas.openxmlformats.org/officeDocument/2006/relationships/hyperlink" Target="http://amazon.com/dp/B00RHGFM1W" TargetMode="External"/><Relationship Id="rId278" Type="http://schemas.openxmlformats.org/officeDocument/2006/relationships/hyperlink" Target="http://palletfly.com/product_details.php?vid=16064" TargetMode="External"/><Relationship Id="rId277" Type="http://schemas.openxmlformats.org/officeDocument/2006/relationships/hyperlink" Target="http://amazon.com/dp/B00CIX3NBA" TargetMode="External"/><Relationship Id="rId276" Type="http://schemas.openxmlformats.org/officeDocument/2006/relationships/hyperlink" Target="http://palletfly.com/product_details.php?vid=11642" TargetMode="External"/><Relationship Id="rId1851" Type="http://schemas.openxmlformats.org/officeDocument/2006/relationships/hyperlink" Target="http://amazon.com/dp/B005IRCB3Y" TargetMode="External"/><Relationship Id="rId1852" Type="http://schemas.openxmlformats.org/officeDocument/2006/relationships/hyperlink" Target="http://palletfly.com/product_details.php?vid=21738" TargetMode="External"/><Relationship Id="rId1853" Type="http://schemas.openxmlformats.org/officeDocument/2006/relationships/hyperlink" Target="http://amazon.com/dp/B0033PF716" TargetMode="External"/><Relationship Id="rId1854" Type="http://schemas.openxmlformats.org/officeDocument/2006/relationships/hyperlink" Target="http://palletfly.com/product_details.php?vid=15298" TargetMode="External"/><Relationship Id="rId1855" Type="http://schemas.openxmlformats.org/officeDocument/2006/relationships/hyperlink" Target="http://amazon.com/dp/B005IQ4AZ2" TargetMode="External"/><Relationship Id="rId1856" Type="http://schemas.openxmlformats.org/officeDocument/2006/relationships/hyperlink" Target="http://palletfly.com/product_details.php?vid=24047" TargetMode="External"/><Relationship Id="rId1857" Type="http://schemas.openxmlformats.org/officeDocument/2006/relationships/hyperlink" Target="http://amazon.com/dp/B07PFG8FVS" TargetMode="External"/><Relationship Id="rId1858" Type="http://schemas.openxmlformats.org/officeDocument/2006/relationships/hyperlink" Target="http://palletfly.com/product_details.php?vid=18551" TargetMode="External"/><Relationship Id="rId1859" Type="http://schemas.openxmlformats.org/officeDocument/2006/relationships/hyperlink" Target="http://amazon.com/dp/B01G7C1BG6" TargetMode="External"/><Relationship Id="rId1850" Type="http://schemas.openxmlformats.org/officeDocument/2006/relationships/hyperlink" Target="http://palletfly.com/product_details.php?vid=21664" TargetMode="External"/><Relationship Id="rId1840" Type="http://schemas.openxmlformats.org/officeDocument/2006/relationships/hyperlink" Target="http://palletfly.com/product_details.php?vid=8056" TargetMode="External"/><Relationship Id="rId1841" Type="http://schemas.openxmlformats.org/officeDocument/2006/relationships/hyperlink" Target="http://amazon.com/dp/B01BKAUNGY" TargetMode="External"/><Relationship Id="rId1842" Type="http://schemas.openxmlformats.org/officeDocument/2006/relationships/hyperlink" Target="http://palletfly.com/product_details.php?vid=22010" TargetMode="External"/><Relationship Id="rId1843" Type="http://schemas.openxmlformats.org/officeDocument/2006/relationships/hyperlink" Target="http://amazon.com/dp/B00EO79D12" TargetMode="External"/><Relationship Id="rId1844" Type="http://schemas.openxmlformats.org/officeDocument/2006/relationships/hyperlink" Target="http://palletfly.com/product_details.php?vid=23837" TargetMode="External"/><Relationship Id="rId1845" Type="http://schemas.openxmlformats.org/officeDocument/2006/relationships/hyperlink" Target="http://amazon.com/dp/B08Z32NBCS" TargetMode="External"/><Relationship Id="rId1846" Type="http://schemas.openxmlformats.org/officeDocument/2006/relationships/hyperlink" Target="http://palletfly.com/product_details.php?vid=18244" TargetMode="External"/><Relationship Id="rId1847" Type="http://schemas.openxmlformats.org/officeDocument/2006/relationships/hyperlink" Target="http://amazon.com/dp/B003O6G5TW" TargetMode="External"/><Relationship Id="rId1848" Type="http://schemas.openxmlformats.org/officeDocument/2006/relationships/hyperlink" Target="http://palletfly.com/product_details.php?vid=18723" TargetMode="External"/><Relationship Id="rId1849" Type="http://schemas.openxmlformats.org/officeDocument/2006/relationships/hyperlink" Target="http://amazon.com/dp/B01ASRINX0" TargetMode="External"/><Relationship Id="rId1873" Type="http://schemas.openxmlformats.org/officeDocument/2006/relationships/hyperlink" Target="http://amazon.com/dp/B00LWFJ51M" TargetMode="External"/><Relationship Id="rId1874" Type="http://schemas.openxmlformats.org/officeDocument/2006/relationships/hyperlink" Target="http://palletfly.com/product_details.php?vid=19956" TargetMode="External"/><Relationship Id="rId1875" Type="http://schemas.openxmlformats.org/officeDocument/2006/relationships/hyperlink" Target="http://amazon.com/dp/B000W71LB8" TargetMode="External"/><Relationship Id="rId1876" Type="http://schemas.openxmlformats.org/officeDocument/2006/relationships/hyperlink" Target="http://palletfly.com/product_details.php?vid=23654" TargetMode="External"/><Relationship Id="rId1877" Type="http://schemas.openxmlformats.org/officeDocument/2006/relationships/hyperlink" Target="http://amazon.com/dp/B000BO59M4" TargetMode="External"/><Relationship Id="rId1878" Type="http://schemas.openxmlformats.org/officeDocument/2006/relationships/hyperlink" Target="http://palletfly.com/product_details.php?vid=20419" TargetMode="External"/><Relationship Id="rId1879" Type="http://schemas.openxmlformats.org/officeDocument/2006/relationships/hyperlink" Target="http://amazon.com/dp/B000VOJOLQ" TargetMode="External"/><Relationship Id="rId1870" Type="http://schemas.openxmlformats.org/officeDocument/2006/relationships/hyperlink" Target="http://palletfly.com/product_details.php?vid=15686" TargetMode="External"/><Relationship Id="rId1871" Type="http://schemas.openxmlformats.org/officeDocument/2006/relationships/hyperlink" Target="http://amazon.com/dp/B08FCLMJVY" TargetMode="External"/><Relationship Id="rId1872" Type="http://schemas.openxmlformats.org/officeDocument/2006/relationships/hyperlink" Target="http://palletfly.com/product_details.php?vid=18605" TargetMode="External"/><Relationship Id="rId1862" Type="http://schemas.openxmlformats.org/officeDocument/2006/relationships/hyperlink" Target="http://palletfly.com/product_details.php?vid=18576" TargetMode="External"/><Relationship Id="rId1863" Type="http://schemas.openxmlformats.org/officeDocument/2006/relationships/hyperlink" Target="http://amazon.com/dp/B01G7C1F94" TargetMode="External"/><Relationship Id="rId1864" Type="http://schemas.openxmlformats.org/officeDocument/2006/relationships/hyperlink" Target="http://palletfly.com/product_details.php?vid=18636" TargetMode="External"/><Relationship Id="rId1865" Type="http://schemas.openxmlformats.org/officeDocument/2006/relationships/hyperlink" Target="http://amazon.com/dp/B01N7WGNY4" TargetMode="External"/><Relationship Id="rId1866" Type="http://schemas.openxmlformats.org/officeDocument/2006/relationships/hyperlink" Target="http://palletfly.com/product_details.php?vid=18646" TargetMode="External"/><Relationship Id="rId1867" Type="http://schemas.openxmlformats.org/officeDocument/2006/relationships/hyperlink" Target="http://amazon.com/dp/B00LWFJ4UO" TargetMode="External"/><Relationship Id="rId1868" Type="http://schemas.openxmlformats.org/officeDocument/2006/relationships/hyperlink" Target="http://palletfly.com/product_details.php?vid=13094" TargetMode="External"/><Relationship Id="rId1869" Type="http://schemas.openxmlformats.org/officeDocument/2006/relationships/hyperlink" Target="http://amazon.com/dp/B01BKAUGVG" TargetMode="External"/><Relationship Id="rId1860" Type="http://schemas.openxmlformats.org/officeDocument/2006/relationships/hyperlink" Target="http://palletfly.com/product_details.php?vid=18555" TargetMode="External"/><Relationship Id="rId1861" Type="http://schemas.openxmlformats.org/officeDocument/2006/relationships/hyperlink" Target="http://amazon.com/dp/B00SAHXU34" TargetMode="External"/><Relationship Id="rId1810" Type="http://schemas.openxmlformats.org/officeDocument/2006/relationships/hyperlink" Target="http://palletfly.com/product_details.php?vid=22072" TargetMode="External"/><Relationship Id="rId1811" Type="http://schemas.openxmlformats.org/officeDocument/2006/relationships/hyperlink" Target="http://amazon.com/dp/B017PFGH3G" TargetMode="External"/><Relationship Id="rId1812" Type="http://schemas.openxmlformats.org/officeDocument/2006/relationships/hyperlink" Target="http://palletfly.com/product_details.php?vid=14558" TargetMode="External"/><Relationship Id="rId1813" Type="http://schemas.openxmlformats.org/officeDocument/2006/relationships/hyperlink" Target="http://amazon.com/dp/B07J1GZR4J" TargetMode="External"/><Relationship Id="rId1814" Type="http://schemas.openxmlformats.org/officeDocument/2006/relationships/hyperlink" Target="http://palletfly.com/product_details.php?vid=20110" TargetMode="External"/><Relationship Id="rId1815" Type="http://schemas.openxmlformats.org/officeDocument/2006/relationships/hyperlink" Target="http://amazon.com/dp/B00CPXDSGS" TargetMode="External"/><Relationship Id="rId1816" Type="http://schemas.openxmlformats.org/officeDocument/2006/relationships/hyperlink" Target="http://palletfly.com/product_details.php?vid=18584" TargetMode="External"/><Relationship Id="rId1817" Type="http://schemas.openxmlformats.org/officeDocument/2006/relationships/hyperlink" Target="http://amazon.com/dp/B003XQFWE2" TargetMode="External"/><Relationship Id="rId1818" Type="http://schemas.openxmlformats.org/officeDocument/2006/relationships/hyperlink" Target="http://palletfly.com/product_details.php?vid=18704" TargetMode="External"/><Relationship Id="rId1819" Type="http://schemas.openxmlformats.org/officeDocument/2006/relationships/hyperlink" Target="http://amazon.com/dp/B08SJ61SFY" TargetMode="External"/><Relationship Id="rId1800" Type="http://schemas.openxmlformats.org/officeDocument/2006/relationships/hyperlink" Target="http://palletfly.com/product_details.php?vid=24434" TargetMode="External"/><Relationship Id="rId1801" Type="http://schemas.openxmlformats.org/officeDocument/2006/relationships/hyperlink" Target="http://amazon.com/dp/B000G2H7DK" TargetMode="External"/><Relationship Id="rId1802" Type="http://schemas.openxmlformats.org/officeDocument/2006/relationships/hyperlink" Target="http://palletfly.com/product_details.php?vid=11279" TargetMode="External"/><Relationship Id="rId1803" Type="http://schemas.openxmlformats.org/officeDocument/2006/relationships/hyperlink" Target="http://amazon.com/dp/B000WWGMSK" TargetMode="External"/><Relationship Id="rId1804" Type="http://schemas.openxmlformats.org/officeDocument/2006/relationships/hyperlink" Target="http://palletfly.com/product_details.php?vid=14662" TargetMode="External"/><Relationship Id="rId1805" Type="http://schemas.openxmlformats.org/officeDocument/2006/relationships/hyperlink" Target="http://amazon.com/dp/B002CCAENM" TargetMode="External"/><Relationship Id="rId1806" Type="http://schemas.openxmlformats.org/officeDocument/2006/relationships/hyperlink" Target="http://palletfly.com/product_details.php?vid=16732" TargetMode="External"/><Relationship Id="rId1807" Type="http://schemas.openxmlformats.org/officeDocument/2006/relationships/hyperlink" Target="http://amazon.com/dp/B01EBAKHE8" TargetMode="External"/><Relationship Id="rId1808" Type="http://schemas.openxmlformats.org/officeDocument/2006/relationships/hyperlink" Target="http://palletfly.com/product_details.php?vid=21380" TargetMode="External"/><Relationship Id="rId1809" Type="http://schemas.openxmlformats.org/officeDocument/2006/relationships/hyperlink" Target="http://amazon.com/dp/B006J2HPKQ" TargetMode="External"/><Relationship Id="rId1830" Type="http://schemas.openxmlformats.org/officeDocument/2006/relationships/hyperlink" Target="http://palletfly.com/product_details.php?vid=20061" TargetMode="External"/><Relationship Id="rId1831" Type="http://schemas.openxmlformats.org/officeDocument/2006/relationships/hyperlink" Target="http://amazon.com/dp/B088BC1YRC" TargetMode="External"/><Relationship Id="rId1832" Type="http://schemas.openxmlformats.org/officeDocument/2006/relationships/hyperlink" Target="http://palletfly.com/product_details.php?vid=24437" TargetMode="External"/><Relationship Id="rId1833" Type="http://schemas.openxmlformats.org/officeDocument/2006/relationships/hyperlink" Target="http://amazon.com/dp/B004M521BA" TargetMode="External"/><Relationship Id="rId1834" Type="http://schemas.openxmlformats.org/officeDocument/2006/relationships/hyperlink" Target="http://palletfly.com/product_details.php?vid=21962" TargetMode="External"/><Relationship Id="rId1835" Type="http://schemas.openxmlformats.org/officeDocument/2006/relationships/hyperlink" Target="http://amazon.com/dp/B07DX8WLL6" TargetMode="External"/><Relationship Id="rId1836" Type="http://schemas.openxmlformats.org/officeDocument/2006/relationships/hyperlink" Target="http://palletfly.com/product_details.php?vid=15487" TargetMode="External"/><Relationship Id="rId1837" Type="http://schemas.openxmlformats.org/officeDocument/2006/relationships/hyperlink" Target="http://amazon.com/dp/B01N9KRQ0O" TargetMode="External"/><Relationship Id="rId1838" Type="http://schemas.openxmlformats.org/officeDocument/2006/relationships/hyperlink" Target="http://palletfly.com/product_details.php?vid=3452" TargetMode="External"/><Relationship Id="rId1839" Type="http://schemas.openxmlformats.org/officeDocument/2006/relationships/hyperlink" Target="http://amazon.com/dp/B00LSD7KIS" TargetMode="External"/><Relationship Id="rId1820" Type="http://schemas.openxmlformats.org/officeDocument/2006/relationships/hyperlink" Target="http://palletfly.com/product_details.php?vid=22052" TargetMode="External"/><Relationship Id="rId1821" Type="http://schemas.openxmlformats.org/officeDocument/2006/relationships/hyperlink" Target="http://amazon.com/dp/B00NACZB1S" TargetMode="External"/><Relationship Id="rId1822" Type="http://schemas.openxmlformats.org/officeDocument/2006/relationships/hyperlink" Target="http://palletfly.com/product_details.php?vid=3447" TargetMode="External"/><Relationship Id="rId1823" Type="http://schemas.openxmlformats.org/officeDocument/2006/relationships/hyperlink" Target="http://amazon.com/dp/B003UGC4MS" TargetMode="External"/><Relationship Id="rId1824" Type="http://schemas.openxmlformats.org/officeDocument/2006/relationships/hyperlink" Target="http://palletfly.com/product_details.php?vid=13957" TargetMode="External"/><Relationship Id="rId1825" Type="http://schemas.openxmlformats.org/officeDocument/2006/relationships/hyperlink" Target="http://amazon.com/dp/B00F876XJ2" TargetMode="External"/><Relationship Id="rId1826" Type="http://schemas.openxmlformats.org/officeDocument/2006/relationships/hyperlink" Target="http://palletfly.com/product_details.php?vid=14360" TargetMode="External"/><Relationship Id="rId1827" Type="http://schemas.openxmlformats.org/officeDocument/2006/relationships/hyperlink" Target="http://amazon.com/dp/B00JKAZYIO" TargetMode="External"/><Relationship Id="rId1828" Type="http://schemas.openxmlformats.org/officeDocument/2006/relationships/hyperlink" Target="http://palletfly.com/product_details.php?vid=17380" TargetMode="External"/><Relationship Id="rId1829" Type="http://schemas.openxmlformats.org/officeDocument/2006/relationships/hyperlink" Target="http://amazon.com/dp/B0765D8LY4" TargetMode="External"/><Relationship Id="rId1455" Type="http://schemas.openxmlformats.org/officeDocument/2006/relationships/hyperlink" Target="http://amazon.com/dp/B00006ICBW" TargetMode="External"/><Relationship Id="rId1456" Type="http://schemas.openxmlformats.org/officeDocument/2006/relationships/hyperlink" Target="http://palletfly.com/product_details.php?vid=22476" TargetMode="External"/><Relationship Id="rId1457" Type="http://schemas.openxmlformats.org/officeDocument/2006/relationships/hyperlink" Target="http://amazon.com/dp/B005RN2KOY" TargetMode="External"/><Relationship Id="rId1458" Type="http://schemas.openxmlformats.org/officeDocument/2006/relationships/hyperlink" Target="http://palletfly.com/product_details.php?vid=20862" TargetMode="External"/><Relationship Id="rId1459" Type="http://schemas.openxmlformats.org/officeDocument/2006/relationships/hyperlink" Target="http://amazon.com/dp/B004X4KR84" TargetMode="External"/><Relationship Id="rId629" Type="http://schemas.openxmlformats.org/officeDocument/2006/relationships/hyperlink" Target="http://amazon.com/dp/B08JH8RJ41" TargetMode="External"/><Relationship Id="rId624" Type="http://schemas.openxmlformats.org/officeDocument/2006/relationships/hyperlink" Target="http://palletfly.com/product_details.php?vid=24356" TargetMode="External"/><Relationship Id="rId623" Type="http://schemas.openxmlformats.org/officeDocument/2006/relationships/hyperlink" Target="http://amazon.com/dp/B01KHSUVUS" TargetMode="External"/><Relationship Id="rId622" Type="http://schemas.openxmlformats.org/officeDocument/2006/relationships/hyperlink" Target="http://palletfly.com/product_details.php?vid=13926" TargetMode="External"/><Relationship Id="rId621" Type="http://schemas.openxmlformats.org/officeDocument/2006/relationships/hyperlink" Target="http://amazon.com/dp/B072KHS2ZW" TargetMode="External"/><Relationship Id="rId628" Type="http://schemas.openxmlformats.org/officeDocument/2006/relationships/hyperlink" Target="http://palletfly.com/product_details.php?vid=19880" TargetMode="External"/><Relationship Id="rId627" Type="http://schemas.openxmlformats.org/officeDocument/2006/relationships/hyperlink" Target="http://amazon.com/dp/B004I2E8HC" TargetMode="External"/><Relationship Id="rId626" Type="http://schemas.openxmlformats.org/officeDocument/2006/relationships/hyperlink" Target="http://palletfly.com/product_details.php?vid=19874" TargetMode="External"/><Relationship Id="rId625" Type="http://schemas.openxmlformats.org/officeDocument/2006/relationships/hyperlink" Target="http://amazon.com/dp/B07B4P29RM" TargetMode="External"/><Relationship Id="rId1450" Type="http://schemas.openxmlformats.org/officeDocument/2006/relationships/hyperlink" Target="http://palletfly.com/product_details.php?vid=19068" TargetMode="External"/><Relationship Id="rId620" Type="http://schemas.openxmlformats.org/officeDocument/2006/relationships/hyperlink" Target="http://palletfly.com/product_details.php?vid=8576" TargetMode="External"/><Relationship Id="rId1451" Type="http://schemas.openxmlformats.org/officeDocument/2006/relationships/hyperlink" Target="http://amazon.com/dp/B000JKP222" TargetMode="External"/><Relationship Id="rId1452" Type="http://schemas.openxmlformats.org/officeDocument/2006/relationships/hyperlink" Target="http://palletfly.com/product_details.php?vid=20031" TargetMode="External"/><Relationship Id="rId1453" Type="http://schemas.openxmlformats.org/officeDocument/2006/relationships/hyperlink" Target="http://amazon.com/dp/B08SJ239SC" TargetMode="External"/><Relationship Id="rId1454" Type="http://schemas.openxmlformats.org/officeDocument/2006/relationships/hyperlink" Target="http://palletfly.com/product_details.php?vid=21336" TargetMode="External"/><Relationship Id="rId1444" Type="http://schemas.openxmlformats.org/officeDocument/2006/relationships/hyperlink" Target="http://palletfly.com/product_details.php?vid=21264" TargetMode="External"/><Relationship Id="rId1445" Type="http://schemas.openxmlformats.org/officeDocument/2006/relationships/hyperlink" Target="http://amazon.com/dp/B00FACLSD6" TargetMode="External"/><Relationship Id="rId1446" Type="http://schemas.openxmlformats.org/officeDocument/2006/relationships/hyperlink" Target="http://palletfly.com/product_details.php?vid=24552" TargetMode="External"/><Relationship Id="rId1447" Type="http://schemas.openxmlformats.org/officeDocument/2006/relationships/hyperlink" Target="http://amazon.com/dp/B08QDPYZCG" TargetMode="External"/><Relationship Id="rId1448" Type="http://schemas.openxmlformats.org/officeDocument/2006/relationships/hyperlink" Target="http://palletfly.com/product_details.php?vid=11732" TargetMode="External"/><Relationship Id="rId1449" Type="http://schemas.openxmlformats.org/officeDocument/2006/relationships/hyperlink" Target="http://amazon.com/dp/B0023B5HQ6" TargetMode="External"/><Relationship Id="rId619" Type="http://schemas.openxmlformats.org/officeDocument/2006/relationships/hyperlink" Target="http://amazon.com/dp/B01DPA716W" TargetMode="External"/><Relationship Id="rId618" Type="http://schemas.openxmlformats.org/officeDocument/2006/relationships/hyperlink" Target="http://palletfly.com/product_details.php?vid=21068" TargetMode="External"/><Relationship Id="rId613" Type="http://schemas.openxmlformats.org/officeDocument/2006/relationships/hyperlink" Target="http://amazon.com/dp/B00TBJSJV8" TargetMode="External"/><Relationship Id="rId612" Type="http://schemas.openxmlformats.org/officeDocument/2006/relationships/hyperlink" Target="http://palletfly.com/product_details.php?vid=17111" TargetMode="External"/><Relationship Id="rId611" Type="http://schemas.openxmlformats.org/officeDocument/2006/relationships/hyperlink" Target="http://amazon.com/dp/B084PRVZHR" TargetMode="External"/><Relationship Id="rId610" Type="http://schemas.openxmlformats.org/officeDocument/2006/relationships/hyperlink" Target="http://palletfly.com/product_details.php?vid=11674" TargetMode="External"/><Relationship Id="rId617" Type="http://schemas.openxmlformats.org/officeDocument/2006/relationships/hyperlink" Target="http://amazon.com/dp/B001TDKOPI" TargetMode="External"/><Relationship Id="rId616" Type="http://schemas.openxmlformats.org/officeDocument/2006/relationships/hyperlink" Target="http://palletfly.com/product_details.php?vid=539" TargetMode="External"/><Relationship Id="rId615" Type="http://schemas.openxmlformats.org/officeDocument/2006/relationships/hyperlink" Target="http://amazon.com/dp/B01E0E8X4G" TargetMode="External"/><Relationship Id="rId614" Type="http://schemas.openxmlformats.org/officeDocument/2006/relationships/hyperlink" Target="http://palletfly.com/product_details.php?vid=18475" TargetMode="External"/><Relationship Id="rId1440" Type="http://schemas.openxmlformats.org/officeDocument/2006/relationships/hyperlink" Target="http://palletfly.com/product_details.php?vid=17318" TargetMode="External"/><Relationship Id="rId1441" Type="http://schemas.openxmlformats.org/officeDocument/2006/relationships/hyperlink" Target="http://amazon.com/dp/B00B4GVE4A" TargetMode="External"/><Relationship Id="rId1442" Type="http://schemas.openxmlformats.org/officeDocument/2006/relationships/hyperlink" Target="http://palletfly.com/product_details.php?vid=21121" TargetMode="External"/><Relationship Id="rId1443" Type="http://schemas.openxmlformats.org/officeDocument/2006/relationships/hyperlink" Target="http://amazon.com/dp/B00YR8M2FM" TargetMode="External"/><Relationship Id="rId1477" Type="http://schemas.openxmlformats.org/officeDocument/2006/relationships/hyperlink" Target="http://amazon.com/dp/B00J1B0UFO" TargetMode="External"/><Relationship Id="rId1478" Type="http://schemas.openxmlformats.org/officeDocument/2006/relationships/hyperlink" Target="http://palletfly.com/product_details.php?vid=13939" TargetMode="External"/><Relationship Id="rId1479" Type="http://schemas.openxmlformats.org/officeDocument/2006/relationships/hyperlink" Target="http://amazon.com/dp/B07B4N1WDD" TargetMode="External"/><Relationship Id="rId646" Type="http://schemas.openxmlformats.org/officeDocument/2006/relationships/hyperlink" Target="http://palletfly.com/product_details.php?vid=15989" TargetMode="External"/><Relationship Id="rId645" Type="http://schemas.openxmlformats.org/officeDocument/2006/relationships/hyperlink" Target="http://amazon.com/dp/B00K0TRXJC" TargetMode="External"/><Relationship Id="rId644" Type="http://schemas.openxmlformats.org/officeDocument/2006/relationships/hyperlink" Target="http://palletfly.com/product_details.php?vid=19600" TargetMode="External"/><Relationship Id="rId643" Type="http://schemas.openxmlformats.org/officeDocument/2006/relationships/hyperlink" Target="http://amazon.com/dp/B000C1VX3A" TargetMode="External"/><Relationship Id="rId649" Type="http://schemas.openxmlformats.org/officeDocument/2006/relationships/hyperlink" Target="http://amazon.com/dp/B00E80IMTY" TargetMode="External"/><Relationship Id="rId648" Type="http://schemas.openxmlformats.org/officeDocument/2006/relationships/hyperlink" Target="http://palletfly.com/product_details.php?vid=5906" TargetMode="External"/><Relationship Id="rId647" Type="http://schemas.openxmlformats.org/officeDocument/2006/relationships/hyperlink" Target="http://amazon.com/dp/B0050A64C8" TargetMode="External"/><Relationship Id="rId1470" Type="http://schemas.openxmlformats.org/officeDocument/2006/relationships/hyperlink" Target="http://palletfly.com/product_details.php?vid=21272" TargetMode="External"/><Relationship Id="rId1471" Type="http://schemas.openxmlformats.org/officeDocument/2006/relationships/hyperlink" Target="http://amazon.com/dp/B07KBNB66W" TargetMode="External"/><Relationship Id="rId1472" Type="http://schemas.openxmlformats.org/officeDocument/2006/relationships/hyperlink" Target="http://palletfly.com/product_details.php?vid=23497" TargetMode="External"/><Relationship Id="rId642" Type="http://schemas.openxmlformats.org/officeDocument/2006/relationships/hyperlink" Target="http://palletfly.com/product_details.php?vid=19583" TargetMode="External"/><Relationship Id="rId1473" Type="http://schemas.openxmlformats.org/officeDocument/2006/relationships/hyperlink" Target="http://amazon.com/dp/B07JLRJWJF" TargetMode="External"/><Relationship Id="rId641" Type="http://schemas.openxmlformats.org/officeDocument/2006/relationships/hyperlink" Target="http://amazon.com/dp/B0872BMWG5" TargetMode="External"/><Relationship Id="rId1474" Type="http://schemas.openxmlformats.org/officeDocument/2006/relationships/hyperlink" Target="http://palletfly.com/product_details.php?vid=23656" TargetMode="External"/><Relationship Id="rId640" Type="http://schemas.openxmlformats.org/officeDocument/2006/relationships/hyperlink" Target="http://palletfly.com/product_details.php?vid=18119" TargetMode="External"/><Relationship Id="rId1475" Type="http://schemas.openxmlformats.org/officeDocument/2006/relationships/hyperlink" Target="http://amazon.com/dp/B00C2LMO8Q" TargetMode="External"/><Relationship Id="rId1476" Type="http://schemas.openxmlformats.org/officeDocument/2006/relationships/hyperlink" Target="http://palletfly.com/product_details.php?vid=24919" TargetMode="External"/><Relationship Id="rId1466" Type="http://schemas.openxmlformats.org/officeDocument/2006/relationships/hyperlink" Target="http://palletfly.com/product_details.php?vid=17462" TargetMode="External"/><Relationship Id="rId1467" Type="http://schemas.openxmlformats.org/officeDocument/2006/relationships/hyperlink" Target="http://amazon.com/dp/B001T8MAFK" TargetMode="External"/><Relationship Id="rId1468" Type="http://schemas.openxmlformats.org/officeDocument/2006/relationships/hyperlink" Target="http://palletfly.com/product_details.php?vid=20172" TargetMode="External"/><Relationship Id="rId1469" Type="http://schemas.openxmlformats.org/officeDocument/2006/relationships/hyperlink" Target="http://amazon.com/dp/B00M1JUBM0" TargetMode="External"/><Relationship Id="rId635" Type="http://schemas.openxmlformats.org/officeDocument/2006/relationships/hyperlink" Target="http://amazon.com/dp/B000XZXUGI" TargetMode="External"/><Relationship Id="rId634" Type="http://schemas.openxmlformats.org/officeDocument/2006/relationships/hyperlink" Target="http://palletfly.com/product_details.php?vid=22008" TargetMode="External"/><Relationship Id="rId633" Type="http://schemas.openxmlformats.org/officeDocument/2006/relationships/hyperlink" Target="http://amazon.com/dp/B002UKOKA4" TargetMode="External"/><Relationship Id="rId632" Type="http://schemas.openxmlformats.org/officeDocument/2006/relationships/hyperlink" Target="http://palletfly.com/product_details.php?vid=21963" TargetMode="External"/><Relationship Id="rId639" Type="http://schemas.openxmlformats.org/officeDocument/2006/relationships/hyperlink" Target="http://amazon.com/dp/B000GOYN5S" TargetMode="External"/><Relationship Id="rId638" Type="http://schemas.openxmlformats.org/officeDocument/2006/relationships/hyperlink" Target="http://palletfly.com/product_details.php?vid=17772" TargetMode="External"/><Relationship Id="rId637" Type="http://schemas.openxmlformats.org/officeDocument/2006/relationships/hyperlink" Target="http://amazon.com/dp/B085QKQMP1" TargetMode="External"/><Relationship Id="rId636" Type="http://schemas.openxmlformats.org/officeDocument/2006/relationships/hyperlink" Target="http://palletfly.com/product_details.php?vid=21457" TargetMode="External"/><Relationship Id="rId1460" Type="http://schemas.openxmlformats.org/officeDocument/2006/relationships/hyperlink" Target="http://palletfly.com/product_details.php?vid=11330" TargetMode="External"/><Relationship Id="rId1461" Type="http://schemas.openxmlformats.org/officeDocument/2006/relationships/hyperlink" Target="http://amazon.com/dp/B000CQ49Y0" TargetMode="External"/><Relationship Id="rId631" Type="http://schemas.openxmlformats.org/officeDocument/2006/relationships/hyperlink" Target="http://amazon.com/dp/B000RIZ9EW" TargetMode="External"/><Relationship Id="rId1462" Type="http://schemas.openxmlformats.org/officeDocument/2006/relationships/hyperlink" Target="http://palletfly.com/product_details.php?vid=12658" TargetMode="External"/><Relationship Id="rId630" Type="http://schemas.openxmlformats.org/officeDocument/2006/relationships/hyperlink" Target="http://palletfly.com/product_details.php?vid=14056" TargetMode="External"/><Relationship Id="rId1463" Type="http://schemas.openxmlformats.org/officeDocument/2006/relationships/hyperlink" Target="http://amazon.com/dp/B01GFLZ0WU" TargetMode="External"/><Relationship Id="rId1464" Type="http://schemas.openxmlformats.org/officeDocument/2006/relationships/hyperlink" Target="http://palletfly.com/product_details.php?vid=24664" TargetMode="External"/><Relationship Id="rId1465" Type="http://schemas.openxmlformats.org/officeDocument/2006/relationships/hyperlink" Target="http://amazon.com/dp/B007HJ3644" TargetMode="External"/><Relationship Id="rId1411" Type="http://schemas.openxmlformats.org/officeDocument/2006/relationships/hyperlink" Target="http://amazon.com/dp/B00004Z2IB" TargetMode="External"/><Relationship Id="rId1895" Type="http://schemas.openxmlformats.org/officeDocument/2006/relationships/hyperlink" Target="http://amazon.com/dp/B004NWG596" TargetMode="External"/><Relationship Id="rId1412" Type="http://schemas.openxmlformats.org/officeDocument/2006/relationships/hyperlink" Target="http://palletfly.com/product_details.php?vid=23362" TargetMode="External"/><Relationship Id="rId1896" Type="http://schemas.openxmlformats.org/officeDocument/2006/relationships/hyperlink" Target="http://palletfly.com/product_details.php?vid=3458" TargetMode="External"/><Relationship Id="rId1413" Type="http://schemas.openxmlformats.org/officeDocument/2006/relationships/hyperlink" Target="http://amazon.com/dp/B072RTSD2M" TargetMode="External"/><Relationship Id="rId1897" Type="http://schemas.openxmlformats.org/officeDocument/2006/relationships/hyperlink" Target="http://amazon.com/dp/B000KKM3DC" TargetMode="External"/><Relationship Id="rId1414" Type="http://schemas.openxmlformats.org/officeDocument/2006/relationships/hyperlink" Target="http://palletfly.com/product_details.php?vid=24442" TargetMode="External"/><Relationship Id="rId1898" Type="http://schemas.openxmlformats.org/officeDocument/2006/relationships/hyperlink" Target="http://palletfly.com/product_details.php?vid=15984" TargetMode="External"/><Relationship Id="rId1415" Type="http://schemas.openxmlformats.org/officeDocument/2006/relationships/hyperlink" Target="http://amazon.com/dp/B000G2J5QW" TargetMode="External"/><Relationship Id="rId1899" Type="http://schemas.openxmlformats.org/officeDocument/2006/relationships/hyperlink" Target="http://amazon.com/dp/B0050A62O8" TargetMode="External"/><Relationship Id="rId1416" Type="http://schemas.openxmlformats.org/officeDocument/2006/relationships/hyperlink" Target="http://palletfly.com/product_details.php?vid=14378" TargetMode="External"/><Relationship Id="rId1417" Type="http://schemas.openxmlformats.org/officeDocument/2006/relationships/hyperlink" Target="http://amazon.com/dp/B076PDRDDY" TargetMode="External"/><Relationship Id="rId1418" Type="http://schemas.openxmlformats.org/officeDocument/2006/relationships/hyperlink" Target="http://palletfly.com/product_details.php?vid=16244" TargetMode="External"/><Relationship Id="rId1419" Type="http://schemas.openxmlformats.org/officeDocument/2006/relationships/hyperlink" Target="http://amazon.com/dp/B004GII97I" TargetMode="External"/><Relationship Id="rId1890" Type="http://schemas.openxmlformats.org/officeDocument/2006/relationships/hyperlink" Target="http://palletfly.com/product_details.php?vid=22048" TargetMode="External"/><Relationship Id="rId1891" Type="http://schemas.openxmlformats.org/officeDocument/2006/relationships/hyperlink" Target="http://amazon.com/dp/B074HVKHNQ" TargetMode="External"/><Relationship Id="rId1892" Type="http://schemas.openxmlformats.org/officeDocument/2006/relationships/hyperlink" Target="http://palletfly.com/product_details.php?vid=20482" TargetMode="External"/><Relationship Id="rId1893" Type="http://schemas.openxmlformats.org/officeDocument/2006/relationships/hyperlink" Target="http://amazon.com/dp/B08SJ614F5" TargetMode="External"/><Relationship Id="rId1410" Type="http://schemas.openxmlformats.org/officeDocument/2006/relationships/hyperlink" Target="http://palletfly.com/product_details.php?vid=19679" TargetMode="External"/><Relationship Id="rId1894" Type="http://schemas.openxmlformats.org/officeDocument/2006/relationships/hyperlink" Target="http://palletfly.com/product_details.php?vid=20575" TargetMode="External"/><Relationship Id="rId1400" Type="http://schemas.openxmlformats.org/officeDocument/2006/relationships/hyperlink" Target="http://palletfly.com/product_details.php?vid=24876" TargetMode="External"/><Relationship Id="rId1884" Type="http://schemas.openxmlformats.org/officeDocument/2006/relationships/hyperlink" Target="http://palletfly.com/product_details.php?vid=14375" TargetMode="External"/><Relationship Id="rId1401" Type="http://schemas.openxmlformats.org/officeDocument/2006/relationships/hyperlink" Target="http://amazon.com/dp/B07SZSVJJX" TargetMode="External"/><Relationship Id="rId1885" Type="http://schemas.openxmlformats.org/officeDocument/2006/relationships/hyperlink" Target="http://amazon.com/dp/B07T32WSMN" TargetMode="External"/><Relationship Id="rId1402" Type="http://schemas.openxmlformats.org/officeDocument/2006/relationships/hyperlink" Target="http://palletfly.com/product_details.php?vid=935" TargetMode="External"/><Relationship Id="rId1886" Type="http://schemas.openxmlformats.org/officeDocument/2006/relationships/hyperlink" Target="http://palletfly.com/product_details.php?vid=15521" TargetMode="External"/><Relationship Id="rId1403" Type="http://schemas.openxmlformats.org/officeDocument/2006/relationships/hyperlink" Target="http://amazon.com/dp/B00015COVW" TargetMode="External"/><Relationship Id="rId1887" Type="http://schemas.openxmlformats.org/officeDocument/2006/relationships/hyperlink" Target="http://amazon.com/dp/B00H3E9TM6" TargetMode="External"/><Relationship Id="rId1404" Type="http://schemas.openxmlformats.org/officeDocument/2006/relationships/hyperlink" Target="http://palletfly.com/product_details.php?vid=11635" TargetMode="External"/><Relationship Id="rId1888" Type="http://schemas.openxmlformats.org/officeDocument/2006/relationships/hyperlink" Target="http://palletfly.com/product_details.php?vid=20075" TargetMode="External"/><Relationship Id="rId1405" Type="http://schemas.openxmlformats.org/officeDocument/2006/relationships/hyperlink" Target="http://amazon.com/dp/B0015ZVWCO" TargetMode="External"/><Relationship Id="rId1889" Type="http://schemas.openxmlformats.org/officeDocument/2006/relationships/hyperlink" Target="http://amazon.com/dp/B000W2CR0C" TargetMode="External"/><Relationship Id="rId1406" Type="http://schemas.openxmlformats.org/officeDocument/2006/relationships/hyperlink" Target="http://palletfly.com/product_details.php?vid=12785" TargetMode="External"/><Relationship Id="rId1407" Type="http://schemas.openxmlformats.org/officeDocument/2006/relationships/hyperlink" Target="http://amazon.com/dp/B00M677MLA" TargetMode="External"/><Relationship Id="rId1408" Type="http://schemas.openxmlformats.org/officeDocument/2006/relationships/hyperlink" Target="http://palletfly.com/product_details.php?vid=19586" TargetMode="External"/><Relationship Id="rId1409" Type="http://schemas.openxmlformats.org/officeDocument/2006/relationships/hyperlink" Target="http://amazon.com/dp/B004E2S3HC" TargetMode="External"/><Relationship Id="rId1880" Type="http://schemas.openxmlformats.org/officeDocument/2006/relationships/hyperlink" Target="http://palletfly.com/product_details.php?vid=3449" TargetMode="External"/><Relationship Id="rId1881" Type="http://schemas.openxmlformats.org/officeDocument/2006/relationships/hyperlink" Target="http://amazon.com/dp/B00KS9T7HA" TargetMode="External"/><Relationship Id="rId1882" Type="http://schemas.openxmlformats.org/officeDocument/2006/relationships/hyperlink" Target="http://palletfly.com/product_details.php?vid=3586" TargetMode="External"/><Relationship Id="rId1883" Type="http://schemas.openxmlformats.org/officeDocument/2006/relationships/hyperlink" Target="http://amazon.com/dp/B002LH9JCA" TargetMode="External"/><Relationship Id="rId1433" Type="http://schemas.openxmlformats.org/officeDocument/2006/relationships/hyperlink" Target="http://amazon.com/dp/B00260S1ZI" TargetMode="External"/><Relationship Id="rId1434" Type="http://schemas.openxmlformats.org/officeDocument/2006/relationships/hyperlink" Target="http://palletfly.com/product_details.php?vid=5849" TargetMode="External"/><Relationship Id="rId1435" Type="http://schemas.openxmlformats.org/officeDocument/2006/relationships/hyperlink" Target="http://amazon.com/dp/B07KWDXD3X" TargetMode="External"/><Relationship Id="rId1436" Type="http://schemas.openxmlformats.org/officeDocument/2006/relationships/hyperlink" Target="http://palletfly.com/product_details.php?vid=23850" TargetMode="External"/><Relationship Id="rId1437" Type="http://schemas.openxmlformats.org/officeDocument/2006/relationships/hyperlink" Target="http://amazon.com/dp/B007Z7OX0O" TargetMode="External"/><Relationship Id="rId1438" Type="http://schemas.openxmlformats.org/officeDocument/2006/relationships/hyperlink" Target="http://palletfly.com/product_details.php?vid=7151" TargetMode="External"/><Relationship Id="rId1439" Type="http://schemas.openxmlformats.org/officeDocument/2006/relationships/hyperlink" Target="http://amazon.com/dp/B073JBVBT5" TargetMode="External"/><Relationship Id="rId609" Type="http://schemas.openxmlformats.org/officeDocument/2006/relationships/hyperlink" Target="http://amazon.com/dp/B004LF8TSA" TargetMode="External"/><Relationship Id="rId608" Type="http://schemas.openxmlformats.org/officeDocument/2006/relationships/hyperlink" Target="http://palletfly.com/product_details.php?vid=15366" TargetMode="External"/><Relationship Id="rId607" Type="http://schemas.openxmlformats.org/officeDocument/2006/relationships/hyperlink" Target="http://amazon.com/dp/B00W682PJ8" TargetMode="External"/><Relationship Id="rId602" Type="http://schemas.openxmlformats.org/officeDocument/2006/relationships/hyperlink" Target="http://palletfly.com/product_details.php?vid=24041" TargetMode="External"/><Relationship Id="rId601" Type="http://schemas.openxmlformats.org/officeDocument/2006/relationships/hyperlink" Target="http://amazon.com/dp/B000C1Z2PK" TargetMode="External"/><Relationship Id="rId600" Type="http://schemas.openxmlformats.org/officeDocument/2006/relationships/hyperlink" Target="http://palletfly.com/product_details.php?vid=23422" TargetMode="External"/><Relationship Id="rId606" Type="http://schemas.openxmlformats.org/officeDocument/2006/relationships/hyperlink" Target="http://palletfly.com/product_details.php?vid=22222" TargetMode="External"/><Relationship Id="rId605" Type="http://schemas.openxmlformats.org/officeDocument/2006/relationships/hyperlink" Target="http://amazon.com/dp/B001OLS5QU" TargetMode="External"/><Relationship Id="rId604" Type="http://schemas.openxmlformats.org/officeDocument/2006/relationships/hyperlink" Target="http://palletfly.com/product_details.php?vid=746" TargetMode="External"/><Relationship Id="rId603" Type="http://schemas.openxmlformats.org/officeDocument/2006/relationships/hyperlink" Target="http://amazon.com/dp/B00QFXUIWG" TargetMode="External"/><Relationship Id="rId1430" Type="http://schemas.openxmlformats.org/officeDocument/2006/relationships/hyperlink" Target="http://palletfly.com/product_details.php?vid=22842" TargetMode="External"/><Relationship Id="rId1431" Type="http://schemas.openxmlformats.org/officeDocument/2006/relationships/hyperlink" Target="http://amazon.com/dp/B00006IFDQ" TargetMode="External"/><Relationship Id="rId1432" Type="http://schemas.openxmlformats.org/officeDocument/2006/relationships/hyperlink" Target="http://palletfly.com/product_details.php?vid=22999" TargetMode="External"/><Relationship Id="rId1422" Type="http://schemas.openxmlformats.org/officeDocument/2006/relationships/hyperlink" Target="http://palletfly.com/product_details.php?vid=17086" TargetMode="External"/><Relationship Id="rId1423" Type="http://schemas.openxmlformats.org/officeDocument/2006/relationships/hyperlink" Target="http://amazon.com/dp/B001RYOSTC" TargetMode="External"/><Relationship Id="rId1424" Type="http://schemas.openxmlformats.org/officeDocument/2006/relationships/hyperlink" Target="http://palletfly.com/product_details.php?vid=21783" TargetMode="External"/><Relationship Id="rId1425" Type="http://schemas.openxmlformats.org/officeDocument/2006/relationships/hyperlink" Target="http://amazon.com/dp/B002MCZA3Q" TargetMode="External"/><Relationship Id="rId1426" Type="http://schemas.openxmlformats.org/officeDocument/2006/relationships/hyperlink" Target="http://palletfly.com/product_details.php?vid=22385" TargetMode="External"/><Relationship Id="rId1427" Type="http://schemas.openxmlformats.org/officeDocument/2006/relationships/hyperlink" Target="http://amazon.com/dp/B0048I86RE" TargetMode="External"/><Relationship Id="rId1428" Type="http://schemas.openxmlformats.org/officeDocument/2006/relationships/hyperlink" Target="http://palletfly.com/product_details.php?vid=22858" TargetMode="External"/><Relationship Id="rId1429" Type="http://schemas.openxmlformats.org/officeDocument/2006/relationships/hyperlink" Target="http://amazon.com/dp/B01MEH2UVT" TargetMode="External"/><Relationship Id="rId1420" Type="http://schemas.openxmlformats.org/officeDocument/2006/relationships/hyperlink" Target="http://palletfly.com/product_details.php?vid=8080" TargetMode="External"/><Relationship Id="rId1421" Type="http://schemas.openxmlformats.org/officeDocument/2006/relationships/hyperlink" Target="http://amazon.com/dp/B005LU2Q4W" TargetMode="External"/><Relationship Id="rId1059" Type="http://schemas.openxmlformats.org/officeDocument/2006/relationships/hyperlink" Target="http://amazon.com/dp/B004E3IIIK" TargetMode="External"/><Relationship Id="rId228" Type="http://schemas.openxmlformats.org/officeDocument/2006/relationships/hyperlink" Target="http://palletfly.com/product_details.php?vid=23185" TargetMode="External"/><Relationship Id="rId227" Type="http://schemas.openxmlformats.org/officeDocument/2006/relationships/hyperlink" Target="http://amazon.com/dp/B07JP5MV92" TargetMode="External"/><Relationship Id="rId226" Type="http://schemas.openxmlformats.org/officeDocument/2006/relationships/hyperlink" Target="http://palletfly.com/product_details.php?vid=21723" TargetMode="External"/><Relationship Id="rId225" Type="http://schemas.openxmlformats.org/officeDocument/2006/relationships/hyperlink" Target="http://amazon.com/dp/B084PRJVDQ" TargetMode="External"/><Relationship Id="rId229" Type="http://schemas.openxmlformats.org/officeDocument/2006/relationships/hyperlink" Target="http://amazon.com/dp/B003OBZGF6" TargetMode="External"/><Relationship Id="rId1050" Type="http://schemas.openxmlformats.org/officeDocument/2006/relationships/hyperlink" Target="http://palletfly.com/product_details.php?vid=24456" TargetMode="External"/><Relationship Id="rId220" Type="http://schemas.openxmlformats.org/officeDocument/2006/relationships/hyperlink" Target="http://palletfly.com/product_details.php?vid=11744" TargetMode="External"/><Relationship Id="rId1051" Type="http://schemas.openxmlformats.org/officeDocument/2006/relationships/hyperlink" Target="http://amazon.com/dp/B078G2D14Q" TargetMode="External"/><Relationship Id="rId1052" Type="http://schemas.openxmlformats.org/officeDocument/2006/relationships/hyperlink" Target="http://palletfly.com/product_details.php?vid=16930" TargetMode="External"/><Relationship Id="rId1053" Type="http://schemas.openxmlformats.org/officeDocument/2006/relationships/hyperlink" Target="http://amazon.com/dp/B00IOE86WI" TargetMode="External"/><Relationship Id="rId1054" Type="http://schemas.openxmlformats.org/officeDocument/2006/relationships/hyperlink" Target="http://palletfly.com/product_details.php?vid=20093" TargetMode="External"/><Relationship Id="rId224" Type="http://schemas.openxmlformats.org/officeDocument/2006/relationships/hyperlink" Target="http://palletfly.com/product_details.php?vid=11705" TargetMode="External"/><Relationship Id="rId1055" Type="http://schemas.openxmlformats.org/officeDocument/2006/relationships/hyperlink" Target="http://amazon.com/dp/B06Y1PW1C1" TargetMode="External"/><Relationship Id="rId223" Type="http://schemas.openxmlformats.org/officeDocument/2006/relationships/hyperlink" Target="http://amazon.com/dp/B01BPPSBTK" TargetMode="External"/><Relationship Id="rId1056" Type="http://schemas.openxmlformats.org/officeDocument/2006/relationships/hyperlink" Target="http://palletfly.com/product_details.php?vid=21065" TargetMode="External"/><Relationship Id="rId222" Type="http://schemas.openxmlformats.org/officeDocument/2006/relationships/hyperlink" Target="http://palletfly.com/product_details.php?vid=20794" TargetMode="External"/><Relationship Id="rId1057" Type="http://schemas.openxmlformats.org/officeDocument/2006/relationships/hyperlink" Target="http://amazon.com/dp/B07C8SPSMB" TargetMode="External"/><Relationship Id="rId221" Type="http://schemas.openxmlformats.org/officeDocument/2006/relationships/hyperlink" Target="http://amazon.com/dp/B004B7AT72" TargetMode="External"/><Relationship Id="rId1058" Type="http://schemas.openxmlformats.org/officeDocument/2006/relationships/hyperlink" Target="http://palletfly.com/product_details.php?vid=18599" TargetMode="External"/><Relationship Id="rId1048" Type="http://schemas.openxmlformats.org/officeDocument/2006/relationships/hyperlink" Target="http://palletfly.com/product_details.php?vid=20814" TargetMode="External"/><Relationship Id="rId1049" Type="http://schemas.openxmlformats.org/officeDocument/2006/relationships/hyperlink" Target="http://amazon.com/dp/B007AVPTL2" TargetMode="External"/><Relationship Id="rId217" Type="http://schemas.openxmlformats.org/officeDocument/2006/relationships/hyperlink" Target="http://amazon.com/dp/B07FTTH3KF" TargetMode="External"/><Relationship Id="rId216" Type="http://schemas.openxmlformats.org/officeDocument/2006/relationships/hyperlink" Target="http://palletfly.com/product_details.php?vid=15086" TargetMode="External"/><Relationship Id="rId215" Type="http://schemas.openxmlformats.org/officeDocument/2006/relationships/hyperlink" Target="http://amazon.com/dp/B08B6B8BZK" TargetMode="External"/><Relationship Id="rId699" Type="http://schemas.openxmlformats.org/officeDocument/2006/relationships/hyperlink" Target="http://amazon.com/dp/B00BMQGGXG" TargetMode="External"/><Relationship Id="rId214" Type="http://schemas.openxmlformats.org/officeDocument/2006/relationships/hyperlink" Target="http://palletfly.com/product_details.php?vid=15198" TargetMode="External"/><Relationship Id="rId698" Type="http://schemas.openxmlformats.org/officeDocument/2006/relationships/hyperlink" Target="http://palletfly.com/product_details.php?vid=18252" TargetMode="External"/><Relationship Id="rId219" Type="http://schemas.openxmlformats.org/officeDocument/2006/relationships/hyperlink" Target="http://amazon.com/dp/B001AFG98G" TargetMode="External"/><Relationship Id="rId218" Type="http://schemas.openxmlformats.org/officeDocument/2006/relationships/hyperlink" Target="http://palletfly.com/product_details.php?vid=23014" TargetMode="External"/><Relationship Id="rId693" Type="http://schemas.openxmlformats.org/officeDocument/2006/relationships/hyperlink" Target="http://amazon.com/dp/B000V9EO84" TargetMode="External"/><Relationship Id="rId1040" Type="http://schemas.openxmlformats.org/officeDocument/2006/relationships/hyperlink" Target="http://palletfly.com/product_details.php?vid=17182" TargetMode="External"/><Relationship Id="rId692" Type="http://schemas.openxmlformats.org/officeDocument/2006/relationships/hyperlink" Target="http://palletfly.com/product_details.php?vid=24831" TargetMode="External"/><Relationship Id="rId1041" Type="http://schemas.openxmlformats.org/officeDocument/2006/relationships/hyperlink" Target="http://amazon.com/dp/B0018A9KWK" TargetMode="External"/><Relationship Id="rId691" Type="http://schemas.openxmlformats.org/officeDocument/2006/relationships/hyperlink" Target="http://amazon.com/dp/B088Y3DD6N" TargetMode="External"/><Relationship Id="rId1042" Type="http://schemas.openxmlformats.org/officeDocument/2006/relationships/hyperlink" Target="http://palletfly.com/product_details.php?vid=20861" TargetMode="External"/><Relationship Id="rId690" Type="http://schemas.openxmlformats.org/officeDocument/2006/relationships/hyperlink" Target="http://palletfly.com/product_details.php?vid=24694" TargetMode="External"/><Relationship Id="rId1043" Type="http://schemas.openxmlformats.org/officeDocument/2006/relationships/hyperlink" Target="http://amazon.com/dp/B000Y4A1H4" TargetMode="External"/><Relationship Id="rId213" Type="http://schemas.openxmlformats.org/officeDocument/2006/relationships/hyperlink" Target="http://amazon.com/dp/B003XQFWEM" TargetMode="External"/><Relationship Id="rId697" Type="http://schemas.openxmlformats.org/officeDocument/2006/relationships/hyperlink" Target="http://amazon.com/dp/B07HBBKF6N" TargetMode="External"/><Relationship Id="rId1044" Type="http://schemas.openxmlformats.org/officeDocument/2006/relationships/hyperlink" Target="http://palletfly.com/product_details.php?vid=10096" TargetMode="External"/><Relationship Id="rId212" Type="http://schemas.openxmlformats.org/officeDocument/2006/relationships/hyperlink" Target="http://palletfly.com/product_details.php?vid=18651" TargetMode="External"/><Relationship Id="rId696" Type="http://schemas.openxmlformats.org/officeDocument/2006/relationships/hyperlink" Target="http://palletfly.com/product_details.php?vid=17030" TargetMode="External"/><Relationship Id="rId1045" Type="http://schemas.openxmlformats.org/officeDocument/2006/relationships/hyperlink" Target="http://amazon.com/dp/B010SABDMA" TargetMode="External"/><Relationship Id="rId211" Type="http://schemas.openxmlformats.org/officeDocument/2006/relationships/hyperlink" Target="http://amazon.com/dp/B002OMFRDC" TargetMode="External"/><Relationship Id="rId695" Type="http://schemas.openxmlformats.org/officeDocument/2006/relationships/hyperlink" Target="http://amazon.com/dp/B08X6SJGQH" TargetMode="External"/><Relationship Id="rId1046" Type="http://schemas.openxmlformats.org/officeDocument/2006/relationships/hyperlink" Target="http://palletfly.com/product_details.php?vid=6900" TargetMode="External"/><Relationship Id="rId210" Type="http://schemas.openxmlformats.org/officeDocument/2006/relationships/hyperlink" Target="http://palletfly.com/product_details.php?vid=21318" TargetMode="External"/><Relationship Id="rId694" Type="http://schemas.openxmlformats.org/officeDocument/2006/relationships/hyperlink" Target="http://palletfly.com/product_details.php?vid=18637" TargetMode="External"/><Relationship Id="rId1047" Type="http://schemas.openxmlformats.org/officeDocument/2006/relationships/hyperlink" Target="http://amazon.com/dp/B007F19O8G" TargetMode="External"/><Relationship Id="rId249" Type="http://schemas.openxmlformats.org/officeDocument/2006/relationships/hyperlink" Target="http://amazon.com/dp/B003XI2ISI" TargetMode="External"/><Relationship Id="rId248" Type="http://schemas.openxmlformats.org/officeDocument/2006/relationships/hyperlink" Target="http://palletfly.com/product_details.php?vid=21259" TargetMode="External"/><Relationship Id="rId247" Type="http://schemas.openxmlformats.org/officeDocument/2006/relationships/hyperlink" Target="http://amazon.com/dp/B01I6RD5FA" TargetMode="External"/><Relationship Id="rId1070" Type="http://schemas.openxmlformats.org/officeDocument/2006/relationships/hyperlink" Target="http://palletfly.com/product_details.php?vid=4826" TargetMode="External"/><Relationship Id="rId1071" Type="http://schemas.openxmlformats.org/officeDocument/2006/relationships/hyperlink" Target="http://amazon.com/dp/B01BKAUQFM" TargetMode="External"/><Relationship Id="rId1072" Type="http://schemas.openxmlformats.org/officeDocument/2006/relationships/hyperlink" Target="http://palletfly.com/product_details.php?vid=9374" TargetMode="External"/><Relationship Id="rId242" Type="http://schemas.openxmlformats.org/officeDocument/2006/relationships/hyperlink" Target="http://palletfly.com/product_details.php?vid=18592" TargetMode="External"/><Relationship Id="rId1073" Type="http://schemas.openxmlformats.org/officeDocument/2006/relationships/hyperlink" Target="http://amazon.com/dp/B01C6VRCS8" TargetMode="External"/><Relationship Id="rId241" Type="http://schemas.openxmlformats.org/officeDocument/2006/relationships/hyperlink" Target="http://amazon.com/dp/B088H84DLJ" TargetMode="External"/><Relationship Id="rId1074" Type="http://schemas.openxmlformats.org/officeDocument/2006/relationships/hyperlink" Target="http://palletfly.com/product_details.php?vid=15045" TargetMode="External"/><Relationship Id="rId240" Type="http://schemas.openxmlformats.org/officeDocument/2006/relationships/hyperlink" Target="http://palletfly.com/product_details.php?vid=23819" TargetMode="External"/><Relationship Id="rId1075" Type="http://schemas.openxmlformats.org/officeDocument/2006/relationships/hyperlink" Target="http://amazon.com/dp/B00K25F1UW" TargetMode="External"/><Relationship Id="rId1076" Type="http://schemas.openxmlformats.org/officeDocument/2006/relationships/hyperlink" Target="http://palletfly.com/product_details.php?vid=22640" TargetMode="External"/><Relationship Id="rId246" Type="http://schemas.openxmlformats.org/officeDocument/2006/relationships/hyperlink" Target="http://palletfly.com/product_details.php?vid=17028" TargetMode="External"/><Relationship Id="rId1077" Type="http://schemas.openxmlformats.org/officeDocument/2006/relationships/hyperlink" Target="http://amazon.com/dp/B003RGLMXI" TargetMode="External"/><Relationship Id="rId245" Type="http://schemas.openxmlformats.org/officeDocument/2006/relationships/hyperlink" Target="http://amazon.com/dp/B089QTF7QX" TargetMode="External"/><Relationship Id="rId1078" Type="http://schemas.openxmlformats.org/officeDocument/2006/relationships/hyperlink" Target="http://palletfly.com/product_details.php?vid=3014" TargetMode="External"/><Relationship Id="rId244" Type="http://schemas.openxmlformats.org/officeDocument/2006/relationships/hyperlink" Target="http://palletfly.com/product_details.php?vid=19088" TargetMode="External"/><Relationship Id="rId1079" Type="http://schemas.openxmlformats.org/officeDocument/2006/relationships/hyperlink" Target="http://amazon.com/dp/B00NBR7962" TargetMode="External"/><Relationship Id="rId243" Type="http://schemas.openxmlformats.org/officeDocument/2006/relationships/hyperlink" Target="http://amazon.com/dp/B002SRU9KY" TargetMode="External"/><Relationship Id="rId239" Type="http://schemas.openxmlformats.org/officeDocument/2006/relationships/hyperlink" Target="http://amazon.com/dp/B07F6V81S2" TargetMode="External"/><Relationship Id="rId238" Type="http://schemas.openxmlformats.org/officeDocument/2006/relationships/hyperlink" Target="http://palletfly.com/product_details.php?vid=15389" TargetMode="External"/><Relationship Id="rId237" Type="http://schemas.openxmlformats.org/officeDocument/2006/relationships/hyperlink" Target="http://amazon.com/dp/B07WV659BS" TargetMode="External"/><Relationship Id="rId236" Type="http://schemas.openxmlformats.org/officeDocument/2006/relationships/hyperlink" Target="http://palletfly.com/product_details.php?vid=11220" TargetMode="External"/><Relationship Id="rId1060" Type="http://schemas.openxmlformats.org/officeDocument/2006/relationships/hyperlink" Target="http://palletfly.com/product_details.php?vid=18654" TargetMode="External"/><Relationship Id="rId1061" Type="http://schemas.openxmlformats.org/officeDocument/2006/relationships/hyperlink" Target="http://amazon.com/dp/B001ASDDHI" TargetMode="External"/><Relationship Id="rId231" Type="http://schemas.openxmlformats.org/officeDocument/2006/relationships/hyperlink" Target="http://amazon.com/dp/B000NVCTMS" TargetMode="External"/><Relationship Id="rId1062" Type="http://schemas.openxmlformats.org/officeDocument/2006/relationships/hyperlink" Target="http://palletfly.com/product_details.php?vid=15997" TargetMode="External"/><Relationship Id="rId230" Type="http://schemas.openxmlformats.org/officeDocument/2006/relationships/hyperlink" Target="http://palletfly.com/product_details.php?vid=10182" TargetMode="External"/><Relationship Id="rId1063" Type="http://schemas.openxmlformats.org/officeDocument/2006/relationships/hyperlink" Target="http://amazon.com/dp/B00WRMVZ5S" TargetMode="External"/><Relationship Id="rId1064" Type="http://schemas.openxmlformats.org/officeDocument/2006/relationships/hyperlink" Target="http://palletfly.com/product_details.php?vid=17260" TargetMode="External"/><Relationship Id="rId1065" Type="http://schemas.openxmlformats.org/officeDocument/2006/relationships/hyperlink" Target="http://amazon.com/dp/B084CPGRP2" TargetMode="External"/><Relationship Id="rId235" Type="http://schemas.openxmlformats.org/officeDocument/2006/relationships/hyperlink" Target="http://amazon.com/dp/B07VKPNCDJ" TargetMode="External"/><Relationship Id="rId1066" Type="http://schemas.openxmlformats.org/officeDocument/2006/relationships/hyperlink" Target="http://palletfly.com/product_details.php?vid=23289" TargetMode="External"/><Relationship Id="rId234" Type="http://schemas.openxmlformats.org/officeDocument/2006/relationships/hyperlink" Target="http://palletfly.com/product_details.php?vid=22650" TargetMode="External"/><Relationship Id="rId1067" Type="http://schemas.openxmlformats.org/officeDocument/2006/relationships/hyperlink" Target="http://amazon.com/dp/B07ZL218X7" TargetMode="External"/><Relationship Id="rId233" Type="http://schemas.openxmlformats.org/officeDocument/2006/relationships/hyperlink" Target="http://amazon.com/dp/B0006HUKLG" TargetMode="External"/><Relationship Id="rId1068" Type="http://schemas.openxmlformats.org/officeDocument/2006/relationships/hyperlink" Target="http://palletfly.com/product_details.php?vid=2747" TargetMode="External"/><Relationship Id="rId232" Type="http://schemas.openxmlformats.org/officeDocument/2006/relationships/hyperlink" Target="http://palletfly.com/product_details.php?vid=17208" TargetMode="External"/><Relationship Id="rId1069" Type="http://schemas.openxmlformats.org/officeDocument/2006/relationships/hyperlink" Target="http://amazon.com/dp/B012C0X45S" TargetMode="External"/><Relationship Id="rId1015" Type="http://schemas.openxmlformats.org/officeDocument/2006/relationships/hyperlink" Target="http://amazon.com/dp/B0038JUBRW" TargetMode="External"/><Relationship Id="rId1499" Type="http://schemas.openxmlformats.org/officeDocument/2006/relationships/hyperlink" Target="http://amazon.com/dp/B07X61LRGT" TargetMode="External"/><Relationship Id="rId1016" Type="http://schemas.openxmlformats.org/officeDocument/2006/relationships/hyperlink" Target="http://palletfly.com/product_details.php?vid=21099" TargetMode="External"/><Relationship Id="rId1017" Type="http://schemas.openxmlformats.org/officeDocument/2006/relationships/hyperlink" Target="http://amazon.com/dp/B0017TNUZU" TargetMode="External"/><Relationship Id="rId1018" Type="http://schemas.openxmlformats.org/officeDocument/2006/relationships/hyperlink" Target="http://palletfly.com/product_details.php?vid=8491" TargetMode="External"/><Relationship Id="rId1019" Type="http://schemas.openxmlformats.org/officeDocument/2006/relationships/hyperlink" Target="http://amazon.com/dp/B07K9156GB" TargetMode="External"/><Relationship Id="rId668" Type="http://schemas.openxmlformats.org/officeDocument/2006/relationships/hyperlink" Target="http://palletfly.com/product_details.php?vid=24001" TargetMode="External"/><Relationship Id="rId667" Type="http://schemas.openxmlformats.org/officeDocument/2006/relationships/hyperlink" Target="http://amazon.com/dp/B00016ZMNI" TargetMode="External"/><Relationship Id="rId666" Type="http://schemas.openxmlformats.org/officeDocument/2006/relationships/hyperlink" Target="http://palletfly.com/product_details.php?vid=24293" TargetMode="External"/><Relationship Id="rId665" Type="http://schemas.openxmlformats.org/officeDocument/2006/relationships/hyperlink" Target="http://amazon.com/dp/B002JGIETC" TargetMode="External"/><Relationship Id="rId669" Type="http://schemas.openxmlformats.org/officeDocument/2006/relationships/hyperlink" Target="http://amazon.com/dp/B00Z3NAVR6" TargetMode="External"/><Relationship Id="rId1490" Type="http://schemas.openxmlformats.org/officeDocument/2006/relationships/hyperlink" Target="http://palletfly.com/product_details.php?vid=21821" TargetMode="External"/><Relationship Id="rId660" Type="http://schemas.openxmlformats.org/officeDocument/2006/relationships/hyperlink" Target="http://palletfly.com/product_details.php?vid=8039" TargetMode="External"/><Relationship Id="rId1491" Type="http://schemas.openxmlformats.org/officeDocument/2006/relationships/hyperlink" Target="http://amazon.com/dp/B00X2NP1QK" TargetMode="External"/><Relationship Id="rId1492" Type="http://schemas.openxmlformats.org/officeDocument/2006/relationships/hyperlink" Target="http://palletfly.com/product_details.php?vid=23476" TargetMode="External"/><Relationship Id="rId1493" Type="http://schemas.openxmlformats.org/officeDocument/2006/relationships/hyperlink" Target="http://amazon.com/dp/B00006IFI8" TargetMode="External"/><Relationship Id="rId1010" Type="http://schemas.openxmlformats.org/officeDocument/2006/relationships/hyperlink" Target="http://palletfly.com/product_details.php?vid=23795" TargetMode="External"/><Relationship Id="rId1494" Type="http://schemas.openxmlformats.org/officeDocument/2006/relationships/hyperlink" Target="http://palletfly.com/product_details.php?vid=24462" TargetMode="External"/><Relationship Id="rId664" Type="http://schemas.openxmlformats.org/officeDocument/2006/relationships/hyperlink" Target="http://palletfly.com/product_details.php?vid=18524" TargetMode="External"/><Relationship Id="rId1011" Type="http://schemas.openxmlformats.org/officeDocument/2006/relationships/hyperlink" Target="http://amazon.com/dp/B08564DHVW" TargetMode="External"/><Relationship Id="rId1495" Type="http://schemas.openxmlformats.org/officeDocument/2006/relationships/hyperlink" Target="http://amazon.com/dp/B0027AEETO" TargetMode="External"/><Relationship Id="rId663" Type="http://schemas.openxmlformats.org/officeDocument/2006/relationships/hyperlink" Target="http://amazon.com/dp/B01M6ZU6G1" TargetMode="External"/><Relationship Id="rId1012" Type="http://schemas.openxmlformats.org/officeDocument/2006/relationships/hyperlink" Target="http://palletfly.com/product_details.php?vid=11281" TargetMode="External"/><Relationship Id="rId1496" Type="http://schemas.openxmlformats.org/officeDocument/2006/relationships/hyperlink" Target="http://palletfly.com/product_details.php?vid=7178" TargetMode="External"/><Relationship Id="rId662" Type="http://schemas.openxmlformats.org/officeDocument/2006/relationships/hyperlink" Target="http://palletfly.com/product_details.php?vid=16657" TargetMode="External"/><Relationship Id="rId1013" Type="http://schemas.openxmlformats.org/officeDocument/2006/relationships/hyperlink" Target="http://amazon.com/dp/B000PKUVO0" TargetMode="External"/><Relationship Id="rId1497" Type="http://schemas.openxmlformats.org/officeDocument/2006/relationships/hyperlink" Target="http://amazon.com/dp/B00Q45VNHE" TargetMode="External"/><Relationship Id="rId661" Type="http://schemas.openxmlformats.org/officeDocument/2006/relationships/hyperlink" Target="http://amazon.com/dp/B00362VTW2" TargetMode="External"/><Relationship Id="rId1014" Type="http://schemas.openxmlformats.org/officeDocument/2006/relationships/hyperlink" Target="http://palletfly.com/product_details.php?vid=17342" TargetMode="External"/><Relationship Id="rId1498" Type="http://schemas.openxmlformats.org/officeDocument/2006/relationships/hyperlink" Target="http://palletfly.com/product_details.php?vid=11194" TargetMode="External"/><Relationship Id="rId1004" Type="http://schemas.openxmlformats.org/officeDocument/2006/relationships/hyperlink" Target="http://palletfly.com/product_details.php?vid=3500" TargetMode="External"/><Relationship Id="rId1488" Type="http://schemas.openxmlformats.org/officeDocument/2006/relationships/hyperlink" Target="http://palletfly.com/product_details.php?vid=18714" TargetMode="External"/><Relationship Id="rId1005" Type="http://schemas.openxmlformats.org/officeDocument/2006/relationships/hyperlink" Target="http://amazon.com/dp/B00KS9HEL6" TargetMode="External"/><Relationship Id="rId1489" Type="http://schemas.openxmlformats.org/officeDocument/2006/relationships/hyperlink" Target="http://amazon.com/dp/B07F67QYJT" TargetMode="External"/><Relationship Id="rId1006" Type="http://schemas.openxmlformats.org/officeDocument/2006/relationships/hyperlink" Target="http://palletfly.com/product_details.php?vid=19698" TargetMode="External"/><Relationship Id="rId1007" Type="http://schemas.openxmlformats.org/officeDocument/2006/relationships/hyperlink" Target="http://amazon.com/dp/B002RRULBM" TargetMode="External"/><Relationship Id="rId1008" Type="http://schemas.openxmlformats.org/officeDocument/2006/relationships/hyperlink" Target="http://palletfly.com/product_details.php?vid=23836" TargetMode="External"/><Relationship Id="rId1009" Type="http://schemas.openxmlformats.org/officeDocument/2006/relationships/hyperlink" Target="http://amazon.com/dp/B000GUF950" TargetMode="External"/><Relationship Id="rId657" Type="http://schemas.openxmlformats.org/officeDocument/2006/relationships/hyperlink" Target="http://amazon.com/dp/B004IUPG2U" TargetMode="External"/><Relationship Id="rId656" Type="http://schemas.openxmlformats.org/officeDocument/2006/relationships/hyperlink" Target="http://palletfly.com/product_details.php?vid=11745" TargetMode="External"/><Relationship Id="rId655" Type="http://schemas.openxmlformats.org/officeDocument/2006/relationships/hyperlink" Target="http://amazon.com/dp/B00M5YKY7S" TargetMode="External"/><Relationship Id="rId654" Type="http://schemas.openxmlformats.org/officeDocument/2006/relationships/hyperlink" Target="http://palletfly.com/product_details.php?vid=23415" TargetMode="External"/><Relationship Id="rId659" Type="http://schemas.openxmlformats.org/officeDocument/2006/relationships/hyperlink" Target="http://amazon.com/dp/B01KKEKRTY" TargetMode="External"/><Relationship Id="rId658" Type="http://schemas.openxmlformats.org/officeDocument/2006/relationships/hyperlink" Target="http://palletfly.com/product_details.php?vid=14429" TargetMode="External"/><Relationship Id="rId1480" Type="http://schemas.openxmlformats.org/officeDocument/2006/relationships/hyperlink" Target="http://palletfly.com/product_details.php?vid=21237" TargetMode="External"/><Relationship Id="rId1481" Type="http://schemas.openxmlformats.org/officeDocument/2006/relationships/hyperlink" Target="http://amazon.com/dp/B00FACLR5U" TargetMode="External"/><Relationship Id="rId1482" Type="http://schemas.openxmlformats.org/officeDocument/2006/relationships/hyperlink" Target="http://palletfly.com/product_details.php?vid=22203" TargetMode="External"/><Relationship Id="rId1483" Type="http://schemas.openxmlformats.org/officeDocument/2006/relationships/hyperlink" Target="http://amazon.com/dp/B004RE3YQW" TargetMode="External"/><Relationship Id="rId653" Type="http://schemas.openxmlformats.org/officeDocument/2006/relationships/hyperlink" Target="http://amazon.com/dp/B00347A86W" TargetMode="External"/><Relationship Id="rId1000" Type="http://schemas.openxmlformats.org/officeDocument/2006/relationships/hyperlink" Target="http://palletfly.com/product_details.php?vid=4420" TargetMode="External"/><Relationship Id="rId1484" Type="http://schemas.openxmlformats.org/officeDocument/2006/relationships/hyperlink" Target="http://palletfly.com/product_details.php?vid=23473" TargetMode="External"/><Relationship Id="rId652" Type="http://schemas.openxmlformats.org/officeDocument/2006/relationships/hyperlink" Target="http://palletfly.com/product_details.php?vid=21239" TargetMode="External"/><Relationship Id="rId1001" Type="http://schemas.openxmlformats.org/officeDocument/2006/relationships/hyperlink" Target="http://amazon.com/dp/B000LNQPIW" TargetMode="External"/><Relationship Id="rId1485" Type="http://schemas.openxmlformats.org/officeDocument/2006/relationships/hyperlink" Target="http://amazon.com/dp/B07TZ4Y28L" TargetMode="External"/><Relationship Id="rId651" Type="http://schemas.openxmlformats.org/officeDocument/2006/relationships/hyperlink" Target="http://amazon.com/dp/B0015A7OIA" TargetMode="External"/><Relationship Id="rId1002" Type="http://schemas.openxmlformats.org/officeDocument/2006/relationships/hyperlink" Target="http://palletfly.com/product_details.php?vid=14566" TargetMode="External"/><Relationship Id="rId1486" Type="http://schemas.openxmlformats.org/officeDocument/2006/relationships/hyperlink" Target="http://palletfly.com/product_details.php?vid=18581" TargetMode="External"/><Relationship Id="rId650" Type="http://schemas.openxmlformats.org/officeDocument/2006/relationships/hyperlink" Target="http://palletfly.com/product_details.php?vid=11633" TargetMode="External"/><Relationship Id="rId1003" Type="http://schemas.openxmlformats.org/officeDocument/2006/relationships/hyperlink" Target="http://amazon.com/dp/B0012RT1IM" TargetMode="External"/><Relationship Id="rId1487" Type="http://schemas.openxmlformats.org/officeDocument/2006/relationships/hyperlink" Target="http://amazon.com/dp/B001PMK37C" TargetMode="External"/><Relationship Id="rId1037" Type="http://schemas.openxmlformats.org/officeDocument/2006/relationships/hyperlink" Target="http://amazon.com/dp/B00006IERT" TargetMode="External"/><Relationship Id="rId1038" Type="http://schemas.openxmlformats.org/officeDocument/2006/relationships/hyperlink" Target="http://palletfly.com/product_details.php?vid=15195" TargetMode="External"/><Relationship Id="rId1039" Type="http://schemas.openxmlformats.org/officeDocument/2006/relationships/hyperlink" Target="http://amazon.com/dp/B0892RB9PN" TargetMode="External"/><Relationship Id="rId206" Type="http://schemas.openxmlformats.org/officeDocument/2006/relationships/hyperlink" Target="http://palletfly.com/product_details.php?vid=15349" TargetMode="External"/><Relationship Id="rId205" Type="http://schemas.openxmlformats.org/officeDocument/2006/relationships/hyperlink" Target="http://amazon.com/dp/B0011DGJSC" TargetMode="External"/><Relationship Id="rId689" Type="http://schemas.openxmlformats.org/officeDocument/2006/relationships/hyperlink" Target="http://amazon.com/dp/B004FLKP2S" TargetMode="External"/><Relationship Id="rId204" Type="http://schemas.openxmlformats.org/officeDocument/2006/relationships/hyperlink" Target="http://palletfly.com/product_details.php?vid=10566" TargetMode="External"/><Relationship Id="rId688" Type="http://schemas.openxmlformats.org/officeDocument/2006/relationships/hyperlink" Target="http://palletfly.com/product_details.php?vid=18633" TargetMode="External"/><Relationship Id="rId203" Type="http://schemas.openxmlformats.org/officeDocument/2006/relationships/hyperlink" Target="http://amazon.com/dp/B001JTLF1O" TargetMode="External"/><Relationship Id="rId687" Type="http://schemas.openxmlformats.org/officeDocument/2006/relationships/hyperlink" Target="http://amazon.com/dp/B085HG6D2B" TargetMode="External"/><Relationship Id="rId209" Type="http://schemas.openxmlformats.org/officeDocument/2006/relationships/hyperlink" Target="http://amazon.com/dp/B0892T5659" TargetMode="External"/><Relationship Id="rId208" Type="http://schemas.openxmlformats.org/officeDocument/2006/relationships/hyperlink" Target="http://palletfly.com/product_details.php?vid=15192" TargetMode="External"/><Relationship Id="rId207" Type="http://schemas.openxmlformats.org/officeDocument/2006/relationships/hyperlink" Target="http://amazon.com/dp/B07SD5XSFJ" TargetMode="External"/><Relationship Id="rId682" Type="http://schemas.openxmlformats.org/officeDocument/2006/relationships/hyperlink" Target="http://palletfly.com/product_details.php?vid=20470" TargetMode="External"/><Relationship Id="rId681" Type="http://schemas.openxmlformats.org/officeDocument/2006/relationships/hyperlink" Target="http://amazon.com/dp/B002VKXJIM" TargetMode="External"/><Relationship Id="rId1030" Type="http://schemas.openxmlformats.org/officeDocument/2006/relationships/hyperlink" Target="http://palletfly.com/product_details.php?vid=7506" TargetMode="External"/><Relationship Id="rId680" Type="http://schemas.openxmlformats.org/officeDocument/2006/relationships/hyperlink" Target="http://palletfly.com/product_details.php?vid=18645" TargetMode="External"/><Relationship Id="rId1031" Type="http://schemas.openxmlformats.org/officeDocument/2006/relationships/hyperlink" Target="http://amazon.com/dp/B0749N1W25" TargetMode="External"/><Relationship Id="rId1032" Type="http://schemas.openxmlformats.org/officeDocument/2006/relationships/hyperlink" Target="http://palletfly.com/product_details.php?vid=14099" TargetMode="External"/><Relationship Id="rId202" Type="http://schemas.openxmlformats.org/officeDocument/2006/relationships/hyperlink" Target="http://palletfly.com/product_details.php?vid=23013" TargetMode="External"/><Relationship Id="rId686" Type="http://schemas.openxmlformats.org/officeDocument/2006/relationships/hyperlink" Target="http://palletfly.com/product_details.php?vid=12257" TargetMode="External"/><Relationship Id="rId1033" Type="http://schemas.openxmlformats.org/officeDocument/2006/relationships/hyperlink" Target="http://amazon.com/dp/B00652FGZ6" TargetMode="External"/><Relationship Id="rId201" Type="http://schemas.openxmlformats.org/officeDocument/2006/relationships/hyperlink" Target="http://amazon.com/dp/B00GRT2B4Q" TargetMode="External"/><Relationship Id="rId685" Type="http://schemas.openxmlformats.org/officeDocument/2006/relationships/hyperlink" Target="http://amazon.com/dp/B000G1KTWC" TargetMode="External"/><Relationship Id="rId1034" Type="http://schemas.openxmlformats.org/officeDocument/2006/relationships/hyperlink" Target="http://palletfly.com/product_details.php?vid=20146" TargetMode="External"/><Relationship Id="rId200" Type="http://schemas.openxmlformats.org/officeDocument/2006/relationships/hyperlink" Target="http://palletfly.com/product_details.php?vid=24871" TargetMode="External"/><Relationship Id="rId684" Type="http://schemas.openxmlformats.org/officeDocument/2006/relationships/hyperlink" Target="http://palletfly.com/product_details.php?vid=22947" TargetMode="External"/><Relationship Id="rId1035" Type="http://schemas.openxmlformats.org/officeDocument/2006/relationships/hyperlink" Target="http://amazon.com/dp/B008HG1QWA" TargetMode="External"/><Relationship Id="rId683" Type="http://schemas.openxmlformats.org/officeDocument/2006/relationships/hyperlink" Target="http://amazon.com/dp/B003BQOZJW" TargetMode="External"/><Relationship Id="rId1036" Type="http://schemas.openxmlformats.org/officeDocument/2006/relationships/hyperlink" Target="http://palletfly.com/product_details.php?vid=21726" TargetMode="External"/><Relationship Id="rId1026" Type="http://schemas.openxmlformats.org/officeDocument/2006/relationships/hyperlink" Target="http://palletfly.com/product_details.php?vid=12725" TargetMode="External"/><Relationship Id="rId1027" Type="http://schemas.openxmlformats.org/officeDocument/2006/relationships/hyperlink" Target="http://amazon.com/dp/B0021ZGTVQ" TargetMode="External"/><Relationship Id="rId1028" Type="http://schemas.openxmlformats.org/officeDocument/2006/relationships/hyperlink" Target="http://palletfly.com/product_details.php?vid=22869" TargetMode="External"/><Relationship Id="rId1029" Type="http://schemas.openxmlformats.org/officeDocument/2006/relationships/hyperlink" Target="http://amazon.com/dp/B000RPVX0Y" TargetMode="External"/><Relationship Id="rId679" Type="http://schemas.openxmlformats.org/officeDocument/2006/relationships/hyperlink" Target="http://amazon.com/dp/B071FNVF1G" TargetMode="External"/><Relationship Id="rId678" Type="http://schemas.openxmlformats.org/officeDocument/2006/relationships/hyperlink" Target="http://palletfly.com/product_details.php?vid=18167" TargetMode="External"/><Relationship Id="rId677" Type="http://schemas.openxmlformats.org/officeDocument/2006/relationships/hyperlink" Target="http://amazon.com/dp/B002AS9N58" TargetMode="External"/><Relationship Id="rId676" Type="http://schemas.openxmlformats.org/officeDocument/2006/relationships/hyperlink" Target="http://palletfly.com/product_details.php?vid=14448" TargetMode="External"/><Relationship Id="rId671" Type="http://schemas.openxmlformats.org/officeDocument/2006/relationships/hyperlink" Target="http://amazon.com/dp/B00152SO64" TargetMode="External"/><Relationship Id="rId670" Type="http://schemas.openxmlformats.org/officeDocument/2006/relationships/hyperlink" Target="http://palletfly.com/product_details.php?vid=11157" TargetMode="External"/><Relationship Id="rId1020" Type="http://schemas.openxmlformats.org/officeDocument/2006/relationships/hyperlink" Target="http://palletfly.com/product_details.php?vid=23773" TargetMode="External"/><Relationship Id="rId1021" Type="http://schemas.openxmlformats.org/officeDocument/2006/relationships/hyperlink" Target="http://amazon.com/dp/B004Y9QODA" TargetMode="External"/><Relationship Id="rId675" Type="http://schemas.openxmlformats.org/officeDocument/2006/relationships/hyperlink" Target="http://amazon.com/dp/B004O7APN2" TargetMode="External"/><Relationship Id="rId1022" Type="http://schemas.openxmlformats.org/officeDocument/2006/relationships/hyperlink" Target="http://palletfly.com/product_details.php?vid=17418" TargetMode="External"/><Relationship Id="rId674" Type="http://schemas.openxmlformats.org/officeDocument/2006/relationships/hyperlink" Target="http://palletfly.com/product_details.php?vid=24522" TargetMode="External"/><Relationship Id="rId1023" Type="http://schemas.openxmlformats.org/officeDocument/2006/relationships/hyperlink" Target="http://amazon.com/dp/B00006ICTF" TargetMode="External"/><Relationship Id="rId673" Type="http://schemas.openxmlformats.org/officeDocument/2006/relationships/hyperlink" Target="http://amazon.com/dp/B00RY1O2T8" TargetMode="External"/><Relationship Id="rId1024" Type="http://schemas.openxmlformats.org/officeDocument/2006/relationships/hyperlink" Target="http://palletfly.com/product_details.php?vid=23674" TargetMode="External"/><Relationship Id="rId672" Type="http://schemas.openxmlformats.org/officeDocument/2006/relationships/hyperlink" Target="http://palletfly.com/product_details.php?vid=24007" TargetMode="External"/><Relationship Id="rId1025" Type="http://schemas.openxmlformats.org/officeDocument/2006/relationships/hyperlink" Target="http://amazon.com/dp/B002GKC2VM" TargetMode="External"/><Relationship Id="rId190" Type="http://schemas.openxmlformats.org/officeDocument/2006/relationships/hyperlink" Target="http://palletfly.com/product_details.php?vid=23594" TargetMode="External"/><Relationship Id="rId194" Type="http://schemas.openxmlformats.org/officeDocument/2006/relationships/hyperlink" Target="http://palletfly.com/product_details.php?vid=24380" TargetMode="External"/><Relationship Id="rId193" Type="http://schemas.openxmlformats.org/officeDocument/2006/relationships/hyperlink" Target="http://amazon.com/dp/B008L5AZRO" TargetMode="External"/><Relationship Id="rId192" Type="http://schemas.openxmlformats.org/officeDocument/2006/relationships/hyperlink" Target="http://palletfly.com/product_details.php?vid=19719" TargetMode="External"/><Relationship Id="rId191" Type="http://schemas.openxmlformats.org/officeDocument/2006/relationships/hyperlink" Target="http://amazon.com/dp/B002MPC4KA" TargetMode="External"/><Relationship Id="rId187" Type="http://schemas.openxmlformats.org/officeDocument/2006/relationships/hyperlink" Target="http://amazon.com/dp/B08924TDNW" TargetMode="External"/><Relationship Id="rId186" Type="http://schemas.openxmlformats.org/officeDocument/2006/relationships/hyperlink" Target="http://palletfly.com/product_details.php?vid=15191" TargetMode="External"/><Relationship Id="rId185" Type="http://schemas.openxmlformats.org/officeDocument/2006/relationships/hyperlink" Target="http://amazon.com/dp/B000WRZC5O" TargetMode="External"/><Relationship Id="rId184" Type="http://schemas.openxmlformats.org/officeDocument/2006/relationships/hyperlink" Target="http://palletfly.com/product_details.php?vid=21143" TargetMode="External"/><Relationship Id="rId189" Type="http://schemas.openxmlformats.org/officeDocument/2006/relationships/hyperlink" Target="http://amazon.com/dp/B000UZTWMC" TargetMode="External"/><Relationship Id="rId188" Type="http://schemas.openxmlformats.org/officeDocument/2006/relationships/hyperlink" Target="http://palletfly.com/product_details.php?vid=21398" TargetMode="External"/><Relationship Id="rId183" Type="http://schemas.openxmlformats.org/officeDocument/2006/relationships/hyperlink" Target="http://amazon.com/dp/B00E9OYDGU" TargetMode="External"/><Relationship Id="rId182" Type="http://schemas.openxmlformats.org/officeDocument/2006/relationships/hyperlink" Target="http://palletfly.com/product_details.php?vid=7634" TargetMode="External"/><Relationship Id="rId181" Type="http://schemas.openxmlformats.org/officeDocument/2006/relationships/hyperlink" Target="http://amazon.com/dp/B000TZOXHW" TargetMode="External"/><Relationship Id="rId180" Type="http://schemas.openxmlformats.org/officeDocument/2006/relationships/hyperlink" Target="http://palletfly.com/product_details.php?vid=14902" TargetMode="External"/><Relationship Id="rId176" Type="http://schemas.openxmlformats.org/officeDocument/2006/relationships/hyperlink" Target="http://palletfly.com/product_details.php?vid=171" TargetMode="External"/><Relationship Id="rId175" Type="http://schemas.openxmlformats.org/officeDocument/2006/relationships/hyperlink" Target="http://amazon.com/dp/B00BPDNTSQ" TargetMode="External"/><Relationship Id="rId174" Type="http://schemas.openxmlformats.org/officeDocument/2006/relationships/hyperlink" Target="http://palletfly.com/product_details.php?vid=19056" TargetMode="External"/><Relationship Id="rId173" Type="http://schemas.openxmlformats.org/officeDocument/2006/relationships/hyperlink" Target="http://amazon.com/dp/B08B6B1H7P" TargetMode="External"/><Relationship Id="rId179" Type="http://schemas.openxmlformats.org/officeDocument/2006/relationships/hyperlink" Target="http://amazon.com/dp/B005QVJ4QO" TargetMode="External"/><Relationship Id="rId178" Type="http://schemas.openxmlformats.org/officeDocument/2006/relationships/hyperlink" Target="http://palletfly.com/product_details.php?vid=22970" TargetMode="External"/><Relationship Id="rId177" Type="http://schemas.openxmlformats.org/officeDocument/2006/relationships/hyperlink" Target="http://amazon.com/dp/B007NG5UGS" TargetMode="External"/><Relationship Id="rId1910" Type="http://schemas.openxmlformats.org/officeDocument/2006/relationships/hyperlink" Target="http://palletfly.com/product_details.php?vid=23550" TargetMode="External"/><Relationship Id="rId1911" Type="http://schemas.openxmlformats.org/officeDocument/2006/relationships/hyperlink" Target="http://amazon.com/dp/B002VCV4OQ" TargetMode="External"/><Relationship Id="rId1912" Type="http://schemas.openxmlformats.org/officeDocument/2006/relationships/hyperlink" Target="http://palletfly.com/product_details.php?vid=13601" TargetMode="External"/><Relationship Id="rId1913" Type="http://schemas.openxmlformats.org/officeDocument/2006/relationships/hyperlink" Target="http://amazon.com/dp/B008DBZRR4" TargetMode="External"/><Relationship Id="rId1914" Type="http://schemas.openxmlformats.org/officeDocument/2006/relationships/hyperlink" Target="http://palletfly.com/product_details.php?vid=24534" TargetMode="External"/><Relationship Id="rId1915" Type="http://schemas.openxmlformats.org/officeDocument/2006/relationships/hyperlink" Target="http://amazon.com/dp/B000KNJ724" TargetMode="External"/><Relationship Id="rId1916" Type="http://schemas.openxmlformats.org/officeDocument/2006/relationships/hyperlink" Target="http://palletfly.com/product_details.php?vid=3718" TargetMode="External"/><Relationship Id="rId1917" Type="http://schemas.openxmlformats.org/officeDocument/2006/relationships/hyperlink" Target="http://amazon.com/dp/B0038KQ17K" TargetMode="External"/><Relationship Id="rId1918" Type="http://schemas.openxmlformats.org/officeDocument/2006/relationships/hyperlink" Target="http://palletfly.com/product_details.php?vid=15536" TargetMode="External"/><Relationship Id="rId1919" Type="http://schemas.openxmlformats.org/officeDocument/2006/relationships/hyperlink" Target="http://amazon.com/dp/B0026T8JEW" TargetMode="External"/><Relationship Id="rId1900" Type="http://schemas.openxmlformats.org/officeDocument/2006/relationships/hyperlink" Target="http://palletfly.com/product_details.php?vid=15992" TargetMode="External"/><Relationship Id="rId1901" Type="http://schemas.openxmlformats.org/officeDocument/2006/relationships/hyperlink" Target="http://amazon.com/dp/B0027AEHWI" TargetMode="External"/><Relationship Id="rId1902" Type="http://schemas.openxmlformats.org/officeDocument/2006/relationships/hyperlink" Target="http://palletfly.com/product_details.php?vid=12164" TargetMode="External"/><Relationship Id="rId1903" Type="http://schemas.openxmlformats.org/officeDocument/2006/relationships/hyperlink" Target="http://amazon.com/dp/B00DJY1RX8" TargetMode="External"/><Relationship Id="rId1904" Type="http://schemas.openxmlformats.org/officeDocument/2006/relationships/hyperlink" Target="http://palletfly.com/product_details.php?vid=19717" TargetMode="External"/><Relationship Id="rId1905" Type="http://schemas.openxmlformats.org/officeDocument/2006/relationships/hyperlink" Target="http://amazon.com/dp/B000VOPITS" TargetMode="External"/><Relationship Id="rId1906" Type="http://schemas.openxmlformats.org/officeDocument/2006/relationships/hyperlink" Target="http://palletfly.com/product_details.php?vid=22051" TargetMode="External"/><Relationship Id="rId1907" Type="http://schemas.openxmlformats.org/officeDocument/2006/relationships/hyperlink" Target="http://amazon.com/dp/B074HP7HBZ" TargetMode="External"/><Relationship Id="rId1908" Type="http://schemas.openxmlformats.org/officeDocument/2006/relationships/hyperlink" Target="http://palletfly.com/product_details.php?vid=22660" TargetMode="External"/><Relationship Id="rId1909" Type="http://schemas.openxmlformats.org/officeDocument/2006/relationships/hyperlink" Target="http://amazon.com/dp/B085H91V95" TargetMode="External"/><Relationship Id="rId198" Type="http://schemas.openxmlformats.org/officeDocument/2006/relationships/hyperlink" Target="http://palletfly.com/product_details.php?vid=488" TargetMode="External"/><Relationship Id="rId197" Type="http://schemas.openxmlformats.org/officeDocument/2006/relationships/hyperlink" Target="http://amazon.com/dp/B093PTWP9G" TargetMode="External"/><Relationship Id="rId196" Type="http://schemas.openxmlformats.org/officeDocument/2006/relationships/hyperlink" Target="http://palletfly.com/product_details.php?vid=22148" TargetMode="External"/><Relationship Id="rId195" Type="http://schemas.openxmlformats.org/officeDocument/2006/relationships/hyperlink" Target="http://amazon.com/dp/B01798AV6S" TargetMode="External"/><Relationship Id="rId199" Type="http://schemas.openxmlformats.org/officeDocument/2006/relationships/hyperlink" Target="http://amazon.com/dp/B000XE5FY4" TargetMode="External"/><Relationship Id="rId150" Type="http://schemas.openxmlformats.org/officeDocument/2006/relationships/hyperlink" Target="http://palletfly.com/product_details.php?vid=19708" TargetMode="External"/><Relationship Id="rId149" Type="http://schemas.openxmlformats.org/officeDocument/2006/relationships/hyperlink" Target="http://amazon.com/dp/B084PRRJPW" TargetMode="External"/><Relationship Id="rId148" Type="http://schemas.openxmlformats.org/officeDocument/2006/relationships/hyperlink" Target="http://palletfly.com/product_details.php?vid=11691" TargetMode="External"/><Relationship Id="rId1090" Type="http://schemas.openxmlformats.org/officeDocument/2006/relationships/hyperlink" Target="http://palletfly.com/product_details.php?vid=20962" TargetMode="External"/><Relationship Id="rId1091" Type="http://schemas.openxmlformats.org/officeDocument/2006/relationships/hyperlink" Target="http://amazon.com/dp/B006OZF4KG" TargetMode="External"/><Relationship Id="rId1092" Type="http://schemas.openxmlformats.org/officeDocument/2006/relationships/hyperlink" Target="http://palletfly.com/product_details.php?vid=15981" TargetMode="External"/><Relationship Id="rId1093" Type="http://schemas.openxmlformats.org/officeDocument/2006/relationships/hyperlink" Target="http://amazon.com/dp/B0044SGW9C" TargetMode="External"/><Relationship Id="rId1094" Type="http://schemas.openxmlformats.org/officeDocument/2006/relationships/hyperlink" Target="http://palletfly.com/product_details.php?vid=21974" TargetMode="External"/><Relationship Id="rId143" Type="http://schemas.openxmlformats.org/officeDocument/2006/relationships/hyperlink" Target="http://amazon.com/dp/B002OMFR64" TargetMode="External"/><Relationship Id="rId1095" Type="http://schemas.openxmlformats.org/officeDocument/2006/relationships/hyperlink" Target="http://amazon.com/dp/B0044D2NOK" TargetMode="External"/><Relationship Id="rId142" Type="http://schemas.openxmlformats.org/officeDocument/2006/relationships/hyperlink" Target="http://palletfly.com/product_details.php?vid=23596" TargetMode="External"/><Relationship Id="rId1096" Type="http://schemas.openxmlformats.org/officeDocument/2006/relationships/hyperlink" Target="http://palletfly.com/product_details.php?vid=22949" TargetMode="External"/><Relationship Id="rId141" Type="http://schemas.openxmlformats.org/officeDocument/2006/relationships/hyperlink" Target="http://amazon.com/dp/B07Q452B2W" TargetMode="External"/><Relationship Id="rId1097" Type="http://schemas.openxmlformats.org/officeDocument/2006/relationships/hyperlink" Target="http://amazon.com/dp/B000J07O0U" TargetMode="External"/><Relationship Id="rId140" Type="http://schemas.openxmlformats.org/officeDocument/2006/relationships/hyperlink" Target="http://palletfly.com/product_details.php?vid=15945" TargetMode="External"/><Relationship Id="rId1098" Type="http://schemas.openxmlformats.org/officeDocument/2006/relationships/hyperlink" Target="http://palletfly.com/product_details.php?vid=21786" TargetMode="External"/><Relationship Id="rId147" Type="http://schemas.openxmlformats.org/officeDocument/2006/relationships/hyperlink" Target="http://amazon.com/dp/B00LUFTBOK" TargetMode="External"/><Relationship Id="rId1099" Type="http://schemas.openxmlformats.org/officeDocument/2006/relationships/hyperlink" Target="http://amazon.com/dp/B003DYZR6M" TargetMode="External"/><Relationship Id="rId146" Type="http://schemas.openxmlformats.org/officeDocument/2006/relationships/hyperlink" Target="http://palletfly.com/product_details.php?vid=13914" TargetMode="External"/><Relationship Id="rId145" Type="http://schemas.openxmlformats.org/officeDocument/2006/relationships/hyperlink" Target="http://amazon.com/dp/B001KOTRH2" TargetMode="External"/><Relationship Id="rId144" Type="http://schemas.openxmlformats.org/officeDocument/2006/relationships/hyperlink" Target="http://palletfly.com/product_details.php?vid=22265" TargetMode="External"/><Relationship Id="rId139" Type="http://schemas.openxmlformats.org/officeDocument/2006/relationships/hyperlink" Target="http://amazon.com/dp/B072MRBQ53" TargetMode="External"/><Relationship Id="rId138" Type="http://schemas.openxmlformats.org/officeDocument/2006/relationships/hyperlink" Target="http://palletfly.com/product_details.php?vid=16131" TargetMode="External"/><Relationship Id="rId137" Type="http://schemas.openxmlformats.org/officeDocument/2006/relationships/hyperlink" Target="http://amazon.com/dp/B00A2PCFXS" TargetMode="External"/><Relationship Id="rId1080" Type="http://schemas.openxmlformats.org/officeDocument/2006/relationships/hyperlink" Target="http://palletfly.com/product_details.php?vid=23511" TargetMode="External"/><Relationship Id="rId1081" Type="http://schemas.openxmlformats.org/officeDocument/2006/relationships/hyperlink" Target="http://amazon.com/dp/B000I0VMJU" TargetMode="External"/><Relationship Id="rId1082" Type="http://schemas.openxmlformats.org/officeDocument/2006/relationships/hyperlink" Target="http://palletfly.com/product_details.php?vid=10579" TargetMode="External"/><Relationship Id="rId1083" Type="http://schemas.openxmlformats.org/officeDocument/2006/relationships/hyperlink" Target="http://amazon.com/dp/B002R5ARD6" TargetMode="External"/><Relationship Id="rId132" Type="http://schemas.openxmlformats.org/officeDocument/2006/relationships/hyperlink" Target="http://palletfly.com/product_details.php?vid=20124" TargetMode="External"/><Relationship Id="rId1084" Type="http://schemas.openxmlformats.org/officeDocument/2006/relationships/hyperlink" Target="http://palletfly.com/product_details.php?vid=14331" TargetMode="External"/><Relationship Id="rId131" Type="http://schemas.openxmlformats.org/officeDocument/2006/relationships/hyperlink" Target="http://amazon.com/dp/B00IP6XMTC" TargetMode="External"/><Relationship Id="rId1085" Type="http://schemas.openxmlformats.org/officeDocument/2006/relationships/hyperlink" Target="http://amazon.com/dp/B01BKAU652" TargetMode="External"/><Relationship Id="rId130" Type="http://schemas.openxmlformats.org/officeDocument/2006/relationships/hyperlink" Target="http://palletfly.com/product_details.php?vid=21537" TargetMode="External"/><Relationship Id="rId1086" Type="http://schemas.openxmlformats.org/officeDocument/2006/relationships/hyperlink" Target="http://palletfly.com/product_details.php?vid=20824" TargetMode="External"/><Relationship Id="rId1087" Type="http://schemas.openxmlformats.org/officeDocument/2006/relationships/hyperlink" Target="http://amazon.com/dp/B00B749R7K" TargetMode="External"/><Relationship Id="rId136" Type="http://schemas.openxmlformats.org/officeDocument/2006/relationships/hyperlink" Target="http://palletfly.com/product_details.php?vid=15354" TargetMode="External"/><Relationship Id="rId1088" Type="http://schemas.openxmlformats.org/officeDocument/2006/relationships/hyperlink" Target="http://palletfly.com/product_details.php?vid=14574" TargetMode="External"/><Relationship Id="rId135" Type="http://schemas.openxmlformats.org/officeDocument/2006/relationships/hyperlink" Target="http://amazon.com/dp/B07XD5711M" TargetMode="External"/><Relationship Id="rId1089" Type="http://schemas.openxmlformats.org/officeDocument/2006/relationships/hyperlink" Target="http://amazon.com/dp/B000C1VSXU" TargetMode="External"/><Relationship Id="rId134" Type="http://schemas.openxmlformats.org/officeDocument/2006/relationships/hyperlink" Target="http://palletfly.com/product_details.php?vid=21757" TargetMode="External"/><Relationship Id="rId133" Type="http://schemas.openxmlformats.org/officeDocument/2006/relationships/hyperlink" Target="http://amazon.com/dp/B002YC4EEA" TargetMode="External"/><Relationship Id="rId172" Type="http://schemas.openxmlformats.org/officeDocument/2006/relationships/hyperlink" Target="http://palletfly.com/product_details.php?vid=15194" TargetMode="External"/><Relationship Id="rId171" Type="http://schemas.openxmlformats.org/officeDocument/2006/relationships/hyperlink" Target="http://amazon.com/dp/B07H9WF6GH" TargetMode="External"/><Relationship Id="rId170" Type="http://schemas.openxmlformats.org/officeDocument/2006/relationships/hyperlink" Target="http://palletfly.com/product_details.php?vid=22813" TargetMode="External"/><Relationship Id="rId165" Type="http://schemas.openxmlformats.org/officeDocument/2006/relationships/hyperlink" Target="http://amazon.com/dp/B01F4N9MEC" TargetMode="External"/><Relationship Id="rId164" Type="http://schemas.openxmlformats.org/officeDocument/2006/relationships/hyperlink" Target="http://palletfly.com/product_details.php?vid=15931" TargetMode="External"/><Relationship Id="rId163" Type="http://schemas.openxmlformats.org/officeDocument/2006/relationships/hyperlink" Target="http://amazon.com/dp/B009YN82X6" TargetMode="External"/><Relationship Id="rId162" Type="http://schemas.openxmlformats.org/officeDocument/2006/relationships/hyperlink" Target="http://palletfly.com/product_details.php?vid=16999" TargetMode="External"/><Relationship Id="rId169" Type="http://schemas.openxmlformats.org/officeDocument/2006/relationships/hyperlink" Target="http://amazon.com/dp/B07VC4MBPF" TargetMode="External"/><Relationship Id="rId168" Type="http://schemas.openxmlformats.org/officeDocument/2006/relationships/hyperlink" Target="http://palletfly.com/product_details.php?vid=21558" TargetMode="External"/><Relationship Id="rId167" Type="http://schemas.openxmlformats.org/officeDocument/2006/relationships/hyperlink" Target="http://amazon.com/dp/B06XWBZBQK" TargetMode="External"/><Relationship Id="rId166" Type="http://schemas.openxmlformats.org/officeDocument/2006/relationships/hyperlink" Target="http://palletfly.com/product_details.php?vid=17012" TargetMode="External"/><Relationship Id="rId161" Type="http://schemas.openxmlformats.org/officeDocument/2006/relationships/hyperlink" Target="http://amazon.com/dp/B0017D9KLY" TargetMode="External"/><Relationship Id="rId160" Type="http://schemas.openxmlformats.org/officeDocument/2006/relationships/hyperlink" Target="http://palletfly.com/product_details.php?vid=18936" TargetMode="External"/><Relationship Id="rId159" Type="http://schemas.openxmlformats.org/officeDocument/2006/relationships/hyperlink" Target="http://amazon.com/dp/B00D781H40" TargetMode="External"/><Relationship Id="rId154" Type="http://schemas.openxmlformats.org/officeDocument/2006/relationships/hyperlink" Target="http://palletfly.com/product_details.php?vid=11353" TargetMode="External"/><Relationship Id="rId153" Type="http://schemas.openxmlformats.org/officeDocument/2006/relationships/hyperlink" Target="http://amazon.com/dp/B07WQJ3L9H" TargetMode="External"/><Relationship Id="rId152" Type="http://schemas.openxmlformats.org/officeDocument/2006/relationships/hyperlink" Target="http://palletfly.com/product_details.php?vid=18389" TargetMode="External"/><Relationship Id="rId151" Type="http://schemas.openxmlformats.org/officeDocument/2006/relationships/hyperlink" Target="http://amazon.com/dp/B008CML9WQ" TargetMode="External"/><Relationship Id="rId158" Type="http://schemas.openxmlformats.org/officeDocument/2006/relationships/hyperlink" Target="http://palletfly.com/product_details.php?vid=20200" TargetMode="External"/><Relationship Id="rId157" Type="http://schemas.openxmlformats.org/officeDocument/2006/relationships/hyperlink" Target="http://amazon.com/dp/B084PRCCN7" TargetMode="External"/><Relationship Id="rId156" Type="http://schemas.openxmlformats.org/officeDocument/2006/relationships/hyperlink" Target="http://palletfly.com/product_details.php?vid=11682" TargetMode="External"/><Relationship Id="rId155" Type="http://schemas.openxmlformats.org/officeDocument/2006/relationships/hyperlink" Target="http://amazon.com/dp/B00006I9V8" TargetMode="External"/><Relationship Id="rId1972" Type="http://schemas.openxmlformats.org/officeDocument/2006/relationships/hyperlink" Target="http://palletfly.com/product_details.php?vid=8061" TargetMode="External"/><Relationship Id="rId1973" Type="http://schemas.openxmlformats.org/officeDocument/2006/relationships/hyperlink" Target="http://amazon.com/dp/B01BKAUQIO" TargetMode="External"/><Relationship Id="rId1974" Type="http://schemas.openxmlformats.org/officeDocument/2006/relationships/hyperlink" Target="http://palletfly.com/product_details.php?vid=16819" TargetMode="External"/><Relationship Id="rId1975" Type="http://schemas.openxmlformats.org/officeDocument/2006/relationships/hyperlink" Target="http://amazon.com/dp/B00IZOIW2G" TargetMode="External"/><Relationship Id="rId1976" Type="http://schemas.openxmlformats.org/officeDocument/2006/relationships/hyperlink" Target="http://palletfly.com/product_details.php?vid=12083" TargetMode="External"/><Relationship Id="rId1977" Type="http://schemas.openxmlformats.org/officeDocument/2006/relationships/hyperlink" Target="http://amazon.com/dp/B001B5JT8C" TargetMode="External"/><Relationship Id="rId1978" Type="http://schemas.openxmlformats.org/officeDocument/2006/relationships/hyperlink" Target="http://palletfly.com/product_details.php?vid=18481" TargetMode="External"/><Relationship Id="rId1979" Type="http://schemas.openxmlformats.org/officeDocument/2006/relationships/hyperlink" Target="http://amazon.com/dp/B01BLVAP0G" TargetMode="External"/><Relationship Id="rId1970" Type="http://schemas.openxmlformats.org/officeDocument/2006/relationships/hyperlink" Target="http://palletfly.com/product_details.php?vid=23228" TargetMode="External"/><Relationship Id="rId1971" Type="http://schemas.openxmlformats.org/officeDocument/2006/relationships/hyperlink" Target="http://amazon.com/dp/B0761P69CN" TargetMode="External"/><Relationship Id="rId1961" Type="http://schemas.openxmlformats.org/officeDocument/2006/relationships/hyperlink" Target="http://amazon.com/dp/B003D7KNKE" TargetMode="External"/><Relationship Id="rId1962" Type="http://schemas.openxmlformats.org/officeDocument/2006/relationships/hyperlink" Target="http://palletfly.com/product_details.php?vid=23057" TargetMode="External"/><Relationship Id="rId1963" Type="http://schemas.openxmlformats.org/officeDocument/2006/relationships/hyperlink" Target="http://amazon.com/dp/B001E6CUQ6" TargetMode="External"/><Relationship Id="rId1964" Type="http://schemas.openxmlformats.org/officeDocument/2006/relationships/hyperlink" Target="http://palletfly.com/product_details.php?vid=5462" TargetMode="External"/><Relationship Id="rId1965" Type="http://schemas.openxmlformats.org/officeDocument/2006/relationships/hyperlink" Target="http://amazon.com/dp/B06Y1NSL7H" TargetMode="External"/><Relationship Id="rId1966" Type="http://schemas.openxmlformats.org/officeDocument/2006/relationships/hyperlink" Target="http://palletfly.com/product_details.php?vid=18535" TargetMode="External"/><Relationship Id="rId1967" Type="http://schemas.openxmlformats.org/officeDocument/2006/relationships/hyperlink" Target="http://amazon.com/dp/B0042ET0NS" TargetMode="External"/><Relationship Id="rId1968" Type="http://schemas.openxmlformats.org/officeDocument/2006/relationships/hyperlink" Target="http://palletfly.com/product_details.php?vid=19051" TargetMode="External"/><Relationship Id="rId1969" Type="http://schemas.openxmlformats.org/officeDocument/2006/relationships/hyperlink" Target="http://amazon.com/dp/B0026ICM1E" TargetMode="External"/><Relationship Id="rId1960" Type="http://schemas.openxmlformats.org/officeDocument/2006/relationships/hyperlink" Target="http://palletfly.com/product_details.php?vid=22154" TargetMode="External"/><Relationship Id="rId1510" Type="http://schemas.openxmlformats.org/officeDocument/2006/relationships/hyperlink" Target="http://palletfly.com/product_details.php?vid=19883" TargetMode="External"/><Relationship Id="rId1994" Type="http://schemas.openxmlformats.org/officeDocument/2006/relationships/hyperlink" Target="http://palletfly.com/product_details.php?vid=4802" TargetMode="External"/><Relationship Id="rId1511" Type="http://schemas.openxmlformats.org/officeDocument/2006/relationships/hyperlink" Target="http://amazon.com/dp/B00006IFMN" TargetMode="External"/><Relationship Id="rId1995" Type="http://schemas.openxmlformats.org/officeDocument/2006/relationships/hyperlink" Target="http://palletfly.com/product_details.php?vid=13732" TargetMode="External"/><Relationship Id="rId1512" Type="http://schemas.openxmlformats.org/officeDocument/2006/relationships/hyperlink" Target="http://palletfly.com/product_details.php?vid=6720" TargetMode="External"/><Relationship Id="rId1996" Type="http://schemas.openxmlformats.org/officeDocument/2006/relationships/hyperlink" Target="http://palletfly.com/product_details.php?vid=2931" TargetMode="External"/><Relationship Id="rId1513" Type="http://schemas.openxmlformats.org/officeDocument/2006/relationships/hyperlink" Target="http://amazon.com/dp/B01EIGWXJW" TargetMode="External"/><Relationship Id="rId1997" Type="http://schemas.openxmlformats.org/officeDocument/2006/relationships/hyperlink" Target="http://palletfly.com/product_details.php?vid=19135" TargetMode="External"/><Relationship Id="rId1514" Type="http://schemas.openxmlformats.org/officeDocument/2006/relationships/hyperlink" Target="http://palletfly.com/product_details.php?vid=21209" TargetMode="External"/><Relationship Id="rId1998" Type="http://schemas.openxmlformats.org/officeDocument/2006/relationships/hyperlink" Target="http://palletfly.com/product_details.php?vid=21269" TargetMode="External"/><Relationship Id="rId1515" Type="http://schemas.openxmlformats.org/officeDocument/2006/relationships/hyperlink" Target="http://amazon.com/dp/B078WXCZWY" TargetMode="External"/><Relationship Id="rId1999" Type="http://schemas.openxmlformats.org/officeDocument/2006/relationships/hyperlink" Target="http://palletfly.com/product_details.php?vid=21354" TargetMode="External"/><Relationship Id="rId1516" Type="http://schemas.openxmlformats.org/officeDocument/2006/relationships/hyperlink" Target="http://palletfly.com/product_details.php?vid=23538" TargetMode="External"/><Relationship Id="rId1517" Type="http://schemas.openxmlformats.org/officeDocument/2006/relationships/hyperlink" Target="http://amazon.com/dp/B000I0VMJK" TargetMode="External"/><Relationship Id="rId1518" Type="http://schemas.openxmlformats.org/officeDocument/2006/relationships/hyperlink" Target="http://palletfly.com/product_details.php?vid=24128" TargetMode="External"/><Relationship Id="rId1519" Type="http://schemas.openxmlformats.org/officeDocument/2006/relationships/hyperlink" Target="http://amazon.com/dp/B00006IEFT" TargetMode="External"/><Relationship Id="rId1990" Type="http://schemas.openxmlformats.org/officeDocument/2006/relationships/hyperlink" Target="http://palletfly.com/product_details.php?vid=14579" TargetMode="External"/><Relationship Id="rId1991" Type="http://schemas.openxmlformats.org/officeDocument/2006/relationships/hyperlink" Target="http://amazon.com/dp/B07T4269V6" TargetMode="External"/><Relationship Id="rId1992" Type="http://schemas.openxmlformats.org/officeDocument/2006/relationships/hyperlink" Target="http://palletfly.com/product_details.php?vid=16992" TargetMode="External"/><Relationship Id="rId1993" Type="http://schemas.openxmlformats.org/officeDocument/2006/relationships/hyperlink" Target="http://palletfly.com/product_details.php?vid=18514" TargetMode="External"/><Relationship Id="rId1983" Type="http://schemas.openxmlformats.org/officeDocument/2006/relationships/hyperlink" Target="http://amazon.com/dp/B001VD4APQ" TargetMode="External"/><Relationship Id="rId1500" Type="http://schemas.openxmlformats.org/officeDocument/2006/relationships/hyperlink" Target="http://palletfly.com/product_details.php?vid=23493" TargetMode="External"/><Relationship Id="rId1984" Type="http://schemas.openxmlformats.org/officeDocument/2006/relationships/hyperlink" Target="http://palletfly.com/product_details.php?vid=15655" TargetMode="External"/><Relationship Id="rId1501" Type="http://schemas.openxmlformats.org/officeDocument/2006/relationships/hyperlink" Target="http://amazon.com/dp/B001GXD066" TargetMode="External"/><Relationship Id="rId1985" Type="http://schemas.openxmlformats.org/officeDocument/2006/relationships/hyperlink" Target="http://amazon.com/dp/B000UI9HC4" TargetMode="External"/><Relationship Id="rId1502" Type="http://schemas.openxmlformats.org/officeDocument/2006/relationships/hyperlink" Target="http://palletfly.com/product_details.php?vid=11721" TargetMode="External"/><Relationship Id="rId1986" Type="http://schemas.openxmlformats.org/officeDocument/2006/relationships/hyperlink" Target="http://palletfly.com/product_details.php?vid=21462" TargetMode="External"/><Relationship Id="rId1503" Type="http://schemas.openxmlformats.org/officeDocument/2006/relationships/hyperlink" Target="http://amazon.com/dp/B0026HC7GU" TargetMode="External"/><Relationship Id="rId1987" Type="http://schemas.openxmlformats.org/officeDocument/2006/relationships/hyperlink" Target="http://amazon.com/dp/B08GZ5GNLQ" TargetMode="External"/><Relationship Id="rId1504" Type="http://schemas.openxmlformats.org/officeDocument/2006/relationships/hyperlink" Target="http://palletfly.com/product_details.php?vid=11752" TargetMode="External"/><Relationship Id="rId1988" Type="http://schemas.openxmlformats.org/officeDocument/2006/relationships/hyperlink" Target="http://palletfly.com/product_details.php?vid=22139" TargetMode="External"/><Relationship Id="rId1505" Type="http://schemas.openxmlformats.org/officeDocument/2006/relationships/hyperlink" Target="http://amazon.com/dp/B0006SJTCG" TargetMode="External"/><Relationship Id="rId1989" Type="http://schemas.openxmlformats.org/officeDocument/2006/relationships/hyperlink" Target="http://amazon.com/dp/B00NVSSSKC" TargetMode="External"/><Relationship Id="rId1506" Type="http://schemas.openxmlformats.org/officeDocument/2006/relationships/hyperlink" Target="http://palletfly.com/product_details.php?vid=14370" TargetMode="External"/><Relationship Id="rId1507" Type="http://schemas.openxmlformats.org/officeDocument/2006/relationships/hyperlink" Target="http://amazon.com/dp/B011Q0YYJA" TargetMode="External"/><Relationship Id="rId1508" Type="http://schemas.openxmlformats.org/officeDocument/2006/relationships/hyperlink" Target="http://palletfly.com/product_details.php?vid=15202" TargetMode="External"/><Relationship Id="rId1509" Type="http://schemas.openxmlformats.org/officeDocument/2006/relationships/hyperlink" Target="http://amazon.com/dp/B000OS0O9A" TargetMode="External"/><Relationship Id="rId1980" Type="http://schemas.openxmlformats.org/officeDocument/2006/relationships/hyperlink" Target="http://palletfly.com/product_details.php?vid=4390" TargetMode="External"/><Relationship Id="rId1981" Type="http://schemas.openxmlformats.org/officeDocument/2006/relationships/hyperlink" Target="http://amazon.com/dp/B00V6D7670" TargetMode="External"/><Relationship Id="rId1982" Type="http://schemas.openxmlformats.org/officeDocument/2006/relationships/hyperlink" Target="http://palletfly.com/product_details.php?vid=22518" TargetMode="External"/><Relationship Id="rId1930" Type="http://schemas.openxmlformats.org/officeDocument/2006/relationships/hyperlink" Target="http://palletfly.com/product_details.php?vid=6653" TargetMode="External"/><Relationship Id="rId1931" Type="http://schemas.openxmlformats.org/officeDocument/2006/relationships/hyperlink" Target="http://amazon.com/dp/B000KKI4YO" TargetMode="External"/><Relationship Id="rId1932" Type="http://schemas.openxmlformats.org/officeDocument/2006/relationships/hyperlink" Target="http://palletfly.com/product_details.php?vid=15920" TargetMode="External"/><Relationship Id="rId1933" Type="http://schemas.openxmlformats.org/officeDocument/2006/relationships/hyperlink" Target="http://amazon.com/dp/B01N461M2T" TargetMode="External"/><Relationship Id="rId1934" Type="http://schemas.openxmlformats.org/officeDocument/2006/relationships/hyperlink" Target="http://palletfly.com/product_details.php?vid=15996" TargetMode="External"/><Relationship Id="rId1935" Type="http://schemas.openxmlformats.org/officeDocument/2006/relationships/hyperlink" Target="http://amazon.com/dp/B0017D99Q0" TargetMode="External"/><Relationship Id="rId1936" Type="http://schemas.openxmlformats.org/officeDocument/2006/relationships/hyperlink" Target="http://palletfly.com/product_details.php?vid=17367" TargetMode="External"/><Relationship Id="rId1937" Type="http://schemas.openxmlformats.org/officeDocument/2006/relationships/hyperlink" Target="http://amazon.com/dp/B0765DB83S" TargetMode="External"/><Relationship Id="rId1938" Type="http://schemas.openxmlformats.org/officeDocument/2006/relationships/hyperlink" Target="http://palletfly.com/product_details.php?vid=18242" TargetMode="External"/><Relationship Id="rId1939" Type="http://schemas.openxmlformats.org/officeDocument/2006/relationships/hyperlink" Target="http://amazon.com/dp/B0785P5D6N" TargetMode="External"/><Relationship Id="rId1920" Type="http://schemas.openxmlformats.org/officeDocument/2006/relationships/hyperlink" Target="http://palletfly.com/product_details.php?vid=18856" TargetMode="External"/><Relationship Id="rId1921" Type="http://schemas.openxmlformats.org/officeDocument/2006/relationships/hyperlink" Target="http://amazon.com/dp/B00006ICT3" TargetMode="External"/><Relationship Id="rId1922" Type="http://schemas.openxmlformats.org/officeDocument/2006/relationships/hyperlink" Target="http://palletfly.com/product_details.php?vid=21384" TargetMode="External"/><Relationship Id="rId1923" Type="http://schemas.openxmlformats.org/officeDocument/2006/relationships/hyperlink" Target="http://amazon.com/dp/B01BHHI5XS" TargetMode="External"/><Relationship Id="rId1924" Type="http://schemas.openxmlformats.org/officeDocument/2006/relationships/hyperlink" Target="http://palletfly.com/product_details.php?vid=21906" TargetMode="External"/><Relationship Id="rId1925" Type="http://schemas.openxmlformats.org/officeDocument/2006/relationships/hyperlink" Target="http://amazon.com/dp/B00006IBR3" TargetMode="External"/><Relationship Id="rId1926" Type="http://schemas.openxmlformats.org/officeDocument/2006/relationships/hyperlink" Target="http://palletfly.com/product_details.php?vid=4824" TargetMode="External"/><Relationship Id="rId1927" Type="http://schemas.openxmlformats.org/officeDocument/2006/relationships/hyperlink" Target="http://amazon.com/dp/B01BKAUALW" TargetMode="External"/><Relationship Id="rId1928" Type="http://schemas.openxmlformats.org/officeDocument/2006/relationships/hyperlink" Target="http://palletfly.com/product_details.php?vid=5432" TargetMode="External"/><Relationship Id="rId1929" Type="http://schemas.openxmlformats.org/officeDocument/2006/relationships/hyperlink" Target="http://amazon.com/dp/B00LWXNTQQ" TargetMode="External"/><Relationship Id="rId1950" Type="http://schemas.openxmlformats.org/officeDocument/2006/relationships/hyperlink" Target="http://palletfly.com/product_details.php?vid=20564" TargetMode="External"/><Relationship Id="rId1951" Type="http://schemas.openxmlformats.org/officeDocument/2006/relationships/hyperlink" Target="http://amazon.com/dp/1505087155" TargetMode="External"/><Relationship Id="rId1952" Type="http://schemas.openxmlformats.org/officeDocument/2006/relationships/hyperlink" Target="http://palletfly.com/product_details.php?vid=6297" TargetMode="External"/><Relationship Id="rId1953" Type="http://schemas.openxmlformats.org/officeDocument/2006/relationships/hyperlink" Target="http://amazon.com/dp/B00G62AY02" TargetMode="External"/><Relationship Id="rId1954" Type="http://schemas.openxmlformats.org/officeDocument/2006/relationships/hyperlink" Target="http://palletfly.com/product_details.php?vid=15329" TargetMode="External"/><Relationship Id="rId1955" Type="http://schemas.openxmlformats.org/officeDocument/2006/relationships/hyperlink" Target="http://amazon.com/dp/B000FAB7I4" TargetMode="External"/><Relationship Id="rId1956" Type="http://schemas.openxmlformats.org/officeDocument/2006/relationships/hyperlink" Target="http://palletfly.com/product_details.php?vid=15974" TargetMode="External"/><Relationship Id="rId1957" Type="http://schemas.openxmlformats.org/officeDocument/2006/relationships/hyperlink" Target="http://amazon.com/dp/B000JVTNFS" TargetMode="External"/><Relationship Id="rId1958" Type="http://schemas.openxmlformats.org/officeDocument/2006/relationships/hyperlink" Target="http://palletfly.com/product_details.php?vid=21918" TargetMode="External"/><Relationship Id="rId1959" Type="http://schemas.openxmlformats.org/officeDocument/2006/relationships/hyperlink" Target="http://amazon.com/dp/B07TCRK63W" TargetMode="External"/><Relationship Id="rId1940" Type="http://schemas.openxmlformats.org/officeDocument/2006/relationships/hyperlink" Target="http://palletfly.com/product_details.php?vid=21914" TargetMode="External"/><Relationship Id="rId1941" Type="http://schemas.openxmlformats.org/officeDocument/2006/relationships/hyperlink" Target="http://amazon.com/dp/B0018MN4RA" TargetMode="External"/><Relationship Id="rId1942" Type="http://schemas.openxmlformats.org/officeDocument/2006/relationships/hyperlink" Target="http://palletfly.com/product_details.php?vid=3217" TargetMode="External"/><Relationship Id="rId1943" Type="http://schemas.openxmlformats.org/officeDocument/2006/relationships/hyperlink" Target="http://amazon.com/dp/B00IGNWYNE" TargetMode="External"/><Relationship Id="rId1944" Type="http://schemas.openxmlformats.org/officeDocument/2006/relationships/hyperlink" Target="http://palletfly.com/product_details.php?vid=23876" TargetMode="External"/><Relationship Id="rId1945" Type="http://schemas.openxmlformats.org/officeDocument/2006/relationships/hyperlink" Target="http://amazon.com/dp/B08YD78RR3" TargetMode="External"/><Relationship Id="rId1946" Type="http://schemas.openxmlformats.org/officeDocument/2006/relationships/hyperlink" Target="http://palletfly.com/product_details.php?vid=24298" TargetMode="External"/><Relationship Id="rId1947" Type="http://schemas.openxmlformats.org/officeDocument/2006/relationships/hyperlink" Target="http://amazon.com/dp/B00006IE8M" TargetMode="External"/><Relationship Id="rId1948" Type="http://schemas.openxmlformats.org/officeDocument/2006/relationships/hyperlink" Target="http://palletfly.com/product_details.php?vid=17349" TargetMode="External"/><Relationship Id="rId1949" Type="http://schemas.openxmlformats.org/officeDocument/2006/relationships/hyperlink" Target="http://amazon.com/dp/B009R5JDIY" TargetMode="External"/><Relationship Id="rId1576" Type="http://schemas.openxmlformats.org/officeDocument/2006/relationships/hyperlink" Target="http://palletfly.com/product_details.php?vid=6134" TargetMode="External"/><Relationship Id="rId1577" Type="http://schemas.openxmlformats.org/officeDocument/2006/relationships/hyperlink" Target="http://amazon.com/dp/B07GT69H5Q" TargetMode="External"/><Relationship Id="rId1578" Type="http://schemas.openxmlformats.org/officeDocument/2006/relationships/hyperlink" Target="http://palletfly.com/product_details.php?vid=16061" TargetMode="External"/><Relationship Id="rId1579" Type="http://schemas.openxmlformats.org/officeDocument/2006/relationships/hyperlink" Target="http://amazon.com/dp/B00RY8QAYQ" TargetMode="External"/><Relationship Id="rId509" Type="http://schemas.openxmlformats.org/officeDocument/2006/relationships/hyperlink" Target="http://amazon.com/dp/B00KPENTOK" TargetMode="External"/><Relationship Id="rId508" Type="http://schemas.openxmlformats.org/officeDocument/2006/relationships/hyperlink" Target="http://palletfly.com/product_details.php?vid=5431" TargetMode="External"/><Relationship Id="rId503" Type="http://schemas.openxmlformats.org/officeDocument/2006/relationships/hyperlink" Target="http://amazon.com/dp/B001NYAB1U" TargetMode="External"/><Relationship Id="rId987" Type="http://schemas.openxmlformats.org/officeDocument/2006/relationships/hyperlink" Target="http://amazon.com/dp/B00PI04T8G" TargetMode="External"/><Relationship Id="rId502" Type="http://schemas.openxmlformats.org/officeDocument/2006/relationships/hyperlink" Target="http://palletfly.com/product_details.php?vid=18867" TargetMode="External"/><Relationship Id="rId986" Type="http://schemas.openxmlformats.org/officeDocument/2006/relationships/hyperlink" Target="http://palletfly.com/product_details.php?vid=17211" TargetMode="External"/><Relationship Id="rId501" Type="http://schemas.openxmlformats.org/officeDocument/2006/relationships/hyperlink" Target="http://amazon.com/dp/B07QS7SW3G" TargetMode="External"/><Relationship Id="rId985" Type="http://schemas.openxmlformats.org/officeDocument/2006/relationships/hyperlink" Target="http://amazon.com/dp/B01LZPP2K9" TargetMode="External"/><Relationship Id="rId500" Type="http://schemas.openxmlformats.org/officeDocument/2006/relationships/hyperlink" Target="http://palletfly.com/product_details.php?vid=21602" TargetMode="External"/><Relationship Id="rId984" Type="http://schemas.openxmlformats.org/officeDocument/2006/relationships/hyperlink" Target="http://palletfly.com/product_details.php?vid=24177" TargetMode="External"/><Relationship Id="rId507" Type="http://schemas.openxmlformats.org/officeDocument/2006/relationships/hyperlink" Target="http://amazon.com/dp/B00C3XNYWS" TargetMode="External"/><Relationship Id="rId506" Type="http://schemas.openxmlformats.org/officeDocument/2006/relationships/hyperlink" Target="http://palletfly.com/product_details.php?vid=24793" TargetMode="External"/><Relationship Id="rId505" Type="http://schemas.openxmlformats.org/officeDocument/2006/relationships/hyperlink" Target="http://amazon.com/dp/B0772229CR" TargetMode="External"/><Relationship Id="rId989" Type="http://schemas.openxmlformats.org/officeDocument/2006/relationships/hyperlink" Target="http://amazon.com/dp/B000KNPFGQ" TargetMode="External"/><Relationship Id="rId504" Type="http://schemas.openxmlformats.org/officeDocument/2006/relationships/hyperlink" Target="http://palletfly.com/product_details.php?vid=13882" TargetMode="External"/><Relationship Id="rId988" Type="http://schemas.openxmlformats.org/officeDocument/2006/relationships/hyperlink" Target="http://palletfly.com/product_details.php?vid=21983" TargetMode="External"/><Relationship Id="rId1570" Type="http://schemas.openxmlformats.org/officeDocument/2006/relationships/hyperlink" Target="http://palletfly.com/product_details.php?vid=17456" TargetMode="External"/><Relationship Id="rId1571" Type="http://schemas.openxmlformats.org/officeDocument/2006/relationships/hyperlink" Target="http://amazon.com/dp/B00290L274" TargetMode="External"/><Relationship Id="rId983" Type="http://schemas.openxmlformats.org/officeDocument/2006/relationships/hyperlink" Target="http://amazon.com/dp/B003BT3MXO" TargetMode="External"/><Relationship Id="rId1572" Type="http://schemas.openxmlformats.org/officeDocument/2006/relationships/hyperlink" Target="http://palletfly.com/product_details.php?vid=21996" TargetMode="External"/><Relationship Id="rId982" Type="http://schemas.openxmlformats.org/officeDocument/2006/relationships/hyperlink" Target="http://palletfly.com/product_details.php?vid=21927" TargetMode="External"/><Relationship Id="rId1573" Type="http://schemas.openxmlformats.org/officeDocument/2006/relationships/hyperlink" Target="http://amazon.com/dp/B0044D2P52" TargetMode="External"/><Relationship Id="rId981" Type="http://schemas.openxmlformats.org/officeDocument/2006/relationships/hyperlink" Target="http://amazon.com/dp/B00AQ9QMQG" TargetMode="External"/><Relationship Id="rId1574" Type="http://schemas.openxmlformats.org/officeDocument/2006/relationships/hyperlink" Target="http://palletfly.com/product_details.php?vid=22004" TargetMode="External"/><Relationship Id="rId980" Type="http://schemas.openxmlformats.org/officeDocument/2006/relationships/hyperlink" Target="http://palletfly.com/product_details.php?vid=13854" TargetMode="External"/><Relationship Id="rId1575" Type="http://schemas.openxmlformats.org/officeDocument/2006/relationships/hyperlink" Target="http://amazon.com/dp/B0080ZVC6I" TargetMode="External"/><Relationship Id="rId1565" Type="http://schemas.openxmlformats.org/officeDocument/2006/relationships/hyperlink" Target="http://amazon.com/dp/B001B8KIQG" TargetMode="External"/><Relationship Id="rId1566" Type="http://schemas.openxmlformats.org/officeDocument/2006/relationships/hyperlink" Target="http://palletfly.com/product_details.php?vid=17408" TargetMode="External"/><Relationship Id="rId1567" Type="http://schemas.openxmlformats.org/officeDocument/2006/relationships/hyperlink" Target="http://amazon.com/dp/B0038JSK3O" TargetMode="External"/><Relationship Id="rId1568" Type="http://schemas.openxmlformats.org/officeDocument/2006/relationships/hyperlink" Target="http://palletfly.com/product_details.php?vid=18702" TargetMode="External"/><Relationship Id="rId1569" Type="http://schemas.openxmlformats.org/officeDocument/2006/relationships/hyperlink" Target="http://amazon.com/dp/B08SJ4ZDW4" TargetMode="External"/><Relationship Id="rId976" Type="http://schemas.openxmlformats.org/officeDocument/2006/relationships/hyperlink" Target="http://palletfly.com/product_details.php?vid=10258" TargetMode="External"/><Relationship Id="rId975" Type="http://schemas.openxmlformats.org/officeDocument/2006/relationships/hyperlink" Target="http://amazon.com/dp/B004K0L0NC" TargetMode="External"/><Relationship Id="rId974" Type="http://schemas.openxmlformats.org/officeDocument/2006/relationships/hyperlink" Target="http://palletfly.com/product_details.php?vid=15869" TargetMode="External"/><Relationship Id="rId973" Type="http://schemas.openxmlformats.org/officeDocument/2006/relationships/hyperlink" Target="http://amazon.com/dp/B000LLZPTY" TargetMode="External"/><Relationship Id="rId979" Type="http://schemas.openxmlformats.org/officeDocument/2006/relationships/hyperlink" Target="http://amazon.com/dp/B002WC89WK" TargetMode="External"/><Relationship Id="rId978" Type="http://schemas.openxmlformats.org/officeDocument/2006/relationships/hyperlink" Target="http://palletfly.com/product_details.php?vid=12995" TargetMode="External"/><Relationship Id="rId977" Type="http://schemas.openxmlformats.org/officeDocument/2006/relationships/hyperlink" Target="http://amazon.com/dp/B01LPRV8WA" TargetMode="External"/><Relationship Id="rId1560" Type="http://schemas.openxmlformats.org/officeDocument/2006/relationships/hyperlink" Target="http://palletfly.com/product_details.php?vid=21922" TargetMode="External"/><Relationship Id="rId972" Type="http://schemas.openxmlformats.org/officeDocument/2006/relationships/hyperlink" Target="http://palletfly.com/product_details.php?vid=17307" TargetMode="External"/><Relationship Id="rId1561" Type="http://schemas.openxmlformats.org/officeDocument/2006/relationships/hyperlink" Target="http://amazon.com/dp/B00KO8DHVC" TargetMode="External"/><Relationship Id="rId971" Type="http://schemas.openxmlformats.org/officeDocument/2006/relationships/hyperlink" Target="http://amazon.com/dp/B01N7W7KU8" TargetMode="External"/><Relationship Id="rId1562" Type="http://schemas.openxmlformats.org/officeDocument/2006/relationships/hyperlink" Target="http://palletfly.com/product_details.php?vid=22800" TargetMode="External"/><Relationship Id="rId970" Type="http://schemas.openxmlformats.org/officeDocument/2006/relationships/hyperlink" Target="http://palletfly.com/product_details.php?vid=12979" TargetMode="External"/><Relationship Id="rId1563" Type="http://schemas.openxmlformats.org/officeDocument/2006/relationships/hyperlink" Target="http://amazon.com/dp/B000N47FYM" TargetMode="External"/><Relationship Id="rId1564" Type="http://schemas.openxmlformats.org/officeDocument/2006/relationships/hyperlink" Target="http://palletfly.com/product_details.php?vid=17157" TargetMode="External"/><Relationship Id="rId1114" Type="http://schemas.openxmlformats.org/officeDocument/2006/relationships/hyperlink" Target="http://palletfly.com/product_details.php?vid=22196" TargetMode="External"/><Relationship Id="rId1598" Type="http://schemas.openxmlformats.org/officeDocument/2006/relationships/hyperlink" Target="http://palletfly.com/product_details.php?vid=13993" TargetMode="External"/><Relationship Id="rId1115" Type="http://schemas.openxmlformats.org/officeDocument/2006/relationships/hyperlink" Target="http://amazon.com/dp/B07D186CW8" TargetMode="External"/><Relationship Id="rId1599" Type="http://schemas.openxmlformats.org/officeDocument/2006/relationships/hyperlink" Target="http://amazon.com/dp/B00DM8PWWS" TargetMode="External"/><Relationship Id="rId1116" Type="http://schemas.openxmlformats.org/officeDocument/2006/relationships/hyperlink" Target="http://palletfly.com/product_details.php?vid=24084" TargetMode="External"/><Relationship Id="rId1117" Type="http://schemas.openxmlformats.org/officeDocument/2006/relationships/hyperlink" Target="http://amazon.com/dp/B08K14MWMF" TargetMode="External"/><Relationship Id="rId1118" Type="http://schemas.openxmlformats.org/officeDocument/2006/relationships/hyperlink" Target="http://palletfly.com/product_details.php?vid=15894" TargetMode="External"/><Relationship Id="rId1119" Type="http://schemas.openxmlformats.org/officeDocument/2006/relationships/hyperlink" Target="http://amazon.com/dp/B000RIBDQK" TargetMode="External"/><Relationship Id="rId525" Type="http://schemas.openxmlformats.org/officeDocument/2006/relationships/hyperlink" Target="http://amazon.com/dp/B01LW762JK" TargetMode="External"/><Relationship Id="rId524" Type="http://schemas.openxmlformats.org/officeDocument/2006/relationships/hyperlink" Target="http://palletfly.com/product_details.php?vid=18694" TargetMode="External"/><Relationship Id="rId523" Type="http://schemas.openxmlformats.org/officeDocument/2006/relationships/hyperlink" Target="http://amazon.com/dp/B01H3LD398" TargetMode="External"/><Relationship Id="rId522" Type="http://schemas.openxmlformats.org/officeDocument/2006/relationships/hyperlink" Target="http://palletfly.com/product_details.php?vid=23899" TargetMode="External"/><Relationship Id="rId529" Type="http://schemas.openxmlformats.org/officeDocument/2006/relationships/hyperlink" Target="http://amazon.com/dp/B001E6EUS2" TargetMode="External"/><Relationship Id="rId528" Type="http://schemas.openxmlformats.org/officeDocument/2006/relationships/hyperlink" Target="http://palletfly.com/product_details.php?vid=20880" TargetMode="External"/><Relationship Id="rId527" Type="http://schemas.openxmlformats.org/officeDocument/2006/relationships/hyperlink" Target="http://amazon.com/dp/B07FKZRNBF" TargetMode="External"/><Relationship Id="rId526" Type="http://schemas.openxmlformats.org/officeDocument/2006/relationships/hyperlink" Target="http://palletfly.com/product_details.php?vid=8411" TargetMode="External"/><Relationship Id="rId1590" Type="http://schemas.openxmlformats.org/officeDocument/2006/relationships/hyperlink" Target="http://palletfly.com/product_details.php?vid=22714" TargetMode="External"/><Relationship Id="rId1591" Type="http://schemas.openxmlformats.org/officeDocument/2006/relationships/hyperlink" Target="http://amazon.com/dp/B07GD446J2" TargetMode="External"/><Relationship Id="rId1592" Type="http://schemas.openxmlformats.org/officeDocument/2006/relationships/hyperlink" Target="http://palletfly.com/product_details.php?vid=23026" TargetMode="External"/><Relationship Id="rId1593" Type="http://schemas.openxmlformats.org/officeDocument/2006/relationships/hyperlink" Target="http://amazon.com/dp/B0006HVGIM" TargetMode="External"/><Relationship Id="rId521" Type="http://schemas.openxmlformats.org/officeDocument/2006/relationships/hyperlink" Target="http://amazon.com/dp/B071ZF638G" TargetMode="External"/><Relationship Id="rId1110" Type="http://schemas.openxmlformats.org/officeDocument/2006/relationships/hyperlink" Target="http://palletfly.com/product_details.php?vid=20854" TargetMode="External"/><Relationship Id="rId1594" Type="http://schemas.openxmlformats.org/officeDocument/2006/relationships/hyperlink" Target="http://palletfly.com/product_details.php?vid=16492" TargetMode="External"/><Relationship Id="rId520" Type="http://schemas.openxmlformats.org/officeDocument/2006/relationships/hyperlink" Target="http://palletfly.com/product_details.php?vid=22659" TargetMode="External"/><Relationship Id="rId1111" Type="http://schemas.openxmlformats.org/officeDocument/2006/relationships/hyperlink" Target="http://amazon.com/dp/B0037QFZLS" TargetMode="External"/><Relationship Id="rId1595" Type="http://schemas.openxmlformats.org/officeDocument/2006/relationships/hyperlink" Target="http://amazon.com/dp/B00K5DJ602" TargetMode="External"/><Relationship Id="rId1112" Type="http://schemas.openxmlformats.org/officeDocument/2006/relationships/hyperlink" Target="http://palletfly.com/product_details.php?vid=22016" TargetMode="External"/><Relationship Id="rId1596" Type="http://schemas.openxmlformats.org/officeDocument/2006/relationships/hyperlink" Target="http://palletfly.com/product_details.php?vid=12569" TargetMode="External"/><Relationship Id="rId1113" Type="http://schemas.openxmlformats.org/officeDocument/2006/relationships/hyperlink" Target="http://amazon.com/dp/B004IV5AR0" TargetMode="External"/><Relationship Id="rId1597" Type="http://schemas.openxmlformats.org/officeDocument/2006/relationships/hyperlink" Target="http://amazon.com/dp/B001E209EA" TargetMode="External"/><Relationship Id="rId1103" Type="http://schemas.openxmlformats.org/officeDocument/2006/relationships/hyperlink" Target="http://amazon.com/dp/B0023B5HNO" TargetMode="External"/><Relationship Id="rId1587" Type="http://schemas.openxmlformats.org/officeDocument/2006/relationships/hyperlink" Target="http://amazon.com/dp/B002LFLVFK" TargetMode="External"/><Relationship Id="rId1104" Type="http://schemas.openxmlformats.org/officeDocument/2006/relationships/hyperlink" Target="http://palletfly.com/product_details.php?vid=24763" TargetMode="External"/><Relationship Id="rId1588" Type="http://schemas.openxmlformats.org/officeDocument/2006/relationships/hyperlink" Target="http://palletfly.com/product_details.php?vid=18611" TargetMode="External"/><Relationship Id="rId1105" Type="http://schemas.openxmlformats.org/officeDocument/2006/relationships/hyperlink" Target="http://amazon.com/dp/B00AXX0S42" TargetMode="External"/><Relationship Id="rId1589" Type="http://schemas.openxmlformats.org/officeDocument/2006/relationships/hyperlink" Target="http://amazon.com/dp/B00CMO1HU4" TargetMode="External"/><Relationship Id="rId1106" Type="http://schemas.openxmlformats.org/officeDocument/2006/relationships/hyperlink" Target="http://palletfly.com/product_details.php?vid=19071" TargetMode="External"/><Relationship Id="rId1107" Type="http://schemas.openxmlformats.org/officeDocument/2006/relationships/hyperlink" Target="http://amazon.com/dp/B000JKTGEW" TargetMode="External"/><Relationship Id="rId1108" Type="http://schemas.openxmlformats.org/officeDocument/2006/relationships/hyperlink" Target="http://palletfly.com/product_details.php?vid=21742" TargetMode="External"/><Relationship Id="rId1109" Type="http://schemas.openxmlformats.org/officeDocument/2006/relationships/hyperlink" Target="http://amazon.com/dp/B0080CCN46" TargetMode="External"/><Relationship Id="rId519" Type="http://schemas.openxmlformats.org/officeDocument/2006/relationships/hyperlink" Target="http://amazon.com/dp/B01NB0G478" TargetMode="External"/><Relationship Id="rId514" Type="http://schemas.openxmlformats.org/officeDocument/2006/relationships/hyperlink" Target="http://palletfly.com/product_details.php?vid=16406" TargetMode="External"/><Relationship Id="rId998" Type="http://schemas.openxmlformats.org/officeDocument/2006/relationships/hyperlink" Target="http://palletfly.com/product_details.php?vid=4795" TargetMode="External"/><Relationship Id="rId513" Type="http://schemas.openxmlformats.org/officeDocument/2006/relationships/hyperlink" Target="http://amazon.com/dp/B001AZ0AM2" TargetMode="External"/><Relationship Id="rId997" Type="http://schemas.openxmlformats.org/officeDocument/2006/relationships/hyperlink" Target="http://amazon.com/dp/B002BA5WKU" TargetMode="External"/><Relationship Id="rId512" Type="http://schemas.openxmlformats.org/officeDocument/2006/relationships/hyperlink" Target="http://palletfly.com/product_details.php?vid=15976" TargetMode="External"/><Relationship Id="rId996" Type="http://schemas.openxmlformats.org/officeDocument/2006/relationships/hyperlink" Target="http://palletfly.com/product_details.php?vid=24764" TargetMode="External"/><Relationship Id="rId511" Type="http://schemas.openxmlformats.org/officeDocument/2006/relationships/hyperlink" Target="http://amazon.com/dp/B001TQ7RLE" TargetMode="External"/><Relationship Id="rId995" Type="http://schemas.openxmlformats.org/officeDocument/2006/relationships/hyperlink" Target="http://amazon.com/dp/B004SP4Y64" TargetMode="External"/><Relationship Id="rId518" Type="http://schemas.openxmlformats.org/officeDocument/2006/relationships/hyperlink" Target="http://palletfly.com/product_details.php?vid=13343" TargetMode="External"/><Relationship Id="rId517" Type="http://schemas.openxmlformats.org/officeDocument/2006/relationships/hyperlink" Target="http://amazon.com/dp/B0018A9GTC" TargetMode="External"/><Relationship Id="rId516" Type="http://schemas.openxmlformats.org/officeDocument/2006/relationships/hyperlink" Target="http://palletfly.com/product_details.php?vid=22636" TargetMode="External"/><Relationship Id="rId515" Type="http://schemas.openxmlformats.org/officeDocument/2006/relationships/hyperlink" Target="http://amazon.com/dp/B004RTT0DI" TargetMode="External"/><Relationship Id="rId999" Type="http://schemas.openxmlformats.org/officeDocument/2006/relationships/hyperlink" Target="http://amazon.com/dp/B001R5N7HK" TargetMode="External"/><Relationship Id="rId990" Type="http://schemas.openxmlformats.org/officeDocument/2006/relationships/hyperlink" Target="http://palletfly.com/product_details.php?vid=24257" TargetMode="External"/><Relationship Id="rId1580" Type="http://schemas.openxmlformats.org/officeDocument/2006/relationships/hyperlink" Target="http://palletfly.com/product_details.php?vid=11032" TargetMode="External"/><Relationship Id="rId1581" Type="http://schemas.openxmlformats.org/officeDocument/2006/relationships/hyperlink" Target="http://amazon.com/dp/B000TYDZI6" TargetMode="External"/><Relationship Id="rId1582" Type="http://schemas.openxmlformats.org/officeDocument/2006/relationships/hyperlink" Target="http://palletfly.com/product_details.php?vid=22380" TargetMode="External"/><Relationship Id="rId510" Type="http://schemas.openxmlformats.org/officeDocument/2006/relationships/hyperlink" Target="http://palletfly.com/product_details.php?vid=21960" TargetMode="External"/><Relationship Id="rId994" Type="http://schemas.openxmlformats.org/officeDocument/2006/relationships/hyperlink" Target="http://palletfly.com/product_details.php?vid=15965" TargetMode="External"/><Relationship Id="rId1583" Type="http://schemas.openxmlformats.org/officeDocument/2006/relationships/hyperlink" Target="http://amazon.com/dp/B001HTGF2K" TargetMode="External"/><Relationship Id="rId993" Type="http://schemas.openxmlformats.org/officeDocument/2006/relationships/hyperlink" Target="http://amazon.com/dp/B008G003NU" TargetMode="External"/><Relationship Id="rId1100" Type="http://schemas.openxmlformats.org/officeDocument/2006/relationships/hyperlink" Target="http://palletfly.com/product_details.php?vid=24258" TargetMode="External"/><Relationship Id="rId1584" Type="http://schemas.openxmlformats.org/officeDocument/2006/relationships/hyperlink" Target="http://palletfly.com/product_details.php?vid=6273" TargetMode="External"/><Relationship Id="rId992" Type="http://schemas.openxmlformats.org/officeDocument/2006/relationships/hyperlink" Target="http://palletfly.com/product_details.php?vid=7020" TargetMode="External"/><Relationship Id="rId1101" Type="http://schemas.openxmlformats.org/officeDocument/2006/relationships/hyperlink" Target="http://amazon.com/dp/B000FA3O44" TargetMode="External"/><Relationship Id="rId1585" Type="http://schemas.openxmlformats.org/officeDocument/2006/relationships/hyperlink" Target="http://amazon.com/dp/B07FBJ6QKW" TargetMode="External"/><Relationship Id="rId991" Type="http://schemas.openxmlformats.org/officeDocument/2006/relationships/hyperlink" Target="http://amazon.com/dp/B000FA3O3K" TargetMode="External"/><Relationship Id="rId1102" Type="http://schemas.openxmlformats.org/officeDocument/2006/relationships/hyperlink" Target="http://palletfly.com/product_details.php?vid=24459" TargetMode="External"/><Relationship Id="rId1586" Type="http://schemas.openxmlformats.org/officeDocument/2006/relationships/hyperlink" Target="http://palletfly.com/product_details.php?vid=3307" TargetMode="External"/><Relationship Id="rId1532" Type="http://schemas.openxmlformats.org/officeDocument/2006/relationships/hyperlink" Target="http://palletfly.com/product_details.php?vid=22677" TargetMode="External"/><Relationship Id="rId1533" Type="http://schemas.openxmlformats.org/officeDocument/2006/relationships/hyperlink" Target="http://amazon.com/dp/B005CFLSKO" TargetMode="External"/><Relationship Id="rId1534" Type="http://schemas.openxmlformats.org/officeDocument/2006/relationships/hyperlink" Target="http://palletfly.com/product_details.php?vid=23941" TargetMode="External"/><Relationship Id="rId1535" Type="http://schemas.openxmlformats.org/officeDocument/2006/relationships/hyperlink" Target="http://amazon.com/dp/B07B4HLCZX" TargetMode="External"/><Relationship Id="rId1536" Type="http://schemas.openxmlformats.org/officeDocument/2006/relationships/hyperlink" Target="http://palletfly.com/product_details.php?vid=22080" TargetMode="External"/><Relationship Id="rId1537" Type="http://schemas.openxmlformats.org/officeDocument/2006/relationships/hyperlink" Target="http://amazon.com/dp/B000ICLIMO" TargetMode="External"/><Relationship Id="rId1538" Type="http://schemas.openxmlformats.org/officeDocument/2006/relationships/hyperlink" Target="http://palletfly.com/product_details.php?vid=24467" TargetMode="External"/><Relationship Id="rId1539" Type="http://schemas.openxmlformats.org/officeDocument/2006/relationships/hyperlink" Target="http://amazon.com/dp/B004BNF25U" TargetMode="External"/><Relationship Id="rId949" Type="http://schemas.openxmlformats.org/officeDocument/2006/relationships/hyperlink" Target="http://amazon.com/dp/B001E69X52" TargetMode="External"/><Relationship Id="rId948" Type="http://schemas.openxmlformats.org/officeDocument/2006/relationships/hyperlink" Target="http://palletfly.com/product_details.php?vid=21285" TargetMode="External"/><Relationship Id="rId943" Type="http://schemas.openxmlformats.org/officeDocument/2006/relationships/hyperlink" Target="http://amazon.com/dp/B01F6B64GQ" TargetMode="External"/><Relationship Id="rId942" Type="http://schemas.openxmlformats.org/officeDocument/2006/relationships/hyperlink" Target="http://palletfly.com/product_details.php?vid=21680" TargetMode="External"/><Relationship Id="rId941" Type="http://schemas.openxmlformats.org/officeDocument/2006/relationships/hyperlink" Target="http://amazon.com/dp/B000OHLWRY" TargetMode="External"/><Relationship Id="rId940" Type="http://schemas.openxmlformats.org/officeDocument/2006/relationships/hyperlink" Target="http://palletfly.com/product_details.php?vid=20386" TargetMode="External"/><Relationship Id="rId947" Type="http://schemas.openxmlformats.org/officeDocument/2006/relationships/hyperlink" Target="http://amazon.com/dp/B004LWPJI6" TargetMode="External"/><Relationship Id="rId946" Type="http://schemas.openxmlformats.org/officeDocument/2006/relationships/hyperlink" Target="http://palletfly.com/product_details.php?vid=15959" TargetMode="External"/><Relationship Id="rId945" Type="http://schemas.openxmlformats.org/officeDocument/2006/relationships/hyperlink" Target="http://amazon.com/dp/B01BKAUGSE" TargetMode="External"/><Relationship Id="rId944" Type="http://schemas.openxmlformats.org/officeDocument/2006/relationships/hyperlink" Target="http://palletfly.com/product_details.php?vid=10022" TargetMode="External"/><Relationship Id="rId1530" Type="http://schemas.openxmlformats.org/officeDocument/2006/relationships/hyperlink" Target="http://palletfly.com/product_details.php?vid=22445" TargetMode="External"/><Relationship Id="rId1531" Type="http://schemas.openxmlformats.org/officeDocument/2006/relationships/hyperlink" Target="http://amazon.com/dp/B07VYFMVJP" TargetMode="External"/><Relationship Id="rId1521" Type="http://schemas.openxmlformats.org/officeDocument/2006/relationships/hyperlink" Target="http://amazon.com/dp/B084PRP6QT" TargetMode="External"/><Relationship Id="rId1522" Type="http://schemas.openxmlformats.org/officeDocument/2006/relationships/hyperlink" Target="http://palletfly.com/product_details.php?vid=19515" TargetMode="External"/><Relationship Id="rId1523" Type="http://schemas.openxmlformats.org/officeDocument/2006/relationships/hyperlink" Target="http://amazon.com/dp/B003ZXE80M" TargetMode="External"/><Relationship Id="rId1524" Type="http://schemas.openxmlformats.org/officeDocument/2006/relationships/hyperlink" Target="http://palletfly.com/product_details.php?vid=12182" TargetMode="External"/><Relationship Id="rId1525" Type="http://schemas.openxmlformats.org/officeDocument/2006/relationships/hyperlink" Target="http://amazon.com/dp/B01127OC6M" TargetMode="External"/><Relationship Id="rId1526" Type="http://schemas.openxmlformats.org/officeDocument/2006/relationships/hyperlink" Target="http://palletfly.com/product_details.php?vid=13916" TargetMode="External"/><Relationship Id="rId1527" Type="http://schemas.openxmlformats.org/officeDocument/2006/relationships/hyperlink" Target="http://amazon.com/dp/B00XM1MTEY" TargetMode="External"/><Relationship Id="rId1528" Type="http://schemas.openxmlformats.org/officeDocument/2006/relationships/hyperlink" Target="http://palletfly.com/product_details.php?vid=21228" TargetMode="External"/><Relationship Id="rId1529" Type="http://schemas.openxmlformats.org/officeDocument/2006/relationships/hyperlink" Target="http://amazon.com/dp/B001GX8FO8" TargetMode="External"/><Relationship Id="rId939" Type="http://schemas.openxmlformats.org/officeDocument/2006/relationships/hyperlink" Target="http://amazon.com/dp/B015GEQQFW" TargetMode="External"/><Relationship Id="rId938" Type="http://schemas.openxmlformats.org/officeDocument/2006/relationships/hyperlink" Target="http://palletfly.com/product_details.php?vid=18381" TargetMode="External"/><Relationship Id="rId937" Type="http://schemas.openxmlformats.org/officeDocument/2006/relationships/hyperlink" Target="http://amazon.com/dp/B084PRP4RC" TargetMode="External"/><Relationship Id="rId932" Type="http://schemas.openxmlformats.org/officeDocument/2006/relationships/hyperlink" Target="http://palletfly.com/product_details.php?vid=21761" TargetMode="External"/><Relationship Id="rId931" Type="http://schemas.openxmlformats.org/officeDocument/2006/relationships/hyperlink" Target="http://amazon.com/dp/B007SYVP50" TargetMode="External"/><Relationship Id="rId930" Type="http://schemas.openxmlformats.org/officeDocument/2006/relationships/hyperlink" Target="http://palletfly.com/product_details.php?vid=23545" TargetMode="External"/><Relationship Id="rId936" Type="http://schemas.openxmlformats.org/officeDocument/2006/relationships/hyperlink" Target="http://palletfly.com/product_details.php?vid=11706" TargetMode="External"/><Relationship Id="rId935" Type="http://schemas.openxmlformats.org/officeDocument/2006/relationships/hyperlink" Target="http://amazon.com/dp/B007SYUQ4Q" TargetMode="External"/><Relationship Id="rId934" Type="http://schemas.openxmlformats.org/officeDocument/2006/relationships/hyperlink" Target="http://palletfly.com/product_details.php?vid=23514" TargetMode="External"/><Relationship Id="rId933" Type="http://schemas.openxmlformats.org/officeDocument/2006/relationships/hyperlink" Target="http://amazon.com/dp/B0876FX3P2" TargetMode="External"/><Relationship Id="rId1520" Type="http://schemas.openxmlformats.org/officeDocument/2006/relationships/hyperlink" Target="http://palletfly.com/product_details.php?vid=11700" TargetMode="External"/><Relationship Id="rId1554" Type="http://schemas.openxmlformats.org/officeDocument/2006/relationships/hyperlink" Target="http://palletfly.com/product_details.php?vid=1420" TargetMode="External"/><Relationship Id="rId1555" Type="http://schemas.openxmlformats.org/officeDocument/2006/relationships/hyperlink" Target="http://amazon.com/dp/B0046ZFLD6" TargetMode="External"/><Relationship Id="rId1556" Type="http://schemas.openxmlformats.org/officeDocument/2006/relationships/hyperlink" Target="http://palletfly.com/product_details.php?vid=19035" TargetMode="External"/><Relationship Id="rId1557" Type="http://schemas.openxmlformats.org/officeDocument/2006/relationships/hyperlink" Target="http://amazon.com/dp/B000E7UDOC" TargetMode="External"/><Relationship Id="rId1558" Type="http://schemas.openxmlformats.org/officeDocument/2006/relationships/hyperlink" Target="http://palletfly.com/product_details.php?vid=20043" TargetMode="External"/><Relationship Id="rId1559" Type="http://schemas.openxmlformats.org/officeDocument/2006/relationships/hyperlink" Target="http://amazon.com/dp/B08SJ5QV79" TargetMode="External"/><Relationship Id="rId965" Type="http://schemas.openxmlformats.org/officeDocument/2006/relationships/hyperlink" Target="http://amazon.com/dp/B017QHB8E6" TargetMode="External"/><Relationship Id="rId964" Type="http://schemas.openxmlformats.org/officeDocument/2006/relationships/hyperlink" Target="http://palletfly.com/product_details.php?vid=8130" TargetMode="External"/><Relationship Id="rId963" Type="http://schemas.openxmlformats.org/officeDocument/2006/relationships/hyperlink" Target="http://amazon.com/dp/B008X09RY4" TargetMode="External"/><Relationship Id="rId962" Type="http://schemas.openxmlformats.org/officeDocument/2006/relationships/hyperlink" Target="http://palletfly.com/product_details.php?vid=21666" TargetMode="External"/><Relationship Id="rId969" Type="http://schemas.openxmlformats.org/officeDocument/2006/relationships/hyperlink" Target="http://amazon.com/dp/B002A64SI2" TargetMode="External"/><Relationship Id="rId968" Type="http://schemas.openxmlformats.org/officeDocument/2006/relationships/hyperlink" Target="http://palletfly.com/product_details.php?vid=12088" TargetMode="External"/><Relationship Id="rId967" Type="http://schemas.openxmlformats.org/officeDocument/2006/relationships/hyperlink" Target="http://amazon.com/dp/B00NG0IDN2" TargetMode="External"/><Relationship Id="rId966" Type="http://schemas.openxmlformats.org/officeDocument/2006/relationships/hyperlink" Target="http://palletfly.com/product_details.php?vid=24529" TargetMode="External"/><Relationship Id="rId961" Type="http://schemas.openxmlformats.org/officeDocument/2006/relationships/hyperlink" Target="http://amazon.com/dp/B07HFPFBQ9" TargetMode="External"/><Relationship Id="rId1550" Type="http://schemas.openxmlformats.org/officeDocument/2006/relationships/hyperlink" Target="http://palletfly.com/product_details.php?vid=23546" TargetMode="External"/><Relationship Id="rId960" Type="http://schemas.openxmlformats.org/officeDocument/2006/relationships/hyperlink" Target="http://palletfly.com/product_details.php?vid=18224" TargetMode="External"/><Relationship Id="rId1551" Type="http://schemas.openxmlformats.org/officeDocument/2006/relationships/hyperlink" Target="http://amazon.com/dp/B07C7G4B1M" TargetMode="External"/><Relationship Id="rId1552" Type="http://schemas.openxmlformats.org/officeDocument/2006/relationships/hyperlink" Target="http://palletfly.com/product_details.php?vid=24465" TargetMode="External"/><Relationship Id="rId1553" Type="http://schemas.openxmlformats.org/officeDocument/2006/relationships/hyperlink" Target="http://amazon.com/dp/B0027AEF34" TargetMode="External"/><Relationship Id="rId1543" Type="http://schemas.openxmlformats.org/officeDocument/2006/relationships/hyperlink" Target="http://amazon.com/dp/B001AR0D2C" TargetMode="External"/><Relationship Id="rId1544" Type="http://schemas.openxmlformats.org/officeDocument/2006/relationships/hyperlink" Target="http://palletfly.com/product_details.php?vid=18639" TargetMode="External"/><Relationship Id="rId1545" Type="http://schemas.openxmlformats.org/officeDocument/2006/relationships/hyperlink" Target="http://amazon.com/dp/B001HXD0CY" TargetMode="External"/><Relationship Id="rId1546" Type="http://schemas.openxmlformats.org/officeDocument/2006/relationships/hyperlink" Target="http://palletfly.com/product_details.php?vid=18641" TargetMode="External"/><Relationship Id="rId1547" Type="http://schemas.openxmlformats.org/officeDocument/2006/relationships/hyperlink" Target="http://amazon.com/dp/B00DDWELI4" TargetMode="External"/><Relationship Id="rId1548" Type="http://schemas.openxmlformats.org/officeDocument/2006/relationships/hyperlink" Target="http://palletfly.com/product_details.php?vid=21244" TargetMode="External"/><Relationship Id="rId1549" Type="http://schemas.openxmlformats.org/officeDocument/2006/relationships/hyperlink" Target="http://amazon.com/dp/B000HX55FU" TargetMode="External"/><Relationship Id="rId959" Type="http://schemas.openxmlformats.org/officeDocument/2006/relationships/hyperlink" Target="http://amazon.com/dp/B001C26PUY" TargetMode="External"/><Relationship Id="rId954" Type="http://schemas.openxmlformats.org/officeDocument/2006/relationships/hyperlink" Target="http://palletfly.com/product_details.php?vid=4409" TargetMode="External"/><Relationship Id="rId953" Type="http://schemas.openxmlformats.org/officeDocument/2006/relationships/hyperlink" Target="http://amazon.com/dp/B00B7QW9TG" TargetMode="External"/><Relationship Id="rId952" Type="http://schemas.openxmlformats.org/officeDocument/2006/relationships/hyperlink" Target="http://palletfly.com/product_details.php?vid=21247" TargetMode="External"/><Relationship Id="rId951" Type="http://schemas.openxmlformats.org/officeDocument/2006/relationships/hyperlink" Target="http://amazon.com/dp/B004SYZFIG" TargetMode="External"/><Relationship Id="rId958" Type="http://schemas.openxmlformats.org/officeDocument/2006/relationships/hyperlink" Target="http://palletfly.com/product_details.php?vid=3456" TargetMode="External"/><Relationship Id="rId957" Type="http://schemas.openxmlformats.org/officeDocument/2006/relationships/hyperlink" Target="http://amazon.com/dp/B07RXG6PTX" TargetMode="External"/><Relationship Id="rId956" Type="http://schemas.openxmlformats.org/officeDocument/2006/relationships/hyperlink" Target="http://palletfly.com/product_details.php?vid=23499" TargetMode="External"/><Relationship Id="rId955" Type="http://schemas.openxmlformats.org/officeDocument/2006/relationships/hyperlink" Target="http://amazon.com/dp/B00FZGLV4I" TargetMode="External"/><Relationship Id="rId950" Type="http://schemas.openxmlformats.org/officeDocument/2006/relationships/hyperlink" Target="http://palletfly.com/product_details.php?vid=22152" TargetMode="External"/><Relationship Id="rId1540" Type="http://schemas.openxmlformats.org/officeDocument/2006/relationships/hyperlink" Target="http://palletfly.com/product_details.php?vid=21349" TargetMode="External"/><Relationship Id="rId1541" Type="http://schemas.openxmlformats.org/officeDocument/2006/relationships/hyperlink" Target="http://amazon.com/dp/B00016ZMMY" TargetMode="External"/><Relationship Id="rId1542" Type="http://schemas.openxmlformats.org/officeDocument/2006/relationships/hyperlink" Target="http://palletfly.com/product_details.php?vid=24125" TargetMode="External"/><Relationship Id="rId2027" Type="http://schemas.openxmlformats.org/officeDocument/2006/relationships/hyperlink" Target="http://palletfly.com/product_details.php?vid=18546" TargetMode="External"/><Relationship Id="rId2028" Type="http://schemas.openxmlformats.org/officeDocument/2006/relationships/hyperlink" Target="http://palletfly.com/product_details.php?vid=20563" TargetMode="External"/><Relationship Id="rId2029" Type="http://schemas.openxmlformats.org/officeDocument/2006/relationships/hyperlink" Target="http://palletfly.com/product_details.php?vid=21687" TargetMode="External"/><Relationship Id="rId590" Type="http://schemas.openxmlformats.org/officeDocument/2006/relationships/hyperlink" Target="http://palletfly.com/product_details.php?vid=15654" TargetMode="External"/><Relationship Id="rId107" Type="http://schemas.openxmlformats.org/officeDocument/2006/relationships/hyperlink" Target="http://amazon.com/dp/B002XQ1X4G" TargetMode="External"/><Relationship Id="rId106" Type="http://schemas.openxmlformats.org/officeDocument/2006/relationships/hyperlink" Target="http://palletfly.com/product_details.php?vid=10086" TargetMode="External"/><Relationship Id="rId105" Type="http://schemas.openxmlformats.org/officeDocument/2006/relationships/hyperlink" Target="http://amazon.com/dp/B001AFG940" TargetMode="External"/><Relationship Id="rId589" Type="http://schemas.openxmlformats.org/officeDocument/2006/relationships/hyperlink" Target="http://amazon.com/dp/B00290JI9I" TargetMode="External"/><Relationship Id="rId104" Type="http://schemas.openxmlformats.org/officeDocument/2006/relationships/hyperlink" Target="http://palletfly.com/product_details.php?vid=23008" TargetMode="External"/><Relationship Id="rId588" Type="http://schemas.openxmlformats.org/officeDocument/2006/relationships/hyperlink" Target="http://palletfly.com/product_details.php?vid=23001" TargetMode="External"/><Relationship Id="rId109" Type="http://schemas.openxmlformats.org/officeDocument/2006/relationships/hyperlink" Target="http://amazon.com/dp/B07TDMLFKK" TargetMode="External"/><Relationship Id="rId1170" Type="http://schemas.openxmlformats.org/officeDocument/2006/relationships/hyperlink" Target="http://palletfly.com/product_details.php?vid=23479" TargetMode="External"/><Relationship Id="rId108" Type="http://schemas.openxmlformats.org/officeDocument/2006/relationships/hyperlink" Target="http://palletfly.com/product_details.php?vid=10125" TargetMode="External"/><Relationship Id="rId1171" Type="http://schemas.openxmlformats.org/officeDocument/2006/relationships/hyperlink" Target="http://amazon.com/dp/B01DJBH8GU" TargetMode="External"/><Relationship Id="rId583" Type="http://schemas.openxmlformats.org/officeDocument/2006/relationships/hyperlink" Target="http://amazon.com/dp/B008OCJB9W" TargetMode="External"/><Relationship Id="rId1172" Type="http://schemas.openxmlformats.org/officeDocument/2006/relationships/hyperlink" Target="http://palletfly.com/product_details.php?vid=24425" TargetMode="External"/><Relationship Id="rId582" Type="http://schemas.openxmlformats.org/officeDocument/2006/relationships/hyperlink" Target="http://palletfly.com/product_details.php?vid=20882" TargetMode="External"/><Relationship Id="rId1173" Type="http://schemas.openxmlformats.org/officeDocument/2006/relationships/hyperlink" Target="http://amazon.com/dp/B0027A5H1S" TargetMode="External"/><Relationship Id="rId2020" Type="http://schemas.openxmlformats.org/officeDocument/2006/relationships/hyperlink" Target="http://palletfly.com/product_details.php?vid=15977" TargetMode="External"/><Relationship Id="rId581" Type="http://schemas.openxmlformats.org/officeDocument/2006/relationships/hyperlink" Target="http://amazon.com/dp/B01ET83KGO" TargetMode="External"/><Relationship Id="rId1174" Type="http://schemas.openxmlformats.org/officeDocument/2006/relationships/hyperlink" Target="http://palletfly.com/product_details.php?vid=14324" TargetMode="External"/><Relationship Id="rId2021" Type="http://schemas.openxmlformats.org/officeDocument/2006/relationships/hyperlink" Target="http://palletfly.com/product_details.php?vid=17311" TargetMode="External"/><Relationship Id="rId580" Type="http://schemas.openxmlformats.org/officeDocument/2006/relationships/hyperlink" Target="http://palletfly.com/product_details.php?vid=20156" TargetMode="External"/><Relationship Id="rId1175" Type="http://schemas.openxmlformats.org/officeDocument/2006/relationships/hyperlink" Target="http://amazon.com/dp/B002KJ18T6" TargetMode="External"/><Relationship Id="rId2022" Type="http://schemas.openxmlformats.org/officeDocument/2006/relationships/hyperlink" Target="http://palletfly.com/product_details.php?vid=19106" TargetMode="External"/><Relationship Id="rId103" Type="http://schemas.openxmlformats.org/officeDocument/2006/relationships/hyperlink" Target="http://amazon.com/dp/B0017XHSAE" TargetMode="External"/><Relationship Id="rId587" Type="http://schemas.openxmlformats.org/officeDocument/2006/relationships/hyperlink" Target="http://amazon.com/dp/B00WRMVVZC" TargetMode="External"/><Relationship Id="rId1176" Type="http://schemas.openxmlformats.org/officeDocument/2006/relationships/hyperlink" Target="http://palletfly.com/product_details.php?vid=16780" TargetMode="External"/><Relationship Id="rId2023" Type="http://schemas.openxmlformats.org/officeDocument/2006/relationships/hyperlink" Target="http://palletfly.com/product_details.php?vid=20791" TargetMode="External"/><Relationship Id="rId102" Type="http://schemas.openxmlformats.org/officeDocument/2006/relationships/hyperlink" Target="http://palletfly.com/product_details.php?vid=8163" TargetMode="External"/><Relationship Id="rId586" Type="http://schemas.openxmlformats.org/officeDocument/2006/relationships/hyperlink" Target="http://palletfly.com/product_details.php?vid=15993" TargetMode="External"/><Relationship Id="rId1177" Type="http://schemas.openxmlformats.org/officeDocument/2006/relationships/hyperlink" Target="http://amazon.com/dp/B00769GPVQ" TargetMode="External"/><Relationship Id="rId2024" Type="http://schemas.openxmlformats.org/officeDocument/2006/relationships/hyperlink" Target="http://palletfly.com/product_details.php?vid=24457" TargetMode="External"/><Relationship Id="rId101" Type="http://schemas.openxmlformats.org/officeDocument/2006/relationships/hyperlink" Target="http://amazon.com/dp/B00F4GSAYI" TargetMode="External"/><Relationship Id="rId585" Type="http://schemas.openxmlformats.org/officeDocument/2006/relationships/hyperlink" Target="http://amazon.com/dp/B017O8I9W6" TargetMode="External"/><Relationship Id="rId1178" Type="http://schemas.openxmlformats.org/officeDocument/2006/relationships/hyperlink" Target="http://palletfly.com/product_details.php?vid=20115" TargetMode="External"/><Relationship Id="rId2025" Type="http://schemas.openxmlformats.org/officeDocument/2006/relationships/hyperlink" Target="http://palletfly.com/product_details.php?vid=24708" TargetMode="External"/><Relationship Id="rId100" Type="http://schemas.openxmlformats.org/officeDocument/2006/relationships/hyperlink" Target="http://palletfly.com/product_details.php?vid=17924" TargetMode="External"/><Relationship Id="rId584" Type="http://schemas.openxmlformats.org/officeDocument/2006/relationships/hyperlink" Target="http://palletfly.com/product_details.php?vid=8800" TargetMode="External"/><Relationship Id="rId1179" Type="http://schemas.openxmlformats.org/officeDocument/2006/relationships/hyperlink" Target="http://amazon.com/dp/B08PC47L9T" TargetMode="External"/><Relationship Id="rId2026" Type="http://schemas.openxmlformats.org/officeDocument/2006/relationships/hyperlink" Target="http://palletfly.com/product_details.php?vid=14036" TargetMode="External"/><Relationship Id="rId1169" Type="http://schemas.openxmlformats.org/officeDocument/2006/relationships/hyperlink" Target="http://amazon.com/dp/B078LBCBR5" TargetMode="External"/><Relationship Id="rId2016" Type="http://schemas.openxmlformats.org/officeDocument/2006/relationships/hyperlink" Target="http://palletfly.com/product_details.php?vid=24755" TargetMode="External"/><Relationship Id="rId2017" Type="http://schemas.openxmlformats.org/officeDocument/2006/relationships/hyperlink" Target="http://palletfly.com/product_details.php?vid=24795" TargetMode="External"/><Relationship Id="rId2018" Type="http://schemas.openxmlformats.org/officeDocument/2006/relationships/hyperlink" Target="http://palletfly.com/product_details.php?vid=13088" TargetMode="External"/><Relationship Id="rId2019" Type="http://schemas.openxmlformats.org/officeDocument/2006/relationships/hyperlink" Target="http://palletfly.com/product_details.php?vid=13333" TargetMode="External"/><Relationship Id="rId579" Type="http://schemas.openxmlformats.org/officeDocument/2006/relationships/hyperlink" Target="http://amazon.com/dp/B07GTX7YLF" TargetMode="External"/><Relationship Id="rId578" Type="http://schemas.openxmlformats.org/officeDocument/2006/relationships/hyperlink" Target="http://palletfly.com/product_details.php?vid=19889" TargetMode="External"/><Relationship Id="rId577" Type="http://schemas.openxmlformats.org/officeDocument/2006/relationships/hyperlink" Target="http://amazon.com/dp/B073TNM59P" TargetMode="External"/><Relationship Id="rId1160" Type="http://schemas.openxmlformats.org/officeDocument/2006/relationships/hyperlink" Target="http://palletfly.com/product_details.php?vid=19399" TargetMode="External"/><Relationship Id="rId572" Type="http://schemas.openxmlformats.org/officeDocument/2006/relationships/hyperlink" Target="http://palletfly.com/product_details.php?vid=23487" TargetMode="External"/><Relationship Id="rId1161" Type="http://schemas.openxmlformats.org/officeDocument/2006/relationships/hyperlink" Target="http://amazon.com/dp/B071YSXY9B" TargetMode="External"/><Relationship Id="rId571" Type="http://schemas.openxmlformats.org/officeDocument/2006/relationships/hyperlink" Target="http://amazon.com/dp/B0006VRX3K" TargetMode="External"/><Relationship Id="rId1162" Type="http://schemas.openxmlformats.org/officeDocument/2006/relationships/hyperlink" Target="http://palletfly.com/product_details.php?vid=19403" TargetMode="External"/><Relationship Id="rId570" Type="http://schemas.openxmlformats.org/officeDocument/2006/relationships/hyperlink" Target="http://palletfly.com/product_details.php?vid=11719" TargetMode="External"/><Relationship Id="rId1163" Type="http://schemas.openxmlformats.org/officeDocument/2006/relationships/hyperlink" Target="http://amazon.com/dp/B071NLWTY3" TargetMode="External"/><Relationship Id="rId2010" Type="http://schemas.openxmlformats.org/officeDocument/2006/relationships/hyperlink" Target="http://palletfly.com/product_details.php?vid=24463" TargetMode="External"/><Relationship Id="rId1164" Type="http://schemas.openxmlformats.org/officeDocument/2006/relationships/hyperlink" Target="http://palletfly.com/product_details.php?vid=23544" TargetMode="External"/><Relationship Id="rId2011" Type="http://schemas.openxmlformats.org/officeDocument/2006/relationships/hyperlink" Target="http://palletfly.com/product_details.php?vid=5911" TargetMode="External"/><Relationship Id="rId576" Type="http://schemas.openxmlformats.org/officeDocument/2006/relationships/hyperlink" Target="http://palletfly.com/product_details.php?vid=10741" TargetMode="External"/><Relationship Id="rId1165" Type="http://schemas.openxmlformats.org/officeDocument/2006/relationships/hyperlink" Target="http://amazon.com/dp/B000KNJO86" TargetMode="External"/><Relationship Id="rId2012" Type="http://schemas.openxmlformats.org/officeDocument/2006/relationships/hyperlink" Target="http://palletfly.com/product_details.php?vid=18663" TargetMode="External"/><Relationship Id="rId575" Type="http://schemas.openxmlformats.org/officeDocument/2006/relationships/hyperlink" Target="http://amazon.com/dp/B006J2HXHQ" TargetMode="External"/><Relationship Id="rId1166" Type="http://schemas.openxmlformats.org/officeDocument/2006/relationships/hyperlink" Target="http://palletfly.com/product_details.php?vid=9445" TargetMode="External"/><Relationship Id="rId2013" Type="http://schemas.openxmlformats.org/officeDocument/2006/relationships/hyperlink" Target="http://palletfly.com/product_details.php?vid=21097" TargetMode="External"/><Relationship Id="rId574" Type="http://schemas.openxmlformats.org/officeDocument/2006/relationships/hyperlink" Target="http://palletfly.com/product_details.php?vid=18883" TargetMode="External"/><Relationship Id="rId1167" Type="http://schemas.openxmlformats.org/officeDocument/2006/relationships/hyperlink" Target="http://amazon.com/dp/B000KKM27E" TargetMode="External"/><Relationship Id="rId2014" Type="http://schemas.openxmlformats.org/officeDocument/2006/relationships/hyperlink" Target="http://palletfly.com/product_details.php?vid=22980" TargetMode="External"/><Relationship Id="rId573" Type="http://schemas.openxmlformats.org/officeDocument/2006/relationships/hyperlink" Target="http://amazon.com/dp/B074VJK1DB" TargetMode="External"/><Relationship Id="rId1168" Type="http://schemas.openxmlformats.org/officeDocument/2006/relationships/hyperlink" Target="http://palletfly.com/product_details.php?vid=14873" TargetMode="External"/><Relationship Id="rId2015" Type="http://schemas.openxmlformats.org/officeDocument/2006/relationships/hyperlink" Target="http://palletfly.com/product_details.php?vid=24603" TargetMode="External"/><Relationship Id="rId2049" Type="http://schemas.openxmlformats.org/officeDocument/2006/relationships/hyperlink" Target="http://palletfly.com/product_details.php?vid=22902" TargetMode="External"/><Relationship Id="rId129" Type="http://schemas.openxmlformats.org/officeDocument/2006/relationships/hyperlink" Target="http://amazon.com/dp/B00ZIM9XPI" TargetMode="External"/><Relationship Id="rId128" Type="http://schemas.openxmlformats.org/officeDocument/2006/relationships/hyperlink" Target="http://palletfly.com/product_details.php?vid=22368" TargetMode="External"/><Relationship Id="rId127" Type="http://schemas.openxmlformats.org/officeDocument/2006/relationships/hyperlink" Target="http://amazon.com/dp/B00005NHAB" TargetMode="External"/><Relationship Id="rId126" Type="http://schemas.openxmlformats.org/officeDocument/2006/relationships/hyperlink" Target="http://palletfly.com/product_details.php?vid=24662" TargetMode="External"/><Relationship Id="rId1190" Type="http://schemas.openxmlformats.org/officeDocument/2006/relationships/hyperlink" Target="http://palletfly.com/product_details.php?vid=21037" TargetMode="External"/><Relationship Id="rId1191" Type="http://schemas.openxmlformats.org/officeDocument/2006/relationships/hyperlink" Target="http://amazon.com/dp/B000UVZVXA" TargetMode="External"/><Relationship Id="rId1192" Type="http://schemas.openxmlformats.org/officeDocument/2006/relationships/hyperlink" Target="http://palletfly.com/product_details.php?vid=21088" TargetMode="External"/><Relationship Id="rId1193" Type="http://schemas.openxmlformats.org/officeDocument/2006/relationships/hyperlink" Target="http://amazon.com/dp/B00006IBRV" TargetMode="External"/><Relationship Id="rId2040" Type="http://schemas.openxmlformats.org/officeDocument/2006/relationships/hyperlink" Target="http://palletfly.com/product_details.php?vid=4299" TargetMode="External"/><Relationship Id="rId121" Type="http://schemas.openxmlformats.org/officeDocument/2006/relationships/hyperlink" Target="http://amazon.com/dp/B08CXS78NZ" TargetMode="External"/><Relationship Id="rId1194" Type="http://schemas.openxmlformats.org/officeDocument/2006/relationships/hyperlink" Target="http://palletfly.com/product_details.php?vid=21112" TargetMode="External"/><Relationship Id="rId2041" Type="http://schemas.openxmlformats.org/officeDocument/2006/relationships/hyperlink" Target="http://palletfly.com/product_details.php?vid=8676" TargetMode="External"/><Relationship Id="rId120" Type="http://schemas.openxmlformats.org/officeDocument/2006/relationships/hyperlink" Target="http://palletfly.com/product_details.php?vid=21328" TargetMode="External"/><Relationship Id="rId1195" Type="http://schemas.openxmlformats.org/officeDocument/2006/relationships/hyperlink" Target="http://amazon.com/dp/B077QDYNDH" TargetMode="External"/><Relationship Id="rId2042" Type="http://schemas.openxmlformats.org/officeDocument/2006/relationships/hyperlink" Target="http://palletfly.com/product_details.php?vid=22808" TargetMode="External"/><Relationship Id="rId1196" Type="http://schemas.openxmlformats.org/officeDocument/2006/relationships/hyperlink" Target="http://palletfly.com/product_details.php?vid=22601" TargetMode="External"/><Relationship Id="rId2043" Type="http://schemas.openxmlformats.org/officeDocument/2006/relationships/hyperlink" Target="http://palletfly.com/product_details.php?vid=12984" TargetMode="External"/><Relationship Id="rId1197" Type="http://schemas.openxmlformats.org/officeDocument/2006/relationships/hyperlink" Target="http://amazon.com/dp/B07H49G7PC" TargetMode="External"/><Relationship Id="rId2044" Type="http://schemas.openxmlformats.org/officeDocument/2006/relationships/hyperlink" Target="http://palletfly.com/product_details.php?vid=20044" TargetMode="External"/><Relationship Id="rId125" Type="http://schemas.openxmlformats.org/officeDocument/2006/relationships/hyperlink" Target="http://amazon.com/dp/B08LDKQRZR" TargetMode="External"/><Relationship Id="rId1198" Type="http://schemas.openxmlformats.org/officeDocument/2006/relationships/hyperlink" Target="http://palletfly.com/product_details.php?vid=24740" TargetMode="External"/><Relationship Id="rId2045" Type="http://schemas.openxmlformats.org/officeDocument/2006/relationships/hyperlink" Target="http://palletfly.com/product_details.php?vid=20190" TargetMode="External"/><Relationship Id="rId124" Type="http://schemas.openxmlformats.org/officeDocument/2006/relationships/hyperlink" Target="http://palletfly.com/product_details.php?vid=23519" TargetMode="External"/><Relationship Id="rId1199" Type="http://schemas.openxmlformats.org/officeDocument/2006/relationships/hyperlink" Target="http://amazon.com/dp/B001E668K0" TargetMode="External"/><Relationship Id="rId2046" Type="http://schemas.openxmlformats.org/officeDocument/2006/relationships/hyperlink" Target="http://palletfly.com/product_details.php?vid=22354" TargetMode="External"/><Relationship Id="rId123" Type="http://schemas.openxmlformats.org/officeDocument/2006/relationships/hyperlink" Target="http://amazon.com/dp/B0132DZ6UK" TargetMode="External"/><Relationship Id="rId2047" Type="http://schemas.openxmlformats.org/officeDocument/2006/relationships/hyperlink" Target="http://palletfly.com/product_details.php?vid=21066" TargetMode="External"/><Relationship Id="rId122" Type="http://schemas.openxmlformats.org/officeDocument/2006/relationships/hyperlink" Target="http://palletfly.com/product_details.php?vid=20238" TargetMode="External"/><Relationship Id="rId2048" Type="http://schemas.openxmlformats.org/officeDocument/2006/relationships/hyperlink" Target="http://palletfly.com/product_details.php?vid=21988" TargetMode="External"/><Relationship Id="rId2038" Type="http://schemas.openxmlformats.org/officeDocument/2006/relationships/hyperlink" Target="http://palletfly.com/product_details.php?vid=13628" TargetMode="External"/><Relationship Id="rId2039" Type="http://schemas.openxmlformats.org/officeDocument/2006/relationships/hyperlink" Target="http://palletfly.com/product_details.php?vid=21297" TargetMode="External"/><Relationship Id="rId118" Type="http://schemas.openxmlformats.org/officeDocument/2006/relationships/hyperlink" Target="http://palletfly.com/product_details.php?vid=21104" TargetMode="External"/><Relationship Id="rId117" Type="http://schemas.openxmlformats.org/officeDocument/2006/relationships/hyperlink" Target="http://amazon.com/dp/B07NLYJVP5" TargetMode="External"/><Relationship Id="rId116" Type="http://schemas.openxmlformats.org/officeDocument/2006/relationships/hyperlink" Target="http://palletfly.com/product_details.php?vid=24110" TargetMode="External"/><Relationship Id="rId115" Type="http://schemas.openxmlformats.org/officeDocument/2006/relationships/hyperlink" Target="http://amazon.com/dp/B002XITY6S" TargetMode="External"/><Relationship Id="rId599" Type="http://schemas.openxmlformats.org/officeDocument/2006/relationships/hyperlink" Target="http://amazon.com/dp/B01N0BR4L7" TargetMode="External"/><Relationship Id="rId1180" Type="http://schemas.openxmlformats.org/officeDocument/2006/relationships/hyperlink" Target="http://palletfly.com/product_details.php?vid=24006" TargetMode="External"/><Relationship Id="rId1181" Type="http://schemas.openxmlformats.org/officeDocument/2006/relationships/hyperlink" Target="http://amazon.com/dp/B01IV3FZ3O" TargetMode="External"/><Relationship Id="rId119" Type="http://schemas.openxmlformats.org/officeDocument/2006/relationships/hyperlink" Target="http://amazon.com/dp/B01APUYR9E" TargetMode="External"/><Relationship Id="rId1182" Type="http://schemas.openxmlformats.org/officeDocument/2006/relationships/hyperlink" Target="http://palletfly.com/product_details.php?vid=13849" TargetMode="External"/><Relationship Id="rId110" Type="http://schemas.openxmlformats.org/officeDocument/2006/relationships/hyperlink" Target="http://palletfly.com/product_details.php?vid=22202" TargetMode="External"/><Relationship Id="rId594" Type="http://schemas.openxmlformats.org/officeDocument/2006/relationships/hyperlink" Target="http://palletfly.com/product_details.php?vid=24792" TargetMode="External"/><Relationship Id="rId1183" Type="http://schemas.openxmlformats.org/officeDocument/2006/relationships/hyperlink" Target="http://amazon.com/dp/B01LZDWLMU" TargetMode="External"/><Relationship Id="rId2030" Type="http://schemas.openxmlformats.org/officeDocument/2006/relationships/hyperlink" Target="http://palletfly.com/product_details.php?vid=23138" TargetMode="External"/><Relationship Id="rId593" Type="http://schemas.openxmlformats.org/officeDocument/2006/relationships/hyperlink" Target="http://amazon.com/dp/B0007LTJPY" TargetMode="External"/><Relationship Id="rId1184" Type="http://schemas.openxmlformats.org/officeDocument/2006/relationships/hyperlink" Target="http://palletfly.com/product_details.php?vid=6931" TargetMode="External"/><Relationship Id="rId2031" Type="http://schemas.openxmlformats.org/officeDocument/2006/relationships/hyperlink" Target="http://palletfly.com/product_details.php?vid=14296" TargetMode="External"/><Relationship Id="rId592" Type="http://schemas.openxmlformats.org/officeDocument/2006/relationships/hyperlink" Target="http://palletfly.com/product_details.php?vid=21311" TargetMode="External"/><Relationship Id="rId1185" Type="http://schemas.openxmlformats.org/officeDocument/2006/relationships/hyperlink" Target="http://amazon.com/dp/B000BYW6XY" TargetMode="External"/><Relationship Id="rId2032" Type="http://schemas.openxmlformats.org/officeDocument/2006/relationships/hyperlink" Target="http://palletfly.com/product_details.php?vid=22369" TargetMode="External"/><Relationship Id="rId591" Type="http://schemas.openxmlformats.org/officeDocument/2006/relationships/hyperlink" Target="http://amazon.com/dp/B00A35V1T6" TargetMode="External"/><Relationship Id="rId1186" Type="http://schemas.openxmlformats.org/officeDocument/2006/relationships/hyperlink" Target="http://palletfly.com/product_details.php?vid=12998" TargetMode="External"/><Relationship Id="rId2033" Type="http://schemas.openxmlformats.org/officeDocument/2006/relationships/hyperlink" Target="http://palletfly.com/product_details.php?vid=24615" TargetMode="External"/><Relationship Id="rId114" Type="http://schemas.openxmlformats.org/officeDocument/2006/relationships/hyperlink" Target="http://palletfly.com/product_details.php?vid=7056" TargetMode="External"/><Relationship Id="rId598" Type="http://schemas.openxmlformats.org/officeDocument/2006/relationships/hyperlink" Target="http://palletfly.com/product_details.php?vid=19858" TargetMode="External"/><Relationship Id="rId1187" Type="http://schemas.openxmlformats.org/officeDocument/2006/relationships/hyperlink" Target="http://amazon.com/dp/B0002J4ZKK" TargetMode="External"/><Relationship Id="rId2034" Type="http://schemas.openxmlformats.org/officeDocument/2006/relationships/hyperlink" Target="http://palletfly.com/product_details.php?vid=2951" TargetMode="External"/><Relationship Id="rId113" Type="http://schemas.openxmlformats.org/officeDocument/2006/relationships/hyperlink" Target="http://amazon.com/dp/B002JGJ590" TargetMode="External"/><Relationship Id="rId597" Type="http://schemas.openxmlformats.org/officeDocument/2006/relationships/hyperlink" Target="http://amazon.com/dp/B01M32SCOM" TargetMode="External"/><Relationship Id="rId1188" Type="http://schemas.openxmlformats.org/officeDocument/2006/relationships/hyperlink" Target="http://palletfly.com/product_details.php?vid=15988" TargetMode="External"/><Relationship Id="rId2035" Type="http://schemas.openxmlformats.org/officeDocument/2006/relationships/hyperlink" Target="http://palletfly.com/product_details.php?vid=4032" TargetMode="External"/><Relationship Id="rId112" Type="http://schemas.openxmlformats.org/officeDocument/2006/relationships/hyperlink" Target="http://palletfly.com/product_details.php?vid=20817" TargetMode="External"/><Relationship Id="rId596" Type="http://schemas.openxmlformats.org/officeDocument/2006/relationships/hyperlink" Target="http://palletfly.com/product_details.php?vid=6426" TargetMode="External"/><Relationship Id="rId1189" Type="http://schemas.openxmlformats.org/officeDocument/2006/relationships/hyperlink" Target="http://amazon.com/dp/B0044SERU8" TargetMode="External"/><Relationship Id="rId2036" Type="http://schemas.openxmlformats.org/officeDocument/2006/relationships/hyperlink" Target="http://palletfly.com/product_details.php?vid=16745" TargetMode="External"/><Relationship Id="rId111" Type="http://schemas.openxmlformats.org/officeDocument/2006/relationships/hyperlink" Target="http://amazon.com/dp/B004YDMQEC" TargetMode="External"/><Relationship Id="rId595" Type="http://schemas.openxmlformats.org/officeDocument/2006/relationships/hyperlink" Target="http://amazon.com/dp/B0008GNVO8" TargetMode="External"/><Relationship Id="rId2037" Type="http://schemas.openxmlformats.org/officeDocument/2006/relationships/hyperlink" Target="http://palletfly.com/product_details.php?vid=22991" TargetMode="External"/><Relationship Id="rId1136" Type="http://schemas.openxmlformats.org/officeDocument/2006/relationships/hyperlink" Target="http://palletfly.com/product_details.php?vid=22168" TargetMode="External"/><Relationship Id="rId1137" Type="http://schemas.openxmlformats.org/officeDocument/2006/relationships/hyperlink" Target="http://amazon.com/dp/B08SQB4Z8R" TargetMode="External"/><Relationship Id="rId1138" Type="http://schemas.openxmlformats.org/officeDocument/2006/relationships/hyperlink" Target="http://palletfly.com/product_details.php?vid=15185" TargetMode="External"/><Relationship Id="rId1139" Type="http://schemas.openxmlformats.org/officeDocument/2006/relationships/hyperlink" Target="http://amazon.com/dp/B08B69KVT4" TargetMode="External"/><Relationship Id="rId547" Type="http://schemas.openxmlformats.org/officeDocument/2006/relationships/hyperlink" Target="http://amazon.com/dp/B000JGDND6" TargetMode="External"/><Relationship Id="rId546" Type="http://schemas.openxmlformats.org/officeDocument/2006/relationships/hyperlink" Target="http://palletfly.com/product_details.php?vid=5106" TargetMode="External"/><Relationship Id="rId545" Type="http://schemas.openxmlformats.org/officeDocument/2006/relationships/hyperlink" Target="http://amazon.com/dp/B08CNNGYX2" TargetMode="External"/><Relationship Id="rId544" Type="http://schemas.openxmlformats.org/officeDocument/2006/relationships/hyperlink" Target="http://palletfly.com/product_details.php?vid=18681" TargetMode="External"/><Relationship Id="rId549" Type="http://schemas.openxmlformats.org/officeDocument/2006/relationships/hyperlink" Target="http://amazon.com/dp/B0041OWQUI" TargetMode="External"/><Relationship Id="rId548" Type="http://schemas.openxmlformats.org/officeDocument/2006/relationships/hyperlink" Target="http://palletfly.com/product_details.php?vid=19420" TargetMode="External"/><Relationship Id="rId1130" Type="http://schemas.openxmlformats.org/officeDocument/2006/relationships/hyperlink" Target="http://palletfly.com/product_details.php?vid=8091" TargetMode="External"/><Relationship Id="rId1131" Type="http://schemas.openxmlformats.org/officeDocument/2006/relationships/hyperlink" Target="http://amazon.com/dp/B077QLFTQ4" TargetMode="External"/><Relationship Id="rId543" Type="http://schemas.openxmlformats.org/officeDocument/2006/relationships/hyperlink" Target="http://amazon.com/dp/B076JVC67K" TargetMode="External"/><Relationship Id="rId1132" Type="http://schemas.openxmlformats.org/officeDocument/2006/relationships/hyperlink" Target="http://palletfly.com/product_details.php?vid=21101" TargetMode="External"/><Relationship Id="rId542" Type="http://schemas.openxmlformats.org/officeDocument/2006/relationships/hyperlink" Target="http://palletfly.com/product_details.php?vid=14055" TargetMode="External"/><Relationship Id="rId1133" Type="http://schemas.openxmlformats.org/officeDocument/2006/relationships/hyperlink" Target="http://amazon.com/dp/B008X09MC6" TargetMode="External"/><Relationship Id="rId541" Type="http://schemas.openxmlformats.org/officeDocument/2006/relationships/hyperlink" Target="http://amazon.com/dp/B00FACLZQQ" TargetMode="External"/><Relationship Id="rId1134" Type="http://schemas.openxmlformats.org/officeDocument/2006/relationships/hyperlink" Target="http://palletfly.com/product_details.php?vid=21926" TargetMode="External"/><Relationship Id="rId540" Type="http://schemas.openxmlformats.org/officeDocument/2006/relationships/hyperlink" Target="http://palletfly.com/product_details.php?vid=21251" TargetMode="External"/><Relationship Id="rId1135" Type="http://schemas.openxmlformats.org/officeDocument/2006/relationships/hyperlink" Target="http://amazon.com/dp/B09DJVP3DS" TargetMode="External"/><Relationship Id="rId1125" Type="http://schemas.openxmlformats.org/officeDocument/2006/relationships/hyperlink" Target="http://amazon.com/dp/B00B0W1OUC" TargetMode="External"/><Relationship Id="rId1126" Type="http://schemas.openxmlformats.org/officeDocument/2006/relationships/hyperlink" Target="http://palletfly.com/product_details.php?vid=16783" TargetMode="External"/><Relationship Id="rId1127" Type="http://schemas.openxmlformats.org/officeDocument/2006/relationships/hyperlink" Target="http://amazon.com/dp/B009ORGEKU" TargetMode="External"/><Relationship Id="rId1128" Type="http://schemas.openxmlformats.org/officeDocument/2006/relationships/hyperlink" Target="http://palletfly.com/product_details.php?vid=18612" TargetMode="External"/><Relationship Id="rId1129" Type="http://schemas.openxmlformats.org/officeDocument/2006/relationships/hyperlink" Target="http://amazon.com/dp/B01N6V5BPA" TargetMode="External"/><Relationship Id="rId536" Type="http://schemas.openxmlformats.org/officeDocument/2006/relationships/hyperlink" Target="http://palletfly.com/product_details.php?vid=21543" TargetMode="External"/><Relationship Id="rId535" Type="http://schemas.openxmlformats.org/officeDocument/2006/relationships/hyperlink" Target="http://amazon.com/dp/B00KS9T77K" TargetMode="External"/><Relationship Id="rId534" Type="http://schemas.openxmlformats.org/officeDocument/2006/relationships/hyperlink" Target="http://palletfly.com/product_details.php?vid=6913" TargetMode="External"/><Relationship Id="rId533" Type="http://schemas.openxmlformats.org/officeDocument/2006/relationships/hyperlink" Target="http://amazon.com/dp/B000J0C69E" TargetMode="External"/><Relationship Id="rId539" Type="http://schemas.openxmlformats.org/officeDocument/2006/relationships/hyperlink" Target="http://amazon.com/dp/B014LXD6L6" TargetMode="External"/><Relationship Id="rId538" Type="http://schemas.openxmlformats.org/officeDocument/2006/relationships/hyperlink" Target="http://palletfly.com/product_details.php?vid=443" TargetMode="External"/><Relationship Id="rId537" Type="http://schemas.openxmlformats.org/officeDocument/2006/relationships/hyperlink" Target="http://amazon.com/dp/B077NR1PHS" TargetMode="External"/><Relationship Id="rId1120" Type="http://schemas.openxmlformats.org/officeDocument/2006/relationships/hyperlink" Target="http://palletfly.com/product_details.php?vid=19061" TargetMode="External"/><Relationship Id="rId532" Type="http://schemas.openxmlformats.org/officeDocument/2006/relationships/hyperlink" Target="http://palletfly.com/product_details.php?vid=22935" TargetMode="External"/><Relationship Id="rId1121" Type="http://schemas.openxmlformats.org/officeDocument/2006/relationships/hyperlink" Target="http://amazon.com/dp/B000BQK57G" TargetMode="External"/><Relationship Id="rId531" Type="http://schemas.openxmlformats.org/officeDocument/2006/relationships/hyperlink" Target="http://amazon.com/dp/B004I6RV04" TargetMode="External"/><Relationship Id="rId1122" Type="http://schemas.openxmlformats.org/officeDocument/2006/relationships/hyperlink" Target="http://palletfly.com/product_details.php?vid=24692" TargetMode="External"/><Relationship Id="rId530" Type="http://schemas.openxmlformats.org/officeDocument/2006/relationships/hyperlink" Target="http://palletfly.com/product_details.php?vid=5377" TargetMode="External"/><Relationship Id="rId1123" Type="http://schemas.openxmlformats.org/officeDocument/2006/relationships/hyperlink" Target="http://amazon.com/dp/B00EQDIZ1I" TargetMode="External"/><Relationship Id="rId1124" Type="http://schemas.openxmlformats.org/officeDocument/2006/relationships/hyperlink" Target="http://palletfly.com/product_details.php?vid=13082" TargetMode="External"/><Relationship Id="rId1158" Type="http://schemas.openxmlformats.org/officeDocument/2006/relationships/hyperlink" Target="http://palletfly.com/product_details.php?vid=17110" TargetMode="External"/><Relationship Id="rId2005" Type="http://schemas.openxmlformats.org/officeDocument/2006/relationships/hyperlink" Target="http://palletfly.com/product_details.php?vid=21995" TargetMode="External"/><Relationship Id="rId1159" Type="http://schemas.openxmlformats.org/officeDocument/2006/relationships/hyperlink" Target="http://amazon.com/dp/B00TBJSJM2" TargetMode="External"/><Relationship Id="rId2006" Type="http://schemas.openxmlformats.org/officeDocument/2006/relationships/hyperlink" Target="http://palletfly.com/product_details.php?vid=10563" TargetMode="External"/><Relationship Id="rId2007" Type="http://schemas.openxmlformats.org/officeDocument/2006/relationships/hyperlink" Target="http://palletfly.com/product_details.php?vid=14659" TargetMode="External"/><Relationship Id="rId2008" Type="http://schemas.openxmlformats.org/officeDocument/2006/relationships/hyperlink" Target="http://palletfly.com/product_details.php?vid=17306" TargetMode="External"/><Relationship Id="rId2009" Type="http://schemas.openxmlformats.org/officeDocument/2006/relationships/hyperlink" Target="http://palletfly.com/product_details.php?vid=10721" TargetMode="External"/><Relationship Id="rId569" Type="http://schemas.openxmlformats.org/officeDocument/2006/relationships/hyperlink" Target="http://amazon.com/dp/B001E5FLWC" TargetMode="External"/><Relationship Id="rId568" Type="http://schemas.openxmlformats.org/officeDocument/2006/relationships/hyperlink" Target="http://palletfly.com/product_details.php?vid=11124" TargetMode="External"/><Relationship Id="rId567" Type="http://schemas.openxmlformats.org/officeDocument/2006/relationships/hyperlink" Target="http://amazon.com/dp/B002GZYEMM" TargetMode="External"/><Relationship Id="rId566" Type="http://schemas.openxmlformats.org/officeDocument/2006/relationships/hyperlink" Target="http://palletfly.com/product_details.php?vid=24862" TargetMode="External"/><Relationship Id="rId561" Type="http://schemas.openxmlformats.org/officeDocument/2006/relationships/hyperlink" Target="http://amazon.com/dp/B003EADL2C" TargetMode="External"/><Relationship Id="rId1150" Type="http://schemas.openxmlformats.org/officeDocument/2006/relationships/hyperlink" Target="http://palletfly.com/product_details.php?vid=14438" TargetMode="External"/><Relationship Id="rId560" Type="http://schemas.openxmlformats.org/officeDocument/2006/relationships/hyperlink" Target="http://palletfly.com/product_details.php?vid=20203" TargetMode="External"/><Relationship Id="rId1151" Type="http://schemas.openxmlformats.org/officeDocument/2006/relationships/hyperlink" Target="http://amazon.com/dp/B000H5ZV8E" TargetMode="External"/><Relationship Id="rId1152" Type="http://schemas.openxmlformats.org/officeDocument/2006/relationships/hyperlink" Target="http://palletfly.com/product_details.php?vid=18517" TargetMode="External"/><Relationship Id="rId1153" Type="http://schemas.openxmlformats.org/officeDocument/2006/relationships/hyperlink" Target="http://amazon.com/dp/B0006HXOCI" TargetMode="External"/><Relationship Id="rId2000" Type="http://schemas.openxmlformats.org/officeDocument/2006/relationships/hyperlink" Target="http://palletfly.com/product_details.php?vid=10552" TargetMode="External"/><Relationship Id="rId565" Type="http://schemas.openxmlformats.org/officeDocument/2006/relationships/hyperlink" Target="http://amazon.com/dp/B084PRP4RJ" TargetMode="External"/><Relationship Id="rId1154" Type="http://schemas.openxmlformats.org/officeDocument/2006/relationships/hyperlink" Target="http://palletfly.com/product_details.php?vid=18574" TargetMode="External"/><Relationship Id="rId2001" Type="http://schemas.openxmlformats.org/officeDocument/2006/relationships/hyperlink" Target="http://palletfly.com/product_details.php?vid=11630" TargetMode="External"/><Relationship Id="rId564" Type="http://schemas.openxmlformats.org/officeDocument/2006/relationships/hyperlink" Target="http://palletfly.com/product_details.php?vid=11699" TargetMode="External"/><Relationship Id="rId1155" Type="http://schemas.openxmlformats.org/officeDocument/2006/relationships/hyperlink" Target="http://amazon.com/dp/B00CMO1G8W" TargetMode="External"/><Relationship Id="rId2002" Type="http://schemas.openxmlformats.org/officeDocument/2006/relationships/hyperlink" Target="http://palletfly.com/product_details.php?vid=12730" TargetMode="External"/><Relationship Id="rId563" Type="http://schemas.openxmlformats.org/officeDocument/2006/relationships/hyperlink" Target="http://amazon.com/dp/B07ZTQ72KX" TargetMode="External"/><Relationship Id="rId1156" Type="http://schemas.openxmlformats.org/officeDocument/2006/relationships/hyperlink" Target="http://palletfly.com/product_details.php?vid=10603" TargetMode="External"/><Relationship Id="rId2003" Type="http://schemas.openxmlformats.org/officeDocument/2006/relationships/hyperlink" Target="http://palletfly.com/product_details.php?vid=13736" TargetMode="External"/><Relationship Id="rId562" Type="http://schemas.openxmlformats.org/officeDocument/2006/relationships/hyperlink" Target="http://palletfly.com/product_details.php?vid=21057" TargetMode="External"/><Relationship Id="rId1157" Type="http://schemas.openxmlformats.org/officeDocument/2006/relationships/hyperlink" Target="http://amazon.com/dp/B000QOE18W" TargetMode="External"/><Relationship Id="rId2004" Type="http://schemas.openxmlformats.org/officeDocument/2006/relationships/hyperlink" Target="http://palletfly.com/product_details.php?vid=16169" TargetMode="External"/><Relationship Id="rId1147" Type="http://schemas.openxmlformats.org/officeDocument/2006/relationships/hyperlink" Target="http://amazon.com/dp/B01BKAUGWK" TargetMode="External"/><Relationship Id="rId1148" Type="http://schemas.openxmlformats.org/officeDocument/2006/relationships/hyperlink" Target="http://palletfly.com/product_details.php?vid=16706" TargetMode="External"/><Relationship Id="rId1149" Type="http://schemas.openxmlformats.org/officeDocument/2006/relationships/hyperlink" Target="http://amazon.com/dp/B000I0XNLA" TargetMode="External"/><Relationship Id="rId558" Type="http://schemas.openxmlformats.org/officeDocument/2006/relationships/hyperlink" Target="http://palletfly.com/product_details.php?vid=22655" TargetMode="External"/><Relationship Id="rId557" Type="http://schemas.openxmlformats.org/officeDocument/2006/relationships/hyperlink" Target="http://amazon.com/dp/B00BVO64C2" TargetMode="External"/><Relationship Id="rId556" Type="http://schemas.openxmlformats.org/officeDocument/2006/relationships/hyperlink" Target="http://palletfly.com/product_details.php?vid=19703" TargetMode="External"/><Relationship Id="rId555" Type="http://schemas.openxmlformats.org/officeDocument/2006/relationships/hyperlink" Target="http://amazon.com/dp/B00WRMVUAS" TargetMode="External"/><Relationship Id="rId559" Type="http://schemas.openxmlformats.org/officeDocument/2006/relationships/hyperlink" Target="http://amazon.com/dp/B007RM6GZW" TargetMode="External"/><Relationship Id="rId550" Type="http://schemas.openxmlformats.org/officeDocument/2006/relationships/hyperlink" Target="http://palletfly.com/product_details.php?vid=16955" TargetMode="External"/><Relationship Id="rId1140" Type="http://schemas.openxmlformats.org/officeDocument/2006/relationships/hyperlink" Target="http://palletfly.com/product_details.php?vid=21898" TargetMode="External"/><Relationship Id="rId1141" Type="http://schemas.openxmlformats.org/officeDocument/2006/relationships/hyperlink" Target="http://amazon.com/dp/B00168A18Q" TargetMode="External"/><Relationship Id="rId1142" Type="http://schemas.openxmlformats.org/officeDocument/2006/relationships/hyperlink" Target="http://palletfly.com/product_details.php?vid=5895" TargetMode="External"/><Relationship Id="rId554" Type="http://schemas.openxmlformats.org/officeDocument/2006/relationships/hyperlink" Target="http://palletfly.com/product_details.php?vid=15998" TargetMode="External"/><Relationship Id="rId1143" Type="http://schemas.openxmlformats.org/officeDocument/2006/relationships/hyperlink" Target="http://amazon.com/dp/B01BKAUAHQ" TargetMode="External"/><Relationship Id="rId553" Type="http://schemas.openxmlformats.org/officeDocument/2006/relationships/hyperlink" Target="http://amazon.com/dp/B001OA1AV8" TargetMode="External"/><Relationship Id="rId1144" Type="http://schemas.openxmlformats.org/officeDocument/2006/relationships/hyperlink" Target="http://palletfly.com/product_details.php?vid=8054" TargetMode="External"/><Relationship Id="rId552" Type="http://schemas.openxmlformats.org/officeDocument/2006/relationships/hyperlink" Target="http://palletfly.com/product_details.php?vid=24535" TargetMode="External"/><Relationship Id="rId1145" Type="http://schemas.openxmlformats.org/officeDocument/2006/relationships/hyperlink" Target="http://amazon.com/dp/B00AZMFBD4" TargetMode="External"/><Relationship Id="rId551" Type="http://schemas.openxmlformats.org/officeDocument/2006/relationships/hyperlink" Target="http://amazon.com/dp/B000C217SA" TargetMode="External"/><Relationship Id="rId1146" Type="http://schemas.openxmlformats.org/officeDocument/2006/relationships/hyperlink" Target="http://palletfly.com/product_details.php?vid=13733" TargetMode="External"/><Relationship Id="rId2090" Type="http://schemas.openxmlformats.org/officeDocument/2006/relationships/hyperlink" Target="http://palletfly.com/product_details.php?vid=12707" TargetMode="External"/><Relationship Id="rId2091" Type="http://schemas.openxmlformats.org/officeDocument/2006/relationships/hyperlink" Target="http://palletfly.com/product_details.php?vid=14260" TargetMode="External"/><Relationship Id="rId2092" Type="http://schemas.openxmlformats.org/officeDocument/2006/relationships/hyperlink" Target="http://palletfly.com/product_details.php?vid=20829" TargetMode="External"/><Relationship Id="rId2093" Type="http://schemas.openxmlformats.org/officeDocument/2006/relationships/hyperlink" Target="http://palletfly.com/product_details.php?vid=22104" TargetMode="External"/><Relationship Id="rId2094" Type="http://schemas.openxmlformats.org/officeDocument/2006/relationships/hyperlink" Target="http://palletfly.com/product_details.php?vid=589" TargetMode="External"/><Relationship Id="rId2095" Type="http://schemas.openxmlformats.org/officeDocument/2006/relationships/hyperlink" Target="http://palletfly.com/product_details.php?vid=11219" TargetMode="External"/><Relationship Id="rId2096" Type="http://schemas.openxmlformats.org/officeDocument/2006/relationships/hyperlink" Target="http://palletfly.com/product_details.php?vid=15330" TargetMode="External"/><Relationship Id="rId2097" Type="http://schemas.openxmlformats.org/officeDocument/2006/relationships/hyperlink" Target="http://palletfly.com/product_details.php?vid=17457" TargetMode="External"/><Relationship Id="rId2098" Type="http://schemas.openxmlformats.org/officeDocument/2006/relationships/hyperlink" Target="http://palletfly.com/product_details.php?vid=18862" TargetMode="External"/><Relationship Id="rId2099" Type="http://schemas.openxmlformats.org/officeDocument/2006/relationships/hyperlink" Target="http://palletfly.com/product_details.php?vid=13004" TargetMode="External"/><Relationship Id="rId2060" Type="http://schemas.openxmlformats.org/officeDocument/2006/relationships/hyperlink" Target="http://palletfly.com/product_details.php?vid=5885" TargetMode="External"/><Relationship Id="rId2061" Type="http://schemas.openxmlformats.org/officeDocument/2006/relationships/hyperlink" Target="http://palletfly.com/product_details.php?vid=17154" TargetMode="External"/><Relationship Id="rId2062" Type="http://schemas.openxmlformats.org/officeDocument/2006/relationships/hyperlink" Target="http://palletfly.com/product_details.php?vid=17770" TargetMode="External"/><Relationship Id="rId2063" Type="http://schemas.openxmlformats.org/officeDocument/2006/relationships/hyperlink" Target="http://palletfly.com/product_details.php?vid=18431" TargetMode="External"/><Relationship Id="rId2064" Type="http://schemas.openxmlformats.org/officeDocument/2006/relationships/hyperlink" Target="http://palletfly.com/product_details.php?vid=22169" TargetMode="External"/><Relationship Id="rId2065" Type="http://schemas.openxmlformats.org/officeDocument/2006/relationships/hyperlink" Target="http://palletfly.com/product_details.php?vid=14786" TargetMode="External"/><Relationship Id="rId2066" Type="http://schemas.openxmlformats.org/officeDocument/2006/relationships/hyperlink" Target="http://palletfly.com/product_details.php?vid=14999" TargetMode="External"/><Relationship Id="rId2067" Type="http://schemas.openxmlformats.org/officeDocument/2006/relationships/hyperlink" Target="http://palletfly.com/product_details.php?vid=836" TargetMode="External"/><Relationship Id="rId2068" Type="http://schemas.openxmlformats.org/officeDocument/2006/relationships/hyperlink" Target="http://palletfly.com/product_details.php?vid=11196" TargetMode="External"/><Relationship Id="rId2069" Type="http://schemas.openxmlformats.org/officeDocument/2006/relationships/hyperlink" Target="http://palletfly.com/product_details.php?vid=21221" TargetMode="External"/><Relationship Id="rId2050" Type="http://schemas.openxmlformats.org/officeDocument/2006/relationships/hyperlink" Target="http://palletfly.com/product_details.php?vid=14469" TargetMode="External"/><Relationship Id="rId2051" Type="http://schemas.openxmlformats.org/officeDocument/2006/relationships/hyperlink" Target="http://palletfly.com/product_details.php?vid=24366" TargetMode="External"/><Relationship Id="rId495" Type="http://schemas.openxmlformats.org/officeDocument/2006/relationships/hyperlink" Target="http://amazon.com/dp/B000C1Z6B0" TargetMode="External"/><Relationship Id="rId2052" Type="http://schemas.openxmlformats.org/officeDocument/2006/relationships/hyperlink" Target="http://palletfly.com/product_details.php?vid=21751" TargetMode="External"/><Relationship Id="rId494" Type="http://schemas.openxmlformats.org/officeDocument/2006/relationships/hyperlink" Target="http://palletfly.com/product_details.php?vid=14888" TargetMode="External"/><Relationship Id="rId2053" Type="http://schemas.openxmlformats.org/officeDocument/2006/relationships/hyperlink" Target="http://palletfly.com/product_details.php?vid=21727" TargetMode="External"/><Relationship Id="rId493" Type="http://schemas.openxmlformats.org/officeDocument/2006/relationships/hyperlink" Target="http://amazon.com/dp/B0872BQK9C" TargetMode="External"/><Relationship Id="rId2054" Type="http://schemas.openxmlformats.org/officeDocument/2006/relationships/hyperlink" Target="http://palletfly.com/product_details.php?vid=1787" TargetMode="External"/><Relationship Id="rId492" Type="http://schemas.openxmlformats.org/officeDocument/2006/relationships/hyperlink" Target="http://palletfly.com/product_details.php?vid=18115" TargetMode="External"/><Relationship Id="rId2055" Type="http://schemas.openxmlformats.org/officeDocument/2006/relationships/hyperlink" Target="http://palletfly.com/product_details.php?vid=1189" TargetMode="External"/><Relationship Id="rId499" Type="http://schemas.openxmlformats.org/officeDocument/2006/relationships/hyperlink" Target="http://amazon.com/dp/B000HF2OUW" TargetMode="External"/><Relationship Id="rId2056" Type="http://schemas.openxmlformats.org/officeDocument/2006/relationships/hyperlink" Target="http://palletfly.com/product_details.php?vid=20033" TargetMode="External"/><Relationship Id="rId498" Type="http://schemas.openxmlformats.org/officeDocument/2006/relationships/hyperlink" Target="http://palletfly.com/product_details.php?vid=24524" TargetMode="External"/><Relationship Id="rId2057" Type="http://schemas.openxmlformats.org/officeDocument/2006/relationships/hyperlink" Target="http://palletfly.com/product_details.php?vid=6780" TargetMode="External"/><Relationship Id="rId497" Type="http://schemas.openxmlformats.org/officeDocument/2006/relationships/hyperlink" Target="http://amazon.com/dp/B004B9O9XK" TargetMode="External"/><Relationship Id="rId2058" Type="http://schemas.openxmlformats.org/officeDocument/2006/relationships/hyperlink" Target="http://palletfly.com/product_details.php?vid=23949" TargetMode="External"/><Relationship Id="rId496" Type="http://schemas.openxmlformats.org/officeDocument/2006/relationships/hyperlink" Target="http://palletfly.com/product_details.php?vid=18021" TargetMode="External"/><Relationship Id="rId2059" Type="http://schemas.openxmlformats.org/officeDocument/2006/relationships/hyperlink" Target="http://palletfly.com/product_details.php?vid=3467" TargetMode="External"/><Relationship Id="rId2080" Type="http://schemas.openxmlformats.org/officeDocument/2006/relationships/hyperlink" Target="http://palletfly.com/product_details.php?vid=24515" TargetMode="External"/><Relationship Id="rId2081" Type="http://schemas.openxmlformats.org/officeDocument/2006/relationships/hyperlink" Target="http://palletfly.com/product_details.php?vid=1879" TargetMode="External"/><Relationship Id="rId2082" Type="http://schemas.openxmlformats.org/officeDocument/2006/relationships/hyperlink" Target="http://palletfly.com/product_details.php?vid=6225" TargetMode="External"/><Relationship Id="rId2083" Type="http://schemas.openxmlformats.org/officeDocument/2006/relationships/hyperlink" Target="http://palletfly.com/product_details.php?vid=14058" TargetMode="External"/><Relationship Id="rId2084" Type="http://schemas.openxmlformats.org/officeDocument/2006/relationships/hyperlink" Target="http://palletfly.com/product_details.php?vid=19596" TargetMode="External"/><Relationship Id="rId2085" Type="http://schemas.openxmlformats.org/officeDocument/2006/relationships/hyperlink" Target="http://palletfly.com/product_details.php?vid=20239" TargetMode="External"/><Relationship Id="rId2086" Type="http://schemas.openxmlformats.org/officeDocument/2006/relationships/hyperlink" Target="http://palletfly.com/product_details.php?vid=21577" TargetMode="External"/><Relationship Id="rId2087" Type="http://schemas.openxmlformats.org/officeDocument/2006/relationships/hyperlink" Target="http://palletfly.com/product_details.php?vid=22384" TargetMode="External"/><Relationship Id="rId2088" Type="http://schemas.openxmlformats.org/officeDocument/2006/relationships/hyperlink" Target="http://palletfly.com/product_details.php?vid=23669" TargetMode="External"/><Relationship Id="rId2089" Type="http://schemas.openxmlformats.org/officeDocument/2006/relationships/hyperlink" Target="http://palletfly.com/product_details.php?vid=17550" TargetMode="External"/><Relationship Id="rId2070" Type="http://schemas.openxmlformats.org/officeDocument/2006/relationships/hyperlink" Target="http://palletfly.com/product_details.php?vid=15503" TargetMode="External"/><Relationship Id="rId2071" Type="http://schemas.openxmlformats.org/officeDocument/2006/relationships/hyperlink" Target="http://palletfly.com/product_details.php?vid=18558" TargetMode="External"/><Relationship Id="rId2072" Type="http://schemas.openxmlformats.org/officeDocument/2006/relationships/hyperlink" Target="http://palletfly.com/product_details.php?vid=6684" TargetMode="External"/><Relationship Id="rId2073" Type="http://schemas.openxmlformats.org/officeDocument/2006/relationships/hyperlink" Target="http://palletfly.com/product_details.php?vid=22793" TargetMode="External"/><Relationship Id="rId2074" Type="http://schemas.openxmlformats.org/officeDocument/2006/relationships/hyperlink" Target="http://palletfly.com/product_details.php?vid=21961" TargetMode="External"/><Relationship Id="rId2075" Type="http://schemas.openxmlformats.org/officeDocument/2006/relationships/hyperlink" Target="http://palletfly.com/product_details.php?vid=22102" TargetMode="External"/><Relationship Id="rId2076" Type="http://schemas.openxmlformats.org/officeDocument/2006/relationships/hyperlink" Target="http://palletfly.com/product_details.php?vid=20624" TargetMode="External"/><Relationship Id="rId2077" Type="http://schemas.openxmlformats.org/officeDocument/2006/relationships/hyperlink" Target="http://palletfly.com/product_details.php?vid=3461" TargetMode="External"/><Relationship Id="rId2078" Type="http://schemas.openxmlformats.org/officeDocument/2006/relationships/hyperlink" Target="http://palletfly.com/product_details.php?vid=6765" TargetMode="External"/><Relationship Id="rId2079" Type="http://schemas.openxmlformats.org/officeDocument/2006/relationships/hyperlink" Target="http://palletfly.com/product_details.php?vid=22064" TargetMode="External"/><Relationship Id="rId1610" Type="http://schemas.openxmlformats.org/officeDocument/2006/relationships/hyperlink" Target="http://palletfly.com/product_details.php?vid=21064" TargetMode="External"/><Relationship Id="rId1611" Type="http://schemas.openxmlformats.org/officeDocument/2006/relationships/hyperlink" Target="http://amazon.com/dp/B07BM1XTKH" TargetMode="External"/><Relationship Id="rId1612" Type="http://schemas.openxmlformats.org/officeDocument/2006/relationships/hyperlink" Target="http://palletfly.com/product_details.php?vid=9437" TargetMode="External"/><Relationship Id="rId1613" Type="http://schemas.openxmlformats.org/officeDocument/2006/relationships/hyperlink" Target="http://amazon.com/dp/B01BKAUATE" TargetMode="External"/><Relationship Id="rId1614" Type="http://schemas.openxmlformats.org/officeDocument/2006/relationships/hyperlink" Target="http://palletfly.com/product_details.php?vid=18711" TargetMode="External"/><Relationship Id="rId1615" Type="http://schemas.openxmlformats.org/officeDocument/2006/relationships/hyperlink" Target="http://amazon.com/dp/B08SHRVKVT" TargetMode="External"/><Relationship Id="rId1616" Type="http://schemas.openxmlformats.org/officeDocument/2006/relationships/hyperlink" Target="http://palletfly.com/product_details.php?vid=21667" TargetMode="External"/><Relationship Id="rId907" Type="http://schemas.openxmlformats.org/officeDocument/2006/relationships/hyperlink" Target="http://amazon.com/dp/B00ICLGPOE" TargetMode="External"/><Relationship Id="rId1617" Type="http://schemas.openxmlformats.org/officeDocument/2006/relationships/hyperlink" Target="http://amazon.com/dp/B010HKEDEQ" TargetMode="External"/><Relationship Id="rId906" Type="http://schemas.openxmlformats.org/officeDocument/2006/relationships/hyperlink" Target="http://palletfly.com/product_details.php?vid=22410" TargetMode="External"/><Relationship Id="rId1618" Type="http://schemas.openxmlformats.org/officeDocument/2006/relationships/hyperlink" Target="http://palletfly.com/product_details.php?vid=22361" TargetMode="External"/><Relationship Id="rId905" Type="http://schemas.openxmlformats.org/officeDocument/2006/relationships/hyperlink" Target="http://amazon.com/dp/B002LG6UQY" TargetMode="External"/><Relationship Id="rId1619" Type="http://schemas.openxmlformats.org/officeDocument/2006/relationships/hyperlink" Target="http://amazon.com/dp/B001DVW0PI" TargetMode="External"/><Relationship Id="rId904" Type="http://schemas.openxmlformats.org/officeDocument/2006/relationships/hyperlink" Target="http://palletfly.com/product_details.php?vid=18603" TargetMode="External"/><Relationship Id="rId909" Type="http://schemas.openxmlformats.org/officeDocument/2006/relationships/hyperlink" Target="http://amazon.com/dp/B000UU8GBU" TargetMode="External"/><Relationship Id="rId908" Type="http://schemas.openxmlformats.org/officeDocument/2006/relationships/hyperlink" Target="http://palletfly.com/product_details.php?vid=22859" TargetMode="External"/><Relationship Id="rId903" Type="http://schemas.openxmlformats.org/officeDocument/2006/relationships/hyperlink" Target="http://amazon.com/dp/B0024GTIKQ" TargetMode="External"/><Relationship Id="rId902" Type="http://schemas.openxmlformats.org/officeDocument/2006/relationships/hyperlink" Target="http://palletfly.com/product_details.php?vid=19229" TargetMode="External"/><Relationship Id="rId901" Type="http://schemas.openxmlformats.org/officeDocument/2006/relationships/hyperlink" Target="http://amazon.com/dp/B0045PVKDW" TargetMode="External"/><Relationship Id="rId900" Type="http://schemas.openxmlformats.org/officeDocument/2006/relationships/hyperlink" Target="http://palletfly.com/product_details.php?vid=16818" TargetMode="External"/><Relationship Id="rId1600" Type="http://schemas.openxmlformats.org/officeDocument/2006/relationships/hyperlink" Target="http://palletfly.com/product_details.php?vid=18642" TargetMode="External"/><Relationship Id="rId1601" Type="http://schemas.openxmlformats.org/officeDocument/2006/relationships/hyperlink" Target="http://amazon.com/dp/B0047CP930" TargetMode="External"/><Relationship Id="rId1602" Type="http://schemas.openxmlformats.org/officeDocument/2006/relationships/hyperlink" Target="http://palletfly.com/product_details.php?vid=24461" TargetMode="External"/><Relationship Id="rId1603" Type="http://schemas.openxmlformats.org/officeDocument/2006/relationships/hyperlink" Target="http://amazon.com/dp/B004O79HWM" TargetMode="External"/><Relationship Id="rId1604" Type="http://schemas.openxmlformats.org/officeDocument/2006/relationships/hyperlink" Target="http://palletfly.com/product_details.php?vid=3457" TargetMode="External"/><Relationship Id="rId1605" Type="http://schemas.openxmlformats.org/officeDocument/2006/relationships/hyperlink" Target="http://amazon.com/dp/B00F1UX6MI" TargetMode="External"/><Relationship Id="rId1606" Type="http://schemas.openxmlformats.org/officeDocument/2006/relationships/hyperlink" Target="http://palletfly.com/product_details.php?vid=4805" TargetMode="External"/><Relationship Id="rId1607" Type="http://schemas.openxmlformats.org/officeDocument/2006/relationships/hyperlink" Target="http://amazon.com/dp/B01BKAURF6" TargetMode="External"/><Relationship Id="rId1608" Type="http://schemas.openxmlformats.org/officeDocument/2006/relationships/hyperlink" Target="http://palletfly.com/product_details.php?vid=7611" TargetMode="External"/><Relationship Id="rId1609" Type="http://schemas.openxmlformats.org/officeDocument/2006/relationships/hyperlink" Target="http://amazon.com/dp/B00027C8XI" TargetMode="External"/><Relationship Id="rId1631" Type="http://schemas.openxmlformats.org/officeDocument/2006/relationships/hyperlink" Target="http://amazon.com/dp/B07FFMZJVF" TargetMode="External"/><Relationship Id="rId1632" Type="http://schemas.openxmlformats.org/officeDocument/2006/relationships/hyperlink" Target="http://palletfly.com/product_details.php?vid=11681" TargetMode="External"/><Relationship Id="rId1633" Type="http://schemas.openxmlformats.org/officeDocument/2006/relationships/hyperlink" Target="http://amazon.com/dp/B084PRBTPT" TargetMode="External"/><Relationship Id="rId1634" Type="http://schemas.openxmlformats.org/officeDocument/2006/relationships/hyperlink" Target="http://palletfly.com/product_details.php?vid=12732" TargetMode="External"/><Relationship Id="rId1635" Type="http://schemas.openxmlformats.org/officeDocument/2006/relationships/hyperlink" Target="http://amazon.com/dp/B01N208C3S" TargetMode="External"/><Relationship Id="rId1636" Type="http://schemas.openxmlformats.org/officeDocument/2006/relationships/hyperlink" Target="http://palletfly.com/product_details.php?vid=15964" TargetMode="External"/><Relationship Id="rId1637" Type="http://schemas.openxmlformats.org/officeDocument/2006/relationships/hyperlink" Target="http://amazon.com/dp/B001AQO9GY" TargetMode="External"/><Relationship Id="rId1638" Type="http://schemas.openxmlformats.org/officeDocument/2006/relationships/hyperlink" Target="http://palletfly.com/product_details.php?vid=16191" TargetMode="External"/><Relationship Id="rId929" Type="http://schemas.openxmlformats.org/officeDocument/2006/relationships/hyperlink" Target="http://amazon.com/dp/B083X6DJXB" TargetMode="External"/><Relationship Id="rId1639" Type="http://schemas.openxmlformats.org/officeDocument/2006/relationships/hyperlink" Target="http://amazon.com/dp/B000C23698" TargetMode="External"/><Relationship Id="rId928" Type="http://schemas.openxmlformats.org/officeDocument/2006/relationships/hyperlink" Target="http://palletfly.com/product_details.php?vid=22450" TargetMode="External"/><Relationship Id="rId927" Type="http://schemas.openxmlformats.org/officeDocument/2006/relationships/hyperlink" Target="http://amazon.com/dp/B01N6VIUPS" TargetMode="External"/><Relationship Id="rId926" Type="http://schemas.openxmlformats.org/officeDocument/2006/relationships/hyperlink" Target="http://palletfly.com/product_details.php?vid=22060" TargetMode="External"/><Relationship Id="rId921" Type="http://schemas.openxmlformats.org/officeDocument/2006/relationships/hyperlink" Target="http://amazon.com/dp/B005L4J9T8" TargetMode="External"/><Relationship Id="rId920" Type="http://schemas.openxmlformats.org/officeDocument/2006/relationships/hyperlink" Target="http://palletfly.com/product_details.php?vid=2114" TargetMode="External"/><Relationship Id="rId925" Type="http://schemas.openxmlformats.org/officeDocument/2006/relationships/hyperlink" Target="http://amazon.com/dp/B07D2JCTZQ" TargetMode="External"/><Relationship Id="rId924" Type="http://schemas.openxmlformats.org/officeDocument/2006/relationships/hyperlink" Target="http://palletfly.com/product_details.php?vid=7511" TargetMode="External"/><Relationship Id="rId923" Type="http://schemas.openxmlformats.org/officeDocument/2006/relationships/hyperlink" Target="http://amazon.com/dp/B0006OKJJ2" TargetMode="External"/><Relationship Id="rId922" Type="http://schemas.openxmlformats.org/officeDocument/2006/relationships/hyperlink" Target="http://palletfly.com/product_details.php?vid=23025" TargetMode="External"/><Relationship Id="rId1630" Type="http://schemas.openxmlformats.org/officeDocument/2006/relationships/hyperlink" Target="http://palletfly.com/product_details.php?vid=11644" TargetMode="External"/><Relationship Id="rId1620" Type="http://schemas.openxmlformats.org/officeDocument/2006/relationships/hyperlink" Target="http://palletfly.com/product_details.php?vid=18565" TargetMode="External"/><Relationship Id="rId1621" Type="http://schemas.openxmlformats.org/officeDocument/2006/relationships/hyperlink" Target="http://amazon.com/dp/B07BDWBDHG" TargetMode="External"/><Relationship Id="rId1622" Type="http://schemas.openxmlformats.org/officeDocument/2006/relationships/hyperlink" Target="http://palletfly.com/product_details.php?vid=2494" TargetMode="External"/><Relationship Id="rId1623" Type="http://schemas.openxmlformats.org/officeDocument/2006/relationships/hyperlink" Target="http://amazon.com/dp/B000VXOUNY" TargetMode="External"/><Relationship Id="rId1624" Type="http://schemas.openxmlformats.org/officeDocument/2006/relationships/hyperlink" Target="http://palletfly.com/product_details.php?vid=23588" TargetMode="External"/><Relationship Id="rId1625" Type="http://schemas.openxmlformats.org/officeDocument/2006/relationships/hyperlink" Target="http://amazon.com/dp/B00X2L0KKO" TargetMode="External"/><Relationship Id="rId1626" Type="http://schemas.openxmlformats.org/officeDocument/2006/relationships/hyperlink" Target="http://palletfly.com/product_details.php?vid=21992" TargetMode="External"/><Relationship Id="rId1627" Type="http://schemas.openxmlformats.org/officeDocument/2006/relationships/hyperlink" Target="http://amazon.com/dp/B002C46N76" TargetMode="External"/><Relationship Id="rId918" Type="http://schemas.openxmlformats.org/officeDocument/2006/relationships/hyperlink" Target="http://palletfly.com/product_details.php?vid=22871" TargetMode="External"/><Relationship Id="rId1628" Type="http://schemas.openxmlformats.org/officeDocument/2006/relationships/hyperlink" Target="http://palletfly.com/product_details.php?vid=11369" TargetMode="External"/><Relationship Id="rId917" Type="http://schemas.openxmlformats.org/officeDocument/2006/relationships/hyperlink" Target="http://amazon.com/dp/B0050A60J0" TargetMode="External"/><Relationship Id="rId1629" Type="http://schemas.openxmlformats.org/officeDocument/2006/relationships/hyperlink" Target="http://amazon.com/dp/B078GN8JDD" TargetMode="External"/><Relationship Id="rId916" Type="http://schemas.openxmlformats.org/officeDocument/2006/relationships/hyperlink" Target="http://palletfly.com/product_details.php?vid=24741" TargetMode="External"/><Relationship Id="rId915" Type="http://schemas.openxmlformats.org/officeDocument/2006/relationships/hyperlink" Target="http://amazon.com/dp/B01717RK8O" TargetMode="External"/><Relationship Id="rId919" Type="http://schemas.openxmlformats.org/officeDocument/2006/relationships/hyperlink" Target="http://amazon.com/dp/B0157F5AIY" TargetMode="External"/><Relationship Id="rId910" Type="http://schemas.openxmlformats.org/officeDocument/2006/relationships/hyperlink" Target="http://palletfly.com/product_details.php?vid=20765" TargetMode="External"/><Relationship Id="rId914" Type="http://schemas.openxmlformats.org/officeDocument/2006/relationships/hyperlink" Target="http://palletfly.com/product_details.php?vid=20841" TargetMode="External"/><Relationship Id="rId913" Type="http://schemas.openxmlformats.org/officeDocument/2006/relationships/hyperlink" Target="http://amazon.com/dp/B00E80I0F0" TargetMode="External"/><Relationship Id="rId912" Type="http://schemas.openxmlformats.org/officeDocument/2006/relationships/hyperlink" Target="http://palletfly.com/product_details.php?vid=3520" TargetMode="External"/><Relationship Id="rId911" Type="http://schemas.openxmlformats.org/officeDocument/2006/relationships/hyperlink" Target="http://amazon.com/dp/B003XOXUK2" TargetMode="External"/><Relationship Id="rId1213" Type="http://schemas.openxmlformats.org/officeDocument/2006/relationships/hyperlink" Target="http://amazon.com/dp/B000KKK6R2" TargetMode="External"/><Relationship Id="rId1697" Type="http://schemas.openxmlformats.org/officeDocument/2006/relationships/hyperlink" Target="http://amazon.com/dp/B0013NRHYU" TargetMode="External"/><Relationship Id="rId1214" Type="http://schemas.openxmlformats.org/officeDocument/2006/relationships/hyperlink" Target="http://palletfly.com/product_details.php?vid=23032" TargetMode="External"/><Relationship Id="rId1698" Type="http://schemas.openxmlformats.org/officeDocument/2006/relationships/hyperlink" Target="http://palletfly.com/product_details.php?vid=20898" TargetMode="External"/><Relationship Id="rId1215" Type="http://schemas.openxmlformats.org/officeDocument/2006/relationships/hyperlink" Target="http://amazon.com/dp/B000VXEWNW" TargetMode="External"/><Relationship Id="rId1699" Type="http://schemas.openxmlformats.org/officeDocument/2006/relationships/hyperlink" Target="http://amazon.com/dp/B00G05AFYA" TargetMode="External"/><Relationship Id="rId1216" Type="http://schemas.openxmlformats.org/officeDocument/2006/relationships/hyperlink" Target="http://palletfly.com/product_details.php?vid=16476" TargetMode="External"/><Relationship Id="rId1217" Type="http://schemas.openxmlformats.org/officeDocument/2006/relationships/hyperlink" Target="http://amazon.com/dp/B00H3T5LL4" TargetMode="External"/><Relationship Id="rId1218" Type="http://schemas.openxmlformats.org/officeDocument/2006/relationships/hyperlink" Target="http://palletfly.com/product_details.php?vid=21413" TargetMode="External"/><Relationship Id="rId1219" Type="http://schemas.openxmlformats.org/officeDocument/2006/relationships/hyperlink" Target="http://amazon.com/dp/B000KNLU9M" TargetMode="External"/><Relationship Id="rId866" Type="http://schemas.openxmlformats.org/officeDocument/2006/relationships/hyperlink" Target="http://palletfly.com/product_details.php?vid=17347" TargetMode="External"/><Relationship Id="rId865" Type="http://schemas.openxmlformats.org/officeDocument/2006/relationships/hyperlink" Target="http://amazon.com/dp/B00KPENT9K" TargetMode="External"/><Relationship Id="rId864" Type="http://schemas.openxmlformats.org/officeDocument/2006/relationships/hyperlink" Target="http://palletfly.com/product_details.php?vid=8055" TargetMode="External"/><Relationship Id="rId863" Type="http://schemas.openxmlformats.org/officeDocument/2006/relationships/hyperlink" Target="http://amazon.com/dp/B0105Z4K6O" TargetMode="External"/><Relationship Id="rId869" Type="http://schemas.openxmlformats.org/officeDocument/2006/relationships/hyperlink" Target="http://amazon.com/dp/B01IH2TRI8" TargetMode="External"/><Relationship Id="rId868" Type="http://schemas.openxmlformats.org/officeDocument/2006/relationships/hyperlink" Target="http://palletfly.com/product_details.php?vid=6555" TargetMode="External"/><Relationship Id="rId867" Type="http://schemas.openxmlformats.org/officeDocument/2006/relationships/hyperlink" Target="http://amazon.com/dp/B00290F0M2" TargetMode="External"/><Relationship Id="rId1690" Type="http://schemas.openxmlformats.org/officeDocument/2006/relationships/hyperlink" Target="http://palletfly.com/product_details.php?vid=17350" TargetMode="External"/><Relationship Id="rId1691" Type="http://schemas.openxmlformats.org/officeDocument/2006/relationships/hyperlink" Target="http://amazon.com/dp/B00342VDZM" TargetMode="External"/><Relationship Id="rId1692" Type="http://schemas.openxmlformats.org/officeDocument/2006/relationships/hyperlink" Target="http://palletfly.com/product_details.php?vid=23483" TargetMode="External"/><Relationship Id="rId862" Type="http://schemas.openxmlformats.org/officeDocument/2006/relationships/hyperlink" Target="http://palletfly.com/product_details.php?vid=20278" TargetMode="External"/><Relationship Id="rId1693" Type="http://schemas.openxmlformats.org/officeDocument/2006/relationships/hyperlink" Target="http://amazon.com/dp/B00138LXFY" TargetMode="External"/><Relationship Id="rId861" Type="http://schemas.openxmlformats.org/officeDocument/2006/relationships/hyperlink" Target="http://amazon.com/dp/B01BKAUNQE" TargetMode="External"/><Relationship Id="rId1210" Type="http://schemas.openxmlformats.org/officeDocument/2006/relationships/hyperlink" Target="http://palletfly.com/product_details.php?vid=10123" TargetMode="External"/><Relationship Id="rId1694" Type="http://schemas.openxmlformats.org/officeDocument/2006/relationships/hyperlink" Target="http://palletfly.com/product_details.php?vid=23834" TargetMode="External"/><Relationship Id="rId860" Type="http://schemas.openxmlformats.org/officeDocument/2006/relationships/hyperlink" Target="http://palletfly.com/product_details.php?vid=14322" TargetMode="External"/><Relationship Id="rId1211" Type="http://schemas.openxmlformats.org/officeDocument/2006/relationships/hyperlink" Target="http://amazon.com/dp/B0009OAIJK" TargetMode="External"/><Relationship Id="rId1695" Type="http://schemas.openxmlformats.org/officeDocument/2006/relationships/hyperlink" Target="http://amazon.com/dp/B00ZPW9ZCM" TargetMode="External"/><Relationship Id="rId1212" Type="http://schemas.openxmlformats.org/officeDocument/2006/relationships/hyperlink" Target="http://palletfly.com/product_details.php?vid=3524" TargetMode="External"/><Relationship Id="rId1696" Type="http://schemas.openxmlformats.org/officeDocument/2006/relationships/hyperlink" Target="http://palletfly.com/product_details.php?vid=17411" TargetMode="External"/><Relationship Id="rId1202" Type="http://schemas.openxmlformats.org/officeDocument/2006/relationships/hyperlink" Target="http://palletfly.com/product_details.php?vid=23540" TargetMode="External"/><Relationship Id="rId1686" Type="http://schemas.openxmlformats.org/officeDocument/2006/relationships/hyperlink" Target="http://palletfly.com/product_details.php?vid=15978" TargetMode="External"/><Relationship Id="rId1203" Type="http://schemas.openxmlformats.org/officeDocument/2006/relationships/hyperlink" Target="http://amazon.com/dp/B0017YP1DY" TargetMode="External"/><Relationship Id="rId1687" Type="http://schemas.openxmlformats.org/officeDocument/2006/relationships/hyperlink" Target="http://amazon.com/dp/B000F8XBWQ" TargetMode="External"/><Relationship Id="rId1204" Type="http://schemas.openxmlformats.org/officeDocument/2006/relationships/hyperlink" Target="http://palletfly.com/product_details.php?vid=6941" TargetMode="External"/><Relationship Id="rId1688" Type="http://schemas.openxmlformats.org/officeDocument/2006/relationships/hyperlink" Target="http://palletfly.com/product_details.php?vid=17168" TargetMode="External"/><Relationship Id="rId1205" Type="http://schemas.openxmlformats.org/officeDocument/2006/relationships/hyperlink" Target="http://amazon.com/dp/B001R4XRLC" TargetMode="External"/><Relationship Id="rId1689" Type="http://schemas.openxmlformats.org/officeDocument/2006/relationships/hyperlink" Target="http://amazon.com/dp/B002OMHG04" TargetMode="External"/><Relationship Id="rId1206" Type="http://schemas.openxmlformats.org/officeDocument/2006/relationships/hyperlink" Target="http://palletfly.com/product_details.php?vid=10573" TargetMode="External"/><Relationship Id="rId1207" Type="http://schemas.openxmlformats.org/officeDocument/2006/relationships/hyperlink" Target="http://amazon.com/dp/B00KQODZUM" TargetMode="External"/><Relationship Id="rId1208" Type="http://schemas.openxmlformats.org/officeDocument/2006/relationships/hyperlink" Target="http://palletfly.com/product_details.php?vid=15038" TargetMode="External"/><Relationship Id="rId1209" Type="http://schemas.openxmlformats.org/officeDocument/2006/relationships/hyperlink" Target="http://amazon.com/dp/B0045PXPH6" TargetMode="External"/><Relationship Id="rId855" Type="http://schemas.openxmlformats.org/officeDocument/2006/relationships/hyperlink" Target="http://amazon.com/dp/B000C1ZFFW" TargetMode="External"/><Relationship Id="rId854" Type="http://schemas.openxmlformats.org/officeDocument/2006/relationships/hyperlink" Target="http://palletfly.com/product_details.php?vid=22512" TargetMode="External"/><Relationship Id="rId853" Type="http://schemas.openxmlformats.org/officeDocument/2006/relationships/hyperlink" Target="http://amazon.com/dp/B0078F6LXK" TargetMode="External"/><Relationship Id="rId852" Type="http://schemas.openxmlformats.org/officeDocument/2006/relationships/hyperlink" Target="http://palletfly.com/product_details.php?vid=17461" TargetMode="External"/><Relationship Id="rId859" Type="http://schemas.openxmlformats.org/officeDocument/2006/relationships/hyperlink" Target="http://amazon.com/dp/B076JS1HYD" TargetMode="External"/><Relationship Id="rId858" Type="http://schemas.openxmlformats.org/officeDocument/2006/relationships/hyperlink" Target="http://palletfly.com/product_details.php?vid=23852" TargetMode="External"/><Relationship Id="rId857" Type="http://schemas.openxmlformats.org/officeDocument/2006/relationships/hyperlink" Target="http://amazon.com/dp/B078WDYPQ7" TargetMode="External"/><Relationship Id="rId856" Type="http://schemas.openxmlformats.org/officeDocument/2006/relationships/hyperlink" Target="http://palletfly.com/product_details.php?vid=14365" TargetMode="External"/><Relationship Id="rId1680" Type="http://schemas.openxmlformats.org/officeDocument/2006/relationships/hyperlink" Target="http://palletfly.com/product_details.php?vid=24542" TargetMode="External"/><Relationship Id="rId1681" Type="http://schemas.openxmlformats.org/officeDocument/2006/relationships/hyperlink" Target="http://amazon.com/dp/B001E1V56W" TargetMode="External"/><Relationship Id="rId851" Type="http://schemas.openxmlformats.org/officeDocument/2006/relationships/hyperlink" Target="http://amazon.com/dp/B08JHC3ZRF" TargetMode="External"/><Relationship Id="rId1682" Type="http://schemas.openxmlformats.org/officeDocument/2006/relationships/hyperlink" Target="http://palletfly.com/product_details.php?vid=7019" TargetMode="External"/><Relationship Id="rId850" Type="http://schemas.openxmlformats.org/officeDocument/2006/relationships/hyperlink" Target="http://palletfly.com/product_details.php?vid=19877" TargetMode="External"/><Relationship Id="rId1683" Type="http://schemas.openxmlformats.org/officeDocument/2006/relationships/hyperlink" Target="http://amazon.com/dp/B005JQNHPU" TargetMode="External"/><Relationship Id="rId1200" Type="http://schemas.openxmlformats.org/officeDocument/2006/relationships/hyperlink" Target="http://palletfly.com/product_details.php?vid=18618" TargetMode="External"/><Relationship Id="rId1684" Type="http://schemas.openxmlformats.org/officeDocument/2006/relationships/hyperlink" Target="http://palletfly.com/product_details.php?vid=10072" TargetMode="External"/><Relationship Id="rId1201" Type="http://schemas.openxmlformats.org/officeDocument/2006/relationships/hyperlink" Target="http://amazon.com/dp/B002LG0YSO" TargetMode="External"/><Relationship Id="rId1685" Type="http://schemas.openxmlformats.org/officeDocument/2006/relationships/hyperlink" Target="http://amazon.com/dp/B000C21A7I" TargetMode="External"/><Relationship Id="rId1235" Type="http://schemas.openxmlformats.org/officeDocument/2006/relationships/hyperlink" Target="http://amazon.com/dp/B009H5C8AE" TargetMode="External"/><Relationship Id="rId1236" Type="http://schemas.openxmlformats.org/officeDocument/2006/relationships/hyperlink" Target="http://palletfly.com/product_details.php?vid=15818" TargetMode="External"/><Relationship Id="rId1237" Type="http://schemas.openxmlformats.org/officeDocument/2006/relationships/hyperlink" Target="http://amazon.com/dp/B01HL8LYQ2" TargetMode="External"/><Relationship Id="rId1238" Type="http://schemas.openxmlformats.org/officeDocument/2006/relationships/hyperlink" Target="http://palletfly.com/product_details.php?vid=22954" TargetMode="External"/><Relationship Id="rId1239" Type="http://schemas.openxmlformats.org/officeDocument/2006/relationships/hyperlink" Target="http://amazon.com/dp/B000RY70N4" TargetMode="External"/><Relationship Id="rId409" Type="http://schemas.openxmlformats.org/officeDocument/2006/relationships/hyperlink" Target="http://amazon.com/dp/B0006HXPW2" TargetMode="External"/><Relationship Id="rId404" Type="http://schemas.openxmlformats.org/officeDocument/2006/relationships/hyperlink" Target="http://palletfly.com/product_details.php?vid=18483" TargetMode="External"/><Relationship Id="rId888" Type="http://schemas.openxmlformats.org/officeDocument/2006/relationships/hyperlink" Target="http://palletfly.com/product_details.php?vid=17156" TargetMode="External"/><Relationship Id="rId403" Type="http://schemas.openxmlformats.org/officeDocument/2006/relationships/hyperlink" Target="http://amazon.com/dp/B000HF036O" TargetMode="External"/><Relationship Id="rId887" Type="http://schemas.openxmlformats.org/officeDocument/2006/relationships/hyperlink" Target="http://amazon.com/dp/B07HNLD9MW" TargetMode="External"/><Relationship Id="rId402" Type="http://schemas.openxmlformats.org/officeDocument/2006/relationships/hyperlink" Target="http://palletfly.com/product_details.php?vid=16677" TargetMode="External"/><Relationship Id="rId886" Type="http://schemas.openxmlformats.org/officeDocument/2006/relationships/hyperlink" Target="http://palletfly.com/product_details.php?vid=13730" TargetMode="External"/><Relationship Id="rId401" Type="http://schemas.openxmlformats.org/officeDocument/2006/relationships/hyperlink" Target="http://amazon.com/dp/B00ZGEWN1Y" TargetMode="External"/><Relationship Id="rId885" Type="http://schemas.openxmlformats.org/officeDocument/2006/relationships/hyperlink" Target="http://amazon.com/dp/B000KOI53A" TargetMode="External"/><Relationship Id="rId408" Type="http://schemas.openxmlformats.org/officeDocument/2006/relationships/hyperlink" Target="http://palletfly.com/product_details.php?vid=23005" TargetMode="External"/><Relationship Id="rId407" Type="http://schemas.openxmlformats.org/officeDocument/2006/relationships/hyperlink" Target="http://amazon.com/dp/B07DPLV5LW" TargetMode="External"/><Relationship Id="rId406" Type="http://schemas.openxmlformats.org/officeDocument/2006/relationships/hyperlink" Target="http://palletfly.com/product_details.php?vid=17450" TargetMode="External"/><Relationship Id="rId405" Type="http://schemas.openxmlformats.org/officeDocument/2006/relationships/hyperlink" Target="http://amazon.com/dp/B00X7NSPJK" TargetMode="External"/><Relationship Id="rId889" Type="http://schemas.openxmlformats.org/officeDocument/2006/relationships/hyperlink" Target="http://amazon.com/dp/B001R9RXT4" TargetMode="External"/><Relationship Id="rId880" Type="http://schemas.openxmlformats.org/officeDocument/2006/relationships/hyperlink" Target="http://palletfly.com/product_details.php?vid=21033" TargetMode="External"/><Relationship Id="rId1230" Type="http://schemas.openxmlformats.org/officeDocument/2006/relationships/hyperlink" Target="http://palletfly.com/product_details.php?vid=23997" TargetMode="External"/><Relationship Id="rId400" Type="http://schemas.openxmlformats.org/officeDocument/2006/relationships/hyperlink" Target="http://palletfly.com/product_details.php?vid=20173" TargetMode="External"/><Relationship Id="rId884" Type="http://schemas.openxmlformats.org/officeDocument/2006/relationships/hyperlink" Target="http://palletfly.com/product_details.php?vid=19221" TargetMode="External"/><Relationship Id="rId1231" Type="http://schemas.openxmlformats.org/officeDocument/2006/relationships/hyperlink" Target="http://amazon.com/dp/B07NX1VNJW" TargetMode="External"/><Relationship Id="rId883" Type="http://schemas.openxmlformats.org/officeDocument/2006/relationships/hyperlink" Target="http://amazon.com/dp/B002VXEBYA" TargetMode="External"/><Relationship Id="rId1232" Type="http://schemas.openxmlformats.org/officeDocument/2006/relationships/hyperlink" Target="http://palletfly.com/product_details.php?vid=24644" TargetMode="External"/><Relationship Id="rId882" Type="http://schemas.openxmlformats.org/officeDocument/2006/relationships/hyperlink" Target="http://palletfly.com/product_details.php?vid=12881" TargetMode="External"/><Relationship Id="rId1233" Type="http://schemas.openxmlformats.org/officeDocument/2006/relationships/hyperlink" Target="http://amazon.com/dp/B00016ZMGK" TargetMode="External"/><Relationship Id="rId881" Type="http://schemas.openxmlformats.org/officeDocument/2006/relationships/hyperlink" Target="http://amazon.com/dp/B06XQ4FLY8" TargetMode="External"/><Relationship Id="rId1234" Type="http://schemas.openxmlformats.org/officeDocument/2006/relationships/hyperlink" Target="http://palletfly.com/product_details.php?vid=11727" TargetMode="External"/><Relationship Id="rId1224" Type="http://schemas.openxmlformats.org/officeDocument/2006/relationships/hyperlink" Target="http://palletfly.com/product_details.php?vid=17419" TargetMode="External"/><Relationship Id="rId1225" Type="http://schemas.openxmlformats.org/officeDocument/2006/relationships/hyperlink" Target="http://amazon.com/dp/B000EFNC9M" TargetMode="External"/><Relationship Id="rId1226" Type="http://schemas.openxmlformats.org/officeDocument/2006/relationships/hyperlink" Target="http://palletfly.com/product_details.php?vid=22732" TargetMode="External"/><Relationship Id="rId1227" Type="http://schemas.openxmlformats.org/officeDocument/2006/relationships/hyperlink" Target="http://amazon.com/dp/B073WMFMCY" TargetMode="External"/><Relationship Id="rId1228" Type="http://schemas.openxmlformats.org/officeDocument/2006/relationships/hyperlink" Target="http://palletfly.com/product_details.php?vid=22769" TargetMode="External"/><Relationship Id="rId1229" Type="http://schemas.openxmlformats.org/officeDocument/2006/relationships/hyperlink" Target="http://amazon.com/dp/B08LCMT4VY" TargetMode="External"/><Relationship Id="rId877" Type="http://schemas.openxmlformats.org/officeDocument/2006/relationships/hyperlink" Target="http://amazon.com/dp/B07WHF6LLG" TargetMode="External"/><Relationship Id="rId876" Type="http://schemas.openxmlformats.org/officeDocument/2006/relationships/hyperlink" Target="http://palletfly.com/product_details.php?vid=18223" TargetMode="External"/><Relationship Id="rId875" Type="http://schemas.openxmlformats.org/officeDocument/2006/relationships/hyperlink" Target="http://amazon.com/dp/B0002FU6KM" TargetMode="External"/><Relationship Id="rId874" Type="http://schemas.openxmlformats.org/officeDocument/2006/relationships/hyperlink" Target="http://palletfly.com/product_details.php?vid=24245" TargetMode="External"/><Relationship Id="rId879" Type="http://schemas.openxmlformats.org/officeDocument/2006/relationships/hyperlink" Target="http://amazon.com/dp/B004DIJLHI" TargetMode="External"/><Relationship Id="rId878" Type="http://schemas.openxmlformats.org/officeDocument/2006/relationships/hyperlink" Target="http://palletfly.com/product_details.php?vid=21026" TargetMode="External"/><Relationship Id="rId873" Type="http://schemas.openxmlformats.org/officeDocument/2006/relationships/hyperlink" Target="http://amazon.com/dp/B074JM726Q" TargetMode="External"/><Relationship Id="rId1220" Type="http://schemas.openxmlformats.org/officeDocument/2006/relationships/hyperlink" Target="http://palletfly.com/product_details.php?vid=3450" TargetMode="External"/><Relationship Id="rId872" Type="http://schemas.openxmlformats.org/officeDocument/2006/relationships/hyperlink" Target="http://palletfly.com/product_details.php?vid=23848" TargetMode="External"/><Relationship Id="rId1221" Type="http://schemas.openxmlformats.org/officeDocument/2006/relationships/hyperlink" Target="http://amazon.com/dp/B00KS9HEK2" TargetMode="External"/><Relationship Id="rId871" Type="http://schemas.openxmlformats.org/officeDocument/2006/relationships/hyperlink" Target="http://amazon.com/dp/B0038D3MSI" TargetMode="External"/><Relationship Id="rId1222" Type="http://schemas.openxmlformats.org/officeDocument/2006/relationships/hyperlink" Target="http://palletfly.com/product_details.php?vid=3939" TargetMode="External"/><Relationship Id="rId870" Type="http://schemas.openxmlformats.org/officeDocument/2006/relationships/hyperlink" Target="http://palletfly.com/product_details.php?vid=16772" TargetMode="External"/><Relationship Id="rId1223" Type="http://schemas.openxmlformats.org/officeDocument/2006/relationships/hyperlink" Target="http://amazon.com/dp/B0148WNI5E" TargetMode="External"/><Relationship Id="rId1653" Type="http://schemas.openxmlformats.org/officeDocument/2006/relationships/hyperlink" Target="http://amazon.com/dp/B09Q4TFF7C" TargetMode="External"/><Relationship Id="rId1654" Type="http://schemas.openxmlformats.org/officeDocument/2006/relationships/hyperlink" Target="http://palletfly.com/product_details.php?vid=258" TargetMode="External"/><Relationship Id="rId1655" Type="http://schemas.openxmlformats.org/officeDocument/2006/relationships/hyperlink" Target="http://amazon.com/dp/B00E80J8HO" TargetMode="External"/><Relationship Id="rId1656" Type="http://schemas.openxmlformats.org/officeDocument/2006/relationships/hyperlink" Target="http://palletfly.com/product_details.php?vid=8057" TargetMode="External"/><Relationship Id="rId1657" Type="http://schemas.openxmlformats.org/officeDocument/2006/relationships/hyperlink" Target="http://amazon.com/dp/B00KTVQR4S" TargetMode="External"/><Relationship Id="rId1658" Type="http://schemas.openxmlformats.org/officeDocument/2006/relationships/hyperlink" Target="http://palletfly.com/product_details.php?vid=24759" TargetMode="External"/><Relationship Id="rId1659" Type="http://schemas.openxmlformats.org/officeDocument/2006/relationships/hyperlink" Target="http://amazon.com/dp/B0007M06LY" TargetMode="External"/><Relationship Id="rId829" Type="http://schemas.openxmlformats.org/officeDocument/2006/relationships/hyperlink" Target="http://amazon.com/dp/B00E80IIMK" TargetMode="External"/><Relationship Id="rId828" Type="http://schemas.openxmlformats.org/officeDocument/2006/relationships/hyperlink" Target="http://palletfly.com/product_details.php?vid=5902" TargetMode="External"/><Relationship Id="rId827" Type="http://schemas.openxmlformats.org/officeDocument/2006/relationships/hyperlink" Target="http://amazon.com/dp/B08SJ1MZYH" TargetMode="External"/><Relationship Id="rId822" Type="http://schemas.openxmlformats.org/officeDocument/2006/relationships/hyperlink" Target="http://palletfly.com/product_details.php?vid=19074" TargetMode="External"/><Relationship Id="rId821" Type="http://schemas.openxmlformats.org/officeDocument/2006/relationships/hyperlink" Target="http://amazon.com/dp/B00207NJ7C" TargetMode="External"/><Relationship Id="rId820" Type="http://schemas.openxmlformats.org/officeDocument/2006/relationships/hyperlink" Target="http://palletfly.com/product_details.php?vid=24827" TargetMode="External"/><Relationship Id="rId826" Type="http://schemas.openxmlformats.org/officeDocument/2006/relationships/hyperlink" Target="http://palletfly.com/product_details.php?vid=20034" TargetMode="External"/><Relationship Id="rId825" Type="http://schemas.openxmlformats.org/officeDocument/2006/relationships/hyperlink" Target="http://amazon.com/dp/B000C1Z4WG" TargetMode="External"/><Relationship Id="rId824" Type="http://schemas.openxmlformats.org/officeDocument/2006/relationships/hyperlink" Target="http://palletfly.com/product_details.php?vid=22296" TargetMode="External"/><Relationship Id="rId823" Type="http://schemas.openxmlformats.org/officeDocument/2006/relationships/hyperlink" Target="http://amazon.com/dp/B089QSTVVZ" TargetMode="External"/><Relationship Id="rId1650" Type="http://schemas.openxmlformats.org/officeDocument/2006/relationships/hyperlink" Target="http://palletfly.com/product_details.php?vid=21952" TargetMode="External"/><Relationship Id="rId1651" Type="http://schemas.openxmlformats.org/officeDocument/2006/relationships/hyperlink" Target="http://amazon.com/dp/B002UIDXJK" TargetMode="External"/><Relationship Id="rId1652" Type="http://schemas.openxmlformats.org/officeDocument/2006/relationships/hyperlink" Target="http://palletfly.com/product_details.php?vid=24365" TargetMode="External"/><Relationship Id="rId1642" Type="http://schemas.openxmlformats.org/officeDocument/2006/relationships/hyperlink" Target="http://palletfly.com/product_details.php?vid=21676" TargetMode="External"/><Relationship Id="rId1643" Type="http://schemas.openxmlformats.org/officeDocument/2006/relationships/hyperlink" Target="http://amazon.com/dp/B01CTAAZSA" TargetMode="External"/><Relationship Id="rId1644" Type="http://schemas.openxmlformats.org/officeDocument/2006/relationships/hyperlink" Target="http://palletfly.com/product_details.php?vid=23584" TargetMode="External"/><Relationship Id="rId1645" Type="http://schemas.openxmlformats.org/officeDocument/2006/relationships/hyperlink" Target="http://amazon.com/dp/B001A4FYVA" TargetMode="External"/><Relationship Id="rId1646" Type="http://schemas.openxmlformats.org/officeDocument/2006/relationships/hyperlink" Target="http://palletfly.com/product_details.php?vid=9443" TargetMode="External"/><Relationship Id="rId1647" Type="http://schemas.openxmlformats.org/officeDocument/2006/relationships/hyperlink" Target="http://amazon.com/dp/B01BKAUKEE" TargetMode="External"/><Relationship Id="rId1648" Type="http://schemas.openxmlformats.org/officeDocument/2006/relationships/hyperlink" Target="http://palletfly.com/product_details.php?vid=18108" TargetMode="External"/><Relationship Id="rId1649" Type="http://schemas.openxmlformats.org/officeDocument/2006/relationships/hyperlink" Target="http://amazon.com/dp/B00X2RLJ6W" TargetMode="External"/><Relationship Id="rId819" Type="http://schemas.openxmlformats.org/officeDocument/2006/relationships/hyperlink" Target="http://amazon.com/dp/B00006IBRX" TargetMode="External"/><Relationship Id="rId818" Type="http://schemas.openxmlformats.org/officeDocument/2006/relationships/hyperlink" Target="http://palletfly.com/product_details.php?vid=21090" TargetMode="External"/><Relationship Id="rId817" Type="http://schemas.openxmlformats.org/officeDocument/2006/relationships/hyperlink" Target="http://amazon.com/dp/B00KO97D8Y" TargetMode="External"/><Relationship Id="rId816" Type="http://schemas.openxmlformats.org/officeDocument/2006/relationships/hyperlink" Target="http://palletfly.com/product_details.php?vid=5821" TargetMode="External"/><Relationship Id="rId811" Type="http://schemas.openxmlformats.org/officeDocument/2006/relationships/hyperlink" Target="http://amazon.com/dp/B00LNHZZRC" TargetMode="External"/><Relationship Id="rId810" Type="http://schemas.openxmlformats.org/officeDocument/2006/relationships/hyperlink" Target="http://palletfly.com/product_details.php?vid=14371" TargetMode="External"/><Relationship Id="rId815" Type="http://schemas.openxmlformats.org/officeDocument/2006/relationships/hyperlink" Target="http://amazon.com/dp/B004ZKXMSS" TargetMode="External"/><Relationship Id="rId814" Type="http://schemas.openxmlformats.org/officeDocument/2006/relationships/hyperlink" Target="http://palletfly.com/product_details.php?vid=18891" TargetMode="External"/><Relationship Id="rId813" Type="http://schemas.openxmlformats.org/officeDocument/2006/relationships/hyperlink" Target="http://amazon.com/dp/B0091GAT3M" TargetMode="External"/><Relationship Id="rId812" Type="http://schemas.openxmlformats.org/officeDocument/2006/relationships/hyperlink" Target="http://palletfly.com/product_details.php?vid=18666" TargetMode="External"/><Relationship Id="rId1640" Type="http://schemas.openxmlformats.org/officeDocument/2006/relationships/hyperlink" Target="http://palletfly.com/product_details.php?vid=21655" TargetMode="External"/><Relationship Id="rId1641" Type="http://schemas.openxmlformats.org/officeDocument/2006/relationships/hyperlink" Target="http://amazon.com/dp/B000KNPFKC" TargetMode="External"/><Relationship Id="rId1675" Type="http://schemas.openxmlformats.org/officeDocument/2006/relationships/hyperlink" Target="http://amazon.com/dp/B003O2RXQU" TargetMode="External"/><Relationship Id="rId1676" Type="http://schemas.openxmlformats.org/officeDocument/2006/relationships/hyperlink" Target="http://palletfly.com/product_details.php?vid=22637" TargetMode="External"/><Relationship Id="rId1677" Type="http://schemas.openxmlformats.org/officeDocument/2006/relationships/hyperlink" Target="http://amazon.com/dp/B001EBINBM" TargetMode="External"/><Relationship Id="rId1678" Type="http://schemas.openxmlformats.org/officeDocument/2006/relationships/hyperlink" Target="http://palletfly.com/product_details.php?vid=22960" TargetMode="External"/><Relationship Id="rId1679" Type="http://schemas.openxmlformats.org/officeDocument/2006/relationships/hyperlink" Target="http://amazon.com/dp/B000J09NR2" TargetMode="External"/><Relationship Id="rId849" Type="http://schemas.openxmlformats.org/officeDocument/2006/relationships/hyperlink" Target="http://amazon.com/dp/B004PJ2U6E" TargetMode="External"/><Relationship Id="rId844" Type="http://schemas.openxmlformats.org/officeDocument/2006/relationships/hyperlink" Target="http://palletfly.com/product_details.php?vid=18518" TargetMode="External"/><Relationship Id="rId843" Type="http://schemas.openxmlformats.org/officeDocument/2006/relationships/hyperlink" Target="http://amazon.com/dp/B003K62F22" TargetMode="External"/><Relationship Id="rId842" Type="http://schemas.openxmlformats.org/officeDocument/2006/relationships/hyperlink" Target="http://palletfly.com/product_details.php?vid=24037" TargetMode="External"/><Relationship Id="rId841" Type="http://schemas.openxmlformats.org/officeDocument/2006/relationships/hyperlink" Target="http://amazon.com/dp/B006H7JAAG" TargetMode="External"/><Relationship Id="rId848" Type="http://schemas.openxmlformats.org/officeDocument/2006/relationships/hyperlink" Target="http://palletfly.com/product_details.php?vid=21949" TargetMode="External"/><Relationship Id="rId847" Type="http://schemas.openxmlformats.org/officeDocument/2006/relationships/hyperlink" Target="http://amazon.com/dp/B001AYYB6Y" TargetMode="External"/><Relationship Id="rId846" Type="http://schemas.openxmlformats.org/officeDocument/2006/relationships/hyperlink" Target="http://palletfly.com/product_details.php?vid=20868" TargetMode="External"/><Relationship Id="rId845" Type="http://schemas.openxmlformats.org/officeDocument/2006/relationships/hyperlink" Target="http://amazon.com/dp/B005O6589I" TargetMode="External"/><Relationship Id="rId1670" Type="http://schemas.openxmlformats.org/officeDocument/2006/relationships/hyperlink" Target="http://palletfly.com/product_details.php?vid=14458" TargetMode="External"/><Relationship Id="rId840" Type="http://schemas.openxmlformats.org/officeDocument/2006/relationships/hyperlink" Target="http://palletfly.com/product_details.php?vid=14095" TargetMode="External"/><Relationship Id="rId1671" Type="http://schemas.openxmlformats.org/officeDocument/2006/relationships/hyperlink" Target="http://amazon.com/dp/B007FN9GW8" TargetMode="External"/><Relationship Id="rId1672" Type="http://schemas.openxmlformats.org/officeDocument/2006/relationships/hyperlink" Target="http://palletfly.com/product_details.php?vid=17382" TargetMode="External"/><Relationship Id="rId1673" Type="http://schemas.openxmlformats.org/officeDocument/2006/relationships/hyperlink" Target="http://amazon.com/dp/B001ANT5KM" TargetMode="External"/><Relationship Id="rId1674" Type="http://schemas.openxmlformats.org/officeDocument/2006/relationships/hyperlink" Target="http://palletfly.com/product_details.php?vid=20746" TargetMode="External"/><Relationship Id="rId1664" Type="http://schemas.openxmlformats.org/officeDocument/2006/relationships/hyperlink" Target="http://palletfly.com/product_details.php?vid=21595" TargetMode="External"/><Relationship Id="rId1665" Type="http://schemas.openxmlformats.org/officeDocument/2006/relationships/hyperlink" Target="http://amazon.com/dp/B00006IERR" TargetMode="External"/><Relationship Id="rId1666" Type="http://schemas.openxmlformats.org/officeDocument/2006/relationships/hyperlink" Target="http://palletfly.com/product_details.php?vid=4822" TargetMode="External"/><Relationship Id="rId1667" Type="http://schemas.openxmlformats.org/officeDocument/2006/relationships/hyperlink" Target="http://amazon.com/dp/B00KS9H95C" TargetMode="External"/><Relationship Id="rId1668" Type="http://schemas.openxmlformats.org/officeDocument/2006/relationships/hyperlink" Target="http://palletfly.com/product_details.php?vid=10023" TargetMode="External"/><Relationship Id="rId1669" Type="http://schemas.openxmlformats.org/officeDocument/2006/relationships/hyperlink" Target="http://amazon.com/dp/B01BKAUHTW" TargetMode="External"/><Relationship Id="rId839" Type="http://schemas.openxmlformats.org/officeDocument/2006/relationships/hyperlink" Target="http://amazon.com/dp/B0050A69BE" TargetMode="External"/><Relationship Id="rId838" Type="http://schemas.openxmlformats.org/officeDocument/2006/relationships/hyperlink" Target="http://palletfly.com/product_details.php?vid=15961" TargetMode="External"/><Relationship Id="rId833" Type="http://schemas.openxmlformats.org/officeDocument/2006/relationships/hyperlink" Target="http://amazon.com/dp/B000BRMMGW" TargetMode="External"/><Relationship Id="rId832" Type="http://schemas.openxmlformats.org/officeDocument/2006/relationships/hyperlink" Target="http://palletfly.com/product_details.php?vid=2329" TargetMode="External"/><Relationship Id="rId831" Type="http://schemas.openxmlformats.org/officeDocument/2006/relationships/hyperlink" Target="http://amazon.com/dp/B00O7190JA" TargetMode="External"/><Relationship Id="rId830" Type="http://schemas.openxmlformats.org/officeDocument/2006/relationships/hyperlink" Target="http://palletfly.com/product_details.php?vid=11716" TargetMode="External"/><Relationship Id="rId837" Type="http://schemas.openxmlformats.org/officeDocument/2006/relationships/hyperlink" Target="http://amazon.com/dp/B01N22ZOUP" TargetMode="External"/><Relationship Id="rId836" Type="http://schemas.openxmlformats.org/officeDocument/2006/relationships/hyperlink" Target="http://palletfly.com/product_details.php?vid=22194" TargetMode="External"/><Relationship Id="rId835" Type="http://schemas.openxmlformats.org/officeDocument/2006/relationships/hyperlink" Target="http://amazon.com/dp/B071VL9HMM" TargetMode="External"/><Relationship Id="rId834" Type="http://schemas.openxmlformats.org/officeDocument/2006/relationships/hyperlink" Target="http://palletfly.com/product_details.php?vid=14986" TargetMode="External"/><Relationship Id="rId1660" Type="http://schemas.openxmlformats.org/officeDocument/2006/relationships/hyperlink" Target="http://palletfly.com/product_details.php?vid=5908" TargetMode="External"/><Relationship Id="rId1661" Type="http://schemas.openxmlformats.org/officeDocument/2006/relationships/hyperlink" Target="http://amazon.com/dp/B01BKAUK7G" TargetMode="External"/><Relationship Id="rId1662" Type="http://schemas.openxmlformats.org/officeDocument/2006/relationships/hyperlink" Target="http://palletfly.com/product_details.php?vid=8203" TargetMode="External"/><Relationship Id="rId1663" Type="http://schemas.openxmlformats.org/officeDocument/2006/relationships/hyperlink" Target="http://amazon.com/dp/B001CB245K" TargetMode="External"/><Relationship Id="rId2148" Type="http://schemas.openxmlformats.org/officeDocument/2006/relationships/hyperlink" Target="http://palletfly.com/product_details.php?vid=23983" TargetMode="External"/><Relationship Id="rId2149" Type="http://schemas.openxmlformats.org/officeDocument/2006/relationships/hyperlink" Target="http://palletfly.com/product_details.php?vid=24429" TargetMode="External"/><Relationship Id="rId469" Type="http://schemas.openxmlformats.org/officeDocument/2006/relationships/hyperlink" Target="http://amazon.com/dp/B0046HFS7I" TargetMode="External"/><Relationship Id="rId468" Type="http://schemas.openxmlformats.org/officeDocument/2006/relationships/hyperlink" Target="http://palletfly.com/product_details.php?vid=24824" TargetMode="External"/><Relationship Id="rId467" Type="http://schemas.openxmlformats.org/officeDocument/2006/relationships/hyperlink" Target="http://amazon.com/dp/B0006NYCPA" TargetMode="External"/><Relationship Id="rId1290" Type="http://schemas.openxmlformats.org/officeDocument/2006/relationships/hyperlink" Target="http://palletfly.com/product_details.php?vid=4812" TargetMode="External"/><Relationship Id="rId1291" Type="http://schemas.openxmlformats.org/officeDocument/2006/relationships/hyperlink" Target="http://amazon.com/dp/B01BKAUEAO" TargetMode="External"/><Relationship Id="rId1292" Type="http://schemas.openxmlformats.org/officeDocument/2006/relationships/hyperlink" Target="http://palletfly.com/product_details.php?vid=22083" TargetMode="External"/><Relationship Id="rId462" Type="http://schemas.openxmlformats.org/officeDocument/2006/relationships/hyperlink" Target="http://palletfly.com/product_details.php?vid=18620" TargetMode="External"/><Relationship Id="rId1293" Type="http://schemas.openxmlformats.org/officeDocument/2006/relationships/hyperlink" Target="http://amazon.com/dp/B08Y8HMWKW" TargetMode="External"/><Relationship Id="rId2140" Type="http://schemas.openxmlformats.org/officeDocument/2006/relationships/hyperlink" Target="http://palletfly.com/product_details.php?vid=15203" TargetMode="External"/><Relationship Id="rId461" Type="http://schemas.openxmlformats.org/officeDocument/2006/relationships/hyperlink" Target="http://amazon.com/dp/B0016T0OB4" TargetMode="External"/><Relationship Id="rId1294" Type="http://schemas.openxmlformats.org/officeDocument/2006/relationships/hyperlink" Target="http://palletfly.com/product_details.php?vid=23730" TargetMode="External"/><Relationship Id="rId2141" Type="http://schemas.openxmlformats.org/officeDocument/2006/relationships/hyperlink" Target="http://palletfly.com/product_details.php?vid=17259" TargetMode="External"/><Relationship Id="rId460" Type="http://schemas.openxmlformats.org/officeDocument/2006/relationships/hyperlink" Target="http://palletfly.com/product_details.php?vid=19077" TargetMode="External"/><Relationship Id="rId1295" Type="http://schemas.openxmlformats.org/officeDocument/2006/relationships/hyperlink" Target="http://amazon.com/dp/B094XRD9RF" TargetMode="External"/><Relationship Id="rId2142" Type="http://schemas.openxmlformats.org/officeDocument/2006/relationships/hyperlink" Target="http://palletfly.com/product_details.php?vid=20643" TargetMode="External"/><Relationship Id="rId1296" Type="http://schemas.openxmlformats.org/officeDocument/2006/relationships/hyperlink" Target="http://palletfly.com/product_details.php?vid=23920" TargetMode="External"/><Relationship Id="rId2143" Type="http://schemas.openxmlformats.org/officeDocument/2006/relationships/hyperlink" Target="http://palletfly.com/product_details.php?vid=21749" TargetMode="External"/><Relationship Id="rId466" Type="http://schemas.openxmlformats.org/officeDocument/2006/relationships/hyperlink" Target="http://palletfly.com/product_details.php?vid=18246" TargetMode="External"/><Relationship Id="rId1297" Type="http://schemas.openxmlformats.org/officeDocument/2006/relationships/hyperlink" Target="http://amazon.com/dp/B003BQWNB4" TargetMode="External"/><Relationship Id="rId2144" Type="http://schemas.openxmlformats.org/officeDocument/2006/relationships/hyperlink" Target="http://palletfly.com/product_details.php?vid=12728" TargetMode="External"/><Relationship Id="rId465" Type="http://schemas.openxmlformats.org/officeDocument/2006/relationships/hyperlink" Target="http://amazon.com/dp/B07TWX4B5M" TargetMode="External"/><Relationship Id="rId1298" Type="http://schemas.openxmlformats.org/officeDocument/2006/relationships/hyperlink" Target="http://palletfly.com/product_details.php?vid=15973" TargetMode="External"/><Relationship Id="rId2145" Type="http://schemas.openxmlformats.org/officeDocument/2006/relationships/hyperlink" Target="http://palletfly.com/product_details.php?vid=17310" TargetMode="External"/><Relationship Id="rId464" Type="http://schemas.openxmlformats.org/officeDocument/2006/relationships/hyperlink" Target="http://palletfly.com/product_details.php?vid=23520" TargetMode="External"/><Relationship Id="rId1299" Type="http://schemas.openxmlformats.org/officeDocument/2006/relationships/hyperlink" Target="http://amazon.com/dp/B0044S9A1E" TargetMode="External"/><Relationship Id="rId2146" Type="http://schemas.openxmlformats.org/officeDocument/2006/relationships/hyperlink" Target="http://palletfly.com/product_details.php?vid=9544" TargetMode="External"/><Relationship Id="rId463" Type="http://schemas.openxmlformats.org/officeDocument/2006/relationships/hyperlink" Target="http://amazon.com/dp/B07Q3HBG3T" TargetMode="External"/><Relationship Id="rId2147" Type="http://schemas.openxmlformats.org/officeDocument/2006/relationships/hyperlink" Target="http://palletfly.com/product_details.php?vid=11310" TargetMode="External"/><Relationship Id="rId2137" Type="http://schemas.openxmlformats.org/officeDocument/2006/relationships/hyperlink" Target="http://palletfly.com/product_details.php?vid=11865" TargetMode="External"/><Relationship Id="rId2138" Type="http://schemas.openxmlformats.org/officeDocument/2006/relationships/hyperlink" Target="http://palletfly.com/product_details.php?vid=12734" TargetMode="External"/><Relationship Id="rId2139" Type="http://schemas.openxmlformats.org/officeDocument/2006/relationships/hyperlink" Target="http://palletfly.com/product_details.php?vid=14037" TargetMode="External"/><Relationship Id="rId459" Type="http://schemas.openxmlformats.org/officeDocument/2006/relationships/hyperlink" Target="http://amazon.com/dp/B005I79RTU" TargetMode="External"/><Relationship Id="rId458" Type="http://schemas.openxmlformats.org/officeDocument/2006/relationships/hyperlink" Target="http://palletfly.com/product_details.php?vid=18487" TargetMode="External"/><Relationship Id="rId457" Type="http://schemas.openxmlformats.org/officeDocument/2006/relationships/hyperlink" Target="http://amazon.com/dp/B01N5RIQH9" TargetMode="External"/><Relationship Id="rId456" Type="http://schemas.openxmlformats.org/officeDocument/2006/relationships/hyperlink" Target="http://palletfly.com/product_details.php?vid=15386" TargetMode="External"/><Relationship Id="rId1280" Type="http://schemas.openxmlformats.org/officeDocument/2006/relationships/hyperlink" Target="http://palletfly.com/product_details.php?vid=17317" TargetMode="External"/><Relationship Id="rId1281" Type="http://schemas.openxmlformats.org/officeDocument/2006/relationships/hyperlink" Target="http://amazon.com/dp/B00LSD7TYI" TargetMode="External"/><Relationship Id="rId451" Type="http://schemas.openxmlformats.org/officeDocument/2006/relationships/hyperlink" Target="http://amazon.com/dp/B000KNL8EO" TargetMode="External"/><Relationship Id="rId1282" Type="http://schemas.openxmlformats.org/officeDocument/2006/relationships/hyperlink" Target="http://palletfly.com/product_details.php?vid=18270" TargetMode="External"/><Relationship Id="rId450" Type="http://schemas.openxmlformats.org/officeDocument/2006/relationships/hyperlink" Target="http://palletfly.com/product_details.php?vid=24796" TargetMode="External"/><Relationship Id="rId1283" Type="http://schemas.openxmlformats.org/officeDocument/2006/relationships/hyperlink" Target="http://amazon.com/dp/B07XFG5DJT" TargetMode="External"/><Relationship Id="rId2130" Type="http://schemas.openxmlformats.org/officeDocument/2006/relationships/hyperlink" Target="http://palletfly.com/product_details.php?vid=15979" TargetMode="External"/><Relationship Id="rId1284" Type="http://schemas.openxmlformats.org/officeDocument/2006/relationships/hyperlink" Target="http://palletfly.com/product_details.php?vid=19070" TargetMode="External"/><Relationship Id="rId2131" Type="http://schemas.openxmlformats.org/officeDocument/2006/relationships/hyperlink" Target="http://palletfly.com/product_details.php?vid=20042" TargetMode="External"/><Relationship Id="rId1285" Type="http://schemas.openxmlformats.org/officeDocument/2006/relationships/hyperlink" Target="http://amazon.com/dp/B00006IE9F" TargetMode="External"/><Relationship Id="rId2132" Type="http://schemas.openxmlformats.org/officeDocument/2006/relationships/hyperlink" Target="http://palletfly.com/product_details.php?vid=21252" TargetMode="External"/><Relationship Id="rId455" Type="http://schemas.openxmlformats.org/officeDocument/2006/relationships/hyperlink" Target="http://amazon.com/dp/B005E2PAOA" TargetMode="External"/><Relationship Id="rId1286" Type="http://schemas.openxmlformats.org/officeDocument/2006/relationships/hyperlink" Target="http://palletfly.com/product_details.php?vid=12892" TargetMode="External"/><Relationship Id="rId2133" Type="http://schemas.openxmlformats.org/officeDocument/2006/relationships/hyperlink" Target="http://palletfly.com/product_details.php?vid=12763" TargetMode="External"/><Relationship Id="rId454" Type="http://schemas.openxmlformats.org/officeDocument/2006/relationships/hyperlink" Target="http://palletfly.com/product_details.php?vid=11720" TargetMode="External"/><Relationship Id="rId1287" Type="http://schemas.openxmlformats.org/officeDocument/2006/relationships/hyperlink" Target="http://amazon.com/dp/B000P8ZLT2" TargetMode="External"/><Relationship Id="rId2134" Type="http://schemas.openxmlformats.org/officeDocument/2006/relationships/hyperlink" Target="http://palletfly.com/product_details.php?vid=22641" TargetMode="External"/><Relationship Id="rId453" Type="http://schemas.openxmlformats.org/officeDocument/2006/relationships/hyperlink" Target="http://amazon.com/dp/B000J07S5G" TargetMode="External"/><Relationship Id="rId1288" Type="http://schemas.openxmlformats.org/officeDocument/2006/relationships/hyperlink" Target="http://palletfly.com/product_details.php?vid=17360" TargetMode="External"/><Relationship Id="rId2135" Type="http://schemas.openxmlformats.org/officeDocument/2006/relationships/hyperlink" Target="http://palletfly.com/product_details.php?vid=18409" TargetMode="External"/><Relationship Id="rId452" Type="http://schemas.openxmlformats.org/officeDocument/2006/relationships/hyperlink" Target="http://palletfly.com/product_details.php?vid=20849" TargetMode="External"/><Relationship Id="rId1289" Type="http://schemas.openxmlformats.org/officeDocument/2006/relationships/hyperlink" Target="http://amazon.com/dp/B00290MKYS" TargetMode="External"/><Relationship Id="rId2136" Type="http://schemas.openxmlformats.org/officeDocument/2006/relationships/hyperlink" Target="http://palletfly.com/product_details.php?vid=16432" TargetMode="External"/><Relationship Id="rId491" Type="http://schemas.openxmlformats.org/officeDocument/2006/relationships/hyperlink" Target="http://amazon.com/dp/B00023IXMW" TargetMode="External"/><Relationship Id="rId490" Type="http://schemas.openxmlformats.org/officeDocument/2006/relationships/hyperlink" Target="http://palletfly.com/product_details.php?vid=15728" TargetMode="External"/><Relationship Id="rId489" Type="http://schemas.openxmlformats.org/officeDocument/2006/relationships/hyperlink" Target="http://amazon.com/dp/B01EUPD4H6" TargetMode="External"/><Relationship Id="rId2160" Type="http://schemas.openxmlformats.org/officeDocument/2006/relationships/hyperlink" Target="http://palletfly.com/product_details.php?vid=24453" TargetMode="External"/><Relationship Id="rId2161" Type="http://schemas.openxmlformats.org/officeDocument/2006/relationships/hyperlink" Target="http://palletfly.com/product_details.php?vid=24454" TargetMode="External"/><Relationship Id="rId484" Type="http://schemas.openxmlformats.org/officeDocument/2006/relationships/hyperlink" Target="http://palletfly.com/product_details.php?vid=10864" TargetMode="External"/><Relationship Id="rId2162" Type="http://schemas.openxmlformats.org/officeDocument/2006/relationships/hyperlink" Target="http://palletfly.com/product_details.php?vid=3443" TargetMode="External"/><Relationship Id="rId483" Type="http://schemas.openxmlformats.org/officeDocument/2006/relationships/hyperlink" Target="http://amazon.com/dp/B00X7X1O8O" TargetMode="External"/><Relationship Id="rId2163" Type="http://schemas.openxmlformats.org/officeDocument/2006/relationships/hyperlink" Target="http://palletfly.com/product_details.php?vid=15550" TargetMode="External"/><Relationship Id="rId482" Type="http://schemas.openxmlformats.org/officeDocument/2006/relationships/hyperlink" Target="http://palletfly.com/product_details.php?vid=18477" TargetMode="External"/><Relationship Id="rId2164" Type="http://schemas.openxmlformats.org/officeDocument/2006/relationships/hyperlink" Target="http://palletfly.com/product_details.php?vid=15906" TargetMode="External"/><Relationship Id="rId481" Type="http://schemas.openxmlformats.org/officeDocument/2006/relationships/hyperlink" Target="http://amazon.com/dp/B000GBRP4M" TargetMode="External"/><Relationship Id="rId2165" Type="http://schemas.openxmlformats.org/officeDocument/2006/relationships/hyperlink" Target="http://palletfly.com/product_details.php?vid=20483" TargetMode="External"/><Relationship Id="rId488" Type="http://schemas.openxmlformats.org/officeDocument/2006/relationships/hyperlink" Target="http://palletfly.com/product_details.php?vid=13918" TargetMode="External"/><Relationship Id="rId2166" Type="http://schemas.openxmlformats.org/officeDocument/2006/relationships/hyperlink" Target="http://palletfly.com/product_details.php?vid=22998" TargetMode="External"/><Relationship Id="rId487" Type="http://schemas.openxmlformats.org/officeDocument/2006/relationships/hyperlink" Target="http://amazon.com/dp/B07NBPMNK8" TargetMode="External"/><Relationship Id="rId2167" Type="http://schemas.openxmlformats.org/officeDocument/2006/relationships/hyperlink" Target="http://palletfly.com/product_details.php?vid=24369" TargetMode="External"/><Relationship Id="rId486" Type="http://schemas.openxmlformats.org/officeDocument/2006/relationships/hyperlink" Target="http://palletfly.com/product_details.php?vid=14927" TargetMode="External"/><Relationship Id="rId2168" Type="http://schemas.openxmlformats.org/officeDocument/2006/relationships/hyperlink" Target="http://palletfly.com/product_details.php?vid=8709" TargetMode="External"/><Relationship Id="rId485" Type="http://schemas.openxmlformats.org/officeDocument/2006/relationships/hyperlink" Target="http://amazon.com/dp/B01LC0IPRG" TargetMode="External"/><Relationship Id="rId2169" Type="http://schemas.openxmlformats.org/officeDocument/2006/relationships/hyperlink" Target="http://palletfly.com/product_details.php?vid=15990" TargetMode="External"/><Relationship Id="rId2159" Type="http://schemas.openxmlformats.org/officeDocument/2006/relationships/hyperlink" Target="http://palletfly.com/product_details.php?vid=24450" TargetMode="External"/><Relationship Id="rId480" Type="http://schemas.openxmlformats.org/officeDocument/2006/relationships/hyperlink" Target="http://palletfly.com/product_details.php?vid=19397" TargetMode="External"/><Relationship Id="rId479" Type="http://schemas.openxmlformats.org/officeDocument/2006/relationships/hyperlink" Target="http://amazon.com/dp/B078WF5X2C" TargetMode="External"/><Relationship Id="rId478" Type="http://schemas.openxmlformats.org/officeDocument/2006/relationships/hyperlink" Target="http://palletfly.com/product_details.php?vid=18256" TargetMode="External"/><Relationship Id="rId2150" Type="http://schemas.openxmlformats.org/officeDocument/2006/relationships/hyperlink" Target="http://palletfly.com/product_details.php?vid=24432" TargetMode="External"/><Relationship Id="rId473" Type="http://schemas.openxmlformats.org/officeDocument/2006/relationships/hyperlink" Target="http://amazon.com/dp/B08LDMP19M" TargetMode="External"/><Relationship Id="rId2151" Type="http://schemas.openxmlformats.org/officeDocument/2006/relationships/hyperlink" Target="http://palletfly.com/product_details.php?vid=24433" TargetMode="External"/><Relationship Id="rId472" Type="http://schemas.openxmlformats.org/officeDocument/2006/relationships/hyperlink" Target="http://palletfly.com/product_details.php?vid=23797" TargetMode="External"/><Relationship Id="rId2152" Type="http://schemas.openxmlformats.org/officeDocument/2006/relationships/hyperlink" Target="http://palletfly.com/product_details.php?vid=24435" TargetMode="External"/><Relationship Id="rId471" Type="http://schemas.openxmlformats.org/officeDocument/2006/relationships/hyperlink" Target="http://amazon.com/dp/B01N9WJDKF" TargetMode="External"/><Relationship Id="rId2153" Type="http://schemas.openxmlformats.org/officeDocument/2006/relationships/hyperlink" Target="http://palletfly.com/product_details.php?vid=24436" TargetMode="External"/><Relationship Id="rId470" Type="http://schemas.openxmlformats.org/officeDocument/2006/relationships/hyperlink" Target="http://palletfly.com/product_details.php?vid=17006" TargetMode="External"/><Relationship Id="rId2154" Type="http://schemas.openxmlformats.org/officeDocument/2006/relationships/hyperlink" Target="http://palletfly.com/product_details.php?vid=24438" TargetMode="External"/><Relationship Id="rId477" Type="http://schemas.openxmlformats.org/officeDocument/2006/relationships/hyperlink" Target="http://amazon.com/dp/B072NBZPFQ" TargetMode="External"/><Relationship Id="rId2155" Type="http://schemas.openxmlformats.org/officeDocument/2006/relationships/hyperlink" Target="http://palletfly.com/product_details.php?vid=24439" TargetMode="External"/><Relationship Id="rId476" Type="http://schemas.openxmlformats.org/officeDocument/2006/relationships/hyperlink" Target="http://palletfly.com/product_details.php?vid=23567" TargetMode="External"/><Relationship Id="rId2156" Type="http://schemas.openxmlformats.org/officeDocument/2006/relationships/hyperlink" Target="http://palletfly.com/product_details.php?vid=24445" TargetMode="External"/><Relationship Id="rId475" Type="http://schemas.openxmlformats.org/officeDocument/2006/relationships/hyperlink" Target="http://amazon.com/dp/B001EBAIRO" TargetMode="External"/><Relationship Id="rId2157" Type="http://schemas.openxmlformats.org/officeDocument/2006/relationships/hyperlink" Target="http://palletfly.com/product_details.php?vid=24446" TargetMode="External"/><Relationship Id="rId474" Type="http://schemas.openxmlformats.org/officeDocument/2006/relationships/hyperlink" Target="http://palletfly.com/product_details.php?vid=21317" TargetMode="External"/><Relationship Id="rId2158" Type="http://schemas.openxmlformats.org/officeDocument/2006/relationships/hyperlink" Target="http://palletfly.com/product_details.php?vid=24448" TargetMode="External"/><Relationship Id="rId1257" Type="http://schemas.openxmlformats.org/officeDocument/2006/relationships/hyperlink" Target="http://amazon.com/dp/B007U4DDXK" TargetMode="External"/><Relationship Id="rId2104" Type="http://schemas.openxmlformats.org/officeDocument/2006/relationships/hyperlink" Target="http://palletfly.com/product_details.php?vid=17175" TargetMode="External"/><Relationship Id="rId1258" Type="http://schemas.openxmlformats.org/officeDocument/2006/relationships/hyperlink" Target="http://palletfly.com/product_details.php?vid=15509" TargetMode="External"/><Relationship Id="rId2105" Type="http://schemas.openxmlformats.org/officeDocument/2006/relationships/hyperlink" Target="http://palletfly.com/product_details.php?vid=17405" TargetMode="External"/><Relationship Id="rId1259" Type="http://schemas.openxmlformats.org/officeDocument/2006/relationships/hyperlink" Target="http://amazon.com/dp/B002XJ0JKC" TargetMode="External"/><Relationship Id="rId2106" Type="http://schemas.openxmlformats.org/officeDocument/2006/relationships/hyperlink" Target="http://palletfly.com/product_details.php?vid=18061" TargetMode="External"/><Relationship Id="rId2107" Type="http://schemas.openxmlformats.org/officeDocument/2006/relationships/hyperlink" Target="http://palletfly.com/product_details.php?vid=18626" TargetMode="External"/><Relationship Id="rId2108" Type="http://schemas.openxmlformats.org/officeDocument/2006/relationships/hyperlink" Target="http://palletfly.com/product_details.php?vid=208" TargetMode="External"/><Relationship Id="rId2109" Type="http://schemas.openxmlformats.org/officeDocument/2006/relationships/hyperlink" Target="http://palletfly.com/product_details.php?vid=22271" TargetMode="External"/><Relationship Id="rId426" Type="http://schemas.openxmlformats.org/officeDocument/2006/relationships/hyperlink" Target="http://palletfly.com/product_details.php?vid=23587" TargetMode="External"/><Relationship Id="rId425" Type="http://schemas.openxmlformats.org/officeDocument/2006/relationships/hyperlink" Target="http://amazon.com/dp/B00006IA1K" TargetMode="External"/><Relationship Id="rId424" Type="http://schemas.openxmlformats.org/officeDocument/2006/relationships/hyperlink" Target="http://palletfly.com/product_details.php?vid=23304" TargetMode="External"/><Relationship Id="rId423" Type="http://schemas.openxmlformats.org/officeDocument/2006/relationships/hyperlink" Target="http://amazon.com/dp/B000Q5XTBQ" TargetMode="External"/><Relationship Id="rId429" Type="http://schemas.openxmlformats.org/officeDocument/2006/relationships/hyperlink" Target="http://amazon.com/dp/B01NAYYSHV" TargetMode="External"/><Relationship Id="rId428" Type="http://schemas.openxmlformats.org/officeDocument/2006/relationships/hyperlink" Target="http://palletfly.com/product_details.php?vid=22778" TargetMode="External"/><Relationship Id="rId427" Type="http://schemas.openxmlformats.org/officeDocument/2006/relationships/hyperlink" Target="http://amazon.com/dp/B079FX9JDM" TargetMode="External"/><Relationship Id="rId1250" Type="http://schemas.openxmlformats.org/officeDocument/2006/relationships/hyperlink" Target="http://palletfly.com/product_details.php?vid=21106" TargetMode="External"/><Relationship Id="rId1251" Type="http://schemas.openxmlformats.org/officeDocument/2006/relationships/hyperlink" Target="http://amazon.com/dp/B00MOBQSJK" TargetMode="External"/><Relationship Id="rId1252" Type="http://schemas.openxmlformats.org/officeDocument/2006/relationships/hyperlink" Target="http://palletfly.com/product_details.php?vid=23523" TargetMode="External"/><Relationship Id="rId422" Type="http://schemas.openxmlformats.org/officeDocument/2006/relationships/hyperlink" Target="http://palletfly.com/product_details.php?vid=24657" TargetMode="External"/><Relationship Id="rId1253" Type="http://schemas.openxmlformats.org/officeDocument/2006/relationships/hyperlink" Target="http://amazon.com/dp/B000YKRGYO" TargetMode="External"/><Relationship Id="rId2100" Type="http://schemas.openxmlformats.org/officeDocument/2006/relationships/hyperlink" Target="http://palletfly.com/product_details.php?vid=21082" TargetMode="External"/><Relationship Id="rId421" Type="http://schemas.openxmlformats.org/officeDocument/2006/relationships/hyperlink" Target="http://amazon.com/dp/B08975YNFK" TargetMode="External"/><Relationship Id="rId1254" Type="http://schemas.openxmlformats.org/officeDocument/2006/relationships/hyperlink" Target="http://palletfly.com/product_details.php?vid=23655" TargetMode="External"/><Relationship Id="rId2101" Type="http://schemas.openxmlformats.org/officeDocument/2006/relationships/hyperlink" Target="http://palletfly.com/product_details.php?vid=21944" TargetMode="External"/><Relationship Id="rId420" Type="http://schemas.openxmlformats.org/officeDocument/2006/relationships/hyperlink" Target="http://palletfly.com/product_details.php?vid=13802" TargetMode="External"/><Relationship Id="rId1255" Type="http://schemas.openxmlformats.org/officeDocument/2006/relationships/hyperlink" Target="http://amazon.com/dp/B000PII82E" TargetMode="External"/><Relationship Id="rId2102" Type="http://schemas.openxmlformats.org/officeDocument/2006/relationships/hyperlink" Target="http://palletfly.com/product_details.php?vid=10963" TargetMode="External"/><Relationship Id="rId1256" Type="http://schemas.openxmlformats.org/officeDocument/2006/relationships/hyperlink" Target="http://palletfly.com/product_details.php?vid=2811" TargetMode="External"/><Relationship Id="rId2103" Type="http://schemas.openxmlformats.org/officeDocument/2006/relationships/hyperlink" Target="http://palletfly.com/product_details.php?vid=12084" TargetMode="External"/><Relationship Id="rId1246" Type="http://schemas.openxmlformats.org/officeDocument/2006/relationships/hyperlink" Target="http://palletfly.com/product_details.php?vid=13928" TargetMode="External"/><Relationship Id="rId1247" Type="http://schemas.openxmlformats.org/officeDocument/2006/relationships/hyperlink" Target="http://amazon.com/dp/B06ZXW1TV9" TargetMode="External"/><Relationship Id="rId1248" Type="http://schemas.openxmlformats.org/officeDocument/2006/relationships/hyperlink" Target="http://palletfly.com/product_details.php?vid=19888" TargetMode="External"/><Relationship Id="rId1249" Type="http://schemas.openxmlformats.org/officeDocument/2006/relationships/hyperlink" Target="http://amazon.com/dp/B07GVBG72N" TargetMode="External"/><Relationship Id="rId415" Type="http://schemas.openxmlformats.org/officeDocument/2006/relationships/hyperlink" Target="http://amazon.com/dp/B003GAYKNY" TargetMode="External"/><Relationship Id="rId899" Type="http://schemas.openxmlformats.org/officeDocument/2006/relationships/hyperlink" Target="http://amazon.com/dp/B00KS9H9TI" TargetMode="External"/><Relationship Id="rId414" Type="http://schemas.openxmlformats.org/officeDocument/2006/relationships/hyperlink" Target="http://palletfly.com/product_details.php?vid=21787" TargetMode="External"/><Relationship Id="rId898" Type="http://schemas.openxmlformats.org/officeDocument/2006/relationships/hyperlink" Target="http://palletfly.com/product_details.php?vid=4813" TargetMode="External"/><Relationship Id="rId413" Type="http://schemas.openxmlformats.org/officeDocument/2006/relationships/hyperlink" Target="http://amazon.com/dp/B09LKLYT3T" TargetMode="External"/><Relationship Id="rId897" Type="http://schemas.openxmlformats.org/officeDocument/2006/relationships/hyperlink" Target="http://amazon.com/dp/B08SJ2JJGN" TargetMode="External"/><Relationship Id="rId412" Type="http://schemas.openxmlformats.org/officeDocument/2006/relationships/hyperlink" Target="http://palletfly.com/product_details.php?vid=24251" TargetMode="External"/><Relationship Id="rId896" Type="http://schemas.openxmlformats.org/officeDocument/2006/relationships/hyperlink" Target="http://palletfly.com/product_details.php?vid=20484" TargetMode="External"/><Relationship Id="rId419" Type="http://schemas.openxmlformats.org/officeDocument/2006/relationships/hyperlink" Target="http://amazon.com/dp/B00409RMNK" TargetMode="External"/><Relationship Id="rId418" Type="http://schemas.openxmlformats.org/officeDocument/2006/relationships/hyperlink" Target="http://palletfly.com/product_details.php?vid=22372" TargetMode="External"/><Relationship Id="rId417" Type="http://schemas.openxmlformats.org/officeDocument/2006/relationships/hyperlink" Target="http://amazon.com/dp/B000FZ3138" TargetMode="External"/><Relationship Id="rId416" Type="http://schemas.openxmlformats.org/officeDocument/2006/relationships/hyperlink" Target="http://palletfly.com/product_details.php?vid=22157" TargetMode="External"/><Relationship Id="rId891" Type="http://schemas.openxmlformats.org/officeDocument/2006/relationships/hyperlink" Target="http://amazon.com/dp/B016OVONW4" TargetMode="External"/><Relationship Id="rId890" Type="http://schemas.openxmlformats.org/officeDocument/2006/relationships/hyperlink" Target="http://palletfly.com/product_details.php?vid=16756" TargetMode="External"/><Relationship Id="rId1240" Type="http://schemas.openxmlformats.org/officeDocument/2006/relationships/hyperlink" Target="http://palletfly.com/product_details.php?vid=21373" TargetMode="External"/><Relationship Id="rId1241" Type="http://schemas.openxmlformats.org/officeDocument/2006/relationships/hyperlink" Target="http://amazon.com/dp/B0034XS3HC" TargetMode="External"/><Relationship Id="rId411" Type="http://schemas.openxmlformats.org/officeDocument/2006/relationships/hyperlink" Target="http://amazon.com/dp/B000BRMMHQ" TargetMode="External"/><Relationship Id="rId895" Type="http://schemas.openxmlformats.org/officeDocument/2006/relationships/hyperlink" Target="http://amazon.com/dp/B000C1Z19M" TargetMode="External"/><Relationship Id="rId1242" Type="http://schemas.openxmlformats.org/officeDocument/2006/relationships/hyperlink" Target="http://palletfly.com/product_details.php?vid=8200" TargetMode="External"/><Relationship Id="rId410" Type="http://schemas.openxmlformats.org/officeDocument/2006/relationships/hyperlink" Target="http://palletfly.com/product_details.php?vid=2330" TargetMode="External"/><Relationship Id="rId894" Type="http://schemas.openxmlformats.org/officeDocument/2006/relationships/hyperlink" Target="http://palletfly.com/product_details.php?vid=14565" TargetMode="External"/><Relationship Id="rId1243" Type="http://schemas.openxmlformats.org/officeDocument/2006/relationships/hyperlink" Target="http://amazon.com/dp/B000SEOGRG" TargetMode="External"/><Relationship Id="rId893" Type="http://schemas.openxmlformats.org/officeDocument/2006/relationships/hyperlink" Target="http://amazon.com/dp/B00006ICT7" TargetMode="External"/><Relationship Id="rId1244" Type="http://schemas.openxmlformats.org/officeDocument/2006/relationships/hyperlink" Target="http://palletfly.com/product_details.php?vid=13906" TargetMode="External"/><Relationship Id="rId892" Type="http://schemas.openxmlformats.org/officeDocument/2006/relationships/hyperlink" Target="http://palletfly.com/product_details.php?vid=17401" TargetMode="External"/><Relationship Id="rId1245" Type="http://schemas.openxmlformats.org/officeDocument/2006/relationships/hyperlink" Target="http://amazon.com/dp/B00392C8ZG" TargetMode="External"/><Relationship Id="rId1279" Type="http://schemas.openxmlformats.org/officeDocument/2006/relationships/hyperlink" Target="http://amazon.com/dp/B06XBD8179" TargetMode="External"/><Relationship Id="rId2126" Type="http://schemas.openxmlformats.org/officeDocument/2006/relationships/hyperlink" Target="http://palletfly.com/product_details.php?vid=2340" TargetMode="External"/><Relationship Id="rId2127" Type="http://schemas.openxmlformats.org/officeDocument/2006/relationships/hyperlink" Target="http://palletfly.com/product_details.php?vid=4570" TargetMode="External"/><Relationship Id="rId2128" Type="http://schemas.openxmlformats.org/officeDocument/2006/relationships/hyperlink" Target="http://palletfly.com/product_details.php?vid=19235" TargetMode="External"/><Relationship Id="rId2129" Type="http://schemas.openxmlformats.org/officeDocument/2006/relationships/hyperlink" Target="http://palletfly.com/product_details.php?vid=8145" TargetMode="External"/><Relationship Id="rId448" Type="http://schemas.openxmlformats.org/officeDocument/2006/relationships/hyperlink" Target="http://palletfly.com/product_details.php?vid=22817" TargetMode="External"/><Relationship Id="rId447" Type="http://schemas.openxmlformats.org/officeDocument/2006/relationships/hyperlink" Target="http://amazon.com/dp/B08W8NLWNG" TargetMode="External"/><Relationship Id="rId446" Type="http://schemas.openxmlformats.org/officeDocument/2006/relationships/hyperlink" Target="http://palletfly.com/product_details.php?vid=18961" TargetMode="External"/><Relationship Id="rId445" Type="http://schemas.openxmlformats.org/officeDocument/2006/relationships/hyperlink" Target="http://amazon.com/dp/B08P81HCW7" TargetMode="External"/><Relationship Id="rId449" Type="http://schemas.openxmlformats.org/officeDocument/2006/relationships/hyperlink" Target="http://amazon.com/dp/B07YJ5FBTD" TargetMode="External"/><Relationship Id="rId1270" Type="http://schemas.openxmlformats.org/officeDocument/2006/relationships/hyperlink" Target="http://palletfly.com/product_details.php?vid=22644" TargetMode="External"/><Relationship Id="rId440" Type="http://schemas.openxmlformats.org/officeDocument/2006/relationships/hyperlink" Target="http://palletfly.com/product_details.php?vid=18634" TargetMode="External"/><Relationship Id="rId1271" Type="http://schemas.openxmlformats.org/officeDocument/2006/relationships/hyperlink" Target="http://amazon.com/dp/B00H1JZ6IE" TargetMode="External"/><Relationship Id="rId1272" Type="http://schemas.openxmlformats.org/officeDocument/2006/relationships/hyperlink" Target="http://palletfly.com/product_details.php?vid=23856" TargetMode="External"/><Relationship Id="rId1273" Type="http://schemas.openxmlformats.org/officeDocument/2006/relationships/hyperlink" Target="http://amazon.com/dp/B002Z6ZS0E" TargetMode="External"/><Relationship Id="rId2120" Type="http://schemas.openxmlformats.org/officeDocument/2006/relationships/hyperlink" Target="http://palletfly.com/product_details.php?vid=11574" TargetMode="External"/><Relationship Id="rId1274" Type="http://schemas.openxmlformats.org/officeDocument/2006/relationships/hyperlink" Target="http://palletfly.com/product_details.php?vid=11742" TargetMode="External"/><Relationship Id="rId2121" Type="http://schemas.openxmlformats.org/officeDocument/2006/relationships/hyperlink" Target="http://palletfly.com/product_details.php?vid=20040" TargetMode="External"/><Relationship Id="rId444" Type="http://schemas.openxmlformats.org/officeDocument/2006/relationships/hyperlink" Target="http://palletfly.com/product_details.php?vid=24553" TargetMode="External"/><Relationship Id="rId1275" Type="http://schemas.openxmlformats.org/officeDocument/2006/relationships/hyperlink" Target="http://amazon.com/dp/B004O79HF4" TargetMode="External"/><Relationship Id="rId2122" Type="http://schemas.openxmlformats.org/officeDocument/2006/relationships/hyperlink" Target="http://palletfly.com/product_details.php?vid=20825" TargetMode="External"/><Relationship Id="rId443" Type="http://schemas.openxmlformats.org/officeDocument/2006/relationships/hyperlink" Target="http://amazon.com/dp/B006H32LR4" TargetMode="External"/><Relationship Id="rId1276" Type="http://schemas.openxmlformats.org/officeDocument/2006/relationships/hyperlink" Target="http://palletfly.com/product_details.php?vid=23529" TargetMode="External"/><Relationship Id="rId2123" Type="http://schemas.openxmlformats.org/officeDocument/2006/relationships/hyperlink" Target="http://palletfly.com/product_details.php?vid=21449" TargetMode="External"/><Relationship Id="rId442" Type="http://schemas.openxmlformats.org/officeDocument/2006/relationships/hyperlink" Target="http://palletfly.com/product_details.php?vid=11927" TargetMode="External"/><Relationship Id="rId1277" Type="http://schemas.openxmlformats.org/officeDocument/2006/relationships/hyperlink" Target="http://amazon.com/dp/B00XJ3ODOO" TargetMode="External"/><Relationship Id="rId2124" Type="http://schemas.openxmlformats.org/officeDocument/2006/relationships/hyperlink" Target="http://palletfly.com/product_details.php?vid=22100" TargetMode="External"/><Relationship Id="rId441" Type="http://schemas.openxmlformats.org/officeDocument/2006/relationships/hyperlink" Target="http://amazon.com/dp/B0047CP82M" TargetMode="External"/><Relationship Id="rId1278" Type="http://schemas.openxmlformats.org/officeDocument/2006/relationships/hyperlink" Target="http://palletfly.com/product_details.php?vid=7245" TargetMode="External"/><Relationship Id="rId2125" Type="http://schemas.openxmlformats.org/officeDocument/2006/relationships/hyperlink" Target="http://palletfly.com/product_details.php?vid=24514" TargetMode="External"/><Relationship Id="rId1268" Type="http://schemas.openxmlformats.org/officeDocument/2006/relationships/hyperlink" Target="http://palletfly.com/product_details.php?vid=22514" TargetMode="External"/><Relationship Id="rId2115" Type="http://schemas.openxmlformats.org/officeDocument/2006/relationships/hyperlink" Target="http://palletfly.com/product_details.php?vid=6219" TargetMode="External"/><Relationship Id="rId1269" Type="http://schemas.openxmlformats.org/officeDocument/2006/relationships/hyperlink" Target="http://amazon.com/dp/B000C1Z4YY" TargetMode="External"/><Relationship Id="rId2116" Type="http://schemas.openxmlformats.org/officeDocument/2006/relationships/hyperlink" Target="http://palletfly.com/product_details.php?vid=10129" TargetMode="External"/><Relationship Id="rId2117" Type="http://schemas.openxmlformats.org/officeDocument/2006/relationships/hyperlink" Target="http://palletfly.com/product_details.php?vid=14424" TargetMode="External"/><Relationship Id="rId2118" Type="http://schemas.openxmlformats.org/officeDocument/2006/relationships/hyperlink" Target="http://palletfly.com/product_details.php?vid=24014" TargetMode="External"/><Relationship Id="rId2119" Type="http://schemas.openxmlformats.org/officeDocument/2006/relationships/hyperlink" Target="http://palletfly.com/product_details.php?vid=23308" TargetMode="External"/><Relationship Id="rId437" Type="http://schemas.openxmlformats.org/officeDocument/2006/relationships/hyperlink" Target="http://amazon.com/dp/B000U850P2" TargetMode="External"/><Relationship Id="rId436" Type="http://schemas.openxmlformats.org/officeDocument/2006/relationships/hyperlink" Target="http://palletfly.com/product_details.php?vid=3526" TargetMode="External"/><Relationship Id="rId435" Type="http://schemas.openxmlformats.org/officeDocument/2006/relationships/hyperlink" Target="http://amazon.com/dp/B0044SESPM" TargetMode="External"/><Relationship Id="rId434" Type="http://schemas.openxmlformats.org/officeDocument/2006/relationships/hyperlink" Target="http://palletfly.com/product_details.php?vid=15972" TargetMode="External"/><Relationship Id="rId439" Type="http://schemas.openxmlformats.org/officeDocument/2006/relationships/hyperlink" Target="http://amazon.com/dp/B0050A6270" TargetMode="External"/><Relationship Id="rId438" Type="http://schemas.openxmlformats.org/officeDocument/2006/relationships/hyperlink" Target="http://palletfly.com/product_details.php?vid=20826" TargetMode="External"/><Relationship Id="rId1260" Type="http://schemas.openxmlformats.org/officeDocument/2006/relationships/hyperlink" Target="http://palletfly.com/product_details.php?vid=18602" TargetMode="External"/><Relationship Id="rId1261" Type="http://schemas.openxmlformats.org/officeDocument/2006/relationships/hyperlink" Target="http://amazon.com/dp/B002PIE2V8" TargetMode="External"/><Relationship Id="rId1262" Type="http://schemas.openxmlformats.org/officeDocument/2006/relationships/hyperlink" Target="http://palletfly.com/product_details.php?vid=23496" TargetMode="External"/><Relationship Id="rId1263" Type="http://schemas.openxmlformats.org/officeDocument/2006/relationships/hyperlink" Target="http://amazon.com/dp/B07RZGSQK8" TargetMode="External"/><Relationship Id="rId2110" Type="http://schemas.openxmlformats.org/officeDocument/2006/relationships/hyperlink" Target="http://palletfly.com/product_details.php?vid=16370" TargetMode="External"/><Relationship Id="rId433" Type="http://schemas.openxmlformats.org/officeDocument/2006/relationships/hyperlink" Target="http://amazon.com/dp/B00NG0IC9C" TargetMode="External"/><Relationship Id="rId1264" Type="http://schemas.openxmlformats.org/officeDocument/2006/relationships/hyperlink" Target="http://palletfly.com/product_details.php?vid=23498" TargetMode="External"/><Relationship Id="rId2111" Type="http://schemas.openxmlformats.org/officeDocument/2006/relationships/hyperlink" Target="http://palletfly.com/product_details.php?vid=17385" TargetMode="External"/><Relationship Id="rId432" Type="http://schemas.openxmlformats.org/officeDocument/2006/relationships/hyperlink" Target="http://palletfly.com/product_details.php?vid=21985" TargetMode="External"/><Relationship Id="rId1265" Type="http://schemas.openxmlformats.org/officeDocument/2006/relationships/hyperlink" Target="http://amazon.com/dp/B07S2NFB17" TargetMode="External"/><Relationship Id="rId2112" Type="http://schemas.openxmlformats.org/officeDocument/2006/relationships/hyperlink" Target="http://palletfly.com/product_details.php?vid=18044" TargetMode="External"/><Relationship Id="rId431" Type="http://schemas.openxmlformats.org/officeDocument/2006/relationships/hyperlink" Target="http://amazon.com/dp/B00C1ZT1W0" TargetMode="External"/><Relationship Id="rId1266" Type="http://schemas.openxmlformats.org/officeDocument/2006/relationships/hyperlink" Target="http://palletfly.com/product_details.php?vid=12729" TargetMode="External"/><Relationship Id="rId2113" Type="http://schemas.openxmlformats.org/officeDocument/2006/relationships/hyperlink" Target="http://palletfly.com/product_details.php?vid=18671" TargetMode="External"/><Relationship Id="rId430" Type="http://schemas.openxmlformats.org/officeDocument/2006/relationships/hyperlink" Target="http://palletfly.com/product_details.php?vid=24802" TargetMode="External"/><Relationship Id="rId1267" Type="http://schemas.openxmlformats.org/officeDocument/2006/relationships/hyperlink" Target="http://amazon.com/dp/B0021Z855O" TargetMode="External"/><Relationship Id="rId2114" Type="http://schemas.openxmlformats.org/officeDocument/2006/relationships/hyperlink" Target="http://palletfly.com/product_details.php?vid=18712"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 t="str">
        <f>IFERROR(__xludf.DUMMYFUNCTION("IMPORTRANGE(""1-KuMj-93weq1YVOTihxd_gO56onmpMOsGqXQbKbuHfY"",""Customer Copy!A:S"")"),"Visit Palletfly")</f>
        <v>Visit Palletfly</v>
      </c>
      <c r="C1" s="1" t="str">
        <f>IFERROR(__xludf.DUMMYFUNCTION("""COMPUTED_VALUE"""),"Place Order")</f>
        <v>Place Order</v>
      </c>
      <c r="D1" s="1" t="str">
        <f>IFERROR(__xludf.DUMMYFUNCTION("""COMPUTED_VALUE"""),"Download Inventory")</f>
        <v>Download Inventory</v>
      </c>
      <c r="F1" s="1" t="str">
        <f>IFERROR(__xludf.DUMMYFUNCTION("""COMPUTED_VALUE"""),"Buying Guide")</f>
        <v>Buying Guide</v>
      </c>
      <c r="H1" s="1" t="str">
        <f>IFERROR(__xludf.DUMMYFUNCTION("""COMPUTED_VALUE"""),"Customer Signup")</f>
        <v>Customer Signup</v>
      </c>
      <c r="K1" s="1" t="str">
        <f>IFERROR(__xludf.DUMMYFUNCTION("""COMPUTED_VALUE"""),"Get Emails")</f>
        <v>Get Emails</v>
      </c>
    </row>
    <row r="2">
      <c r="A2" t="str">
        <f>IFERROR(__xludf.DUMMYFUNCTION("""COMPUTED_VALUE"""),"Update Date")</f>
        <v>Update Date</v>
      </c>
      <c r="B2" t="str">
        <f>IFERROR(__xludf.DUMMYFUNCTION("""COMPUTED_VALUE"""),"ID")</f>
        <v>ID</v>
      </c>
      <c r="C2" t="str">
        <f>IFERROR(__xludf.DUMMYFUNCTION("""COMPUTED_VALUE"""),"Product Name")</f>
        <v>Product Name</v>
      </c>
      <c r="D2" t="str">
        <f>IFERROR(__xludf.DUMMYFUNCTION("""COMPUTED_VALUE"""),"ASIN")</f>
        <v>ASIN</v>
      </c>
      <c r="E2" t="str">
        <f>IFERROR(__xludf.DUMMYFUNCTION("""COMPUTED_VALUE"""),"UPC")</f>
        <v>UPC</v>
      </c>
      <c r="F2" t="str">
        <f>IFERROR(__xludf.DUMMYFUNCTION("""COMPUTED_VALUE"""),"MOQ")</f>
        <v>MOQ</v>
      </c>
      <c r="G2" t="str">
        <f>IFERROR(__xludf.DUMMYFUNCTION("""COMPUTED_VALUE"""),"Total")</f>
        <v>Total</v>
      </c>
      <c r="H2" s="2" t="str">
        <f>IFERROR(__xludf.DUMMYFUNCTION("""COMPUTED_VALUE"""),"Price")</f>
        <v>Price</v>
      </c>
      <c r="I2" s="2" t="str">
        <f>IFERROR(__xludf.DUMMYFUNCTION("""COMPUTED_VALUE"""),"FBA NET")</f>
        <v>FBA NET</v>
      </c>
      <c r="J2" s="2" t="str">
        <f>IFERROR(__xludf.DUMMYFUNCTION("""COMPUTED_VALUE"""),"Gross Profit")</f>
        <v>Gross Profit</v>
      </c>
      <c r="L2" t="str">
        <f>IFERROR(__xludf.DUMMYFUNCTION("""COMPUTED_VALUE"""),"Rank")</f>
        <v>Rank</v>
      </c>
      <c r="M2" t="str">
        <f>IFERROR(__xludf.DUMMYFUNCTION("""COMPUTED_VALUE"""),"Category")</f>
        <v>Category</v>
      </c>
      <c r="N2" t="str">
        <f>IFERROR(__xludf.DUMMYFUNCTION("""COMPUTED_VALUE"""),"Notes")</f>
        <v>Notes</v>
      </c>
      <c r="O2" t="str">
        <f>IFERROR(__xludf.DUMMYFUNCTION("""COMPUTED_VALUE"""),"Amazon Selling?")</f>
        <v>Amazon Selling?</v>
      </c>
      <c r="P2" t="str">
        <f>IFERROR(__xludf.DUMMYFUNCTION("""COMPUTED_VALUE"""),"Palletfly Link")</f>
        <v>Palletfly Link</v>
      </c>
      <c r="Q2" s="3" t="str">
        <f>IFERROR(__xludf.DUMMYFUNCTION("""COMPUTED_VALUE"""),"Amazon Link")</f>
        <v>Amazon Link</v>
      </c>
    </row>
    <row r="3">
      <c r="A3" s="4">
        <f>IFERROR(__xludf.DUMMYFUNCTION("""COMPUTED_VALUE"""),45363.0)</f>
        <v>45363</v>
      </c>
      <c r="B3" s="3">
        <f>IFERROR(__xludf.DUMMYFUNCTION("""COMPUTED_VALUE"""),21163.0)</f>
        <v>21163</v>
      </c>
      <c r="C3" s="3" t="str">
        <f>IFERROR(__xludf.DUMMYFUNCTION("""COMPUTED_VALUE"""),"Wilson Jones 3 Ring Binder 1 Inch, Ultra Duty D-Ring View Binder with Extra Durable Hinge, Customizable, Dark Red (W866-14-195)")</f>
        <v>Wilson Jones 3 Ring Binder 1 Inch, Ultra Duty D-Ring View Binder with Extra Durable Hinge, Customizable, Dark Red (W866-14-195)</v>
      </c>
      <c r="D3" s="3" t="str">
        <f>IFERROR(__xludf.DUMMYFUNCTION("""COMPUTED_VALUE"""),"B00CPXEI9E")</f>
        <v>B00CPXEI9E</v>
      </c>
      <c r="E3" s="3" t="str">
        <f>IFERROR(__xludf.DUMMYFUNCTION("""COMPUTED_VALUE"""),"78910614198")</f>
        <v>78910614198</v>
      </c>
      <c r="F3" s="3">
        <f>IFERROR(__xludf.DUMMYFUNCTION("""COMPUTED_VALUE"""),300.0)</f>
        <v>300</v>
      </c>
      <c r="G3" s="3">
        <f>IFERROR(__xludf.DUMMYFUNCTION("""COMPUTED_VALUE"""),10000.0)</f>
        <v>10000</v>
      </c>
      <c r="H3" s="2">
        <f>IFERROR(__xludf.DUMMYFUNCTION("""COMPUTED_VALUE"""),8.0)</f>
        <v>8</v>
      </c>
      <c r="I3" s="2">
        <f>IFERROR(__xludf.DUMMYFUNCTION("""COMPUTED_VALUE"""),316.57)</f>
        <v>316.57</v>
      </c>
      <c r="J3" s="2">
        <f>IFERROR(__xludf.DUMMYFUNCTION("""COMPUTED_VALUE"""),308.57)</f>
        <v>308.57</v>
      </c>
      <c r="K3" s="5">
        <f>IFERROR(__xludf.DUMMYFUNCTION("""COMPUTED_VALUE"""),38.57125)</f>
        <v>38.57125</v>
      </c>
      <c r="L3" s="3">
        <f>IFERROR(__xludf.DUMMYFUNCTION("""COMPUTED_VALUE"""),89013.0)</f>
        <v>89013</v>
      </c>
      <c r="M3" s="3" t="str">
        <f>IFERROR(__xludf.DUMMYFUNCTION("""COMPUTED_VALUE"""),"Office Product")</f>
        <v>Office Product</v>
      </c>
      <c r="O3" t="str">
        <f>IFERROR(__xludf.DUMMYFUNCTION("""COMPUTED_VALUE"""),"N")</f>
        <v>N</v>
      </c>
      <c r="P3" s="1" t="str">
        <f>IFERROR(__xludf.DUMMYFUNCTION("""COMPUTED_VALUE"""),"ID 21163")</f>
        <v>ID 21163</v>
      </c>
      <c r="Q3" s="1" t="str">
        <f>IFERROR(__xludf.DUMMYFUNCTION("""COMPUTED_VALUE"""),"B00CPXEI9E")</f>
        <v>B00CPXEI9E</v>
      </c>
    </row>
    <row r="4">
      <c r="A4" s="6">
        <f>IFERROR(__xludf.DUMMYFUNCTION("""COMPUTED_VALUE"""),45286.0)</f>
        <v>45286</v>
      </c>
      <c r="B4">
        <f>IFERROR(__xludf.DUMMYFUNCTION("""COMPUTED_VALUE"""),25358.0)</f>
        <v>25358</v>
      </c>
      <c r="C4" t="str">
        <f>IFERROR(__xludf.DUMMYFUNCTION("""COMPUTED_VALUE"""),"HP 643A | Q5953A | Toner-Cartridge | Magenta")</f>
        <v>HP 643A | Q5953A | Toner-Cartridge | Magenta</v>
      </c>
      <c r="D4" t="str">
        <f>IFERROR(__xludf.DUMMYFUNCTION("""COMPUTED_VALUE"""),"B000BPLGYS")</f>
        <v>B000BPLGYS</v>
      </c>
      <c r="E4" t="str">
        <f>IFERROR(__xludf.DUMMYFUNCTION("""COMPUTED_VALUE"""),"829160493909")</f>
        <v>829160493909</v>
      </c>
      <c r="F4">
        <f>IFERROR(__xludf.DUMMYFUNCTION("""COMPUTED_VALUE"""),10.0)</f>
        <v>10</v>
      </c>
      <c r="G4">
        <f>IFERROR(__xludf.DUMMYFUNCTION("""COMPUTED_VALUE"""),10000.0)</f>
        <v>10000</v>
      </c>
      <c r="H4" s="2">
        <f>IFERROR(__xludf.DUMMYFUNCTION("""COMPUTED_VALUE"""),228.5)</f>
        <v>228.5</v>
      </c>
      <c r="I4" s="2">
        <f>IFERROR(__xludf.DUMMYFUNCTION("""COMPUTED_VALUE"""),352.53)</f>
        <v>352.53</v>
      </c>
      <c r="J4" s="2">
        <f>IFERROR(__xludf.DUMMYFUNCTION("""COMPUTED_VALUE"""),124.02999999999997)</f>
        <v>124.03</v>
      </c>
      <c r="K4" s="5">
        <f>IFERROR(__xludf.DUMMYFUNCTION("""COMPUTED_VALUE"""),0.5428008752735228)</f>
        <v>0.5428008753</v>
      </c>
      <c r="L4">
        <f>IFERROR(__xludf.DUMMYFUNCTION("""COMPUTED_VALUE"""),67993.0)</f>
        <v>67993</v>
      </c>
      <c r="M4" t="str">
        <f>IFERROR(__xludf.DUMMYFUNCTION("""COMPUTED_VALUE"""),"Office Product")</f>
        <v>Office Product</v>
      </c>
      <c r="O4" t="str">
        <f>IFERROR(__xludf.DUMMYFUNCTION("""COMPUTED_VALUE"""),"Y")</f>
        <v>Y</v>
      </c>
      <c r="P4" s="1" t="str">
        <f>IFERROR(__xludf.DUMMYFUNCTION("""COMPUTED_VALUE"""),"ID 25358")</f>
        <v>ID 25358</v>
      </c>
      <c r="Q4" s="1" t="str">
        <f>IFERROR(__xludf.DUMMYFUNCTION("""COMPUTED_VALUE"""),"B000BPLGYS")</f>
        <v>B000BPLGYS</v>
      </c>
    </row>
    <row r="5">
      <c r="A5" s="6">
        <f>IFERROR(__xludf.DUMMYFUNCTION("""COMPUTED_VALUE"""),45286.0)</f>
        <v>45286</v>
      </c>
      <c r="B5">
        <f>IFERROR(__xludf.DUMMYFUNCTION("""COMPUTED_VALUE"""),25792.0)</f>
        <v>25792</v>
      </c>
      <c r="C5" t="str">
        <f>IFERROR(__xludf.DUMMYFUNCTION("""COMPUTED_VALUE"""),"Original HP 650A Cyan Toner Cartridge | Works with HP Color LaserJet Enterprise CP5525 Series | CE271A")</f>
        <v>Original HP 650A Cyan Toner Cartridge | Works with HP Color LaserJet Enterprise CP5525 Series | CE271A</v>
      </c>
      <c r="D5" t="str">
        <f>IFERROR(__xludf.DUMMYFUNCTION("""COMPUTED_VALUE"""),"B00407VXA0")</f>
        <v>B00407VXA0</v>
      </c>
      <c r="E5" t="str">
        <f>IFERROR(__xludf.DUMMYFUNCTION("""COMPUTED_VALUE"""),"884962161173")</f>
        <v>884962161173</v>
      </c>
      <c r="F5">
        <f>IFERROR(__xludf.DUMMYFUNCTION("""COMPUTED_VALUE"""),10.0)</f>
        <v>10</v>
      </c>
      <c r="G5">
        <f>IFERROR(__xludf.DUMMYFUNCTION("""COMPUTED_VALUE"""),10000.0)</f>
        <v>10000</v>
      </c>
      <c r="H5" s="2">
        <f>IFERROR(__xludf.DUMMYFUNCTION("""COMPUTED_VALUE"""),347.0)</f>
        <v>347</v>
      </c>
      <c r="I5" s="2">
        <f>IFERROR(__xludf.DUMMYFUNCTION("""COMPUTED_VALUE"""),459.32)</f>
        <v>459.32</v>
      </c>
      <c r="J5" s="2">
        <f>IFERROR(__xludf.DUMMYFUNCTION("""COMPUTED_VALUE"""),112.32)</f>
        <v>112.32</v>
      </c>
      <c r="K5" s="5">
        <f>IFERROR(__xludf.DUMMYFUNCTION("""COMPUTED_VALUE"""),0.3236887608069164)</f>
        <v>0.3236887608</v>
      </c>
      <c r="L5">
        <f>IFERROR(__xludf.DUMMYFUNCTION("""COMPUTED_VALUE"""),96187.0)</f>
        <v>96187</v>
      </c>
      <c r="M5" t="str">
        <f>IFERROR(__xludf.DUMMYFUNCTION("""COMPUTED_VALUE"""),"Office Product")</f>
        <v>Office Product</v>
      </c>
      <c r="O5" t="str">
        <f>IFERROR(__xludf.DUMMYFUNCTION("""COMPUTED_VALUE"""),"Y")</f>
        <v>Y</v>
      </c>
      <c r="P5" s="1" t="str">
        <f>IFERROR(__xludf.DUMMYFUNCTION("""COMPUTED_VALUE"""),"ID 25792")</f>
        <v>ID 25792</v>
      </c>
      <c r="Q5" s="1" t="str">
        <f>IFERROR(__xludf.DUMMYFUNCTION("""COMPUTED_VALUE"""),"B00407VXA0")</f>
        <v>B00407VXA0</v>
      </c>
    </row>
    <row r="6">
      <c r="A6" s="6">
        <f>IFERROR(__xludf.DUMMYFUNCTION("""COMPUTED_VALUE"""),43991.0)</f>
        <v>43991</v>
      </c>
      <c r="B6">
        <f>IFERROR(__xludf.DUMMYFUNCTION("""COMPUTED_VALUE"""),14879.0)</f>
        <v>14879</v>
      </c>
      <c r="C6" t="str">
        <f>IFERROR(__xludf.DUMMYFUNCTION("""COMPUTED_VALUE"""),"GAEMS M155 Full HD 1080P Portable Gaming Monitor for PS4 Pro, Xbox One, S, Xbox One X, Nintendo Switch, PC (Consoles Not Included) - PlayStation 4")</f>
        <v>GAEMS M155 Full HD 1080P Portable Gaming Monitor for PS4 Pro, Xbox One, S, Xbox One X, Nintendo Switch, PC (Consoles Not Included) - PlayStation 4</v>
      </c>
      <c r="D6" t="str">
        <f>IFERROR(__xludf.DUMMYFUNCTION("""COMPUTED_VALUE"""),"B07J2YLHJ2")</f>
        <v>B07J2YLHJ2</v>
      </c>
      <c r="F6">
        <f>IFERROR(__xludf.DUMMYFUNCTION("""COMPUTED_VALUE"""),300.0)</f>
        <v>300</v>
      </c>
      <c r="G6">
        <f>IFERROR(__xludf.DUMMYFUNCTION("""COMPUTED_VALUE"""),600.0)</f>
        <v>600</v>
      </c>
      <c r="H6" s="2">
        <f>IFERROR(__xludf.DUMMYFUNCTION("""COMPUTED_VALUE"""),125.0)</f>
        <v>125</v>
      </c>
      <c r="I6" s="2">
        <f>IFERROR(__xludf.DUMMYFUNCTION("""COMPUTED_VALUE"""),230.23)</f>
        <v>230.23</v>
      </c>
      <c r="J6" s="2">
        <f>IFERROR(__xludf.DUMMYFUNCTION("""COMPUTED_VALUE"""),105.22999999999999)</f>
        <v>105.23</v>
      </c>
      <c r="K6" s="5">
        <f>IFERROR(__xludf.DUMMYFUNCTION("""COMPUTED_VALUE"""),0.8418399999999999)</f>
        <v>0.84184</v>
      </c>
      <c r="L6">
        <f>IFERROR(__xludf.DUMMYFUNCTION("""COMPUTED_VALUE"""),68499.0)</f>
        <v>68499</v>
      </c>
      <c r="M6" t="str">
        <f>IFERROR(__xludf.DUMMYFUNCTION("""COMPUTED_VALUE"""),"Lawn &amp; Patio")</f>
        <v>Lawn &amp; Patio</v>
      </c>
      <c r="O6" t="str">
        <f>IFERROR(__xludf.DUMMYFUNCTION("""COMPUTED_VALUE"""),"N")</f>
        <v>N</v>
      </c>
      <c r="P6" s="1" t="str">
        <f>IFERROR(__xludf.DUMMYFUNCTION("""COMPUTED_VALUE"""),"ID 14879")</f>
        <v>ID 14879</v>
      </c>
      <c r="Q6" s="1" t="str">
        <f>IFERROR(__xludf.DUMMYFUNCTION("""COMPUTED_VALUE"""),"B07J2YLHJ2")</f>
        <v>B07J2YLHJ2</v>
      </c>
    </row>
    <row r="7">
      <c r="A7" s="6">
        <f>IFERROR(__xludf.DUMMYFUNCTION("""COMPUTED_VALUE"""),45286.0)</f>
        <v>45286</v>
      </c>
      <c r="B7">
        <f>IFERROR(__xludf.DUMMYFUNCTION("""COMPUTED_VALUE"""),25793.0)</f>
        <v>25793</v>
      </c>
      <c r="C7" t="str">
        <f>IFERROR(__xludf.DUMMYFUNCTION("""COMPUTED_VALUE"""),"HP 90X | CE390X | Toner-Cartridge | Black | High Yield")</f>
        <v>HP 90X | CE390X | Toner-Cartridge | Black | High Yield</v>
      </c>
      <c r="D7" t="str">
        <f>IFERROR(__xludf.DUMMYFUNCTION("""COMPUTED_VALUE"""),"B004RUHPOS")</f>
        <v>B004RUHPOS</v>
      </c>
      <c r="E7" t="str">
        <f>IFERROR(__xludf.DUMMYFUNCTION("""COMPUTED_VALUE"""),"884962517765")</f>
        <v>884962517765</v>
      </c>
      <c r="F7">
        <f>IFERROR(__xludf.DUMMYFUNCTION("""COMPUTED_VALUE"""),10.0)</f>
        <v>10</v>
      </c>
      <c r="G7">
        <f>IFERROR(__xludf.DUMMYFUNCTION("""COMPUTED_VALUE"""),10000.0)</f>
        <v>10000</v>
      </c>
      <c r="H7" s="2">
        <f>IFERROR(__xludf.DUMMYFUNCTION("""COMPUTED_VALUE"""),247.75)</f>
        <v>247.75</v>
      </c>
      <c r="I7" s="2">
        <f>IFERROR(__xludf.DUMMYFUNCTION("""COMPUTED_VALUE"""),326.13)</f>
        <v>326.13</v>
      </c>
      <c r="J7" s="2">
        <f>IFERROR(__xludf.DUMMYFUNCTION("""COMPUTED_VALUE"""),78.38)</f>
        <v>78.38</v>
      </c>
      <c r="K7" s="5">
        <f>IFERROR(__xludf.DUMMYFUNCTION("""COMPUTED_VALUE"""),0.31636730575176586)</f>
        <v>0.3163673058</v>
      </c>
      <c r="L7">
        <f>IFERROR(__xludf.DUMMYFUNCTION("""COMPUTED_VALUE"""),47651.0)</f>
        <v>47651</v>
      </c>
      <c r="M7" t="str">
        <f>IFERROR(__xludf.DUMMYFUNCTION("""COMPUTED_VALUE"""),"Office Product")</f>
        <v>Office Product</v>
      </c>
      <c r="O7" t="str">
        <f>IFERROR(__xludf.DUMMYFUNCTION("""COMPUTED_VALUE"""),"Y")</f>
        <v>Y</v>
      </c>
      <c r="P7" s="1" t="str">
        <f>IFERROR(__xludf.DUMMYFUNCTION("""COMPUTED_VALUE"""),"ID 25793")</f>
        <v>ID 25793</v>
      </c>
      <c r="Q7" s="1" t="str">
        <f>IFERROR(__xludf.DUMMYFUNCTION("""COMPUTED_VALUE"""),"B004RUHPOS")</f>
        <v>B004RUHPOS</v>
      </c>
    </row>
    <row r="8">
      <c r="A8" s="6">
        <f>IFERROR(__xludf.DUMMYFUNCTION("""COMPUTED_VALUE"""),45348.0)</f>
        <v>45348</v>
      </c>
      <c r="B8">
        <f>IFERROR(__xludf.DUMMYFUNCTION("""COMPUTED_VALUE"""),22841.0)</f>
        <v>22841</v>
      </c>
      <c r="C8" t="str">
        <f>IFERROR(__xludf.DUMMYFUNCTION("""COMPUTED_VALUE"""),"Quartet Glass Whiteboard, Non-Magnetic Dry Erase White Board, 8' x 4', White Surface, Infinity (G9648NMW)")</f>
        <v>Quartet Glass Whiteboard, Non-Magnetic Dry Erase White Board, 8' x 4', White Surface, Infinity (G9648NMW)</v>
      </c>
      <c r="D8" t="str">
        <f>IFERROR(__xludf.DUMMYFUNCTION("""COMPUTED_VALUE"""),"B01N7YBXEQ")</f>
        <v>B01N7YBXEQ</v>
      </c>
      <c r="E8" t="str">
        <f>IFERROR(__xludf.DUMMYFUNCTION("""COMPUTED_VALUE"""),"034138299753")</f>
        <v>034138299753</v>
      </c>
      <c r="F8">
        <f>IFERROR(__xludf.DUMMYFUNCTION("""COMPUTED_VALUE"""),6.0)</f>
        <v>6</v>
      </c>
      <c r="G8">
        <f>IFERROR(__xludf.DUMMYFUNCTION("""COMPUTED_VALUE"""),10000.0)</f>
        <v>10000</v>
      </c>
      <c r="H8" s="2">
        <f>IFERROR(__xludf.DUMMYFUNCTION("""COMPUTED_VALUE"""),434.25)</f>
        <v>434.25</v>
      </c>
      <c r="I8" s="2">
        <f>IFERROR(__xludf.DUMMYFUNCTION("""COMPUTED_VALUE"""),508.38)</f>
        <v>508.38</v>
      </c>
      <c r="J8" s="2">
        <f>IFERROR(__xludf.DUMMYFUNCTION("""COMPUTED_VALUE"""),74.13)</f>
        <v>74.13</v>
      </c>
      <c r="K8" s="5">
        <f>IFERROR(__xludf.DUMMYFUNCTION("""COMPUTED_VALUE"""),0.17070811744386874)</f>
        <v>0.1707081174</v>
      </c>
      <c r="L8">
        <f>IFERROR(__xludf.DUMMYFUNCTION("""COMPUTED_VALUE"""),19010.0)</f>
        <v>19010</v>
      </c>
      <c r="M8" t="str">
        <f>IFERROR(__xludf.DUMMYFUNCTION("""COMPUTED_VALUE"""),"Office Product")</f>
        <v>Office Product</v>
      </c>
      <c r="N8" t="str">
        <f>IFERROR(__xludf.DUMMYFUNCTION("""COMPUTED_VALUE"""),"Oversized Item. OSMI")</f>
        <v>Oversized Item. OSMI</v>
      </c>
      <c r="O8" t="str">
        <f>IFERROR(__xludf.DUMMYFUNCTION("""COMPUTED_VALUE"""),"Y")</f>
        <v>Y</v>
      </c>
      <c r="P8" s="1" t="str">
        <f>IFERROR(__xludf.DUMMYFUNCTION("""COMPUTED_VALUE"""),"ID 22841")</f>
        <v>ID 22841</v>
      </c>
      <c r="Q8" s="1" t="str">
        <f>IFERROR(__xludf.DUMMYFUNCTION("""COMPUTED_VALUE"""),"B01N7YBXEQ")</f>
        <v>B01N7YBXEQ</v>
      </c>
    </row>
    <row r="9">
      <c r="A9" s="6">
        <f>IFERROR(__xludf.DUMMYFUNCTION("""COMPUTED_VALUE"""),44635.0)</f>
        <v>44635</v>
      </c>
      <c r="B9">
        <f>IFERROR(__xludf.DUMMYFUNCTION("""COMPUTED_VALUE"""),25684.0)</f>
        <v>25684</v>
      </c>
      <c r="C9" t="str">
        <f>IFERROR(__xludf.DUMMYFUNCTION("""COMPUTED_VALUE"""),"JBL Professional 306P MkII Next-Generation 6"" 2-Way Powered Studio Monitor (306PMKII) (Pair) (2 Items)")</f>
        <v>JBL Professional 306P MkII Next-Generation 6" 2-Way Powered Studio Monitor (306PMKII) (Pair) (2 Items)</v>
      </c>
      <c r="D9" t="str">
        <f>IFERROR(__xludf.DUMMYFUNCTION("""COMPUTED_VALUE"""),"B07C5L7NKV")</f>
        <v>B07C5L7NKV</v>
      </c>
      <c r="F9">
        <f>IFERROR(__xludf.DUMMYFUNCTION("""COMPUTED_VALUE"""),10.0)</f>
        <v>10</v>
      </c>
      <c r="G9">
        <f>IFERROR(__xludf.DUMMYFUNCTION("""COMPUTED_VALUE"""),100.0)</f>
        <v>100</v>
      </c>
      <c r="H9" s="2">
        <f>IFERROR(__xludf.DUMMYFUNCTION("""COMPUTED_VALUE"""),282.5)</f>
        <v>282.5</v>
      </c>
      <c r="I9" s="2">
        <f>IFERROR(__xludf.DUMMYFUNCTION("""COMPUTED_VALUE"""),354.2)</f>
        <v>354.2</v>
      </c>
      <c r="J9" s="2">
        <f>IFERROR(__xludf.DUMMYFUNCTION("""COMPUTED_VALUE"""),71.69999999999999)</f>
        <v>71.7</v>
      </c>
      <c r="K9" s="5">
        <f>IFERROR(__xludf.DUMMYFUNCTION("""COMPUTED_VALUE"""),0.2538053097345132)</f>
        <v>0.2538053097</v>
      </c>
      <c r="L9">
        <f>IFERROR(__xludf.DUMMYFUNCTION("""COMPUTED_VALUE"""),38233.0)</f>
        <v>38233</v>
      </c>
      <c r="M9" t="str">
        <f>IFERROR(__xludf.DUMMYFUNCTION("""COMPUTED_VALUE"""),"Musical Instruments")</f>
        <v>Musical Instruments</v>
      </c>
      <c r="O9" t="str">
        <f>IFERROR(__xludf.DUMMYFUNCTION("""COMPUTED_VALUE"""),"N")</f>
        <v>N</v>
      </c>
      <c r="P9" s="1" t="str">
        <f>IFERROR(__xludf.DUMMYFUNCTION("""COMPUTED_VALUE"""),"ID 25684")</f>
        <v>ID 25684</v>
      </c>
      <c r="Q9" s="1" t="str">
        <f>IFERROR(__xludf.DUMMYFUNCTION("""COMPUTED_VALUE"""),"B07C5L7NKV")</f>
        <v>B07C5L7NKV</v>
      </c>
    </row>
    <row r="10">
      <c r="A10" s="6">
        <f>IFERROR(__xludf.DUMMYFUNCTION("""COMPUTED_VALUE"""),44517.0)</f>
        <v>44517</v>
      </c>
      <c r="B10">
        <f>IFERROR(__xludf.DUMMYFUNCTION("""COMPUTED_VALUE"""),23383.0)</f>
        <v>23383</v>
      </c>
      <c r="C10" t="str">
        <f>IFERROR(__xludf.DUMMYFUNCTION("""COMPUTED_VALUE"""),"NETGEAR Wireless Router - AC 1200 Dual Band Gigabit (R6200)")</f>
        <v>NETGEAR Wireless Router - AC 1200 Dual Band Gigabit (R6200)</v>
      </c>
      <c r="D10" t="str">
        <f>IFERROR(__xludf.DUMMYFUNCTION("""COMPUTED_VALUE"""),"B008HO9DIG")</f>
        <v>B008HO9DIG</v>
      </c>
      <c r="F10">
        <f>IFERROR(__xludf.DUMMYFUNCTION("""COMPUTED_VALUE"""),100.0)</f>
        <v>100</v>
      </c>
      <c r="G10">
        <f>IFERROR(__xludf.DUMMYFUNCTION("""COMPUTED_VALUE"""),300.0)</f>
        <v>300</v>
      </c>
      <c r="H10" s="2">
        <f>IFERROR(__xludf.DUMMYFUNCTION("""COMPUTED_VALUE"""),73.75)</f>
        <v>73.75</v>
      </c>
      <c r="I10" s="2">
        <f>IFERROR(__xludf.DUMMYFUNCTION("""COMPUTED_VALUE"""),139.59)</f>
        <v>139.59</v>
      </c>
      <c r="J10" s="2">
        <f>IFERROR(__xludf.DUMMYFUNCTION("""COMPUTED_VALUE"""),65.84)</f>
        <v>65.84</v>
      </c>
      <c r="K10" s="5">
        <f>IFERROR(__xludf.DUMMYFUNCTION("""COMPUTED_VALUE"""),0.8927457627118645)</f>
        <v>0.8927457627</v>
      </c>
      <c r="L10">
        <f>IFERROR(__xludf.DUMMYFUNCTION("""COMPUTED_VALUE"""),62299.0)</f>
        <v>62299</v>
      </c>
      <c r="M10" t="str">
        <f>IFERROR(__xludf.DUMMYFUNCTION("""COMPUTED_VALUE"""),"Personal Computer")</f>
        <v>Personal Computer</v>
      </c>
      <c r="O10" t="str">
        <f>IFERROR(__xludf.DUMMYFUNCTION("""COMPUTED_VALUE"""),"N")</f>
        <v>N</v>
      </c>
      <c r="P10" s="1" t="str">
        <f>IFERROR(__xludf.DUMMYFUNCTION("""COMPUTED_VALUE"""),"ID 23383")</f>
        <v>ID 23383</v>
      </c>
      <c r="Q10" s="1" t="str">
        <f>IFERROR(__xludf.DUMMYFUNCTION("""COMPUTED_VALUE"""),"B008HO9DIG")</f>
        <v>B008HO9DIG</v>
      </c>
    </row>
    <row r="11">
      <c r="A11" s="6">
        <f>IFERROR(__xludf.DUMMYFUNCTION("""COMPUTED_VALUE"""),44769.0)</f>
        <v>44769</v>
      </c>
      <c r="B11">
        <f>IFERROR(__xludf.DUMMYFUNCTION("""COMPUTED_VALUE"""),5009.0)</f>
        <v>5009</v>
      </c>
      <c r="C11" t="str">
        <f>IFERROR(__xludf.DUMMYFUNCTION("""COMPUTED_VALUE"""),"Samsung Level U Bluetooth Wireless In-ear Headphones with Microphone, Black Sapphire")</f>
        <v>Samsung Level U Bluetooth Wireless In-ear Headphones with Microphone, Black Sapphire</v>
      </c>
      <c r="D11" t="str">
        <f>IFERROR(__xludf.DUMMYFUNCTION("""COMPUTED_VALUE"""),"B00YA8LFPW")</f>
        <v>B00YA8LFPW</v>
      </c>
      <c r="F11">
        <f>IFERROR(__xludf.DUMMYFUNCTION("""COMPUTED_VALUE"""),5000.0)</f>
        <v>5000</v>
      </c>
      <c r="G11">
        <f>IFERROR(__xludf.DUMMYFUNCTION("""COMPUTED_VALUE"""),5000.0)</f>
        <v>5000</v>
      </c>
      <c r="H11" s="2">
        <f>IFERROR(__xludf.DUMMYFUNCTION("""COMPUTED_VALUE"""),26.5)</f>
        <v>26.5</v>
      </c>
      <c r="I11" s="2">
        <f>IFERROR(__xludf.DUMMYFUNCTION("""COMPUTED_VALUE"""),80.1)</f>
        <v>80.1</v>
      </c>
      <c r="J11" s="2">
        <f>IFERROR(__xludf.DUMMYFUNCTION("""COMPUTED_VALUE"""),53.599999999999994)</f>
        <v>53.6</v>
      </c>
      <c r="K11" s="5">
        <f>IFERROR(__xludf.DUMMYFUNCTION("""COMPUTED_VALUE"""),2.0226415094339623)</f>
        <v>2.022641509</v>
      </c>
      <c r="L11">
        <f>IFERROR(__xludf.DUMMYFUNCTION("""COMPUTED_VALUE"""),98111.0)</f>
        <v>98111</v>
      </c>
      <c r="M11" t="str">
        <f>IFERROR(__xludf.DUMMYFUNCTION("""COMPUTED_VALUE"""),"Wireless")</f>
        <v>Wireless</v>
      </c>
      <c r="O11" t="str">
        <f>IFERROR(__xludf.DUMMYFUNCTION("""COMPUTED_VALUE"""),"N")</f>
        <v>N</v>
      </c>
      <c r="P11" s="1" t="str">
        <f>IFERROR(__xludf.DUMMYFUNCTION("""COMPUTED_VALUE"""),"ID 5009")</f>
        <v>ID 5009</v>
      </c>
      <c r="Q11" s="1" t="str">
        <f>IFERROR(__xludf.DUMMYFUNCTION("""COMPUTED_VALUE"""),"B00YA8LFPW")</f>
        <v>B00YA8LFPW</v>
      </c>
    </row>
    <row r="12">
      <c r="A12" s="6">
        <f>IFERROR(__xludf.DUMMYFUNCTION("""COMPUTED_VALUE"""),45421.0)</f>
        <v>45421</v>
      </c>
      <c r="B12">
        <f>IFERROR(__xludf.DUMMYFUNCTION("""COMPUTED_VALUE"""),22233.0)</f>
        <v>22233</v>
      </c>
      <c r="C12" t="str">
        <f>IFERROR(__xludf.DUMMYFUNCTION("""COMPUTED_VALUE"""),"Clearprint Vellum Sheets with Engineer Title Block, 24x36 Inches, 16 lb., 60 GSM, 1000H 100% Cotton, 100 Sheets/Pack, Translucent White (10221528)")</f>
        <v>Clearprint Vellum Sheets with Engineer Title Block, 24x36 Inches, 16 lb., 60 GSM, 1000H 100% Cotton, 100 Sheets/Pack, Translucent White (10221528)</v>
      </c>
      <c r="D12" t="str">
        <f>IFERROR(__xludf.DUMMYFUNCTION("""COMPUTED_VALUE"""),"B001DKOCGE")</f>
        <v>B001DKOCGE</v>
      </c>
      <c r="E12" t="str">
        <f>IFERROR(__xludf.DUMMYFUNCTION("""COMPUTED_VALUE"""),"720362028695")</f>
        <v>720362028695</v>
      </c>
      <c r="F12">
        <f>IFERROR(__xludf.DUMMYFUNCTION("""COMPUTED_VALUE"""),16.0)</f>
        <v>16</v>
      </c>
      <c r="G12">
        <f>IFERROR(__xludf.DUMMYFUNCTION("""COMPUTED_VALUE"""),10000.0)</f>
        <v>10000</v>
      </c>
      <c r="H12" s="2">
        <f>IFERROR(__xludf.DUMMYFUNCTION("""COMPUTED_VALUE"""),208.75)</f>
        <v>208.75</v>
      </c>
      <c r="I12" s="2">
        <f>IFERROR(__xludf.DUMMYFUNCTION("""COMPUTED_VALUE"""),261.39)</f>
        <v>261.39</v>
      </c>
      <c r="J12" s="2">
        <f>IFERROR(__xludf.DUMMYFUNCTION("""COMPUTED_VALUE"""),52.639999999999986)</f>
        <v>52.64</v>
      </c>
      <c r="K12" s="5">
        <f>IFERROR(__xludf.DUMMYFUNCTION("""COMPUTED_VALUE"""),0.2521676646706586)</f>
        <v>0.2521676647</v>
      </c>
      <c r="L12">
        <f>IFERROR(__xludf.DUMMYFUNCTION("""COMPUTED_VALUE"""),78362.0)</f>
        <v>78362</v>
      </c>
      <c r="M12" t="str">
        <f>IFERROR(__xludf.DUMMYFUNCTION("""COMPUTED_VALUE"""),"BISS Basic")</f>
        <v>BISS Basic</v>
      </c>
      <c r="O12" t="str">
        <f>IFERROR(__xludf.DUMMYFUNCTION("""COMPUTED_VALUE"""),"N")</f>
        <v>N</v>
      </c>
      <c r="P12" s="1" t="str">
        <f>IFERROR(__xludf.DUMMYFUNCTION("""COMPUTED_VALUE"""),"ID 22233")</f>
        <v>ID 22233</v>
      </c>
      <c r="Q12" s="1" t="str">
        <f>IFERROR(__xludf.DUMMYFUNCTION("""COMPUTED_VALUE"""),"B001DKOCGE")</f>
        <v>B001DKOCGE</v>
      </c>
    </row>
    <row r="13">
      <c r="A13" s="6">
        <f>IFERROR(__xludf.DUMMYFUNCTION("""COMPUTED_VALUE"""),44837.0)</f>
        <v>44837</v>
      </c>
      <c r="B13">
        <f>IFERROR(__xludf.DUMMYFUNCTION("""COMPUTED_VALUE"""),14379.0)</f>
        <v>14379</v>
      </c>
      <c r="C13" t="str">
        <f>IFERROR(__xludf.DUMMYFUNCTION("""COMPUTED_VALUE"""),"Nyko SpeakerCom - Headset Alternative Controller Attachment with Push to Talk Button for Xbox One")</f>
        <v>Nyko SpeakerCom - Headset Alternative Controller Attachment with Push to Talk Button for Xbox One</v>
      </c>
      <c r="D13" t="str">
        <f>IFERROR(__xludf.DUMMYFUNCTION("""COMPUTED_VALUE"""),"B01H1QQZRM")</f>
        <v>B01H1QQZRM</v>
      </c>
      <c r="E13" t="str">
        <f>IFERROR(__xludf.DUMMYFUNCTION("""COMPUTED_VALUE"""),"743840861348")</f>
        <v>743840861348</v>
      </c>
      <c r="F13">
        <f>IFERROR(__xludf.DUMMYFUNCTION("""COMPUTED_VALUE"""),696.0)</f>
        <v>696</v>
      </c>
      <c r="G13">
        <f>IFERROR(__xludf.DUMMYFUNCTION("""COMPUTED_VALUE"""),696.0)</f>
        <v>696</v>
      </c>
      <c r="H13" s="2">
        <f>IFERROR(__xludf.DUMMYFUNCTION("""COMPUTED_VALUE"""),4.5)</f>
        <v>4.5</v>
      </c>
      <c r="I13" s="2">
        <f>IFERROR(__xludf.DUMMYFUNCTION("""COMPUTED_VALUE"""),44.83)</f>
        <v>44.83</v>
      </c>
      <c r="J13" s="2">
        <f>IFERROR(__xludf.DUMMYFUNCTION("""COMPUTED_VALUE"""),40.33)</f>
        <v>40.33</v>
      </c>
      <c r="K13" s="5">
        <f>IFERROR(__xludf.DUMMYFUNCTION("""COMPUTED_VALUE"""),8.962222222222222)</f>
        <v>8.962222222</v>
      </c>
      <c r="L13">
        <f>IFERROR(__xludf.DUMMYFUNCTION("""COMPUTED_VALUE"""),59602.0)</f>
        <v>59602</v>
      </c>
      <c r="M13" t="str">
        <f>IFERROR(__xludf.DUMMYFUNCTION("""COMPUTED_VALUE"""),"Video Games")</f>
        <v>Video Games</v>
      </c>
      <c r="O13" t="str">
        <f>IFERROR(__xludf.DUMMYFUNCTION("""COMPUTED_VALUE"""),"N")</f>
        <v>N</v>
      </c>
      <c r="P13" s="1" t="str">
        <f>IFERROR(__xludf.DUMMYFUNCTION("""COMPUTED_VALUE"""),"ID 14379")</f>
        <v>ID 14379</v>
      </c>
      <c r="Q13" s="1" t="str">
        <f>IFERROR(__xludf.DUMMYFUNCTION("""COMPUTED_VALUE"""),"B01H1QQZRM")</f>
        <v>B01H1QQZRM</v>
      </c>
    </row>
    <row r="14">
      <c r="A14" s="6">
        <f>IFERROR(__xludf.DUMMYFUNCTION("""COMPUTED_VALUE"""),45408.0)</f>
        <v>45408</v>
      </c>
      <c r="B14">
        <f>IFERROR(__xludf.DUMMYFUNCTION("""COMPUTED_VALUE"""),24905.0)</f>
        <v>24905</v>
      </c>
      <c r="C14" t="str">
        <f>IFERROR(__xludf.DUMMYFUNCTION("""COMPUTED_VALUE"""),"PARKER Sonnet Rollerball Pen, Red Lacquer with Gold Trim, Fine Point Black Ink (1931475)")</f>
        <v>PARKER Sonnet Rollerball Pen, Red Lacquer with Gold Trim, Fine Point Black Ink (1931475)</v>
      </c>
      <c r="D14" t="str">
        <f>IFERROR(__xludf.DUMMYFUNCTION("""COMPUTED_VALUE"""),"B015N3QPHA")</f>
        <v>B015N3QPHA</v>
      </c>
      <c r="E14" t="str">
        <f>IFERROR(__xludf.DUMMYFUNCTION("""COMPUTED_VALUE"""),"3501179314754")</f>
        <v>3501179314754</v>
      </c>
      <c r="F14">
        <f>IFERROR(__xludf.DUMMYFUNCTION("""COMPUTED_VALUE"""),40.0)</f>
        <v>40</v>
      </c>
      <c r="G14">
        <f>IFERROR(__xludf.DUMMYFUNCTION("""COMPUTED_VALUE"""),2.0)</f>
        <v>2</v>
      </c>
      <c r="H14" s="2">
        <f>IFERROR(__xludf.DUMMYFUNCTION("""COMPUTED_VALUE"""),80.75)</f>
        <v>80.75</v>
      </c>
      <c r="I14" s="2">
        <f>IFERROR(__xludf.DUMMYFUNCTION("""COMPUTED_VALUE"""),120.21)</f>
        <v>120.21</v>
      </c>
      <c r="J14" s="2">
        <f>IFERROR(__xludf.DUMMYFUNCTION("""COMPUTED_VALUE"""),39.459999999999994)</f>
        <v>39.46</v>
      </c>
      <c r="K14" s="5">
        <f>IFERROR(__xludf.DUMMYFUNCTION("""COMPUTED_VALUE"""),0.4886687306501547)</f>
        <v>0.4886687307</v>
      </c>
      <c r="L14">
        <f>IFERROR(__xludf.DUMMYFUNCTION("""COMPUTED_VALUE"""),89668.0)</f>
        <v>89668</v>
      </c>
      <c r="M14" t="str">
        <f>IFERROR(__xludf.DUMMYFUNCTION("""COMPUTED_VALUE"""),"Office Product")</f>
        <v>Office Product</v>
      </c>
      <c r="O14" t="str">
        <f>IFERROR(__xludf.DUMMYFUNCTION("""COMPUTED_VALUE"""),"N")</f>
        <v>N</v>
      </c>
      <c r="P14" s="1" t="str">
        <f>IFERROR(__xludf.DUMMYFUNCTION("""COMPUTED_VALUE"""),"ID 24905")</f>
        <v>ID 24905</v>
      </c>
      <c r="Q14" s="1" t="str">
        <f>IFERROR(__xludf.DUMMYFUNCTION("""COMPUTED_VALUE"""),"B015N3QPHA")</f>
        <v>B015N3QPHA</v>
      </c>
    </row>
    <row r="15">
      <c r="A15" s="6">
        <f>IFERROR(__xludf.DUMMYFUNCTION("""COMPUTED_VALUE"""),45286.0)</f>
        <v>45286</v>
      </c>
      <c r="B15">
        <f>IFERROR(__xludf.DUMMYFUNCTION("""COMPUTED_VALUE"""),25799.0)</f>
        <v>25799</v>
      </c>
      <c r="C15" t="str">
        <f>IFERROR(__xludf.DUMMYFUNCTION("""COMPUTED_VALUE"""),"3M Gold Privacy Filter for 13"" Apple MacBook Pro with Retina Display (2012-2015 Model) (GFNAP004)")</f>
        <v>3M Gold Privacy Filter for 13" Apple MacBook Pro with Retina Display (2012-2015 Model) (GFNAP004)</v>
      </c>
      <c r="D15" t="str">
        <f>IFERROR(__xludf.DUMMYFUNCTION("""COMPUTED_VALUE"""),"B00BIDDBRC")</f>
        <v>B00BIDDBRC</v>
      </c>
      <c r="E15" t="str">
        <f>IFERROR(__xludf.DUMMYFUNCTION("""COMPUTED_VALUE"""),"051128829462")</f>
        <v>051128829462</v>
      </c>
      <c r="F15">
        <f>IFERROR(__xludf.DUMMYFUNCTION("""COMPUTED_VALUE"""),40.0)</f>
        <v>40</v>
      </c>
      <c r="G15">
        <f>IFERROR(__xludf.DUMMYFUNCTION("""COMPUTED_VALUE"""),10000.0)</f>
        <v>10000</v>
      </c>
      <c r="H15" s="2">
        <f>IFERROR(__xludf.DUMMYFUNCTION("""COMPUTED_VALUE"""),40.75)</f>
        <v>40.75</v>
      </c>
      <c r="I15" s="2">
        <f>IFERROR(__xludf.DUMMYFUNCTION("""COMPUTED_VALUE"""),78.24)</f>
        <v>78.24</v>
      </c>
      <c r="J15" s="2">
        <f>IFERROR(__xludf.DUMMYFUNCTION("""COMPUTED_VALUE"""),37.489999999999995)</f>
        <v>37.49</v>
      </c>
      <c r="K15" s="5">
        <f>IFERROR(__xludf.DUMMYFUNCTION("""COMPUTED_VALUE"""),0.9199999999999999)</f>
        <v>0.92</v>
      </c>
      <c r="L15">
        <f>IFERROR(__xludf.DUMMYFUNCTION("""COMPUTED_VALUE"""),64237.0)</f>
        <v>64237</v>
      </c>
      <c r="M15" t="str">
        <f>IFERROR(__xludf.DUMMYFUNCTION("""COMPUTED_VALUE"""),"Personal Computer")</f>
        <v>Personal Computer</v>
      </c>
      <c r="O15" t="str">
        <f>IFERROR(__xludf.DUMMYFUNCTION("""COMPUTED_VALUE"""),"N")</f>
        <v>N</v>
      </c>
      <c r="P15" s="1" t="str">
        <f>IFERROR(__xludf.DUMMYFUNCTION("""COMPUTED_VALUE"""),"ID 25799")</f>
        <v>ID 25799</v>
      </c>
      <c r="Q15" s="1" t="str">
        <f>IFERROR(__xludf.DUMMYFUNCTION("""COMPUTED_VALUE"""),"B00BIDDBRC")</f>
        <v>B00BIDDBRC</v>
      </c>
    </row>
    <row r="16">
      <c r="A16" s="6">
        <f>IFERROR(__xludf.DUMMYFUNCTION("""COMPUTED_VALUE"""),45426.0)</f>
        <v>45426</v>
      </c>
      <c r="B16">
        <f>IFERROR(__xludf.DUMMYFUNCTION("""COMPUTED_VALUE"""),22227.0)</f>
        <v>22227</v>
      </c>
      <c r="C16" t="str">
        <f>IFERROR(__xludf.DUMMYFUNCTION("""COMPUTED_VALUE"""),"Clearprint Vellum Sheets with Engineer Title Block, 17x22 Inches, 16 lb., 60 GSM, 1000H 100% Cotton, 100 Sheets/Pack, Translucent White (10221520)")</f>
        <v>Clearprint Vellum Sheets with Engineer Title Block, 17x22 Inches, 16 lb., 60 GSM, 1000H 100% Cotton, 100 Sheets/Pack, Translucent White (10221520)</v>
      </c>
      <c r="D16" t="str">
        <f>IFERROR(__xludf.DUMMYFUNCTION("""COMPUTED_VALUE"""),"B000JM476C")</f>
        <v>B000JM476C</v>
      </c>
      <c r="E16" t="str">
        <f>IFERROR(__xludf.DUMMYFUNCTION("""COMPUTED_VALUE"""),"720362028572")</f>
        <v>720362028572</v>
      </c>
      <c r="F16">
        <f>IFERROR(__xludf.DUMMYFUNCTION("""COMPUTED_VALUE"""),22.0)</f>
        <v>22</v>
      </c>
      <c r="G16">
        <f>IFERROR(__xludf.DUMMYFUNCTION("""COMPUTED_VALUE"""),10000.0)</f>
        <v>10000</v>
      </c>
      <c r="H16" s="2">
        <f>IFERROR(__xludf.DUMMYFUNCTION("""COMPUTED_VALUE"""),97.5)</f>
        <v>97.5</v>
      </c>
      <c r="I16" s="2">
        <f>IFERROR(__xludf.DUMMYFUNCTION("""COMPUTED_VALUE"""),134.71)</f>
        <v>134.71</v>
      </c>
      <c r="J16" s="2">
        <f>IFERROR(__xludf.DUMMYFUNCTION("""COMPUTED_VALUE"""),37.21000000000001)</f>
        <v>37.21</v>
      </c>
      <c r="K16" s="5">
        <f>IFERROR(__xludf.DUMMYFUNCTION("""COMPUTED_VALUE"""),0.3816410256410257)</f>
        <v>0.3816410256</v>
      </c>
      <c r="L16">
        <f>IFERROR(__xludf.DUMMYFUNCTION("""COMPUTED_VALUE"""),90944.0)</f>
        <v>90944</v>
      </c>
      <c r="M16" t="str">
        <f>IFERROR(__xludf.DUMMYFUNCTION("""COMPUTED_VALUE"""),"BISS Basic")</f>
        <v>BISS Basic</v>
      </c>
      <c r="O16" t="str">
        <f>IFERROR(__xludf.DUMMYFUNCTION("""COMPUTED_VALUE"""),"N")</f>
        <v>N</v>
      </c>
      <c r="P16" s="1" t="str">
        <f>IFERROR(__xludf.DUMMYFUNCTION("""COMPUTED_VALUE"""),"ID 22227")</f>
        <v>ID 22227</v>
      </c>
      <c r="Q16" s="1" t="str">
        <f>IFERROR(__xludf.DUMMYFUNCTION("""COMPUTED_VALUE"""),"B000JM476C")</f>
        <v>B000JM476C</v>
      </c>
    </row>
    <row r="17">
      <c r="A17" s="6">
        <f>IFERROR(__xludf.DUMMYFUNCTION("""COMPUTED_VALUE"""),43781.0)</f>
        <v>43781</v>
      </c>
      <c r="B17">
        <f>IFERROR(__xludf.DUMMYFUNCTION("""COMPUTED_VALUE"""),10520.0)</f>
        <v>10520</v>
      </c>
      <c r="C17" t="str">
        <f>IFERROR(__xludf.DUMMYFUNCTION("""COMPUTED_VALUE"""),"Delta Faucet Classic 2-Handle Widespread Roman Tub Faucet Trim Kit, Deck-Mount, Stainless T2705-SS (Valve Not Included)")</f>
        <v>Delta Faucet Classic 2-Handle Widespread Roman Tub Faucet Trim Kit, Deck-Mount, Stainless T2705-SS (Valve Not Included)</v>
      </c>
      <c r="D17" t="str">
        <f>IFERROR(__xludf.DUMMYFUNCTION("""COMPUTED_VALUE"""),"B0040YQEC0")</f>
        <v>B0040YQEC0</v>
      </c>
      <c r="F17">
        <f>IFERROR(__xludf.DUMMYFUNCTION("""COMPUTED_VALUE"""),300.0)</f>
        <v>300</v>
      </c>
      <c r="G17">
        <f>IFERROR(__xludf.DUMMYFUNCTION("""COMPUTED_VALUE"""),307.0)</f>
        <v>307</v>
      </c>
      <c r="H17" s="2">
        <f>IFERROR(__xludf.DUMMYFUNCTION("""COMPUTED_VALUE"""),113.0)</f>
        <v>113</v>
      </c>
      <c r="I17" s="2">
        <f>IFERROR(__xludf.DUMMYFUNCTION("""COMPUTED_VALUE"""),148.47)</f>
        <v>148.47</v>
      </c>
      <c r="J17" s="2">
        <f>IFERROR(__xludf.DUMMYFUNCTION("""COMPUTED_VALUE"""),35.47)</f>
        <v>35.47</v>
      </c>
      <c r="K17" s="5">
        <f>IFERROR(__xludf.DUMMYFUNCTION("""COMPUTED_VALUE"""),0.3138938053097345)</f>
        <v>0.3138938053</v>
      </c>
      <c r="L17">
        <f>IFERROR(__xludf.DUMMYFUNCTION("""COMPUTED_VALUE"""),54950.0)</f>
        <v>54950</v>
      </c>
      <c r="M17" t="str">
        <f>IFERROR(__xludf.DUMMYFUNCTION("""COMPUTED_VALUE"""),"Home Improvement")</f>
        <v>Home Improvement</v>
      </c>
      <c r="O17" t="str">
        <f>IFERROR(__xludf.DUMMYFUNCTION("""COMPUTED_VALUE"""),"Y")</f>
        <v>Y</v>
      </c>
      <c r="P17" s="1" t="str">
        <f>IFERROR(__xludf.DUMMYFUNCTION("""COMPUTED_VALUE"""),"ID 10520")</f>
        <v>ID 10520</v>
      </c>
      <c r="Q17" s="1" t="str">
        <f>IFERROR(__xludf.DUMMYFUNCTION("""COMPUTED_VALUE"""),"B0040YQEC0")</f>
        <v>B0040YQEC0</v>
      </c>
    </row>
    <row r="18">
      <c r="A18" s="6">
        <f>IFERROR(__xludf.DUMMYFUNCTION("""COMPUTED_VALUE"""),44558.0)</f>
        <v>44558</v>
      </c>
      <c r="B18">
        <f>IFERROR(__xludf.DUMMYFUNCTION("""COMPUTED_VALUE"""),23907.0)</f>
        <v>23907</v>
      </c>
      <c r="C18" t="str">
        <f>IFERROR(__xludf.DUMMYFUNCTION("""COMPUTED_VALUE"""),"Five Star Spiral Notebooks, 1 Subject, College Ruled, 11"" x 8-1/2"", Cute Designs Bright Colors, 3 Pack, Design May Vary.")</f>
        <v>Five Star Spiral Notebooks, 1 Subject, College Ruled, 11" x 8-1/2", Cute Designs Bright Colors, 3 Pack, Design May Vary.</v>
      </c>
      <c r="D18" t="str">
        <f>IFERROR(__xludf.DUMMYFUNCTION("""COMPUTED_VALUE"""),"B097YSDC5J")</f>
        <v>B097YSDC5J</v>
      </c>
      <c r="E18" t="str">
        <f>IFERROR(__xludf.DUMMYFUNCTION("""COMPUTED_VALUE"""),"43100060031")</f>
        <v>43100060031</v>
      </c>
      <c r="F18">
        <f>IFERROR(__xludf.DUMMYFUNCTION("""COMPUTED_VALUE"""),2160.0)</f>
        <v>2160</v>
      </c>
      <c r="G18">
        <f>IFERROR(__xludf.DUMMYFUNCTION("""COMPUTED_VALUE"""),5000.0)</f>
        <v>5000</v>
      </c>
      <c r="H18" s="2">
        <f>IFERROR(__xludf.DUMMYFUNCTION("""COMPUTED_VALUE"""),3.75)</f>
        <v>3.75</v>
      </c>
      <c r="I18" s="2">
        <f>IFERROR(__xludf.DUMMYFUNCTION("""COMPUTED_VALUE"""),35.39)</f>
        <v>35.39</v>
      </c>
      <c r="J18" s="2">
        <f>IFERROR(__xludf.DUMMYFUNCTION("""COMPUTED_VALUE"""),31.64)</f>
        <v>31.64</v>
      </c>
      <c r="K18" s="5">
        <f>IFERROR(__xludf.DUMMYFUNCTION("""COMPUTED_VALUE"""),8.437333333333333)</f>
        <v>8.437333333</v>
      </c>
      <c r="L18">
        <f>IFERROR(__xludf.DUMMYFUNCTION("""COMPUTED_VALUE"""),97949.0)</f>
        <v>97949</v>
      </c>
      <c r="M18" t="str">
        <f>IFERROR(__xludf.DUMMYFUNCTION("""COMPUTED_VALUE"""),"Office Product")</f>
        <v>Office Product</v>
      </c>
      <c r="N18" t="str">
        <f>IFERROR(__xludf.DUMMYFUNCTION("""COMPUTED_VALUE"""),"Promo: OSMI")</f>
        <v>Promo: OSMI</v>
      </c>
      <c r="O18" t="str">
        <f>IFERROR(__xludf.DUMMYFUNCTION("""COMPUTED_VALUE"""),"N")</f>
        <v>N</v>
      </c>
      <c r="P18" s="1" t="str">
        <f>IFERROR(__xludf.DUMMYFUNCTION("""COMPUTED_VALUE"""),"ID 23907")</f>
        <v>ID 23907</v>
      </c>
      <c r="Q18" s="1" t="str">
        <f>IFERROR(__xludf.DUMMYFUNCTION("""COMPUTED_VALUE"""),"B097YSDC5J")</f>
        <v>B097YSDC5J</v>
      </c>
    </row>
    <row r="19">
      <c r="A19" s="6">
        <f>IFERROR(__xludf.DUMMYFUNCTION("""COMPUTED_VALUE"""),44763.0)</f>
        <v>44763</v>
      </c>
      <c r="B19">
        <f>IFERROR(__xludf.DUMMYFUNCTION("""COMPUTED_VALUE"""),21255.0)</f>
        <v>21255</v>
      </c>
      <c r="C19" t="str">
        <f>IFERROR(__xludf.DUMMYFUNCTION("""COMPUTED_VALUE"""),"Mario &amp; Luigi: Paper Jam (Nintendo 3DS)")</f>
        <v>Mario &amp; Luigi: Paper Jam (Nintendo 3DS)</v>
      </c>
      <c r="D19" t="str">
        <f>IFERROR(__xludf.DUMMYFUNCTION("""COMPUTED_VALUE"""),"B00ZGEXYSA")</f>
        <v>B00ZGEXYSA</v>
      </c>
      <c r="E19" t="str">
        <f>IFERROR(__xludf.DUMMYFUNCTION("""COMPUTED_VALUE"""),"045496529512")</f>
        <v>045496529512</v>
      </c>
      <c r="F19">
        <f>IFERROR(__xludf.DUMMYFUNCTION("""COMPUTED_VALUE"""),160.0)</f>
        <v>160</v>
      </c>
      <c r="G19">
        <f>IFERROR(__xludf.DUMMYFUNCTION("""COMPUTED_VALUE"""),285.0)</f>
        <v>285</v>
      </c>
      <c r="H19" s="2">
        <f>IFERROR(__xludf.DUMMYFUNCTION("""COMPUTED_VALUE"""),32.5)</f>
        <v>32.5</v>
      </c>
      <c r="I19" s="2">
        <f>IFERROR(__xludf.DUMMYFUNCTION("""COMPUTED_VALUE"""),63.03)</f>
        <v>63.03</v>
      </c>
      <c r="J19" s="2">
        <f>IFERROR(__xludf.DUMMYFUNCTION("""COMPUTED_VALUE"""),30.53)</f>
        <v>30.53</v>
      </c>
      <c r="K19" s="5">
        <f>IFERROR(__xludf.DUMMYFUNCTION("""COMPUTED_VALUE"""),0.9393846153846154)</f>
        <v>0.9393846154</v>
      </c>
      <c r="L19">
        <f>IFERROR(__xludf.DUMMYFUNCTION("""COMPUTED_VALUE"""),99812.0)</f>
        <v>99812</v>
      </c>
      <c r="M19" t="str">
        <f>IFERROR(__xludf.DUMMYFUNCTION("""COMPUTED_VALUE"""),"Video Games")</f>
        <v>Video Games</v>
      </c>
      <c r="N19" t="str">
        <f>IFERROR(__xludf.DUMMYFUNCTION("""COMPUTED_VALUE"""),"ENG/GER/FRE/SPA/ITA/DUT/POR/RUS")</f>
        <v>ENG/GER/FRE/SPA/ITA/DUT/POR/RUS</v>
      </c>
      <c r="O19" t="str">
        <f>IFERROR(__xludf.DUMMYFUNCTION("""COMPUTED_VALUE"""),"N")</f>
        <v>N</v>
      </c>
      <c r="P19" s="1" t="str">
        <f>IFERROR(__xludf.DUMMYFUNCTION("""COMPUTED_VALUE"""),"ID 21255")</f>
        <v>ID 21255</v>
      </c>
      <c r="Q19" s="1" t="str">
        <f>IFERROR(__xludf.DUMMYFUNCTION("""COMPUTED_VALUE"""),"B00ZGEXYSA")</f>
        <v>B00ZGEXYSA</v>
      </c>
    </row>
    <row r="20">
      <c r="A20" s="6">
        <f>IFERROR(__xludf.DUMMYFUNCTION("""COMPUTED_VALUE"""),45408.0)</f>
        <v>45408</v>
      </c>
      <c r="B20">
        <f>IFERROR(__xludf.DUMMYFUNCTION("""COMPUTED_VALUE"""),24587.0)</f>
        <v>24587</v>
      </c>
      <c r="C20" t="str">
        <f>IFERROR(__xludf.DUMMYFUNCTION("""COMPUTED_VALUE"""),"PARKER Sonnet Ballpoint Pen, Matte Black Lacquer with Gold Trim, Medium Point Black Ink (1931519)")</f>
        <v>PARKER Sonnet Ballpoint Pen, Matte Black Lacquer with Gold Trim, Medium Point Black Ink (1931519)</v>
      </c>
      <c r="D20" t="str">
        <f>IFERROR(__xludf.DUMMYFUNCTION("""COMPUTED_VALUE"""),"B015N3QYA8")</f>
        <v>B015N3QYA8</v>
      </c>
      <c r="E20" t="str">
        <f>IFERROR(__xludf.DUMMYFUNCTION("""COMPUTED_VALUE"""),"3501179315195")</f>
        <v>3501179315195</v>
      </c>
      <c r="F20">
        <f>IFERROR(__xludf.DUMMYFUNCTION("""COMPUTED_VALUE"""),47.0)</f>
        <v>47</v>
      </c>
      <c r="G20">
        <f>IFERROR(__xludf.DUMMYFUNCTION("""COMPUTED_VALUE"""),47.0)</f>
        <v>47</v>
      </c>
      <c r="H20" s="2">
        <f>IFERROR(__xludf.DUMMYFUNCTION("""COMPUTED_VALUE"""),65.25)</f>
        <v>65.25</v>
      </c>
      <c r="I20" s="2">
        <f>IFERROR(__xludf.DUMMYFUNCTION("""COMPUTED_VALUE"""),93.2)</f>
        <v>93.2</v>
      </c>
      <c r="J20" s="2">
        <f>IFERROR(__xludf.DUMMYFUNCTION("""COMPUTED_VALUE"""),27.950000000000003)</f>
        <v>27.95</v>
      </c>
      <c r="K20" s="5">
        <f>IFERROR(__xludf.DUMMYFUNCTION("""COMPUTED_VALUE"""),0.42835249042145596)</f>
        <v>0.4283524904</v>
      </c>
      <c r="L20">
        <f>IFERROR(__xludf.DUMMYFUNCTION("""COMPUTED_VALUE"""),34289.0)</f>
        <v>34289</v>
      </c>
      <c r="M20" t="str">
        <f>IFERROR(__xludf.DUMMYFUNCTION("""COMPUTED_VALUE"""),"Office Product")</f>
        <v>Office Product</v>
      </c>
      <c r="O20" t="str">
        <f>IFERROR(__xludf.DUMMYFUNCTION("""COMPUTED_VALUE"""),"Y")</f>
        <v>Y</v>
      </c>
      <c r="P20" s="1" t="str">
        <f>IFERROR(__xludf.DUMMYFUNCTION("""COMPUTED_VALUE"""),"ID 24587")</f>
        <v>ID 24587</v>
      </c>
      <c r="Q20" s="1" t="str">
        <f>IFERROR(__xludf.DUMMYFUNCTION("""COMPUTED_VALUE"""),"B015N3QYA8")</f>
        <v>B015N3QYA8</v>
      </c>
    </row>
    <row r="21">
      <c r="A21" s="6">
        <f>IFERROR(__xludf.DUMMYFUNCTION("""COMPUTED_VALUE"""),44585.0)</f>
        <v>44585</v>
      </c>
      <c r="B21">
        <f>IFERROR(__xludf.DUMMYFUNCTION("""COMPUTED_VALUE"""),20576.0)</f>
        <v>20576</v>
      </c>
      <c r="C21" t="str">
        <f>IFERROR(__xludf.DUMMYFUNCTION("""COMPUTED_VALUE"""),"Samsung Galaxy Buds Live, True Wireless Earbuds W/Active Noise Cancelling (Wireless Charging Case Included), Mystic Black (US Version)")</f>
        <v>Samsung Galaxy Buds Live, True Wireless Earbuds W/Active Noise Cancelling (Wireless Charging Case Included), Mystic Black (US Version)</v>
      </c>
      <c r="D21" t="str">
        <f>IFERROR(__xludf.DUMMYFUNCTION("""COMPUTED_VALUE"""),"B089B658NP")</f>
        <v>B089B658NP</v>
      </c>
      <c r="E21" t="str">
        <f>IFERROR(__xludf.DUMMYFUNCTION("""COMPUTED_VALUE"""),"887276420707")</f>
        <v>887276420707</v>
      </c>
      <c r="F21">
        <f>IFERROR(__xludf.DUMMYFUNCTION("""COMPUTED_VALUE"""),20.0)</f>
        <v>20</v>
      </c>
      <c r="G21">
        <f>IFERROR(__xludf.DUMMYFUNCTION("""COMPUTED_VALUE"""),1000.0)</f>
        <v>1000</v>
      </c>
      <c r="H21" s="2">
        <f>IFERROR(__xludf.DUMMYFUNCTION("""COMPUTED_VALUE"""),119.25)</f>
        <v>119.25</v>
      </c>
      <c r="I21" s="2">
        <f>IFERROR(__xludf.DUMMYFUNCTION("""COMPUTED_VALUE"""),145.37)</f>
        <v>145.37</v>
      </c>
      <c r="J21" s="2">
        <f>IFERROR(__xludf.DUMMYFUNCTION("""COMPUTED_VALUE"""),26.120000000000005)</f>
        <v>26.12</v>
      </c>
      <c r="K21" s="5">
        <f>IFERROR(__xludf.DUMMYFUNCTION("""COMPUTED_VALUE"""),0.21903563941299795)</f>
        <v>0.2190356394</v>
      </c>
      <c r="L21">
        <f>IFERROR(__xludf.DUMMYFUNCTION("""COMPUTED_VALUE"""),9136.0)</f>
        <v>9136</v>
      </c>
      <c r="M21" t="str">
        <f>IFERROR(__xludf.DUMMYFUNCTION("""COMPUTED_VALUE"""),"Wireless")</f>
        <v>Wireless</v>
      </c>
      <c r="O21" t="str">
        <f>IFERROR(__xludf.DUMMYFUNCTION("""COMPUTED_VALUE"""),"N")</f>
        <v>N</v>
      </c>
      <c r="P21" s="1" t="str">
        <f>IFERROR(__xludf.DUMMYFUNCTION("""COMPUTED_VALUE"""),"ID 20576")</f>
        <v>ID 20576</v>
      </c>
      <c r="Q21" s="1" t="str">
        <f>IFERROR(__xludf.DUMMYFUNCTION("""COMPUTED_VALUE"""),"B089B658NP")</f>
        <v>B089B658NP</v>
      </c>
    </row>
    <row r="22">
      <c r="A22" s="6">
        <f>IFERROR(__xludf.DUMMYFUNCTION("""COMPUTED_VALUE"""),45043.0)</f>
        <v>45043</v>
      </c>
      <c r="B22">
        <f>IFERROR(__xludf.DUMMYFUNCTION("""COMPUTED_VALUE"""),21148.0)</f>
        <v>21148</v>
      </c>
      <c r="C22" t="str">
        <f>IFERROR(__xludf.DUMMYFUNCTION("""COMPUTED_VALUE"""),"L'Homme L'Eau by Prada Eau de Toilette Spray 50ml")</f>
        <v>L'Homme L'Eau by Prada Eau de Toilette Spray 50ml</v>
      </c>
      <c r="D22" t="str">
        <f>IFERROR(__xludf.DUMMYFUNCTION("""COMPUTED_VALUE"""),"B07BB1V7X8")</f>
        <v>B07BB1V7X8</v>
      </c>
      <c r="E22" t="str">
        <f>IFERROR(__xludf.DUMMYFUNCTION("""COMPUTED_VALUE"""),"8435137765393")</f>
        <v>8435137765393</v>
      </c>
      <c r="F22">
        <f>IFERROR(__xludf.DUMMYFUNCTION("""COMPUTED_VALUE"""),30.0)</f>
        <v>30</v>
      </c>
      <c r="G22">
        <f>IFERROR(__xludf.DUMMYFUNCTION("""COMPUTED_VALUE"""),10000.0)</f>
        <v>10000</v>
      </c>
      <c r="H22" s="2">
        <f>IFERROR(__xludf.DUMMYFUNCTION("""COMPUTED_VALUE"""),68.25)</f>
        <v>68.25</v>
      </c>
      <c r="I22" s="2">
        <f>IFERROR(__xludf.DUMMYFUNCTION("""COMPUTED_VALUE"""),92.17)</f>
        <v>92.17</v>
      </c>
      <c r="J22" s="2">
        <f>IFERROR(__xludf.DUMMYFUNCTION("""COMPUTED_VALUE"""),23.92)</f>
        <v>23.92</v>
      </c>
      <c r="K22" s="5">
        <f>IFERROR(__xludf.DUMMYFUNCTION("""COMPUTED_VALUE"""),0.3504761904761905)</f>
        <v>0.3504761905</v>
      </c>
      <c r="L22">
        <f>IFERROR(__xludf.DUMMYFUNCTION("""COMPUTED_VALUE"""),83517.0)</f>
        <v>83517</v>
      </c>
      <c r="M22" t="str">
        <f>IFERROR(__xludf.DUMMYFUNCTION("""COMPUTED_VALUE"""),"Beauty")</f>
        <v>Beauty</v>
      </c>
      <c r="O22" t="str">
        <f>IFERROR(__xludf.DUMMYFUNCTION("""COMPUTED_VALUE"""),"N")</f>
        <v>N</v>
      </c>
      <c r="P22" s="1" t="str">
        <f>IFERROR(__xludf.DUMMYFUNCTION("""COMPUTED_VALUE"""),"ID 21148")</f>
        <v>ID 21148</v>
      </c>
      <c r="Q22" s="1" t="str">
        <f>IFERROR(__xludf.DUMMYFUNCTION("""COMPUTED_VALUE"""),"B07BB1V7X8")</f>
        <v>B07BB1V7X8</v>
      </c>
    </row>
    <row r="23">
      <c r="A23" s="6">
        <f>IFERROR(__xludf.DUMMYFUNCTION("""COMPUTED_VALUE"""),44957.0)</f>
        <v>44957</v>
      </c>
      <c r="B23">
        <f>IFERROR(__xludf.DUMMYFUNCTION("""COMPUTED_VALUE"""),17023.0)</f>
        <v>17023</v>
      </c>
      <c r="C23" t="str">
        <f>IFERROR(__xludf.DUMMYFUNCTION("""COMPUTED_VALUE"""),"BVLGARI Omnia Amethyste Eau de Toilette Splash, 1.40 Fl Oz")</f>
        <v>BVLGARI Omnia Amethyste Eau de Toilette Splash, 1.40 Fl Oz</v>
      </c>
      <c r="D23" t="str">
        <f>IFERROR(__xludf.DUMMYFUNCTION("""COMPUTED_VALUE"""),"B0012RX16K")</f>
        <v>B0012RX16K</v>
      </c>
      <c r="E23" t="str">
        <f>IFERROR(__xludf.DUMMYFUNCTION("""COMPUTED_VALUE"""),"783320952111")</f>
        <v>783320952111</v>
      </c>
      <c r="F23">
        <f>IFERROR(__xludf.DUMMYFUNCTION("""COMPUTED_VALUE"""),40.0)</f>
        <v>40</v>
      </c>
      <c r="G23">
        <f>IFERROR(__xludf.DUMMYFUNCTION("""COMPUTED_VALUE"""),10000.0)</f>
        <v>10000</v>
      </c>
      <c r="H23" s="2">
        <f>IFERROR(__xludf.DUMMYFUNCTION("""COMPUTED_VALUE"""),41.25)</f>
        <v>41.25</v>
      </c>
      <c r="I23" s="2">
        <f>IFERROR(__xludf.DUMMYFUNCTION("""COMPUTED_VALUE"""),65.08)</f>
        <v>65.08</v>
      </c>
      <c r="J23" s="2">
        <f>IFERROR(__xludf.DUMMYFUNCTION("""COMPUTED_VALUE"""),23.83)</f>
        <v>23.83</v>
      </c>
      <c r="K23" s="5">
        <f>IFERROR(__xludf.DUMMYFUNCTION("""COMPUTED_VALUE"""),0.5776969696969697)</f>
        <v>0.5776969697</v>
      </c>
      <c r="L23">
        <f>IFERROR(__xludf.DUMMYFUNCTION("""COMPUTED_VALUE"""),51815.0)</f>
        <v>51815</v>
      </c>
      <c r="M23" t="str">
        <f>IFERROR(__xludf.DUMMYFUNCTION("""COMPUTED_VALUE"""),"Beauty")</f>
        <v>Beauty</v>
      </c>
      <c r="O23" t="str">
        <f>IFERROR(__xludf.DUMMYFUNCTION("""COMPUTED_VALUE"""),"N")</f>
        <v>N</v>
      </c>
      <c r="P23" s="1" t="str">
        <f>IFERROR(__xludf.DUMMYFUNCTION("""COMPUTED_VALUE"""),"ID 17023")</f>
        <v>ID 17023</v>
      </c>
      <c r="Q23" s="1" t="str">
        <f>IFERROR(__xludf.DUMMYFUNCTION("""COMPUTED_VALUE"""),"B0012RX16K")</f>
        <v>B0012RX16K</v>
      </c>
    </row>
    <row r="24">
      <c r="A24" s="6">
        <f>IFERROR(__xludf.DUMMYFUNCTION("""COMPUTED_VALUE"""),45420.0)</f>
        <v>45420</v>
      </c>
      <c r="B24">
        <f>IFERROR(__xludf.DUMMYFUNCTION("""COMPUTED_VALUE"""),25507.0)</f>
        <v>25507</v>
      </c>
      <c r="C24" t="str">
        <f>IFERROR(__xludf.DUMMYFUNCTION("""COMPUTED_VALUE"""),"Xyron Repositionable Adhesive Refill for Creative Station, 9"" x 40', Refill-Cartridge for Label Maker, Laminator Machine, Scrapbooking Supplies, Home Office &amp; Home School Craft Supplies (AT906-40)")</f>
        <v>Xyron Repositionable Adhesive Refill for Creative Station, 9" x 40', Refill-Cartridge for Label Maker, Laminator Machine, Scrapbooking Supplies, Home Office &amp; Home School Craft Supplies (AT906-40)</v>
      </c>
      <c r="D24" t="str">
        <f>IFERROR(__xludf.DUMMYFUNCTION("""COMPUTED_VALUE"""),"B000E148DK")</f>
        <v>B000E148DK</v>
      </c>
      <c r="E24" t="str">
        <f>IFERROR(__xludf.DUMMYFUNCTION("""COMPUTED_VALUE"""),"608931003314")</f>
        <v>608931003314</v>
      </c>
      <c r="F24">
        <f>IFERROR(__xludf.DUMMYFUNCTION("""COMPUTED_VALUE"""),84.0)</f>
        <v>84</v>
      </c>
      <c r="G24">
        <f>IFERROR(__xludf.DUMMYFUNCTION("""COMPUTED_VALUE"""),10000.0)</f>
        <v>10000</v>
      </c>
      <c r="H24" s="2">
        <f>IFERROR(__xludf.DUMMYFUNCTION("""COMPUTED_VALUE"""),30.5)</f>
        <v>30.5</v>
      </c>
      <c r="I24" s="2">
        <f>IFERROR(__xludf.DUMMYFUNCTION("""COMPUTED_VALUE"""),53.8)</f>
        <v>53.8</v>
      </c>
      <c r="J24" s="2">
        <f>IFERROR(__xludf.DUMMYFUNCTION("""COMPUTED_VALUE"""),23.299999999999997)</f>
        <v>23.3</v>
      </c>
      <c r="K24" s="5">
        <f>IFERROR(__xludf.DUMMYFUNCTION("""COMPUTED_VALUE"""),0.7639344262295081)</f>
        <v>0.7639344262</v>
      </c>
      <c r="L24">
        <f>IFERROR(__xludf.DUMMYFUNCTION("""COMPUTED_VALUE"""),10704.0)</f>
        <v>10704</v>
      </c>
      <c r="M24" t="str">
        <f>IFERROR(__xludf.DUMMYFUNCTION("""COMPUTED_VALUE"""),"Office Product")</f>
        <v>Office Product</v>
      </c>
      <c r="N24" t="str">
        <f>IFERROR(__xludf.DUMMYFUNCTION("""COMPUTED_VALUE"""),"ETA 7/17/2024")</f>
        <v>ETA 7/17/2024</v>
      </c>
      <c r="O24" t="str">
        <f>IFERROR(__xludf.DUMMYFUNCTION("""COMPUTED_VALUE"""),"N")</f>
        <v>N</v>
      </c>
      <c r="P24" s="1" t="str">
        <f>IFERROR(__xludf.DUMMYFUNCTION("""COMPUTED_VALUE"""),"ID 25507")</f>
        <v>ID 25507</v>
      </c>
      <c r="Q24" s="1" t="str">
        <f>IFERROR(__xludf.DUMMYFUNCTION("""COMPUTED_VALUE"""),"B000E148DK")</f>
        <v>B000E148DK</v>
      </c>
    </row>
    <row r="25">
      <c r="A25" s="6">
        <f>IFERROR(__xludf.DUMMYFUNCTION("""COMPUTED_VALUE"""),44685.0)</f>
        <v>44685</v>
      </c>
      <c r="B25">
        <f>IFERROR(__xludf.DUMMYFUNCTION("""COMPUTED_VALUE"""),24214.0)</f>
        <v>24214</v>
      </c>
      <c r="C25" t="str">
        <f>IFERROR(__xludf.DUMMYFUNCTION("""COMPUTED_VALUE"""),"Moschino Moschino Fresh Couture By Moschino for Women - 3 Pc Gift Set 5ml Edt Splash, 0.8oz Bath &amp; Shower Gel, 0.8oz Body Lotion, 3count")</f>
        <v>Moschino Moschino Fresh Couture By Moschino for Women - 3 Pc Gift Set 5ml Edt Splash, 0.8oz Bath &amp; Shower Gel, 0.8oz Body Lotion, 3count</v>
      </c>
      <c r="D25" t="str">
        <f>IFERROR(__xludf.DUMMYFUNCTION("""COMPUTED_VALUE"""),"B01N2M0DXX")</f>
        <v>B01N2M0DXX</v>
      </c>
      <c r="E25" t="str">
        <f>IFERROR(__xludf.DUMMYFUNCTION("""COMPUTED_VALUE"""),"8011003827909")</f>
        <v>8011003827909</v>
      </c>
      <c r="F25">
        <f>IFERROR(__xludf.DUMMYFUNCTION("""COMPUTED_VALUE"""),120.0)</f>
        <v>120</v>
      </c>
      <c r="G25">
        <f>IFERROR(__xludf.DUMMYFUNCTION("""COMPUTED_VALUE"""),1000.0)</f>
        <v>1000</v>
      </c>
      <c r="H25" s="2">
        <f>IFERROR(__xludf.DUMMYFUNCTION("""COMPUTED_VALUE"""),11.25)</f>
        <v>11.25</v>
      </c>
      <c r="I25" s="2">
        <f>IFERROR(__xludf.DUMMYFUNCTION("""COMPUTED_VALUE"""),33.26)</f>
        <v>33.26</v>
      </c>
      <c r="J25" s="2">
        <f>IFERROR(__xludf.DUMMYFUNCTION("""COMPUTED_VALUE"""),22.009999999999998)</f>
        <v>22.01</v>
      </c>
      <c r="K25" s="5">
        <f>IFERROR(__xludf.DUMMYFUNCTION("""COMPUTED_VALUE"""),1.9564444444444442)</f>
        <v>1.956444444</v>
      </c>
      <c r="L25">
        <f>IFERROR(__xludf.DUMMYFUNCTION("""COMPUTED_VALUE"""),76431.0)</f>
        <v>76431</v>
      </c>
      <c r="M25" t="str">
        <f>IFERROR(__xludf.DUMMYFUNCTION("""COMPUTED_VALUE"""),"Beauty")</f>
        <v>Beauty</v>
      </c>
      <c r="O25" t="str">
        <f>IFERROR(__xludf.DUMMYFUNCTION("""COMPUTED_VALUE"""),"N")</f>
        <v>N</v>
      </c>
      <c r="P25" s="1" t="str">
        <f>IFERROR(__xludf.DUMMYFUNCTION("""COMPUTED_VALUE"""),"ID 24214")</f>
        <v>ID 24214</v>
      </c>
      <c r="Q25" s="1" t="str">
        <f>IFERROR(__xludf.DUMMYFUNCTION("""COMPUTED_VALUE"""),"B01N2M0DXX")</f>
        <v>B01N2M0DXX</v>
      </c>
    </row>
    <row r="26">
      <c r="A26" s="6">
        <f>IFERROR(__xludf.DUMMYFUNCTION("""COMPUTED_VALUE"""),45175.0)</f>
        <v>45175</v>
      </c>
      <c r="B26">
        <f>IFERROR(__xludf.DUMMYFUNCTION("""COMPUTED_VALUE"""),20799.0)</f>
        <v>20799</v>
      </c>
      <c r="C26" t="str">
        <f>IFERROR(__xludf.DUMMYFUNCTION("""COMPUTED_VALUE"""),"Giorgio Armani Code Men's 2.5 Fl Oz Eau de Toilette Spray (Plain Box Packaging)")</f>
        <v>Giorgio Armani Code Men's 2.5 Fl Oz Eau de Toilette Spray (Plain Box Packaging)</v>
      </c>
      <c r="D26" t="str">
        <f>IFERROR(__xludf.DUMMYFUNCTION("""COMPUTED_VALUE"""),"B001DLBTVY")</f>
        <v>B001DLBTVY</v>
      </c>
      <c r="E26" t="str">
        <f>IFERROR(__xludf.DUMMYFUNCTION("""COMPUTED_VALUE"""),"3605520297939")</f>
        <v>3605520297939</v>
      </c>
      <c r="F26">
        <f>IFERROR(__xludf.DUMMYFUNCTION("""COMPUTED_VALUE"""),30.0)</f>
        <v>30</v>
      </c>
      <c r="G26">
        <f>IFERROR(__xludf.DUMMYFUNCTION("""COMPUTED_VALUE"""),10000.0)</f>
        <v>10000</v>
      </c>
      <c r="H26" s="2">
        <f>IFERROR(__xludf.DUMMYFUNCTION("""COMPUTED_VALUE"""),50.0)</f>
        <v>50</v>
      </c>
      <c r="I26" s="2">
        <f>IFERROR(__xludf.DUMMYFUNCTION("""COMPUTED_VALUE"""),70.69)</f>
        <v>70.69</v>
      </c>
      <c r="J26" s="2">
        <f>IFERROR(__xludf.DUMMYFUNCTION("""COMPUTED_VALUE"""),20.689999999999998)</f>
        <v>20.69</v>
      </c>
      <c r="K26" s="5">
        <f>IFERROR(__xludf.DUMMYFUNCTION("""COMPUTED_VALUE"""),0.41379999999999995)</f>
        <v>0.4138</v>
      </c>
      <c r="L26">
        <f>IFERROR(__xludf.DUMMYFUNCTION("""COMPUTED_VALUE"""),37498.0)</f>
        <v>37498</v>
      </c>
      <c r="M26" t="str">
        <f>IFERROR(__xludf.DUMMYFUNCTION("""COMPUTED_VALUE"""),"Beauty")</f>
        <v>Beauty</v>
      </c>
      <c r="O26" t="str">
        <f>IFERROR(__xludf.DUMMYFUNCTION("""COMPUTED_VALUE"""),"N")</f>
        <v>N</v>
      </c>
      <c r="P26" s="1" t="str">
        <f>IFERROR(__xludf.DUMMYFUNCTION("""COMPUTED_VALUE"""),"ID 20799")</f>
        <v>ID 20799</v>
      </c>
      <c r="Q26" s="1" t="str">
        <f>IFERROR(__xludf.DUMMYFUNCTION("""COMPUTED_VALUE"""),"B001DLBTVY")</f>
        <v>B001DLBTVY</v>
      </c>
    </row>
    <row r="27">
      <c r="A27" s="6">
        <f>IFERROR(__xludf.DUMMYFUNCTION("""COMPUTED_VALUE"""),44439.0)</f>
        <v>44439</v>
      </c>
      <c r="B27">
        <f>IFERROR(__xludf.DUMMYFUNCTION("""COMPUTED_VALUE"""),18301.0)</f>
        <v>18301</v>
      </c>
      <c r="C27" t="str">
        <f>IFERROR(__xludf.DUMMYFUNCTION("""COMPUTED_VALUE"""),"Kensington USB Port Lock with Cable Guard, Square, K67720US")</f>
        <v>Kensington USB Port Lock with Cable Guard, Square, K67720US</v>
      </c>
      <c r="D27" t="str">
        <f>IFERROR(__xludf.DUMMYFUNCTION("""COMPUTED_VALUE"""),"B001XUQP64")</f>
        <v>B001XUQP64</v>
      </c>
      <c r="E27" t="str">
        <f>IFERROR(__xludf.DUMMYFUNCTION("""COMPUTED_VALUE"""),"85896677208")</f>
        <v>85896677208</v>
      </c>
      <c r="F27">
        <f>IFERROR(__xludf.DUMMYFUNCTION("""COMPUTED_VALUE"""),200.0)</f>
        <v>200</v>
      </c>
      <c r="G27">
        <f>IFERROR(__xludf.DUMMYFUNCTION("""COMPUTED_VALUE"""),5000.0)</f>
        <v>5000</v>
      </c>
      <c r="H27" s="2">
        <f>IFERROR(__xludf.DUMMYFUNCTION("""COMPUTED_VALUE"""),12.8)</f>
        <v>12.8</v>
      </c>
      <c r="I27" s="2">
        <f>IFERROR(__xludf.DUMMYFUNCTION("""COMPUTED_VALUE"""),32.85)</f>
        <v>32.85</v>
      </c>
      <c r="J27" s="2">
        <f>IFERROR(__xludf.DUMMYFUNCTION("""COMPUTED_VALUE"""),20.05)</f>
        <v>20.05</v>
      </c>
      <c r="K27" s="5">
        <f>IFERROR(__xludf.DUMMYFUNCTION("""COMPUTED_VALUE"""),1.56640625)</f>
        <v>1.56640625</v>
      </c>
      <c r="L27">
        <f>IFERROR(__xludf.DUMMYFUNCTION("""COMPUTED_VALUE"""),76846.0)</f>
        <v>76846</v>
      </c>
      <c r="M27" t="str">
        <f>IFERROR(__xludf.DUMMYFUNCTION("""COMPUTED_VALUE"""),"Speakers")</f>
        <v>Speakers</v>
      </c>
      <c r="O27" t="str">
        <f>IFERROR(__xludf.DUMMYFUNCTION("""COMPUTED_VALUE"""),"N")</f>
        <v>N</v>
      </c>
      <c r="P27" s="1" t="str">
        <f>IFERROR(__xludf.DUMMYFUNCTION("""COMPUTED_VALUE"""),"ID 18301")</f>
        <v>ID 18301</v>
      </c>
      <c r="Q27" s="1" t="str">
        <f>IFERROR(__xludf.DUMMYFUNCTION("""COMPUTED_VALUE"""),"B001XUQP64")</f>
        <v>B001XUQP64</v>
      </c>
    </row>
    <row r="28">
      <c r="A28" s="6">
        <f>IFERROR(__xludf.DUMMYFUNCTION("""COMPUTED_VALUE"""),45376.0)</f>
        <v>45376</v>
      </c>
      <c r="B28">
        <f>IFERROR(__xludf.DUMMYFUNCTION("""COMPUTED_VALUE"""),24080.0)</f>
        <v>24080</v>
      </c>
      <c r="C28" t="str">
        <f>IFERROR(__xludf.DUMMYFUNCTION("""COMPUTED_VALUE"""),"Fadeless Bulletin Board Art Paper, Sunset Gold, 48"" x 12', 1 Roll")</f>
        <v>Fadeless Bulletin Board Art Paper, Sunset Gold, 48" x 12', 1 Roll</v>
      </c>
      <c r="D28" t="str">
        <f>IFERROR(__xludf.DUMMYFUNCTION("""COMPUTED_VALUE"""),"B00ZITX8CA")</f>
        <v>B00ZITX8CA</v>
      </c>
      <c r="E28" t="str">
        <f>IFERROR(__xludf.DUMMYFUNCTION("""COMPUTED_VALUE"""),"029444578883")</f>
        <v>029444578883</v>
      </c>
      <c r="F28">
        <f>IFERROR(__xludf.DUMMYFUNCTION("""COMPUTED_VALUE"""),596.0)</f>
        <v>596</v>
      </c>
      <c r="G28">
        <f>IFERROR(__xludf.DUMMYFUNCTION("""COMPUTED_VALUE"""),10000.0)</f>
        <v>10000</v>
      </c>
      <c r="H28" s="2">
        <f>IFERROR(__xludf.DUMMYFUNCTION("""COMPUTED_VALUE"""),6.0)</f>
        <v>6</v>
      </c>
      <c r="I28" s="2">
        <f>IFERROR(__xludf.DUMMYFUNCTION("""COMPUTED_VALUE"""),25.63)</f>
        <v>25.63</v>
      </c>
      <c r="J28" s="2">
        <f>IFERROR(__xludf.DUMMYFUNCTION("""COMPUTED_VALUE"""),19.63)</f>
        <v>19.63</v>
      </c>
      <c r="K28" s="5">
        <f>IFERROR(__xludf.DUMMYFUNCTION("""COMPUTED_VALUE"""),3.2716666666666665)</f>
        <v>3.271666667</v>
      </c>
      <c r="L28">
        <f>IFERROR(__xludf.DUMMYFUNCTION("""COMPUTED_VALUE"""),3001.0)</f>
        <v>3001</v>
      </c>
      <c r="M28" t="str">
        <f>IFERROR(__xludf.DUMMYFUNCTION("""COMPUTED_VALUE"""),"Art and Craft Supply")</f>
        <v>Art and Craft Supply</v>
      </c>
      <c r="O28" t="str">
        <f>IFERROR(__xludf.DUMMYFUNCTION("""COMPUTED_VALUE"""),"Y")</f>
        <v>Y</v>
      </c>
      <c r="P28" s="1" t="str">
        <f>IFERROR(__xludf.DUMMYFUNCTION("""COMPUTED_VALUE"""),"ID 24080")</f>
        <v>ID 24080</v>
      </c>
      <c r="Q28" s="1" t="str">
        <f>IFERROR(__xludf.DUMMYFUNCTION("""COMPUTED_VALUE"""),"B00ZITX8CA")</f>
        <v>B00ZITX8CA</v>
      </c>
    </row>
    <row r="29">
      <c r="A29" s="6">
        <f>IFERROR(__xludf.DUMMYFUNCTION("""COMPUTED_VALUE"""),43762.0)</f>
        <v>43762</v>
      </c>
      <c r="B29">
        <f>IFERROR(__xludf.DUMMYFUNCTION("""COMPUTED_VALUE"""),3488.0)</f>
        <v>3488</v>
      </c>
      <c r="C29" t="str">
        <f>IFERROR(__xludf.DUMMYFUNCTION("""COMPUTED_VALUE"""),"Audio-Technica ATH-AG1X Closed Back High-Fidelity Gaming Headset")</f>
        <v>Audio-Technica ATH-AG1X Closed Back High-Fidelity Gaming Headset</v>
      </c>
      <c r="D29" t="str">
        <f>IFERROR(__xludf.DUMMYFUNCTION("""COMPUTED_VALUE"""),"B01AYZZUDC")</f>
        <v>B01AYZZUDC</v>
      </c>
      <c r="E29" t="str">
        <f>IFERROR(__xludf.DUMMYFUNCTION("""COMPUTED_VALUE"""),"4961310133214")</f>
        <v>4961310133214</v>
      </c>
      <c r="F29">
        <f>IFERROR(__xludf.DUMMYFUNCTION("""COMPUTED_VALUE"""),100.0)</f>
        <v>100</v>
      </c>
      <c r="G29">
        <f>IFERROR(__xludf.DUMMYFUNCTION("""COMPUTED_VALUE"""),500.0)</f>
        <v>500</v>
      </c>
      <c r="H29" s="2">
        <f>IFERROR(__xludf.DUMMYFUNCTION("""COMPUTED_VALUE"""),150.0)</f>
        <v>150</v>
      </c>
      <c r="I29" s="2">
        <f>IFERROR(__xludf.DUMMYFUNCTION("""COMPUTED_VALUE"""),168.87)</f>
        <v>168.87</v>
      </c>
      <c r="J29" s="2">
        <f>IFERROR(__xludf.DUMMYFUNCTION("""COMPUTED_VALUE"""),18.870000000000005)</f>
        <v>18.87</v>
      </c>
      <c r="K29" s="5">
        <f>IFERROR(__xludf.DUMMYFUNCTION("""COMPUTED_VALUE"""),0.12580000000000002)</f>
        <v>0.1258</v>
      </c>
      <c r="L29">
        <f>IFERROR(__xludf.DUMMYFUNCTION("""COMPUTED_VALUE"""),65314.0)</f>
        <v>65314</v>
      </c>
      <c r="M29" t="str">
        <f>IFERROR(__xludf.DUMMYFUNCTION("""COMPUTED_VALUE"""),"Speakers")</f>
        <v>Speakers</v>
      </c>
      <c r="O29" t="str">
        <f>IFERROR(__xludf.DUMMYFUNCTION("""COMPUTED_VALUE"""),"N")</f>
        <v>N</v>
      </c>
      <c r="P29" s="1" t="str">
        <f>IFERROR(__xludf.DUMMYFUNCTION("""COMPUTED_VALUE"""),"ID 3488")</f>
        <v>ID 3488</v>
      </c>
      <c r="Q29" s="1" t="str">
        <f>IFERROR(__xludf.DUMMYFUNCTION("""COMPUTED_VALUE"""),"B01AYZZUDC")</f>
        <v>B01AYZZUDC</v>
      </c>
    </row>
    <row r="30">
      <c r="A30" s="6">
        <f>IFERROR(__xludf.DUMMYFUNCTION("""COMPUTED_VALUE"""),44804.0)</f>
        <v>44804</v>
      </c>
      <c r="B30">
        <f>IFERROR(__xludf.DUMMYFUNCTION("""COMPUTED_VALUE"""),12703.0)</f>
        <v>12703</v>
      </c>
      <c r="C30" t="str">
        <f>IFERROR(__xludf.DUMMYFUNCTION("""COMPUTED_VALUE"""),"Zippo Ace of Spades Goth Design Street Chrome Pocket Lighter")</f>
        <v>Zippo Ace of Spades Goth Design Street Chrome Pocket Lighter</v>
      </c>
      <c r="D30" t="str">
        <f>IFERROR(__xludf.DUMMYFUNCTION("""COMPUTED_VALUE"""),"B084PRXX5V")</f>
        <v>B084PRXX5V</v>
      </c>
      <c r="E30" t="str">
        <f>IFERROR(__xludf.DUMMYFUNCTION("""COMPUTED_VALUE"""),"191693140637")</f>
        <v>191693140637</v>
      </c>
      <c r="F30">
        <f>IFERROR(__xludf.DUMMYFUNCTION("""COMPUTED_VALUE"""),210.0)</f>
        <v>210</v>
      </c>
      <c r="G30">
        <f>IFERROR(__xludf.DUMMYFUNCTION("""COMPUTED_VALUE"""),5000.0)</f>
        <v>5000</v>
      </c>
      <c r="H30" s="2">
        <f>IFERROR(__xludf.DUMMYFUNCTION("""COMPUTED_VALUE"""),11.5)</f>
        <v>11.5</v>
      </c>
      <c r="I30" s="2">
        <f>IFERROR(__xludf.DUMMYFUNCTION("""COMPUTED_VALUE"""),30.31)</f>
        <v>30.31</v>
      </c>
      <c r="J30" s="2">
        <f>IFERROR(__xludf.DUMMYFUNCTION("""COMPUTED_VALUE"""),18.81)</f>
        <v>18.81</v>
      </c>
      <c r="K30" s="5">
        <f>IFERROR(__xludf.DUMMYFUNCTION("""COMPUTED_VALUE"""),1.6356521739130434)</f>
        <v>1.635652174</v>
      </c>
      <c r="L30">
        <f>IFERROR(__xludf.DUMMYFUNCTION("""COMPUTED_VALUE"""),32895.0)</f>
        <v>32895</v>
      </c>
      <c r="M30" t="str">
        <f>IFERROR(__xludf.DUMMYFUNCTION("""COMPUTED_VALUE"""),"Sports")</f>
        <v>Sports</v>
      </c>
      <c r="N30" t="str">
        <f>IFERROR(__xludf.DUMMYFUNCTION("""COMPUTED_VALUE"""),"Cannot be sold on 3rd party websites.")</f>
        <v>Cannot be sold on 3rd party websites.</v>
      </c>
      <c r="O30" t="str">
        <f>IFERROR(__xludf.DUMMYFUNCTION("""COMPUTED_VALUE"""),"N")</f>
        <v>N</v>
      </c>
      <c r="P30" s="1" t="str">
        <f>IFERROR(__xludf.DUMMYFUNCTION("""COMPUTED_VALUE"""),"ID 12703")</f>
        <v>ID 12703</v>
      </c>
      <c r="Q30" s="1" t="str">
        <f>IFERROR(__xludf.DUMMYFUNCTION("""COMPUTED_VALUE"""),"B084PRXX5V")</f>
        <v>B084PRXX5V</v>
      </c>
    </row>
    <row r="31">
      <c r="A31" s="6">
        <f>IFERROR(__xludf.DUMMYFUNCTION("""COMPUTED_VALUE"""),45142.0)</f>
        <v>45142</v>
      </c>
      <c r="B31">
        <f>IFERROR(__xludf.DUMMYFUNCTION("""COMPUTED_VALUE"""),14043.0)</f>
        <v>14043</v>
      </c>
      <c r="C31" t="str">
        <f>IFERROR(__xludf.DUMMYFUNCTION("""COMPUTED_VALUE"""),"L'Oreal Paris Skincare Age Perfect Cell Renewal Day Cream Anti-Aging Face Moisturizer with SPF 15 to Replump Refresh and Renew 1.7 oz.")</f>
        <v>L'Oreal Paris Skincare Age Perfect Cell Renewal Day Cream Anti-Aging Face Moisturizer with SPF 15 to Replump Refresh and Renew 1.7 oz.</v>
      </c>
      <c r="D31" t="str">
        <f>IFERROR(__xludf.DUMMYFUNCTION("""COMPUTED_VALUE"""),"B00LWFOD00")</f>
        <v>B00LWFOD00</v>
      </c>
      <c r="E31" t="str">
        <f>IFERROR(__xludf.DUMMYFUNCTION("""COMPUTED_VALUE"""),"071249279342")</f>
        <v>071249279342</v>
      </c>
      <c r="F31">
        <f>IFERROR(__xludf.DUMMYFUNCTION("""COMPUTED_VALUE"""),120.0)</f>
        <v>120</v>
      </c>
      <c r="G31">
        <f>IFERROR(__xludf.DUMMYFUNCTION("""COMPUTED_VALUE"""),10000.0)</f>
        <v>10000</v>
      </c>
      <c r="H31" s="2">
        <f>IFERROR(__xludf.DUMMYFUNCTION("""COMPUTED_VALUE"""),17.0)</f>
        <v>17</v>
      </c>
      <c r="I31" s="2">
        <f>IFERROR(__xludf.DUMMYFUNCTION("""COMPUTED_VALUE"""),35.0)</f>
        <v>35</v>
      </c>
      <c r="J31" s="2">
        <f>IFERROR(__xludf.DUMMYFUNCTION("""COMPUTED_VALUE"""),18.0)</f>
        <v>18</v>
      </c>
      <c r="K31" s="5">
        <f>IFERROR(__xludf.DUMMYFUNCTION("""COMPUTED_VALUE"""),1.0588235294117647)</f>
        <v>1.058823529</v>
      </c>
      <c r="L31">
        <f>IFERROR(__xludf.DUMMYFUNCTION("""COMPUTED_VALUE"""),71180.0)</f>
        <v>71180</v>
      </c>
      <c r="M31" t="str">
        <f>IFERROR(__xludf.DUMMYFUNCTION("""COMPUTED_VALUE"""),"Beauty")</f>
        <v>Beauty</v>
      </c>
      <c r="O31" t="str">
        <f>IFERROR(__xludf.DUMMYFUNCTION("""COMPUTED_VALUE"""),"N")</f>
        <v>N</v>
      </c>
      <c r="P31" s="1" t="str">
        <f>IFERROR(__xludf.DUMMYFUNCTION("""COMPUTED_VALUE"""),"ID 14043")</f>
        <v>ID 14043</v>
      </c>
      <c r="Q31" s="1" t="str">
        <f>IFERROR(__xludf.DUMMYFUNCTION("""COMPUTED_VALUE"""),"B00LWFOD00")</f>
        <v>B00LWFOD00</v>
      </c>
    </row>
    <row r="32">
      <c r="A32" s="6">
        <f>IFERROR(__xludf.DUMMYFUNCTION("""COMPUTED_VALUE"""),45239.0)</f>
        <v>45239</v>
      </c>
      <c r="B32">
        <f>IFERROR(__xludf.DUMMYFUNCTION("""COMPUTED_VALUE"""),9764.0)</f>
        <v>9764</v>
      </c>
      <c r="C32" t="str">
        <f>IFERROR(__xludf.DUMMYFUNCTION("""COMPUTED_VALUE"""),"Nyko Super Miniboss - Wireless Controller with Turbo and Built-In Rechargeable Battery for SNES/NES Classic Edition")</f>
        <v>Nyko Super Miniboss - Wireless Controller with Turbo and Built-In Rechargeable Battery for SNES/NES Classic Edition</v>
      </c>
      <c r="D32" t="str">
        <f>IFERROR(__xludf.DUMMYFUNCTION("""COMPUTED_VALUE"""),"B075TLBP4V")</f>
        <v>B075TLBP4V</v>
      </c>
      <c r="E32" t="str">
        <f>IFERROR(__xludf.DUMMYFUNCTION("""COMPUTED_VALUE"""),"743840871859")</f>
        <v>743840871859</v>
      </c>
      <c r="F32">
        <f>IFERROR(__xludf.DUMMYFUNCTION("""COMPUTED_VALUE"""),1440.0)</f>
        <v>1440</v>
      </c>
      <c r="G32">
        <f>IFERROR(__xludf.DUMMYFUNCTION("""COMPUTED_VALUE"""),15000.0)</f>
        <v>15000</v>
      </c>
      <c r="H32" s="2">
        <f>IFERROR(__xludf.DUMMYFUNCTION("""COMPUTED_VALUE"""),6.0)</f>
        <v>6</v>
      </c>
      <c r="I32" s="2">
        <f>IFERROR(__xludf.DUMMYFUNCTION("""COMPUTED_VALUE"""),23.91)</f>
        <v>23.91</v>
      </c>
      <c r="J32" s="2">
        <f>IFERROR(__xludf.DUMMYFUNCTION("""COMPUTED_VALUE"""),17.91)</f>
        <v>17.91</v>
      </c>
      <c r="K32" s="5">
        <f>IFERROR(__xludf.DUMMYFUNCTION("""COMPUTED_VALUE"""),2.985)</f>
        <v>2.985</v>
      </c>
      <c r="L32">
        <f>IFERROR(__xludf.DUMMYFUNCTION("""COMPUTED_VALUE"""),44289.0)</f>
        <v>44289</v>
      </c>
      <c r="M32" t="str">
        <f>IFERROR(__xludf.DUMMYFUNCTION("""COMPUTED_VALUE"""),"Video Games")</f>
        <v>Video Games</v>
      </c>
      <c r="O32" t="str">
        <f>IFERROR(__xludf.DUMMYFUNCTION("""COMPUTED_VALUE"""),"N")</f>
        <v>N</v>
      </c>
      <c r="P32" s="1" t="str">
        <f>IFERROR(__xludf.DUMMYFUNCTION("""COMPUTED_VALUE"""),"ID 9764")</f>
        <v>ID 9764</v>
      </c>
      <c r="Q32" s="1" t="str">
        <f>IFERROR(__xludf.DUMMYFUNCTION("""COMPUTED_VALUE"""),"B075TLBP4V")</f>
        <v>B075TLBP4V</v>
      </c>
    </row>
    <row r="33">
      <c r="A33" s="6">
        <f>IFERROR(__xludf.DUMMYFUNCTION("""COMPUTED_VALUE"""),45428.0)</f>
        <v>45428</v>
      </c>
      <c r="B33">
        <f>IFERROR(__xludf.DUMMYFUNCTION("""COMPUTED_VALUE"""),24123.0)</f>
        <v>24123</v>
      </c>
      <c r="C33" t="str">
        <f>IFERROR(__xludf.DUMMYFUNCTION("""COMPUTED_VALUE"""),"Creativity Street Chenille Stems/Pipe Cleaners 12 Inch x 6mm 100-Piece, Orange")</f>
        <v>Creativity Street Chenille Stems/Pipe Cleaners 12 Inch x 6mm 100-Piece, Orange</v>
      </c>
      <c r="D33" t="str">
        <f>IFERROR(__xludf.DUMMYFUNCTION("""COMPUTED_VALUE"""),"B00P0NJGHU")</f>
        <v>B00P0NJGHU</v>
      </c>
      <c r="E33" t="str">
        <f>IFERROR(__xludf.DUMMYFUNCTION("""COMPUTED_VALUE"""),"021196710146")</f>
        <v>021196710146</v>
      </c>
      <c r="F33">
        <f>IFERROR(__xludf.DUMMYFUNCTION("""COMPUTED_VALUE"""),2076.0)</f>
        <v>2076</v>
      </c>
      <c r="G33">
        <f>IFERROR(__xludf.DUMMYFUNCTION("""COMPUTED_VALUE"""),720.0)</f>
        <v>720</v>
      </c>
      <c r="H33" s="2">
        <f>IFERROR(__xludf.DUMMYFUNCTION("""COMPUTED_VALUE"""),1.75)</f>
        <v>1.75</v>
      </c>
      <c r="I33" s="2">
        <f>IFERROR(__xludf.DUMMYFUNCTION("""COMPUTED_VALUE"""),17.87)</f>
        <v>17.87</v>
      </c>
      <c r="J33" s="2">
        <f>IFERROR(__xludf.DUMMYFUNCTION("""COMPUTED_VALUE"""),16.12)</f>
        <v>16.12</v>
      </c>
      <c r="K33" s="5">
        <f>IFERROR(__xludf.DUMMYFUNCTION("""COMPUTED_VALUE"""),9.211428571428572)</f>
        <v>9.211428571</v>
      </c>
      <c r="L33">
        <f>IFERROR(__xludf.DUMMYFUNCTION("""COMPUTED_VALUE"""),52683.0)</f>
        <v>52683</v>
      </c>
      <c r="M33" t="str">
        <f>IFERROR(__xludf.DUMMYFUNCTION("""COMPUTED_VALUE"""),"Toy")</f>
        <v>Toy</v>
      </c>
      <c r="O33" t="str">
        <f>IFERROR(__xludf.DUMMYFUNCTION("""COMPUTED_VALUE"""),"N")</f>
        <v>N</v>
      </c>
      <c r="P33" s="1" t="str">
        <f>IFERROR(__xludf.DUMMYFUNCTION("""COMPUTED_VALUE"""),"ID 24123")</f>
        <v>ID 24123</v>
      </c>
      <c r="Q33" s="1" t="str">
        <f>IFERROR(__xludf.DUMMYFUNCTION("""COMPUTED_VALUE"""),"B00P0NJGHU")</f>
        <v>B00P0NJGHU</v>
      </c>
    </row>
    <row r="34">
      <c r="A34" s="6">
        <f>IFERROR(__xludf.DUMMYFUNCTION("""COMPUTED_VALUE"""),45303.0)</f>
        <v>45303</v>
      </c>
      <c r="B34">
        <f>IFERROR(__xludf.DUMMYFUNCTION("""COMPUTED_VALUE"""),25808.0)</f>
        <v>25808</v>
      </c>
      <c r="C34" t="str">
        <f>IFERROR(__xludf.DUMMYFUNCTION("""COMPUTED_VALUE"""),"Texas Instruments TI-Nspire CX Graphing Calculator")</f>
        <v>Texas Instruments TI-Nspire CX Graphing Calculator</v>
      </c>
      <c r="D34" t="str">
        <f>IFERROR(__xludf.DUMMYFUNCTION("""COMPUTED_VALUE"""),"B004NBZAW0")</f>
        <v>B004NBZAW0</v>
      </c>
      <c r="E34" t="str">
        <f>IFERROR(__xludf.DUMMYFUNCTION("""COMPUTED_VALUE"""),"033317208470")</f>
        <v>033317208470</v>
      </c>
      <c r="F34">
        <f>IFERROR(__xludf.DUMMYFUNCTION("""COMPUTED_VALUE"""),10.0)</f>
        <v>10</v>
      </c>
      <c r="G34">
        <f>IFERROR(__xludf.DUMMYFUNCTION("""COMPUTED_VALUE"""),10000.0)</f>
        <v>10000</v>
      </c>
      <c r="H34" s="2">
        <f>IFERROR(__xludf.DUMMYFUNCTION("""COMPUTED_VALUE"""),173.0)</f>
        <v>173</v>
      </c>
      <c r="I34" s="2">
        <f>IFERROR(__xludf.DUMMYFUNCTION("""COMPUTED_VALUE"""),189.06)</f>
        <v>189.06</v>
      </c>
      <c r="J34" s="2">
        <f>IFERROR(__xludf.DUMMYFUNCTION("""COMPUTED_VALUE"""),16.060000000000002)</f>
        <v>16.06</v>
      </c>
      <c r="K34" s="5">
        <f>IFERROR(__xludf.DUMMYFUNCTION("""COMPUTED_VALUE"""),0.09283236994219654)</f>
        <v>0.09283236994</v>
      </c>
      <c r="L34">
        <f>IFERROR(__xludf.DUMMYFUNCTION("""COMPUTED_VALUE"""),54118.0)</f>
        <v>54118</v>
      </c>
      <c r="M34" t="str">
        <f>IFERROR(__xludf.DUMMYFUNCTION("""COMPUTED_VALUE"""),"Office Product")</f>
        <v>Office Product</v>
      </c>
      <c r="N34" t="str">
        <f>IFERROR(__xludf.DUMMYFUNCTION("""COMPUTED_VALUE"""),"IMPORTANT NOTE: TI-Nspire CX has been discontinued. We will be shipping TI-Nspire CX II which is the same product but a newer edition")</f>
        <v>IMPORTANT NOTE: TI-Nspire CX has been discontinued. We will be shipping TI-Nspire CX II which is the same product but a newer edition</v>
      </c>
      <c r="O34" t="str">
        <f>IFERROR(__xludf.DUMMYFUNCTION("""COMPUTED_VALUE"""),"N")</f>
        <v>N</v>
      </c>
      <c r="P34" s="1" t="str">
        <f>IFERROR(__xludf.DUMMYFUNCTION("""COMPUTED_VALUE"""),"ID 25808")</f>
        <v>ID 25808</v>
      </c>
      <c r="Q34" s="1" t="str">
        <f>IFERROR(__xludf.DUMMYFUNCTION("""COMPUTED_VALUE"""),"B004NBZAW0")</f>
        <v>B004NBZAW0</v>
      </c>
    </row>
    <row r="35">
      <c r="A35" s="6">
        <f>IFERROR(__xludf.DUMMYFUNCTION("""COMPUTED_VALUE"""),45421.0)</f>
        <v>45421</v>
      </c>
      <c r="B35">
        <f>IFERROR(__xludf.DUMMYFUNCTION("""COMPUTED_VALUE"""),12792.0)</f>
        <v>12792</v>
      </c>
      <c r="C35" t="str">
        <f>IFERROR(__xludf.DUMMYFUNCTION("""COMPUTED_VALUE"""),"Koh-I-Noor Rapidograph Pen and Ink Set.35mm Pen Nib and .75 oz. Bottle of Ultradraw Black Ink, 1 Set Each (3165BX.Z)")</f>
        <v>Koh-I-Noor Rapidograph Pen and Ink Set.35mm Pen Nib and .75 oz. Bottle of Ultradraw Black Ink, 1 Set Each (3165BX.Z)</v>
      </c>
      <c r="D35" t="str">
        <f>IFERROR(__xludf.DUMMYFUNCTION("""COMPUTED_VALUE"""),"B0006VPO1S")</f>
        <v>B0006VPO1S</v>
      </c>
      <c r="E35" t="str">
        <f>IFERROR(__xludf.DUMMYFUNCTION("""COMPUTED_VALUE"""),"014173276605")</f>
        <v>014173276605</v>
      </c>
      <c r="F35">
        <f>IFERROR(__xludf.DUMMYFUNCTION("""COMPUTED_VALUE"""),91.0)</f>
        <v>91</v>
      </c>
      <c r="G35">
        <f>IFERROR(__xludf.DUMMYFUNCTION("""COMPUTED_VALUE"""),10000.0)</f>
        <v>10000</v>
      </c>
      <c r="H35" s="2">
        <f>IFERROR(__xludf.DUMMYFUNCTION("""COMPUTED_VALUE"""),24.75)</f>
        <v>24.75</v>
      </c>
      <c r="I35" s="2">
        <f>IFERROR(__xludf.DUMMYFUNCTION("""COMPUTED_VALUE"""),40.41)</f>
        <v>40.41</v>
      </c>
      <c r="J35" s="2">
        <f>IFERROR(__xludf.DUMMYFUNCTION("""COMPUTED_VALUE"""),15.659999999999997)</f>
        <v>15.66</v>
      </c>
      <c r="K35" s="5">
        <f>IFERROR(__xludf.DUMMYFUNCTION("""COMPUTED_VALUE"""),0.6327272727272726)</f>
        <v>0.6327272727</v>
      </c>
      <c r="L35">
        <f>IFERROR(__xludf.DUMMYFUNCTION("""COMPUTED_VALUE"""),79428.0)</f>
        <v>79428</v>
      </c>
      <c r="M35" t="str">
        <f>IFERROR(__xludf.DUMMYFUNCTION("""COMPUTED_VALUE"""),"Office Product")</f>
        <v>Office Product</v>
      </c>
      <c r="O35" t="str">
        <f>IFERROR(__xludf.DUMMYFUNCTION("""COMPUTED_VALUE"""),"N")</f>
        <v>N</v>
      </c>
      <c r="P35" s="1" t="str">
        <f>IFERROR(__xludf.DUMMYFUNCTION("""COMPUTED_VALUE"""),"ID 12792")</f>
        <v>ID 12792</v>
      </c>
      <c r="Q35" s="1" t="str">
        <f>IFERROR(__xludf.DUMMYFUNCTION("""COMPUTED_VALUE"""),"B0006VPO1S")</f>
        <v>B0006VPO1S</v>
      </c>
    </row>
    <row r="36">
      <c r="A36" s="6">
        <f>IFERROR(__xludf.DUMMYFUNCTION("""COMPUTED_VALUE"""),45286.0)</f>
        <v>45286</v>
      </c>
      <c r="B36">
        <f>IFERROR(__xludf.DUMMYFUNCTION("""COMPUTED_VALUE"""),25795.0)</f>
        <v>25795</v>
      </c>
      <c r="C36" t="str">
        <f>IFERROR(__xludf.DUMMYFUNCTION("""COMPUTED_VALUE"""),"Casio fx-300ES PLUS Scientific Calculator, Black")</f>
        <v>Casio fx-300ES PLUS Scientific Calculator, Black</v>
      </c>
      <c r="D36" t="str">
        <f>IFERROR(__xludf.DUMMYFUNCTION("""COMPUTED_VALUE"""),"B007HJ89VE")</f>
        <v>B007HJ89VE</v>
      </c>
      <c r="E36" t="str">
        <f>IFERROR(__xludf.DUMMYFUNCTION("""COMPUTED_VALUE"""),"079767900779")</f>
        <v>079767900779</v>
      </c>
      <c r="F36">
        <f>IFERROR(__xludf.DUMMYFUNCTION("""COMPUTED_VALUE"""),120.0)</f>
        <v>120</v>
      </c>
      <c r="G36">
        <f>IFERROR(__xludf.DUMMYFUNCTION("""COMPUTED_VALUE"""),10000.0)</f>
        <v>10000</v>
      </c>
      <c r="H36" s="2">
        <f>IFERROR(__xludf.DUMMYFUNCTION("""COMPUTED_VALUE"""),15.5)</f>
        <v>15.5</v>
      </c>
      <c r="I36" s="2">
        <f>IFERROR(__xludf.DUMMYFUNCTION("""COMPUTED_VALUE"""),30.08)</f>
        <v>30.08</v>
      </c>
      <c r="J36" s="2">
        <f>IFERROR(__xludf.DUMMYFUNCTION("""COMPUTED_VALUE"""),14.579999999999998)</f>
        <v>14.58</v>
      </c>
      <c r="K36" s="5">
        <f>IFERROR(__xludf.DUMMYFUNCTION("""COMPUTED_VALUE"""),0.9406451612903225)</f>
        <v>0.9406451613</v>
      </c>
      <c r="L36">
        <f>IFERROR(__xludf.DUMMYFUNCTION("""COMPUTED_VALUE"""),42777.0)</f>
        <v>42777</v>
      </c>
      <c r="M36" t="str">
        <f>IFERROR(__xludf.DUMMYFUNCTION("""COMPUTED_VALUE"""),"CE")</f>
        <v>CE</v>
      </c>
      <c r="N36" t="str">
        <f>IFERROR(__xludf.DUMMYFUNCTION("""COMPUTED_VALUE"""),"Newer model will ship. See our image")</f>
        <v>Newer model will ship. See our image</v>
      </c>
      <c r="O36" t="str">
        <f>IFERROR(__xludf.DUMMYFUNCTION("""COMPUTED_VALUE"""),"N")</f>
        <v>N</v>
      </c>
      <c r="P36" s="1" t="str">
        <f>IFERROR(__xludf.DUMMYFUNCTION("""COMPUTED_VALUE"""),"ID 25795")</f>
        <v>ID 25795</v>
      </c>
      <c r="Q36" s="1" t="str">
        <f>IFERROR(__xludf.DUMMYFUNCTION("""COMPUTED_VALUE"""),"B007HJ89VE")</f>
        <v>B007HJ89VE</v>
      </c>
    </row>
    <row r="37">
      <c r="A37" s="6">
        <f>IFERROR(__xludf.DUMMYFUNCTION("""COMPUTED_VALUE"""),45383.0)</f>
        <v>45383</v>
      </c>
      <c r="B37">
        <f>IFERROR(__xludf.DUMMYFUNCTION("""COMPUTED_VALUE"""),22095.0)</f>
        <v>22095</v>
      </c>
      <c r="C37" t="str">
        <f>IFERROR(__xludf.DUMMYFUNCTION("""COMPUTED_VALUE"""),"Ultimate Ears MEGABOOM 3 Portable Wireless Bluetooth Speaker (Powerful Sound + Thundering Bass, Bluetooth, Magic Button, Waterproof, Battery 20 hours) - Night Black")</f>
        <v>Ultimate Ears MEGABOOM 3 Portable Wireless Bluetooth Speaker (Powerful Sound + Thundering Bass, Bluetooth, Magic Button, Waterproof, Battery 20 hours) - Night Black</v>
      </c>
      <c r="D37" t="str">
        <f>IFERROR(__xludf.DUMMYFUNCTION("""COMPUTED_VALUE"""),"B07DD3W154")</f>
        <v>B07DD3W154</v>
      </c>
      <c r="F37">
        <f>IFERROR(__xludf.DUMMYFUNCTION("""COMPUTED_VALUE"""),20.0)</f>
        <v>20</v>
      </c>
      <c r="G37">
        <f>IFERROR(__xludf.DUMMYFUNCTION("""COMPUTED_VALUE"""),10000.0)</f>
        <v>10000</v>
      </c>
      <c r="H37" s="2">
        <f>IFERROR(__xludf.DUMMYFUNCTION("""COMPUTED_VALUE"""),153.0)</f>
        <v>153</v>
      </c>
      <c r="I37" s="2">
        <f>IFERROR(__xludf.DUMMYFUNCTION("""COMPUTED_VALUE"""),166.88)</f>
        <v>166.88</v>
      </c>
      <c r="J37" s="2">
        <f>IFERROR(__xludf.DUMMYFUNCTION("""COMPUTED_VALUE"""),13.879999999999995)</f>
        <v>13.88</v>
      </c>
      <c r="K37" s="5">
        <f>IFERROR(__xludf.DUMMYFUNCTION("""COMPUTED_VALUE"""),0.09071895424836598)</f>
        <v>0.09071895425</v>
      </c>
      <c r="L37">
        <f>IFERROR(__xludf.DUMMYFUNCTION("""COMPUTED_VALUE"""),2529.0)</f>
        <v>2529</v>
      </c>
      <c r="M37" t="str">
        <f>IFERROR(__xludf.DUMMYFUNCTION("""COMPUTED_VALUE"""),"CE")</f>
        <v>CE</v>
      </c>
      <c r="O37" t="str">
        <f>IFERROR(__xludf.DUMMYFUNCTION("""COMPUTED_VALUE"""),"Y")</f>
        <v>Y</v>
      </c>
      <c r="P37" s="1" t="str">
        <f>IFERROR(__xludf.DUMMYFUNCTION("""COMPUTED_VALUE"""),"ID 22095")</f>
        <v>ID 22095</v>
      </c>
      <c r="Q37" s="1" t="str">
        <f>IFERROR(__xludf.DUMMYFUNCTION("""COMPUTED_VALUE"""),"B07DD3W154")</f>
        <v>B07DD3W154</v>
      </c>
    </row>
    <row r="38">
      <c r="A38" s="6">
        <f>IFERROR(__xludf.DUMMYFUNCTION("""COMPUTED_VALUE"""),44214.0)</f>
        <v>44214</v>
      </c>
      <c r="B38">
        <f>IFERROR(__xludf.DUMMYFUNCTION("""COMPUTED_VALUE"""),15993.0)</f>
        <v>15993</v>
      </c>
      <c r="C38" t="str">
        <f>IFERROR(__xludf.DUMMYFUNCTION("""COMPUTED_VALUE"""),"Max Factor Facefinity All Day Flawless 3 In 1 Foundation SPF 20, No. 35 Pearl Beige")</f>
        <v>Max Factor Facefinity All Day Flawless 3 In 1 Foundation SPF 20, No. 35 Pearl Beige</v>
      </c>
      <c r="D38" t="str">
        <f>IFERROR(__xludf.DUMMYFUNCTION("""COMPUTED_VALUE"""),"B00CD1YPZU")</f>
        <v>B00CD1YPZU</v>
      </c>
      <c r="E38" t="str">
        <f>IFERROR(__xludf.DUMMYFUNCTION("""COMPUTED_VALUE"""),"5410076971312")</f>
        <v>5410076971312</v>
      </c>
      <c r="F38">
        <f>IFERROR(__xludf.DUMMYFUNCTION("""COMPUTED_VALUE"""),250.0)</f>
        <v>250</v>
      </c>
      <c r="G38">
        <f>IFERROR(__xludf.DUMMYFUNCTION("""COMPUTED_VALUE"""),425.0)</f>
        <v>425</v>
      </c>
      <c r="H38" s="2">
        <f>IFERROR(__xludf.DUMMYFUNCTION("""COMPUTED_VALUE"""),5.0)</f>
        <v>5</v>
      </c>
      <c r="I38" s="2">
        <f>IFERROR(__xludf.DUMMYFUNCTION("""COMPUTED_VALUE"""),18.36)</f>
        <v>18.36</v>
      </c>
      <c r="J38" s="2">
        <f>IFERROR(__xludf.DUMMYFUNCTION("""COMPUTED_VALUE"""),13.36)</f>
        <v>13.36</v>
      </c>
      <c r="K38" s="5">
        <f>IFERROR(__xludf.DUMMYFUNCTION("""COMPUTED_VALUE"""),2.6719999999999997)</f>
        <v>2.672</v>
      </c>
      <c r="L38">
        <f>IFERROR(__xludf.DUMMYFUNCTION("""COMPUTED_VALUE"""),77089.0)</f>
        <v>77089</v>
      </c>
      <c r="M38" t="str">
        <f>IFERROR(__xludf.DUMMYFUNCTION("""COMPUTED_VALUE"""),"Beauty")</f>
        <v>Beauty</v>
      </c>
      <c r="O38" t="str">
        <f>IFERROR(__xludf.DUMMYFUNCTION("""COMPUTED_VALUE"""),"N")</f>
        <v>N</v>
      </c>
      <c r="P38" s="1" t="str">
        <f>IFERROR(__xludf.DUMMYFUNCTION("""COMPUTED_VALUE"""),"ID 15993")</f>
        <v>ID 15993</v>
      </c>
      <c r="Q38" s="1" t="str">
        <f>IFERROR(__xludf.DUMMYFUNCTION("""COMPUTED_VALUE"""),"B00CD1YPZU")</f>
        <v>B00CD1YPZU</v>
      </c>
    </row>
    <row r="39">
      <c r="A39" s="6">
        <f>IFERROR(__xludf.DUMMYFUNCTION("""COMPUTED_VALUE"""),45229.0)</f>
        <v>45229</v>
      </c>
      <c r="B39">
        <f>IFERROR(__xludf.DUMMYFUNCTION("""COMPUTED_VALUE"""),18286.0)</f>
        <v>18286</v>
      </c>
      <c r="C39" t="str">
        <f>IFERROR(__xludf.DUMMYFUNCTION("""COMPUTED_VALUE"""),"Kensington USB Port Lock with Blockers, K67913WW")</f>
        <v>Kensington USB Port Lock with Blockers, K67913WW</v>
      </c>
      <c r="D39" t="str">
        <f>IFERROR(__xludf.DUMMYFUNCTION("""COMPUTED_VALUE"""),"B018E0L00Q")</f>
        <v>B018E0L00Q</v>
      </c>
      <c r="E39" t="str">
        <f>IFERROR(__xludf.DUMMYFUNCTION("""COMPUTED_VALUE"""),"085896679134")</f>
        <v>085896679134</v>
      </c>
      <c r="F39">
        <f>IFERROR(__xludf.DUMMYFUNCTION("""COMPUTED_VALUE"""),200.0)</f>
        <v>200</v>
      </c>
      <c r="G39">
        <f>IFERROR(__xludf.DUMMYFUNCTION("""COMPUTED_VALUE"""),10000.0)</f>
        <v>10000</v>
      </c>
      <c r="H39" s="2">
        <f>IFERROR(__xludf.DUMMYFUNCTION("""COMPUTED_VALUE"""),13.0)</f>
        <v>13</v>
      </c>
      <c r="I39" s="2">
        <f>IFERROR(__xludf.DUMMYFUNCTION("""COMPUTED_VALUE"""),26.02)</f>
        <v>26.02</v>
      </c>
      <c r="J39" s="2">
        <f>IFERROR(__xludf.DUMMYFUNCTION("""COMPUTED_VALUE"""),13.02)</f>
        <v>13.02</v>
      </c>
      <c r="K39" s="5">
        <f>IFERROR(__xludf.DUMMYFUNCTION("""COMPUTED_VALUE"""),1.0015384615384615)</f>
        <v>1.001538462</v>
      </c>
      <c r="L39">
        <f>IFERROR(__xludf.DUMMYFUNCTION("""COMPUTED_VALUE"""),51437.0)</f>
        <v>51437</v>
      </c>
      <c r="M39" t="str">
        <f>IFERROR(__xludf.DUMMYFUNCTION("""COMPUTED_VALUE"""),"Personal Computer")</f>
        <v>Personal Computer</v>
      </c>
      <c r="O39" t="str">
        <f>IFERROR(__xludf.DUMMYFUNCTION("""COMPUTED_VALUE"""),"N")</f>
        <v>N</v>
      </c>
      <c r="P39" s="1" t="str">
        <f>IFERROR(__xludf.DUMMYFUNCTION("""COMPUTED_VALUE"""),"ID 18286")</f>
        <v>ID 18286</v>
      </c>
      <c r="Q39" s="1" t="str">
        <f>IFERROR(__xludf.DUMMYFUNCTION("""COMPUTED_VALUE"""),"B018E0L00Q")</f>
        <v>B018E0L00Q</v>
      </c>
    </row>
    <row r="40">
      <c r="A40" s="6">
        <f>IFERROR(__xludf.DUMMYFUNCTION("""COMPUTED_VALUE"""),45363.0)</f>
        <v>45363</v>
      </c>
      <c r="B40">
        <f>IFERROR(__xludf.DUMMYFUNCTION("""COMPUTED_VALUE"""),24912.0)</f>
        <v>24912</v>
      </c>
      <c r="C40" t="str">
        <f>IFERROR(__xludf.DUMMYFUNCTION("""COMPUTED_VALUE"""),"PARKER Sonnet Rollerball Pen, Blue Lacquer with Palladium Trim, Fine Point Black Ink (1931535) , Blue and Chrome")</f>
        <v>PARKER Sonnet Rollerball Pen, Blue Lacquer with Palladium Trim, Fine Point Black Ink (1931535) , Blue and Chrome</v>
      </c>
      <c r="D40" t="str">
        <f>IFERROR(__xludf.DUMMYFUNCTION("""COMPUTED_VALUE"""),"B015N3QPR0")</f>
        <v>B015N3QPR0</v>
      </c>
      <c r="E40" t="str">
        <f>IFERROR(__xludf.DUMMYFUNCTION("""COMPUTED_VALUE"""),"3501179315355")</f>
        <v>3501179315355</v>
      </c>
      <c r="F40">
        <f>IFERROR(__xludf.DUMMYFUNCTION("""COMPUTED_VALUE"""),40.0)</f>
        <v>40</v>
      </c>
      <c r="G40">
        <f>IFERROR(__xludf.DUMMYFUNCTION("""COMPUTED_VALUE"""),10000.0)</f>
        <v>10000</v>
      </c>
      <c r="H40" s="2">
        <f>IFERROR(__xludf.DUMMYFUNCTION("""COMPUTED_VALUE"""),85.0)</f>
        <v>85</v>
      </c>
      <c r="I40" s="2">
        <f>IFERROR(__xludf.DUMMYFUNCTION("""COMPUTED_VALUE"""),97.99)</f>
        <v>97.99</v>
      </c>
      <c r="J40" s="2">
        <f>IFERROR(__xludf.DUMMYFUNCTION("""COMPUTED_VALUE"""),12.989999999999995)</f>
        <v>12.99</v>
      </c>
      <c r="K40" s="5">
        <f>IFERROR(__xludf.DUMMYFUNCTION("""COMPUTED_VALUE"""),0.15282352941176464)</f>
        <v>0.1528235294</v>
      </c>
      <c r="L40">
        <f>IFERROR(__xludf.DUMMYFUNCTION("""COMPUTED_VALUE"""),76944.0)</f>
        <v>76944</v>
      </c>
      <c r="M40" t="str">
        <f>IFERROR(__xludf.DUMMYFUNCTION("""COMPUTED_VALUE"""),"Office Product")</f>
        <v>Office Product</v>
      </c>
      <c r="O40" t="str">
        <f>IFERROR(__xludf.DUMMYFUNCTION("""COMPUTED_VALUE"""),"N")</f>
        <v>N</v>
      </c>
      <c r="P40" s="1" t="str">
        <f>IFERROR(__xludf.DUMMYFUNCTION("""COMPUTED_VALUE"""),"ID 24912")</f>
        <v>ID 24912</v>
      </c>
      <c r="Q40" s="1" t="str">
        <f>IFERROR(__xludf.DUMMYFUNCTION("""COMPUTED_VALUE"""),"B015N3QPR0")</f>
        <v>B015N3QPR0</v>
      </c>
    </row>
    <row r="41">
      <c r="A41" s="6">
        <f>IFERROR(__xludf.DUMMYFUNCTION("""COMPUTED_VALUE"""),44657.0)</f>
        <v>44657</v>
      </c>
      <c r="B41">
        <f>IFERROR(__xludf.DUMMYFUNCTION("""COMPUTED_VALUE"""),4382.0)</f>
        <v>4382</v>
      </c>
      <c r="C41" t="str">
        <f>IFERROR(__xludf.DUMMYFUNCTION("""COMPUTED_VALUE"""),"Human Footprint")</f>
        <v>Human Footprint</v>
      </c>
      <c r="D41" t="str">
        <f>IFERROR(__xludf.DUMMYFUNCTION("""COMPUTED_VALUE"""),"B00147F8WS")</f>
        <v>B00147F8WS</v>
      </c>
      <c r="E41" t="str">
        <f>IFERROR(__xludf.DUMMYFUNCTION("""COMPUTED_VALUE"""),"727994752936")</f>
        <v>727994752936</v>
      </c>
      <c r="F41">
        <f>IFERROR(__xludf.DUMMYFUNCTION("""COMPUTED_VALUE"""),420.0)</f>
        <v>420</v>
      </c>
      <c r="G41">
        <f>IFERROR(__xludf.DUMMYFUNCTION("""COMPUTED_VALUE"""),127.0)</f>
        <v>127</v>
      </c>
      <c r="H41" s="2">
        <f>IFERROR(__xludf.DUMMYFUNCTION("""COMPUTED_VALUE"""),3.0)</f>
        <v>3</v>
      </c>
      <c r="I41" s="2">
        <f>IFERROR(__xludf.DUMMYFUNCTION("""COMPUTED_VALUE"""),15.97)</f>
        <v>15.97</v>
      </c>
      <c r="J41" s="2">
        <f>IFERROR(__xludf.DUMMYFUNCTION("""COMPUTED_VALUE"""),12.97)</f>
        <v>12.97</v>
      </c>
      <c r="K41" s="5">
        <f>IFERROR(__xludf.DUMMYFUNCTION("""COMPUTED_VALUE"""),4.323333333333333)</f>
        <v>4.323333333</v>
      </c>
      <c r="L41">
        <f>IFERROR(__xludf.DUMMYFUNCTION("""COMPUTED_VALUE"""),44880.0)</f>
        <v>44880</v>
      </c>
      <c r="M41" t="str">
        <f>IFERROR(__xludf.DUMMYFUNCTION("""COMPUTED_VALUE"""),"DVD")</f>
        <v>DVD</v>
      </c>
      <c r="O41" t="str">
        <f>IFERROR(__xludf.DUMMYFUNCTION("""COMPUTED_VALUE"""),"N")</f>
        <v>N</v>
      </c>
      <c r="P41" s="1" t="str">
        <f>IFERROR(__xludf.DUMMYFUNCTION("""COMPUTED_VALUE"""),"ID 4382")</f>
        <v>ID 4382</v>
      </c>
      <c r="Q41" s="1" t="str">
        <f>IFERROR(__xludf.DUMMYFUNCTION("""COMPUTED_VALUE"""),"B00147F8WS")</f>
        <v>B00147F8WS</v>
      </c>
    </row>
    <row r="42">
      <c r="A42" s="6">
        <f>IFERROR(__xludf.DUMMYFUNCTION("""COMPUTED_VALUE"""),45322.0)</f>
        <v>45322</v>
      </c>
      <c r="B42">
        <f>IFERROR(__xludf.DUMMYFUNCTION("""COMPUTED_VALUE"""),24532.0)</f>
        <v>24532</v>
      </c>
      <c r="C42" t="str">
        <f>IFERROR(__xludf.DUMMYFUNCTION("""COMPUTED_VALUE"""),"Bvlgari Omnia Amethyste for Women | Eau de Toilette | Created in 2006 by Alberto Morillas | Floral and Woody Scent | 65 mL / 2.2 Fl Oz")</f>
        <v>Bvlgari Omnia Amethyste for Women | Eau de Toilette | Created in 2006 by Alberto Morillas | Floral and Woody Scent | 65 mL / 2.2 Fl Oz</v>
      </c>
      <c r="D42" t="str">
        <f>IFERROR(__xludf.DUMMYFUNCTION("""COMPUTED_VALUE"""),"B000WZP3WI")</f>
        <v>B000WZP3WI</v>
      </c>
      <c r="E42" t="str">
        <f>IFERROR(__xludf.DUMMYFUNCTION("""COMPUTED_VALUE"""),"783320402586")</f>
        <v>783320402586</v>
      </c>
      <c r="F42">
        <f>IFERROR(__xludf.DUMMYFUNCTION("""COMPUTED_VALUE"""),20.0)</f>
        <v>20</v>
      </c>
      <c r="G42">
        <f>IFERROR(__xludf.DUMMYFUNCTION("""COMPUTED_VALUE"""),10000.0)</f>
        <v>10000</v>
      </c>
      <c r="H42" s="2">
        <f>IFERROR(__xludf.DUMMYFUNCTION("""COMPUTED_VALUE"""),70.0)</f>
        <v>70</v>
      </c>
      <c r="I42" s="2">
        <f>IFERROR(__xludf.DUMMYFUNCTION("""COMPUTED_VALUE"""),82.89)</f>
        <v>82.89</v>
      </c>
      <c r="J42" s="2">
        <f>IFERROR(__xludf.DUMMYFUNCTION("""COMPUTED_VALUE"""),12.89)</f>
        <v>12.89</v>
      </c>
      <c r="K42" s="5">
        <f>IFERROR(__xludf.DUMMYFUNCTION("""COMPUTED_VALUE"""),0.18414285714285716)</f>
        <v>0.1841428571</v>
      </c>
      <c r="L42">
        <f>IFERROR(__xludf.DUMMYFUNCTION("""COMPUTED_VALUE"""),60818.0)</f>
        <v>60818</v>
      </c>
      <c r="M42" t="str">
        <f>IFERROR(__xludf.DUMMYFUNCTION("""COMPUTED_VALUE"""),"Beauty")</f>
        <v>Beauty</v>
      </c>
      <c r="O42" t="str">
        <f>IFERROR(__xludf.DUMMYFUNCTION("""COMPUTED_VALUE"""),"N")</f>
        <v>N</v>
      </c>
      <c r="P42" s="1" t="str">
        <f>IFERROR(__xludf.DUMMYFUNCTION("""COMPUTED_VALUE"""),"ID 24532")</f>
        <v>ID 24532</v>
      </c>
      <c r="Q42" s="1" t="str">
        <f>IFERROR(__xludf.DUMMYFUNCTION("""COMPUTED_VALUE"""),"B000WZP3WI")</f>
        <v>B000WZP3WI</v>
      </c>
    </row>
    <row r="43">
      <c r="A43" s="6">
        <f>IFERROR(__xludf.DUMMYFUNCTION("""COMPUTED_VALUE"""),44469.0)</f>
        <v>44469</v>
      </c>
      <c r="B43">
        <f>IFERROR(__xludf.DUMMYFUNCTION("""COMPUTED_VALUE"""),19117.0)</f>
        <v>19117</v>
      </c>
      <c r="C43" t="str">
        <f>IFERROR(__xludf.DUMMYFUNCTION("""COMPUTED_VALUE"""),"Electronic Arts Plants vs. Zombies Garden Warfare 2 (Xbox One)")</f>
        <v>Electronic Arts Plants vs. Zombies Garden Warfare 2 (Xbox One)</v>
      </c>
      <c r="D43" t="str">
        <f>IFERROR(__xludf.DUMMYFUNCTION("""COMPUTED_VALUE"""),"B01KVR0ZYM")</f>
        <v>B01KVR0ZYM</v>
      </c>
      <c r="E43" t="str">
        <f>IFERROR(__xludf.DUMMYFUNCTION("""COMPUTED_VALUE"""),"14633370935")</f>
        <v>14633370935</v>
      </c>
      <c r="F43">
        <f>IFERROR(__xludf.DUMMYFUNCTION("""COMPUTED_VALUE"""),39.0)</f>
        <v>39</v>
      </c>
      <c r="G43">
        <f>IFERROR(__xludf.DUMMYFUNCTION("""COMPUTED_VALUE"""),39.0)</f>
        <v>39</v>
      </c>
      <c r="H43" s="2">
        <f>IFERROR(__xludf.DUMMYFUNCTION("""COMPUTED_VALUE"""),20.5)</f>
        <v>20.5</v>
      </c>
      <c r="I43" s="2">
        <f>IFERROR(__xludf.DUMMYFUNCTION("""COMPUTED_VALUE"""),32.88)</f>
        <v>32.88</v>
      </c>
      <c r="J43" s="2">
        <f>IFERROR(__xludf.DUMMYFUNCTION("""COMPUTED_VALUE"""),12.380000000000003)</f>
        <v>12.38</v>
      </c>
      <c r="K43" s="5">
        <f>IFERROR(__xludf.DUMMYFUNCTION("""COMPUTED_VALUE"""),0.6039024390243903)</f>
        <v>0.603902439</v>
      </c>
      <c r="L43">
        <f>IFERROR(__xludf.DUMMYFUNCTION("""COMPUTED_VALUE"""),78229.0)</f>
        <v>78229</v>
      </c>
      <c r="M43" t="str">
        <f>IFERROR(__xludf.DUMMYFUNCTION("""COMPUTED_VALUE"""),"BISS Basic")</f>
        <v>BISS Basic</v>
      </c>
      <c r="O43" t="str">
        <f>IFERROR(__xludf.DUMMYFUNCTION("""COMPUTED_VALUE"""),"N")</f>
        <v>N</v>
      </c>
      <c r="P43" s="1" t="str">
        <f>IFERROR(__xludf.DUMMYFUNCTION("""COMPUTED_VALUE"""),"ID 19117")</f>
        <v>ID 19117</v>
      </c>
      <c r="Q43" s="1" t="str">
        <f>IFERROR(__xludf.DUMMYFUNCTION("""COMPUTED_VALUE"""),"B01KVR0ZYM")</f>
        <v>B01KVR0ZYM</v>
      </c>
    </row>
    <row r="44">
      <c r="A44" s="6">
        <f>IFERROR(__xludf.DUMMYFUNCTION("""COMPUTED_VALUE"""),44524.0)</f>
        <v>44524</v>
      </c>
      <c r="B44">
        <f>IFERROR(__xludf.DUMMYFUNCTION("""COMPUTED_VALUE"""),23578.0)</f>
        <v>23578</v>
      </c>
      <c r="C44" t="str">
        <f>IFERROR(__xludf.DUMMYFUNCTION("""COMPUTED_VALUE"""),"Bose SoundLink Flex Bluetooth Portable Speaker, Wireless Waterproof Speaker for Outdoor Travel - Black")</f>
        <v>Bose SoundLink Flex Bluetooth Portable Speaker, Wireless Waterproof Speaker for Outdoor Travel - Black</v>
      </c>
      <c r="D44" t="str">
        <f>IFERROR(__xludf.DUMMYFUNCTION("""COMPUTED_VALUE"""),"B099TJGJ91")</f>
        <v>B099TJGJ91</v>
      </c>
      <c r="F44">
        <f>IFERROR(__xludf.DUMMYFUNCTION("""COMPUTED_VALUE"""),600.0)</f>
        <v>600</v>
      </c>
      <c r="G44">
        <f>IFERROR(__xludf.DUMMYFUNCTION("""COMPUTED_VALUE"""),1000.0)</f>
        <v>1000</v>
      </c>
      <c r="H44" s="2">
        <f>IFERROR(__xludf.DUMMYFUNCTION("""COMPUTED_VALUE"""),112.0)</f>
        <v>112</v>
      </c>
      <c r="I44" s="2">
        <f>IFERROR(__xludf.DUMMYFUNCTION("""COMPUTED_VALUE"""),124.38)</f>
        <v>124.38</v>
      </c>
      <c r="J44" s="2">
        <f>IFERROR(__xludf.DUMMYFUNCTION("""COMPUTED_VALUE"""),12.379999999999995)</f>
        <v>12.38</v>
      </c>
      <c r="K44" s="5">
        <f>IFERROR(__xludf.DUMMYFUNCTION("""COMPUTED_VALUE"""),0.11053571428571425)</f>
        <v>0.1105357143</v>
      </c>
      <c r="L44">
        <f>IFERROR(__xludf.DUMMYFUNCTION("""COMPUTED_VALUE"""),229.0)</f>
        <v>229</v>
      </c>
      <c r="M44" t="str">
        <f>IFERROR(__xludf.DUMMYFUNCTION("""COMPUTED_VALUE"""),"Speakers")</f>
        <v>Speakers</v>
      </c>
      <c r="N44" t="str">
        <f>IFERROR(__xludf.DUMMYFUNCTION("""COMPUTED_VALUE"""),"Brand permission to resell on amazon unknown.")</f>
        <v>Brand permission to resell on amazon unknown.</v>
      </c>
      <c r="O44" t="str">
        <f>IFERROR(__xludf.DUMMYFUNCTION("""COMPUTED_VALUE"""),"Y")</f>
        <v>Y</v>
      </c>
      <c r="P44" s="1" t="str">
        <f>IFERROR(__xludf.DUMMYFUNCTION("""COMPUTED_VALUE"""),"ID 23578")</f>
        <v>ID 23578</v>
      </c>
      <c r="Q44" s="1" t="str">
        <f>IFERROR(__xludf.DUMMYFUNCTION("""COMPUTED_VALUE"""),"B099TJGJ91")</f>
        <v>B099TJGJ91</v>
      </c>
    </row>
    <row r="45">
      <c r="A45" s="6">
        <f>IFERROR(__xludf.DUMMYFUNCTION("""COMPUTED_VALUE"""),45425.0)</f>
        <v>45425</v>
      </c>
      <c r="B45">
        <f>IFERROR(__xludf.DUMMYFUNCTION("""COMPUTED_VALUE"""),7624.0)</f>
        <v>7624</v>
      </c>
      <c r="C45" t="str">
        <f>IFERROR(__xludf.DUMMYFUNCTION("""COMPUTED_VALUE"""),"Anchor Hocking Caf Glass Coffee Mugs, Clear, 16 oz (Set of 6)")</f>
        <v>Anchor Hocking Caf Glass Coffee Mugs, Clear, 16 oz (Set of 6)</v>
      </c>
      <c r="D45" t="str">
        <f>IFERROR(__xludf.DUMMYFUNCTION("""COMPUTED_VALUE"""),"B001CFQUGA")</f>
        <v>B001CFQUGA</v>
      </c>
      <c r="E45" t="str">
        <f>IFERROR(__xludf.DUMMYFUNCTION("""COMPUTED_VALUE"""),"076440830453")</f>
        <v>076440830453</v>
      </c>
      <c r="F45">
        <f>IFERROR(__xludf.DUMMYFUNCTION("""COMPUTED_VALUE"""),123.0)</f>
        <v>123</v>
      </c>
      <c r="G45">
        <f>IFERROR(__xludf.DUMMYFUNCTION("""COMPUTED_VALUE"""),10000.0)</f>
        <v>10000</v>
      </c>
      <c r="H45" s="2">
        <f>IFERROR(__xludf.DUMMYFUNCTION("""COMPUTED_VALUE"""),13.0)</f>
        <v>13</v>
      </c>
      <c r="I45" s="2">
        <f>IFERROR(__xludf.DUMMYFUNCTION("""COMPUTED_VALUE"""),25.36)</f>
        <v>25.36</v>
      </c>
      <c r="J45" s="2">
        <f>IFERROR(__xludf.DUMMYFUNCTION("""COMPUTED_VALUE"""),12.36)</f>
        <v>12.36</v>
      </c>
      <c r="K45" s="5">
        <f>IFERROR(__xludf.DUMMYFUNCTION("""COMPUTED_VALUE"""),0.9507692307692307)</f>
        <v>0.9507692308</v>
      </c>
      <c r="L45">
        <f>IFERROR(__xludf.DUMMYFUNCTION("""COMPUTED_VALUE"""),17741.0)</f>
        <v>17741</v>
      </c>
      <c r="M45" t="str">
        <f>IFERROR(__xludf.DUMMYFUNCTION("""COMPUTED_VALUE"""),"Kitchen")</f>
        <v>Kitchen</v>
      </c>
      <c r="N45" t="str">
        <f>IFERROR(__xludf.DUMMYFUNCTION("""COMPUTED_VALUE"""),"UOM: 1 box of 6")</f>
        <v>UOM: 1 box of 6</v>
      </c>
      <c r="O45" t="str">
        <f>IFERROR(__xludf.DUMMYFUNCTION("""COMPUTED_VALUE"""),"Y")</f>
        <v>Y</v>
      </c>
      <c r="P45" s="1" t="str">
        <f>IFERROR(__xludf.DUMMYFUNCTION("""COMPUTED_VALUE"""),"ID 7624")</f>
        <v>ID 7624</v>
      </c>
      <c r="Q45" s="1" t="str">
        <f>IFERROR(__xludf.DUMMYFUNCTION("""COMPUTED_VALUE"""),"B001CFQUGA")</f>
        <v>B001CFQUGA</v>
      </c>
    </row>
    <row r="46">
      <c r="A46" s="6">
        <f>IFERROR(__xludf.DUMMYFUNCTION("""COMPUTED_VALUE"""),45418.0)</f>
        <v>45418</v>
      </c>
      <c r="B46">
        <f>IFERROR(__xludf.DUMMYFUNCTION("""COMPUTED_VALUE"""),23490.0)</f>
        <v>23490</v>
      </c>
      <c r="C46" t="str">
        <f>IFERROR(__xludf.DUMMYFUNCTION("""COMPUTED_VALUE"""),"Scotch Tough Grip Moving Packaging Tape, 1.88"" x 38.2 yd, Strong Hold on All Box Types Including Recycled, Secures Boxes up to 80 lbs, 3"" Core, Clear, 6 Rolls (3500S-6)")</f>
        <v>Scotch Tough Grip Moving Packaging Tape, 1.88" x 38.2 yd, Strong Hold on All Box Types Including Recycled, Secures Boxes up to 80 lbs, 3" Core, Clear, 6 Rolls (3500S-6)</v>
      </c>
      <c r="D46" t="str">
        <f>IFERROR(__xludf.DUMMYFUNCTION("""COMPUTED_VALUE"""),"B06Y19LMJH")</f>
        <v>B06Y19LMJH</v>
      </c>
      <c r="E46" t="str">
        <f>IFERROR(__xludf.DUMMYFUNCTION("""COMPUTED_VALUE"""),"76308910952")</f>
        <v>76308910952</v>
      </c>
      <c r="F46">
        <f>IFERROR(__xludf.DUMMYFUNCTION("""COMPUTED_VALUE"""),160.0)</f>
        <v>160</v>
      </c>
      <c r="G46">
        <f>IFERROR(__xludf.DUMMYFUNCTION("""COMPUTED_VALUE"""),2310.0)</f>
        <v>2310</v>
      </c>
      <c r="H46" s="2">
        <f>IFERROR(__xludf.DUMMYFUNCTION("""COMPUTED_VALUE"""),30.25)</f>
        <v>30.25</v>
      </c>
      <c r="I46" s="2">
        <f>IFERROR(__xludf.DUMMYFUNCTION("""COMPUTED_VALUE"""),42.37)</f>
        <v>42.37</v>
      </c>
      <c r="J46" s="2">
        <f>IFERROR(__xludf.DUMMYFUNCTION("""COMPUTED_VALUE"""),12.119999999999997)</f>
        <v>12.12</v>
      </c>
      <c r="K46" s="5">
        <f>IFERROR(__xludf.DUMMYFUNCTION("""COMPUTED_VALUE"""),0.4006611570247933)</f>
        <v>0.400661157</v>
      </c>
      <c r="L46">
        <f>IFERROR(__xludf.DUMMYFUNCTION("""COMPUTED_VALUE"""),60083.0)</f>
        <v>60083</v>
      </c>
      <c r="M46" t="str">
        <f>IFERROR(__xludf.DUMMYFUNCTION("""COMPUTED_VALUE"""),"Office Product")</f>
        <v>Office Product</v>
      </c>
      <c r="O46" t="str">
        <f>IFERROR(__xludf.DUMMYFUNCTION("""COMPUTED_VALUE"""),"N")</f>
        <v>N</v>
      </c>
      <c r="P46" s="1" t="str">
        <f>IFERROR(__xludf.DUMMYFUNCTION("""COMPUTED_VALUE"""),"ID 23490")</f>
        <v>ID 23490</v>
      </c>
      <c r="Q46" s="1" t="str">
        <f>IFERROR(__xludf.DUMMYFUNCTION("""COMPUTED_VALUE"""),"B06Y19LMJH")</f>
        <v>B06Y19LMJH</v>
      </c>
    </row>
    <row r="47">
      <c r="A47" s="6">
        <f>IFERROR(__xludf.DUMMYFUNCTION("""COMPUTED_VALUE"""),45251.0)</f>
        <v>45251</v>
      </c>
      <c r="B47">
        <f>IFERROR(__xludf.DUMMYFUNCTION("""COMPUTED_VALUE"""),23633.0)</f>
        <v>23633</v>
      </c>
      <c r="C47" t="str">
        <f>IFERROR(__xludf.DUMMYFUNCTION("""COMPUTED_VALUE"""),"Paco Rabanne Pour Homme 3.4-ounce After Shave")</f>
        <v>Paco Rabanne Pour Homme 3.4-ounce After Shave</v>
      </c>
      <c r="D47" t="str">
        <f>IFERROR(__xludf.DUMMYFUNCTION("""COMPUTED_VALUE"""),"B00BNAPBFU")</f>
        <v>B00BNAPBFU</v>
      </c>
      <c r="E47" t="str">
        <f>IFERROR(__xludf.DUMMYFUNCTION("""COMPUTED_VALUE"""),"3349668022304")</f>
        <v>3349668022304</v>
      </c>
      <c r="F47">
        <f>IFERROR(__xludf.DUMMYFUNCTION("""COMPUTED_VALUE"""),50.0)</f>
        <v>50</v>
      </c>
      <c r="G47">
        <f>IFERROR(__xludf.DUMMYFUNCTION("""COMPUTED_VALUE"""),10000.0)</f>
        <v>10000</v>
      </c>
      <c r="H47" s="2">
        <f>IFERROR(__xludf.DUMMYFUNCTION("""COMPUTED_VALUE"""),28.25)</f>
        <v>28.25</v>
      </c>
      <c r="I47" s="2">
        <f>IFERROR(__xludf.DUMMYFUNCTION("""COMPUTED_VALUE"""),40.09)</f>
        <v>40.09</v>
      </c>
      <c r="J47" s="2">
        <f>IFERROR(__xludf.DUMMYFUNCTION("""COMPUTED_VALUE"""),11.840000000000003)</f>
        <v>11.84</v>
      </c>
      <c r="K47" s="5">
        <f>IFERROR(__xludf.DUMMYFUNCTION("""COMPUTED_VALUE"""),0.4191150442477877)</f>
        <v>0.4191150442</v>
      </c>
      <c r="L47">
        <f>IFERROR(__xludf.DUMMYFUNCTION("""COMPUTED_VALUE"""),79675.0)</f>
        <v>79675</v>
      </c>
      <c r="M47" t="str">
        <f>IFERROR(__xludf.DUMMYFUNCTION("""COMPUTED_VALUE"""),"Beauty")</f>
        <v>Beauty</v>
      </c>
      <c r="O47" t="str">
        <f>IFERROR(__xludf.DUMMYFUNCTION("""COMPUTED_VALUE"""),"N")</f>
        <v>N</v>
      </c>
      <c r="P47" s="1" t="str">
        <f>IFERROR(__xludf.DUMMYFUNCTION("""COMPUTED_VALUE"""),"ID 23633")</f>
        <v>ID 23633</v>
      </c>
      <c r="Q47" s="1" t="str">
        <f>IFERROR(__xludf.DUMMYFUNCTION("""COMPUTED_VALUE"""),"B00BNAPBFU")</f>
        <v>B00BNAPBFU</v>
      </c>
    </row>
    <row r="48">
      <c r="A48" s="6">
        <f>IFERROR(__xludf.DUMMYFUNCTION("""COMPUTED_VALUE"""),45429.0)</f>
        <v>45429</v>
      </c>
      <c r="B48">
        <f>IFERROR(__xludf.DUMMYFUNCTION("""COMPUTED_VALUE"""),9093.0)</f>
        <v>9093</v>
      </c>
      <c r="C48" t="str">
        <f>IFERROR(__xludf.DUMMYFUNCTION("""COMPUTED_VALUE"""),"THE BARON by LTL Cologne Spray 4.5 oz for Men")</f>
        <v>THE BARON by LTL Cologne Spray 4.5 oz for Men</v>
      </c>
      <c r="D48" t="str">
        <f>IFERROR(__xludf.DUMMYFUNCTION("""COMPUTED_VALUE"""),"B0002GPWB4")</f>
        <v>B0002GPWB4</v>
      </c>
      <c r="E48" t="str">
        <f>IFERROR(__xludf.DUMMYFUNCTION("""COMPUTED_VALUE"""),"0607193000000")</f>
        <v>0607193000000</v>
      </c>
      <c r="F48">
        <f>IFERROR(__xludf.DUMMYFUNCTION("""COMPUTED_VALUE"""),180.0)</f>
        <v>180</v>
      </c>
      <c r="G48">
        <f>IFERROR(__xludf.DUMMYFUNCTION("""COMPUTED_VALUE"""),999.0)</f>
        <v>999</v>
      </c>
      <c r="H48" s="2">
        <f>IFERROR(__xludf.DUMMYFUNCTION("""COMPUTED_VALUE"""),11.25)</f>
        <v>11.25</v>
      </c>
      <c r="I48" s="2">
        <f>IFERROR(__xludf.DUMMYFUNCTION("""COMPUTED_VALUE"""),23.08)</f>
        <v>23.08</v>
      </c>
      <c r="J48" s="2">
        <f>IFERROR(__xludf.DUMMYFUNCTION("""COMPUTED_VALUE"""),11.829999999999998)</f>
        <v>11.83</v>
      </c>
      <c r="K48" s="5">
        <f>IFERROR(__xludf.DUMMYFUNCTION("""COMPUTED_VALUE"""),1.0515555555555554)</f>
        <v>1.051555556</v>
      </c>
      <c r="L48">
        <f>IFERROR(__xludf.DUMMYFUNCTION("""COMPUTED_VALUE"""),91149.0)</f>
        <v>91149</v>
      </c>
      <c r="M48" t="str">
        <f>IFERROR(__xludf.DUMMYFUNCTION("""COMPUTED_VALUE"""),"Health and Beauty")</f>
        <v>Health and Beauty</v>
      </c>
      <c r="O48" t="str">
        <f>IFERROR(__xludf.DUMMYFUNCTION("""COMPUTED_VALUE"""),"N")</f>
        <v>N</v>
      </c>
      <c r="P48" s="1" t="str">
        <f>IFERROR(__xludf.DUMMYFUNCTION("""COMPUTED_VALUE"""),"ID 9093")</f>
        <v>ID 9093</v>
      </c>
      <c r="Q48" s="1" t="str">
        <f>IFERROR(__xludf.DUMMYFUNCTION("""COMPUTED_VALUE"""),"B0002GPWB4")</f>
        <v>B0002GPWB4</v>
      </c>
    </row>
    <row r="49">
      <c r="A49" s="6">
        <f>IFERROR(__xludf.DUMMYFUNCTION("""COMPUTED_VALUE"""),44941.0)</f>
        <v>44941</v>
      </c>
      <c r="B49">
        <f>IFERROR(__xludf.DUMMYFUNCTION("""COMPUTED_VALUE"""),24635.0)</f>
        <v>24635</v>
      </c>
      <c r="C49" t="str">
        <f>IFERROR(__xludf.DUMMYFUNCTION("""COMPUTED_VALUE"""),"Waterman Allure Fountain Pen | Mint Green Matte Lacquer with Chrome Trim | Fine Stainless Steel Nib | Blue Ink | With Gift Box")</f>
        <v>Waterman Allure Fountain Pen | Mint Green Matte Lacquer with Chrome Trim | Fine Stainless Steel Nib | Blue Ink | With Gift Box</v>
      </c>
      <c r="D49" t="str">
        <f>IFERROR(__xludf.DUMMYFUNCTION("""COMPUTED_VALUE"""),"B08563VH37")</f>
        <v>B08563VH37</v>
      </c>
      <c r="E49" t="str">
        <f>IFERROR(__xludf.DUMMYFUNCTION("""COMPUTED_VALUE"""),"3026981053023")</f>
        <v>3026981053023</v>
      </c>
      <c r="F49">
        <f>IFERROR(__xludf.DUMMYFUNCTION("""COMPUTED_VALUE"""),200.0)</f>
        <v>200</v>
      </c>
      <c r="G49">
        <f>IFERROR(__xludf.DUMMYFUNCTION("""COMPUTED_VALUE"""),1000.0)</f>
        <v>1000</v>
      </c>
      <c r="H49" s="2">
        <f>IFERROR(__xludf.DUMMYFUNCTION("""COMPUTED_VALUE"""),15.0)</f>
        <v>15</v>
      </c>
      <c r="I49" s="2">
        <f>IFERROR(__xludf.DUMMYFUNCTION("""COMPUTED_VALUE"""),26.6)</f>
        <v>26.6</v>
      </c>
      <c r="J49" s="2">
        <f>IFERROR(__xludf.DUMMYFUNCTION("""COMPUTED_VALUE"""),11.600000000000001)</f>
        <v>11.6</v>
      </c>
      <c r="K49" s="5">
        <f>IFERROR(__xludf.DUMMYFUNCTION("""COMPUTED_VALUE"""),0.7733333333333334)</f>
        <v>0.7733333333</v>
      </c>
      <c r="L49">
        <f>IFERROR(__xludf.DUMMYFUNCTION("""COMPUTED_VALUE"""),93432.0)</f>
        <v>93432</v>
      </c>
      <c r="M49" t="str">
        <f>IFERROR(__xludf.DUMMYFUNCTION("""COMPUTED_VALUE"""),"Office Product")</f>
        <v>Office Product</v>
      </c>
      <c r="O49" t="str">
        <f>IFERROR(__xludf.DUMMYFUNCTION("""COMPUTED_VALUE"""),"N")</f>
        <v>N</v>
      </c>
      <c r="P49" s="1" t="str">
        <f>IFERROR(__xludf.DUMMYFUNCTION("""COMPUTED_VALUE"""),"ID 24635")</f>
        <v>ID 24635</v>
      </c>
      <c r="Q49" s="1" t="str">
        <f>IFERROR(__xludf.DUMMYFUNCTION("""COMPUTED_VALUE"""),"B08563VH37")</f>
        <v>B08563VH37</v>
      </c>
    </row>
    <row r="50">
      <c r="A50" s="6">
        <f>IFERROR(__xludf.DUMMYFUNCTION("""COMPUTED_VALUE"""),44469.0)</f>
        <v>44469</v>
      </c>
      <c r="B50">
        <f>IFERROR(__xludf.DUMMYFUNCTION("""COMPUTED_VALUE"""),19007.0)</f>
        <v>19007</v>
      </c>
      <c r="C50" t="str">
        <f>IFERROR(__xludf.DUMMYFUNCTION("""COMPUTED_VALUE"""),"Dishonored - Xbox 360 Game of the Year Edition")</f>
        <v>Dishonored - Xbox 360 Game of the Year Edition</v>
      </c>
      <c r="D50" t="str">
        <f>IFERROR(__xludf.DUMMYFUNCTION("""COMPUTED_VALUE"""),"B00F4GSAYI")</f>
        <v>B00F4GSAYI</v>
      </c>
      <c r="E50" t="str">
        <f>IFERROR(__xludf.DUMMYFUNCTION("""COMPUTED_VALUE"""),"93155118928")</f>
        <v>93155118928</v>
      </c>
      <c r="F50">
        <f>IFERROR(__xludf.DUMMYFUNCTION("""COMPUTED_VALUE"""),170.0)</f>
        <v>170</v>
      </c>
      <c r="G50">
        <f>IFERROR(__xludf.DUMMYFUNCTION("""COMPUTED_VALUE"""),1037.0)</f>
        <v>1037</v>
      </c>
      <c r="H50" s="2">
        <f>IFERROR(__xludf.DUMMYFUNCTION("""COMPUTED_VALUE"""),7.25)</f>
        <v>7.25</v>
      </c>
      <c r="I50" s="2">
        <f>IFERROR(__xludf.DUMMYFUNCTION("""COMPUTED_VALUE"""),18.81)</f>
        <v>18.81</v>
      </c>
      <c r="J50" s="2">
        <f>IFERROR(__xludf.DUMMYFUNCTION("""COMPUTED_VALUE"""),11.559999999999999)</f>
        <v>11.56</v>
      </c>
      <c r="K50" s="5">
        <f>IFERROR(__xludf.DUMMYFUNCTION("""COMPUTED_VALUE"""),1.5944827586206896)</f>
        <v>1.594482759</v>
      </c>
      <c r="L50">
        <f>IFERROR(__xludf.DUMMYFUNCTION("""COMPUTED_VALUE"""),57246.0)</f>
        <v>57246</v>
      </c>
      <c r="M50" t="str">
        <f>IFERROR(__xludf.DUMMYFUNCTION("""COMPUTED_VALUE"""),"Video Games")</f>
        <v>Video Games</v>
      </c>
      <c r="O50" t="str">
        <f>IFERROR(__xludf.DUMMYFUNCTION("""COMPUTED_VALUE"""),"N")</f>
        <v>N</v>
      </c>
      <c r="P50" s="1" t="str">
        <f>IFERROR(__xludf.DUMMYFUNCTION("""COMPUTED_VALUE"""),"ID 19007")</f>
        <v>ID 19007</v>
      </c>
      <c r="Q50" s="1" t="str">
        <f>IFERROR(__xludf.DUMMYFUNCTION("""COMPUTED_VALUE"""),"B00F4GSAYI")</f>
        <v>B00F4GSAYI</v>
      </c>
    </row>
    <row r="51">
      <c r="A51" s="6">
        <f>IFERROR(__xludf.DUMMYFUNCTION("""COMPUTED_VALUE"""),45429.0)</f>
        <v>45429</v>
      </c>
      <c r="B51">
        <f>IFERROR(__xludf.DUMMYFUNCTION("""COMPUTED_VALUE"""),9114.0)</f>
        <v>9114</v>
      </c>
      <c r="C51" t="str">
        <f>IFERROR(__xludf.DUMMYFUNCTION("""COMPUTED_VALUE"""),"Hamilton Beach 51101B Personal Blender with Travel Lid, Black")</f>
        <v>Hamilton Beach 51101B Personal Blender with Travel Lid, Black</v>
      </c>
      <c r="D51" t="str">
        <f>IFERROR(__xludf.DUMMYFUNCTION("""COMPUTED_VALUE"""),"B0017XHSAE")</f>
        <v>B0017XHSAE</v>
      </c>
      <c r="E51" t="str">
        <f>IFERROR(__xludf.DUMMYFUNCTION("""COMPUTED_VALUE"""),"040094910328")</f>
        <v>040094910328</v>
      </c>
      <c r="F51">
        <f>IFERROR(__xludf.DUMMYFUNCTION("""COMPUTED_VALUE"""),96.0)</f>
        <v>96</v>
      </c>
      <c r="G51">
        <f>IFERROR(__xludf.DUMMYFUNCTION("""COMPUTED_VALUE"""),10000.0)</f>
        <v>10000</v>
      </c>
      <c r="H51" s="2">
        <f>IFERROR(__xludf.DUMMYFUNCTION("""COMPUTED_VALUE"""),14.0)</f>
        <v>14</v>
      </c>
      <c r="I51" s="2">
        <f>IFERROR(__xludf.DUMMYFUNCTION("""COMPUTED_VALUE"""),25.52)</f>
        <v>25.52</v>
      </c>
      <c r="J51" s="2">
        <f>IFERROR(__xludf.DUMMYFUNCTION("""COMPUTED_VALUE"""),11.52)</f>
        <v>11.52</v>
      </c>
      <c r="K51" s="5">
        <f>IFERROR(__xludf.DUMMYFUNCTION("""COMPUTED_VALUE"""),0.8228571428571428)</f>
        <v>0.8228571429</v>
      </c>
      <c r="L51">
        <f>IFERROR(__xludf.DUMMYFUNCTION("""COMPUTED_VALUE"""),349.0)</f>
        <v>349</v>
      </c>
      <c r="M51" t="str">
        <f>IFERROR(__xludf.DUMMYFUNCTION("""COMPUTED_VALUE"""),"Kitchen")</f>
        <v>Kitchen</v>
      </c>
      <c r="N51" t="str">
        <f>IFERROR(__xludf.DUMMYFUNCTION("""COMPUTED_VALUE"""),"Restricted for online resale")</f>
        <v>Restricted for online resale</v>
      </c>
      <c r="O51" t="str">
        <f>IFERROR(__xludf.DUMMYFUNCTION("""COMPUTED_VALUE"""),"N")</f>
        <v>N</v>
      </c>
      <c r="P51" s="1" t="str">
        <f>IFERROR(__xludf.DUMMYFUNCTION("""COMPUTED_VALUE"""),"ID 9114")</f>
        <v>ID 9114</v>
      </c>
      <c r="Q51" s="1" t="str">
        <f>IFERROR(__xludf.DUMMYFUNCTION("""COMPUTED_VALUE"""),"B0017XHSAE")</f>
        <v>B0017XHSAE</v>
      </c>
    </row>
    <row r="52">
      <c r="A52" s="6">
        <f>IFERROR(__xludf.DUMMYFUNCTION("""COMPUTED_VALUE"""),45376.0)</f>
        <v>45376</v>
      </c>
      <c r="B52">
        <f>IFERROR(__xludf.DUMMYFUNCTION("""COMPUTED_VALUE"""),24131.0)</f>
        <v>24131</v>
      </c>
      <c r="C52" t="str">
        <f>IFERROR(__xludf.DUMMYFUNCTION("""COMPUTED_VALUE"""),"Fadeless (PAC0057028) Bulletin Board Art Paper, 48"" x 12', Brown")</f>
        <v>Fadeless (PAC0057028) Bulletin Board Art Paper, 48" x 12', Brown</v>
      </c>
      <c r="D52" t="str">
        <f>IFERROR(__xludf.DUMMYFUNCTION("""COMPUTED_VALUE"""),"B001AFG940")</f>
        <v>B001AFG940</v>
      </c>
      <c r="E52" t="str">
        <f>IFERROR(__xludf.DUMMYFUNCTION("""COMPUTED_VALUE"""),"029444570283")</f>
        <v>029444570283</v>
      </c>
      <c r="F52">
        <f>IFERROR(__xludf.DUMMYFUNCTION("""COMPUTED_VALUE"""),596.0)</f>
        <v>596</v>
      </c>
      <c r="G52">
        <f>IFERROR(__xludf.DUMMYFUNCTION("""COMPUTED_VALUE"""),10000.0)</f>
        <v>10000</v>
      </c>
      <c r="H52" s="2">
        <f>IFERROR(__xludf.DUMMYFUNCTION("""COMPUTED_VALUE"""),6.0)</f>
        <v>6</v>
      </c>
      <c r="I52" s="2">
        <f>IFERROR(__xludf.DUMMYFUNCTION("""COMPUTED_VALUE"""),16.46)</f>
        <v>16.46</v>
      </c>
      <c r="J52" s="2">
        <f>IFERROR(__xludf.DUMMYFUNCTION("""COMPUTED_VALUE"""),10.46)</f>
        <v>10.46</v>
      </c>
      <c r="K52" s="5">
        <f>IFERROR(__xludf.DUMMYFUNCTION("""COMPUTED_VALUE"""),1.7433333333333334)</f>
        <v>1.743333333</v>
      </c>
      <c r="L52">
        <f>IFERROR(__xludf.DUMMYFUNCTION("""COMPUTED_VALUE"""),3001.0)</f>
        <v>3001</v>
      </c>
      <c r="M52" t="str">
        <f>IFERROR(__xludf.DUMMYFUNCTION("""COMPUTED_VALUE"""),"Art and Craft Supply")</f>
        <v>Art and Craft Supply</v>
      </c>
      <c r="O52" t="str">
        <f>IFERROR(__xludf.DUMMYFUNCTION("""COMPUTED_VALUE"""),"Y")</f>
        <v>Y</v>
      </c>
      <c r="P52" s="1" t="str">
        <f>IFERROR(__xludf.DUMMYFUNCTION("""COMPUTED_VALUE"""),"ID 24131")</f>
        <v>ID 24131</v>
      </c>
      <c r="Q52" s="1" t="str">
        <f>IFERROR(__xludf.DUMMYFUNCTION("""COMPUTED_VALUE"""),"B001AFG940")</f>
        <v>B001AFG940</v>
      </c>
    </row>
    <row r="53">
      <c r="A53" s="6">
        <f>IFERROR(__xludf.DUMMYFUNCTION("""COMPUTED_VALUE"""),45385.0)</f>
        <v>45385</v>
      </c>
      <c r="B53">
        <f>IFERROR(__xludf.DUMMYFUNCTION("""COMPUTED_VALUE"""),11061.0)</f>
        <v>11061</v>
      </c>
      <c r="C53" t="str">
        <f>IFERROR(__xludf.DUMMYFUNCTION("""COMPUTED_VALUE"""),"Paco Rabanne 1 Million By Paco Rabanne For Men Edt Spray 3.4 Oz")</f>
        <v>Paco Rabanne 1 Million By Paco Rabanne For Men Edt Spray 3.4 Oz</v>
      </c>
      <c r="D53" t="str">
        <f>IFERROR(__xludf.DUMMYFUNCTION("""COMPUTED_VALUE"""),"B002XQ1X4G")</f>
        <v>B002XQ1X4G</v>
      </c>
      <c r="E53" t="str">
        <f>IFERROR(__xludf.DUMMYFUNCTION("""COMPUTED_VALUE"""),"3349666007914")</f>
        <v>3349666007914</v>
      </c>
      <c r="F53">
        <f>IFERROR(__xludf.DUMMYFUNCTION("""COMPUTED_VALUE"""),13.0)</f>
        <v>13</v>
      </c>
      <c r="G53">
        <f>IFERROR(__xludf.DUMMYFUNCTION("""COMPUTED_VALUE"""),13.0)</f>
        <v>13</v>
      </c>
      <c r="H53" s="2">
        <f>IFERROR(__xludf.DUMMYFUNCTION("""COMPUTED_VALUE"""),52.5)</f>
        <v>52.5</v>
      </c>
      <c r="I53" s="2">
        <f>IFERROR(__xludf.DUMMYFUNCTION("""COMPUTED_VALUE"""),62.79)</f>
        <v>62.79</v>
      </c>
      <c r="J53" s="2">
        <f>IFERROR(__xludf.DUMMYFUNCTION("""COMPUTED_VALUE"""),10.29)</f>
        <v>10.29</v>
      </c>
      <c r="K53" s="5">
        <f>IFERROR(__xludf.DUMMYFUNCTION("""COMPUTED_VALUE"""),0.19599999999999998)</f>
        <v>0.196</v>
      </c>
      <c r="L53">
        <f>IFERROR(__xludf.DUMMYFUNCTION("""COMPUTED_VALUE"""),20221.0)</f>
        <v>20221</v>
      </c>
      <c r="M53" t="str">
        <f>IFERROR(__xludf.DUMMYFUNCTION("""COMPUTED_VALUE"""),"Beauty")</f>
        <v>Beauty</v>
      </c>
      <c r="N53" t="str">
        <f>IFERROR(__xludf.DUMMYFUNCTION("""COMPUTED_VALUE"""),"Tester")</f>
        <v>Tester</v>
      </c>
      <c r="O53" t="str">
        <f>IFERROR(__xludf.DUMMYFUNCTION("""COMPUTED_VALUE"""),"Y")</f>
        <v>Y</v>
      </c>
      <c r="P53" s="1" t="str">
        <f>IFERROR(__xludf.DUMMYFUNCTION("""COMPUTED_VALUE"""),"ID 11061")</f>
        <v>ID 11061</v>
      </c>
      <c r="Q53" s="1" t="str">
        <f>IFERROR(__xludf.DUMMYFUNCTION("""COMPUTED_VALUE"""),"B002XQ1X4G")</f>
        <v>B002XQ1X4G</v>
      </c>
    </row>
    <row r="54">
      <c r="A54" s="6">
        <f>IFERROR(__xludf.DUMMYFUNCTION("""COMPUTED_VALUE"""),45229.0)</f>
        <v>45229</v>
      </c>
      <c r="B54">
        <f>IFERROR(__xludf.DUMMYFUNCTION("""COMPUTED_VALUE"""),11100.0)</f>
        <v>11100</v>
      </c>
      <c r="C54" t="str">
        <f>IFERROR(__xludf.DUMMYFUNCTION("""COMPUTED_VALUE"""),"Tabu by Dana Eau De Cologne Spray for Women 3.0 Ounce")</f>
        <v>Tabu by Dana Eau De Cologne Spray for Women 3.0 Ounce</v>
      </c>
      <c r="D54" t="str">
        <f>IFERROR(__xludf.DUMMYFUNCTION("""COMPUTED_VALUE"""),"B07TDMLFKK")</f>
        <v>B07TDMLFKK</v>
      </c>
      <c r="E54" t="str">
        <f>IFERROR(__xludf.DUMMYFUNCTION("""COMPUTED_VALUE"""),"046447012701")</f>
        <v>046447012701</v>
      </c>
      <c r="F54">
        <f>IFERROR(__xludf.DUMMYFUNCTION("""COMPUTED_VALUE"""),90.0)</f>
        <v>90</v>
      </c>
      <c r="G54">
        <f>IFERROR(__xludf.DUMMYFUNCTION("""COMPUTED_VALUE"""),10000.0)</f>
        <v>10000</v>
      </c>
      <c r="H54" s="2">
        <f>IFERROR(__xludf.DUMMYFUNCTION("""COMPUTED_VALUE"""),13.75)</f>
        <v>13.75</v>
      </c>
      <c r="I54" s="2">
        <f>IFERROR(__xludf.DUMMYFUNCTION("""COMPUTED_VALUE"""),23.88)</f>
        <v>23.88</v>
      </c>
      <c r="J54" s="2">
        <f>IFERROR(__xludf.DUMMYFUNCTION("""COMPUTED_VALUE"""),10.129999999999999)</f>
        <v>10.13</v>
      </c>
      <c r="K54" s="5">
        <f>IFERROR(__xludf.DUMMYFUNCTION("""COMPUTED_VALUE"""),0.7367272727272727)</f>
        <v>0.7367272727</v>
      </c>
      <c r="L54">
        <f>IFERROR(__xludf.DUMMYFUNCTION("""COMPUTED_VALUE"""),25765.0)</f>
        <v>25765</v>
      </c>
      <c r="M54" t="str">
        <f>IFERROR(__xludf.DUMMYFUNCTION("""COMPUTED_VALUE"""),"Beauty")</f>
        <v>Beauty</v>
      </c>
      <c r="O54" t="str">
        <f>IFERROR(__xludf.DUMMYFUNCTION("""COMPUTED_VALUE"""),"N")</f>
        <v>N</v>
      </c>
      <c r="P54" s="1" t="str">
        <f>IFERROR(__xludf.DUMMYFUNCTION("""COMPUTED_VALUE"""),"ID 11100")</f>
        <v>ID 11100</v>
      </c>
      <c r="Q54" s="1" t="str">
        <f>IFERROR(__xludf.DUMMYFUNCTION("""COMPUTED_VALUE"""),"B07TDMLFKK")</f>
        <v>B07TDMLFKK</v>
      </c>
    </row>
    <row r="55">
      <c r="A55" s="6">
        <f>IFERROR(__xludf.DUMMYFUNCTION("""COMPUTED_VALUE"""),44615.0)</f>
        <v>44615</v>
      </c>
      <c r="B55">
        <f>IFERROR(__xludf.DUMMYFUNCTION("""COMPUTED_VALUE"""),23326.0)</f>
        <v>23326</v>
      </c>
      <c r="C55" t="str">
        <f>IFERROR(__xludf.DUMMYFUNCTION("""COMPUTED_VALUE"""),"Sony MDRE9LP/PNK Earbud Headphones")</f>
        <v>Sony MDRE9LP/PNK Earbud Headphones</v>
      </c>
      <c r="D55" t="str">
        <f>IFERROR(__xludf.DUMMYFUNCTION("""COMPUTED_VALUE"""),"B004YDMQEC")</f>
        <v>B004YDMQEC</v>
      </c>
      <c r="F55">
        <f>IFERROR(__xludf.DUMMYFUNCTION("""COMPUTED_VALUE"""),400.0)</f>
        <v>400</v>
      </c>
      <c r="G55">
        <f>IFERROR(__xludf.DUMMYFUNCTION("""COMPUTED_VALUE"""),2308.0)</f>
        <v>2308</v>
      </c>
      <c r="H55" s="2">
        <f>IFERROR(__xludf.DUMMYFUNCTION("""COMPUTED_VALUE"""),4.5)</f>
        <v>4.5</v>
      </c>
      <c r="I55" s="2">
        <f>IFERROR(__xludf.DUMMYFUNCTION("""COMPUTED_VALUE"""),14.47)</f>
        <v>14.47</v>
      </c>
      <c r="J55" s="2">
        <f>IFERROR(__xludf.DUMMYFUNCTION("""COMPUTED_VALUE"""),9.97)</f>
        <v>9.97</v>
      </c>
      <c r="K55" s="5">
        <f>IFERROR(__xludf.DUMMYFUNCTION("""COMPUTED_VALUE"""),2.2155555555555555)</f>
        <v>2.215555556</v>
      </c>
      <c r="L55">
        <f>IFERROR(__xludf.DUMMYFUNCTION("""COMPUTED_VALUE"""),32035.0)</f>
        <v>32035</v>
      </c>
      <c r="M55" t="str">
        <f>IFERROR(__xludf.DUMMYFUNCTION("""COMPUTED_VALUE"""),"Speakers")</f>
        <v>Speakers</v>
      </c>
      <c r="O55" t="str">
        <f>IFERROR(__xludf.DUMMYFUNCTION("""COMPUTED_VALUE"""),"N")</f>
        <v>N</v>
      </c>
      <c r="P55" s="1" t="str">
        <f>IFERROR(__xludf.DUMMYFUNCTION("""COMPUTED_VALUE"""),"ID 23326")</f>
        <v>ID 23326</v>
      </c>
      <c r="Q55" s="1" t="str">
        <f>IFERROR(__xludf.DUMMYFUNCTION("""COMPUTED_VALUE"""),"B004YDMQEC")</f>
        <v>B004YDMQEC</v>
      </c>
    </row>
    <row r="56">
      <c r="A56" s="6">
        <f>IFERROR(__xludf.DUMMYFUNCTION("""COMPUTED_VALUE"""),45376.0)</f>
        <v>45376</v>
      </c>
      <c r="B56">
        <f>IFERROR(__xludf.DUMMYFUNCTION("""COMPUTED_VALUE"""),21905.0)</f>
        <v>21905</v>
      </c>
      <c r="C56" t="str">
        <f>IFERROR(__xludf.DUMMYFUNCTION("""COMPUTED_VALUE"""),"Dixon Industrial Paint Markers, Medium Tip, Box of 12 Markers, White (80229)")</f>
        <v>Dixon Industrial Paint Markers, Medium Tip, Box of 12 Markers, White (80229)</v>
      </c>
      <c r="D56" t="str">
        <f>IFERROR(__xludf.DUMMYFUNCTION("""COMPUTED_VALUE"""),"B002JGJ590")</f>
        <v>B002JGJ590</v>
      </c>
      <c r="E56" t="str">
        <f>IFERROR(__xludf.DUMMYFUNCTION("""COMPUTED_VALUE"""),"072067802293")</f>
        <v>072067802293</v>
      </c>
      <c r="F56">
        <f>IFERROR(__xludf.DUMMYFUNCTION("""COMPUTED_VALUE"""),144.0)</f>
        <v>144</v>
      </c>
      <c r="G56">
        <f>IFERROR(__xludf.DUMMYFUNCTION("""COMPUTED_VALUE"""),10000.0)</f>
        <v>10000</v>
      </c>
      <c r="H56" s="2">
        <f>IFERROR(__xludf.DUMMYFUNCTION("""COMPUTED_VALUE"""),24.75)</f>
        <v>24.75</v>
      </c>
      <c r="I56" s="2">
        <f>IFERROR(__xludf.DUMMYFUNCTION("""COMPUTED_VALUE"""),34.67)</f>
        <v>34.67</v>
      </c>
      <c r="J56" s="2">
        <f>IFERROR(__xludf.DUMMYFUNCTION("""COMPUTED_VALUE"""),9.920000000000002)</f>
        <v>9.92</v>
      </c>
      <c r="K56" s="5">
        <f>IFERROR(__xludf.DUMMYFUNCTION("""COMPUTED_VALUE"""),0.4008080808080809)</f>
        <v>0.4008080808</v>
      </c>
      <c r="L56">
        <f>IFERROR(__xludf.DUMMYFUNCTION("""COMPUTED_VALUE"""),6898.0)</f>
        <v>6898</v>
      </c>
      <c r="M56" t="str">
        <f>IFERROR(__xludf.DUMMYFUNCTION("""COMPUTED_VALUE"""),"Office Product")</f>
        <v>Office Product</v>
      </c>
      <c r="O56" t="str">
        <f>IFERROR(__xludf.DUMMYFUNCTION("""COMPUTED_VALUE"""),"Y")</f>
        <v>Y</v>
      </c>
      <c r="P56" s="1" t="str">
        <f>IFERROR(__xludf.DUMMYFUNCTION("""COMPUTED_VALUE"""),"ID 21905")</f>
        <v>ID 21905</v>
      </c>
      <c r="Q56" s="1" t="str">
        <f>IFERROR(__xludf.DUMMYFUNCTION("""COMPUTED_VALUE"""),"B002JGJ590")</f>
        <v>B002JGJ590</v>
      </c>
    </row>
    <row r="57">
      <c r="A57" s="6">
        <f>IFERROR(__xludf.DUMMYFUNCTION("""COMPUTED_VALUE"""),44712.0)</f>
        <v>44712</v>
      </c>
      <c r="B57">
        <f>IFERROR(__xludf.DUMMYFUNCTION("""COMPUTED_VALUE"""),8008.0)</f>
        <v>8008</v>
      </c>
      <c r="C57" t="str">
        <f>IFERROR(__xludf.DUMMYFUNCTION("""COMPUTED_VALUE"""),"Aramis Advanced Moisturizing After Shave Balm For Men 4.10 oz")</f>
        <v>Aramis Advanced Moisturizing After Shave Balm For Men 4.10 oz</v>
      </c>
      <c r="D57" t="str">
        <f>IFERROR(__xludf.DUMMYFUNCTION("""COMPUTED_VALUE"""),"B002XITY6S")</f>
        <v>B002XITY6S</v>
      </c>
      <c r="E57" t="str">
        <f>IFERROR(__xludf.DUMMYFUNCTION("""COMPUTED_VALUE"""),"022548003282")</f>
        <v>022548003282</v>
      </c>
      <c r="F57">
        <f>IFERROR(__xludf.DUMMYFUNCTION("""COMPUTED_VALUE"""),30.0)</f>
        <v>30</v>
      </c>
      <c r="G57">
        <f>IFERROR(__xludf.DUMMYFUNCTION("""COMPUTED_VALUE"""),80.0)</f>
        <v>80</v>
      </c>
      <c r="H57" s="2">
        <f>IFERROR(__xludf.DUMMYFUNCTION("""COMPUTED_VALUE"""),45.5)</f>
        <v>45.5</v>
      </c>
      <c r="I57" s="2">
        <f>IFERROR(__xludf.DUMMYFUNCTION("""COMPUTED_VALUE"""),55.33)</f>
        <v>55.33</v>
      </c>
      <c r="J57" s="2">
        <f>IFERROR(__xludf.DUMMYFUNCTION("""COMPUTED_VALUE"""),9.829999999999998)</f>
        <v>9.83</v>
      </c>
      <c r="K57" s="5">
        <f>IFERROR(__xludf.DUMMYFUNCTION("""COMPUTED_VALUE"""),0.21604395604395601)</f>
        <v>0.216043956</v>
      </c>
      <c r="L57">
        <f>IFERROR(__xludf.DUMMYFUNCTION("""COMPUTED_VALUE"""),47774.0)</f>
        <v>47774</v>
      </c>
      <c r="M57" t="str">
        <f>IFERROR(__xludf.DUMMYFUNCTION("""COMPUTED_VALUE"""),"Beauty")</f>
        <v>Beauty</v>
      </c>
      <c r="O57" t="str">
        <f>IFERROR(__xludf.DUMMYFUNCTION("""COMPUTED_VALUE"""),"N")</f>
        <v>N</v>
      </c>
      <c r="P57" s="1" t="str">
        <f>IFERROR(__xludf.DUMMYFUNCTION("""COMPUTED_VALUE"""),"ID 8008")</f>
        <v>ID 8008</v>
      </c>
      <c r="Q57" s="1" t="str">
        <f>IFERROR(__xludf.DUMMYFUNCTION("""COMPUTED_VALUE"""),"B002XITY6S")</f>
        <v>B002XITY6S</v>
      </c>
    </row>
    <row r="58">
      <c r="A58" s="6">
        <f>IFERROR(__xludf.DUMMYFUNCTION("""COMPUTED_VALUE"""),45334.0)</f>
        <v>45334</v>
      </c>
      <c r="B58">
        <f>IFERROR(__xludf.DUMMYFUNCTION("""COMPUTED_VALUE"""),25233.0)</f>
        <v>25233</v>
      </c>
      <c r="C58" t="str">
        <f>IFERROR(__xludf.DUMMYFUNCTION("""COMPUTED_VALUE"""),"Maison Margiela Replica Whispers in the Library Eau de Toilette 100ml / 3.4 oz,MMMNCU025")</f>
        <v>Maison Margiela Replica Whispers in the Library Eau de Toilette 100ml / 3.4 oz,MMMNCU025</v>
      </c>
      <c r="D58" t="str">
        <f>IFERROR(__xludf.DUMMYFUNCTION("""COMPUTED_VALUE"""),"B07NLYJVP5")</f>
        <v>B07NLYJVP5</v>
      </c>
      <c r="E58" t="str">
        <f>IFERROR(__xludf.DUMMYFUNCTION("""COMPUTED_VALUE"""),"3614272404694")</f>
        <v>3614272404694</v>
      </c>
      <c r="F58">
        <f>IFERROR(__xludf.DUMMYFUNCTION("""COMPUTED_VALUE"""),20.0)</f>
        <v>20</v>
      </c>
      <c r="G58">
        <f>IFERROR(__xludf.DUMMYFUNCTION("""COMPUTED_VALUE"""),10000.0)</f>
        <v>10000</v>
      </c>
      <c r="H58" s="2">
        <f>IFERROR(__xludf.DUMMYFUNCTION("""COMPUTED_VALUE"""),92.5)</f>
        <v>92.5</v>
      </c>
      <c r="I58" s="2">
        <f>IFERROR(__xludf.DUMMYFUNCTION("""COMPUTED_VALUE"""),102.29)</f>
        <v>102.29</v>
      </c>
      <c r="J58" s="2">
        <f>IFERROR(__xludf.DUMMYFUNCTION("""COMPUTED_VALUE"""),9.790000000000006)</f>
        <v>9.79</v>
      </c>
      <c r="K58" s="5">
        <f>IFERROR(__xludf.DUMMYFUNCTION("""COMPUTED_VALUE"""),0.1058378378378379)</f>
        <v>0.1058378378</v>
      </c>
      <c r="L58">
        <f>IFERROR(__xludf.DUMMYFUNCTION("""COMPUTED_VALUE"""),20201.0)</f>
        <v>20201</v>
      </c>
      <c r="M58" t="str">
        <f>IFERROR(__xludf.DUMMYFUNCTION("""COMPUTED_VALUE"""),"Beauty")</f>
        <v>Beauty</v>
      </c>
      <c r="O58" t="str">
        <f>IFERROR(__xludf.DUMMYFUNCTION("""COMPUTED_VALUE"""),"N")</f>
        <v>N</v>
      </c>
      <c r="P58" s="1" t="str">
        <f>IFERROR(__xludf.DUMMYFUNCTION("""COMPUTED_VALUE"""),"ID 25233")</f>
        <v>ID 25233</v>
      </c>
      <c r="Q58" s="1" t="str">
        <f>IFERROR(__xludf.DUMMYFUNCTION("""COMPUTED_VALUE"""),"B07NLYJVP5")</f>
        <v>B07NLYJVP5</v>
      </c>
    </row>
    <row r="59">
      <c r="A59" s="6">
        <f>IFERROR(__xludf.DUMMYFUNCTION("""COMPUTED_VALUE"""),45348.0)</f>
        <v>45348</v>
      </c>
      <c r="B59">
        <f>IFERROR(__xludf.DUMMYFUNCTION("""COMPUTED_VALUE"""),22192.0)</f>
        <v>22192</v>
      </c>
      <c r="C59" t="str">
        <f>IFERROR(__xludf.DUMMYFUNCTION("""COMPUTED_VALUE"""),"Tom Ford Private Blend Oud Wood Eau De Parfum Spray 30ml/1oz")</f>
        <v>Tom Ford Private Blend Oud Wood Eau De Parfum Spray 30ml/1oz</v>
      </c>
      <c r="D59" t="str">
        <f>IFERROR(__xludf.DUMMYFUNCTION("""COMPUTED_VALUE"""),"B01APUYR9E")</f>
        <v>B01APUYR9E</v>
      </c>
      <c r="E59" t="str">
        <f>IFERROR(__xludf.DUMMYFUNCTION("""COMPUTED_VALUE"""),"888066050685")</f>
        <v>888066050685</v>
      </c>
      <c r="F59">
        <f>IFERROR(__xludf.DUMMYFUNCTION("""COMPUTED_VALUE"""),20.0)</f>
        <v>20</v>
      </c>
      <c r="G59">
        <f>IFERROR(__xludf.DUMMYFUNCTION("""COMPUTED_VALUE"""),10000.0)</f>
        <v>10000</v>
      </c>
      <c r="H59" s="2">
        <f>IFERROR(__xludf.DUMMYFUNCTION("""COMPUTED_VALUE"""),103.75)</f>
        <v>103.75</v>
      </c>
      <c r="I59" s="2">
        <f>IFERROR(__xludf.DUMMYFUNCTION("""COMPUTED_VALUE"""),113.42)</f>
        <v>113.42</v>
      </c>
      <c r="J59" s="2">
        <f>IFERROR(__xludf.DUMMYFUNCTION("""COMPUTED_VALUE"""),9.670000000000002)</f>
        <v>9.67</v>
      </c>
      <c r="K59" s="5">
        <f>IFERROR(__xludf.DUMMYFUNCTION("""COMPUTED_VALUE"""),0.09320481927710846)</f>
        <v>0.09320481928</v>
      </c>
      <c r="L59">
        <f>IFERROR(__xludf.DUMMYFUNCTION("""COMPUTED_VALUE"""),41012.0)</f>
        <v>41012</v>
      </c>
      <c r="M59" t="str">
        <f>IFERROR(__xludf.DUMMYFUNCTION("""COMPUTED_VALUE"""),"Beauty")</f>
        <v>Beauty</v>
      </c>
      <c r="O59" t="str">
        <f>IFERROR(__xludf.DUMMYFUNCTION("""COMPUTED_VALUE"""),"N")</f>
        <v>N</v>
      </c>
      <c r="P59" s="1" t="str">
        <f>IFERROR(__xludf.DUMMYFUNCTION("""COMPUTED_VALUE"""),"ID 22192")</f>
        <v>ID 22192</v>
      </c>
      <c r="Q59" s="1" t="str">
        <f>IFERROR(__xludf.DUMMYFUNCTION("""COMPUTED_VALUE"""),"B01APUYR9E")</f>
        <v>B01APUYR9E</v>
      </c>
    </row>
    <row r="60">
      <c r="A60" s="6">
        <f>IFERROR(__xludf.DUMMYFUNCTION("""COMPUTED_VALUE"""),45343.0)</f>
        <v>45343</v>
      </c>
      <c r="B60">
        <f>IFERROR(__xludf.DUMMYFUNCTION("""COMPUTED_VALUE"""),22416.0)</f>
        <v>22416</v>
      </c>
      <c r="C60" t="str">
        <f>IFERROR(__xludf.DUMMYFUNCTION("""COMPUTED_VALUE"""),"Nuvo 62/1206 LED Landscape Floodlight, 12.2 in, Bronze")</f>
        <v>Nuvo 62/1206 LED Landscape Floodlight, 12.2 in, Bronze</v>
      </c>
      <c r="D60" t="str">
        <f>IFERROR(__xludf.DUMMYFUNCTION("""COMPUTED_VALUE"""),"B08CXS78NZ")</f>
        <v>B08CXS78NZ</v>
      </c>
      <c r="E60" t="str">
        <f>IFERROR(__xludf.DUMMYFUNCTION("""COMPUTED_VALUE"""),"045923621215")</f>
        <v>045923621215</v>
      </c>
      <c r="F60">
        <f>IFERROR(__xludf.DUMMYFUNCTION("""COMPUTED_VALUE"""),36.0)</f>
        <v>36</v>
      </c>
      <c r="G60">
        <f>IFERROR(__xludf.DUMMYFUNCTION("""COMPUTED_VALUE"""),10000.0)</f>
        <v>10000</v>
      </c>
      <c r="H60" s="2">
        <f>IFERROR(__xludf.DUMMYFUNCTION("""COMPUTED_VALUE"""),43.75)</f>
        <v>43.75</v>
      </c>
      <c r="I60" s="2">
        <f>IFERROR(__xludf.DUMMYFUNCTION("""COMPUTED_VALUE"""),53.38)</f>
        <v>53.38</v>
      </c>
      <c r="J60" s="2">
        <f>IFERROR(__xludf.DUMMYFUNCTION("""COMPUTED_VALUE"""),9.630000000000003)</f>
        <v>9.63</v>
      </c>
      <c r="K60" s="5">
        <f>IFERROR(__xludf.DUMMYFUNCTION("""COMPUTED_VALUE"""),0.22011428571428576)</f>
        <v>0.2201142857</v>
      </c>
      <c r="L60">
        <f>IFERROR(__xludf.DUMMYFUNCTION("""COMPUTED_VALUE"""),29185.0)</f>
        <v>29185</v>
      </c>
      <c r="M60" t="str">
        <f>IFERROR(__xludf.DUMMYFUNCTION("""COMPUTED_VALUE"""),"Home Improvement")</f>
        <v>Home Improvement</v>
      </c>
      <c r="N60" t="str">
        <f>IFERROR(__xludf.DUMMYFUNCTION("""COMPUTED_VALUE"""),"MAP $54.99. If you violate the MAP pricing the brand may choose to remove you from the listing")</f>
        <v>MAP $54.99. If you violate the MAP pricing the brand may choose to remove you from the listing</v>
      </c>
      <c r="O60" t="str">
        <f>IFERROR(__xludf.DUMMYFUNCTION("""COMPUTED_VALUE"""),"Y")</f>
        <v>Y</v>
      </c>
      <c r="P60" s="1" t="str">
        <f>IFERROR(__xludf.DUMMYFUNCTION("""COMPUTED_VALUE"""),"ID 22416")</f>
        <v>ID 22416</v>
      </c>
      <c r="Q60" s="1" t="str">
        <f>IFERROR(__xludf.DUMMYFUNCTION("""COMPUTED_VALUE"""),"B08CXS78NZ")</f>
        <v>B08CXS78NZ</v>
      </c>
    </row>
    <row r="61">
      <c r="A61" s="6">
        <f>IFERROR(__xludf.DUMMYFUNCTION("""COMPUTED_VALUE"""),45429.0)</f>
        <v>45429</v>
      </c>
      <c r="B61">
        <f>IFERROR(__xludf.DUMMYFUNCTION("""COMPUTED_VALUE"""),21326.0)</f>
        <v>21326</v>
      </c>
      <c r="C61" t="str">
        <f>IFERROR(__xludf.DUMMYFUNCTION("""COMPUTED_VALUE"""),"Pressman Wild Kratts Race Around the World Board Game Multicolor, 5""")</f>
        <v>Pressman Wild Kratts Race Around the World Board Game Multicolor, 5"</v>
      </c>
      <c r="D61" t="str">
        <f>IFERROR(__xludf.DUMMYFUNCTION("""COMPUTED_VALUE"""),"B0132DZ6UK")</f>
        <v>B0132DZ6UK</v>
      </c>
      <c r="E61" t="str">
        <f>IFERROR(__xludf.DUMMYFUNCTION("""COMPUTED_VALUE"""),"021853040708")</f>
        <v>021853040708</v>
      </c>
      <c r="F61">
        <f>IFERROR(__xludf.DUMMYFUNCTION("""COMPUTED_VALUE"""),378.0)</f>
        <v>378</v>
      </c>
      <c r="G61">
        <f>IFERROR(__xludf.DUMMYFUNCTION("""COMPUTED_VALUE"""),3594.0)</f>
        <v>3594</v>
      </c>
      <c r="H61" s="2">
        <f>IFERROR(__xludf.DUMMYFUNCTION("""COMPUTED_VALUE"""),4.75)</f>
        <v>4.75</v>
      </c>
      <c r="I61" s="2">
        <f>IFERROR(__xludf.DUMMYFUNCTION("""COMPUTED_VALUE"""),14.27)</f>
        <v>14.27</v>
      </c>
      <c r="J61" s="2">
        <f>IFERROR(__xludf.DUMMYFUNCTION("""COMPUTED_VALUE"""),9.52)</f>
        <v>9.52</v>
      </c>
      <c r="K61" s="5">
        <f>IFERROR(__xludf.DUMMYFUNCTION("""COMPUTED_VALUE"""),2.004210526315789)</f>
        <v>2.004210526</v>
      </c>
      <c r="L61">
        <f>IFERROR(__xludf.DUMMYFUNCTION("""COMPUTED_VALUE"""),11161.0)</f>
        <v>11161</v>
      </c>
      <c r="M61" t="str">
        <f>IFERROR(__xludf.DUMMYFUNCTION("""COMPUTED_VALUE"""),"Toy")</f>
        <v>Toy</v>
      </c>
      <c r="N61" t="str">
        <f>IFERROR(__xludf.DUMMYFUNCTION("""COMPUTED_VALUE"""),"Restricted for online resale")</f>
        <v>Restricted for online resale</v>
      </c>
      <c r="O61" t="str">
        <f>IFERROR(__xludf.DUMMYFUNCTION("""COMPUTED_VALUE"""),"Y")</f>
        <v>Y</v>
      </c>
      <c r="P61" s="1" t="str">
        <f>IFERROR(__xludf.DUMMYFUNCTION("""COMPUTED_VALUE"""),"ID 21326")</f>
        <v>ID 21326</v>
      </c>
      <c r="Q61" s="1" t="str">
        <f>IFERROR(__xludf.DUMMYFUNCTION("""COMPUTED_VALUE"""),"B0132DZ6UK")</f>
        <v>B0132DZ6UK</v>
      </c>
    </row>
    <row r="62">
      <c r="A62" s="6">
        <f>IFERROR(__xludf.DUMMYFUNCTION("""COMPUTED_VALUE"""),45426.0)</f>
        <v>45426</v>
      </c>
      <c r="B62">
        <f>IFERROR(__xludf.DUMMYFUNCTION("""COMPUTED_VALUE"""),24642.0)</f>
        <v>24642</v>
      </c>
      <c r="C62" t="str">
        <f>IFERROR(__xludf.DUMMYFUNCTION("""COMPUTED_VALUE"""),"PARKER IM Rollerball Pen | Matte Black with Black Trim | Fine Point with Black Ink Refill | Gift Box")</f>
        <v>PARKER IM Rollerball Pen | Matte Black with Black Trim | Fine Point with Black Ink Refill | Gift Box</v>
      </c>
      <c r="D62" t="str">
        <f>IFERROR(__xludf.DUMMYFUNCTION("""COMPUTED_VALUE"""),"B08LDKQRZR")</f>
        <v>B08LDKQRZR</v>
      </c>
      <c r="E62" t="str">
        <f>IFERROR(__xludf.DUMMYFUNCTION("""COMPUTED_VALUE"""),"3026981277436")</f>
        <v>3026981277436</v>
      </c>
      <c r="F62">
        <f>IFERROR(__xludf.DUMMYFUNCTION("""COMPUTED_VALUE"""),150.0)</f>
        <v>150</v>
      </c>
      <c r="G62">
        <f>IFERROR(__xludf.DUMMYFUNCTION("""COMPUTED_VALUE"""),10000.0)</f>
        <v>10000</v>
      </c>
      <c r="H62" s="2">
        <f>IFERROR(__xludf.DUMMYFUNCTION("""COMPUTED_VALUE"""),22.5)</f>
        <v>22.5</v>
      </c>
      <c r="I62" s="2">
        <f>IFERROR(__xludf.DUMMYFUNCTION("""COMPUTED_VALUE"""),32.01)</f>
        <v>32.01</v>
      </c>
      <c r="J62" s="2">
        <f>IFERROR(__xludf.DUMMYFUNCTION("""COMPUTED_VALUE"""),9.509999999999998)</f>
        <v>9.51</v>
      </c>
      <c r="K62" s="5">
        <f>IFERROR(__xludf.DUMMYFUNCTION("""COMPUTED_VALUE"""),0.4226666666666666)</f>
        <v>0.4226666667</v>
      </c>
      <c r="L62">
        <f>IFERROR(__xludf.DUMMYFUNCTION("""COMPUTED_VALUE"""),8159.0)</f>
        <v>8159</v>
      </c>
      <c r="M62" t="str">
        <f>IFERROR(__xludf.DUMMYFUNCTION("""COMPUTED_VALUE"""),"Office Product")</f>
        <v>Office Product</v>
      </c>
      <c r="O62" t="str">
        <f>IFERROR(__xludf.DUMMYFUNCTION("""COMPUTED_VALUE"""),"Y")</f>
        <v>Y</v>
      </c>
      <c r="P62" s="1" t="str">
        <f>IFERROR(__xludf.DUMMYFUNCTION("""COMPUTED_VALUE"""),"ID 24642")</f>
        <v>ID 24642</v>
      </c>
      <c r="Q62" s="1" t="str">
        <f>IFERROR(__xludf.DUMMYFUNCTION("""COMPUTED_VALUE"""),"B08LDKQRZR")</f>
        <v>B08LDKQRZR</v>
      </c>
    </row>
    <row r="63">
      <c r="A63" s="6">
        <f>IFERROR(__xludf.DUMMYFUNCTION("""COMPUTED_VALUE"""),45286.0)</f>
        <v>45286</v>
      </c>
      <c r="B63">
        <f>IFERROR(__xludf.DUMMYFUNCTION("""COMPUTED_VALUE"""),25785.0)</f>
        <v>25785</v>
      </c>
      <c r="C63" t="str">
        <f>IFERROR(__xludf.DUMMYFUNCTION("""COMPUTED_VALUE"""),"HP 15X | C7115X | Toner-Cartridge | Black | High Yield")</f>
        <v>HP 15X | C7115X | Toner-Cartridge | Black | High Yield</v>
      </c>
      <c r="D63" t="str">
        <f>IFERROR(__xludf.DUMMYFUNCTION("""COMPUTED_VALUE"""),"B00005NHAB")</f>
        <v>B00005NHAB</v>
      </c>
      <c r="E63" t="str">
        <f>IFERROR(__xludf.DUMMYFUNCTION("""COMPUTED_VALUE"""),"725184518461")</f>
        <v>725184518461</v>
      </c>
      <c r="F63">
        <f>IFERROR(__xludf.DUMMYFUNCTION("""COMPUTED_VALUE"""),30.0)</f>
        <v>30</v>
      </c>
      <c r="G63">
        <f>IFERROR(__xludf.DUMMYFUNCTION("""COMPUTED_VALUE"""),10000.0)</f>
        <v>10000</v>
      </c>
      <c r="H63" s="2">
        <f>IFERROR(__xludf.DUMMYFUNCTION("""COMPUTED_VALUE"""),61.5)</f>
        <v>61.5</v>
      </c>
      <c r="I63" s="2">
        <f>IFERROR(__xludf.DUMMYFUNCTION("""COMPUTED_VALUE"""),70.98)</f>
        <v>70.98</v>
      </c>
      <c r="J63" s="2">
        <f>IFERROR(__xludf.DUMMYFUNCTION("""COMPUTED_VALUE"""),9.480000000000004)</f>
        <v>9.48</v>
      </c>
      <c r="K63" s="5">
        <f>IFERROR(__xludf.DUMMYFUNCTION("""COMPUTED_VALUE"""),0.1541463414634147)</f>
        <v>0.1541463415</v>
      </c>
      <c r="L63">
        <f>IFERROR(__xludf.DUMMYFUNCTION("""COMPUTED_VALUE"""),78076.0)</f>
        <v>78076</v>
      </c>
      <c r="M63" t="str">
        <f>IFERROR(__xludf.DUMMYFUNCTION("""COMPUTED_VALUE"""),"Office Product")</f>
        <v>Office Product</v>
      </c>
      <c r="O63" t="str">
        <f>IFERROR(__xludf.DUMMYFUNCTION("""COMPUTED_VALUE"""),"N")</f>
        <v>N</v>
      </c>
      <c r="P63" s="1" t="str">
        <f>IFERROR(__xludf.DUMMYFUNCTION("""COMPUTED_VALUE"""),"ID 25785")</f>
        <v>ID 25785</v>
      </c>
      <c r="Q63" s="1" t="str">
        <f>IFERROR(__xludf.DUMMYFUNCTION("""COMPUTED_VALUE"""),"B00005NHAB")</f>
        <v>B00005NHAB</v>
      </c>
    </row>
    <row r="64">
      <c r="A64" s="6">
        <f>IFERROR(__xludf.DUMMYFUNCTION("""COMPUTED_VALUE"""),44739.0)</f>
        <v>44739</v>
      </c>
      <c r="B64">
        <f>IFERROR(__xludf.DUMMYFUNCTION("""COMPUTED_VALUE"""),23491.0)</f>
        <v>23491</v>
      </c>
      <c r="C64" t="str">
        <f>IFERROR(__xludf.DUMMYFUNCTION("""COMPUTED_VALUE"""),"3M General Purpose Adhesive Cleaner, Quart, 08984")</f>
        <v>3M General Purpose Adhesive Cleaner, Quart, 08984</v>
      </c>
      <c r="D64" t="str">
        <f>IFERROR(__xludf.DUMMYFUNCTION("""COMPUTED_VALUE"""),"B00ZIM9XPI")</f>
        <v>B00ZIM9XPI</v>
      </c>
      <c r="E64" t="str">
        <f>IFERROR(__xludf.DUMMYFUNCTION("""COMPUTED_VALUE"""),"51135089842")</f>
        <v>51135089842</v>
      </c>
      <c r="F64">
        <f>IFERROR(__xludf.DUMMYFUNCTION("""COMPUTED_VALUE"""),198.0)</f>
        <v>198</v>
      </c>
      <c r="G64">
        <f>IFERROR(__xludf.DUMMYFUNCTION("""COMPUTED_VALUE"""),1000.0)</f>
        <v>1000</v>
      </c>
      <c r="H64" s="2">
        <f>IFERROR(__xludf.DUMMYFUNCTION("""COMPUTED_VALUE"""),18.25)</f>
        <v>18.25</v>
      </c>
      <c r="I64" s="2">
        <f>IFERROR(__xludf.DUMMYFUNCTION("""COMPUTED_VALUE"""),27.68)</f>
        <v>27.68</v>
      </c>
      <c r="J64" s="2">
        <f>IFERROR(__xludf.DUMMYFUNCTION("""COMPUTED_VALUE"""),9.43)</f>
        <v>9.43</v>
      </c>
      <c r="K64" s="5">
        <f>IFERROR(__xludf.DUMMYFUNCTION("""COMPUTED_VALUE"""),0.5167123287671233)</f>
        <v>0.5167123288</v>
      </c>
      <c r="L64">
        <f>IFERROR(__xludf.DUMMYFUNCTION("""COMPUTED_VALUE"""),44042.0)</f>
        <v>44042</v>
      </c>
      <c r="M64" t="str">
        <f>IFERROR(__xludf.DUMMYFUNCTION("""COMPUTED_VALUE"""),"Home")</f>
        <v>Home</v>
      </c>
      <c r="O64" t="str">
        <f>IFERROR(__xludf.DUMMYFUNCTION("""COMPUTED_VALUE"""),"N")</f>
        <v>N</v>
      </c>
      <c r="P64" s="1" t="str">
        <f>IFERROR(__xludf.DUMMYFUNCTION("""COMPUTED_VALUE"""),"ID 23491")</f>
        <v>ID 23491</v>
      </c>
      <c r="Q64" s="1" t="str">
        <f>IFERROR(__xludf.DUMMYFUNCTION("""COMPUTED_VALUE"""),"B00ZIM9XPI")</f>
        <v>B00ZIM9XPI</v>
      </c>
    </row>
    <row r="65">
      <c r="A65" s="6">
        <f>IFERROR(__xludf.DUMMYFUNCTION("""COMPUTED_VALUE"""),45118.0)</f>
        <v>45118</v>
      </c>
      <c r="B65">
        <f>IFERROR(__xludf.DUMMYFUNCTION("""COMPUTED_VALUE"""),22625.0)</f>
        <v>22625</v>
      </c>
      <c r="C65" t="str">
        <f>IFERROR(__xludf.DUMMYFUNCTION("""COMPUTED_VALUE"""),"Lay's Stax Potato Crisps, Salt &amp; Vinegar, 5.5 Ounce (Pack of 11)")</f>
        <v>Lay's Stax Potato Crisps, Salt &amp; Vinegar, 5.5 Ounce (Pack of 11)</v>
      </c>
      <c r="D65" t="str">
        <f>IFERROR(__xludf.DUMMYFUNCTION("""COMPUTED_VALUE"""),"B00IP6XMTC")</f>
        <v>B00IP6XMTC</v>
      </c>
      <c r="E65" t="str">
        <f>IFERROR(__xludf.DUMMYFUNCTION("""COMPUTED_VALUE"""),"028400243117")</f>
        <v>028400243117</v>
      </c>
      <c r="F65">
        <f>IFERROR(__xludf.DUMMYFUNCTION("""COMPUTED_VALUE"""),58.0)</f>
        <v>58</v>
      </c>
      <c r="G65">
        <f>IFERROR(__xludf.DUMMYFUNCTION("""COMPUTED_VALUE"""),87.0)</f>
        <v>87</v>
      </c>
      <c r="H65" s="2">
        <f>IFERROR(__xludf.DUMMYFUNCTION("""COMPUTED_VALUE"""),22.75)</f>
        <v>22.75</v>
      </c>
      <c r="I65" s="2">
        <f>IFERROR(__xludf.DUMMYFUNCTION("""COMPUTED_VALUE"""),32.16)</f>
        <v>32.16</v>
      </c>
      <c r="J65" s="2">
        <f>IFERROR(__xludf.DUMMYFUNCTION("""COMPUTED_VALUE"""),9.409999999999997)</f>
        <v>9.41</v>
      </c>
      <c r="K65" s="5">
        <f>IFERROR(__xludf.DUMMYFUNCTION("""COMPUTED_VALUE"""),0.4136263736263735)</f>
        <v>0.4136263736</v>
      </c>
      <c r="L65">
        <f>IFERROR(__xludf.DUMMYFUNCTION("""COMPUTED_VALUE"""),40870.0)</f>
        <v>40870</v>
      </c>
      <c r="M65" t="str">
        <f>IFERROR(__xludf.DUMMYFUNCTION("""COMPUTED_VALUE"""),"Grocery")</f>
        <v>Grocery</v>
      </c>
      <c r="N65" t="str">
        <f>IFERROR(__xludf.DUMMYFUNCTION("""COMPUTED_VALUE"""),"EXP 10/1/22. UOM: 1 case of 11 units")</f>
        <v>EXP 10/1/22. UOM: 1 case of 11 units</v>
      </c>
      <c r="O65" t="str">
        <f>IFERROR(__xludf.DUMMYFUNCTION("""COMPUTED_VALUE"""),"N")</f>
        <v>N</v>
      </c>
      <c r="P65" s="1" t="str">
        <f>IFERROR(__xludf.DUMMYFUNCTION("""COMPUTED_VALUE"""),"ID 22625")</f>
        <v>ID 22625</v>
      </c>
      <c r="Q65" s="1" t="str">
        <f>IFERROR(__xludf.DUMMYFUNCTION("""COMPUTED_VALUE"""),"B00IP6XMTC")</f>
        <v>B00IP6XMTC</v>
      </c>
    </row>
    <row r="66">
      <c r="A66" s="6">
        <f>IFERROR(__xludf.DUMMYFUNCTION("""COMPUTED_VALUE"""),44655.0)</f>
        <v>44655</v>
      </c>
      <c r="B66">
        <f>IFERROR(__xludf.DUMMYFUNCTION("""COMPUTED_VALUE"""),21213.0)</f>
        <v>21213</v>
      </c>
      <c r="C66" t="str">
        <f>IFERROR(__xludf.DUMMYFUNCTION("""COMPUTED_VALUE"""),"Bowl Fresh Bathroom Freshener Pack of 30")</f>
        <v>Bowl Fresh Bathroom Freshener Pack of 30</v>
      </c>
      <c r="D66" t="str">
        <f>IFERROR(__xludf.DUMMYFUNCTION("""COMPUTED_VALUE"""),"B002YC4EEA")</f>
        <v>B002YC4EEA</v>
      </c>
      <c r="F66">
        <f>IFERROR(__xludf.DUMMYFUNCTION("""COMPUTED_VALUE"""),100.0)</f>
        <v>100</v>
      </c>
      <c r="G66">
        <f>IFERROR(__xludf.DUMMYFUNCTION("""COMPUTED_VALUE"""),2400.0)</f>
        <v>2400</v>
      </c>
      <c r="H66" s="2">
        <f>IFERROR(__xludf.DUMMYFUNCTION("""COMPUTED_VALUE"""),31.25)</f>
        <v>31.25</v>
      </c>
      <c r="I66" s="2">
        <f>IFERROR(__xludf.DUMMYFUNCTION("""COMPUTED_VALUE"""),40.63)</f>
        <v>40.63</v>
      </c>
      <c r="J66" s="2">
        <f>IFERROR(__xludf.DUMMYFUNCTION("""COMPUTED_VALUE"""),9.380000000000003)</f>
        <v>9.38</v>
      </c>
      <c r="K66" s="5">
        <f>IFERROR(__xludf.DUMMYFUNCTION("""COMPUTED_VALUE"""),0.3001600000000001)</f>
        <v>0.30016</v>
      </c>
      <c r="L66">
        <f>IFERROR(__xludf.DUMMYFUNCTION("""COMPUTED_VALUE"""),74650.0)</f>
        <v>74650</v>
      </c>
      <c r="M66" t="str">
        <f>IFERROR(__xludf.DUMMYFUNCTION("""COMPUTED_VALUE"""),"Office Product")</f>
        <v>Office Product</v>
      </c>
      <c r="N66" t="str">
        <f>IFERROR(__xludf.DUMMYFUNCTION("""COMPUTED_VALUE"""),"UOM: 1 case of 30 units")</f>
        <v>UOM: 1 case of 30 units</v>
      </c>
      <c r="O66" t="str">
        <f>IFERROR(__xludf.DUMMYFUNCTION("""COMPUTED_VALUE"""),"N")</f>
        <v>N</v>
      </c>
      <c r="P66" s="1" t="str">
        <f>IFERROR(__xludf.DUMMYFUNCTION("""COMPUTED_VALUE"""),"ID 21213")</f>
        <v>ID 21213</v>
      </c>
      <c r="Q66" s="1" t="str">
        <f>IFERROR(__xludf.DUMMYFUNCTION("""COMPUTED_VALUE"""),"B002YC4EEA")</f>
        <v>B002YC4EEA</v>
      </c>
    </row>
    <row r="67">
      <c r="A67" s="6">
        <f>IFERROR(__xludf.DUMMYFUNCTION("""COMPUTED_VALUE"""),45348.0)</f>
        <v>45348</v>
      </c>
      <c r="B67">
        <f>IFERROR(__xludf.DUMMYFUNCTION("""COMPUTED_VALUE"""),22845.0)</f>
        <v>22845</v>
      </c>
      <c r="C67" t="str">
        <f>IFERROR(__xludf.DUMMYFUNCTION("""COMPUTED_VALUE"""),"Quartet Glass Whiteboard, Magnetic Dry Erase White Board, 4' x 4', Frameless, Brilliance White (G24848W)")</f>
        <v>Quartet Glass Whiteboard, Magnetic Dry Erase White Board, 4' x 4', Frameless, Brilliance White (G24848W)</v>
      </c>
      <c r="D67" t="str">
        <f>IFERROR(__xludf.DUMMYFUNCTION("""COMPUTED_VALUE"""),"B07XD5711M")</f>
        <v>B07XD5711M</v>
      </c>
      <c r="E67" t="str">
        <f>IFERROR(__xludf.DUMMYFUNCTION("""COMPUTED_VALUE"""),"034138484807")</f>
        <v>034138484807</v>
      </c>
      <c r="F67">
        <f>IFERROR(__xludf.DUMMYFUNCTION("""COMPUTED_VALUE"""),9.0)</f>
        <v>9</v>
      </c>
      <c r="G67">
        <f>IFERROR(__xludf.DUMMYFUNCTION("""COMPUTED_VALUE"""),10000.0)</f>
        <v>10000</v>
      </c>
      <c r="H67" s="2">
        <f>IFERROR(__xludf.DUMMYFUNCTION("""COMPUTED_VALUE"""),275.75)</f>
        <v>275.75</v>
      </c>
      <c r="I67" s="2">
        <f>IFERROR(__xludf.DUMMYFUNCTION("""COMPUTED_VALUE"""),284.97)</f>
        <v>284.97</v>
      </c>
      <c r="J67" s="2">
        <f>IFERROR(__xludf.DUMMYFUNCTION("""COMPUTED_VALUE"""),9.220000000000027)</f>
        <v>9.22</v>
      </c>
      <c r="K67" s="5">
        <f>IFERROR(__xludf.DUMMYFUNCTION("""COMPUTED_VALUE"""),0.03343608340888496)</f>
        <v>0.03343608341</v>
      </c>
      <c r="L67">
        <f>IFERROR(__xludf.DUMMYFUNCTION("""COMPUTED_VALUE"""),2261.0)</f>
        <v>2261</v>
      </c>
      <c r="M67" t="str">
        <f>IFERROR(__xludf.DUMMYFUNCTION("""COMPUTED_VALUE"""),"Office Product")</f>
        <v>Office Product</v>
      </c>
      <c r="N67" t="str">
        <f>IFERROR(__xludf.DUMMYFUNCTION("""COMPUTED_VALUE"""),"Oversized Item")</f>
        <v>Oversized Item</v>
      </c>
      <c r="O67" t="str">
        <f>IFERROR(__xludf.DUMMYFUNCTION("""COMPUTED_VALUE"""),"Y")</f>
        <v>Y</v>
      </c>
      <c r="P67" s="1" t="str">
        <f>IFERROR(__xludf.DUMMYFUNCTION("""COMPUTED_VALUE"""),"ID 22845")</f>
        <v>ID 22845</v>
      </c>
      <c r="Q67" s="1" t="str">
        <f>IFERROR(__xludf.DUMMYFUNCTION("""COMPUTED_VALUE"""),"B07XD5711M")</f>
        <v>B07XD5711M</v>
      </c>
    </row>
    <row r="68">
      <c r="A68" s="6">
        <f>IFERROR(__xludf.DUMMYFUNCTION("""COMPUTED_VALUE"""),44214.0)</f>
        <v>44214</v>
      </c>
      <c r="B68">
        <f>IFERROR(__xludf.DUMMYFUNCTION("""COMPUTED_VALUE"""),16437.0)</f>
        <v>16437</v>
      </c>
      <c r="C68" t="str">
        <f>IFERROR(__xludf.DUMMYFUNCTION("""COMPUTED_VALUE"""),"Max Factor Facefinity All Day Flawless 3 In 1 Foundation SPF 20, No. 45 Warm Almond")</f>
        <v>Max Factor Facefinity All Day Flawless 3 In 1 Foundation SPF 20, No. 45 Warm Almond</v>
      </c>
      <c r="D68" t="str">
        <f>IFERROR(__xludf.DUMMYFUNCTION("""COMPUTED_VALUE"""),"B00A2PCFXS")</f>
        <v>B00A2PCFXS</v>
      </c>
      <c r="E68" t="str">
        <f>IFERROR(__xludf.DUMMYFUNCTION("""COMPUTED_VALUE"""),"5410076971398")</f>
        <v>5410076971398</v>
      </c>
      <c r="F68">
        <f>IFERROR(__xludf.DUMMYFUNCTION("""COMPUTED_VALUE"""),250.0)</f>
        <v>250</v>
      </c>
      <c r="G68">
        <f>IFERROR(__xludf.DUMMYFUNCTION("""COMPUTED_VALUE"""),999.0)</f>
        <v>999</v>
      </c>
      <c r="H68" s="2">
        <f>IFERROR(__xludf.DUMMYFUNCTION("""COMPUTED_VALUE"""),5.0)</f>
        <v>5</v>
      </c>
      <c r="I68" s="2">
        <f>IFERROR(__xludf.DUMMYFUNCTION("""COMPUTED_VALUE"""),13.76)</f>
        <v>13.76</v>
      </c>
      <c r="J68" s="2">
        <f>IFERROR(__xludf.DUMMYFUNCTION("""COMPUTED_VALUE"""),8.76)</f>
        <v>8.76</v>
      </c>
      <c r="K68" s="5">
        <f>IFERROR(__xludf.DUMMYFUNCTION("""COMPUTED_VALUE"""),1.752)</f>
        <v>1.752</v>
      </c>
      <c r="L68">
        <f>IFERROR(__xludf.DUMMYFUNCTION("""COMPUTED_VALUE"""),65280.0)</f>
        <v>65280</v>
      </c>
      <c r="M68" t="str">
        <f>IFERROR(__xludf.DUMMYFUNCTION("""COMPUTED_VALUE"""),"Beauty")</f>
        <v>Beauty</v>
      </c>
      <c r="O68" t="str">
        <f>IFERROR(__xludf.DUMMYFUNCTION("""COMPUTED_VALUE"""),"N")</f>
        <v>N</v>
      </c>
      <c r="P68" s="1" t="str">
        <f>IFERROR(__xludf.DUMMYFUNCTION("""COMPUTED_VALUE"""),"ID 16437")</f>
        <v>ID 16437</v>
      </c>
      <c r="Q68" s="1" t="str">
        <f>IFERROR(__xludf.DUMMYFUNCTION("""COMPUTED_VALUE"""),"B00A2PCFXS")</f>
        <v>B00A2PCFXS</v>
      </c>
    </row>
    <row r="69">
      <c r="A69" s="6">
        <f>IFERROR(__xludf.DUMMYFUNCTION("""COMPUTED_VALUE"""),44362.0)</f>
        <v>44362</v>
      </c>
      <c r="B69">
        <f>IFERROR(__xludf.DUMMYFUNCTION("""COMPUTED_VALUE"""),17214.0)</f>
        <v>17214</v>
      </c>
      <c r="C69" t="str">
        <f>IFERROR(__xludf.DUMMYFUNCTION("""COMPUTED_VALUE"""),"Copper Fit Balance Copper Infused Orthotic Insole, Small")</f>
        <v>Copper Fit Balance Copper Infused Orthotic Insole, Small</v>
      </c>
      <c r="D69" t="str">
        <f>IFERROR(__xludf.DUMMYFUNCTION("""COMPUTED_VALUE"""),"B072MRBQ53")</f>
        <v>B072MRBQ53</v>
      </c>
      <c r="E69" t="str">
        <f>IFERROR(__xludf.DUMMYFUNCTION("""COMPUTED_VALUE"""),"754502035090")</f>
        <v>754502035090</v>
      </c>
      <c r="F69">
        <f>IFERROR(__xludf.DUMMYFUNCTION("""COMPUTED_VALUE"""),132.0)</f>
        <v>132</v>
      </c>
      <c r="G69">
        <f>IFERROR(__xludf.DUMMYFUNCTION("""COMPUTED_VALUE"""),58.0)</f>
        <v>58</v>
      </c>
      <c r="H69" s="2">
        <f>IFERROR(__xludf.DUMMYFUNCTION("""COMPUTED_VALUE"""),9.25)</f>
        <v>9.25</v>
      </c>
      <c r="I69" s="2">
        <f>IFERROR(__xludf.DUMMYFUNCTION("""COMPUTED_VALUE"""),17.88)</f>
        <v>17.88</v>
      </c>
      <c r="J69" s="2">
        <f>IFERROR(__xludf.DUMMYFUNCTION("""COMPUTED_VALUE"""),8.629999999999999)</f>
        <v>8.63</v>
      </c>
      <c r="K69" s="5">
        <f>IFERROR(__xludf.DUMMYFUNCTION("""COMPUTED_VALUE"""),0.9329729729729729)</f>
        <v>0.932972973</v>
      </c>
      <c r="L69">
        <f>IFERROR(__xludf.DUMMYFUNCTION("""COMPUTED_VALUE"""),48025.0)</f>
        <v>48025</v>
      </c>
      <c r="M69" t="str">
        <f>IFERROR(__xludf.DUMMYFUNCTION("""COMPUTED_VALUE"""),"Apparel")</f>
        <v>Apparel</v>
      </c>
      <c r="O69" t="str">
        <f>IFERROR(__xludf.DUMMYFUNCTION("""COMPUTED_VALUE"""),"N")</f>
        <v>N</v>
      </c>
      <c r="P69" s="1" t="str">
        <f>IFERROR(__xludf.DUMMYFUNCTION("""COMPUTED_VALUE"""),"ID 17214")</f>
        <v>ID 17214</v>
      </c>
      <c r="Q69" s="1" t="str">
        <f>IFERROR(__xludf.DUMMYFUNCTION("""COMPUTED_VALUE"""),"B072MRBQ53")</f>
        <v>B072MRBQ53</v>
      </c>
    </row>
    <row r="70">
      <c r="A70" s="6">
        <f>IFERROR(__xludf.DUMMYFUNCTION("""COMPUTED_VALUE"""),44656.0)</f>
        <v>44656</v>
      </c>
      <c r="B70">
        <f>IFERROR(__xludf.DUMMYFUNCTION("""COMPUTED_VALUE"""),17028.0)</f>
        <v>17028</v>
      </c>
      <c r="C70" t="str">
        <f>IFERROR(__xludf.DUMMYFUNCTION("""COMPUTED_VALUE"""),"Marvel Eau De Toilette Spray, Deadpool Dark, 3.4 Ounce")</f>
        <v>Marvel Eau De Toilette Spray, Deadpool Dark, 3.4 Ounce</v>
      </c>
      <c r="D70" t="str">
        <f>IFERROR(__xludf.DUMMYFUNCTION("""COMPUTED_VALUE"""),"B07Q452B2W")</f>
        <v>B07Q452B2W</v>
      </c>
      <c r="E70" t="str">
        <f>IFERROR(__xludf.DUMMYFUNCTION("""COMPUTED_VALUE"""),"810876037549")</f>
        <v>810876037549</v>
      </c>
      <c r="F70">
        <f>IFERROR(__xludf.DUMMYFUNCTION("""COMPUTED_VALUE"""),230.0)</f>
        <v>230</v>
      </c>
      <c r="G70">
        <f>IFERROR(__xludf.DUMMYFUNCTION("""COMPUTED_VALUE"""),1000.0)</f>
        <v>1000</v>
      </c>
      <c r="H70" s="2">
        <f>IFERROR(__xludf.DUMMYFUNCTION("""COMPUTED_VALUE"""),5.5)</f>
        <v>5.5</v>
      </c>
      <c r="I70" s="2">
        <f>IFERROR(__xludf.DUMMYFUNCTION("""COMPUTED_VALUE"""),13.96)</f>
        <v>13.96</v>
      </c>
      <c r="J70" s="2">
        <f>IFERROR(__xludf.DUMMYFUNCTION("""COMPUTED_VALUE"""),8.46)</f>
        <v>8.46</v>
      </c>
      <c r="K70" s="5">
        <f>IFERROR(__xludf.DUMMYFUNCTION("""COMPUTED_VALUE"""),1.5381818181818183)</f>
        <v>1.538181818</v>
      </c>
      <c r="L70">
        <f>IFERROR(__xludf.DUMMYFUNCTION("""COMPUTED_VALUE"""),97092.0)</f>
        <v>97092</v>
      </c>
      <c r="M70" t="str">
        <f>IFERROR(__xludf.DUMMYFUNCTION("""COMPUTED_VALUE"""),"Beauty")</f>
        <v>Beauty</v>
      </c>
      <c r="O70" t="str">
        <f>IFERROR(__xludf.DUMMYFUNCTION("""COMPUTED_VALUE"""),"N")</f>
        <v>N</v>
      </c>
      <c r="P70" s="1" t="str">
        <f>IFERROR(__xludf.DUMMYFUNCTION("""COMPUTED_VALUE"""),"ID 17028")</f>
        <v>ID 17028</v>
      </c>
      <c r="Q70" s="1" t="str">
        <f>IFERROR(__xludf.DUMMYFUNCTION("""COMPUTED_VALUE"""),"B07Q452B2W")</f>
        <v>B07Q452B2W</v>
      </c>
    </row>
    <row r="71">
      <c r="A71" s="6">
        <f>IFERROR(__xludf.DUMMYFUNCTION("""COMPUTED_VALUE"""),44811.0)</f>
        <v>44811</v>
      </c>
      <c r="B71">
        <f>IFERROR(__xludf.DUMMYFUNCTION("""COMPUTED_VALUE"""),24719.0)</f>
        <v>24719</v>
      </c>
      <c r="C71" t="str">
        <f>IFERROR(__xludf.DUMMYFUNCTION("""COMPUTED_VALUE"""),"NUVO 60/303 Eight Light Vanity, 8Lt Strip, Brushed Nickel")</f>
        <v>NUVO 60/303 Eight Light Vanity, 8Lt Strip, Brushed Nickel</v>
      </c>
      <c r="D71" t="str">
        <f>IFERROR(__xludf.DUMMYFUNCTION("""COMPUTED_VALUE"""),"B002OMFR64")</f>
        <v>B002OMFR64</v>
      </c>
      <c r="E71" t="str">
        <f>IFERROR(__xludf.DUMMYFUNCTION("""COMPUTED_VALUE"""),"045923603037")</f>
        <v>045923603037</v>
      </c>
      <c r="F71">
        <f>IFERROR(__xludf.DUMMYFUNCTION("""COMPUTED_VALUE"""),30.0)</f>
        <v>30</v>
      </c>
      <c r="G71">
        <f>IFERROR(__xludf.DUMMYFUNCTION("""COMPUTED_VALUE"""),1000.0)</f>
        <v>1000</v>
      </c>
      <c r="H71" s="2">
        <f>IFERROR(__xludf.DUMMYFUNCTION("""COMPUTED_VALUE"""),46.0)</f>
        <v>46</v>
      </c>
      <c r="I71" s="2">
        <f>IFERROR(__xludf.DUMMYFUNCTION("""COMPUTED_VALUE"""),54.41)</f>
        <v>54.41</v>
      </c>
      <c r="J71" s="2">
        <f>IFERROR(__xludf.DUMMYFUNCTION("""COMPUTED_VALUE"""),8.409999999999997)</f>
        <v>8.41</v>
      </c>
      <c r="K71" s="5">
        <f>IFERROR(__xludf.DUMMYFUNCTION("""COMPUTED_VALUE"""),0.18282608695652167)</f>
        <v>0.182826087</v>
      </c>
      <c r="L71">
        <f>IFERROR(__xludf.DUMMYFUNCTION("""COMPUTED_VALUE"""),54534.0)</f>
        <v>54534</v>
      </c>
      <c r="M71" t="str">
        <f>IFERROR(__xludf.DUMMYFUNCTION("""COMPUTED_VALUE"""),"Home Improvement")</f>
        <v>Home Improvement</v>
      </c>
      <c r="N71" t="str">
        <f>IFERROR(__xludf.DUMMYFUNCTION("""COMPUTED_VALUE"""),"MAP . If you violate the MAP pricing the brand may choose to remove you from the listing")</f>
        <v>MAP . If you violate the MAP pricing the brand may choose to remove you from the listing</v>
      </c>
      <c r="O71" t="str">
        <f>IFERROR(__xludf.DUMMYFUNCTION("""COMPUTED_VALUE"""),"Y")</f>
        <v>Y</v>
      </c>
      <c r="P71" s="1" t="str">
        <f>IFERROR(__xludf.DUMMYFUNCTION("""COMPUTED_VALUE"""),"ID 24719")</f>
        <v>ID 24719</v>
      </c>
      <c r="Q71" s="1" t="str">
        <f>IFERROR(__xludf.DUMMYFUNCTION("""COMPUTED_VALUE"""),"B002OMFR64")</f>
        <v>B002OMFR64</v>
      </c>
    </row>
    <row r="72">
      <c r="A72" s="6">
        <f>IFERROR(__xludf.DUMMYFUNCTION("""COMPUTED_VALUE"""),45035.0)</f>
        <v>45035</v>
      </c>
      <c r="B72">
        <f>IFERROR(__xludf.DUMMYFUNCTION("""COMPUTED_VALUE"""),23389.0)</f>
        <v>23389</v>
      </c>
      <c r="C72" t="str">
        <f>IFERROR(__xludf.DUMMYFUNCTION("""COMPUTED_VALUE"""),"Roger &amp; Gallet | Eau De Cologne Spray For Men &amp; Women | Jean Marie Farina 6.6 Oz")</f>
        <v>Roger &amp; Gallet | Eau De Cologne Spray For Men &amp; Women | Jean Marie Farina 6.6 Oz</v>
      </c>
      <c r="D72" t="str">
        <f>IFERROR(__xludf.DUMMYFUNCTION("""COMPUTED_VALUE"""),"B001KOTRH2")</f>
        <v>B001KOTRH2</v>
      </c>
      <c r="E72" t="str">
        <f>IFERROR(__xludf.DUMMYFUNCTION("""COMPUTED_VALUE"""),"3252550609562")</f>
        <v>3252550609562</v>
      </c>
      <c r="F72">
        <f>IFERROR(__xludf.DUMMYFUNCTION("""COMPUTED_VALUE"""),30.0)</f>
        <v>30</v>
      </c>
      <c r="G72">
        <f>IFERROR(__xludf.DUMMYFUNCTION("""COMPUTED_VALUE"""),80.0)</f>
        <v>80</v>
      </c>
      <c r="H72" s="2">
        <f>IFERROR(__xludf.DUMMYFUNCTION("""COMPUTED_VALUE"""),53.0)</f>
        <v>53</v>
      </c>
      <c r="I72" s="2">
        <f>IFERROR(__xludf.DUMMYFUNCTION("""COMPUTED_VALUE"""),61.38)</f>
        <v>61.38</v>
      </c>
      <c r="J72" s="2">
        <f>IFERROR(__xludf.DUMMYFUNCTION("""COMPUTED_VALUE"""),8.380000000000003)</f>
        <v>8.38</v>
      </c>
      <c r="K72" s="5">
        <f>IFERROR(__xludf.DUMMYFUNCTION("""COMPUTED_VALUE"""),0.15811320754716987)</f>
        <v>0.1581132075</v>
      </c>
      <c r="L72">
        <f>IFERROR(__xludf.DUMMYFUNCTION("""COMPUTED_VALUE"""),49477.0)</f>
        <v>49477</v>
      </c>
      <c r="M72" t="str">
        <f>IFERROR(__xludf.DUMMYFUNCTION("""COMPUTED_VALUE"""),"Beauty")</f>
        <v>Beauty</v>
      </c>
      <c r="O72" t="str">
        <f>IFERROR(__xludf.DUMMYFUNCTION("""COMPUTED_VALUE"""),"N")</f>
        <v>N</v>
      </c>
      <c r="P72" s="1" t="str">
        <f>IFERROR(__xludf.DUMMYFUNCTION("""COMPUTED_VALUE"""),"ID 23389")</f>
        <v>ID 23389</v>
      </c>
      <c r="Q72" s="1" t="str">
        <f>IFERROR(__xludf.DUMMYFUNCTION("""COMPUTED_VALUE"""),"B001KOTRH2")</f>
        <v>B001KOTRH2</v>
      </c>
    </row>
    <row r="73">
      <c r="A73" s="6">
        <f>IFERROR(__xludf.DUMMYFUNCTION("""COMPUTED_VALUE"""),43994.0)</f>
        <v>43994</v>
      </c>
      <c r="B73">
        <f>IFERROR(__xludf.DUMMYFUNCTION("""COMPUTED_VALUE"""),15001.0)</f>
        <v>15001</v>
      </c>
      <c r="C73" t="str">
        <f>IFERROR(__xludf.DUMMYFUNCTION("""COMPUTED_VALUE"""),"Revlon ColorStay Gel Envy Longwear Nail Polish, with Built-in Base Coat &amp; Glossy Shine Finish, in Black/Grey, 500 Ace of Spades, 0.4 oz")</f>
        <v>Revlon ColorStay Gel Envy Longwear Nail Polish, with Built-in Base Coat &amp; Glossy Shine Finish, in Black/Grey, 500 Ace of Spades, 0.4 oz</v>
      </c>
      <c r="D73" t="str">
        <f>IFERROR(__xludf.DUMMYFUNCTION("""COMPUTED_VALUE"""),"B00LUFTBOK")</f>
        <v>B00LUFTBOK</v>
      </c>
      <c r="E73" t="str">
        <f>IFERROR(__xludf.DUMMYFUNCTION("""COMPUTED_VALUE"""),"309976012278")</f>
        <v>309976012278</v>
      </c>
      <c r="F73">
        <f>IFERROR(__xludf.DUMMYFUNCTION("""COMPUTED_VALUE"""),1030.0)</f>
        <v>1030</v>
      </c>
      <c r="G73">
        <f>IFERROR(__xludf.DUMMYFUNCTION("""COMPUTED_VALUE"""),1440.0)</f>
        <v>1440</v>
      </c>
      <c r="H73" s="2">
        <f>IFERROR(__xludf.DUMMYFUNCTION("""COMPUTED_VALUE"""),2.0)</f>
        <v>2</v>
      </c>
      <c r="I73" s="2">
        <f>IFERROR(__xludf.DUMMYFUNCTION("""COMPUTED_VALUE"""),10.32)</f>
        <v>10.32</v>
      </c>
      <c r="J73" s="2">
        <f>IFERROR(__xludf.DUMMYFUNCTION("""COMPUTED_VALUE"""),8.32)</f>
        <v>8.32</v>
      </c>
      <c r="K73" s="5">
        <f>IFERROR(__xludf.DUMMYFUNCTION("""COMPUTED_VALUE"""),4.16)</f>
        <v>4.16</v>
      </c>
      <c r="L73">
        <f>IFERROR(__xludf.DUMMYFUNCTION("""COMPUTED_VALUE"""),25526.0)</f>
        <v>25526</v>
      </c>
      <c r="M73" t="str">
        <f>IFERROR(__xludf.DUMMYFUNCTION("""COMPUTED_VALUE"""),"Beauty")</f>
        <v>Beauty</v>
      </c>
      <c r="O73" t="str">
        <f>IFERROR(__xludf.DUMMYFUNCTION("""COMPUTED_VALUE"""),"N")</f>
        <v>N</v>
      </c>
      <c r="P73" s="1" t="str">
        <f>IFERROR(__xludf.DUMMYFUNCTION("""COMPUTED_VALUE"""),"ID 15001")</f>
        <v>ID 15001</v>
      </c>
      <c r="Q73" s="1" t="str">
        <f>IFERROR(__xludf.DUMMYFUNCTION("""COMPUTED_VALUE"""),"B00LUFTBOK")</f>
        <v>B00LUFTBOK</v>
      </c>
    </row>
    <row r="74">
      <c r="A74" s="6">
        <f>IFERROR(__xludf.DUMMYFUNCTION("""COMPUTED_VALUE"""),44627.0)</f>
        <v>44627</v>
      </c>
      <c r="B74">
        <f>IFERROR(__xludf.DUMMYFUNCTION("""COMPUTED_VALUE"""),12730.0)</f>
        <v>12730</v>
      </c>
      <c r="C74" t="str">
        <f>IFERROR(__xludf.DUMMYFUNCTION("""COMPUTED_VALUE"""),"Zippo Dabbing Leprechaun Design Black Matte Pocket Lighter")</f>
        <v>Zippo Dabbing Leprechaun Design Black Matte Pocket Lighter</v>
      </c>
      <c r="D74" t="str">
        <f>IFERROR(__xludf.DUMMYFUNCTION("""COMPUTED_VALUE"""),"B084PRRJPW")</f>
        <v>B084PRRJPW</v>
      </c>
      <c r="E74" t="str">
        <f>IFERROR(__xludf.DUMMYFUNCTION("""COMPUTED_VALUE"""),"191693140897")</f>
        <v>191693140897</v>
      </c>
      <c r="F74">
        <f>IFERROR(__xludf.DUMMYFUNCTION("""COMPUTED_VALUE"""),180.0)</f>
        <v>180</v>
      </c>
      <c r="G74">
        <f>IFERROR(__xludf.DUMMYFUNCTION("""COMPUTED_VALUE"""),5000.0)</f>
        <v>5000</v>
      </c>
      <c r="H74" s="2">
        <f>IFERROR(__xludf.DUMMYFUNCTION("""COMPUTED_VALUE"""),13.5)</f>
        <v>13.5</v>
      </c>
      <c r="I74" s="2">
        <f>IFERROR(__xludf.DUMMYFUNCTION("""COMPUTED_VALUE"""),21.78)</f>
        <v>21.78</v>
      </c>
      <c r="J74" s="2">
        <f>IFERROR(__xludf.DUMMYFUNCTION("""COMPUTED_VALUE"""),8.280000000000001)</f>
        <v>8.28</v>
      </c>
      <c r="K74" s="5">
        <f>IFERROR(__xludf.DUMMYFUNCTION("""COMPUTED_VALUE"""),0.6133333333333334)</f>
        <v>0.6133333333</v>
      </c>
      <c r="L74">
        <f>IFERROR(__xludf.DUMMYFUNCTION("""COMPUTED_VALUE"""),76375.0)</f>
        <v>76375</v>
      </c>
      <c r="M74" t="str">
        <f>IFERROR(__xludf.DUMMYFUNCTION("""COMPUTED_VALUE"""),"Sports")</f>
        <v>Sports</v>
      </c>
      <c r="O74" t="str">
        <f>IFERROR(__xludf.DUMMYFUNCTION("""COMPUTED_VALUE"""),"Y")</f>
        <v>Y</v>
      </c>
      <c r="P74" s="1" t="str">
        <f>IFERROR(__xludf.DUMMYFUNCTION("""COMPUTED_VALUE"""),"ID 12730")</f>
        <v>ID 12730</v>
      </c>
      <c r="Q74" s="1" t="str">
        <f>IFERROR(__xludf.DUMMYFUNCTION("""COMPUTED_VALUE"""),"B084PRRJPW")</f>
        <v>B084PRRJPW</v>
      </c>
    </row>
    <row r="75">
      <c r="A75" s="6">
        <f>IFERROR(__xludf.DUMMYFUNCTION("""COMPUTED_VALUE"""),45142.0)</f>
        <v>45142</v>
      </c>
      <c r="B75">
        <f>IFERROR(__xludf.DUMMYFUNCTION("""COMPUTED_VALUE"""),20797.0)</f>
        <v>20797</v>
      </c>
      <c r="C75" t="str">
        <f>IFERROR(__xludf.DUMMYFUNCTION("""COMPUTED_VALUE"""),"Jean Paul Gaultier Eau De Toilette Spray for Men, 4.2 Ounce")</f>
        <v>Jean Paul Gaultier Eau De Toilette Spray for Men, 4.2 Ounce</v>
      </c>
      <c r="D75" t="str">
        <f>IFERROR(__xludf.DUMMYFUNCTION("""COMPUTED_VALUE"""),"B008CML9WQ")</f>
        <v>B008CML9WQ</v>
      </c>
      <c r="E75" t="str">
        <f>IFERROR(__xludf.DUMMYFUNCTION("""COMPUTED_VALUE"""),"3423476317538")</f>
        <v>3423476317538</v>
      </c>
      <c r="F75">
        <f>IFERROR(__xludf.DUMMYFUNCTION("""COMPUTED_VALUE"""),30.0)</f>
        <v>30</v>
      </c>
      <c r="G75">
        <f>IFERROR(__xludf.DUMMYFUNCTION("""COMPUTED_VALUE"""),30.0)</f>
        <v>30</v>
      </c>
      <c r="H75" s="2">
        <f>IFERROR(__xludf.DUMMYFUNCTION("""COMPUTED_VALUE"""),63.0)</f>
        <v>63</v>
      </c>
      <c r="I75" s="2">
        <f>IFERROR(__xludf.DUMMYFUNCTION("""COMPUTED_VALUE"""),71.26)</f>
        <v>71.26</v>
      </c>
      <c r="J75" s="2">
        <f>IFERROR(__xludf.DUMMYFUNCTION("""COMPUTED_VALUE"""),8.260000000000005)</f>
        <v>8.26</v>
      </c>
      <c r="K75" s="5">
        <f>IFERROR(__xludf.DUMMYFUNCTION("""COMPUTED_VALUE"""),0.1311111111111112)</f>
        <v>0.1311111111</v>
      </c>
      <c r="L75">
        <f>IFERROR(__xludf.DUMMYFUNCTION("""COMPUTED_VALUE"""),11835.0)</f>
        <v>11835</v>
      </c>
      <c r="M75" t="str">
        <f>IFERROR(__xludf.DUMMYFUNCTION("""COMPUTED_VALUE"""),"Beauty")</f>
        <v>Beauty</v>
      </c>
      <c r="N75" t="str">
        <f>IFERROR(__xludf.DUMMYFUNCTION("""COMPUTED_VALUE"""),"Tester")</f>
        <v>Tester</v>
      </c>
      <c r="O75" t="str">
        <f>IFERROR(__xludf.DUMMYFUNCTION("""COMPUTED_VALUE"""),"N")</f>
        <v>N</v>
      </c>
      <c r="P75" s="1" t="str">
        <f>IFERROR(__xludf.DUMMYFUNCTION("""COMPUTED_VALUE"""),"ID 20797")</f>
        <v>ID 20797</v>
      </c>
      <c r="Q75" s="1" t="str">
        <f>IFERROR(__xludf.DUMMYFUNCTION("""COMPUTED_VALUE"""),"B008CML9WQ")</f>
        <v>B008CML9WQ</v>
      </c>
    </row>
    <row r="76">
      <c r="A76" s="6">
        <f>IFERROR(__xludf.DUMMYFUNCTION("""COMPUTED_VALUE"""),44832.0)</f>
        <v>44832</v>
      </c>
      <c r="B76">
        <f>IFERROR(__xludf.DUMMYFUNCTION("""COMPUTED_VALUE"""),19472.0)</f>
        <v>19472</v>
      </c>
      <c r="C76" t="str">
        <f>IFERROR(__xludf.DUMMYFUNCTION("""COMPUTED_VALUE"""),"AQUARIUS Harry Potter Puzzle Hogwarts Castle (3000 Piece Jigsaw Puzzle) - Officially Licensed Harry Potter Merchandise &amp; Collectibles - Glare Free - Precision Fit - Virtually No Puzzle Dust - 32x45in")</f>
        <v>AQUARIUS Harry Potter Puzzle Hogwarts Castle (3000 Piece Jigsaw Puzzle) - Officially Licensed Harry Potter Merchandise &amp; Collectibles - Glare Free - Precision Fit - Virtually No Puzzle Dust - 32x45in</v>
      </c>
      <c r="D76" t="str">
        <f>IFERROR(__xludf.DUMMYFUNCTION("""COMPUTED_VALUE"""),"B07WQJ3L9H")</f>
        <v>B07WQJ3L9H</v>
      </c>
      <c r="E76" t="str">
        <f>IFERROR(__xludf.DUMMYFUNCTION("""COMPUTED_VALUE"""),"840391134041")</f>
        <v>840391134041</v>
      </c>
      <c r="F76">
        <f>IFERROR(__xludf.DUMMYFUNCTION("""COMPUTED_VALUE"""),96.0)</f>
        <v>96</v>
      </c>
      <c r="G76">
        <f>IFERROR(__xludf.DUMMYFUNCTION("""COMPUTED_VALUE"""),129.0)</f>
        <v>129</v>
      </c>
      <c r="H76" s="2">
        <f>IFERROR(__xludf.DUMMYFUNCTION("""COMPUTED_VALUE"""),14.25)</f>
        <v>14.25</v>
      </c>
      <c r="I76" s="2">
        <f>IFERROR(__xludf.DUMMYFUNCTION("""COMPUTED_VALUE"""),22.46)</f>
        <v>22.46</v>
      </c>
      <c r="J76" s="2">
        <f>IFERROR(__xludf.DUMMYFUNCTION("""COMPUTED_VALUE"""),8.21)</f>
        <v>8.21</v>
      </c>
      <c r="K76" s="5">
        <f>IFERROR(__xludf.DUMMYFUNCTION("""COMPUTED_VALUE"""),0.5761403508771931)</f>
        <v>0.5761403509</v>
      </c>
      <c r="L76">
        <f>IFERROR(__xludf.DUMMYFUNCTION("""COMPUTED_VALUE"""),17391.0)</f>
        <v>17391</v>
      </c>
      <c r="M76" t="str">
        <f>IFERROR(__xludf.DUMMYFUNCTION("""COMPUTED_VALUE"""),"Toy")</f>
        <v>Toy</v>
      </c>
      <c r="N76" t="str">
        <f>IFERROR(__xludf.DUMMYFUNCTION("""COMPUTED_VALUE"""),"Restricted for sale online")</f>
        <v>Restricted for sale online</v>
      </c>
      <c r="O76" t="str">
        <f>IFERROR(__xludf.DUMMYFUNCTION("""COMPUTED_VALUE"""),"Y")</f>
        <v>Y</v>
      </c>
      <c r="P76" s="1" t="str">
        <f>IFERROR(__xludf.DUMMYFUNCTION("""COMPUTED_VALUE"""),"ID 19472")</f>
        <v>ID 19472</v>
      </c>
      <c r="Q76" s="1" t="str">
        <f>IFERROR(__xludf.DUMMYFUNCTION("""COMPUTED_VALUE"""),"B07WQJ3L9H")</f>
        <v>B07WQJ3L9H</v>
      </c>
    </row>
    <row r="77">
      <c r="A77" s="6">
        <f>IFERROR(__xludf.DUMMYFUNCTION("""COMPUTED_VALUE"""),44861.0)</f>
        <v>44861</v>
      </c>
      <c r="B77">
        <f>IFERROR(__xludf.DUMMYFUNCTION("""COMPUTED_VALUE"""),12392.0)</f>
        <v>12392</v>
      </c>
      <c r="C77" t="str">
        <f>IFERROR(__xludf.DUMMYFUNCTION("""COMPUTED_VALUE"""),"Post-it Super Sticky Easel Pad, 25 x 30 Inches, 30 Sheets/Pad, 2 Pads (560), Large White Grid Premium Self Stick Flip Chart Paper, Super Sticking Power")</f>
        <v>Post-it Super Sticky Easel Pad, 25 x 30 Inches, 30 Sheets/Pad, 2 Pads (560), Large White Grid Premium Self Stick Flip Chart Paper, Super Sticking Power</v>
      </c>
      <c r="D77" t="str">
        <f>IFERROR(__xludf.DUMMYFUNCTION("""COMPUTED_VALUE"""),"B00006I9V8")</f>
        <v>B00006I9V8</v>
      </c>
      <c r="E77" t="str">
        <f>IFERROR(__xludf.DUMMYFUNCTION("""COMPUTED_VALUE"""),"21200707285")</f>
        <v>21200707285</v>
      </c>
      <c r="F77">
        <f>IFERROR(__xludf.DUMMYFUNCTION("""COMPUTED_VALUE"""),120.0)</f>
        <v>120</v>
      </c>
      <c r="G77">
        <f>IFERROR(__xludf.DUMMYFUNCTION("""COMPUTED_VALUE"""),1000.0)</f>
        <v>1000</v>
      </c>
      <c r="H77" s="2">
        <f>IFERROR(__xludf.DUMMYFUNCTION("""COMPUTED_VALUE"""),24.75)</f>
        <v>24.75</v>
      </c>
      <c r="I77" s="2">
        <f>IFERROR(__xludf.DUMMYFUNCTION("""COMPUTED_VALUE"""),32.95)</f>
        <v>32.95</v>
      </c>
      <c r="J77" s="2">
        <f>IFERROR(__xludf.DUMMYFUNCTION("""COMPUTED_VALUE"""),8.200000000000003)</f>
        <v>8.2</v>
      </c>
      <c r="K77" s="5">
        <f>IFERROR(__xludf.DUMMYFUNCTION("""COMPUTED_VALUE"""),0.33131313131313145)</f>
        <v>0.3313131313</v>
      </c>
      <c r="L77">
        <f>IFERROR(__xludf.DUMMYFUNCTION("""COMPUTED_VALUE"""),9225.0)</f>
        <v>9225</v>
      </c>
      <c r="M77" t="str">
        <f>IFERROR(__xludf.DUMMYFUNCTION("""COMPUTED_VALUE"""),"Office Product")</f>
        <v>Office Product</v>
      </c>
      <c r="N77" t="str">
        <f>IFERROR(__xludf.DUMMYFUNCTION("""COMPUTED_VALUE"""),"ETA 2/14/23")</f>
        <v>ETA 2/14/23</v>
      </c>
      <c r="O77" t="str">
        <f>IFERROR(__xludf.DUMMYFUNCTION("""COMPUTED_VALUE"""),"Y")</f>
        <v>Y</v>
      </c>
      <c r="P77" s="1" t="str">
        <f>IFERROR(__xludf.DUMMYFUNCTION("""COMPUTED_VALUE"""),"ID 12392")</f>
        <v>ID 12392</v>
      </c>
      <c r="Q77" s="1" t="str">
        <f>IFERROR(__xludf.DUMMYFUNCTION("""COMPUTED_VALUE"""),"B00006I9V8")</f>
        <v>B00006I9V8</v>
      </c>
    </row>
    <row r="78">
      <c r="A78" s="6">
        <f>IFERROR(__xludf.DUMMYFUNCTION("""COMPUTED_VALUE"""),44699.0)</f>
        <v>44699</v>
      </c>
      <c r="B78">
        <f>IFERROR(__xludf.DUMMYFUNCTION("""COMPUTED_VALUE"""),12721.0)</f>
        <v>12721</v>
      </c>
      <c r="C78" t="str">
        <f>IFERROR(__xludf.DUMMYFUNCTION("""COMPUTED_VALUE"""),"Zippo Brown Matte Zippo Logo Pocket Lighter")</f>
        <v>Zippo Brown Matte Zippo Logo Pocket Lighter</v>
      </c>
      <c r="D78" t="str">
        <f>IFERROR(__xludf.DUMMYFUNCTION("""COMPUTED_VALUE"""),"B084PRCCN7")</f>
        <v>B084PRCCN7</v>
      </c>
      <c r="E78" t="str">
        <f>IFERROR(__xludf.DUMMYFUNCTION("""COMPUTED_VALUE"""),"191693145700")</f>
        <v>191693145700</v>
      </c>
      <c r="F78">
        <f>IFERROR(__xludf.DUMMYFUNCTION("""COMPUTED_VALUE"""),190.0)</f>
        <v>190</v>
      </c>
      <c r="G78">
        <f>IFERROR(__xludf.DUMMYFUNCTION("""COMPUTED_VALUE"""),5000.0)</f>
        <v>5000</v>
      </c>
      <c r="H78" s="2">
        <f>IFERROR(__xludf.DUMMYFUNCTION("""COMPUTED_VALUE"""),12.75)</f>
        <v>12.75</v>
      </c>
      <c r="I78" s="2">
        <f>IFERROR(__xludf.DUMMYFUNCTION("""COMPUTED_VALUE"""),20.93)</f>
        <v>20.93</v>
      </c>
      <c r="J78" s="2">
        <f>IFERROR(__xludf.DUMMYFUNCTION("""COMPUTED_VALUE"""),8.18)</f>
        <v>8.18</v>
      </c>
      <c r="K78" s="5">
        <f>IFERROR(__xludf.DUMMYFUNCTION("""COMPUTED_VALUE"""),0.6415686274509804)</f>
        <v>0.6415686275</v>
      </c>
      <c r="L78">
        <f>IFERROR(__xludf.DUMMYFUNCTION("""COMPUTED_VALUE"""),33275.0)</f>
        <v>33275</v>
      </c>
      <c r="M78" t="str">
        <f>IFERROR(__xludf.DUMMYFUNCTION("""COMPUTED_VALUE"""),"Sports")</f>
        <v>Sports</v>
      </c>
      <c r="N78" t="str">
        <f>IFERROR(__xludf.DUMMYFUNCTION("""COMPUTED_VALUE"""),"Restricted for online sale")</f>
        <v>Restricted for online sale</v>
      </c>
      <c r="O78" t="str">
        <f>IFERROR(__xludf.DUMMYFUNCTION("""COMPUTED_VALUE"""),"Y")</f>
        <v>Y</v>
      </c>
      <c r="P78" s="1" t="str">
        <f>IFERROR(__xludf.DUMMYFUNCTION("""COMPUTED_VALUE"""),"ID 12721")</f>
        <v>ID 12721</v>
      </c>
      <c r="Q78" s="1" t="str">
        <f>IFERROR(__xludf.DUMMYFUNCTION("""COMPUTED_VALUE"""),"B084PRCCN7")</f>
        <v>B084PRCCN7</v>
      </c>
    </row>
    <row r="79">
      <c r="A79" s="6">
        <f>IFERROR(__xludf.DUMMYFUNCTION("""COMPUTED_VALUE"""),44763.0)</f>
        <v>44763</v>
      </c>
      <c r="B79">
        <f>IFERROR(__xludf.DUMMYFUNCTION("""COMPUTED_VALUE"""),21289.0)</f>
        <v>21289</v>
      </c>
      <c r="C79" t="str">
        <f>IFERROR(__xludf.DUMMYFUNCTION("""COMPUTED_VALUE"""),"EA Sports UFC Sony Playstation 4 PS4 Game UK")</f>
        <v>EA Sports UFC Sony Playstation 4 PS4 Game UK</v>
      </c>
      <c r="D79" t="str">
        <f>IFERROR(__xludf.DUMMYFUNCTION("""COMPUTED_VALUE"""),"B00D781H40")</f>
        <v>B00D781H40</v>
      </c>
      <c r="E79" t="str">
        <f>IFERROR(__xludf.DUMMYFUNCTION("""COMPUTED_VALUE"""),"5035223112525")</f>
        <v>5035223112525</v>
      </c>
      <c r="F79">
        <f>IFERROR(__xludf.DUMMYFUNCTION("""COMPUTED_VALUE"""),270.0)</f>
        <v>270</v>
      </c>
      <c r="G79">
        <f>IFERROR(__xludf.DUMMYFUNCTION("""COMPUTED_VALUE"""),702.0)</f>
        <v>702</v>
      </c>
      <c r="H79" s="2">
        <f>IFERROR(__xludf.DUMMYFUNCTION("""COMPUTED_VALUE"""),18.75)</f>
        <v>18.75</v>
      </c>
      <c r="I79" s="2">
        <f>IFERROR(__xludf.DUMMYFUNCTION("""COMPUTED_VALUE"""),26.91)</f>
        <v>26.91</v>
      </c>
      <c r="J79" s="2">
        <f>IFERROR(__xludf.DUMMYFUNCTION("""COMPUTED_VALUE"""),8.16)</f>
        <v>8.16</v>
      </c>
      <c r="K79" s="5">
        <f>IFERROR(__xludf.DUMMYFUNCTION("""COMPUTED_VALUE"""),0.43520000000000003)</f>
        <v>0.4352</v>
      </c>
      <c r="L79">
        <f>IFERROR(__xludf.DUMMYFUNCTION("""COMPUTED_VALUE"""),72895.0)</f>
        <v>72895</v>
      </c>
      <c r="M79" t="str">
        <f>IFERROR(__xludf.DUMMYFUNCTION("""COMPUTED_VALUE"""),"BISS Basic")</f>
        <v>BISS Basic</v>
      </c>
      <c r="N79" t="str">
        <f>IFERROR(__xludf.DUMMYFUNCTION("""COMPUTED_VALUE"""),"AUD&amp;SUB:ENG/FRE/GER/ESP/POR SUB ONLY:ITA. See Remarks")</f>
        <v>AUD&amp;SUB:ENG/FRE/GER/ESP/POR SUB ONLY:ITA. See Remarks</v>
      </c>
      <c r="O79" t="str">
        <f>IFERROR(__xludf.DUMMYFUNCTION("""COMPUTED_VALUE"""),"N")</f>
        <v>N</v>
      </c>
      <c r="P79" s="1" t="str">
        <f>IFERROR(__xludf.DUMMYFUNCTION("""COMPUTED_VALUE"""),"ID 21289")</f>
        <v>ID 21289</v>
      </c>
      <c r="Q79" s="1" t="str">
        <f>IFERROR(__xludf.DUMMYFUNCTION("""COMPUTED_VALUE"""),"B00D781H40")</f>
        <v>B00D781H40</v>
      </c>
    </row>
    <row r="80">
      <c r="A80" s="6">
        <f>IFERROR(__xludf.DUMMYFUNCTION("""COMPUTED_VALUE"""),45229.0)</f>
        <v>45229</v>
      </c>
      <c r="B80">
        <f>IFERROR(__xludf.DUMMYFUNCTION("""COMPUTED_VALUE"""),20019.0)</f>
        <v>20019</v>
      </c>
      <c r="C80" t="str">
        <f>IFERROR(__xludf.DUMMYFUNCTION("""COMPUTED_VALUE"""),"GBC Laminating Sheets, Self Adhesive Pouches, Self Adhesive, Vertical ID Badge, 8 Mil, SelfSeal, 10 Pack (3747205)")</f>
        <v>GBC Laminating Sheets, Self Adhesive Pouches, Self Adhesive, Vertical ID Badge, 8 Mil, SelfSeal, 10 Pack (3747205)</v>
      </c>
      <c r="D80" t="str">
        <f>IFERROR(__xludf.DUMMYFUNCTION("""COMPUTED_VALUE"""),"B0017D9KLY")</f>
        <v>B0017D9KLY</v>
      </c>
      <c r="E80" t="str">
        <f>IFERROR(__xludf.DUMMYFUNCTION("""COMPUTED_VALUE"""),"033816066298")</f>
        <v>033816066298</v>
      </c>
      <c r="F80">
        <f>IFERROR(__xludf.DUMMYFUNCTION("""COMPUTED_VALUE"""),210.0)</f>
        <v>210</v>
      </c>
      <c r="G80">
        <f>IFERROR(__xludf.DUMMYFUNCTION("""COMPUTED_VALUE"""),10000.0)</f>
        <v>10000</v>
      </c>
      <c r="H80" s="2">
        <f>IFERROR(__xludf.DUMMYFUNCTION("""COMPUTED_VALUE"""),12.5)</f>
        <v>12.5</v>
      </c>
      <c r="I80" s="2">
        <f>IFERROR(__xludf.DUMMYFUNCTION("""COMPUTED_VALUE"""),20.63)</f>
        <v>20.63</v>
      </c>
      <c r="J80" s="2">
        <f>IFERROR(__xludf.DUMMYFUNCTION("""COMPUTED_VALUE"""),8.129999999999999)</f>
        <v>8.13</v>
      </c>
      <c r="K80" s="5">
        <f>IFERROR(__xludf.DUMMYFUNCTION("""COMPUTED_VALUE"""),0.6503999999999999)</f>
        <v>0.6504</v>
      </c>
      <c r="L80">
        <f>IFERROR(__xludf.DUMMYFUNCTION("""COMPUTED_VALUE"""),40207.0)</f>
        <v>40207</v>
      </c>
      <c r="M80" t="str">
        <f>IFERROR(__xludf.DUMMYFUNCTION("""COMPUTED_VALUE"""),"Office Product")</f>
        <v>Office Product</v>
      </c>
      <c r="O80" t="str">
        <f>IFERROR(__xludf.DUMMYFUNCTION("""COMPUTED_VALUE"""),"N")</f>
        <v>N</v>
      </c>
      <c r="P80" s="1" t="str">
        <f>IFERROR(__xludf.DUMMYFUNCTION("""COMPUTED_VALUE"""),"ID 20019")</f>
        <v>ID 20019</v>
      </c>
      <c r="Q80" s="1" t="str">
        <f>IFERROR(__xludf.DUMMYFUNCTION("""COMPUTED_VALUE"""),"B0017D9KLY")</f>
        <v>B0017D9KLY</v>
      </c>
    </row>
    <row r="81">
      <c r="A81" s="6">
        <f>IFERROR(__xludf.DUMMYFUNCTION("""COMPUTED_VALUE"""),44629.0)</f>
        <v>44629</v>
      </c>
      <c r="B81">
        <f>IFERROR(__xludf.DUMMYFUNCTION("""COMPUTED_VALUE"""),18082.0)</f>
        <v>18082</v>
      </c>
      <c r="C81" t="str">
        <f>IFERROR(__xludf.DUMMYFUNCTION("""COMPUTED_VALUE"""),"bulk buys Binoculars with Compass - Case of 1")</f>
        <v>bulk buys Binoculars with Compass - Case of 1</v>
      </c>
      <c r="D81" t="str">
        <f>IFERROR(__xludf.DUMMYFUNCTION("""COMPUTED_VALUE"""),"B009YN82X6")</f>
        <v>B009YN82X6</v>
      </c>
      <c r="E81" t="str">
        <f>IFERROR(__xludf.DUMMYFUNCTION("""COMPUTED_VALUE"""),"731015139804")</f>
        <v>731015139804</v>
      </c>
      <c r="F81">
        <f>IFERROR(__xludf.DUMMYFUNCTION("""COMPUTED_VALUE"""),180.0)</f>
        <v>180</v>
      </c>
      <c r="G81">
        <f>IFERROR(__xludf.DUMMYFUNCTION("""COMPUTED_VALUE"""),218.0)</f>
        <v>218</v>
      </c>
      <c r="H81" s="2">
        <f>IFERROR(__xludf.DUMMYFUNCTION("""COMPUTED_VALUE"""),9.0)</f>
        <v>9</v>
      </c>
      <c r="I81" s="2">
        <f>IFERROR(__xludf.DUMMYFUNCTION("""COMPUTED_VALUE"""),17.08)</f>
        <v>17.08</v>
      </c>
      <c r="J81" s="2">
        <f>IFERROR(__xludf.DUMMYFUNCTION("""COMPUTED_VALUE"""),8.079999999999998)</f>
        <v>8.08</v>
      </c>
      <c r="K81" s="5">
        <f>IFERROR(__xludf.DUMMYFUNCTION("""COMPUTED_VALUE"""),0.8977777777777776)</f>
        <v>0.8977777778</v>
      </c>
      <c r="L81">
        <f>IFERROR(__xludf.DUMMYFUNCTION("""COMPUTED_VALUE"""),6169.0)</f>
        <v>6169</v>
      </c>
      <c r="M81" t="str">
        <f>IFERROR(__xludf.DUMMYFUNCTION("""COMPUTED_VALUE"""),"Sports")</f>
        <v>Sports</v>
      </c>
      <c r="O81" t="str">
        <f>IFERROR(__xludf.DUMMYFUNCTION("""COMPUTED_VALUE"""),"N")</f>
        <v>N</v>
      </c>
      <c r="P81" s="1" t="str">
        <f>IFERROR(__xludf.DUMMYFUNCTION("""COMPUTED_VALUE"""),"ID 18082")</f>
        <v>ID 18082</v>
      </c>
      <c r="Q81" s="1" t="str">
        <f>IFERROR(__xludf.DUMMYFUNCTION("""COMPUTED_VALUE"""),"B009YN82X6")</f>
        <v>B009YN82X6</v>
      </c>
    </row>
    <row r="82">
      <c r="A82" s="6">
        <f>IFERROR(__xludf.DUMMYFUNCTION("""COMPUTED_VALUE"""),45348.0)</f>
        <v>45348</v>
      </c>
      <c r="B82">
        <f>IFERROR(__xludf.DUMMYFUNCTION("""COMPUTED_VALUE"""),17014.0)</f>
        <v>17014</v>
      </c>
      <c r="C82" t="str">
        <f>IFERROR(__xludf.DUMMYFUNCTION("""COMPUTED_VALUE"""),"Penguin Original Penguin Premium Blend for Men, 3.4 Ounce")</f>
        <v>Penguin Original Penguin Premium Blend for Men, 3.4 Ounce</v>
      </c>
      <c r="D82" t="str">
        <f>IFERROR(__xludf.DUMMYFUNCTION("""COMPUTED_VALUE"""),"B01F4N9MEC")</f>
        <v>B01F4N9MEC</v>
      </c>
      <c r="E82" t="str">
        <f>IFERROR(__xludf.DUMMYFUNCTION("""COMPUTED_VALUE"""),"0844061010611")</f>
        <v>0844061010611</v>
      </c>
      <c r="F82">
        <f>IFERROR(__xludf.DUMMYFUNCTION("""COMPUTED_VALUE"""),90.0)</f>
        <v>90</v>
      </c>
      <c r="G82">
        <f>IFERROR(__xludf.DUMMYFUNCTION("""COMPUTED_VALUE"""),366.0)</f>
        <v>366</v>
      </c>
      <c r="H82" s="2">
        <f>IFERROR(__xludf.DUMMYFUNCTION("""COMPUTED_VALUE"""),16.25)</f>
        <v>16.25</v>
      </c>
      <c r="I82" s="2">
        <f>IFERROR(__xludf.DUMMYFUNCTION("""COMPUTED_VALUE"""),24.25)</f>
        <v>24.25</v>
      </c>
      <c r="J82" s="2">
        <f>IFERROR(__xludf.DUMMYFUNCTION("""COMPUTED_VALUE"""),8.0)</f>
        <v>8</v>
      </c>
      <c r="K82" s="5">
        <f>IFERROR(__xludf.DUMMYFUNCTION("""COMPUTED_VALUE"""),0.49230769230769234)</f>
        <v>0.4923076923</v>
      </c>
      <c r="L82">
        <f>IFERROR(__xludf.DUMMYFUNCTION("""COMPUTED_VALUE"""),53195.0)</f>
        <v>53195</v>
      </c>
      <c r="M82" t="str">
        <f>IFERROR(__xludf.DUMMYFUNCTION("""COMPUTED_VALUE"""),"Beauty")</f>
        <v>Beauty</v>
      </c>
      <c r="O82" t="str">
        <f>IFERROR(__xludf.DUMMYFUNCTION("""COMPUTED_VALUE"""),"N")</f>
        <v>N</v>
      </c>
      <c r="P82" s="1" t="str">
        <f>IFERROR(__xludf.DUMMYFUNCTION("""COMPUTED_VALUE"""),"ID 17014")</f>
        <v>ID 17014</v>
      </c>
      <c r="Q82" s="1" t="str">
        <f>IFERROR(__xludf.DUMMYFUNCTION("""COMPUTED_VALUE"""),"B01F4N9MEC")</f>
        <v>B01F4N9MEC</v>
      </c>
    </row>
    <row r="83">
      <c r="A83" s="6">
        <f>IFERROR(__xludf.DUMMYFUNCTION("""COMPUTED_VALUE"""),44417.0)</f>
        <v>44417</v>
      </c>
      <c r="B83">
        <f>IFERROR(__xludf.DUMMYFUNCTION("""COMPUTED_VALUE"""),18095.0)</f>
        <v>18095</v>
      </c>
      <c r="C83" t="str">
        <f>IFERROR(__xludf.DUMMYFUNCTION("""COMPUTED_VALUE"""),"Victor Vran: Overkill Edition Xbox One - Xbox One")</f>
        <v>Victor Vran: Overkill Edition Xbox One - Xbox One</v>
      </c>
      <c r="D83" t="str">
        <f>IFERROR(__xludf.DUMMYFUNCTION("""COMPUTED_VALUE"""),"B06XWBZBQK")</f>
        <v>B06XWBZBQK</v>
      </c>
      <c r="E83" t="str">
        <f>IFERROR(__xludf.DUMMYFUNCTION("""COMPUTED_VALUE"""),"811994020932")</f>
        <v>811994020932</v>
      </c>
      <c r="F83">
        <f>IFERROR(__xludf.DUMMYFUNCTION("""COMPUTED_VALUE"""),300.0)</f>
        <v>300</v>
      </c>
      <c r="G83">
        <f>IFERROR(__xludf.DUMMYFUNCTION("""COMPUTED_VALUE"""),3119.0)</f>
        <v>3119</v>
      </c>
      <c r="H83" s="2">
        <f>IFERROR(__xludf.DUMMYFUNCTION("""COMPUTED_VALUE"""),4.5)</f>
        <v>4.5</v>
      </c>
      <c r="I83" s="2">
        <f>IFERROR(__xludf.DUMMYFUNCTION("""COMPUTED_VALUE"""),12.31)</f>
        <v>12.31</v>
      </c>
      <c r="J83" s="2">
        <f>IFERROR(__xludf.DUMMYFUNCTION("""COMPUTED_VALUE"""),7.8100000000000005)</f>
        <v>7.81</v>
      </c>
      <c r="K83" s="5">
        <f>IFERROR(__xludf.DUMMYFUNCTION("""COMPUTED_VALUE"""),1.7355555555555557)</f>
        <v>1.735555556</v>
      </c>
      <c r="L83">
        <f>IFERROR(__xludf.DUMMYFUNCTION("""COMPUTED_VALUE"""),69610.0)</f>
        <v>69610</v>
      </c>
      <c r="M83" t="str">
        <f>IFERROR(__xludf.DUMMYFUNCTION("""COMPUTED_VALUE"""),"Video Games")</f>
        <v>Video Games</v>
      </c>
      <c r="O83" t="str">
        <f>IFERROR(__xludf.DUMMYFUNCTION("""COMPUTED_VALUE"""),"N")</f>
        <v>N</v>
      </c>
      <c r="P83" s="1" t="str">
        <f>IFERROR(__xludf.DUMMYFUNCTION("""COMPUTED_VALUE"""),"ID 18095")</f>
        <v>ID 18095</v>
      </c>
      <c r="Q83" s="1" t="str">
        <f>IFERROR(__xludf.DUMMYFUNCTION("""COMPUTED_VALUE"""),"B06XWBZBQK")</f>
        <v>B06XWBZBQK</v>
      </c>
    </row>
    <row r="84">
      <c r="A84" s="6">
        <f>IFERROR(__xludf.DUMMYFUNCTION("""COMPUTED_VALUE"""),44627.0)</f>
        <v>44627</v>
      </c>
      <c r="B84">
        <f>IFERROR(__xludf.DUMMYFUNCTION("""COMPUTED_VALUE"""),22646.0)</f>
        <v>22646</v>
      </c>
      <c r="C84" t="str">
        <f>IFERROR(__xludf.DUMMYFUNCTION("""COMPUTED_VALUE"""),"Zippo Lock Design Pocket Lighter, Black Matte Lock, One Size")</f>
        <v>Zippo Lock Design Pocket Lighter, Black Matte Lock, One Size</v>
      </c>
      <c r="D84" t="str">
        <f>IFERROR(__xludf.DUMMYFUNCTION("""COMPUTED_VALUE"""),"B07VC4MBPF")</f>
        <v>B07VC4MBPF</v>
      </c>
      <c r="E84" t="str">
        <f>IFERROR(__xludf.DUMMYFUNCTION("""COMPUTED_VALUE"""),"191693113136")</f>
        <v>191693113136</v>
      </c>
      <c r="F84">
        <f>IFERROR(__xludf.DUMMYFUNCTION("""COMPUTED_VALUE"""),180.0)</f>
        <v>180</v>
      </c>
      <c r="G84">
        <f>IFERROR(__xludf.DUMMYFUNCTION("""COMPUTED_VALUE"""),369.0)</f>
        <v>369</v>
      </c>
      <c r="H84" s="2">
        <f>IFERROR(__xludf.DUMMYFUNCTION("""COMPUTED_VALUE"""),13.25)</f>
        <v>13.25</v>
      </c>
      <c r="I84" s="2">
        <f>IFERROR(__xludf.DUMMYFUNCTION("""COMPUTED_VALUE"""),21.03)</f>
        <v>21.03</v>
      </c>
      <c r="J84" s="2">
        <f>IFERROR(__xludf.DUMMYFUNCTION("""COMPUTED_VALUE"""),7.780000000000001)</f>
        <v>7.78</v>
      </c>
      <c r="K84" s="5">
        <f>IFERROR(__xludf.DUMMYFUNCTION("""COMPUTED_VALUE"""),0.5871698113207549)</f>
        <v>0.5871698113</v>
      </c>
      <c r="L84">
        <f>IFERROR(__xludf.DUMMYFUNCTION("""COMPUTED_VALUE"""),30054.0)</f>
        <v>30054</v>
      </c>
      <c r="M84" t="str">
        <f>IFERROR(__xludf.DUMMYFUNCTION("""COMPUTED_VALUE"""),"Sports")</f>
        <v>Sports</v>
      </c>
      <c r="O84" t="str">
        <f>IFERROR(__xludf.DUMMYFUNCTION("""COMPUTED_VALUE"""),"N")</f>
        <v>N</v>
      </c>
      <c r="P84" s="1" t="str">
        <f>IFERROR(__xludf.DUMMYFUNCTION("""COMPUTED_VALUE"""),"ID 22646")</f>
        <v>ID 22646</v>
      </c>
      <c r="Q84" s="1" t="str">
        <f>IFERROR(__xludf.DUMMYFUNCTION("""COMPUTED_VALUE"""),"B07VC4MBPF")</f>
        <v>B07VC4MBPF</v>
      </c>
    </row>
    <row r="85">
      <c r="A85" s="6">
        <f>IFERROR(__xludf.DUMMYFUNCTION("""COMPUTED_VALUE"""),45013.0)</f>
        <v>45013</v>
      </c>
      <c r="B85">
        <f>IFERROR(__xludf.DUMMYFUNCTION("""COMPUTED_VALUE"""),23936.0)</f>
        <v>23936</v>
      </c>
      <c r="C85" t="str">
        <f>IFERROR(__xludf.DUMMYFUNCTION("""COMPUTED_VALUE"""),"Uno Casa Cast Iron Tortilla Press - 8 Inch, Pre-Seasoned Tortilla Maker with 100 Pcs Parchment Paper - Pataconera for Flour Tortilla, Roti, Tawa or Dosa")</f>
        <v>Uno Casa Cast Iron Tortilla Press - 8 Inch, Pre-Seasoned Tortilla Maker with 100 Pcs Parchment Paper - Pataconera for Flour Tortilla, Roti, Tawa or Dosa</v>
      </c>
      <c r="D85" t="str">
        <f>IFERROR(__xludf.DUMMYFUNCTION("""COMPUTED_VALUE"""),"B07H9WF6GH")</f>
        <v>B07H9WF6GH</v>
      </c>
      <c r="F85">
        <f>IFERROR(__xludf.DUMMYFUNCTION("""COMPUTED_VALUE"""),118.0)</f>
        <v>118</v>
      </c>
      <c r="G85">
        <f>IFERROR(__xludf.DUMMYFUNCTION("""COMPUTED_VALUE"""),118.0)</f>
        <v>118</v>
      </c>
      <c r="H85" s="2">
        <f>IFERROR(__xludf.DUMMYFUNCTION("""COMPUTED_VALUE"""),9.25)</f>
        <v>9.25</v>
      </c>
      <c r="I85" s="2">
        <f>IFERROR(__xludf.DUMMYFUNCTION("""COMPUTED_VALUE"""),17.01)</f>
        <v>17.01</v>
      </c>
      <c r="J85" s="2">
        <f>IFERROR(__xludf.DUMMYFUNCTION("""COMPUTED_VALUE"""),7.760000000000002)</f>
        <v>7.76</v>
      </c>
      <c r="K85" s="5">
        <f>IFERROR(__xludf.DUMMYFUNCTION("""COMPUTED_VALUE"""),0.8389189189189191)</f>
        <v>0.8389189189</v>
      </c>
      <c r="L85">
        <f>IFERROR(__xludf.DUMMYFUNCTION("""COMPUTED_VALUE"""),3492.0)</f>
        <v>3492</v>
      </c>
      <c r="M85" t="str">
        <f>IFERROR(__xludf.DUMMYFUNCTION("""COMPUTED_VALUE"""),"Kitchen")</f>
        <v>Kitchen</v>
      </c>
      <c r="N85" t="str">
        <f>IFERROR(__xludf.DUMMYFUNCTION("""COMPUTED_VALUE"""),"Brand owner permission to resell on amazon unknown.")</f>
        <v>Brand owner permission to resell on amazon unknown.</v>
      </c>
      <c r="O85" t="str">
        <f>IFERROR(__xludf.DUMMYFUNCTION("""COMPUTED_VALUE"""),"N")</f>
        <v>N</v>
      </c>
      <c r="P85" s="1" t="str">
        <f>IFERROR(__xludf.DUMMYFUNCTION("""COMPUTED_VALUE"""),"ID 23936")</f>
        <v>ID 23936</v>
      </c>
      <c r="Q85" s="1" t="str">
        <f>IFERROR(__xludf.DUMMYFUNCTION("""COMPUTED_VALUE"""),"B07H9WF6GH")</f>
        <v>B07H9WF6GH</v>
      </c>
    </row>
    <row r="86">
      <c r="A86" s="6">
        <f>IFERROR(__xludf.DUMMYFUNCTION("""COMPUTED_VALUE"""),44627.0)</f>
        <v>44627</v>
      </c>
      <c r="B86">
        <f>IFERROR(__xludf.DUMMYFUNCTION("""COMPUTED_VALUE"""),16277.0)</f>
        <v>16277</v>
      </c>
      <c r="C86" t="str">
        <f>IFERROR(__xludf.DUMMYFUNCTION("""COMPUTED_VALUE"""),"Zippo Samurai Helmet Design Black Matte Pocket Lighter, One Size")</f>
        <v>Zippo Samurai Helmet Design Black Matte Pocket Lighter, One Size</v>
      </c>
      <c r="D86" t="str">
        <f>IFERROR(__xludf.DUMMYFUNCTION("""COMPUTED_VALUE"""),"B08B6B1H7P")</f>
        <v>B08B6B1H7P</v>
      </c>
      <c r="E86" t="str">
        <f>IFERROR(__xludf.DUMMYFUNCTION("""COMPUTED_VALUE"""),"191693166309")</f>
        <v>191693166309</v>
      </c>
      <c r="F86">
        <f>IFERROR(__xludf.DUMMYFUNCTION("""COMPUTED_VALUE"""),200.0)</f>
        <v>200</v>
      </c>
      <c r="G86">
        <f>IFERROR(__xludf.DUMMYFUNCTION("""COMPUTED_VALUE"""),1000.0)</f>
        <v>1000</v>
      </c>
      <c r="H86" s="2">
        <f>IFERROR(__xludf.DUMMYFUNCTION("""COMPUTED_VALUE"""),13.5)</f>
        <v>13.5</v>
      </c>
      <c r="I86" s="2">
        <f>IFERROR(__xludf.DUMMYFUNCTION("""COMPUTED_VALUE"""),21.22)</f>
        <v>21.22</v>
      </c>
      <c r="J86" s="2">
        <f>IFERROR(__xludf.DUMMYFUNCTION("""COMPUTED_VALUE"""),7.719999999999999)</f>
        <v>7.72</v>
      </c>
      <c r="K86" s="5">
        <f>IFERROR(__xludf.DUMMYFUNCTION("""COMPUTED_VALUE"""),0.5718518518518517)</f>
        <v>0.5718518519</v>
      </c>
      <c r="L86">
        <f>IFERROR(__xludf.DUMMYFUNCTION("""COMPUTED_VALUE"""),92160.0)</f>
        <v>92160</v>
      </c>
      <c r="M86" t="str">
        <f>IFERROR(__xludf.DUMMYFUNCTION("""COMPUTED_VALUE"""),"Sports")</f>
        <v>Sports</v>
      </c>
      <c r="O86" t="str">
        <f>IFERROR(__xludf.DUMMYFUNCTION("""COMPUTED_VALUE"""),"N")</f>
        <v>N</v>
      </c>
      <c r="P86" s="1" t="str">
        <f>IFERROR(__xludf.DUMMYFUNCTION("""COMPUTED_VALUE"""),"ID 16277")</f>
        <v>ID 16277</v>
      </c>
      <c r="Q86" s="1" t="str">
        <f>IFERROR(__xludf.DUMMYFUNCTION("""COMPUTED_VALUE"""),"B08B6B1H7P")</f>
        <v>B08B6B1H7P</v>
      </c>
    </row>
    <row r="87">
      <c r="A87" s="6">
        <f>IFERROR(__xludf.DUMMYFUNCTION("""COMPUTED_VALUE"""),45383.0)</f>
        <v>45383</v>
      </c>
      <c r="B87">
        <f>IFERROR(__xludf.DUMMYFUNCTION("""COMPUTED_VALUE"""),20145.0)</f>
        <v>20145</v>
      </c>
      <c r="C87" t="str">
        <f>IFERROR(__xludf.DUMMYFUNCTION("""COMPUTED_VALUE"""),"uni-ball Jetstream RT BLX Infusion Ballpoint Pens, Bold Point (1.0mm), Assorted Colors, 5 Count")</f>
        <v>uni-ball Jetstream RT BLX Infusion Ballpoint Pens, Bold Point (1.0mm), Assorted Colors, 5 Count</v>
      </c>
      <c r="D87" t="str">
        <f>IFERROR(__xludf.DUMMYFUNCTION("""COMPUTED_VALUE"""),"B00BPDNTSQ")</f>
        <v>B00BPDNTSQ</v>
      </c>
      <c r="E87" t="str">
        <f>IFERROR(__xludf.DUMMYFUNCTION("""COMPUTED_VALUE"""),"030246005477")</f>
        <v>030246005477</v>
      </c>
      <c r="F87">
        <f>IFERROR(__xludf.DUMMYFUNCTION("""COMPUTED_VALUE"""),144.0)</f>
        <v>144</v>
      </c>
      <c r="G87">
        <f>IFERROR(__xludf.DUMMYFUNCTION("""COMPUTED_VALUE"""),10000.0)</f>
        <v>10000</v>
      </c>
      <c r="H87" s="2">
        <f>IFERROR(__xludf.DUMMYFUNCTION("""COMPUTED_VALUE"""),11.75)</f>
        <v>11.75</v>
      </c>
      <c r="I87" s="2">
        <f>IFERROR(__xludf.DUMMYFUNCTION("""COMPUTED_VALUE"""),19.45)</f>
        <v>19.45</v>
      </c>
      <c r="J87" s="2">
        <f>IFERROR(__xludf.DUMMYFUNCTION("""COMPUTED_VALUE"""),7.699999999999999)</f>
        <v>7.7</v>
      </c>
      <c r="K87" s="5">
        <f>IFERROR(__xludf.DUMMYFUNCTION("""COMPUTED_VALUE"""),0.6553191489361702)</f>
        <v>0.6553191489</v>
      </c>
      <c r="L87">
        <f>IFERROR(__xludf.DUMMYFUNCTION("""COMPUTED_VALUE"""),40886.0)</f>
        <v>40886</v>
      </c>
      <c r="M87" t="str">
        <f>IFERROR(__xludf.DUMMYFUNCTION("""COMPUTED_VALUE"""),"BISS Basic")</f>
        <v>BISS Basic</v>
      </c>
      <c r="O87" t="str">
        <f>IFERROR(__xludf.DUMMYFUNCTION("""COMPUTED_VALUE"""),"Y")</f>
        <v>Y</v>
      </c>
      <c r="P87" s="1" t="str">
        <f>IFERROR(__xludf.DUMMYFUNCTION("""COMPUTED_VALUE"""),"ID 20145")</f>
        <v>ID 20145</v>
      </c>
      <c r="Q87" s="1" t="str">
        <f>IFERROR(__xludf.DUMMYFUNCTION("""COMPUTED_VALUE"""),"B00BPDNTSQ")</f>
        <v>B00BPDNTSQ</v>
      </c>
    </row>
    <row r="88">
      <c r="A88" s="6">
        <f>IFERROR(__xludf.DUMMYFUNCTION("""COMPUTED_VALUE"""),44644.0)</f>
        <v>44644</v>
      </c>
      <c r="B88">
        <f>IFERROR(__xludf.DUMMYFUNCTION("""COMPUTED_VALUE"""),284.0)</f>
        <v>284</v>
      </c>
      <c r="C88" t="str">
        <f>IFERROR(__xludf.DUMMYFUNCTION("""COMPUTED_VALUE"""),"VTech VM321 Video Baby Monitor with Automatic Infrared Night Vision, Adjustable Camera, Zoom, 5 Soothing Lullabies &amp; 1,000 Feet of Range")</f>
        <v>VTech VM321 Video Baby Monitor with Automatic Infrared Night Vision, Adjustable Camera, Zoom, 5 Soothing Lullabies &amp; 1,000 Feet of Range</v>
      </c>
      <c r="D88" t="str">
        <f>IFERROR(__xludf.DUMMYFUNCTION("""COMPUTED_VALUE"""),"B007NG5UGS")</f>
        <v>B007NG5UGS</v>
      </c>
      <c r="E88" t="str">
        <f>IFERROR(__xludf.DUMMYFUNCTION("""COMPUTED_VALUE"""),"735078021861")</f>
        <v>735078021861</v>
      </c>
      <c r="F88">
        <f>IFERROR(__xludf.DUMMYFUNCTION("""COMPUTED_VALUE"""),40.0)</f>
        <v>40</v>
      </c>
      <c r="G88">
        <f>IFERROR(__xludf.DUMMYFUNCTION("""COMPUTED_VALUE"""),1079.0)</f>
        <v>1079</v>
      </c>
      <c r="H88" s="2">
        <f>IFERROR(__xludf.DUMMYFUNCTION("""COMPUTED_VALUE"""),59.0)</f>
        <v>59</v>
      </c>
      <c r="I88" s="2">
        <f>IFERROR(__xludf.DUMMYFUNCTION("""COMPUTED_VALUE"""),66.65)</f>
        <v>66.65</v>
      </c>
      <c r="J88" s="2">
        <f>IFERROR(__xludf.DUMMYFUNCTION("""COMPUTED_VALUE"""),7.650000000000006)</f>
        <v>7.65</v>
      </c>
      <c r="K88" s="5">
        <f>IFERROR(__xludf.DUMMYFUNCTION("""COMPUTED_VALUE"""),0.12966101694915264)</f>
        <v>0.1296610169</v>
      </c>
      <c r="L88">
        <f>IFERROR(__xludf.DUMMYFUNCTION("""COMPUTED_VALUE"""),63347.0)</f>
        <v>63347</v>
      </c>
      <c r="M88" t="str">
        <f>IFERROR(__xludf.DUMMYFUNCTION("""COMPUTED_VALUE"""),"Baby Product")</f>
        <v>Baby Product</v>
      </c>
      <c r="O88" t="str">
        <f>IFERROR(__xludf.DUMMYFUNCTION("""COMPUTED_VALUE"""),"N")</f>
        <v>N</v>
      </c>
      <c r="P88" s="1" t="str">
        <f>IFERROR(__xludf.DUMMYFUNCTION("""COMPUTED_VALUE"""),"ID 284")</f>
        <v>ID 284</v>
      </c>
      <c r="Q88" s="1" t="str">
        <f>IFERROR(__xludf.DUMMYFUNCTION("""COMPUTED_VALUE"""),"B007NG5UGS")</f>
        <v>B007NG5UGS</v>
      </c>
    </row>
    <row r="89">
      <c r="A89" s="6">
        <f>IFERROR(__xludf.DUMMYFUNCTION("""COMPUTED_VALUE"""),45376.0)</f>
        <v>45376</v>
      </c>
      <c r="B89">
        <f>IFERROR(__xludf.DUMMYFUNCTION("""COMPUTED_VALUE"""),24093.0)</f>
        <v>24093</v>
      </c>
      <c r="C89" t="str">
        <f>IFERROR(__xludf.DUMMYFUNCTION("""COMPUTED_VALUE"""),"Fadeless Bulletin Board Art Paper, Wispy Clouds, 48"" x 12', 1 Roll")</f>
        <v>Fadeless Bulletin Board Art Paper, Wispy Clouds, 48" x 12', 1 Roll</v>
      </c>
      <c r="D89" t="str">
        <f>IFERROR(__xludf.DUMMYFUNCTION("""COMPUTED_VALUE"""),"B005QVJ4QO")</f>
        <v>B005QVJ4QO</v>
      </c>
      <c r="E89" t="str">
        <f>IFERROR(__xludf.DUMMYFUNCTION("""COMPUTED_VALUE"""),"029444569386")</f>
        <v>029444569386</v>
      </c>
      <c r="F89">
        <f>IFERROR(__xludf.DUMMYFUNCTION("""COMPUTED_VALUE"""),596.0)</f>
        <v>596</v>
      </c>
      <c r="G89">
        <f>IFERROR(__xludf.DUMMYFUNCTION("""COMPUTED_VALUE"""),10000.0)</f>
        <v>10000</v>
      </c>
      <c r="H89" s="2">
        <f>IFERROR(__xludf.DUMMYFUNCTION("""COMPUTED_VALUE"""),6.0)</f>
        <v>6</v>
      </c>
      <c r="I89" s="2">
        <f>IFERROR(__xludf.DUMMYFUNCTION("""COMPUTED_VALUE"""),13.63)</f>
        <v>13.63</v>
      </c>
      <c r="J89" s="2">
        <f>IFERROR(__xludf.DUMMYFUNCTION("""COMPUTED_VALUE"""),7.630000000000001)</f>
        <v>7.63</v>
      </c>
      <c r="K89" s="5">
        <f>IFERROR(__xludf.DUMMYFUNCTION("""COMPUTED_VALUE"""),1.2716666666666667)</f>
        <v>1.271666667</v>
      </c>
      <c r="L89">
        <f>IFERROR(__xludf.DUMMYFUNCTION("""COMPUTED_VALUE"""),9007.0)</f>
        <v>9007</v>
      </c>
      <c r="M89" t="str">
        <f>IFERROR(__xludf.DUMMYFUNCTION("""COMPUTED_VALUE"""),"Office Product")</f>
        <v>Office Product</v>
      </c>
      <c r="O89" t="str">
        <f>IFERROR(__xludf.DUMMYFUNCTION("""COMPUTED_VALUE"""),"Y")</f>
        <v>Y</v>
      </c>
      <c r="P89" s="1" t="str">
        <f>IFERROR(__xludf.DUMMYFUNCTION("""COMPUTED_VALUE"""),"ID 24093")</f>
        <v>ID 24093</v>
      </c>
      <c r="Q89" s="1" t="str">
        <f>IFERROR(__xludf.DUMMYFUNCTION("""COMPUTED_VALUE"""),"B005QVJ4QO")</f>
        <v>B005QVJ4QO</v>
      </c>
    </row>
    <row r="90">
      <c r="A90" s="6">
        <f>IFERROR(__xludf.DUMMYFUNCTION("""COMPUTED_VALUE"""),44214.0)</f>
        <v>44214</v>
      </c>
      <c r="B90">
        <f>IFERROR(__xludf.DUMMYFUNCTION("""COMPUTED_VALUE"""),15988.0)</f>
        <v>15988</v>
      </c>
      <c r="C90" t="str">
        <f>IFERROR(__xludf.DUMMYFUNCTION("""COMPUTED_VALUE"""),"Casmir by Chopard for Women - 3.4 Ounce EDP Spray")</f>
        <v>Casmir by Chopard for Women - 3.4 Ounce EDP Spray</v>
      </c>
      <c r="D90" t="str">
        <f>IFERROR(__xludf.DUMMYFUNCTION("""COMPUTED_VALUE"""),"B000TZOXHW")</f>
        <v>B000TZOXHW</v>
      </c>
      <c r="E90" t="str">
        <f>IFERROR(__xludf.DUMMYFUNCTION("""COMPUTED_VALUE"""),"7640177366047")</f>
        <v>7640177366047</v>
      </c>
      <c r="F90">
        <f>IFERROR(__xludf.DUMMYFUNCTION("""COMPUTED_VALUE"""),70.0)</f>
        <v>70</v>
      </c>
      <c r="G90">
        <f>IFERROR(__xludf.DUMMYFUNCTION("""COMPUTED_VALUE"""),293.0)</f>
        <v>293</v>
      </c>
      <c r="H90" s="2">
        <f>IFERROR(__xludf.DUMMYFUNCTION("""COMPUTED_VALUE"""),18.0)</f>
        <v>18</v>
      </c>
      <c r="I90" s="2">
        <f>IFERROR(__xludf.DUMMYFUNCTION("""COMPUTED_VALUE"""),25.61)</f>
        <v>25.61</v>
      </c>
      <c r="J90" s="2">
        <f>IFERROR(__xludf.DUMMYFUNCTION("""COMPUTED_VALUE"""),7.609999999999999)</f>
        <v>7.61</v>
      </c>
      <c r="K90" s="5">
        <f>IFERROR(__xludf.DUMMYFUNCTION("""COMPUTED_VALUE"""),0.42277777777777775)</f>
        <v>0.4227777778</v>
      </c>
      <c r="L90">
        <f>IFERROR(__xludf.DUMMYFUNCTION("""COMPUTED_VALUE"""),41186.0)</f>
        <v>41186</v>
      </c>
      <c r="M90" t="str">
        <f>IFERROR(__xludf.DUMMYFUNCTION("""COMPUTED_VALUE"""),"Beauty")</f>
        <v>Beauty</v>
      </c>
      <c r="O90" t="str">
        <f>IFERROR(__xludf.DUMMYFUNCTION("""COMPUTED_VALUE"""),"Y")</f>
        <v>Y</v>
      </c>
      <c r="P90" s="1" t="str">
        <f>IFERROR(__xludf.DUMMYFUNCTION("""COMPUTED_VALUE"""),"ID 15988")</f>
        <v>ID 15988</v>
      </c>
      <c r="Q90" s="1" t="str">
        <f>IFERROR(__xludf.DUMMYFUNCTION("""COMPUTED_VALUE"""),"B000TZOXHW")</f>
        <v>B000TZOXHW</v>
      </c>
    </row>
    <row r="91">
      <c r="A91" s="6">
        <f>IFERROR(__xludf.DUMMYFUNCTION("""COMPUTED_VALUE"""),44769.0)</f>
        <v>44769</v>
      </c>
      <c r="B91">
        <f>IFERROR(__xludf.DUMMYFUNCTION("""COMPUTED_VALUE"""),8585.0)</f>
        <v>8585</v>
      </c>
      <c r="C91" t="str">
        <f>IFERROR(__xludf.DUMMYFUNCTION("""COMPUTED_VALUE"""),"Glade Solid Air Freshener, Red Honeysuckle Nectar, 6 oz")</f>
        <v>Glade Solid Air Freshener, Red Honeysuckle Nectar, 6 oz</v>
      </c>
      <c r="D91" t="str">
        <f>IFERROR(__xludf.DUMMYFUNCTION("""COMPUTED_VALUE"""),"B00E9OYDGU")</f>
        <v>B00E9OYDGU</v>
      </c>
      <c r="E91" t="str">
        <f>IFERROR(__xludf.DUMMYFUNCTION("""COMPUTED_VALUE"""),"46500742439")</f>
        <v>46500742439</v>
      </c>
      <c r="F91">
        <f>IFERROR(__xludf.DUMMYFUNCTION("""COMPUTED_VALUE"""),852.0)</f>
        <v>852</v>
      </c>
      <c r="G91">
        <f>IFERROR(__xludf.DUMMYFUNCTION("""COMPUTED_VALUE"""),200.0)</f>
        <v>200</v>
      </c>
      <c r="H91" s="2">
        <f>IFERROR(__xludf.DUMMYFUNCTION("""COMPUTED_VALUE"""),1.5)</f>
        <v>1.5</v>
      </c>
      <c r="I91" s="2">
        <f>IFERROR(__xludf.DUMMYFUNCTION("""COMPUTED_VALUE"""),9.04)</f>
        <v>9.04</v>
      </c>
      <c r="J91" s="2">
        <f>IFERROR(__xludf.DUMMYFUNCTION("""COMPUTED_VALUE"""),7.539999999999999)</f>
        <v>7.54</v>
      </c>
      <c r="K91" s="5">
        <f>IFERROR(__xludf.DUMMYFUNCTION("""COMPUTED_VALUE"""),5.026666666666666)</f>
        <v>5.026666667</v>
      </c>
      <c r="L91">
        <f>IFERROR(__xludf.DUMMYFUNCTION("""COMPUTED_VALUE"""),96103.0)</f>
        <v>96103</v>
      </c>
      <c r="M91" t="str">
        <f>IFERROR(__xludf.DUMMYFUNCTION("""COMPUTED_VALUE"""),"Health and Beauty")</f>
        <v>Health and Beauty</v>
      </c>
      <c r="O91" t="str">
        <f>IFERROR(__xludf.DUMMYFUNCTION("""COMPUTED_VALUE"""),"N")</f>
        <v>N</v>
      </c>
      <c r="P91" s="1" t="str">
        <f>IFERROR(__xludf.DUMMYFUNCTION("""COMPUTED_VALUE"""),"ID 8585")</f>
        <v>ID 8585</v>
      </c>
      <c r="Q91" s="1" t="str">
        <f>IFERROR(__xludf.DUMMYFUNCTION("""COMPUTED_VALUE"""),"B00E9OYDGU")</f>
        <v>B00E9OYDGU</v>
      </c>
    </row>
    <row r="92">
      <c r="A92" s="6">
        <f>IFERROR(__xludf.DUMMYFUNCTION("""COMPUTED_VALUE"""),45421.0)</f>
        <v>45421</v>
      </c>
      <c r="B92">
        <f>IFERROR(__xludf.DUMMYFUNCTION("""COMPUTED_VALUE"""),22231.0)</f>
        <v>22231</v>
      </c>
      <c r="C92" t="str">
        <f>IFERROR(__xludf.DUMMYFUNCTION("""COMPUTED_VALUE"""),"Koh-I-Noor 3165SP7P KIN3165-SP-7 KOH I Nor Radiograph Technical 7Pen Assorted Nibs Multicolor")</f>
        <v>Koh-I-Noor 3165SP7P KIN3165-SP-7 KOH I Nor Radiograph Technical 7Pen Assorted Nibs Multicolor</v>
      </c>
      <c r="D92" t="str">
        <f>IFERROR(__xludf.DUMMYFUNCTION("""COMPUTED_VALUE"""),"B000WRZC5O")</f>
        <v>B000WRZC5O</v>
      </c>
      <c r="E92" t="str">
        <f>IFERROR(__xludf.DUMMYFUNCTION("""COMPUTED_VALUE"""),"014173276926")</f>
        <v>014173276926</v>
      </c>
      <c r="F92">
        <f>IFERROR(__xludf.DUMMYFUNCTION("""COMPUTED_VALUE"""),48.0)</f>
        <v>48</v>
      </c>
      <c r="G92">
        <f>IFERROR(__xludf.DUMMYFUNCTION("""COMPUTED_VALUE"""),10000.0)</f>
        <v>10000</v>
      </c>
      <c r="H92" s="2">
        <f>IFERROR(__xludf.DUMMYFUNCTION("""COMPUTED_VALUE"""),100.75)</f>
        <v>100.75</v>
      </c>
      <c r="I92" s="2">
        <f>IFERROR(__xludf.DUMMYFUNCTION("""COMPUTED_VALUE"""),108.28)</f>
        <v>108.28</v>
      </c>
      <c r="J92" s="2">
        <f>IFERROR(__xludf.DUMMYFUNCTION("""COMPUTED_VALUE"""),7.530000000000001)</f>
        <v>7.53</v>
      </c>
      <c r="K92" s="5">
        <f>IFERROR(__xludf.DUMMYFUNCTION("""COMPUTED_VALUE"""),0.07473945409429282)</f>
        <v>0.07473945409</v>
      </c>
      <c r="L92">
        <f>IFERROR(__xludf.DUMMYFUNCTION("""COMPUTED_VALUE"""),73795.0)</f>
        <v>73795</v>
      </c>
      <c r="M92" t="str">
        <f>IFERROR(__xludf.DUMMYFUNCTION("""COMPUTED_VALUE"""),"Home")</f>
        <v>Home</v>
      </c>
      <c r="O92" t="str">
        <f>IFERROR(__xludf.DUMMYFUNCTION("""COMPUTED_VALUE"""),"Y")</f>
        <v>Y</v>
      </c>
      <c r="P92" s="1" t="str">
        <f>IFERROR(__xludf.DUMMYFUNCTION("""COMPUTED_VALUE"""),"ID 22231")</f>
        <v>ID 22231</v>
      </c>
      <c r="Q92" s="1" t="str">
        <f>IFERROR(__xludf.DUMMYFUNCTION("""COMPUTED_VALUE"""),"B000WRZC5O")</f>
        <v>B000WRZC5O</v>
      </c>
    </row>
    <row r="93">
      <c r="A93" s="6">
        <f>IFERROR(__xludf.DUMMYFUNCTION("""COMPUTED_VALUE"""),44627.0)</f>
        <v>44627</v>
      </c>
      <c r="B93">
        <f>IFERROR(__xludf.DUMMYFUNCTION("""COMPUTED_VALUE"""),16274.0)</f>
        <v>16274</v>
      </c>
      <c r="C93" t="str">
        <f>IFERROR(__xludf.DUMMYFUNCTION("""COMPUTED_VALUE"""),"Zippo American Eagle Design Street Chrome Pocket Lighter")</f>
        <v>Zippo American Eagle Design Street Chrome Pocket Lighter</v>
      </c>
      <c r="D93" t="str">
        <f>IFERROR(__xludf.DUMMYFUNCTION("""COMPUTED_VALUE"""),"B08924TDNW")</f>
        <v>B08924TDNW</v>
      </c>
      <c r="E93" t="str">
        <f>IFERROR(__xludf.DUMMYFUNCTION("""COMPUTED_VALUE"""),"191693166071")</f>
        <v>191693166071</v>
      </c>
      <c r="F93">
        <f>IFERROR(__xludf.DUMMYFUNCTION("""COMPUTED_VALUE"""),300.0)</f>
        <v>300</v>
      </c>
      <c r="G93">
        <f>IFERROR(__xludf.DUMMYFUNCTION("""COMPUTED_VALUE"""),1000.0)</f>
        <v>1000</v>
      </c>
      <c r="H93" s="2">
        <f>IFERROR(__xludf.DUMMYFUNCTION("""COMPUTED_VALUE"""),11.25)</f>
        <v>11.25</v>
      </c>
      <c r="I93" s="2">
        <f>IFERROR(__xludf.DUMMYFUNCTION("""COMPUTED_VALUE"""),18.71)</f>
        <v>18.71</v>
      </c>
      <c r="J93" s="2">
        <f>IFERROR(__xludf.DUMMYFUNCTION("""COMPUTED_VALUE"""),7.460000000000001)</f>
        <v>7.46</v>
      </c>
      <c r="K93" s="5">
        <f>IFERROR(__xludf.DUMMYFUNCTION("""COMPUTED_VALUE"""),0.6631111111111112)</f>
        <v>0.6631111111</v>
      </c>
      <c r="L93">
        <f>IFERROR(__xludf.DUMMYFUNCTION("""COMPUTED_VALUE"""),25521.0)</f>
        <v>25521</v>
      </c>
      <c r="M93" t="str">
        <f>IFERROR(__xludf.DUMMYFUNCTION("""COMPUTED_VALUE"""),"Sports")</f>
        <v>Sports</v>
      </c>
      <c r="O93" t="str">
        <f>IFERROR(__xludf.DUMMYFUNCTION("""COMPUTED_VALUE"""),"N")</f>
        <v>N</v>
      </c>
      <c r="P93" s="1" t="str">
        <f>IFERROR(__xludf.DUMMYFUNCTION("""COMPUTED_VALUE"""),"ID 16274")</f>
        <v>ID 16274</v>
      </c>
      <c r="Q93" s="1" t="str">
        <f>IFERROR(__xludf.DUMMYFUNCTION("""COMPUTED_VALUE"""),"B08924TDNW")</f>
        <v>B08924TDNW</v>
      </c>
    </row>
    <row r="94">
      <c r="A94" s="6">
        <f>IFERROR(__xludf.DUMMYFUNCTION("""COMPUTED_VALUE"""),44594.0)</f>
        <v>44594</v>
      </c>
      <c r="B94">
        <f>IFERROR(__xludf.DUMMYFUNCTION("""COMPUTED_VALUE"""),22486.0)</f>
        <v>22486</v>
      </c>
      <c r="C94" t="str">
        <f>IFERROR(__xludf.DUMMYFUNCTION("""COMPUTED_VALUE"""),"Circulon Total Bakeware Nonstick Cookie Baking Sheet, 10 Inch x 15 Inch, Dark Gray")</f>
        <v>Circulon Total Bakeware Nonstick Cookie Baking Sheet, 10 Inch x 15 Inch, Dark Gray</v>
      </c>
      <c r="D94" t="str">
        <f>IFERROR(__xludf.DUMMYFUNCTION("""COMPUTED_VALUE"""),"B000UZTWMC")</f>
        <v>B000UZTWMC</v>
      </c>
      <c r="E94" t="str">
        <f>IFERROR(__xludf.DUMMYFUNCTION("""COMPUTED_VALUE"""),"051153511318")</f>
        <v>051153511318</v>
      </c>
      <c r="F94">
        <f>IFERROR(__xludf.DUMMYFUNCTION("""COMPUTED_VALUE"""),558.0)</f>
        <v>558</v>
      </c>
      <c r="G94">
        <f>IFERROR(__xludf.DUMMYFUNCTION("""COMPUTED_VALUE"""),12060.0)</f>
        <v>12060</v>
      </c>
      <c r="H94" s="2">
        <f>IFERROR(__xludf.DUMMYFUNCTION("""COMPUTED_VALUE"""),10.75)</f>
        <v>10.75</v>
      </c>
      <c r="I94" s="2">
        <f>IFERROR(__xludf.DUMMYFUNCTION("""COMPUTED_VALUE"""),18.02)</f>
        <v>18.02</v>
      </c>
      <c r="J94" s="2">
        <f>IFERROR(__xludf.DUMMYFUNCTION("""COMPUTED_VALUE"""),7.27)</f>
        <v>7.27</v>
      </c>
      <c r="K94" s="5">
        <f>IFERROR(__xludf.DUMMYFUNCTION("""COMPUTED_VALUE"""),0.6762790697674418)</f>
        <v>0.6762790698</v>
      </c>
      <c r="L94">
        <f>IFERROR(__xludf.DUMMYFUNCTION("""COMPUTED_VALUE"""),26722.0)</f>
        <v>26722</v>
      </c>
      <c r="M94" t="str">
        <f>IFERROR(__xludf.DUMMYFUNCTION("""COMPUTED_VALUE"""),"Kitchen")</f>
        <v>Kitchen</v>
      </c>
      <c r="O94" t="str">
        <f>IFERROR(__xludf.DUMMYFUNCTION("""COMPUTED_VALUE"""),"N")</f>
        <v>N</v>
      </c>
      <c r="P94" s="1" t="str">
        <f>IFERROR(__xludf.DUMMYFUNCTION("""COMPUTED_VALUE"""),"ID 22486")</f>
        <v>ID 22486</v>
      </c>
      <c r="Q94" s="1" t="str">
        <f>IFERROR(__xludf.DUMMYFUNCTION("""COMPUTED_VALUE"""),"B000UZTWMC")</f>
        <v>B000UZTWMC</v>
      </c>
    </row>
    <row r="95">
      <c r="A95" s="6">
        <f>IFERROR(__xludf.DUMMYFUNCTION("""COMPUTED_VALUE"""),44811.0)</f>
        <v>44811</v>
      </c>
      <c r="B95">
        <f>IFERROR(__xludf.DUMMYFUNCTION("""COMPUTED_VALUE"""),24717.0)</f>
        <v>24717</v>
      </c>
      <c r="C95" t="str">
        <f>IFERROR(__xludf.DUMMYFUNCTION("""COMPUTED_VALUE"""),"Nuvo 60/1287 Eight Light Vanity Strip, Mahogany Bronze, 48-Inch")</f>
        <v>Nuvo 60/1287 Eight Light Vanity Strip, Mahogany Bronze, 48-Inch</v>
      </c>
      <c r="D95" t="str">
        <f>IFERROR(__xludf.DUMMYFUNCTION("""COMPUTED_VALUE"""),"B002MPC4KA")</f>
        <v>B002MPC4KA</v>
      </c>
      <c r="E95" t="str">
        <f>IFERROR(__xludf.DUMMYFUNCTION("""COMPUTED_VALUE"""),"045923612879")</f>
        <v>045923612879</v>
      </c>
      <c r="F95">
        <f>IFERROR(__xludf.DUMMYFUNCTION("""COMPUTED_VALUE"""),30.0)</f>
        <v>30</v>
      </c>
      <c r="G95">
        <f>IFERROR(__xludf.DUMMYFUNCTION("""COMPUTED_VALUE"""),1000.0)</f>
        <v>1000</v>
      </c>
      <c r="H95" s="2">
        <f>IFERROR(__xludf.DUMMYFUNCTION("""COMPUTED_VALUE"""),43.75)</f>
        <v>43.75</v>
      </c>
      <c r="I95" s="2">
        <f>IFERROR(__xludf.DUMMYFUNCTION("""COMPUTED_VALUE"""),51.01)</f>
        <v>51.01</v>
      </c>
      <c r="J95" s="2">
        <f>IFERROR(__xludf.DUMMYFUNCTION("""COMPUTED_VALUE"""),7.259999999999998)</f>
        <v>7.26</v>
      </c>
      <c r="K95" s="5">
        <f>IFERROR(__xludf.DUMMYFUNCTION("""COMPUTED_VALUE"""),0.1659428571428571)</f>
        <v>0.1659428571</v>
      </c>
      <c r="L95">
        <f>IFERROR(__xludf.DUMMYFUNCTION("""COMPUTED_VALUE"""),54534.0)</f>
        <v>54534</v>
      </c>
      <c r="M95" t="str">
        <f>IFERROR(__xludf.DUMMYFUNCTION("""COMPUTED_VALUE"""),"Home Improvement")</f>
        <v>Home Improvement</v>
      </c>
      <c r="N95" t="str">
        <f>IFERROR(__xludf.DUMMYFUNCTION("""COMPUTED_VALUE"""),"MAP . If you violate the MAP pricing the brand may choose to remove you from the listing")</f>
        <v>MAP . If you violate the MAP pricing the brand may choose to remove you from the listing</v>
      </c>
      <c r="O95" t="str">
        <f>IFERROR(__xludf.DUMMYFUNCTION("""COMPUTED_VALUE"""),"Y")</f>
        <v>Y</v>
      </c>
      <c r="P95" s="1" t="str">
        <f>IFERROR(__xludf.DUMMYFUNCTION("""COMPUTED_VALUE"""),"ID 24717")</f>
        <v>ID 24717</v>
      </c>
      <c r="Q95" s="1" t="str">
        <f>IFERROR(__xludf.DUMMYFUNCTION("""COMPUTED_VALUE"""),"B002MPC4KA")</f>
        <v>B002MPC4KA</v>
      </c>
    </row>
    <row r="96">
      <c r="A96" s="6">
        <f>IFERROR(__xludf.DUMMYFUNCTION("""COMPUTED_VALUE"""),45429.0)</f>
        <v>45429</v>
      </c>
      <c r="B96">
        <f>IFERROR(__xludf.DUMMYFUNCTION("""COMPUTED_VALUE"""),20808.0)</f>
        <v>20808</v>
      </c>
      <c r="C96" t="str">
        <f>IFERROR(__xludf.DUMMYFUNCTION("""COMPUTED_VALUE"""),"Versace Bright Crystal for Women 3.0 oz Eau de Toilette Spray")</f>
        <v>Versace Bright Crystal for Women 3.0 oz Eau de Toilette Spray</v>
      </c>
      <c r="D96" t="str">
        <f>IFERROR(__xludf.DUMMYFUNCTION("""COMPUTED_VALUE"""),"B008L5AZRO")</f>
        <v>B008L5AZRO</v>
      </c>
      <c r="E96" t="str">
        <f>IFERROR(__xludf.DUMMYFUNCTION("""COMPUTED_VALUE"""),"8011003995493")</f>
        <v>8011003995493</v>
      </c>
      <c r="F96">
        <f>IFERROR(__xludf.DUMMYFUNCTION("""COMPUTED_VALUE"""),40.0)</f>
        <v>40</v>
      </c>
      <c r="G96">
        <f>IFERROR(__xludf.DUMMYFUNCTION("""COMPUTED_VALUE"""),10000.0)</f>
        <v>10000</v>
      </c>
      <c r="H96" s="2">
        <f>IFERROR(__xludf.DUMMYFUNCTION("""COMPUTED_VALUE"""),33.75)</f>
        <v>33.75</v>
      </c>
      <c r="I96" s="2">
        <f>IFERROR(__xludf.DUMMYFUNCTION("""COMPUTED_VALUE"""),40.74)</f>
        <v>40.74</v>
      </c>
      <c r="J96" s="2">
        <f>IFERROR(__xludf.DUMMYFUNCTION("""COMPUTED_VALUE"""),6.990000000000002)</f>
        <v>6.99</v>
      </c>
      <c r="K96" s="5">
        <f>IFERROR(__xludf.DUMMYFUNCTION("""COMPUTED_VALUE"""),0.20711111111111116)</f>
        <v>0.2071111111</v>
      </c>
      <c r="L96">
        <f>IFERROR(__xludf.DUMMYFUNCTION("""COMPUTED_VALUE"""),12215.0)</f>
        <v>12215</v>
      </c>
      <c r="M96" t="str">
        <f>IFERROR(__xludf.DUMMYFUNCTION("""COMPUTED_VALUE"""),"Beauty")</f>
        <v>Beauty</v>
      </c>
      <c r="N96" t="str">
        <f>IFERROR(__xludf.DUMMYFUNCTION("""COMPUTED_VALUE"""),"Tester")</f>
        <v>Tester</v>
      </c>
      <c r="O96" t="str">
        <f>IFERROR(__xludf.DUMMYFUNCTION("""COMPUTED_VALUE"""),"N")</f>
        <v>N</v>
      </c>
      <c r="P96" s="1" t="str">
        <f>IFERROR(__xludf.DUMMYFUNCTION("""COMPUTED_VALUE"""),"ID 20808")</f>
        <v>ID 20808</v>
      </c>
      <c r="Q96" s="1" t="str">
        <f>IFERROR(__xludf.DUMMYFUNCTION("""COMPUTED_VALUE"""),"B008L5AZRO")</f>
        <v>B008L5AZRO</v>
      </c>
    </row>
    <row r="97">
      <c r="A97" s="6">
        <f>IFERROR(__xludf.DUMMYFUNCTION("""COMPUTED_VALUE"""),45348.0)</f>
        <v>45348</v>
      </c>
      <c r="B97">
        <f>IFERROR(__xludf.DUMMYFUNCTION("""COMPUTED_VALUE"""),25503.0)</f>
        <v>25503</v>
      </c>
      <c r="C97" t="str">
        <f>IFERROR(__xludf.DUMMYFUNCTION("""COMPUTED_VALUE"""),"Swingline Stapler, Quick Touch Reduced Effort Stapling, Full Strip, 20 Sheets, Black/Gray (S7064505)")</f>
        <v>Swingline Stapler, Quick Touch Reduced Effort Stapling, Full Strip, 20 Sheets, Black/Gray (S7064505)</v>
      </c>
      <c r="D97" t="str">
        <f>IFERROR(__xludf.DUMMYFUNCTION("""COMPUTED_VALUE"""),"B01798AV6S")</f>
        <v>B01798AV6S</v>
      </c>
      <c r="E97" t="str">
        <f>IFERROR(__xludf.DUMMYFUNCTION("""COMPUTED_VALUE"""),"074711645058")</f>
        <v>074711645058</v>
      </c>
      <c r="F97">
        <f>IFERROR(__xludf.DUMMYFUNCTION("""COMPUTED_VALUE"""),120.0)</f>
        <v>120</v>
      </c>
      <c r="G97">
        <f>IFERROR(__xludf.DUMMYFUNCTION("""COMPUTED_VALUE"""),10000.0)</f>
        <v>10000</v>
      </c>
      <c r="H97" s="2">
        <f>IFERROR(__xludf.DUMMYFUNCTION("""COMPUTED_VALUE"""),20.0)</f>
        <v>20</v>
      </c>
      <c r="I97" s="2">
        <f>IFERROR(__xludf.DUMMYFUNCTION("""COMPUTED_VALUE"""),26.96)</f>
        <v>26.96</v>
      </c>
      <c r="J97" s="2">
        <f>IFERROR(__xludf.DUMMYFUNCTION("""COMPUTED_VALUE"""),6.960000000000001)</f>
        <v>6.96</v>
      </c>
      <c r="K97" s="5">
        <f>IFERROR(__xludf.DUMMYFUNCTION("""COMPUTED_VALUE"""),0.34800000000000003)</f>
        <v>0.348</v>
      </c>
      <c r="L97">
        <f>IFERROR(__xludf.DUMMYFUNCTION("""COMPUTED_VALUE"""),41095.0)</f>
        <v>41095</v>
      </c>
      <c r="M97" t="str">
        <f>IFERROR(__xludf.DUMMYFUNCTION("""COMPUTED_VALUE"""),"Office Product")</f>
        <v>Office Product</v>
      </c>
      <c r="N97" t="str">
        <f>IFERROR(__xludf.DUMMYFUNCTION("""COMPUTED_VALUE"""),"OSMI")</f>
        <v>OSMI</v>
      </c>
      <c r="O97" t="str">
        <f>IFERROR(__xludf.DUMMYFUNCTION("""COMPUTED_VALUE"""),"N")</f>
        <v>N</v>
      </c>
      <c r="P97" s="1" t="str">
        <f>IFERROR(__xludf.DUMMYFUNCTION("""COMPUTED_VALUE"""),"ID 25503")</f>
        <v>ID 25503</v>
      </c>
      <c r="Q97" s="1" t="str">
        <f>IFERROR(__xludf.DUMMYFUNCTION("""COMPUTED_VALUE"""),"B01798AV6S")</f>
        <v>B01798AV6S</v>
      </c>
    </row>
    <row r="98">
      <c r="A98" s="6">
        <f>IFERROR(__xludf.DUMMYFUNCTION("""COMPUTED_VALUE"""),45125.0)</f>
        <v>45125</v>
      </c>
      <c r="B98">
        <f>IFERROR(__xludf.DUMMYFUNCTION("""COMPUTED_VALUE"""),23272.0)</f>
        <v>23272</v>
      </c>
      <c r="C98" t="str">
        <f>IFERROR(__xludf.DUMMYFUNCTION("""COMPUTED_VALUE"""),"TICONDEROGA My First Tri-Write Pencils with Eraser, Primary Size Wood-Cased #2 HB Soft, Yellow, 36-Pack (13082) &amp; My First Pencils, Wood-Cased #2 HB Soft, Pre-Sharpened with Eraser, Yellow, 12-Pack")</f>
        <v>TICONDEROGA My First Tri-Write Pencils with Eraser, Primary Size Wood-Cased #2 HB Soft, Yellow, 36-Pack (13082) &amp; My First Pencils, Wood-Cased #2 HB Soft, Pre-Sharpened with Eraser, Yellow, 12-Pack</v>
      </c>
      <c r="D98" t="str">
        <f>IFERROR(__xludf.DUMMYFUNCTION("""COMPUTED_VALUE"""),"B093PTWP9G")</f>
        <v>B093PTWP9G</v>
      </c>
      <c r="E98" t="str">
        <f>IFERROR(__xludf.DUMMYFUNCTION("""COMPUTED_VALUE"""),"72067130822")</f>
        <v>72067130822</v>
      </c>
      <c r="F98">
        <f>IFERROR(__xludf.DUMMYFUNCTION("""COMPUTED_VALUE"""),240.0)</f>
        <v>240</v>
      </c>
      <c r="G98">
        <f>IFERROR(__xludf.DUMMYFUNCTION("""COMPUTED_VALUE"""),10000.0)</f>
        <v>10000</v>
      </c>
      <c r="H98" s="2">
        <f>IFERROR(__xludf.DUMMYFUNCTION("""COMPUTED_VALUE"""),14.75)</f>
        <v>14.75</v>
      </c>
      <c r="I98" s="2">
        <f>IFERROR(__xludf.DUMMYFUNCTION("""COMPUTED_VALUE"""),21.7)</f>
        <v>21.7</v>
      </c>
      <c r="J98" s="2">
        <f>IFERROR(__xludf.DUMMYFUNCTION("""COMPUTED_VALUE"""),6.949999999999999)</f>
        <v>6.95</v>
      </c>
      <c r="K98" s="5">
        <f>IFERROR(__xludf.DUMMYFUNCTION("""COMPUTED_VALUE"""),0.47118644067796606)</f>
        <v>0.4711864407</v>
      </c>
      <c r="L98">
        <f>IFERROR(__xludf.DUMMYFUNCTION("""COMPUTED_VALUE"""),30431.0)</f>
        <v>30431</v>
      </c>
      <c r="M98" t="str">
        <f>IFERROR(__xludf.DUMMYFUNCTION("""COMPUTED_VALUE"""),"Office Product")</f>
        <v>Office Product</v>
      </c>
      <c r="O98" t="str">
        <f>IFERROR(__xludf.DUMMYFUNCTION("""COMPUTED_VALUE"""),"N")</f>
        <v>N</v>
      </c>
      <c r="P98" s="1" t="str">
        <f>IFERROR(__xludf.DUMMYFUNCTION("""COMPUTED_VALUE"""),"ID 23272")</f>
        <v>ID 23272</v>
      </c>
      <c r="Q98" s="1" t="str">
        <f>IFERROR(__xludf.DUMMYFUNCTION("""COMPUTED_VALUE"""),"B093PTWP9G")</f>
        <v>B093PTWP9G</v>
      </c>
    </row>
    <row r="99">
      <c r="A99" s="6">
        <f>IFERROR(__xludf.DUMMYFUNCTION("""COMPUTED_VALUE"""),45208.0)</f>
        <v>45208</v>
      </c>
      <c r="B99">
        <f>IFERROR(__xludf.DUMMYFUNCTION("""COMPUTED_VALUE"""),636.0)</f>
        <v>636</v>
      </c>
      <c r="C99" t="str">
        <f>IFERROR(__xludf.DUMMYFUNCTION("""COMPUTED_VALUE"""),"Bijan By Bijan For Women. Eau De Toilette Spray 2.5 Oz")</f>
        <v>Bijan By Bijan For Women. Eau De Toilette Spray 2.5 Oz</v>
      </c>
      <c r="D99" t="str">
        <f>IFERROR(__xludf.DUMMYFUNCTION("""COMPUTED_VALUE"""),"B000XE5FY4")</f>
        <v>B000XE5FY4</v>
      </c>
      <c r="E99" t="str">
        <f>IFERROR(__xludf.DUMMYFUNCTION("""COMPUTED_VALUE"""),"603531630014")</f>
        <v>603531630014</v>
      </c>
      <c r="F99">
        <f>IFERROR(__xludf.DUMMYFUNCTION("""COMPUTED_VALUE"""),70.0)</f>
        <v>70</v>
      </c>
      <c r="G99">
        <f>IFERROR(__xludf.DUMMYFUNCTION("""COMPUTED_VALUE"""),10000.0)</f>
        <v>10000</v>
      </c>
      <c r="H99" s="2">
        <f>IFERROR(__xludf.DUMMYFUNCTION("""COMPUTED_VALUE"""),21.25)</f>
        <v>21.25</v>
      </c>
      <c r="I99" s="2">
        <f>IFERROR(__xludf.DUMMYFUNCTION("""COMPUTED_VALUE"""),28.11)</f>
        <v>28.11</v>
      </c>
      <c r="J99" s="2">
        <f>IFERROR(__xludf.DUMMYFUNCTION("""COMPUTED_VALUE"""),6.859999999999999)</f>
        <v>6.86</v>
      </c>
      <c r="K99" s="5">
        <f>IFERROR(__xludf.DUMMYFUNCTION("""COMPUTED_VALUE"""),0.3228235294117647)</f>
        <v>0.3228235294</v>
      </c>
      <c r="L99">
        <f>IFERROR(__xludf.DUMMYFUNCTION("""COMPUTED_VALUE"""),37083.0)</f>
        <v>37083</v>
      </c>
      <c r="M99" t="str">
        <f>IFERROR(__xludf.DUMMYFUNCTION("""COMPUTED_VALUE"""),"Health and Beauty")</f>
        <v>Health and Beauty</v>
      </c>
      <c r="O99" t="str">
        <f>IFERROR(__xludf.DUMMYFUNCTION("""COMPUTED_VALUE"""),"N")</f>
        <v>N</v>
      </c>
      <c r="P99" s="1" t="str">
        <f>IFERROR(__xludf.DUMMYFUNCTION("""COMPUTED_VALUE"""),"ID 636")</f>
        <v>ID 636</v>
      </c>
      <c r="Q99" s="1" t="str">
        <f>IFERROR(__xludf.DUMMYFUNCTION("""COMPUTED_VALUE"""),"B000XE5FY4")</f>
        <v>B000XE5FY4</v>
      </c>
    </row>
    <row r="100">
      <c r="A100" s="6">
        <f>IFERROR(__xludf.DUMMYFUNCTION("""COMPUTED_VALUE"""),44650.0)</f>
        <v>44650</v>
      </c>
      <c r="B100">
        <f>IFERROR(__xludf.DUMMYFUNCTION("""COMPUTED_VALUE"""),25994.0)</f>
        <v>25994</v>
      </c>
      <c r="C100" t="str">
        <f>IFERROR(__xludf.DUMMYFUNCTION("""COMPUTED_VALUE"""),"Irish Spring Body Wash, Original, 18 Fl Oz (Pack of 6)")</f>
        <v>Irish Spring Body Wash, Original, 18 Fl Oz (Pack of 6)</v>
      </c>
      <c r="D100" t="str">
        <f>IFERROR(__xludf.DUMMYFUNCTION("""COMPUTED_VALUE"""),"B00GRT2B4Q")</f>
        <v>B00GRT2B4Q</v>
      </c>
      <c r="E100" t="str">
        <f>IFERROR(__xludf.DUMMYFUNCTION("""COMPUTED_VALUE"""),"35000269188")</f>
        <v>35000269188</v>
      </c>
      <c r="F100">
        <f>IFERROR(__xludf.DUMMYFUNCTION("""COMPUTED_VALUE"""),80.0)</f>
        <v>80</v>
      </c>
      <c r="G100">
        <f>IFERROR(__xludf.DUMMYFUNCTION("""COMPUTED_VALUE"""),390.0)</f>
        <v>390</v>
      </c>
      <c r="H100" s="2">
        <f>IFERROR(__xludf.DUMMYFUNCTION("""COMPUTED_VALUE"""),17.75)</f>
        <v>17.75</v>
      </c>
      <c r="I100" s="2">
        <f>IFERROR(__xludf.DUMMYFUNCTION("""COMPUTED_VALUE"""),24.59)</f>
        <v>24.59</v>
      </c>
      <c r="J100" s="2">
        <f>IFERROR(__xludf.DUMMYFUNCTION("""COMPUTED_VALUE"""),6.84)</f>
        <v>6.84</v>
      </c>
      <c r="K100" s="5">
        <f>IFERROR(__xludf.DUMMYFUNCTION("""COMPUTED_VALUE"""),0.38535211267605635)</f>
        <v>0.3853521127</v>
      </c>
      <c r="L100">
        <f>IFERROR(__xludf.DUMMYFUNCTION("""COMPUTED_VALUE"""),22960.0)</f>
        <v>22960</v>
      </c>
      <c r="M100" t="str">
        <f>IFERROR(__xludf.DUMMYFUNCTION("""COMPUTED_VALUE"""),"Beauty")</f>
        <v>Beauty</v>
      </c>
      <c r="N100" t="str">
        <f>IFERROR(__xludf.DUMMYFUNCTION("""COMPUTED_VALUE"""),"UOM: 1 box of 6")</f>
        <v>UOM: 1 box of 6</v>
      </c>
      <c r="O100" t="str">
        <f>IFERROR(__xludf.DUMMYFUNCTION("""COMPUTED_VALUE"""),"N")</f>
        <v>N</v>
      </c>
      <c r="P100" s="1" t="str">
        <f>IFERROR(__xludf.DUMMYFUNCTION("""COMPUTED_VALUE"""),"ID 25994")</f>
        <v>ID 25994</v>
      </c>
      <c r="Q100" s="1" t="str">
        <f>IFERROR(__xludf.DUMMYFUNCTION("""COMPUTED_VALUE"""),"B00GRT2B4Q")</f>
        <v>B00GRT2B4Q</v>
      </c>
    </row>
    <row r="101">
      <c r="A101" s="6">
        <f>IFERROR(__xludf.DUMMYFUNCTION("""COMPUTED_VALUE"""),45412.0)</f>
        <v>45412</v>
      </c>
      <c r="B101">
        <f>IFERROR(__xludf.DUMMYFUNCTION("""COMPUTED_VALUE"""),24136.0)</f>
        <v>24136</v>
      </c>
      <c r="C101" t="str">
        <f>IFERROR(__xludf.DUMMYFUNCTION("""COMPUTED_VALUE"""),"Fadeless - P0056278 Bulletin Board Art Paper, Team Sports, 48"" x 12', 1 Roll")</f>
        <v>Fadeless - P0056278 Bulletin Board Art Paper, Team Sports, 48" x 12', 1 Roll</v>
      </c>
      <c r="D101" t="str">
        <f>IFERROR(__xludf.DUMMYFUNCTION("""COMPUTED_VALUE"""),"B001JTLF1O")</f>
        <v>B001JTLF1O</v>
      </c>
      <c r="E101" t="str">
        <f>IFERROR(__xludf.DUMMYFUNCTION("""COMPUTED_VALUE"""),"029444562783")</f>
        <v>029444562783</v>
      </c>
      <c r="F101">
        <f>IFERROR(__xludf.DUMMYFUNCTION("""COMPUTED_VALUE"""),596.0)</f>
        <v>596</v>
      </c>
      <c r="G101">
        <f>IFERROR(__xludf.DUMMYFUNCTION("""COMPUTED_VALUE"""),1600.0)</f>
        <v>1600</v>
      </c>
      <c r="H101" s="2">
        <f>IFERROR(__xludf.DUMMYFUNCTION("""COMPUTED_VALUE"""),6.75)</f>
        <v>6.75</v>
      </c>
      <c r="I101" s="2">
        <f>IFERROR(__xludf.DUMMYFUNCTION("""COMPUTED_VALUE"""),13.54)</f>
        <v>13.54</v>
      </c>
      <c r="J101" s="2">
        <f>IFERROR(__xludf.DUMMYFUNCTION("""COMPUTED_VALUE"""),6.789999999999999)</f>
        <v>6.79</v>
      </c>
      <c r="K101" s="5">
        <f>IFERROR(__xludf.DUMMYFUNCTION("""COMPUTED_VALUE"""),1.005925925925926)</f>
        <v>1.005925926</v>
      </c>
      <c r="L101">
        <f>IFERROR(__xludf.DUMMYFUNCTION("""COMPUTED_VALUE"""),9301.0)</f>
        <v>9301</v>
      </c>
      <c r="M101" t="str">
        <f>IFERROR(__xludf.DUMMYFUNCTION("""COMPUTED_VALUE"""),"BISS Basic")</f>
        <v>BISS Basic</v>
      </c>
      <c r="O101" t="str">
        <f>IFERROR(__xludf.DUMMYFUNCTION("""COMPUTED_VALUE"""),"Y")</f>
        <v>Y</v>
      </c>
      <c r="P101" s="1" t="str">
        <f>IFERROR(__xludf.DUMMYFUNCTION("""COMPUTED_VALUE"""),"ID 24136")</f>
        <v>ID 24136</v>
      </c>
      <c r="Q101" s="1" t="str">
        <f>IFERROR(__xludf.DUMMYFUNCTION("""COMPUTED_VALUE"""),"B001JTLF1O")</f>
        <v>B001JTLF1O</v>
      </c>
    </row>
    <row r="102">
      <c r="A102" s="6">
        <f>IFERROR(__xludf.DUMMYFUNCTION("""COMPUTED_VALUE"""),44658.0)</f>
        <v>44658</v>
      </c>
      <c r="B102">
        <f>IFERROR(__xludf.DUMMYFUNCTION("""COMPUTED_VALUE"""),11540.0)</f>
        <v>11540</v>
      </c>
      <c r="C102" t="str">
        <f>IFERROR(__xludf.DUMMYFUNCTION("""COMPUTED_VALUE"""),"Rite in the Rain Weatherproof Hard Cover Notebook, 4 3/4 x 7 1/2, Yellow Cover, Geological Pattern (No. 540F)")</f>
        <v>Rite in the Rain Weatherproof Hard Cover Notebook, 4 3/4 x 7 1/2, Yellow Cover, Geological Pattern (No. 540F)</v>
      </c>
      <c r="D102" t="str">
        <f>IFERROR(__xludf.DUMMYFUNCTION("""COMPUTED_VALUE"""),"B0011DGJSC")</f>
        <v>B0011DGJSC</v>
      </c>
      <c r="E102" t="str">
        <f>IFERROR(__xludf.DUMMYFUNCTION("""COMPUTED_VALUE"""),"632281540212")</f>
        <v>632281540212</v>
      </c>
      <c r="F102">
        <f>IFERROR(__xludf.DUMMYFUNCTION("""COMPUTED_VALUE"""),138.0)</f>
        <v>138</v>
      </c>
      <c r="G102">
        <f>IFERROR(__xludf.DUMMYFUNCTION("""COMPUTED_VALUE"""),4000.0)</f>
        <v>4000</v>
      </c>
      <c r="H102" s="2">
        <f>IFERROR(__xludf.DUMMYFUNCTION("""COMPUTED_VALUE"""),14.0)</f>
        <v>14</v>
      </c>
      <c r="I102" s="2">
        <f>IFERROR(__xludf.DUMMYFUNCTION("""COMPUTED_VALUE"""),20.69)</f>
        <v>20.69</v>
      </c>
      <c r="J102" s="2">
        <f>IFERROR(__xludf.DUMMYFUNCTION("""COMPUTED_VALUE"""),6.690000000000001)</f>
        <v>6.69</v>
      </c>
      <c r="K102" s="5">
        <f>IFERROR(__xludf.DUMMYFUNCTION("""COMPUTED_VALUE"""),0.4778571428571429)</f>
        <v>0.4778571429</v>
      </c>
      <c r="L102">
        <f>IFERROR(__xludf.DUMMYFUNCTION("""COMPUTED_VALUE"""),26902.0)</f>
        <v>26902</v>
      </c>
      <c r="M102" t="str">
        <f>IFERROR(__xludf.DUMMYFUNCTION("""COMPUTED_VALUE"""),"Office Product")</f>
        <v>Office Product</v>
      </c>
      <c r="O102" t="str">
        <f>IFERROR(__xludf.DUMMYFUNCTION("""COMPUTED_VALUE"""),"Y")</f>
        <v>Y</v>
      </c>
      <c r="P102" s="1" t="str">
        <f>IFERROR(__xludf.DUMMYFUNCTION("""COMPUTED_VALUE"""),"ID 11540")</f>
        <v>ID 11540</v>
      </c>
      <c r="Q102" s="1" t="str">
        <f>IFERROR(__xludf.DUMMYFUNCTION("""COMPUTED_VALUE"""),"B0011DGJSC")</f>
        <v>B0011DGJSC</v>
      </c>
    </row>
    <row r="103">
      <c r="A103" s="6">
        <f>IFERROR(__xludf.DUMMYFUNCTION("""COMPUTED_VALUE"""),44214.0)</f>
        <v>44214</v>
      </c>
      <c r="B103">
        <f>IFERROR(__xludf.DUMMYFUNCTION("""COMPUTED_VALUE"""),16432.0)</f>
        <v>16432</v>
      </c>
      <c r="C103" t="str">
        <f>IFERROR(__xludf.DUMMYFUNCTION("""COMPUTED_VALUE"""),"Yves Saint Laurent La Nuit De Lhomme Eau De Parfum Spray For Men (New 2019 Launch), 3.4 Ounce")</f>
        <v>Yves Saint Laurent La Nuit De Lhomme Eau De Parfum Spray For Men (New 2019 Launch), 3.4 Ounce</v>
      </c>
      <c r="D103" t="str">
        <f>IFERROR(__xludf.DUMMYFUNCTION("""COMPUTED_VALUE"""),"B07SD5XSFJ")</f>
        <v>B07SD5XSFJ</v>
      </c>
      <c r="E103" t="str">
        <f>IFERROR(__xludf.DUMMYFUNCTION("""COMPUTED_VALUE"""),"3614272648333")</f>
        <v>3614272648333</v>
      </c>
      <c r="F103">
        <f>IFERROR(__xludf.DUMMYFUNCTION("""COMPUTED_VALUE"""),20.0)</f>
        <v>20</v>
      </c>
      <c r="G103">
        <f>IFERROR(__xludf.DUMMYFUNCTION("""COMPUTED_VALUE"""),154.0)</f>
        <v>154</v>
      </c>
      <c r="H103" s="2">
        <f>IFERROR(__xludf.DUMMYFUNCTION("""COMPUTED_VALUE"""),68.5)</f>
        <v>68.5</v>
      </c>
      <c r="I103" s="2">
        <f>IFERROR(__xludf.DUMMYFUNCTION("""COMPUTED_VALUE"""),75.04)</f>
        <v>75.04</v>
      </c>
      <c r="J103" s="2">
        <f>IFERROR(__xludf.DUMMYFUNCTION("""COMPUTED_VALUE"""),6.540000000000006)</f>
        <v>6.54</v>
      </c>
      <c r="K103" s="5">
        <f>IFERROR(__xludf.DUMMYFUNCTION("""COMPUTED_VALUE"""),0.09547445255474461)</f>
        <v>0.09547445255</v>
      </c>
      <c r="L103">
        <f>IFERROR(__xludf.DUMMYFUNCTION("""COMPUTED_VALUE"""),74489.0)</f>
        <v>74489</v>
      </c>
      <c r="M103" t="str">
        <f>IFERROR(__xludf.DUMMYFUNCTION("""COMPUTED_VALUE"""),"Beauty")</f>
        <v>Beauty</v>
      </c>
      <c r="O103" t="str">
        <f>IFERROR(__xludf.DUMMYFUNCTION("""COMPUTED_VALUE"""),"Y")</f>
        <v>Y</v>
      </c>
      <c r="P103" s="1" t="str">
        <f>IFERROR(__xludf.DUMMYFUNCTION("""COMPUTED_VALUE"""),"ID 16432")</f>
        <v>ID 16432</v>
      </c>
      <c r="Q103" s="1" t="str">
        <f>IFERROR(__xludf.DUMMYFUNCTION("""COMPUTED_VALUE"""),"B07SD5XSFJ")</f>
        <v>B07SD5XSFJ</v>
      </c>
    </row>
    <row r="104">
      <c r="A104" s="6">
        <f>IFERROR(__xludf.DUMMYFUNCTION("""COMPUTED_VALUE"""),44627.0)</f>
        <v>44627</v>
      </c>
      <c r="B104">
        <f>IFERROR(__xludf.DUMMYFUNCTION("""COMPUTED_VALUE"""),16275.0)</f>
        <v>16275</v>
      </c>
      <c r="C104" t="str">
        <f>IFERROR(__xludf.DUMMYFUNCTION("""COMPUTED_VALUE"""),"Zippo Sabretooth Tattoo Design Gray Pocket Lighter, One Size")</f>
        <v>Zippo Sabretooth Tattoo Design Gray Pocket Lighter, One Size</v>
      </c>
      <c r="D104" t="str">
        <f>IFERROR(__xludf.DUMMYFUNCTION("""COMPUTED_VALUE"""),"B0892T5659")</f>
        <v>B0892T5659</v>
      </c>
      <c r="E104" t="str">
        <f>IFERROR(__xludf.DUMMYFUNCTION("""COMPUTED_VALUE"""),"191693166347")</f>
        <v>191693166347</v>
      </c>
      <c r="F104">
        <f>IFERROR(__xludf.DUMMYFUNCTION("""COMPUTED_VALUE"""),200.0)</f>
        <v>200</v>
      </c>
      <c r="G104">
        <f>IFERROR(__xludf.DUMMYFUNCTION("""COMPUTED_VALUE"""),1000.0)</f>
        <v>1000</v>
      </c>
      <c r="H104" s="2">
        <f>IFERROR(__xludf.DUMMYFUNCTION("""COMPUTED_VALUE"""),15.25)</f>
        <v>15.25</v>
      </c>
      <c r="I104" s="2">
        <f>IFERROR(__xludf.DUMMYFUNCTION("""COMPUTED_VALUE"""),21.78)</f>
        <v>21.78</v>
      </c>
      <c r="J104" s="2">
        <f>IFERROR(__xludf.DUMMYFUNCTION("""COMPUTED_VALUE"""),6.530000000000001)</f>
        <v>6.53</v>
      </c>
      <c r="K104" s="5">
        <f>IFERROR(__xludf.DUMMYFUNCTION("""COMPUTED_VALUE"""),0.42819672131147546)</f>
        <v>0.4281967213</v>
      </c>
      <c r="L104">
        <f>IFERROR(__xludf.DUMMYFUNCTION("""COMPUTED_VALUE"""),49334.0)</f>
        <v>49334</v>
      </c>
      <c r="M104" t="str">
        <f>IFERROR(__xludf.DUMMYFUNCTION("""COMPUTED_VALUE"""),"Sports")</f>
        <v>Sports</v>
      </c>
      <c r="O104" t="str">
        <f>IFERROR(__xludf.DUMMYFUNCTION("""COMPUTED_VALUE"""),"N")</f>
        <v>N</v>
      </c>
      <c r="P104" s="1" t="str">
        <f>IFERROR(__xludf.DUMMYFUNCTION("""COMPUTED_VALUE"""),"ID 16275")</f>
        <v>ID 16275</v>
      </c>
      <c r="Q104" s="1" t="str">
        <f>IFERROR(__xludf.DUMMYFUNCTION("""COMPUTED_VALUE"""),"B0892T5659")</f>
        <v>B0892T5659</v>
      </c>
    </row>
    <row r="105">
      <c r="A105" s="6">
        <f>IFERROR(__xludf.DUMMYFUNCTION("""COMPUTED_VALUE"""),45348.0)</f>
        <v>45348</v>
      </c>
      <c r="B105">
        <f>IFERROR(__xludf.DUMMYFUNCTION("""COMPUTED_VALUE"""),22406.0)</f>
        <v>22406</v>
      </c>
      <c r="C105" t="str">
        <f>IFERROR(__xludf.DUMMYFUNCTION("""COMPUTED_VALUE"""),"Nuvo 60/307 Eight Light Vanity Strip, Old Bronze, 48-Inch")</f>
        <v>Nuvo 60/307 Eight Light Vanity Strip, Old Bronze, 48-Inch</v>
      </c>
      <c r="D105" t="str">
        <f>IFERROR(__xludf.DUMMYFUNCTION("""COMPUTED_VALUE"""),"B002OMFRDC")</f>
        <v>B002OMFRDC</v>
      </c>
      <c r="E105" t="str">
        <f>IFERROR(__xludf.DUMMYFUNCTION("""COMPUTED_VALUE"""),"045923603075")</f>
        <v>045923603075</v>
      </c>
      <c r="F105">
        <f>IFERROR(__xludf.DUMMYFUNCTION("""COMPUTED_VALUE"""),30.0)</f>
        <v>30</v>
      </c>
      <c r="G105">
        <f>IFERROR(__xludf.DUMMYFUNCTION("""COMPUTED_VALUE"""),1000.0)</f>
        <v>1000</v>
      </c>
      <c r="H105" s="2">
        <f>IFERROR(__xludf.DUMMYFUNCTION("""COMPUTED_VALUE"""),43.75)</f>
        <v>43.75</v>
      </c>
      <c r="I105" s="2">
        <f>IFERROR(__xludf.DUMMYFUNCTION("""COMPUTED_VALUE"""),50.14)</f>
        <v>50.14</v>
      </c>
      <c r="J105" s="2">
        <f>IFERROR(__xludf.DUMMYFUNCTION("""COMPUTED_VALUE"""),6.390000000000001)</f>
        <v>6.39</v>
      </c>
      <c r="K105" s="5">
        <f>IFERROR(__xludf.DUMMYFUNCTION("""COMPUTED_VALUE"""),0.14605714285714286)</f>
        <v>0.1460571429</v>
      </c>
      <c r="L105">
        <f>IFERROR(__xludf.DUMMYFUNCTION("""COMPUTED_VALUE"""),54534.0)</f>
        <v>54534</v>
      </c>
      <c r="M105" t="str">
        <f>IFERROR(__xludf.DUMMYFUNCTION("""COMPUTED_VALUE"""),"Home Improvement")</f>
        <v>Home Improvement</v>
      </c>
      <c r="N105" t="str">
        <f>IFERROR(__xludf.DUMMYFUNCTION("""COMPUTED_VALUE"""),"MAP . If you violate the MAP pricing the brand may choose to remove you from the listing")</f>
        <v>MAP . If you violate the MAP pricing the brand may choose to remove you from the listing</v>
      </c>
      <c r="O105" t="str">
        <f>IFERROR(__xludf.DUMMYFUNCTION("""COMPUTED_VALUE"""),"Y")</f>
        <v>Y</v>
      </c>
      <c r="P105" s="1" t="str">
        <f>IFERROR(__xludf.DUMMYFUNCTION("""COMPUTED_VALUE"""),"ID 22406")</f>
        <v>ID 22406</v>
      </c>
      <c r="Q105" s="1" t="str">
        <f>IFERROR(__xludf.DUMMYFUNCTION("""COMPUTED_VALUE"""),"B002OMFRDC")</f>
        <v>B002OMFRDC</v>
      </c>
    </row>
    <row r="106">
      <c r="A106" s="6">
        <f>IFERROR(__xludf.DUMMYFUNCTION("""COMPUTED_VALUE"""),45362.0)</f>
        <v>45362</v>
      </c>
      <c r="B106">
        <f>IFERROR(__xludf.DUMMYFUNCTION("""COMPUTED_VALUE"""),19734.0)</f>
        <v>19734</v>
      </c>
      <c r="C106" t="str">
        <f>IFERROR(__xludf.DUMMYFUNCTION("""COMPUTED_VALUE"""),"Pentel Arts Slicci Metallic 0.8 mm Needle Tip Gel Pen, Assorted Colors, 8 Pack (BG208BP8M)")</f>
        <v>Pentel Arts Slicci Metallic 0.8 mm Needle Tip Gel Pen, Assorted Colors, 8 Pack (BG208BP8M)</v>
      </c>
      <c r="D106" t="str">
        <f>IFERROR(__xludf.DUMMYFUNCTION("""COMPUTED_VALUE"""),"B003XQFWEM")</f>
        <v>B003XQFWEM</v>
      </c>
      <c r="E106" t="str">
        <f>IFERROR(__xludf.DUMMYFUNCTION("""COMPUTED_VALUE"""),"072512240717")</f>
        <v>072512240717</v>
      </c>
      <c r="F106">
        <f>IFERROR(__xludf.DUMMYFUNCTION("""COMPUTED_VALUE"""),144.0)</f>
        <v>144</v>
      </c>
      <c r="G106">
        <f>IFERROR(__xludf.DUMMYFUNCTION("""COMPUTED_VALUE"""),10000.0)</f>
        <v>10000</v>
      </c>
      <c r="H106" s="2">
        <f>IFERROR(__xludf.DUMMYFUNCTION("""COMPUTED_VALUE"""),12.75)</f>
        <v>12.75</v>
      </c>
      <c r="I106" s="2">
        <f>IFERROR(__xludf.DUMMYFUNCTION("""COMPUTED_VALUE"""),19.12)</f>
        <v>19.12</v>
      </c>
      <c r="J106" s="2">
        <f>IFERROR(__xludf.DUMMYFUNCTION("""COMPUTED_VALUE"""),6.370000000000001)</f>
        <v>6.37</v>
      </c>
      <c r="K106" s="5">
        <f>IFERROR(__xludf.DUMMYFUNCTION("""COMPUTED_VALUE"""),0.499607843137255)</f>
        <v>0.4996078431</v>
      </c>
      <c r="L106">
        <f>IFERROR(__xludf.DUMMYFUNCTION("""COMPUTED_VALUE"""),16386.0)</f>
        <v>16386</v>
      </c>
      <c r="M106" t="str">
        <f>IFERROR(__xludf.DUMMYFUNCTION("""COMPUTED_VALUE"""),"Office Product")</f>
        <v>Office Product</v>
      </c>
      <c r="O106" t="str">
        <f>IFERROR(__xludf.DUMMYFUNCTION("""COMPUTED_VALUE"""),"Y")</f>
        <v>Y</v>
      </c>
      <c r="P106" s="1" t="str">
        <f>IFERROR(__xludf.DUMMYFUNCTION("""COMPUTED_VALUE"""),"ID 19734")</f>
        <v>ID 19734</v>
      </c>
      <c r="Q106" s="1" t="str">
        <f>IFERROR(__xludf.DUMMYFUNCTION("""COMPUTED_VALUE"""),"B003XQFWEM")</f>
        <v>B003XQFWEM</v>
      </c>
    </row>
    <row r="107">
      <c r="A107" s="6">
        <f>IFERROR(__xludf.DUMMYFUNCTION("""COMPUTED_VALUE"""),44627.0)</f>
        <v>44627</v>
      </c>
      <c r="B107">
        <f>IFERROR(__xludf.DUMMYFUNCTION("""COMPUTED_VALUE"""),16281.0)</f>
        <v>16281</v>
      </c>
      <c r="C107" t="str">
        <f>IFERROR(__xludf.DUMMYFUNCTION("""COMPUTED_VALUE"""),"Zippo Lucky Skull Design Street Chrome Pocket Lighter")</f>
        <v>Zippo Lucky Skull Design Street Chrome Pocket Lighter</v>
      </c>
      <c r="D107" t="str">
        <f>IFERROR(__xludf.DUMMYFUNCTION("""COMPUTED_VALUE"""),"B08B6B8BZK")</f>
        <v>B08B6B8BZK</v>
      </c>
      <c r="E107" t="str">
        <f>IFERROR(__xludf.DUMMYFUNCTION("""COMPUTED_VALUE"""),"191693166316")</f>
        <v>191693166316</v>
      </c>
      <c r="F107">
        <f>IFERROR(__xludf.DUMMYFUNCTION("""COMPUTED_VALUE"""),300.0)</f>
        <v>300</v>
      </c>
      <c r="G107">
        <f>IFERROR(__xludf.DUMMYFUNCTION("""COMPUTED_VALUE"""),1000.0)</f>
        <v>1000</v>
      </c>
      <c r="H107" s="2">
        <f>IFERROR(__xludf.DUMMYFUNCTION("""COMPUTED_VALUE"""),11.75)</f>
        <v>11.75</v>
      </c>
      <c r="I107" s="2">
        <f>IFERROR(__xludf.DUMMYFUNCTION("""COMPUTED_VALUE"""),18.09)</f>
        <v>18.09</v>
      </c>
      <c r="J107" s="2">
        <f>IFERROR(__xludf.DUMMYFUNCTION("""COMPUTED_VALUE"""),6.34)</f>
        <v>6.34</v>
      </c>
      <c r="K107" s="5">
        <f>IFERROR(__xludf.DUMMYFUNCTION("""COMPUTED_VALUE"""),0.5395744680851063)</f>
        <v>0.5395744681</v>
      </c>
      <c r="L107">
        <f>IFERROR(__xludf.DUMMYFUNCTION("""COMPUTED_VALUE"""),44441.0)</f>
        <v>44441</v>
      </c>
      <c r="M107" t="str">
        <f>IFERROR(__xludf.DUMMYFUNCTION("""COMPUTED_VALUE"""),"Sports")</f>
        <v>Sports</v>
      </c>
      <c r="O107" t="str">
        <f>IFERROR(__xludf.DUMMYFUNCTION("""COMPUTED_VALUE"""),"N")</f>
        <v>N</v>
      </c>
      <c r="P107" s="1" t="str">
        <f>IFERROR(__xludf.DUMMYFUNCTION("""COMPUTED_VALUE"""),"ID 16281")</f>
        <v>ID 16281</v>
      </c>
      <c r="Q107" s="1" t="str">
        <f>IFERROR(__xludf.DUMMYFUNCTION("""COMPUTED_VALUE"""),"B08B6B8BZK")</f>
        <v>B08B6B8BZK</v>
      </c>
    </row>
    <row r="108">
      <c r="A108" s="6">
        <f>IFERROR(__xludf.DUMMYFUNCTION("""COMPUTED_VALUE"""),45429.0)</f>
        <v>45429</v>
      </c>
      <c r="B108">
        <f>IFERROR(__xludf.DUMMYFUNCTION("""COMPUTED_VALUE"""),16172.0)</f>
        <v>16172</v>
      </c>
      <c r="C108" t="str">
        <f>IFERROR(__xludf.DUMMYFUNCTION("""COMPUTED_VALUE"""),"Maybelline New York Brow Define Plus Fill Duo Makeup, Light Blonde, 0.021 Ounce")</f>
        <v>Maybelline New York Brow Define Plus Fill Duo Makeup, Light Blonde, 0.021 Ounce</v>
      </c>
      <c r="D108" t="str">
        <f>IFERROR(__xludf.DUMMYFUNCTION("""COMPUTED_VALUE"""),"B07FTTH3KF")</f>
        <v>B07FTTH3KF</v>
      </c>
      <c r="E108" t="str">
        <f>IFERROR(__xludf.DUMMYFUNCTION("""COMPUTED_VALUE"""),"041554552973")</f>
        <v>041554552973</v>
      </c>
      <c r="F108">
        <f>IFERROR(__xludf.DUMMYFUNCTION("""COMPUTED_VALUE"""),504.0)</f>
        <v>504</v>
      </c>
      <c r="G108">
        <f>IFERROR(__xludf.DUMMYFUNCTION("""COMPUTED_VALUE"""),3345.0)</f>
        <v>3345</v>
      </c>
      <c r="H108" s="2">
        <f>IFERROR(__xludf.DUMMYFUNCTION("""COMPUTED_VALUE"""),4.5)</f>
        <v>4.5</v>
      </c>
      <c r="I108" s="2">
        <f>IFERROR(__xludf.DUMMYFUNCTION("""COMPUTED_VALUE"""),10.8)</f>
        <v>10.8</v>
      </c>
      <c r="J108" s="2">
        <f>IFERROR(__xludf.DUMMYFUNCTION("""COMPUTED_VALUE"""),6.300000000000001)</f>
        <v>6.3</v>
      </c>
      <c r="K108" s="5">
        <f>IFERROR(__xludf.DUMMYFUNCTION("""COMPUTED_VALUE"""),1.4000000000000001)</f>
        <v>1.4</v>
      </c>
      <c r="L108">
        <f>IFERROR(__xludf.DUMMYFUNCTION("""COMPUTED_VALUE"""),49691.0)</f>
        <v>49691</v>
      </c>
      <c r="M108" t="str">
        <f>IFERROR(__xludf.DUMMYFUNCTION("""COMPUTED_VALUE"""),"Beauty")</f>
        <v>Beauty</v>
      </c>
      <c r="O108" t="str">
        <f>IFERROR(__xludf.DUMMYFUNCTION("""COMPUTED_VALUE"""),"N")</f>
        <v>N</v>
      </c>
      <c r="P108" s="1" t="str">
        <f>IFERROR(__xludf.DUMMYFUNCTION("""COMPUTED_VALUE"""),"ID 16172")</f>
        <v>ID 16172</v>
      </c>
      <c r="Q108" s="1" t="str">
        <f>IFERROR(__xludf.DUMMYFUNCTION("""COMPUTED_VALUE"""),"B07FTTH3KF")</f>
        <v>B07FTTH3KF</v>
      </c>
    </row>
    <row r="109">
      <c r="A109" s="6">
        <f>IFERROR(__xludf.DUMMYFUNCTION("""COMPUTED_VALUE"""),45376.0)</f>
        <v>45376</v>
      </c>
      <c r="B109">
        <f>IFERROR(__xludf.DUMMYFUNCTION("""COMPUTED_VALUE"""),24137.0)</f>
        <v>24137</v>
      </c>
      <c r="C109" t="str">
        <f>IFERROR(__xludf.DUMMYFUNCTION("""COMPUTED_VALUE"""),"Fadeless (PAC0057128) Bulletin Board Art Paper, 48"" x 12', Nile Green")</f>
        <v>Fadeless (PAC0057128) Bulletin Board Art Paper, 48" x 12', Nile Green</v>
      </c>
      <c r="D109" t="str">
        <f>IFERROR(__xludf.DUMMYFUNCTION("""COMPUTED_VALUE"""),"B001AFG98G")</f>
        <v>B001AFG98G</v>
      </c>
      <c r="E109" t="str">
        <f>IFERROR(__xludf.DUMMYFUNCTION("""COMPUTED_VALUE"""),"029444571280")</f>
        <v>029444571280</v>
      </c>
      <c r="F109">
        <f>IFERROR(__xludf.DUMMYFUNCTION("""COMPUTED_VALUE"""),596.0)</f>
        <v>596</v>
      </c>
      <c r="G109">
        <f>IFERROR(__xludf.DUMMYFUNCTION("""COMPUTED_VALUE"""),10000.0)</f>
        <v>10000</v>
      </c>
      <c r="H109" s="2">
        <f>IFERROR(__xludf.DUMMYFUNCTION("""COMPUTED_VALUE"""),7.5)</f>
        <v>7.5</v>
      </c>
      <c r="I109" s="2">
        <f>IFERROR(__xludf.DUMMYFUNCTION("""COMPUTED_VALUE"""),13.75)</f>
        <v>13.75</v>
      </c>
      <c r="J109" s="2">
        <f>IFERROR(__xludf.DUMMYFUNCTION("""COMPUTED_VALUE"""),6.25)</f>
        <v>6.25</v>
      </c>
      <c r="K109" s="5">
        <f>IFERROR(__xludf.DUMMYFUNCTION("""COMPUTED_VALUE"""),0.8333333333333334)</f>
        <v>0.8333333333</v>
      </c>
      <c r="L109">
        <f>IFERROR(__xludf.DUMMYFUNCTION("""COMPUTED_VALUE"""),3001.0)</f>
        <v>3001</v>
      </c>
      <c r="M109" t="str">
        <f>IFERROR(__xludf.DUMMYFUNCTION("""COMPUTED_VALUE"""),"Art and Craft Supply")</f>
        <v>Art and Craft Supply</v>
      </c>
      <c r="O109" t="str">
        <f>IFERROR(__xludf.DUMMYFUNCTION("""COMPUTED_VALUE"""),"N")</f>
        <v>N</v>
      </c>
      <c r="P109" s="1" t="str">
        <f>IFERROR(__xludf.DUMMYFUNCTION("""COMPUTED_VALUE"""),"ID 24137")</f>
        <v>ID 24137</v>
      </c>
      <c r="Q109" s="1" t="str">
        <f>IFERROR(__xludf.DUMMYFUNCTION("""COMPUTED_VALUE"""),"B001AFG98G")</f>
        <v>B001AFG98G</v>
      </c>
    </row>
    <row r="110">
      <c r="A110" s="6">
        <f>IFERROR(__xludf.DUMMYFUNCTION("""COMPUTED_VALUE"""),45421.0)</f>
        <v>45421</v>
      </c>
      <c r="B110">
        <f>IFERROR(__xludf.DUMMYFUNCTION("""COMPUTED_VALUE"""),12783.0)</f>
        <v>12783</v>
      </c>
      <c r="C110" t="str">
        <f>IFERROR(__xludf.DUMMYFUNCTION("""COMPUTED_VALUE"""),"Pickett Interior Design and Home Modeling Template, 1/2 Inch Scale (1157I)")</f>
        <v>Pickett Interior Design and Home Modeling Template, 1/2 Inch Scale (1157I)</v>
      </c>
      <c r="D110" t="str">
        <f>IFERROR(__xludf.DUMMYFUNCTION("""COMPUTED_VALUE"""),"B004B7AT72")</f>
        <v>B004B7AT72</v>
      </c>
      <c r="E110" t="str">
        <f>IFERROR(__xludf.DUMMYFUNCTION("""COMPUTED_VALUE"""),"014173152350")</f>
        <v>014173152350</v>
      </c>
      <c r="F110">
        <f>IFERROR(__xludf.DUMMYFUNCTION("""COMPUTED_VALUE"""),288.0)</f>
        <v>288</v>
      </c>
      <c r="G110">
        <f>IFERROR(__xludf.DUMMYFUNCTION("""COMPUTED_VALUE"""),10000.0)</f>
        <v>10000</v>
      </c>
      <c r="H110" s="2">
        <f>IFERROR(__xludf.DUMMYFUNCTION("""COMPUTED_VALUE"""),9.5)</f>
        <v>9.5</v>
      </c>
      <c r="I110" s="2">
        <f>IFERROR(__xludf.DUMMYFUNCTION("""COMPUTED_VALUE"""),15.72)</f>
        <v>15.72</v>
      </c>
      <c r="J110" s="2">
        <f>IFERROR(__xludf.DUMMYFUNCTION("""COMPUTED_VALUE"""),6.220000000000001)</f>
        <v>6.22</v>
      </c>
      <c r="K110" s="5">
        <f>IFERROR(__xludf.DUMMYFUNCTION("""COMPUTED_VALUE"""),0.6547368421052632)</f>
        <v>0.6547368421</v>
      </c>
      <c r="L110">
        <f>IFERROR(__xludf.DUMMYFUNCTION("""COMPUTED_VALUE"""),88007.0)</f>
        <v>88007</v>
      </c>
      <c r="M110" t="str">
        <f>IFERROR(__xludf.DUMMYFUNCTION("""COMPUTED_VALUE"""),"Office Product")</f>
        <v>Office Product</v>
      </c>
      <c r="O110" t="str">
        <f>IFERROR(__xludf.DUMMYFUNCTION("""COMPUTED_VALUE"""),"N")</f>
        <v>N</v>
      </c>
      <c r="P110" s="1" t="str">
        <f>IFERROR(__xludf.DUMMYFUNCTION("""COMPUTED_VALUE"""),"ID 12783")</f>
        <v>ID 12783</v>
      </c>
      <c r="Q110" s="1" t="str">
        <f>IFERROR(__xludf.DUMMYFUNCTION("""COMPUTED_VALUE"""),"B004B7AT72")</f>
        <v>B004B7AT72</v>
      </c>
    </row>
    <row r="111">
      <c r="A111" s="6">
        <f>IFERROR(__xludf.DUMMYFUNCTION("""COMPUTED_VALUE"""),44440.0)</f>
        <v>44440</v>
      </c>
      <c r="B111">
        <f>IFERROR(__xludf.DUMMYFUNCTION("""COMPUTED_VALUE"""),21882.0)</f>
        <v>21882</v>
      </c>
      <c r="C111" t="str">
        <f>IFERROR(__xludf.DUMMYFUNCTION("""COMPUTED_VALUE"""),"OTOTO Baby Nessie Loose Leaf Tea Infuser (Turquoise) - Dinosaur Tea Infuser Strainer with Steeping Spoon - Long Handle Neck, Cute Ball Body Lake Monster Silicone Tea Infuser for Loose Leaf Herbal Tea")</f>
        <v>OTOTO Baby Nessie Loose Leaf Tea Infuser (Turquoise) - Dinosaur Tea Infuser Strainer with Steeping Spoon - Long Handle Neck, Cute Ball Body Lake Monster Silicone Tea Infuser for Loose Leaf Herbal Tea</v>
      </c>
      <c r="D111" t="str">
        <f>IFERROR(__xludf.DUMMYFUNCTION("""COMPUTED_VALUE"""),"B01BPPSBTK")</f>
        <v>B01BPPSBTK</v>
      </c>
      <c r="F111">
        <f>IFERROR(__xludf.DUMMYFUNCTION("""COMPUTED_VALUE"""),500.0)</f>
        <v>500</v>
      </c>
      <c r="G111">
        <f>IFERROR(__xludf.DUMMYFUNCTION("""COMPUTED_VALUE"""),2000.0)</f>
        <v>2000</v>
      </c>
      <c r="H111" s="2">
        <f>IFERROR(__xludf.DUMMYFUNCTION("""COMPUTED_VALUE"""),4.5)</f>
        <v>4.5</v>
      </c>
      <c r="I111" s="2">
        <f>IFERROR(__xludf.DUMMYFUNCTION("""COMPUTED_VALUE"""),10.72)</f>
        <v>10.72</v>
      </c>
      <c r="J111" s="2">
        <f>IFERROR(__xludf.DUMMYFUNCTION("""COMPUTED_VALUE"""),6.220000000000001)</f>
        <v>6.22</v>
      </c>
      <c r="K111" s="5">
        <f>IFERROR(__xludf.DUMMYFUNCTION("""COMPUTED_VALUE"""),1.3822222222222225)</f>
        <v>1.382222222</v>
      </c>
      <c r="L111">
        <f>IFERROR(__xludf.DUMMYFUNCTION("""COMPUTED_VALUE"""),46094.0)</f>
        <v>46094</v>
      </c>
      <c r="M111" t="str">
        <f>IFERROR(__xludf.DUMMYFUNCTION("""COMPUTED_VALUE"""),"Home")</f>
        <v>Home</v>
      </c>
      <c r="O111" t="str">
        <f>IFERROR(__xludf.DUMMYFUNCTION("""COMPUTED_VALUE"""),"N")</f>
        <v>N</v>
      </c>
      <c r="P111" s="1" t="str">
        <f>IFERROR(__xludf.DUMMYFUNCTION("""COMPUTED_VALUE"""),"ID 21882")</f>
        <v>ID 21882</v>
      </c>
      <c r="Q111" s="1" t="str">
        <f>IFERROR(__xludf.DUMMYFUNCTION("""COMPUTED_VALUE"""),"B01BPPSBTK")</f>
        <v>B01BPPSBTK</v>
      </c>
    </row>
    <row r="112">
      <c r="A112" s="6">
        <f>IFERROR(__xludf.DUMMYFUNCTION("""COMPUTED_VALUE"""),44627.0)</f>
        <v>44627</v>
      </c>
      <c r="B112">
        <f>IFERROR(__xludf.DUMMYFUNCTION("""COMPUTED_VALUE"""),12744.0)</f>
        <v>12744</v>
      </c>
      <c r="C112" t="str">
        <f>IFERROR(__xludf.DUMMYFUNCTION("""COMPUTED_VALUE"""),"Zippo Viking Warship Design Brown Matte Pocket Lighter")</f>
        <v>Zippo Viking Warship Design Brown Matte Pocket Lighter</v>
      </c>
      <c r="D112" t="str">
        <f>IFERROR(__xludf.DUMMYFUNCTION("""COMPUTED_VALUE"""),"B084PRJVDQ")</f>
        <v>B084PRJVDQ</v>
      </c>
      <c r="E112" t="str">
        <f>IFERROR(__xludf.DUMMYFUNCTION("""COMPUTED_VALUE"""),"191693145694")</f>
        <v>191693145694</v>
      </c>
      <c r="F112">
        <f>IFERROR(__xludf.DUMMYFUNCTION("""COMPUTED_VALUE"""),180.0)</f>
        <v>180</v>
      </c>
      <c r="G112">
        <f>IFERROR(__xludf.DUMMYFUNCTION("""COMPUTED_VALUE"""),5000.0)</f>
        <v>5000</v>
      </c>
      <c r="H112" s="2">
        <f>IFERROR(__xludf.DUMMYFUNCTION("""COMPUTED_VALUE"""),13.75)</f>
        <v>13.75</v>
      </c>
      <c r="I112" s="2">
        <f>IFERROR(__xludf.DUMMYFUNCTION("""COMPUTED_VALUE"""),19.94)</f>
        <v>19.94</v>
      </c>
      <c r="J112" s="2">
        <f>IFERROR(__xludf.DUMMYFUNCTION("""COMPUTED_VALUE"""),6.190000000000001)</f>
        <v>6.19</v>
      </c>
      <c r="K112" s="5">
        <f>IFERROR(__xludf.DUMMYFUNCTION("""COMPUTED_VALUE"""),0.4501818181818183)</f>
        <v>0.4501818182</v>
      </c>
      <c r="L112">
        <f>IFERROR(__xludf.DUMMYFUNCTION("""COMPUTED_VALUE"""),56506.0)</f>
        <v>56506</v>
      </c>
      <c r="M112" t="str">
        <f>IFERROR(__xludf.DUMMYFUNCTION("""COMPUTED_VALUE"""),"Sports")</f>
        <v>Sports</v>
      </c>
      <c r="O112" t="str">
        <f>IFERROR(__xludf.DUMMYFUNCTION("""COMPUTED_VALUE"""),"N")</f>
        <v>N</v>
      </c>
      <c r="P112" s="1" t="str">
        <f>IFERROR(__xludf.DUMMYFUNCTION("""COMPUTED_VALUE"""),"ID 12744")</f>
        <v>ID 12744</v>
      </c>
      <c r="Q112" s="1" t="str">
        <f>IFERROR(__xludf.DUMMYFUNCTION("""COMPUTED_VALUE"""),"B084PRJVDQ")</f>
        <v>B084PRJVDQ</v>
      </c>
    </row>
    <row r="113">
      <c r="A113" s="6">
        <f>IFERROR(__xludf.DUMMYFUNCTION("""COMPUTED_VALUE"""),45379.0)</f>
        <v>45379</v>
      </c>
      <c r="B113">
        <f>IFERROR(__xludf.DUMMYFUNCTION("""COMPUTED_VALUE"""),22811.0)</f>
        <v>22811</v>
      </c>
      <c r="C113" t="str">
        <f>IFERROR(__xludf.DUMMYFUNCTION("""COMPUTED_VALUE"""),"Quartet Magnetic Whiteboard, 11"" x 14"", Small White Board, Dry Erase Board for Kids, Home School Supplies or Home Office Decor, White Plastic Frame, Includes 1 Dry Erase Marker &amp; 2 Magnets (63536)")</f>
        <v>Quartet Magnetic Whiteboard, 11" x 14", Small White Board, Dry Erase Board for Kids, Home School Supplies or Home Office Decor, White Plastic Frame, Includes 1 Dry Erase Marker &amp; 2 Magnets (63536)</v>
      </c>
      <c r="D113" t="str">
        <f>IFERROR(__xludf.DUMMYFUNCTION("""COMPUTED_VALUE"""),"B07JP5MV92")</f>
        <v>B07JP5MV92</v>
      </c>
      <c r="E113" t="str">
        <f>IFERROR(__xludf.DUMMYFUNCTION("""COMPUTED_VALUE"""),"034138635360")</f>
        <v>034138635360</v>
      </c>
      <c r="F113">
        <f>IFERROR(__xludf.DUMMYFUNCTION("""COMPUTED_VALUE"""),432.0)</f>
        <v>432</v>
      </c>
      <c r="G113">
        <f>IFERROR(__xludf.DUMMYFUNCTION("""COMPUTED_VALUE"""),10000.0)</f>
        <v>10000</v>
      </c>
      <c r="H113" s="2">
        <f>IFERROR(__xludf.DUMMYFUNCTION("""COMPUTED_VALUE"""),5.75)</f>
        <v>5.75</v>
      </c>
      <c r="I113" s="2">
        <f>IFERROR(__xludf.DUMMYFUNCTION("""COMPUTED_VALUE"""),11.81)</f>
        <v>11.81</v>
      </c>
      <c r="J113" s="2">
        <f>IFERROR(__xludf.DUMMYFUNCTION("""COMPUTED_VALUE"""),6.0600000000000005)</f>
        <v>6.06</v>
      </c>
      <c r="K113" s="5">
        <f>IFERROR(__xludf.DUMMYFUNCTION("""COMPUTED_VALUE"""),1.0539130434782609)</f>
        <v>1.053913043</v>
      </c>
      <c r="L113">
        <f>IFERROR(__xludf.DUMMYFUNCTION("""COMPUTED_VALUE"""),24294.0)</f>
        <v>24294</v>
      </c>
      <c r="M113" t="str">
        <f>IFERROR(__xludf.DUMMYFUNCTION("""COMPUTED_VALUE"""),"Office Product")</f>
        <v>Office Product</v>
      </c>
      <c r="O113" t="str">
        <f>IFERROR(__xludf.DUMMYFUNCTION("""COMPUTED_VALUE"""),"Y")</f>
        <v>Y</v>
      </c>
      <c r="P113" s="1" t="str">
        <f>IFERROR(__xludf.DUMMYFUNCTION("""COMPUTED_VALUE"""),"ID 22811")</f>
        <v>ID 22811</v>
      </c>
      <c r="Q113" s="1" t="str">
        <f>IFERROR(__xludf.DUMMYFUNCTION("""COMPUTED_VALUE"""),"B07JP5MV92")</f>
        <v>B07JP5MV92</v>
      </c>
    </row>
    <row r="114">
      <c r="A114" s="6">
        <f>IFERROR(__xludf.DUMMYFUNCTION("""COMPUTED_VALUE"""),44559.0)</f>
        <v>44559</v>
      </c>
      <c r="B114">
        <f>IFERROR(__xludf.DUMMYFUNCTION("""COMPUTED_VALUE"""),24308.0)</f>
        <v>24308</v>
      </c>
      <c r="C114" t="str">
        <f>IFERROR(__xludf.DUMMYFUNCTION("""COMPUTED_VALUE"""),"Five Star Spiral Notebook, 2 Subject, College Ruled Paper, 100 sheets, 9-1/2"" x 6"", Blue (72287)")</f>
        <v>Five Star Spiral Notebook, 2 Subject, College Ruled Paper, 100 sheets, 9-1/2" x 6", Blue (72287)</v>
      </c>
      <c r="D114" t="str">
        <f>IFERROR(__xludf.DUMMYFUNCTION("""COMPUTED_VALUE"""),"B003OBZGF6")</f>
        <v>B003OBZGF6</v>
      </c>
      <c r="E114" t="str">
        <f>IFERROR(__xludf.DUMMYFUNCTION("""COMPUTED_VALUE"""),"43100086130")</f>
        <v>43100086130</v>
      </c>
      <c r="F114">
        <f>IFERROR(__xludf.DUMMYFUNCTION("""COMPUTED_VALUE"""),959.0)</f>
        <v>959</v>
      </c>
      <c r="G114">
        <f>IFERROR(__xludf.DUMMYFUNCTION("""COMPUTED_VALUE"""),959.0)</f>
        <v>959</v>
      </c>
      <c r="H114" s="2">
        <f>IFERROR(__xludf.DUMMYFUNCTION("""COMPUTED_VALUE"""),1.25)</f>
        <v>1.25</v>
      </c>
      <c r="I114" s="2">
        <f>IFERROR(__xludf.DUMMYFUNCTION("""COMPUTED_VALUE"""),7.31)</f>
        <v>7.31</v>
      </c>
      <c r="J114" s="2">
        <f>IFERROR(__xludf.DUMMYFUNCTION("""COMPUTED_VALUE"""),6.06)</f>
        <v>6.06</v>
      </c>
      <c r="K114" s="5">
        <f>IFERROR(__xludf.DUMMYFUNCTION("""COMPUTED_VALUE"""),4.848)</f>
        <v>4.848</v>
      </c>
      <c r="L114">
        <f>IFERROR(__xludf.DUMMYFUNCTION("""COMPUTED_VALUE"""),12536.0)</f>
        <v>12536</v>
      </c>
      <c r="M114" t="str">
        <f>IFERROR(__xludf.DUMMYFUNCTION("""COMPUTED_VALUE"""),"Office Product")</f>
        <v>Office Product</v>
      </c>
      <c r="N114" t="str">
        <f>IFERROR(__xludf.DUMMYFUNCTION("""COMPUTED_VALUE"""),"Disco by brand")</f>
        <v>Disco by brand</v>
      </c>
      <c r="O114" t="str">
        <f>IFERROR(__xludf.DUMMYFUNCTION("""COMPUTED_VALUE"""),"N")</f>
        <v>N</v>
      </c>
      <c r="P114" s="1" t="str">
        <f>IFERROR(__xludf.DUMMYFUNCTION("""COMPUTED_VALUE"""),"ID 24308")</f>
        <v>ID 24308</v>
      </c>
      <c r="Q114" s="1" t="str">
        <f>IFERROR(__xludf.DUMMYFUNCTION("""COMPUTED_VALUE"""),"B003OBZGF6")</f>
        <v>B003OBZGF6</v>
      </c>
    </row>
    <row r="115">
      <c r="A115" s="6">
        <f>IFERROR(__xludf.DUMMYFUNCTION("""COMPUTED_VALUE"""),45419.0)</f>
        <v>45419</v>
      </c>
      <c r="B115">
        <f>IFERROR(__xludf.DUMMYFUNCTION("""COMPUTED_VALUE"""),11157.0)</f>
        <v>11157</v>
      </c>
      <c r="C115" t="str">
        <f>IFERROR(__xludf.DUMMYFUNCTION("""COMPUTED_VALUE"""),"Eau De Private Collection by Estee Lauder for Women Fragrance Spray, 1.7 Ounce")</f>
        <v>Eau De Private Collection by Estee Lauder for Women Fragrance Spray, 1.7 Ounce</v>
      </c>
      <c r="D115" t="str">
        <f>IFERROR(__xludf.DUMMYFUNCTION("""COMPUTED_VALUE"""),"B000NVCTMS")</f>
        <v>B000NVCTMS</v>
      </c>
      <c r="E115" t="str">
        <f>IFERROR(__xludf.DUMMYFUNCTION("""COMPUTED_VALUE"""),"027131019817")</f>
        <v>027131019817</v>
      </c>
      <c r="F115">
        <f>IFERROR(__xludf.DUMMYFUNCTION("""COMPUTED_VALUE"""),40.0)</f>
        <v>40</v>
      </c>
      <c r="G115">
        <f>IFERROR(__xludf.DUMMYFUNCTION("""COMPUTED_VALUE"""),500.0)</f>
        <v>500</v>
      </c>
      <c r="H115" s="2">
        <f>IFERROR(__xludf.DUMMYFUNCTION("""COMPUTED_VALUE"""),38.5)</f>
        <v>38.5</v>
      </c>
      <c r="I115" s="2">
        <f>IFERROR(__xludf.DUMMYFUNCTION("""COMPUTED_VALUE"""),44.51)</f>
        <v>44.51</v>
      </c>
      <c r="J115" s="2">
        <f>IFERROR(__xludf.DUMMYFUNCTION("""COMPUTED_VALUE"""),6.009999999999998)</f>
        <v>6.01</v>
      </c>
      <c r="K115" s="5">
        <f>IFERROR(__xludf.DUMMYFUNCTION("""COMPUTED_VALUE"""),0.15610389610389605)</f>
        <v>0.1561038961</v>
      </c>
      <c r="L115">
        <f>IFERROR(__xludf.DUMMYFUNCTION("""COMPUTED_VALUE"""),25484.0)</f>
        <v>25484</v>
      </c>
      <c r="M115" t="str">
        <f>IFERROR(__xludf.DUMMYFUNCTION("""COMPUTED_VALUE"""),"Beauty")</f>
        <v>Beauty</v>
      </c>
      <c r="O115" t="str">
        <f>IFERROR(__xludf.DUMMYFUNCTION("""COMPUTED_VALUE"""),"Y")</f>
        <v>Y</v>
      </c>
      <c r="P115" s="1" t="str">
        <f>IFERROR(__xludf.DUMMYFUNCTION("""COMPUTED_VALUE"""),"ID 11157")</f>
        <v>ID 11157</v>
      </c>
      <c r="Q115" s="1" t="str">
        <f>IFERROR(__xludf.DUMMYFUNCTION("""COMPUTED_VALUE"""),"B000NVCTMS")</f>
        <v>B000NVCTMS</v>
      </c>
    </row>
    <row r="116">
      <c r="A116" s="6">
        <f>IFERROR(__xludf.DUMMYFUNCTION("""COMPUTED_VALUE"""),45348.0)</f>
        <v>45348</v>
      </c>
      <c r="B116">
        <f>IFERROR(__xludf.DUMMYFUNCTION("""COMPUTED_VALUE"""),18291.0)</f>
        <v>18291</v>
      </c>
      <c r="C116" t="str">
        <f>IFERROR(__xludf.DUMMYFUNCTION("""COMPUTED_VALUE"""),"Acco ACC16044 Pressboard 25-Point Classification Folders, Lgl, 4-Section")</f>
        <v>Acco ACC16044 Pressboard 25-Point Classification Folders, Lgl, 4-Section</v>
      </c>
      <c r="D116" t="str">
        <f>IFERROR(__xludf.DUMMYFUNCTION("""COMPUTED_VALUE"""),"B0006HUKLG")</f>
        <v>B0006HUKLG</v>
      </c>
      <c r="E116" t="str">
        <f>IFERROR(__xludf.DUMMYFUNCTION("""COMPUTED_VALUE"""),"050505160440")</f>
        <v>050505160440</v>
      </c>
      <c r="F116">
        <f>IFERROR(__xludf.DUMMYFUNCTION("""COMPUTED_VALUE"""),650.0)</f>
        <v>650</v>
      </c>
      <c r="G116">
        <f>IFERROR(__xludf.DUMMYFUNCTION("""COMPUTED_VALUE"""),10000.0)</f>
        <v>10000</v>
      </c>
      <c r="H116" s="2">
        <f>IFERROR(__xludf.DUMMYFUNCTION("""COMPUTED_VALUE"""),5.5)</f>
        <v>5.5</v>
      </c>
      <c r="I116" s="2">
        <f>IFERROR(__xludf.DUMMYFUNCTION("""COMPUTED_VALUE"""),11.45)</f>
        <v>11.45</v>
      </c>
      <c r="J116" s="2">
        <f>IFERROR(__xludf.DUMMYFUNCTION("""COMPUTED_VALUE"""),5.949999999999999)</f>
        <v>5.95</v>
      </c>
      <c r="K116" s="5">
        <f>IFERROR(__xludf.DUMMYFUNCTION("""COMPUTED_VALUE"""),1.0818181818181818)</f>
        <v>1.081818182</v>
      </c>
      <c r="L116">
        <f>IFERROR(__xludf.DUMMYFUNCTION("""COMPUTED_VALUE"""),82595.0)</f>
        <v>82595</v>
      </c>
      <c r="M116" t="str">
        <f>IFERROR(__xludf.DUMMYFUNCTION("""COMPUTED_VALUE"""),"Office Product")</f>
        <v>Office Product</v>
      </c>
      <c r="O116" t="str">
        <f>IFERROR(__xludf.DUMMYFUNCTION("""COMPUTED_VALUE"""),"N")</f>
        <v>N</v>
      </c>
      <c r="P116" s="1" t="str">
        <f>IFERROR(__xludf.DUMMYFUNCTION("""COMPUTED_VALUE"""),"ID 18291")</f>
        <v>ID 18291</v>
      </c>
      <c r="Q116" s="1" t="str">
        <f>IFERROR(__xludf.DUMMYFUNCTION("""COMPUTED_VALUE"""),"B0006HUKLG")</f>
        <v>B0006HUKLG</v>
      </c>
    </row>
    <row r="117">
      <c r="A117" s="6">
        <f>IFERROR(__xludf.DUMMYFUNCTION("""COMPUTED_VALUE"""),44763.0)</f>
        <v>44763</v>
      </c>
      <c r="B117">
        <f>IFERROR(__xludf.DUMMYFUNCTION("""COMPUTED_VALUE"""),23773.0)</f>
        <v>23773</v>
      </c>
      <c r="C117" t="str">
        <f>IFERROR(__xludf.DUMMYFUNCTION("""COMPUTED_VALUE"""),"Nuvo 62-1200 PAR LED Landscape Flood Light, 5.5-Inch, Bronze")</f>
        <v>Nuvo 62-1200 PAR LED Landscape Flood Light, 5.5-Inch, Bronze</v>
      </c>
      <c r="D117" t="str">
        <f>IFERROR(__xludf.DUMMYFUNCTION("""COMPUTED_VALUE"""),"B07VKPNCDJ")</f>
        <v>B07VKPNCDJ</v>
      </c>
      <c r="E117" t="str">
        <f>IFERROR(__xludf.DUMMYFUNCTION("""COMPUTED_VALUE"""),"045923680168")</f>
        <v>045923680168</v>
      </c>
      <c r="F117">
        <f>IFERROR(__xludf.DUMMYFUNCTION("""COMPUTED_VALUE"""),60.0)</f>
        <v>60</v>
      </c>
      <c r="G117">
        <f>IFERROR(__xludf.DUMMYFUNCTION("""COMPUTED_VALUE"""),1000.0)</f>
        <v>1000</v>
      </c>
      <c r="H117" s="2">
        <f>IFERROR(__xludf.DUMMYFUNCTION("""COMPUTED_VALUE"""),26.0)</f>
        <v>26</v>
      </c>
      <c r="I117" s="2">
        <f>IFERROR(__xludf.DUMMYFUNCTION("""COMPUTED_VALUE"""),31.86)</f>
        <v>31.86</v>
      </c>
      <c r="J117" s="2">
        <f>IFERROR(__xludf.DUMMYFUNCTION("""COMPUTED_VALUE"""),5.859999999999999)</f>
        <v>5.86</v>
      </c>
      <c r="K117" s="5">
        <f>IFERROR(__xludf.DUMMYFUNCTION("""COMPUTED_VALUE"""),0.22538461538461535)</f>
        <v>0.2253846154</v>
      </c>
      <c r="L117">
        <f>IFERROR(__xludf.DUMMYFUNCTION("""COMPUTED_VALUE"""),32171.0)</f>
        <v>32171</v>
      </c>
      <c r="M117" t="str">
        <f>IFERROR(__xludf.DUMMYFUNCTION("""COMPUTED_VALUE"""),"Home Improvement")</f>
        <v>Home Improvement</v>
      </c>
      <c r="N117" t="str">
        <f>IFERROR(__xludf.DUMMYFUNCTION("""COMPUTED_VALUE"""),"MAP . If you violate the MAP pricing the brand may choose to remove you from the listing")</f>
        <v>MAP . If you violate the MAP pricing the brand may choose to remove you from the listing</v>
      </c>
      <c r="O117" t="str">
        <f>IFERROR(__xludf.DUMMYFUNCTION("""COMPUTED_VALUE"""),"Y")</f>
        <v>Y</v>
      </c>
      <c r="P117" s="1" t="str">
        <f>IFERROR(__xludf.DUMMYFUNCTION("""COMPUTED_VALUE"""),"ID 23773")</f>
        <v>ID 23773</v>
      </c>
      <c r="Q117" s="1" t="str">
        <f>IFERROR(__xludf.DUMMYFUNCTION("""COMPUTED_VALUE"""),"B07VKPNCDJ")</f>
        <v>B07VKPNCDJ</v>
      </c>
    </row>
    <row r="118">
      <c r="A118" s="6">
        <f>IFERROR(__xludf.DUMMYFUNCTION("""COMPUTED_VALUE"""),44705.0)</f>
        <v>44705</v>
      </c>
      <c r="B118">
        <f>IFERROR(__xludf.DUMMYFUNCTION("""COMPUTED_VALUE"""),12259.0)</f>
        <v>12259</v>
      </c>
      <c r="C118" t="str">
        <f>IFERROR(__xludf.DUMMYFUNCTION("""COMPUTED_VALUE"""),"Black n' Red Twin Spiral Hardcover Notebook Value Pack, 3 for Price of 2, Large, Black/Red, 70 Ruled Sheets, 3 Pack (400123488)")</f>
        <v>Black n' Red Twin Spiral Hardcover Notebook Value Pack, 3 for Price of 2, Large, Black/Red, 70 Ruled Sheets, 3 Pack (400123488)</v>
      </c>
      <c r="D118" t="str">
        <f>IFERROR(__xludf.DUMMYFUNCTION("""COMPUTED_VALUE"""),"B07WV659BS")</f>
        <v>B07WV659BS</v>
      </c>
      <c r="E118" t="str">
        <f>IFERROR(__xludf.DUMMYFUNCTION("""COMPUTED_VALUE"""),"870875000388")</f>
        <v>870875000388</v>
      </c>
      <c r="F118">
        <f>IFERROR(__xludf.DUMMYFUNCTION("""COMPUTED_VALUE"""),120.0)</f>
        <v>120</v>
      </c>
      <c r="G118">
        <f>IFERROR(__xludf.DUMMYFUNCTION("""COMPUTED_VALUE"""),5000.0)</f>
        <v>5000</v>
      </c>
      <c r="H118" s="2">
        <f>IFERROR(__xludf.DUMMYFUNCTION("""COMPUTED_VALUE"""),32.0)</f>
        <v>32</v>
      </c>
      <c r="I118" s="2">
        <f>IFERROR(__xludf.DUMMYFUNCTION("""COMPUTED_VALUE"""),37.84)</f>
        <v>37.84</v>
      </c>
      <c r="J118" s="2">
        <f>IFERROR(__xludf.DUMMYFUNCTION("""COMPUTED_VALUE"""),5.840000000000003)</f>
        <v>5.84</v>
      </c>
      <c r="K118" s="5">
        <f>IFERROR(__xludf.DUMMYFUNCTION("""COMPUTED_VALUE"""),0.1825000000000001)</f>
        <v>0.1825</v>
      </c>
      <c r="L118">
        <f>IFERROR(__xludf.DUMMYFUNCTION("""COMPUTED_VALUE"""),4325.0)</f>
        <v>4325</v>
      </c>
      <c r="M118" t="str">
        <f>IFERROR(__xludf.DUMMYFUNCTION("""COMPUTED_VALUE"""),"Office Product")</f>
        <v>Office Product</v>
      </c>
      <c r="O118" t="str">
        <f>IFERROR(__xludf.DUMMYFUNCTION("""COMPUTED_VALUE"""),"Y")</f>
        <v>Y</v>
      </c>
      <c r="P118" s="1" t="str">
        <f>IFERROR(__xludf.DUMMYFUNCTION("""COMPUTED_VALUE"""),"ID 12259")</f>
        <v>ID 12259</v>
      </c>
      <c r="Q118" s="1" t="str">
        <f>IFERROR(__xludf.DUMMYFUNCTION("""COMPUTED_VALUE"""),"B07WV659BS")</f>
        <v>B07WV659BS</v>
      </c>
    </row>
    <row r="119">
      <c r="A119" s="6">
        <f>IFERROR(__xludf.DUMMYFUNCTION("""COMPUTED_VALUE"""),45401.0)</f>
        <v>45401</v>
      </c>
      <c r="B119">
        <f>IFERROR(__xludf.DUMMYFUNCTION("""COMPUTED_VALUE"""),16472.0)</f>
        <v>16472</v>
      </c>
      <c r="C119" t="str">
        <f>IFERROR(__xludf.DUMMYFUNCTION("""COMPUTED_VALUE"""),"Home Basics Lattice Collection Cast Iron Spoon Rest (White)")</f>
        <v>Home Basics Lattice Collection Cast Iron Spoon Rest (White)</v>
      </c>
      <c r="D119" t="str">
        <f>IFERROR(__xludf.DUMMYFUNCTION("""COMPUTED_VALUE"""),"B07F6V81S2")</f>
        <v>B07F6V81S2</v>
      </c>
      <c r="E119" t="str">
        <f>IFERROR(__xludf.DUMMYFUNCTION("""COMPUTED_VALUE"""),"886466453617")</f>
        <v>886466453617</v>
      </c>
      <c r="F119">
        <f>IFERROR(__xludf.DUMMYFUNCTION("""COMPUTED_VALUE"""),276.0)</f>
        <v>276</v>
      </c>
      <c r="G119">
        <f>IFERROR(__xludf.DUMMYFUNCTION("""COMPUTED_VALUE"""),10000.0)</f>
        <v>10000</v>
      </c>
      <c r="H119" s="2">
        <f>IFERROR(__xludf.DUMMYFUNCTION("""COMPUTED_VALUE"""),4.75)</f>
        <v>4.75</v>
      </c>
      <c r="I119" s="2">
        <f>IFERROR(__xludf.DUMMYFUNCTION("""COMPUTED_VALUE"""),10.49)</f>
        <v>10.49</v>
      </c>
      <c r="J119" s="2">
        <f>IFERROR(__xludf.DUMMYFUNCTION("""COMPUTED_VALUE"""),5.74)</f>
        <v>5.74</v>
      </c>
      <c r="K119" s="5">
        <f>IFERROR(__xludf.DUMMYFUNCTION("""COMPUTED_VALUE"""),1.208421052631579)</f>
        <v>1.208421053</v>
      </c>
      <c r="L119">
        <f>IFERROR(__xludf.DUMMYFUNCTION("""COMPUTED_VALUE"""),41827.0)</f>
        <v>41827</v>
      </c>
      <c r="M119" t="str">
        <f>IFERROR(__xludf.DUMMYFUNCTION("""COMPUTED_VALUE"""),"Kitchen")</f>
        <v>Kitchen</v>
      </c>
      <c r="O119" t="str">
        <f>IFERROR(__xludf.DUMMYFUNCTION("""COMPUTED_VALUE"""),"Y")</f>
        <v>Y</v>
      </c>
      <c r="P119" s="1" t="str">
        <f>IFERROR(__xludf.DUMMYFUNCTION("""COMPUTED_VALUE"""),"ID 16472")</f>
        <v>ID 16472</v>
      </c>
      <c r="Q119" s="1" t="str">
        <f>IFERROR(__xludf.DUMMYFUNCTION("""COMPUTED_VALUE"""),"B07F6V81S2")</f>
        <v>B07F6V81S2</v>
      </c>
    </row>
    <row r="120">
      <c r="A120" s="6">
        <f>IFERROR(__xludf.DUMMYFUNCTION("""COMPUTED_VALUE"""),44941.0)</f>
        <v>44941</v>
      </c>
      <c r="B120">
        <f>IFERROR(__xludf.DUMMYFUNCTION("""COMPUTED_VALUE"""),24942.0)</f>
        <v>24942</v>
      </c>
      <c r="C120" t="str">
        <f>IFERROR(__xludf.DUMMYFUNCTION("""COMPUTED_VALUE"""),"Waterman Ballpoint Pen, Hemisphere French Riviera Collection, Promenade Vermillon, Medium Point")</f>
        <v>Waterman Ballpoint Pen, Hemisphere French Riviera Collection, Promenade Vermillon, Medium Point</v>
      </c>
      <c r="D120" t="str">
        <f>IFERROR(__xludf.DUMMYFUNCTION("""COMPUTED_VALUE"""),"B088H84DLJ")</f>
        <v>B088H84DLJ</v>
      </c>
      <c r="E120" t="str">
        <f>IFERROR(__xludf.DUMMYFUNCTION("""COMPUTED_VALUE"""),"3026981182365")</f>
        <v>3026981182365</v>
      </c>
      <c r="F120">
        <f>IFERROR(__xludf.DUMMYFUNCTION("""COMPUTED_VALUE"""),75.0)</f>
        <v>75</v>
      </c>
      <c r="G120">
        <f>IFERROR(__xludf.DUMMYFUNCTION("""COMPUTED_VALUE"""),10000.0)</f>
        <v>10000</v>
      </c>
      <c r="H120" s="2">
        <f>IFERROR(__xludf.DUMMYFUNCTION("""COMPUTED_VALUE"""),54.5)</f>
        <v>54.5</v>
      </c>
      <c r="I120" s="2">
        <f>IFERROR(__xludf.DUMMYFUNCTION("""COMPUTED_VALUE"""),60.24)</f>
        <v>60.24</v>
      </c>
      <c r="J120" s="2">
        <f>IFERROR(__xludf.DUMMYFUNCTION("""COMPUTED_VALUE"""),5.740000000000002)</f>
        <v>5.74</v>
      </c>
      <c r="K120" s="5">
        <f>IFERROR(__xludf.DUMMYFUNCTION("""COMPUTED_VALUE"""),0.10532110091743123)</f>
        <v>0.1053211009</v>
      </c>
      <c r="L120">
        <f>IFERROR(__xludf.DUMMYFUNCTION("""COMPUTED_VALUE"""),88223.0)</f>
        <v>88223</v>
      </c>
      <c r="M120" t="str">
        <f>IFERROR(__xludf.DUMMYFUNCTION("""COMPUTED_VALUE"""),"Office Product")</f>
        <v>Office Product</v>
      </c>
      <c r="O120" t="str">
        <f>IFERROR(__xludf.DUMMYFUNCTION("""COMPUTED_VALUE"""),"N")</f>
        <v>N</v>
      </c>
      <c r="P120" s="1" t="str">
        <f>IFERROR(__xludf.DUMMYFUNCTION("""COMPUTED_VALUE"""),"ID 24942")</f>
        <v>ID 24942</v>
      </c>
      <c r="Q120" s="1" t="str">
        <f>IFERROR(__xludf.DUMMYFUNCTION("""COMPUTED_VALUE"""),"B088H84DLJ")</f>
        <v>B088H84DLJ</v>
      </c>
    </row>
    <row r="121">
      <c r="A121" s="6">
        <f>IFERROR(__xludf.DUMMYFUNCTION("""COMPUTED_VALUE"""),45362.0)</f>
        <v>45362</v>
      </c>
      <c r="B121">
        <f>IFERROR(__xludf.DUMMYFUNCTION("""COMPUTED_VALUE"""),19675.0)</f>
        <v>19675</v>
      </c>
      <c r="C121" t="str">
        <f>IFERROR(__xludf.DUMMYFUNCTION("""COMPUTED_VALUE"""),"Pentel Twist-Erase Express Automatic Pencil with Lead and Eraser, 0.9mm (QE419FLEBP2), Assorted")</f>
        <v>Pentel Twist-Erase Express Automatic Pencil with Lead and Eraser, 0.9mm (QE419FLEBP2), Assorted</v>
      </c>
      <c r="D121" t="str">
        <f>IFERROR(__xludf.DUMMYFUNCTION("""COMPUTED_VALUE"""),"B002SRU9KY")</f>
        <v>B002SRU9KY</v>
      </c>
      <c r="E121" t="str">
        <f>IFERROR(__xludf.DUMMYFUNCTION("""COMPUTED_VALUE"""),"072512234112")</f>
        <v>072512234112</v>
      </c>
      <c r="F121">
        <f>IFERROR(__xludf.DUMMYFUNCTION("""COMPUTED_VALUE"""),576.0)</f>
        <v>576</v>
      </c>
      <c r="G121">
        <f>IFERROR(__xludf.DUMMYFUNCTION("""COMPUTED_VALUE"""),10000.0)</f>
        <v>10000</v>
      </c>
      <c r="H121" s="2">
        <f>IFERROR(__xludf.DUMMYFUNCTION("""COMPUTED_VALUE"""),3.0)</f>
        <v>3</v>
      </c>
      <c r="I121" s="2">
        <f>IFERROR(__xludf.DUMMYFUNCTION("""COMPUTED_VALUE"""),8.72)</f>
        <v>8.72</v>
      </c>
      <c r="J121" s="2">
        <f>IFERROR(__xludf.DUMMYFUNCTION("""COMPUTED_VALUE"""),5.720000000000001)</f>
        <v>5.72</v>
      </c>
      <c r="K121" s="5">
        <f>IFERROR(__xludf.DUMMYFUNCTION("""COMPUTED_VALUE"""),1.906666666666667)</f>
        <v>1.906666667</v>
      </c>
      <c r="L121">
        <f>IFERROR(__xludf.DUMMYFUNCTION("""COMPUTED_VALUE"""),4749.0)</f>
        <v>4749</v>
      </c>
      <c r="M121" t="str">
        <f>IFERROR(__xludf.DUMMYFUNCTION("""COMPUTED_VALUE"""),"Office Product")</f>
        <v>Office Product</v>
      </c>
      <c r="O121" t="str">
        <f>IFERROR(__xludf.DUMMYFUNCTION("""COMPUTED_VALUE"""),"Y")</f>
        <v>Y</v>
      </c>
      <c r="P121" s="1" t="str">
        <f>IFERROR(__xludf.DUMMYFUNCTION("""COMPUTED_VALUE"""),"ID 19675")</f>
        <v>ID 19675</v>
      </c>
      <c r="Q121" s="1" t="str">
        <f>IFERROR(__xludf.DUMMYFUNCTION("""COMPUTED_VALUE"""),"B002SRU9KY")</f>
        <v>B002SRU9KY</v>
      </c>
    </row>
    <row r="122">
      <c r="A122" s="6">
        <f>IFERROR(__xludf.DUMMYFUNCTION("""COMPUTED_VALUE"""),45259.0)</f>
        <v>45259</v>
      </c>
      <c r="B122">
        <f>IFERROR(__xludf.DUMMYFUNCTION("""COMPUTED_VALUE"""),20177.0)</f>
        <v>20177</v>
      </c>
      <c r="C122" t="str">
        <f>IFERROR(__xludf.DUMMYFUNCTION("""COMPUTED_VALUE"""),"Jetstream Elements Ballpoint Pens, Medium Point (1.0mm), Black, 12 Count")</f>
        <v>Jetstream Elements Ballpoint Pens, Medium Point (1.0mm), Black, 12 Count</v>
      </c>
      <c r="D122" t="str">
        <f>IFERROR(__xludf.DUMMYFUNCTION("""COMPUTED_VALUE"""),"B089QTF7QX")</f>
        <v>B089QTF7QX</v>
      </c>
      <c r="E122" t="str">
        <f>IFERROR(__xludf.DUMMYFUNCTION("""COMPUTED_VALUE"""),"030246701232")</f>
        <v>030246701232</v>
      </c>
      <c r="F122">
        <f>IFERROR(__xludf.DUMMYFUNCTION("""COMPUTED_VALUE"""),84.0)</f>
        <v>84</v>
      </c>
      <c r="G122">
        <f>IFERROR(__xludf.DUMMYFUNCTION("""COMPUTED_VALUE"""),10000.0)</f>
        <v>10000</v>
      </c>
      <c r="H122" s="2">
        <f>IFERROR(__xludf.DUMMYFUNCTION("""COMPUTED_VALUE"""),16.75)</f>
        <v>16.75</v>
      </c>
      <c r="I122" s="2">
        <f>IFERROR(__xludf.DUMMYFUNCTION("""COMPUTED_VALUE"""),22.47)</f>
        <v>22.47</v>
      </c>
      <c r="J122" s="2">
        <f>IFERROR(__xludf.DUMMYFUNCTION("""COMPUTED_VALUE"""),5.719999999999999)</f>
        <v>5.72</v>
      </c>
      <c r="K122" s="5">
        <f>IFERROR(__xludf.DUMMYFUNCTION("""COMPUTED_VALUE"""),0.34149253731343276)</f>
        <v>0.3414925373</v>
      </c>
      <c r="L122">
        <f>IFERROR(__xludf.DUMMYFUNCTION("""COMPUTED_VALUE"""),23092.0)</f>
        <v>23092</v>
      </c>
      <c r="M122" t="str">
        <f>IFERROR(__xludf.DUMMYFUNCTION("""COMPUTED_VALUE"""),"Office Product")</f>
        <v>Office Product</v>
      </c>
      <c r="O122" t="str">
        <f>IFERROR(__xludf.DUMMYFUNCTION("""COMPUTED_VALUE"""),"Y")</f>
        <v>Y</v>
      </c>
      <c r="P122" s="1" t="str">
        <f>IFERROR(__xludf.DUMMYFUNCTION("""COMPUTED_VALUE"""),"ID 20177")</f>
        <v>ID 20177</v>
      </c>
      <c r="Q122" s="1" t="str">
        <f>IFERROR(__xludf.DUMMYFUNCTION("""COMPUTED_VALUE"""),"B089QTF7QX")</f>
        <v>B089QTF7QX</v>
      </c>
    </row>
    <row r="123">
      <c r="A123" s="6">
        <f>IFERROR(__xludf.DUMMYFUNCTION("""COMPUTED_VALUE"""),44950.0)</f>
        <v>44950</v>
      </c>
      <c r="B123">
        <f>IFERROR(__xludf.DUMMYFUNCTION("""COMPUTED_VALUE"""),18111.0)</f>
        <v>18111</v>
      </c>
      <c r="C123" t="str">
        <f>IFERROR(__xludf.DUMMYFUNCTION("""COMPUTED_VALUE"""),"Big Buck Hunter XBOX1 - Xbox One")</f>
        <v>Big Buck Hunter XBOX1 - Xbox One</v>
      </c>
      <c r="D123" t="str">
        <f>IFERROR(__xludf.DUMMYFUNCTION("""COMPUTED_VALUE"""),"B01I6RD5FA")</f>
        <v>B01I6RD5FA</v>
      </c>
      <c r="E123" t="str">
        <f>IFERROR(__xludf.DUMMYFUNCTION("""COMPUTED_VALUE"""),"834656000349")</f>
        <v>834656000349</v>
      </c>
      <c r="F123">
        <f>IFERROR(__xludf.DUMMYFUNCTION("""COMPUTED_VALUE"""),120.0)</f>
        <v>120</v>
      </c>
      <c r="G123">
        <f>IFERROR(__xludf.DUMMYFUNCTION("""COMPUTED_VALUE"""),720.0)</f>
        <v>720</v>
      </c>
      <c r="H123" s="2">
        <f>IFERROR(__xludf.DUMMYFUNCTION("""COMPUTED_VALUE"""),11.5)</f>
        <v>11.5</v>
      </c>
      <c r="I123" s="2">
        <f>IFERROR(__xludf.DUMMYFUNCTION("""COMPUTED_VALUE"""),17.21)</f>
        <v>17.21</v>
      </c>
      <c r="J123" s="2">
        <f>IFERROR(__xludf.DUMMYFUNCTION("""COMPUTED_VALUE"""),5.710000000000001)</f>
        <v>5.71</v>
      </c>
      <c r="K123" s="5">
        <f>IFERROR(__xludf.DUMMYFUNCTION("""COMPUTED_VALUE"""),0.49652173913043485)</f>
        <v>0.4965217391</v>
      </c>
      <c r="L123">
        <f>IFERROR(__xludf.DUMMYFUNCTION("""COMPUTED_VALUE"""),41373.0)</f>
        <v>41373</v>
      </c>
      <c r="M123" t="str">
        <f>IFERROR(__xludf.DUMMYFUNCTION("""COMPUTED_VALUE"""),"Video Games")</f>
        <v>Video Games</v>
      </c>
      <c r="O123" t="str">
        <f>IFERROR(__xludf.DUMMYFUNCTION("""COMPUTED_VALUE"""),"N")</f>
        <v>N</v>
      </c>
      <c r="P123" s="1" t="str">
        <f>IFERROR(__xludf.DUMMYFUNCTION("""COMPUTED_VALUE"""),"ID 18111")</f>
        <v>ID 18111</v>
      </c>
      <c r="Q123" s="1" t="str">
        <f>IFERROR(__xludf.DUMMYFUNCTION("""COMPUTED_VALUE"""),"B01I6RD5FA")</f>
        <v>B01I6RD5FA</v>
      </c>
    </row>
    <row r="124">
      <c r="A124" s="6">
        <f>IFERROR(__xludf.DUMMYFUNCTION("""COMPUTED_VALUE"""),45357.0)</f>
        <v>45357</v>
      </c>
      <c r="B124">
        <f>IFERROR(__xludf.DUMMYFUNCTION("""COMPUTED_VALUE"""),22347.0)</f>
        <v>22347</v>
      </c>
      <c r="C124" t="str">
        <f>IFERROR(__xludf.DUMMYFUNCTION("""COMPUTED_VALUE"""),"Pilot Spotliter Fluorescent Highlighters, Chisel Tip, Yellow, Dozen Box (45011)")</f>
        <v>Pilot Spotliter Fluorescent Highlighters, Chisel Tip, Yellow, Dozen Box (45011)</v>
      </c>
      <c r="D124" t="str">
        <f>IFERROR(__xludf.DUMMYFUNCTION("""COMPUTED_VALUE"""),"B003XI2ISI")</f>
        <v>B003XI2ISI</v>
      </c>
      <c r="E124" t="str">
        <f>IFERROR(__xludf.DUMMYFUNCTION("""COMPUTED_VALUE"""),"072838450111")</f>
        <v>072838450111</v>
      </c>
      <c r="F124">
        <f>IFERROR(__xludf.DUMMYFUNCTION("""COMPUTED_VALUE"""),1728.0)</f>
        <v>1728</v>
      </c>
      <c r="G124">
        <f>IFERROR(__xludf.DUMMYFUNCTION("""COMPUTED_VALUE"""),10000.0)</f>
        <v>10000</v>
      </c>
      <c r="H124" s="2">
        <f>IFERROR(__xludf.DUMMYFUNCTION("""COMPUTED_VALUE"""),2.5)</f>
        <v>2.5</v>
      </c>
      <c r="I124" s="2">
        <f>IFERROR(__xludf.DUMMYFUNCTION("""COMPUTED_VALUE"""),8.18)</f>
        <v>8.18</v>
      </c>
      <c r="J124" s="2">
        <f>IFERROR(__xludf.DUMMYFUNCTION("""COMPUTED_VALUE"""),5.68)</f>
        <v>5.68</v>
      </c>
      <c r="K124" s="5">
        <f>IFERROR(__xludf.DUMMYFUNCTION("""COMPUTED_VALUE"""),2.272)</f>
        <v>2.272</v>
      </c>
      <c r="L124">
        <f>IFERROR(__xludf.DUMMYFUNCTION("""COMPUTED_VALUE"""),97137.0)</f>
        <v>97137</v>
      </c>
      <c r="M124" t="str">
        <f>IFERROR(__xludf.DUMMYFUNCTION("""COMPUTED_VALUE"""),"Office Product")</f>
        <v>Office Product</v>
      </c>
      <c r="N124" t="str">
        <f>IFERROR(__xludf.DUMMYFUNCTION("""COMPUTED_VALUE"""),"Styling/Packaging may vary")</f>
        <v>Styling/Packaging may vary</v>
      </c>
      <c r="O124" t="str">
        <f>IFERROR(__xludf.DUMMYFUNCTION("""COMPUTED_VALUE"""),"Y")</f>
        <v>Y</v>
      </c>
      <c r="P124" s="1" t="str">
        <f>IFERROR(__xludf.DUMMYFUNCTION("""COMPUTED_VALUE"""),"ID 22347")</f>
        <v>ID 22347</v>
      </c>
      <c r="Q124" s="1" t="str">
        <f>IFERROR(__xludf.DUMMYFUNCTION("""COMPUTED_VALUE"""),"B003XI2ISI")</f>
        <v>B003XI2ISI</v>
      </c>
    </row>
    <row r="125">
      <c r="A125" s="6">
        <f>IFERROR(__xludf.DUMMYFUNCTION("""COMPUTED_VALUE"""),45429.0)</f>
        <v>45429</v>
      </c>
      <c r="B125">
        <f>IFERROR(__xludf.DUMMYFUNCTION("""COMPUTED_VALUE"""),19428.0)</f>
        <v>19428</v>
      </c>
      <c r="C125" t="str">
        <f>IFERROR(__xludf.DUMMYFUNCTION("""COMPUTED_VALUE"""),"Moschino Pink Fresh Couture for Women 1.7 oz Eau de Toilette Spray")</f>
        <v>Moschino Pink Fresh Couture for Women 1.7 oz Eau de Toilette Spray</v>
      </c>
      <c r="D125" t="str">
        <f>IFERROR(__xludf.DUMMYFUNCTION("""COMPUTED_VALUE"""),"B06WWBMFDP")</f>
        <v>B06WWBMFDP</v>
      </c>
      <c r="E125" t="str">
        <f>IFERROR(__xludf.DUMMYFUNCTION("""COMPUTED_VALUE"""),"8011003838059")</f>
        <v>8011003838059</v>
      </c>
      <c r="F125">
        <f>IFERROR(__xludf.DUMMYFUNCTION("""COMPUTED_VALUE"""),50.0)</f>
        <v>50</v>
      </c>
      <c r="G125">
        <f>IFERROR(__xludf.DUMMYFUNCTION("""COMPUTED_VALUE"""),50.0)</f>
        <v>50</v>
      </c>
      <c r="H125" s="2">
        <f>IFERROR(__xludf.DUMMYFUNCTION("""COMPUTED_VALUE"""),28.25)</f>
        <v>28.25</v>
      </c>
      <c r="I125" s="2">
        <f>IFERROR(__xludf.DUMMYFUNCTION("""COMPUTED_VALUE"""),33.92)</f>
        <v>33.92</v>
      </c>
      <c r="J125" s="2">
        <f>IFERROR(__xludf.DUMMYFUNCTION("""COMPUTED_VALUE"""),5.670000000000002)</f>
        <v>5.67</v>
      </c>
      <c r="K125" s="5">
        <f>IFERROR(__xludf.DUMMYFUNCTION("""COMPUTED_VALUE"""),0.20070796460176998)</f>
        <v>0.2007079646</v>
      </c>
      <c r="L125">
        <f>IFERROR(__xludf.DUMMYFUNCTION("""COMPUTED_VALUE"""),46120.0)</f>
        <v>46120</v>
      </c>
      <c r="M125" t="str">
        <f>IFERROR(__xludf.DUMMYFUNCTION("""COMPUTED_VALUE"""),"Beauty")</f>
        <v>Beauty</v>
      </c>
      <c r="O125" t="str">
        <f>IFERROR(__xludf.DUMMYFUNCTION("""COMPUTED_VALUE"""),"N")</f>
        <v>N</v>
      </c>
      <c r="P125" s="1" t="str">
        <f>IFERROR(__xludf.DUMMYFUNCTION("""COMPUTED_VALUE"""),"ID 19428")</f>
        <v>ID 19428</v>
      </c>
      <c r="Q125" s="1" t="str">
        <f>IFERROR(__xludf.DUMMYFUNCTION("""COMPUTED_VALUE"""),"B06WWBMFDP")</f>
        <v>B06WWBMFDP</v>
      </c>
    </row>
    <row r="126">
      <c r="A126" s="6">
        <f>IFERROR(__xludf.DUMMYFUNCTION("""COMPUTED_VALUE"""),45376.0)</f>
        <v>45376</v>
      </c>
      <c r="B126">
        <f>IFERROR(__xludf.DUMMYFUNCTION("""COMPUTED_VALUE"""),24135.0)</f>
        <v>24135</v>
      </c>
      <c r="C126" t="str">
        <f>IFERROR(__xludf.DUMMYFUNCTION("""COMPUTED_VALUE"""),"Fadeless (PAC0057338) Bulletin Board Art Paper, 48"" x 12', Violet")</f>
        <v>Fadeless (PAC0057338) Bulletin Board Art Paper, 48" x 12', Violet</v>
      </c>
      <c r="D126" t="str">
        <f>IFERROR(__xludf.DUMMYFUNCTION("""COMPUTED_VALUE"""),"B0008GM87O")</f>
        <v>B0008GM87O</v>
      </c>
      <c r="E126" t="str">
        <f>IFERROR(__xludf.DUMMYFUNCTION("""COMPUTED_VALUE"""),"029444573383")</f>
        <v>029444573383</v>
      </c>
      <c r="F126">
        <f>IFERROR(__xludf.DUMMYFUNCTION("""COMPUTED_VALUE"""),596.0)</f>
        <v>596</v>
      </c>
      <c r="G126">
        <f>IFERROR(__xludf.DUMMYFUNCTION("""COMPUTED_VALUE"""),10000.0)</f>
        <v>10000</v>
      </c>
      <c r="H126" s="2">
        <f>IFERROR(__xludf.DUMMYFUNCTION("""COMPUTED_VALUE"""),6.0)</f>
        <v>6</v>
      </c>
      <c r="I126" s="2">
        <f>IFERROR(__xludf.DUMMYFUNCTION("""COMPUTED_VALUE"""),11.6)</f>
        <v>11.6</v>
      </c>
      <c r="J126" s="2">
        <f>IFERROR(__xludf.DUMMYFUNCTION("""COMPUTED_VALUE"""),5.6)</f>
        <v>5.6</v>
      </c>
      <c r="K126" s="5">
        <f>IFERROR(__xludf.DUMMYFUNCTION("""COMPUTED_VALUE"""),0.9333333333333332)</f>
        <v>0.9333333333</v>
      </c>
      <c r="L126">
        <f>IFERROR(__xludf.DUMMYFUNCTION("""COMPUTED_VALUE"""),3001.0)</f>
        <v>3001</v>
      </c>
      <c r="M126" t="str">
        <f>IFERROR(__xludf.DUMMYFUNCTION("""COMPUTED_VALUE"""),"Art and Craft Supply")</f>
        <v>Art and Craft Supply</v>
      </c>
      <c r="O126" t="str">
        <f>IFERROR(__xludf.DUMMYFUNCTION("""COMPUTED_VALUE"""),"N")</f>
        <v>N</v>
      </c>
      <c r="P126" s="1" t="str">
        <f>IFERROR(__xludf.DUMMYFUNCTION("""COMPUTED_VALUE"""),"ID 24135")</f>
        <v>ID 24135</v>
      </c>
      <c r="Q126" s="1" t="str">
        <f>IFERROR(__xludf.DUMMYFUNCTION("""COMPUTED_VALUE"""),"B0008GM87O")</f>
        <v>B0008GM87O</v>
      </c>
    </row>
    <row r="127">
      <c r="A127" s="6">
        <f>IFERROR(__xludf.DUMMYFUNCTION("""COMPUTED_VALUE"""),45429.0)</f>
        <v>45429</v>
      </c>
      <c r="B127">
        <f>IFERROR(__xludf.DUMMYFUNCTION("""COMPUTED_VALUE"""),25165.0)</f>
        <v>25165</v>
      </c>
      <c r="C127" t="str">
        <f>IFERROR(__xludf.DUMMYFUNCTION("""COMPUTED_VALUE"""),"Etna Folding Pet Cot Chair - Portable Round Fold Out Elevated Cat Bed - Brown Fleece Top Cushion - Papasan Chair for Small Dogs")</f>
        <v>Etna Folding Pet Cot Chair - Portable Round Fold Out Elevated Cat Bed - Brown Fleece Top Cushion - Papasan Chair for Small Dogs</v>
      </c>
      <c r="D127" t="str">
        <f>IFERROR(__xludf.DUMMYFUNCTION("""COMPUTED_VALUE"""),"B09FH9LJDG")</f>
        <v>B09FH9LJDG</v>
      </c>
      <c r="E127" t="str">
        <f>IFERROR(__xludf.DUMMYFUNCTION("""COMPUTED_VALUE"""),"084358053321")</f>
        <v>084358053321</v>
      </c>
      <c r="F127">
        <f>IFERROR(__xludf.DUMMYFUNCTION("""COMPUTED_VALUE"""),78.0)</f>
        <v>78</v>
      </c>
      <c r="G127">
        <f>IFERROR(__xludf.DUMMYFUNCTION("""COMPUTED_VALUE"""),492.0)</f>
        <v>492</v>
      </c>
      <c r="H127" s="2">
        <f>IFERROR(__xludf.DUMMYFUNCTION("""COMPUTED_VALUE"""),17.75)</f>
        <v>17.75</v>
      </c>
      <c r="I127" s="2">
        <f>IFERROR(__xludf.DUMMYFUNCTION("""COMPUTED_VALUE"""),23.34)</f>
        <v>23.34</v>
      </c>
      <c r="J127" s="2">
        <f>IFERROR(__xludf.DUMMYFUNCTION("""COMPUTED_VALUE"""),5.59)</f>
        <v>5.59</v>
      </c>
      <c r="K127" s="5">
        <f>IFERROR(__xludf.DUMMYFUNCTION("""COMPUTED_VALUE"""),0.3149295774647887)</f>
        <v>0.3149295775</v>
      </c>
      <c r="L127">
        <f>IFERROR(__xludf.DUMMYFUNCTION("""COMPUTED_VALUE"""),64034.0)</f>
        <v>64034</v>
      </c>
      <c r="M127" t="str">
        <f>IFERROR(__xludf.DUMMYFUNCTION("""COMPUTED_VALUE"""),"Pet Products")</f>
        <v>Pet Products</v>
      </c>
      <c r="N127" t="str">
        <f>IFERROR(__xludf.DUMMYFUNCTION("""COMPUTED_VALUE"""),"MAP $42.99. If you violate the MAP pricing the brand may choose to remove you from the listing. ETA 2/15")</f>
        <v>MAP $42.99. If you violate the MAP pricing the brand may choose to remove you from the listing. ETA 2/15</v>
      </c>
      <c r="O127" t="str">
        <f>IFERROR(__xludf.DUMMYFUNCTION("""COMPUTED_VALUE"""),"N")</f>
        <v>N</v>
      </c>
      <c r="P127" s="1" t="str">
        <f>IFERROR(__xludf.DUMMYFUNCTION("""COMPUTED_VALUE"""),"ID 25165")</f>
        <v>ID 25165</v>
      </c>
      <c r="Q127" s="1" t="str">
        <f>IFERROR(__xludf.DUMMYFUNCTION("""COMPUTED_VALUE"""),"B09FH9LJDG")</f>
        <v>B09FH9LJDG</v>
      </c>
    </row>
    <row r="128">
      <c r="A128" s="6">
        <f>IFERROR(__xludf.DUMMYFUNCTION("""COMPUTED_VALUE"""),44970.0)</f>
        <v>44970</v>
      </c>
      <c r="B128">
        <f>IFERROR(__xludf.DUMMYFUNCTION("""COMPUTED_VALUE"""),12702.0)</f>
        <v>12702</v>
      </c>
      <c r="C128" t="str">
        <f>IFERROR(__xludf.DUMMYFUNCTION("""COMPUTED_VALUE"""),"Zippo Mercury Glass Matte Pocket Lighter")</f>
        <v>Zippo Mercury Glass Matte Pocket Lighter</v>
      </c>
      <c r="D128" t="str">
        <f>IFERROR(__xludf.DUMMYFUNCTION("""COMPUTED_VALUE"""),"B084PRW6WH")</f>
        <v>B084PRW6WH</v>
      </c>
      <c r="E128" t="str">
        <f>IFERROR(__xludf.DUMMYFUNCTION("""COMPUTED_VALUE"""),"191693145557")</f>
        <v>191693145557</v>
      </c>
      <c r="F128">
        <f>IFERROR(__xludf.DUMMYFUNCTION("""COMPUTED_VALUE"""),300.0)</f>
        <v>300</v>
      </c>
      <c r="G128">
        <f>IFERROR(__xludf.DUMMYFUNCTION("""COMPUTED_VALUE"""),450.0)</f>
        <v>450</v>
      </c>
      <c r="H128" s="2">
        <f>IFERROR(__xludf.DUMMYFUNCTION("""COMPUTED_VALUE"""),10.25)</f>
        <v>10.25</v>
      </c>
      <c r="I128" s="2">
        <f>IFERROR(__xludf.DUMMYFUNCTION("""COMPUTED_VALUE"""),15.83)</f>
        <v>15.83</v>
      </c>
      <c r="J128" s="2">
        <f>IFERROR(__xludf.DUMMYFUNCTION("""COMPUTED_VALUE"""),5.58)</f>
        <v>5.58</v>
      </c>
      <c r="K128" s="5">
        <f>IFERROR(__xludf.DUMMYFUNCTION("""COMPUTED_VALUE"""),0.5443902439024391)</f>
        <v>0.5443902439</v>
      </c>
      <c r="L128">
        <f>IFERROR(__xludf.DUMMYFUNCTION("""COMPUTED_VALUE"""),11696.0)</f>
        <v>11696</v>
      </c>
      <c r="M128" t="str">
        <f>IFERROR(__xludf.DUMMYFUNCTION("""COMPUTED_VALUE"""),"Sports")</f>
        <v>Sports</v>
      </c>
      <c r="N128" t="str">
        <f>IFERROR(__xludf.DUMMYFUNCTION("""COMPUTED_VALUE"""),"Cannot be sold on 3rd party sites")</f>
        <v>Cannot be sold on 3rd party sites</v>
      </c>
      <c r="O128" t="str">
        <f>IFERROR(__xludf.DUMMYFUNCTION("""COMPUTED_VALUE"""),"Y")</f>
        <v>Y</v>
      </c>
      <c r="P128" s="1" t="str">
        <f>IFERROR(__xludf.DUMMYFUNCTION("""COMPUTED_VALUE"""),"ID 12702")</f>
        <v>ID 12702</v>
      </c>
      <c r="Q128" s="1" t="str">
        <f>IFERROR(__xludf.DUMMYFUNCTION("""COMPUTED_VALUE"""),"B084PRW6WH")</f>
        <v>B084PRW6WH</v>
      </c>
    </row>
    <row r="129">
      <c r="A129" s="6">
        <f>IFERROR(__xludf.DUMMYFUNCTION("""COMPUTED_VALUE"""),44411.0)</f>
        <v>44411</v>
      </c>
      <c r="B129">
        <f>IFERROR(__xludf.DUMMYFUNCTION("""COMPUTED_VALUE"""),20592.0)</f>
        <v>20592</v>
      </c>
      <c r="C129" t="str">
        <f>IFERROR(__xludf.DUMMYFUNCTION("""COMPUTED_VALUE"""),"Cordless Screwdriver, VIGRUE Electric Screwdriver, Rechargeable 4V MAX 2000mAh Li-ion, with 45 Free Accessories, Battery Indicator, 7 Torque Setting, 2 Position Handle with LED Light, Flexible Shaft (Yellow)")</f>
        <v>Cordless Screwdriver, VIGRUE Electric Screwdriver, Rechargeable 4V MAX 2000mAh Li-ion, with 45 Free Accessories, Battery Indicator, 7 Torque Setting, 2 Position Handle with LED Light, Flexible Shaft (Yellow)</v>
      </c>
      <c r="D129" t="str">
        <f>IFERROR(__xludf.DUMMYFUNCTION("""COMPUTED_VALUE"""),"B08314KJSS")</f>
        <v>B08314KJSS</v>
      </c>
      <c r="F129">
        <f>IFERROR(__xludf.DUMMYFUNCTION("""COMPUTED_VALUE"""),1400.0)</f>
        <v>1400</v>
      </c>
      <c r="G129">
        <f>IFERROR(__xludf.DUMMYFUNCTION("""COMPUTED_VALUE"""),1400.0)</f>
        <v>1400</v>
      </c>
      <c r="H129" s="2">
        <f>IFERROR(__xludf.DUMMYFUNCTION("""COMPUTED_VALUE"""),23.25)</f>
        <v>23.25</v>
      </c>
      <c r="I129" s="2">
        <f>IFERROR(__xludf.DUMMYFUNCTION("""COMPUTED_VALUE"""),28.82)</f>
        <v>28.82</v>
      </c>
      <c r="J129" s="2">
        <f>IFERROR(__xludf.DUMMYFUNCTION("""COMPUTED_VALUE"""),5.57)</f>
        <v>5.57</v>
      </c>
      <c r="K129" s="5">
        <f>IFERROR(__xludf.DUMMYFUNCTION("""COMPUTED_VALUE"""),0.2395698924731183)</f>
        <v>0.2395698925</v>
      </c>
      <c r="L129">
        <f>IFERROR(__xludf.DUMMYFUNCTION("""COMPUTED_VALUE"""),17655.0)</f>
        <v>17655</v>
      </c>
      <c r="M129" t="str">
        <f>IFERROR(__xludf.DUMMYFUNCTION("""COMPUTED_VALUE"""),"Home Improvement")</f>
        <v>Home Improvement</v>
      </c>
      <c r="N129" t="str">
        <f>IFERROR(__xludf.DUMMYFUNCTION("""COMPUTED_VALUE"""),"BUNDLE DEAL - MUST BE BOUGHT TOGETHER approx 70% yellow 30% pink, final count will be made once invoiced &amp; paid B08314KJSS B08BLGYGMJ. Brand permission to resell on amazon unknown")</f>
        <v>BUNDLE DEAL - MUST BE BOUGHT TOGETHER approx 70% yellow 30% pink, final count will be made once invoiced &amp; paid B08314KJSS B08BLGYGMJ. Brand permission to resell on amazon unknown</v>
      </c>
      <c r="O129" t="str">
        <f>IFERROR(__xludf.DUMMYFUNCTION("""COMPUTED_VALUE"""),"N")</f>
        <v>N</v>
      </c>
      <c r="P129" s="1" t="str">
        <f>IFERROR(__xludf.DUMMYFUNCTION("""COMPUTED_VALUE"""),"ID 20592")</f>
        <v>ID 20592</v>
      </c>
      <c r="Q129" s="1" t="str">
        <f>IFERROR(__xludf.DUMMYFUNCTION("""COMPUTED_VALUE"""),"B08314KJSS")</f>
        <v>B08314KJSS</v>
      </c>
    </row>
    <row r="130">
      <c r="A130" s="6">
        <f>IFERROR(__xludf.DUMMYFUNCTION("""COMPUTED_VALUE"""),45357.0)</f>
        <v>45357</v>
      </c>
      <c r="B130">
        <f>IFERROR(__xludf.DUMMYFUNCTION("""COMPUTED_VALUE"""),22336.0)</f>
        <v>22336</v>
      </c>
      <c r="C130" t="str">
        <f>IFERROR(__xludf.DUMMYFUNCTION("""COMPUTED_VALUE"""),"PILOT G2 Limited Refillable &amp; Retractable Rolling Ball Gel Pen, Fine Point, Barrel Colors Vary, Black Ink, Single Pen (31541)")</f>
        <v>PILOT G2 Limited Refillable &amp; Retractable Rolling Ball Gel Pen, Fine Point, Barrel Colors Vary, Black Ink, Single Pen (31541)</v>
      </c>
      <c r="D130" t="str">
        <f>IFERROR(__xludf.DUMMYFUNCTION("""COMPUTED_VALUE"""),"B00FACLIOA")</f>
        <v>B00FACLIOA</v>
      </c>
      <c r="E130" t="str">
        <f>IFERROR(__xludf.DUMMYFUNCTION("""COMPUTED_VALUE"""),"072838315410")</f>
        <v>072838315410</v>
      </c>
      <c r="F130">
        <f>IFERROR(__xludf.DUMMYFUNCTION("""COMPUTED_VALUE"""),180.0)</f>
        <v>180</v>
      </c>
      <c r="G130">
        <f>IFERROR(__xludf.DUMMYFUNCTION("""COMPUTED_VALUE"""),10000.0)</f>
        <v>10000</v>
      </c>
      <c r="H130" s="2">
        <f>IFERROR(__xludf.DUMMYFUNCTION("""COMPUTED_VALUE"""),7.75)</f>
        <v>7.75</v>
      </c>
      <c r="I130" s="2">
        <f>IFERROR(__xludf.DUMMYFUNCTION("""COMPUTED_VALUE"""),13.31)</f>
        <v>13.31</v>
      </c>
      <c r="J130" s="2">
        <f>IFERROR(__xludf.DUMMYFUNCTION("""COMPUTED_VALUE"""),5.5600000000000005)</f>
        <v>5.56</v>
      </c>
      <c r="K130" s="5">
        <f>IFERROR(__xludf.DUMMYFUNCTION("""COMPUTED_VALUE"""),0.7174193548387098)</f>
        <v>0.7174193548</v>
      </c>
      <c r="L130">
        <f>IFERROR(__xludf.DUMMYFUNCTION("""COMPUTED_VALUE"""),80606.0)</f>
        <v>80606</v>
      </c>
      <c r="M130" t="str">
        <f>IFERROR(__xludf.DUMMYFUNCTION("""COMPUTED_VALUE"""),"Office Product")</f>
        <v>Office Product</v>
      </c>
      <c r="O130" t="str">
        <f>IFERROR(__xludf.DUMMYFUNCTION("""COMPUTED_VALUE"""),"N")</f>
        <v>N</v>
      </c>
      <c r="P130" s="1" t="str">
        <f>IFERROR(__xludf.DUMMYFUNCTION("""COMPUTED_VALUE"""),"ID 22336")</f>
        <v>ID 22336</v>
      </c>
      <c r="Q130" s="1" t="str">
        <f>IFERROR(__xludf.DUMMYFUNCTION("""COMPUTED_VALUE"""),"B00FACLIOA")</f>
        <v>B00FACLIOA</v>
      </c>
    </row>
    <row r="131">
      <c r="A131" s="6">
        <f>IFERROR(__xludf.DUMMYFUNCTION("""COMPUTED_VALUE"""),45349.0)</f>
        <v>45349</v>
      </c>
      <c r="B131">
        <f>IFERROR(__xludf.DUMMYFUNCTION("""COMPUTED_VALUE"""),18247.0)</f>
        <v>18247</v>
      </c>
      <c r="C131" t="str">
        <f>IFERROR(__xludf.DUMMYFUNCTION("""COMPUTED_VALUE"""),"CF13DS 13W LAMP COOL WHITE")</f>
        <v>CF13DS 13W LAMP COOL WHITE</v>
      </c>
      <c r="D131" t="str">
        <f>IFERROR(__xludf.DUMMYFUNCTION("""COMPUTED_VALUE"""),"B00PG09LGI")</f>
        <v>B00PG09LGI</v>
      </c>
      <c r="E131" t="str">
        <f>IFERROR(__xludf.DUMMYFUNCTION("""COMPUTED_VALUE"""),"046135211348")</f>
        <v>046135211348</v>
      </c>
      <c r="F131">
        <f>IFERROR(__xludf.DUMMYFUNCTION("""COMPUTED_VALUE"""),250.0)</f>
        <v>250</v>
      </c>
      <c r="G131">
        <f>IFERROR(__xludf.DUMMYFUNCTION("""COMPUTED_VALUE"""),10000.0)</f>
        <v>10000</v>
      </c>
      <c r="H131" s="2">
        <f>IFERROR(__xludf.DUMMYFUNCTION("""COMPUTED_VALUE"""),6.0)</f>
        <v>6</v>
      </c>
      <c r="I131" s="2">
        <f>IFERROR(__xludf.DUMMYFUNCTION("""COMPUTED_VALUE"""),11.54)</f>
        <v>11.54</v>
      </c>
      <c r="J131" s="2">
        <f>IFERROR(__xludf.DUMMYFUNCTION("""COMPUTED_VALUE"""),5.539999999999999)</f>
        <v>5.54</v>
      </c>
      <c r="K131" s="5">
        <f>IFERROR(__xludf.DUMMYFUNCTION("""COMPUTED_VALUE"""),0.9233333333333332)</f>
        <v>0.9233333333</v>
      </c>
      <c r="L131">
        <f>IFERROR(__xludf.DUMMYFUNCTION("""COMPUTED_VALUE"""),19371.0)</f>
        <v>19371</v>
      </c>
      <c r="M131" t="str">
        <f>IFERROR(__xludf.DUMMYFUNCTION("""COMPUTED_VALUE"""),"Home Improvement")</f>
        <v>Home Improvement</v>
      </c>
      <c r="N131" t="str">
        <f>IFERROR(__xludf.DUMMYFUNCTION("""COMPUTED_VALUE"""),"Priced per unit. Someone changed the title on amazon to pack of 10. We only provide 1 for this price")</f>
        <v>Priced per unit. Someone changed the title on amazon to pack of 10. We only provide 1 for this price</v>
      </c>
      <c r="O131" t="str">
        <f>IFERROR(__xludf.DUMMYFUNCTION("""COMPUTED_VALUE"""),"N")</f>
        <v>N</v>
      </c>
      <c r="P131" s="1" t="str">
        <f>IFERROR(__xludf.DUMMYFUNCTION("""COMPUTED_VALUE"""),"ID 18247")</f>
        <v>ID 18247</v>
      </c>
      <c r="Q131" s="1" t="str">
        <f>IFERROR(__xludf.DUMMYFUNCTION("""COMPUTED_VALUE"""),"B00PG09LGI")</f>
        <v>B00PG09LGI</v>
      </c>
    </row>
    <row r="132">
      <c r="A132" s="6">
        <f>IFERROR(__xludf.DUMMYFUNCTION("""COMPUTED_VALUE"""),45232.0)</f>
        <v>45232</v>
      </c>
      <c r="B132">
        <f>IFERROR(__xludf.DUMMYFUNCTION("""COMPUTED_VALUE"""),22767.0)</f>
        <v>22767</v>
      </c>
      <c r="C132" t="str">
        <f>IFERROR(__xludf.DUMMYFUNCTION("""COMPUTED_VALUE"""),"BIC Ecolutions Round Stic Ballpoint Pen, Medium Point (1.0mm), Red, 50-Count, For a Smooth Writing Experience")</f>
        <v>BIC Ecolutions Round Stic Ballpoint Pen, Medium Point (1.0mm), Red, 50-Count, For a Smooth Writing Experience</v>
      </c>
      <c r="D132" t="str">
        <f>IFERROR(__xludf.DUMMYFUNCTION("""COMPUTED_VALUE"""),"B00X69QGXM")</f>
        <v>B00X69QGXM</v>
      </c>
      <c r="E132" t="str">
        <f>IFERROR(__xludf.DUMMYFUNCTION("""COMPUTED_VALUE"""),"070330195141")</f>
        <v>070330195141</v>
      </c>
      <c r="F132">
        <f>IFERROR(__xludf.DUMMYFUNCTION("""COMPUTED_VALUE"""),225.0)</f>
        <v>225</v>
      </c>
      <c r="G132">
        <f>IFERROR(__xludf.DUMMYFUNCTION("""COMPUTED_VALUE"""),10000.0)</f>
        <v>10000</v>
      </c>
      <c r="H132" s="2">
        <f>IFERROR(__xludf.DUMMYFUNCTION("""COMPUTED_VALUE"""),5.5)</f>
        <v>5.5</v>
      </c>
      <c r="I132" s="2">
        <f>IFERROR(__xludf.DUMMYFUNCTION("""COMPUTED_VALUE"""),11.02)</f>
        <v>11.02</v>
      </c>
      <c r="J132" s="2">
        <f>IFERROR(__xludf.DUMMYFUNCTION("""COMPUTED_VALUE"""),5.52)</f>
        <v>5.52</v>
      </c>
      <c r="K132" s="5">
        <f>IFERROR(__xludf.DUMMYFUNCTION("""COMPUTED_VALUE"""),1.0036363636363637)</f>
        <v>1.003636364</v>
      </c>
      <c r="L132">
        <f>IFERROR(__xludf.DUMMYFUNCTION("""COMPUTED_VALUE"""),1797.0)</f>
        <v>1797</v>
      </c>
      <c r="M132" t="str">
        <f>IFERROR(__xludf.DUMMYFUNCTION("""COMPUTED_VALUE"""),"Office Product")</f>
        <v>Office Product</v>
      </c>
      <c r="N132" t="str">
        <f>IFERROR(__xludf.DUMMYFUNCTION("""COMPUTED_VALUE"""),"Styling/Packaging may vary")</f>
        <v>Styling/Packaging may vary</v>
      </c>
      <c r="O132" t="str">
        <f>IFERROR(__xludf.DUMMYFUNCTION("""COMPUTED_VALUE"""),"N")</f>
        <v>N</v>
      </c>
      <c r="P132" s="1" t="str">
        <f>IFERROR(__xludf.DUMMYFUNCTION("""COMPUTED_VALUE"""),"ID 22767")</f>
        <v>ID 22767</v>
      </c>
      <c r="Q132" s="1" t="str">
        <f>IFERROR(__xludf.DUMMYFUNCTION("""COMPUTED_VALUE"""),"B00X69QGXM")</f>
        <v>B00X69QGXM</v>
      </c>
    </row>
    <row r="133">
      <c r="A133" s="6">
        <f>IFERROR(__xludf.DUMMYFUNCTION("""COMPUTED_VALUE"""),45140.0)</f>
        <v>45140</v>
      </c>
      <c r="B133">
        <f>IFERROR(__xludf.DUMMYFUNCTION("""COMPUTED_VALUE"""),12793.0)</f>
        <v>12793</v>
      </c>
      <c r="C133" t="str">
        <f>IFERROR(__xludf.DUMMYFUNCTION("""COMPUTED_VALUE"""),"Borden &amp; Riley #116 Artist Drawing/Sketch Vellum, 90 lb, 48 Inches x 10 Yards Per Roll, 1 Roll Each (116R481000)")</f>
        <v>Borden &amp; Riley #116 Artist Drawing/Sketch Vellum, 90 lb, 48 Inches x 10 Yards Per Roll, 1 Roll Each (116R481000)</v>
      </c>
      <c r="D133" t="str">
        <f>IFERROR(__xludf.DUMMYFUNCTION("""COMPUTED_VALUE"""),"B000OR1ZY4")</f>
        <v>B000OR1ZY4</v>
      </c>
      <c r="E133" t="str">
        <f>IFERROR(__xludf.DUMMYFUNCTION("""COMPUTED_VALUE"""),"736282164818")</f>
        <v>736282164818</v>
      </c>
      <c r="F133">
        <f>IFERROR(__xludf.DUMMYFUNCTION("""COMPUTED_VALUE"""),132.0)</f>
        <v>132</v>
      </c>
      <c r="G133">
        <f>IFERROR(__xludf.DUMMYFUNCTION("""COMPUTED_VALUE"""),10000.0)</f>
        <v>10000</v>
      </c>
      <c r="H133" s="2">
        <f>IFERROR(__xludf.DUMMYFUNCTION("""COMPUTED_VALUE"""),17.25)</f>
        <v>17.25</v>
      </c>
      <c r="I133" s="2">
        <f>IFERROR(__xludf.DUMMYFUNCTION("""COMPUTED_VALUE"""),22.69)</f>
        <v>22.69</v>
      </c>
      <c r="J133" s="2">
        <f>IFERROR(__xludf.DUMMYFUNCTION("""COMPUTED_VALUE"""),5.440000000000001)</f>
        <v>5.44</v>
      </c>
      <c r="K133" s="5">
        <f>IFERROR(__xludf.DUMMYFUNCTION("""COMPUTED_VALUE"""),0.3153623188405798)</f>
        <v>0.3153623188</v>
      </c>
      <c r="L133">
        <f>IFERROR(__xludf.DUMMYFUNCTION("""COMPUTED_VALUE"""),41329.0)</f>
        <v>41329</v>
      </c>
      <c r="M133" t="str">
        <f>IFERROR(__xludf.DUMMYFUNCTION("""COMPUTED_VALUE"""),"Office Product")</f>
        <v>Office Product</v>
      </c>
      <c r="O133" t="str">
        <f>IFERROR(__xludf.DUMMYFUNCTION("""COMPUTED_VALUE"""),"N")</f>
        <v>N</v>
      </c>
      <c r="P133" s="1" t="str">
        <f>IFERROR(__xludf.DUMMYFUNCTION("""COMPUTED_VALUE"""),"ID 12793")</f>
        <v>ID 12793</v>
      </c>
      <c r="Q133" s="1" t="str">
        <f>IFERROR(__xludf.DUMMYFUNCTION("""COMPUTED_VALUE"""),"B000OR1ZY4")</f>
        <v>B000OR1ZY4</v>
      </c>
    </row>
    <row r="134">
      <c r="A134" s="6">
        <f>IFERROR(__xludf.DUMMYFUNCTION("""COMPUTED_VALUE"""),44762.0)</f>
        <v>44762</v>
      </c>
      <c r="B134">
        <f>IFERROR(__xludf.DUMMYFUNCTION("""COMPUTED_VALUE"""),21065.0)</f>
        <v>21065</v>
      </c>
      <c r="C134" t="str">
        <f>IFERROR(__xludf.DUMMYFUNCTION("""COMPUTED_VALUE"""),"Saunders 21526 Recycled Aluminum Clipboard - White, Letter Size, 8.5 in. x 12 in. Document Holder with Low Profile Clip")</f>
        <v>Saunders 21526 Recycled Aluminum Clipboard - White, Letter Size, 8.5 in. x 12 in. Document Holder with Low Profile Clip</v>
      </c>
      <c r="D134" t="str">
        <f>IFERROR(__xludf.DUMMYFUNCTION("""COMPUTED_VALUE"""),"B07F2S3S7R")</f>
        <v>B07F2S3S7R</v>
      </c>
      <c r="E134" t="str">
        <f>IFERROR(__xludf.DUMMYFUNCTION("""COMPUTED_VALUE"""),"44357215267")</f>
        <v>44357215267</v>
      </c>
      <c r="F134">
        <f>IFERROR(__xludf.DUMMYFUNCTION("""COMPUTED_VALUE"""),210.0)</f>
        <v>210</v>
      </c>
      <c r="G134">
        <f>IFERROR(__xludf.DUMMYFUNCTION("""COMPUTED_VALUE"""),1000.0)</f>
        <v>1000</v>
      </c>
      <c r="H134" s="2">
        <f>IFERROR(__xludf.DUMMYFUNCTION("""COMPUTED_VALUE"""),7.25)</f>
        <v>7.25</v>
      </c>
      <c r="I134" s="2">
        <f>IFERROR(__xludf.DUMMYFUNCTION("""COMPUTED_VALUE"""),12.68)</f>
        <v>12.68</v>
      </c>
      <c r="J134" s="2">
        <f>IFERROR(__xludf.DUMMYFUNCTION("""COMPUTED_VALUE"""),5.43)</f>
        <v>5.43</v>
      </c>
      <c r="K134" s="5">
        <f>IFERROR(__xludf.DUMMYFUNCTION("""COMPUTED_VALUE"""),0.7489655172413793)</f>
        <v>0.7489655172</v>
      </c>
      <c r="L134">
        <f>IFERROR(__xludf.DUMMYFUNCTION("""COMPUTED_VALUE"""),96180.0)</f>
        <v>96180</v>
      </c>
      <c r="M134" t="str">
        <f>IFERROR(__xludf.DUMMYFUNCTION("""COMPUTED_VALUE"""),"Office Product")</f>
        <v>Office Product</v>
      </c>
      <c r="O134" t="str">
        <f>IFERROR(__xludf.DUMMYFUNCTION("""COMPUTED_VALUE"""),"N")</f>
        <v>N</v>
      </c>
      <c r="P134" s="1" t="str">
        <f>IFERROR(__xludf.DUMMYFUNCTION("""COMPUTED_VALUE"""),"ID 21065")</f>
        <v>ID 21065</v>
      </c>
      <c r="Q134" s="1" t="str">
        <f>IFERROR(__xludf.DUMMYFUNCTION("""COMPUTED_VALUE"""),"B07F2S3S7R")</f>
        <v>B07F2S3S7R</v>
      </c>
    </row>
    <row r="135">
      <c r="A135" s="6">
        <f>IFERROR(__xludf.DUMMYFUNCTION("""COMPUTED_VALUE"""),45383.0)</f>
        <v>45383</v>
      </c>
      <c r="B135">
        <f>IFERROR(__xludf.DUMMYFUNCTION("""COMPUTED_VALUE"""),20171.0)</f>
        <v>20171</v>
      </c>
      <c r="C135" t="str">
        <f>IFERROR(__xludf.DUMMYFUNCTION("""COMPUTED_VALUE"""),"uni-ball Vision Elite BLX Infusion Rollerball Pens, Bold Point (0.8mm), Blue/Black, 5 Count")</f>
        <v>uni-ball Vision Elite BLX Infusion Rollerball Pens, Bold Point (0.8mm), Blue/Black, 5 Count</v>
      </c>
      <c r="D135" t="str">
        <f>IFERROR(__xludf.DUMMYFUNCTION("""COMPUTED_VALUE"""),"B089QTHF38")</f>
        <v>B089QTHF38</v>
      </c>
      <c r="E135" t="str">
        <f>IFERROR(__xludf.DUMMYFUNCTION("""COMPUTED_VALUE"""),"030246701454")</f>
        <v>030246701454</v>
      </c>
      <c r="F135">
        <f>IFERROR(__xludf.DUMMYFUNCTION("""COMPUTED_VALUE"""),192.0)</f>
        <v>192</v>
      </c>
      <c r="G135">
        <f>IFERROR(__xludf.DUMMYFUNCTION("""COMPUTED_VALUE"""),10000.0)</f>
        <v>10000</v>
      </c>
      <c r="H135" s="2">
        <f>IFERROR(__xludf.DUMMYFUNCTION("""COMPUTED_VALUE"""),8.5)</f>
        <v>8.5</v>
      </c>
      <c r="I135" s="2">
        <f>IFERROR(__xludf.DUMMYFUNCTION("""COMPUTED_VALUE"""),13.91)</f>
        <v>13.91</v>
      </c>
      <c r="J135" s="2">
        <f>IFERROR(__xludf.DUMMYFUNCTION("""COMPUTED_VALUE"""),5.41)</f>
        <v>5.41</v>
      </c>
      <c r="K135" s="5">
        <f>IFERROR(__xludf.DUMMYFUNCTION("""COMPUTED_VALUE"""),0.6364705882352941)</f>
        <v>0.6364705882</v>
      </c>
      <c r="L135">
        <f>IFERROR(__xludf.DUMMYFUNCTION("""COMPUTED_VALUE"""),27260.0)</f>
        <v>27260</v>
      </c>
      <c r="M135" t="str">
        <f>IFERROR(__xludf.DUMMYFUNCTION("""COMPUTED_VALUE"""),"Office Product")</f>
        <v>Office Product</v>
      </c>
      <c r="O135" t="str">
        <f>IFERROR(__xludf.DUMMYFUNCTION("""COMPUTED_VALUE"""),"Y")</f>
        <v>Y</v>
      </c>
      <c r="P135" s="1" t="str">
        <f>IFERROR(__xludf.DUMMYFUNCTION("""COMPUTED_VALUE"""),"ID 20171")</f>
        <v>ID 20171</v>
      </c>
      <c r="Q135" s="1" t="str">
        <f>IFERROR(__xludf.DUMMYFUNCTION("""COMPUTED_VALUE"""),"B089QTHF38")</f>
        <v>B089QTHF38</v>
      </c>
    </row>
    <row r="136">
      <c r="A136" s="6">
        <f>IFERROR(__xludf.DUMMYFUNCTION("""COMPUTED_VALUE"""),45421.0)</f>
        <v>45421</v>
      </c>
      <c r="B136">
        <f>IFERROR(__xludf.DUMMYFUNCTION("""COMPUTED_VALUE"""),25619.0)</f>
        <v>25619</v>
      </c>
      <c r="C136" t="str">
        <f>IFERROR(__xludf.DUMMYFUNCTION("""COMPUTED_VALUE"""),"Clearprint Vellum Sheets with Engineer Title Block, 24x36 Inches, 16 lb., 60 GSM, 1000H 100% Cotton, 10 Sheets/Pack, Translucent White (10221228)")</f>
        <v>Clearprint Vellum Sheets with Engineer Title Block, 24x36 Inches, 16 lb., 60 GSM, 1000H 100% Cotton, 10 Sheets/Pack, Translucent White (10221228)</v>
      </c>
      <c r="D136" t="str">
        <f>IFERROR(__xludf.DUMMYFUNCTION("""COMPUTED_VALUE"""),"B001E1V5JY")</f>
        <v>B001E1V5JY</v>
      </c>
      <c r="E136" t="str">
        <f>IFERROR(__xludf.DUMMYFUNCTION("""COMPUTED_VALUE"""),"720362028688")</f>
        <v>720362028688</v>
      </c>
      <c r="F136">
        <f>IFERROR(__xludf.DUMMYFUNCTION("""COMPUTED_VALUE"""),59.0)</f>
        <v>59</v>
      </c>
      <c r="G136">
        <f>IFERROR(__xludf.DUMMYFUNCTION("""COMPUTED_VALUE"""),10000.0)</f>
        <v>10000</v>
      </c>
      <c r="H136" s="2">
        <f>IFERROR(__xludf.DUMMYFUNCTION("""COMPUTED_VALUE"""),35.5)</f>
        <v>35.5</v>
      </c>
      <c r="I136" s="2">
        <f>IFERROR(__xludf.DUMMYFUNCTION("""COMPUTED_VALUE"""),40.9)</f>
        <v>40.9</v>
      </c>
      <c r="J136" s="2">
        <f>IFERROR(__xludf.DUMMYFUNCTION("""COMPUTED_VALUE"""),5.399999999999999)</f>
        <v>5.4</v>
      </c>
      <c r="K136" s="5">
        <f>IFERROR(__xludf.DUMMYFUNCTION("""COMPUTED_VALUE"""),0.152112676056338)</f>
        <v>0.1521126761</v>
      </c>
      <c r="L136">
        <f>IFERROR(__xludf.DUMMYFUNCTION("""COMPUTED_VALUE"""),90944.0)</f>
        <v>90944</v>
      </c>
      <c r="M136" t="str">
        <f>IFERROR(__xludf.DUMMYFUNCTION("""COMPUTED_VALUE"""),"BISS Basic")</f>
        <v>BISS Basic</v>
      </c>
      <c r="O136" t="str">
        <f>IFERROR(__xludf.DUMMYFUNCTION("""COMPUTED_VALUE"""),"N")</f>
        <v>N</v>
      </c>
      <c r="P136" s="1" t="str">
        <f>IFERROR(__xludf.DUMMYFUNCTION("""COMPUTED_VALUE"""),"ID 25619")</f>
        <v>ID 25619</v>
      </c>
      <c r="Q136" s="1" t="str">
        <f>IFERROR(__xludf.DUMMYFUNCTION("""COMPUTED_VALUE"""),"B001E1V5JY")</f>
        <v>B001E1V5JY</v>
      </c>
    </row>
    <row r="137">
      <c r="A137" s="6">
        <f>IFERROR(__xludf.DUMMYFUNCTION("""COMPUTED_VALUE"""),45369.0)</f>
        <v>45369</v>
      </c>
      <c r="B137">
        <f>IFERROR(__xludf.DUMMYFUNCTION("""COMPUTED_VALUE"""),25108.0)</f>
        <v>25108</v>
      </c>
      <c r="C137" t="str">
        <f>IFERROR(__xludf.DUMMYFUNCTION("""COMPUTED_VALUE"""),"Pacon Self-Adhesive Letters, Gold Dazzle, Puffy Font, 4"", 78 Characters")</f>
        <v>Pacon Self-Adhesive Letters, Gold Dazzle, Puffy Font, 4", 78 Characters</v>
      </c>
      <c r="D137" t="str">
        <f>IFERROR(__xludf.DUMMYFUNCTION("""COMPUTED_VALUE"""),"B01BI0DY4O")</f>
        <v>B01BI0DY4O</v>
      </c>
      <c r="E137" t="str">
        <f>IFERROR(__xludf.DUMMYFUNCTION("""COMPUTED_VALUE"""),"045173516897")</f>
        <v>045173516897</v>
      </c>
      <c r="F137">
        <f>IFERROR(__xludf.DUMMYFUNCTION("""COMPUTED_VALUE"""),456.0)</f>
        <v>456</v>
      </c>
      <c r="G137">
        <f>IFERROR(__xludf.DUMMYFUNCTION("""COMPUTED_VALUE"""),10000.0)</f>
        <v>10000</v>
      </c>
      <c r="H137" s="2">
        <f>IFERROR(__xludf.DUMMYFUNCTION("""COMPUTED_VALUE"""),8.75)</f>
        <v>8.75</v>
      </c>
      <c r="I137" s="2">
        <f>IFERROR(__xludf.DUMMYFUNCTION("""COMPUTED_VALUE"""),14.1)</f>
        <v>14.1</v>
      </c>
      <c r="J137" s="2">
        <f>IFERROR(__xludf.DUMMYFUNCTION("""COMPUTED_VALUE"""),5.35)</f>
        <v>5.35</v>
      </c>
      <c r="K137" s="5">
        <f>IFERROR(__xludf.DUMMYFUNCTION("""COMPUTED_VALUE"""),0.6114285714285714)</f>
        <v>0.6114285714</v>
      </c>
      <c r="L137">
        <f>IFERROR(__xludf.DUMMYFUNCTION("""COMPUTED_VALUE"""),87046.0)</f>
        <v>87046</v>
      </c>
      <c r="M137" t="str">
        <f>IFERROR(__xludf.DUMMYFUNCTION("""COMPUTED_VALUE"""),"BISS Basic")</f>
        <v>BISS Basic</v>
      </c>
      <c r="O137" t="str">
        <f>IFERROR(__xludf.DUMMYFUNCTION("""COMPUTED_VALUE"""),"Y")</f>
        <v>Y</v>
      </c>
      <c r="P137" s="1" t="str">
        <f>IFERROR(__xludf.DUMMYFUNCTION("""COMPUTED_VALUE"""),"ID 25108")</f>
        <v>ID 25108</v>
      </c>
      <c r="Q137" s="1" t="str">
        <f>IFERROR(__xludf.DUMMYFUNCTION("""COMPUTED_VALUE"""),"B01BI0DY4O")</f>
        <v>B01BI0DY4O</v>
      </c>
    </row>
    <row r="138">
      <c r="A138" s="6">
        <f>IFERROR(__xludf.DUMMYFUNCTION("""COMPUTED_VALUE"""),45034.0)</f>
        <v>45034</v>
      </c>
      <c r="B138">
        <f>IFERROR(__xludf.DUMMYFUNCTION("""COMPUTED_VALUE"""),12681.0)</f>
        <v>12681</v>
      </c>
      <c r="C138" t="str">
        <f>IFERROR(__xludf.DUMMYFUNCTION("""COMPUTED_VALUE"""),"Rico Industries NFL Die Cut Team Magnet Set Sheet")</f>
        <v>Rico Industries NFL Die Cut Team Magnet Set Sheet</v>
      </c>
      <c r="D138" t="str">
        <f>IFERROR(__xludf.DUMMYFUNCTION("""COMPUTED_VALUE"""),"B00CIX3NBA")</f>
        <v>B00CIX3NBA</v>
      </c>
      <c r="E138" t="str">
        <f>IFERROR(__xludf.DUMMYFUNCTION("""COMPUTED_VALUE"""),"94746750787")</f>
        <v>94746750787</v>
      </c>
      <c r="F138">
        <f>IFERROR(__xludf.DUMMYFUNCTION("""COMPUTED_VALUE"""),90.0)</f>
        <v>90</v>
      </c>
      <c r="G138">
        <f>IFERROR(__xludf.DUMMYFUNCTION("""COMPUTED_VALUE"""),90.0)</f>
        <v>90</v>
      </c>
      <c r="H138" s="2">
        <f>IFERROR(__xludf.DUMMYFUNCTION("""COMPUTED_VALUE"""),4.5)</f>
        <v>4.5</v>
      </c>
      <c r="I138" s="2">
        <f>IFERROR(__xludf.DUMMYFUNCTION("""COMPUTED_VALUE"""),9.84)</f>
        <v>9.84</v>
      </c>
      <c r="J138" s="2">
        <f>IFERROR(__xludf.DUMMYFUNCTION("""COMPUTED_VALUE"""),5.34)</f>
        <v>5.34</v>
      </c>
      <c r="K138" s="5">
        <f>IFERROR(__xludf.DUMMYFUNCTION("""COMPUTED_VALUE"""),1.1866666666666665)</f>
        <v>1.186666667</v>
      </c>
      <c r="L138">
        <f>IFERROR(__xludf.DUMMYFUNCTION("""COMPUTED_VALUE"""),86230.0)</f>
        <v>86230</v>
      </c>
      <c r="M138" t="str">
        <f>IFERROR(__xludf.DUMMYFUNCTION("""COMPUTED_VALUE"""),"Apparel")</f>
        <v>Apparel</v>
      </c>
      <c r="O138" t="str">
        <f>IFERROR(__xludf.DUMMYFUNCTION("""COMPUTED_VALUE"""),"N")</f>
        <v>N</v>
      </c>
      <c r="P138" s="1" t="str">
        <f>IFERROR(__xludf.DUMMYFUNCTION("""COMPUTED_VALUE"""),"ID 12681")</f>
        <v>ID 12681</v>
      </c>
      <c r="Q138" s="1" t="str">
        <f>IFERROR(__xludf.DUMMYFUNCTION("""COMPUTED_VALUE"""),"B00CIX3NBA")</f>
        <v>B00CIX3NBA</v>
      </c>
    </row>
    <row r="139">
      <c r="A139" s="6">
        <f>IFERROR(__xludf.DUMMYFUNCTION("""COMPUTED_VALUE"""),44635.0)</f>
        <v>44635</v>
      </c>
      <c r="B139">
        <f>IFERROR(__xludf.DUMMYFUNCTION("""COMPUTED_VALUE"""),17147.0)</f>
        <v>17147</v>
      </c>
      <c r="C139" t="str">
        <f>IFERROR(__xludf.DUMMYFUNCTION("""COMPUTED_VALUE"""),"Alex Bath USA Map in The Tub Kids Bath Activity")</f>
        <v>Alex Bath USA Map in The Tub Kids Bath Activity</v>
      </c>
      <c r="D139" t="str">
        <f>IFERROR(__xludf.DUMMYFUNCTION("""COMPUTED_VALUE"""),"B00RHGFM1W")</f>
        <v>B00RHGFM1W</v>
      </c>
      <c r="E139" t="str">
        <f>IFERROR(__xludf.DUMMYFUNCTION("""COMPUTED_VALUE"""),"731346089014")</f>
        <v>731346089014</v>
      </c>
      <c r="F139">
        <f>IFERROR(__xludf.DUMMYFUNCTION("""COMPUTED_VALUE"""),747.0)</f>
        <v>747</v>
      </c>
      <c r="G139">
        <f>IFERROR(__xludf.DUMMYFUNCTION("""COMPUTED_VALUE"""),747.0)</f>
        <v>747</v>
      </c>
      <c r="H139" s="2">
        <f>IFERROR(__xludf.DUMMYFUNCTION("""COMPUTED_VALUE"""),9.5)</f>
        <v>9.5</v>
      </c>
      <c r="I139" s="2">
        <f>IFERROR(__xludf.DUMMYFUNCTION("""COMPUTED_VALUE"""),14.84)</f>
        <v>14.84</v>
      </c>
      <c r="J139" s="2">
        <f>IFERROR(__xludf.DUMMYFUNCTION("""COMPUTED_VALUE"""),5.34)</f>
        <v>5.34</v>
      </c>
      <c r="K139" s="5">
        <f>IFERROR(__xludf.DUMMYFUNCTION("""COMPUTED_VALUE"""),0.5621052631578948)</f>
        <v>0.5621052632</v>
      </c>
      <c r="L139">
        <f>IFERROR(__xludf.DUMMYFUNCTION("""COMPUTED_VALUE"""),68755.0)</f>
        <v>68755</v>
      </c>
      <c r="M139" t="str">
        <f>IFERROR(__xludf.DUMMYFUNCTION("""COMPUTED_VALUE"""),"Toy")</f>
        <v>Toy</v>
      </c>
      <c r="O139" t="str">
        <f>IFERROR(__xludf.DUMMYFUNCTION("""COMPUTED_VALUE"""),"N")</f>
        <v>N</v>
      </c>
      <c r="P139" s="1" t="str">
        <f>IFERROR(__xludf.DUMMYFUNCTION("""COMPUTED_VALUE"""),"ID 17147")</f>
        <v>ID 17147</v>
      </c>
      <c r="Q139" s="1" t="str">
        <f>IFERROR(__xludf.DUMMYFUNCTION("""COMPUTED_VALUE"""),"B00RHGFM1W")</f>
        <v>B00RHGFM1W</v>
      </c>
    </row>
    <row r="140">
      <c r="A140" s="6">
        <f>IFERROR(__xludf.DUMMYFUNCTION("""COMPUTED_VALUE"""),44627.0)</f>
        <v>44627</v>
      </c>
      <c r="B140">
        <f>IFERROR(__xludf.DUMMYFUNCTION("""COMPUTED_VALUE"""),12742.0)</f>
        <v>12742</v>
      </c>
      <c r="C140" t="str">
        <f>IFERROR(__xludf.DUMMYFUNCTION("""COMPUTED_VALUE"""),"Zippo Wood Mandala Design Brown Matte Pocket Lighter")</f>
        <v>Zippo Wood Mandala Design Brown Matte Pocket Lighter</v>
      </c>
      <c r="D140" t="str">
        <f>IFERROR(__xludf.DUMMYFUNCTION("""COMPUTED_VALUE"""),"B084PRKBKJ")</f>
        <v>B084PRKBKJ</v>
      </c>
      <c r="E140" t="str">
        <f>IFERROR(__xludf.DUMMYFUNCTION("""COMPUTED_VALUE"""),"191693145717")</f>
        <v>191693145717</v>
      </c>
      <c r="F140">
        <f>IFERROR(__xludf.DUMMYFUNCTION("""COMPUTED_VALUE"""),170.0)</f>
        <v>170</v>
      </c>
      <c r="G140">
        <f>IFERROR(__xludf.DUMMYFUNCTION("""COMPUTED_VALUE"""),5000.0)</f>
        <v>5000</v>
      </c>
      <c r="H140" s="2">
        <f>IFERROR(__xludf.DUMMYFUNCTION("""COMPUTED_VALUE"""),14.75)</f>
        <v>14.75</v>
      </c>
      <c r="I140" s="2">
        <f>IFERROR(__xludf.DUMMYFUNCTION("""COMPUTED_VALUE"""),20.08)</f>
        <v>20.08</v>
      </c>
      <c r="J140" s="2">
        <f>IFERROR(__xludf.DUMMYFUNCTION("""COMPUTED_VALUE"""),5.329999999999998)</f>
        <v>5.33</v>
      </c>
      <c r="K140" s="5">
        <f>IFERROR(__xludf.DUMMYFUNCTION("""COMPUTED_VALUE"""),0.36135593220338974)</f>
        <v>0.3613559322</v>
      </c>
      <c r="L140">
        <f>IFERROR(__xludf.DUMMYFUNCTION("""COMPUTED_VALUE"""),46285.0)</f>
        <v>46285</v>
      </c>
      <c r="M140" t="str">
        <f>IFERROR(__xludf.DUMMYFUNCTION("""COMPUTED_VALUE"""),"Sports")</f>
        <v>Sports</v>
      </c>
      <c r="O140" t="str">
        <f>IFERROR(__xludf.DUMMYFUNCTION("""COMPUTED_VALUE"""),"N")</f>
        <v>N</v>
      </c>
      <c r="P140" s="1" t="str">
        <f>IFERROR(__xludf.DUMMYFUNCTION("""COMPUTED_VALUE"""),"ID 12742")</f>
        <v>ID 12742</v>
      </c>
      <c r="Q140" s="1" t="str">
        <f>IFERROR(__xludf.DUMMYFUNCTION("""COMPUTED_VALUE"""),"B084PRKBKJ")</f>
        <v>B084PRKBKJ</v>
      </c>
    </row>
    <row r="141">
      <c r="A141" s="6">
        <f>IFERROR(__xludf.DUMMYFUNCTION("""COMPUTED_VALUE"""),44265.0)</f>
        <v>44265</v>
      </c>
      <c r="B141">
        <f>IFERROR(__xludf.DUMMYFUNCTION("""COMPUTED_VALUE"""),9550.0)</f>
        <v>9550</v>
      </c>
      <c r="C141" t="str">
        <f>IFERROR(__xludf.DUMMYFUNCTION("""COMPUTED_VALUE"""),"Nyko Charge Link - USB Charging Cable for Wii U GamePad")</f>
        <v>Nyko Charge Link - USB Charging Cable for Wii U GamePad</v>
      </c>
      <c r="D141" t="str">
        <f>IFERROR(__xludf.DUMMYFUNCTION("""COMPUTED_VALUE"""),"B009S2XL9I")</f>
        <v>B009S2XL9I</v>
      </c>
      <c r="E141" t="str">
        <f>IFERROR(__xludf.DUMMYFUNCTION("""COMPUTED_VALUE"""),"743840871521")</f>
        <v>743840871521</v>
      </c>
      <c r="F141">
        <f>IFERROR(__xludf.DUMMYFUNCTION("""COMPUTED_VALUE"""),20788.0)</f>
        <v>20788</v>
      </c>
      <c r="G141">
        <f>IFERROR(__xludf.DUMMYFUNCTION("""COMPUTED_VALUE"""),20200.0)</f>
        <v>20200</v>
      </c>
      <c r="H141" s="2">
        <f>IFERROR(__xludf.DUMMYFUNCTION("""COMPUTED_VALUE"""),3.5)</f>
        <v>3.5</v>
      </c>
      <c r="I141" s="2">
        <f>IFERROR(__xludf.DUMMYFUNCTION("""COMPUTED_VALUE"""),8.81)</f>
        <v>8.81</v>
      </c>
      <c r="J141" s="2">
        <f>IFERROR(__xludf.DUMMYFUNCTION("""COMPUTED_VALUE"""),5.3100000000000005)</f>
        <v>5.31</v>
      </c>
      <c r="K141" s="5">
        <f>IFERROR(__xludf.DUMMYFUNCTION("""COMPUTED_VALUE"""),1.5171428571428573)</f>
        <v>1.517142857</v>
      </c>
      <c r="L141">
        <f>IFERROR(__xludf.DUMMYFUNCTION("""COMPUTED_VALUE"""),96257.0)</f>
        <v>96257</v>
      </c>
      <c r="M141" t="str">
        <f>IFERROR(__xludf.DUMMYFUNCTION("""COMPUTED_VALUE"""),"Video Games")</f>
        <v>Video Games</v>
      </c>
      <c r="O141" t="str">
        <f>IFERROR(__xludf.DUMMYFUNCTION("""COMPUTED_VALUE"""),"N")</f>
        <v>N</v>
      </c>
      <c r="P141" s="1" t="str">
        <f>IFERROR(__xludf.DUMMYFUNCTION("""COMPUTED_VALUE"""),"ID 9550")</f>
        <v>ID 9550</v>
      </c>
      <c r="Q141" s="1" t="str">
        <f>IFERROR(__xludf.DUMMYFUNCTION("""COMPUTED_VALUE"""),"B009S2XL9I")</f>
        <v>B009S2XL9I</v>
      </c>
    </row>
    <row r="142">
      <c r="A142" s="6">
        <f>IFERROR(__xludf.DUMMYFUNCTION("""COMPUTED_VALUE"""),45376.0)</f>
        <v>45376</v>
      </c>
      <c r="B142">
        <f>IFERROR(__xludf.DUMMYFUNCTION("""COMPUTED_VALUE"""),24134.0)</f>
        <v>24134</v>
      </c>
      <c r="C142" t="str">
        <f>IFERROR(__xludf.DUMMYFUNCTION("""COMPUTED_VALUE"""),"Fadeless Bulletin Board Art Paper, Emerald, 48"" x 12', 1 Roll")</f>
        <v>Fadeless Bulletin Board Art Paper, Emerald, 48" x 12', 1 Roll</v>
      </c>
      <c r="D142" t="str">
        <f>IFERROR(__xludf.DUMMYFUNCTION("""COMPUTED_VALUE"""),"B0006HXP72")</f>
        <v>B0006HXP72</v>
      </c>
      <c r="E142" t="str">
        <f>IFERROR(__xludf.DUMMYFUNCTION("""COMPUTED_VALUE"""),"029444571488")</f>
        <v>029444571488</v>
      </c>
      <c r="F142">
        <f>IFERROR(__xludf.DUMMYFUNCTION("""COMPUTED_VALUE"""),596.0)</f>
        <v>596</v>
      </c>
      <c r="G142">
        <f>IFERROR(__xludf.DUMMYFUNCTION("""COMPUTED_VALUE"""),10000.0)</f>
        <v>10000</v>
      </c>
      <c r="H142" s="2">
        <f>IFERROR(__xludf.DUMMYFUNCTION("""COMPUTED_VALUE"""),6.75)</f>
        <v>6.75</v>
      </c>
      <c r="I142" s="2">
        <f>IFERROR(__xludf.DUMMYFUNCTION("""COMPUTED_VALUE"""),12.04)</f>
        <v>12.04</v>
      </c>
      <c r="J142" s="2">
        <f>IFERROR(__xludf.DUMMYFUNCTION("""COMPUTED_VALUE"""),5.289999999999999)</f>
        <v>5.29</v>
      </c>
      <c r="K142" s="5">
        <f>IFERROR(__xludf.DUMMYFUNCTION("""COMPUTED_VALUE"""),0.7837037037037036)</f>
        <v>0.7837037037</v>
      </c>
      <c r="L142">
        <f>IFERROR(__xludf.DUMMYFUNCTION("""COMPUTED_VALUE"""),2991.0)</f>
        <v>2991</v>
      </c>
      <c r="M142" t="str">
        <f>IFERROR(__xludf.DUMMYFUNCTION("""COMPUTED_VALUE"""),"Art and Craft Supply")</f>
        <v>Art and Craft Supply</v>
      </c>
      <c r="O142" t="str">
        <f>IFERROR(__xludf.DUMMYFUNCTION("""COMPUTED_VALUE"""),"N")</f>
        <v>N</v>
      </c>
      <c r="P142" s="1" t="str">
        <f>IFERROR(__xludf.DUMMYFUNCTION("""COMPUTED_VALUE"""),"ID 24134")</f>
        <v>ID 24134</v>
      </c>
      <c r="Q142" s="1" t="str">
        <f>IFERROR(__xludf.DUMMYFUNCTION("""COMPUTED_VALUE"""),"B0006HXP72")</f>
        <v>B0006HXP72</v>
      </c>
    </row>
    <row r="143">
      <c r="A143" s="6">
        <f>IFERROR(__xludf.DUMMYFUNCTION("""COMPUTED_VALUE"""),45142.0)</f>
        <v>45142</v>
      </c>
      <c r="B143">
        <f>IFERROR(__xludf.DUMMYFUNCTION("""COMPUTED_VALUE"""),17622.0)</f>
        <v>17622</v>
      </c>
      <c r="C143" t="str">
        <f>IFERROR(__xludf.DUMMYFUNCTION("""COMPUTED_VALUE"""),"Kenzo FlowerbyKenzo 3.4 oz Eau de Parfum Spray")</f>
        <v>Kenzo FlowerbyKenzo 3.4 oz Eau de Parfum Spray</v>
      </c>
      <c r="D143" t="str">
        <f>IFERROR(__xludf.DUMMYFUNCTION("""COMPUTED_VALUE"""),"B0097P42MQ")</f>
        <v>B0097P42MQ</v>
      </c>
      <c r="E143" t="str">
        <f>IFERROR(__xludf.DUMMYFUNCTION("""COMPUTED_VALUE"""),"3352818518008")</f>
        <v>3352818518008</v>
      </c>
      <c r="F143">
        <f>IFERROR(__xludf.DUMMYFUNCTION("""COMPUTED_VALUE"""),30.0)</f>
        <v>30</v>
      </c>
      <c r="G143">
        <f>IFERROR(__xludf.DUMMYFUNCTION("""COMPUTED_VALUE"""),10000.0)</f>
        <v>10000</v>
      </c>
      <c r="H143" s="2">
        <f>IFERROR(__xludf.DUMMYFUNCTION("""COMPUTED_VALUE"""),49.0)</f>
        <v>49</v>
      </c>
      <c r="I143" s="2">
        <f>IFERROR(__xludf.DUMMYFUNCTION("""COMPUTED_VALUE"""),54.28)</f>
        <v>54.28</v>
      </c>
      <c r="J143" s="2">
        <f>IFERROR(__xludf.DUMMYFUNCTION("""COMPUTED_VALUE"""),5.280000000000001)</f>
        <v>5.28</v>
      </c>
      <c r="K143" s="5">
        <f>IFERROR(__xludf.DUMMYFUNCTION("""COMPUTED_VALUE"""),0.10775510204081636)</f>
        <v>0.107755102</v>
      </c>
      <c r="L143">
        <f>IFERROR(__xludf.DUMMYFUNCTION("""COMPUTED_VALUE"""),57546.0)</f>
        <v>57546</v>
      </c>
      <c r="M143" t="str">
        <f>IFERROR(__xludf.DUMMYFUNCTION("""COMPUTED_VALUE"""),"Beauty")</f>
        <v>Beauty</v>
      </c>
      <c r="O143" t="str">
        <f>IFERROR(__xludf.DUMMYFUNCTION("""COMPUTED_VALUE"""),"N")</f>
        <v>N</v>
      </c>
      <c r="P143" s="1" t="str">
        <f>IFERROR(__xludf.DUMMYFUNCTION("""COMPUTED_VALUE"""),"ID 17622")</f>
        <v>ID 17622</v>
      </c>
      <c r="Q143" s="1" t="str">
        <f>IFERROR(__xludf.DUMMYFUNCTION("""COMPUTED_VALUE"""),"B0097P42MQ")</f>
        <v>B0097P42MQ</v>
      </c>
    </row>
    <row r="144">
      <c r="A144" s="6">
        <f>IFERROR(__xludf.DUMMYFUNCTION("""COMPUTED_VALUE"""),44665.0)</f>
        <v>44665</v>
      </c>
      <c r="B144">
        <f>IFERROR(__xludf.DUMMYFUNCTION("""COMPUTED_VALUE"""),18206.0)</f>
        <v>18206</v>
      </c>
      <c r="C144" t="str">
        <f>IFERROR(__xludf.DUMMYFUNCTION("""COMPUTED_VALUE"""),"Fisherman's Bass Club (Playstation 2)")</f>
        <v>Fisherman's Bass Club (Playstation 2)</v>
      </c>
      <c r="D144" t="str">
        <f>IFERROR(__xludf.DUMMYFUNCTION("""COMPUTED_VALUE"""),"B001IV15F4")</f>
        <v>B001IV15F4</v>
      </c>
      <c r="E144" t="str">
        <f>IFERROR(__xludf.DUMMYFUNCTION("""COMPUTED_VALUE"""),"093992089900")</f>
        <v>093992089900</v>
      </c>
      <c r="F144">
        <f>IFERROR(__xludf.DUMMYFUNCTION("""COMPUTED_VALUE"""),43.0)</f>
        <v>43</v>
      </c>
      <c r="G144">
        <f>IFERROR(__xludf.DUMMYFUNCTION("""COMPUTED_VALUE"""),43.0)</f>
        <v>43</v>
      </c>
      <c r="H144" s="2">
        <f>IFERROR(__xludf.DUMMYFUNCTION("""COMPUTED_VALUE"""),7.25)</f>
        <v>7.25</v>
      </c>
      <c r="I144" s="2">
        <f>IFERROR(__xludf.DUMMYFUNCTION("""COMPUTED_VALUE"""),12.53)</f>
        <v>12.53</v>
      </c>
      <c r="J144" s="2">
        <f>IFERROR(__xludf.DUMMYFUNCTION("""COMPUTED_VALUE"""),5.279999999999999)</f>
        <v>5.28</v>
      </c>
      <c r="K144" s="5">
        <f>IFERROR(__xludf.DUMMYFUNCTION("""COMPUTED_VALUE"""),0.7282758620689654)</f>
        <v>0.7282758621</v>
      </c>
      <c r="L144">
        <f>IFERROR(__xludf.DUMMYFUNCTION("""COMPUTED_VALUE"""),73936.0)</f>
        <v>73936</v>
      </c>
      <c r="M144" t="str">
        <f>IFERROR(__xludf.DUMMYFUNCTION("""COMPUTED_VALUE"""),"Video Games")</f>
        <v>Video Games</v>
      </c>
      <c r="O144" t="str">
        <f>IFERROR(__xludf.DUMMYFUNCTION("""COMPUTED_VALUE"""),"N")</f>
        <v>N</v>
      </c>
      <c r="P144" s="1" t="str">
        <f>IFERROR(__xludf.DUMMYFUNCTION("""COMPUTED_VALUE"""),"ID 18206")</f>
        <v>ID 18206</v>
      </c>
      <c r="Q144" s="1" t="str">
        <f>IFERROR(__xludf.DUMMYFUNCTION("""COMPUTED_VALUE"""),"B001IV15F4")</f>
        <v>B001IV15F4</v>
      </c>
    </row>
    <row r="145">
      <c r="A145" s="6">
        <f>IFERROR(__xludf.DUMMYFUNCTION("""COMPUTED_VALUE"""),45385.0)</f>
        <v>45385</v>
      </c>
      <c r="B145">
        <f>IFERROR(__xludf.DUMMYFUNCTION("""COMPUTED_VALUE"""),21800.0)</f>
        <v>21800</v>
      </c>
      <c r="C145" t="str">
        <f>IFERROR(__xludf.DUMMYFUNCTION("""COMPUTED_VALUE"""),"Yves Saint Laurent Opium Eau De Parfum Spray for Women, 3 Ounce")</f>
        <v>Yves Saint Laurent Opium Eau De Parfum Spray for Women, 3 Ounce</v>
      </c>
      <c r="D145" t="str">
        <f>IFERROR(__xludf.DUMMYFUNCTION("""COMPUTED_VALUE"""),"B003N5TSK2")</f>
        <v>B003N5TSK2</v>
      </c>
      <c r="E145" t="str">
        <f>IFERROR(__xludf.DUMMYFUNCTION("""COMPUTED_VALUE"""),"3365440556829")</f>
        <v>3365440556829</v>
      </c>
      <c r="F145">
        <f>IFERROR(__xludf.DUMMYFUNCTION("""COMPUTED_VALUE"""),12.0)</f>
        <v>12</v>
      </c>
      <c r="G145">
        <f>IFERROR(__xludf.DUMMYFUNCTION("""COMPUTED_VALUE"""),12.0)</f>
        <v>12</v>
      </c>
      <c r="H145" s="2">
        <f>IFERROR(__xludf.DUMMYFUNCTION("""COMPUTED_VALUE"""),78.25)</f>
        <v>78.25</v>
      </c>
      <c r="I145" s="2">
        <f>IFERROR(__xludf.DUMMYFUNCTION("""COMPUTED_VALUE"""),83.44)</f>
        <v>83.44</v>
      </c>
      <c r="J145" s="2">
        <f>IFERROR(__xludf.DUMMYFUNCTION("""COMPUTED_VALUE"""),5.189999999999998)</f>
        <v>5.19</v>
      </c>
      <c r="K145" s="5">
        <f>IFERROR(__xludf.DUMMYFUNCTION("""COMPUTED_VALUE"""),0.06632587859424917)</f>
        <v>0.06632587859</v>
      </c>
      <c r="L145">
        <f>IFERROR(__xludf.DUMMYFUNCTION("""COMPUTED_VALUE"""),34645.0)</f>
        <v>34645</v>
      </c>
      <c r="M145" t="str">
        <f>IFERROR(__xludf.DUMMYFUNCTION("""COMPUTED_VALUE"""),"Beauty")</f>
        <v>Beauty</v>
      </c>
      <c r="O145" t="str">
        <f>IFERROR(__xludf.DUMMYFUNCTION("""COMPUTED_VALUE"""),"N")</f>
        <v>N</v>
      </c>
      <c r="P145" s="1" t="str">
        <f>IFERROR(__xludf.DUMMYFUNCTION("""COMPUTED_VALUE"""),"ID 21800")</f>
        <v>ID 21800</v>
      </c>
      <c r="Q145" s="1" t="str">
        <f>IFERROR(__xludf.DUMMYFUNCTION("""COMPUTED_VALUE"""),"B003N5TSK2")</f>
        <v>B003N5TSK2</v>
      </c>
    </row>
    <row r="146">
      <c r="A146" s="6">
        <f>IFERROR(__xludf.DUMMYFUNCTION("""COMPUTED_VALUE"""),45166.0)</f>
        <v>45166</v>
      </c>
      <c r="B146">
        <f>IFERROR(__xludf.DUMMYFUNCTION("""COMPUTED_VALUE"""),18487.0)</f>
        <v>18487</v>
      </c>
      <c r="C146" t="str">
        <f>IFERROR(__xludf.DUMMYFUNCTION("""COMPUTED_VALUE"""),"Adams Rental Application &amp; Credit Check Premium Collection, Forms and Instructions (LF213P), White")</f>
        <v>Adams Rental Application &amp; Credit Check Premium Collection, Forms and Instructions (LF213P), White</v>
      </c>
      <c r="D146" t="str">
        <f>IFERROR(__xludf.DUMMYFUNCTION("""COMPUTED_VALUE"""),"B003FMCWYC")</f>
        <v>B003FMCWYC</v>
      </c>
      <c r="E146" t="str">
        <f>IFERROR(__xludf.DUMMYFUNCTION("""COMPUTED_VALUE"""),"087958723076")</f>
        <v>087958723076</v>
      </c>
      <c r="F146">
        <f>IFERROR(__xludf.DUMMYFUNCTION("""COMPUTED_VALUE"""),300.0)</f>
        <v>300</v>
      </c>
      <c r="G146">
        <f>IFERROR(__xludf.DUMMYFUNCTION("""COMPUTED_VALUE"""),10000.0)</f>
        <v>10000</v>
      </c>
      <c r="H146" s="2">
        <f>IFERROR(__xludf.DUMMYFUNCTION("""COMPUTED_VALUE"""),8.25)</f>
        <v>8.25</v>
      </c>
      <c r="I146" s="2">
        <f>IFERROR(__xludf.DUMMYFUNCTION("""COMPUTED_VALUE"""),13.43)</f>
        <v>13.43</v>
      </c>
      <c r="J146" s="2">
        <f>IFERROR(__xludf.DUMMYFUNCTION("""COMPUTED_VALUE"""),5.18)</f>
        <v>5.18</v>
      </c>
      <c r="K146" s="5">
        <f>IFERROR(__xludf.DUMMYFUNCTION("""COMPUTED_VALUE"""),0.6278787878787878)</f>
        <v>0.6278787879</v>
      </c>
      <c r="L146">
        <f>IFERROR(__xludf.DUMMYFUNCTION("""COMPUTED_VALUE"""),98651.0)</f>
        <v>98651</v>
      </c>
      <c r="M146" t="str">
        <f>IFERROR(__xludf.DUMMYFUNCTION("""COMPUTED_VALUE"""),"Office Product")</f>
        <v>Office Product</v>
      </c>
      <c r="O146" t="str">
        <f>IFERROR(__xludf.DUMMYFUNCTION("""COMPUTED_VALUE"""),"N")</f>
        <v>N</v>
      </c>
      <c r="P146" s="1" t="str">
        <f>IFERROR(__xludf.DUMMYFUNCTION("""COMPUTED_VALUE"""),"ID 18487")</f>
        <v>ID 18487</v>
      </c>
      <c r="Q146" s="1" t="str">
        <f>IFERROR(__xludf.DUMMYFUNCTION("""COMPUTED_VALUE"""),"B003FMCWYC")</f>
        <v>B003FMCWYC</v>
      </c>
    </row>
    <row r="147">
      <c r="A147" s="6">
        <f>IFERROR(__xludf.DUMMYFUNCTION("""COMPUTED_VALUE"""),44341.0)</f>
        <v>44341</v>
      </c>
      <c r="B147">
        <f>IFERROR(__xludf.DUMMYFUNCTION("""COMPUTED_VALUE"""),14027.0)</f>
        <v>14027</v>
      </c>
      <c r="C147" t="str">
        <f>IFERROR(__xludf.DUMMYFUNCTION("""COMPUTED_VALUE"""),"BIC Pen Refill for Wide Body/Velocity/Clear Click, Medium Point, Pack of 2, Blue - MRC21-B-BLU")</f>
        <v>BIC Pen Refill for Wide Body/Velocity/Clear Click, Medium Point, Pack of 2, Blue - MRC21-B-BLU</v>
      </c>
      <c r="D147" t="str">
        <f>IFERROR(__xludf.DUMMYFUNCTION("""COMPUTED_VALUE"""),"B0040T6TUM")</f>
        <v>B0040T6TUM</v>
      </c>
      <c r="E147" t="str">
        <f>IFERROR(__xludf.DUMMYFUNCTION("""COMPUTED_VALUE"""),"70330908062")</f>
        <v>70330908062</v>
      </c>
      <c r="F147">
        <f>IFERROR(__xludf.DUMMYFUNCTION("""COMPUTED_VALUE"""),2901.0)</f>
        <v>2901</v>
      </c>
      <c r="G147">
        <f>IFERROR(__xludf.DUMMYFUNCTION("""COMPUTED_VALUE"""),864.0)</f>
        <v>864</v>
      </c>
      <c r="H147" s="2">
        <f>IFERROR(__xludf.DUMMYFUNCTION("""COMPUTED_VALUE"""),0.5)</f>
        <v>0.5</v>
      </c>
      <c r="I147" s="2">
        <f>IFERROR(__xludf.DUMMYFUNCTION("""COMPUTED_VALUE"""),5.66)</f>
        <v>5.66</v>
      </c>
      <c r="J147" s="2">
        <f>IFERROR(__xludf.DUMMYFUNCTION("""COMPUTED_VALUE"""),5.16)</f>
        <v>5.16</v>
      </c>
      <c r="K147" s="5">
        <f>IFERROR(__xludf.DUMMYFUNCTION("""COMPUTED_VALUE"""),10.32)</f>
        <v>10.32</v>
      </c>
      <c r="L147">
        <f>IFERROR(__xludf.DUMMYFUNCTION("""COMPUTED_VALUE"""),28616.0)</f>
        <v>28616</v>
      </c>
      <c r="M147" t="str">
        <f>IFERROR(__xludf.DUMMYFUNCTION("""COMPUTED_VALUE"""),"Office Product")</f>
        <v>Office Product</v>
      </c>
      <c r="N147" t="str">
        <f>IFERROR(__xludf.DUMMYFUNCTION("""COMPUTED_VALUE"""),"Closeout")</f>
        <v>Closeout</v>
      </c>
      <c r="O147" t="str">
        <f>IFERROR(__xludf.DUMMYFUNCTION("""COMPUTED_VALUE"""),"N")</f>
        <v>N</v>
      </c>
      <c r="P147" s="1" t="str">
        <f>IFERROR(__xludf.DUMMYFUNCTION("""COMPUTED_VALUE"""),"ID 14027")</f>
        <v>ID 14027</v>
      </c>
      <c r="Q147" s="1" t="str">
        <f>IFERROR(__xludf.DUMMYFUNCTION("""COMPUTED_VALUE"""),"B0040T6TUM")</f>
        <v>B0040T6TUM</v>
      </c>
    </row>
    <row r="148">
      <c r="A148" s="6">
        <f>IFERROR(__xludf.DUMMYFUNCTION("""COMPUTED_VALUE"""),45425.0)</f>
        <v>45425</v>
      </c>
      <c r="B148">
        <f>IFERROR(__xludf.DUMMYFUNCTION("""COMPUTED_VALUE"""),5153.0)</f>
        <v>5153</v>
      </c>
      <c r="C148" t="str">
        <f>IFERROR(__xludf.DUMMYFUNCTION("""COMPUTED_VALUE"""),"Libbey 15-1/2-Ounce Tapered Mug, Box of 6, Clear")</f>
        <v>Libbey 15-1/2-Ounce Tapered Mug, Box of 6, Clear</v>
      </c>
      <c r="D148" t="str">
        <f>IFERROR(__xludf.DUMMYFUNCTION("""COMPUTED_VALUE"""),"B001IWMP1G")</f>
        <v>B001IWMP1G</v>
      </c>
      <c r="E148" t="str">
        <f>IFERROR(__xludf.DUMMYFUNCTION("""COMPUTED_VALUE"""),"031009263240")</f>
        <v>031009263240</v>
      </c>
      <c r="F148">
        <f>IFERROR(__xludf.DUMMYFUNCTION("""COMPUTED_VALUE"""),167.0)</f>
        <v>167</v>
      </c>
      <c r="G148">
        <f>IFERROR(__xludf.DUMMYFUNCTION("""COMPUTED_VALUE"""),10000.0)</f>
        <v>10000</v>
      </c>
      <c r="H148" s="2">
        <f>IFERROR(__xludf.DUMMYFUNCTION("""COMPUTED_VALUE"""),9.25)</f>
        <v>9.25</v>
      </c>
      <c r="I148" s="2">
        <f>IFERROR(__xludf.DUMMYFUNCTION("""COMPUTED_VALUE"""),14.36)</f>
        <v>14.36</v>
      </c>
      <c r="J148" s="2">
        <f>IFERROR(__xludf.DUMMYFUNCTION("""COMPUTED_VALUE"""),5.109999999999999)</f>
        <v>5.11</v>
      </c>
      <c r="K148" s="5">
        <f>IFERROR(__xludf.DUMMYFUNCTION("""COMPUTED_VALUE"""),0.5524324324324323)</f>
        <v>0.5524324324</v>
      </c>
      <c r="L148">
        <f>IFERROR(__xludf.DUMMYFUNCTION("""COMPUTED_VALUE"""),72834.0)</f>
        <v>72834</v>
      </c>
      <c r="M148" t="str">
        <f>IFERROR(__xludf.DUMMYFUNCTION("""COMPUTED_VALUE"""),"Kitchen")</f>
        <v>Kitchen</v>
      </c>
      <c r="N148" t="str">
        <f>IFERROR(__xludf.DUMMYFUNCTION("""COMPUTED_VALUE"""),"UOM: 1 box of 6")</f>
        <v>UOM: 1 box of 6</v>
      </c>
      <c r="O148" t="str">
        <f>IFERROR(__xludf.DUMMYFUNCTION("""COMPUTED_VALUE"""),"N")</f>
        <v>N</v>
      </c>
      <c r="P148" s="1" t="str">
        <f>IFERROR(__xludf.DUMMYFUNCTION("""COMPUTED_VALUE"""),"ID 5153")</f>
        <v>ID 5153</v>
      </c>
      <c r="Q148" s="1" t="str">
        <f>IFERROR(__xludf.DUMMYFUNCTION("""COMPUTED_VALUE"""),"B001IWMP1G")</f>
        <v>B001IWMP1G</v>
      </c>
    </row>
    <row r="149">
      <c r="A149" s="6">
        <f>IFERROR(__xludf.DUMMYFUNCTION("""COMPUTED_VALUE"""),44685.0)</f>
        <v>44685</v>
      </c>
      <c r="B149">
        <f>IFERROR(__xludf.DUMMYFUNCTION("""COMPUTED_VALUE"""),11772.0)</f>
        <v>11772</v>
      </c>
      <c r="C149" t="str">
        <f>IFERROR(__xludf.DUMMYFUNCTION("""COMPUTED_VALUE"""),"Nautica Classic for Men by Nautica 3.4 oz 100ml EDT Spray")</f>
        <v>Nautica Classic for Men by Nautica 3.4 oz 100ml EDT Spray</v>
      </c>
      <c r="D149" t="str">
        <f>IFERROR(__xludf.DUMMYFUNCTION("""COMPUTED_VALUE"""),"B0020MMCJI")</f>
        <v>B0020MMCJI</v>
      </c>
      <c r="E149" t="str">
        <f>IFERROR(__xludf.DUMMYFUNCTION("""COMPUTED_VALUE"""),"3661163904016")</f>
        <v>3661163904016</v>
      </c>
      <c r="F149">
        <f>IFERROR(__xludf.DUMMYFUNCTION("""COMPUTED_VALUE"""),160.0)</f>
        <v>160</v>
      </c>
      <c r="G149">
        <f>IFERROR(__xludf.DUMMYFUNCTION("""COMPUTED_VALUE"""),1000.0)</f>
        <v>1000</v>
      </c>
      <c r="H149" s="2">
        <f>IFERROR(__xludf.DUMMYFUNCTION("""COMPUTED_VALUE"""),7.75)</f>
        <v>7.75</v>
      </c>
      <c r="I149" s="2">
        <f>IFERROR(__xludf.DUMMYFUNCTION("""COMPUTED_VALUE"""),12.83)</f>
        <v>12.83</v>
      </c>
      <c r="J149" s="2">
        <f>IFERROR(__xludf.DUMMYFUNCTION("""COMPUTED_VALUE"""),5.08)</f>
        <v>5.08</v>
      </c>
      <c r="K149" s="5">
        <f>IFERROR(__xludf.DUMMYFUNCTION("""COMPUTED_VALUE"""),0.655483870967742)</f>
        <v>0.655483871</v>
      </c>
      <c r="L149">
        <f>IFERROR(__xludf.DUMMYFUNCTION("""COMPUTED_VALUE"""),13810.0)</f>
        <v>13810</v>
      </c>
      <c r="M149" t="str">
        <f>IFERROR(__xludf.DUMMYFUNCTION("""COMPUTED_VALUE"""),"Beauty")</f>
        <v>Beauty</v>
      </c>
      <c r="O149" t="str">
        <f>IFERROR(__xludf.DUMMYFUNCTION("""COMPUTED_VALUE"""),"Y")</f>
        <v>Y</v>
      </c>
      <c r="P149" s="1" t="str">
        <f>IFERROR(__xludf.DUMMYFUNCTION("""COMPUTED_VALUE"""),"ID 11772")</f>
        <v>ID 11772</v>
      </c>
      <c r="Q149" s="1" t="str">
        <f>IFERROR(__xludf.DUMMYFUNCTION("""COMPUTED_VALUE"""),"B0020MMCJI")</f>
        <v>B0020MMCJI</v>
      </c>
    </row>
    <row r="150">
      <c r="A150" s="6">
        <f>IFERROR(__xludf.DUMMYFUNCTION("""COMPUTED_VALUE"""),44440.0)</f>
        <v>44440</v>
      </c>
      <c r="B150">
        <f>IFERROR(__xludf.DUMMYFUNCTION("""COMPUTED_VALUE"""),21900.0)</f>
        <v>21900</v>
      </c>
      <c r="C150" t="str">
        <f>IFERROR(__xludf.DUMMYFUNCTION("""COMPUTED_VALUE"""),"Theorie: Sage - Helichrysum &amp; Plum - Nourishing Shampoo - For Dry &amp; Over-Processed Hair - Protects Color &amp; Keratin Treated Hair, 400ml (Label Design May Vary)")</f>
        <v>Theorie: Sage - Helichrysum &amp; Plum - Nourishing Shampoo - For Dry &amp; Over-Processed Hair - Protects Color &amp; Keratin Treated Hair, 400ml (Label Design May Vary)</v>
      </c>
      <c r="D150" t="str">
        <f>IFERROR(__xludf.DUMMYFUNCTION("""COMPUTED_VALUE"""),"B00IKQ1MQC")</f>
        <v>B00IKQ1MQC</v>
      </c>
      <c r="F150">
        <f>IFERROR(__xludf.DUMMYFUNCTION("""COMPUTED_VALUE"""),1548.0)</f>
        <v>1548</v>
      </c>
      <c r="G150">
        <f>IFERROR(__xludf.DUMMYFUNCTION("""COMPUTED_VALUE"""),1548.0)</f>
        <v>1548</v>
      </c>
      <c r="H150" s="2">
        <f>IFERROR(__xludf.DUMMYFUNCTION("""COMPUTED_VALUE"""),6.5)</f>
        <v>6.5</v>
      </c>
      <c r="I150" s="2">
        <f>IFERROR(__xludf.DUMMYFUNCTION("""COMPUTED_VALUE"""),11.57)</f>
        <v>11.57</v>
      </c>
      <c r="J150" s="2">
        <f>IFERROR(__xludf.DUMMYFUNCTION("""COMPUTED_VALUE"""),5.07)</f>
        <v>5.07</v>
      </c>
      <c r="K150" s="5">
        <f>IFERROR(__xludf.DUMMYFUNCTION("""COMPUTED_VALUE"""),0.78)</f>
        <v>0.78</v>
      </c>
      <c r="L150">
        <f>IFERROR(__xludf.DUMMYFUNCTION("""COMPUTED_VALUE"""),97951.0)</f>
        <v>97951</v>
      </c>
      <c r="M150" t="str">
        <f>IFERROR(__xludf.DUMMYFUNCTION("""COMPUTED_VALUE"""),"Beauty")</f>
        <v>Beauty</v>
      </c>
      <c r="N150" t="str">
        <f>IFERROR(__xludf.DUMMYFUNCTION("""COMPUTED_VALUE"""),"Brand permission to resell on amazon unknown")</f>
        <v>Brand permission to resell on amazon unknown</v>
      </c>
      <c r="O150" t="str">
        <f>IFERROR(__xludf.DUMMYFUNCTION("""COMPUTED_VALUE"""),"N")</f>
        <v>N</v>
      </c>
      <c r="P150" s="1" t="str">
        <f>IFERROR(__xludf.DUMMYFUNCTION("""COMPUTED_VALUE"""),"ID 21900")</f>
        <v>ID 21900</v>
      </c>
      <c r="Q150" s="1" t="str">
        <f>IFERROR(__xludf.DUMMYFUNCTION("""COMPUTED_VALUE"""),"B00IKQ1MQC")</f>
        <v>B00IKQ1MQC</v>
      </c>
    </row>
    <row r="151">
      <c r="A151" s="6">
        <f>IFERROR(__xludf.DUMMYFUNCTION("""COMPUTED_VALUE"""),44641.0)</f>
        <v>44641</v>
      </c>
      <c r="B151">
        <f>IFERROR(__xludf.DUMMYFUNCTION("""COMPUTED_VALUE"""),24295.0)</f>
        <v>24295</v>
      </c>
      <c r="C151" t="str">
        <f>IFERROR(__xludf.DUMMYFUNCTION("""COMPUTED_VALUE"""),"Five Star Spiral Notebook, 2 Subject, College Ruled Paper, 100 sheets, 9-1/2"" x 6"", Red (72281)")</f>
        <v>Five Star Spiral Notebook, 2 Subject, College Ruled Paper, 100 sheets, 9-1/2" x 6", Red (72281)</v>
      </c>
      <c r="D151" t="str">
        <f>IFERROR(__xludf.DUMMYFUNCTION("""COMPUTED_VALUE"""),"B003OBZG8I")</f>
        <v>B003OBZG8I</v>
      </c>
      <c r="E151" t="str">
        <f>IFERROR(__xludf.DUMMYFUNCTION("""COMPUTED_VALUE"""),"043100086154")</f>
        <v>043100086154</v>
      </c>
      <c r="F151">
        <f>IFERROR(__xludf.DUMMYFUNCTION("""COMPUTED_VALUE"""),2604.0)</f>
        <v>2604</v>
      </c>
      <c r="G151">
        <f>IFERROR(__xludf.DUMMYFUNCTION("""COMPUTED_VALUE"""),5000.0)</f>
        <v>5000</v>
      </c>
      <c r="H151" s="2">
        <f>IFERROR(__xludf.DUMMYFUNCTION("""COMPUTED_VALUE"""),3.25)</f>
        <v>3.25</v>
      </c>
      <c r="I151" s="2">
        <f>IFERROR(__xludf.DUMMYFUNCTION("""COMPUTED_VALUE"""),8.31)</f>
        <v>8.31</v>
      </c>
      <c r="J151" s="2">
        <f>IFERROR(__xludf.DUMMYFUNCTION("""COMPUTED_VALUE"""),5.0600000000000005)</f>
        <v>5.06</v>
      </c>
      <c r="K151" s="5">
        <f>IFERROR(__xludf.DUMMYFUNCTION("""COMPUTED_VALUE"""),1.556923076923077)</f>
        <v>1.556923077</v>
      </c>
      <c r="L151">
        <f>IFERROR(__xludf.DUMMYFUNCTION("""COMPUTED_VALUE"""),12536.0)</f>
        <v>12536</v>
      </c>
      <c r="M151" t="str">
        <f>IFERROR(__xludf.DUMMYFUNCTION("""COMPUTED_VALUE"""),"Office Product")</f>
        <v>Office Product</v>
      </c>
      <c r="N151" t="str">
        <f>IFERROR(__xludf.DUMMYFUNCTION("""COMPUTED_VALUE"""),"Promo: OSMI. Will need to add to order to reach minimum")</f>
        <v>Promo: OSMI. Will need to add to order to reach minimum</v>
      </c>
      <c r="O151" t="str">
        <f>IFERROR(__xludf.DUMMYFUNCTION("""COMPUTED_VALUE"""),"N")</f>
        <v>N</v>
      </c>
      <c r="P151" s="1" t="str">
        <f>IFERROR(__xludf.DUMMYFUNCTION("""COMPUTED_VALUE"""),"ID 24295")</f>
        <v>ID 24295</v>
      </c>
      <c r="Q151" s="1" t="str">
        <f>IFERROR(__xludf.DUMMYFUNCTION("""COMPUTED_VALUE"""),"B003OBZG8I")</f>
        <v>B003OBZG8I</v>
      </c>
    </row>
    <row r="152">
      <c r="A152" s="6">
        <f>IFERROR(__xludf.DUMMYFUNCTION("""COMPUTED_VALUE"""),45425.0)</f>
        <v>45425</v>
      </c>
      <c r="B152">
        <f>IFERROR(__xludf.DUMMYFUNCTION("""COMPUTED_VALUE"""),7029.0)</f>
        <v>7029</v>
      </c>
      <c r="C152" t="str">
        <f>IFERROR(__xludf.DUMMYFUNCTION("""COMPUTED_VALUE"""),"Mastermind Game : The Strategy Game of Codemaker vs. Codebreaker")</f>
        <v>Mastermind Game : The Strategy Game of Codemaker vs. Codebreaker</v>
      </c>
      <c r="D152" t="str">
        <f>IFERROR(__xludf.DUMMYFUNCTION("""COMPUTED_VALUE"""),"B00000DMBF")</f>
        <v>B00000DMBF</v>
      </c>
      <c r="E152" t="str">
        <f>IFERROR(__xludf.DUMMYFUNCTION("""COMPUTED_VALUE"""),"021853030181")</f>
        <v>021853030181</v>
      </c>
      <c r="F152">
        <f>IFERROR(__xludf.DUMMYFUNCTION("""COMPUTED_VALUE"""),336.0)</f>
        <v>336</v>
      </c>
      <c r="G152">
        <f>IFERROR(__xludf.DUMMYFUNCTION("""COMPUTED_VALUE"""),3570.0)</f>
        <v>3570</v>
      </c>
      <c r="H152" s="2">
        <f>IFERROR(__xludf.DUMMYFUNCTION("""COMPUTED_VALUE"""),6.5)</f>
        <v>6.5</v>
      </c>
      <c r="I152" s="2">
        <f>IFERROR(__xludf.DUMMYFUNCTION("""COMPUTED_VALUE"""),11.52)</f>
        <v>11.52</v>
      </c>
      <c r="J152" s="2">
        <f>IFERROR(__xludf.DUMMYFUNCTION("""COMPUTED_VALUE"""),5.02)</f>
        <v>5.02</v>
      </c>
      <c r="K152" s="5">
        <f>IFERROR(__xludf.DUMMYFUNCTION("""COMPUTED_VALUE"""),0.7723076923076923)</f>
        <v>0.7723076923</v>
      </c>
      <c r="L152">
        <f>IFERROR(__xludf.DUMMYFUNCTION("""COMPUTED_VALUE"""),10309.0)</f>
        <v>10309</v>
      </c>
      <c r="M152" t="str">
        <f>IFERROR(__xludf.DUMMYFUNCTION("""COMPUTED_VALUE"""),"Toy")</f>
        <v>Toy</v>
      </c>
      <c r="N152" t="str">
        <f>IFERROR(__xludf.DUMMYFUNCTION("""COMPUTED_VALUE"""),"Restricted for online resale")</f>
        <v>Restricted for online resale</v>
      </c>
      <c r="O152" t="str">
        <f>IFERROR(__xludf.DUMMYFUNCTION("""COMPUTED_VALUE"""),"Y")</f>
        <v>Y</v>
      </c>
      <c r="P152" s="1" t="str">
        <f>IFERROR(__xludf.DUMMYFUNCTION("""COMPUTED_VALUE"""),"ID 7029")</f>
        <v>ID 7029</v>
      </c>
      <c r="Q152" s="1" t="str">
        <f>IFERROR(__xludf.DUMMYFUNCTION("""COMPUTED_VALUE"""),"B00000DMBF")</f>
        <v>B00000DMBF</v>
      </c>
    </row>
    <row r="153">
      <c r="A153" s="6">
        <f>IFERROR(__xludf.DUMMYFUNCTION("""COMPUTED_VALUE"""),44585.0)</f>
        <v>44585</v>
      </c>
      <c r="B153">
        <f>IFERROR(__xludf.DUMMYFUNCTION("""COMPUTED_VALUE"""),23700.0)</f>
        <v>23700</v>
      </c>
      <c r="C153" t="str">
        <f>IFERROR(__xludf.DUMMYFUNCTION("""COMPUTED_VALUE"""),"FILOFAX Refillable Pastel Notebook, A5 (8.25"" x 5"") Duck Egg - 112 Cream moveable pages - Index, pocket and page marker (B115052U)")</f>
        <v>FILOFAX Refillable Pastel Notebook, A5 (8.25" x 5") Duck Egg - 112 Cream moveable pages - Index, pocket and page marker (B115052U)</v>
      </c>
      <c r="D153" t="str">
        <f>IFERROR(__xludf.DUMMYFUNCTION("""COMPUTED_VALUE"""),"B074JLYYHJ")</f>
        <v>B074JLYYHJ</v>
      </c>
      <c r="E153" t="str">
        <f>IFERROR(__xludf.DUMMYFUNCTION("""COMPUTED_VALUE"""),"757286603226")</f>
        <v>757286603226</v>
      </c>
      <c r="F153">
        <f>IFERROR(__xludf.DUMMYFUNCTION("""COMPUTED_VALUE"""),144.0)</f>
        <v>144</v>
      </c>
      <c r="G153">
        <f>IFERROR(__xludf.DUMMYFUNCTION("""COMPUTED_VALUE"""),1000.0)</f>
        <v>1000</v>
      </c>
      <c r="H153" s="2">
        <f>IFERROR(__xludf.DUMMYFUNCTION("""COMPUTED_VALUE"""),10.0)</f>
        <v>10</v>
      </c>
      <c r="I153" s="2">
        <f>IFERROR(__xludf.DUMMYFUNCTION("""COMPUTED_VALUE"""),14.98)</f>
        <v>14.98</v>
      </c>
      <c r="J153" s="2">
        <f>IFERROR(__xludf.DUMMYFUNCTION("""COMPUTED_VALUE"""),4.98)</f>
        <v>4.98</v>
      </c>
      <c r="K153" s="5">
        <f>IFERROR(__xludf.DUMMYFUNCTION("""COMPUTED_VALUE"""),0.49800000000000005)</f>
        <v>0.498</v>
      </c>
      <c r="L153">
        <f>IFERROR(__xludf.DUMMYFUNCTION("""COMPUTED_VALUE"""),76025.0)</f>
        <v>76025</v>
      </c>
      <c r="M153" t="str">
        <f>IFERROR(__xludf.DUMMYFUNCTION("""COMPUTED_VALUE"""),"Office Product")</f>
        <v>Office Product</v>
      </c>
      <c r="O153" t="str">
        <f>IFERROR(__xludf.DUMMYFUNCTION("""COMPUTED_VALUE"""),"Y")</f>
        <v>Y</v>
      </c>
      <c r="P153" s="1" t="str">
        <f>IFERROR(__xludf.DUMMYFUNCTION("""COMPUTED_VALUE"""),"ID 23700")</f>
        <v>ID 23700</v>
      </c>
      <c r="Q153" s="1" t="str">
        <f>IFERROR(__xludf.DUMMYFUNCTION("""COMPUTED_VALUE"""),"B074JLYYHJ")</f>
        <v>B074JLYYHJ</v>
      </c>
    </row>
    <row r="154">
      <c r="A154" s="6">
        <f>IFERROR(__xludf.DUMMYFUNCTION("""COMPUTED_VALUE"""),45429.0)</f>
        <v>45429</v>
      </c>
      <c r="B154">
        <f>IFERROR(__xludf.DUMMYFUNCTION("""COMPUTED_VALUE"""),18058.0)</f>
        <v>18058</v>
      </c>
      <c r="C154" t="str">
        <f>IFERROR(__xludf.DUMMYFUNCTION("""COMPUTED_VALUE"""),"Curve Crush Cologne Spray For Men, Casual Scent For Day &amp; Night, 4.2 oz")</f>
        <v>Curve Crush Cologne Spray For Men, Casual Scent For Day &amp; Night, 4.2 oz</v>
      </c>
      <c r="D154" t="str">
        <f>IFERROR(__xludf.DUMMYFUNCTION("""COMPUTED_VALUE"""),"B000C1VZMY")</f>
        <v>B000C1VZMY</v>
      </c>
      <c r="E154" t="str">
        <f>IFERROR(__xludf.DUMMYFUNCTION("""COMPUTED_VALUE"""),"098691026256")</f>
        <v>098691026256</v>
      </c>
      <c r="F154">
        <f>IFERROR(__xludf.DUMMYFUNCTION("""COMPUTED_VALUE"""),120.0)</f>
        <v>120</v>
      </c>
      <c r="G154">
        <f>IFERROR(__xludf.DUMMYFUNCTION("""COMPUTED_VALUE"""),10000.0)</f>
        <v>10000</v>
      </c>
      <c r="H154" s="2">
        <f>IFERROR(__xludf.DUMMYFUNCTION("""COMPUTED_VALUE"""),11.25)</f>
        <v>11.25</v>
      </c>
      <c r="I154" s="2">
        <f>IFERROR(__xludf.DUMMYFUNCTION("""COMPUTED_VALUE"""),16.17)</f>
        <v>16.17</v>
      </c>
      <c r="J154" s="2">
        <f>IFERROR(__xludf.DUMMYFUNCTION("""COMPUTED_VALUE"""),4.920000000000002)</f>
        <v>4.92</v>
      </c>
      <c r="K154" s="5">
        <f>IFERROR(__xludf.DUMMYFUNCTION("""COMPUTED_VALUE"""),0.43733333333333346)</f>
        <v>0.4373333333</v>
      </c>
      <c r="L154">
        <f>IFERROR(__xludf.DUMMYFUNCTION("""COMPUTED_VALUE"""),14510.0)</f>
        <v>14510</v>
      </c>
      <c r="M154" t="str">
        <f>IFERROR(__xludf.DUMMYFUNCTION("""COMPUTED_VALUE"""),"Beauty")</f>
        <v>Beauty</v>
      </c>
      <c r="N154" t="str">
        <f>IFERROR(__xludf.DUMMYFUNCTION("""COMPUTED_VALUE"""),"Tester")</f>
        <v>Tester</v>
      </c>
      <c r="O154" t="str">
        <f>IFERROR(__xludf.DUMMYFUNCTION("""COMPUTED_VALUE"""),"Y")</f>
        <v>Y</v>
      </c>
      <c r="P154" s="1" t="str">
        <f>IFERROR(__xludf.DUMMYFUNCTION("""COMPUTED_VALUE"""),"ID 18058")</f>
        <v>ID 18058</v>
      </c>
      <c r="Q154" s="1" t="str">
        <f>IFERROR(__xludf.DUMMYFUNCTION("""COMPUTED_VALUE"""),"B000C1VZMY")</f>
        <v>B000C1VZMY</v>
      </c>
    </row>
    <row r="155">
      <c r="A155" s="6">
        <f>IFERROR(__xludf.DUMMYFUNCTION("""COMPUTED_VALUE"""),45362.0)</f>
        <v>45362</v>
      </c>
      <c r="B155">
        <f>IFERROR(__xludf.DUMMYFUNCTION("""COMPUTED_VALUE"""),19646.0)</f>
        <v>19646</v>
      </c>
      <c r="C155" t="str">
        <f>IFERROR(__xludf.DUMMYFUNCTION("""COMPUTED_VALUE"""),"Pentel RSVP RT Colors Retractable Ball Point Pen, Med Line, Black Barrel, 2 Pack (BK93CRBP2A)")</f>
        <v>Pentel RSVP RT Colors Retractable Ball Point Pen, Med Line, Black Barrel, 2 Pack (BK93CRBP2A)</v>
      </c>
      <c r="D155" t="str">
        <f>IFERROR(__xludf.DUMMYFUNCTION("""COMPUTED_VALUE"""),"B016PE57PW")</f>
        <v>B016PE57PW</v>
      </c>
      <c r="E155" t="str">
        <f>IFERROR(__xludf.DUMMYFUNCTION("""COMPUTED_VALUE"""),"072512251218")</f>
        <v>072512251218</v>
      </c>
      <c r="F155">
        <f>IFERROR(__xludf.DUMMYFUNCTION("""COMPUTED_VALUE"""),1008.0)</f>
        <v>1008</v>
      </c>
      <c r="G155">
        <f>IFERROR(__xludf.DUMMYFUNCTION("""COMPUTED_VALUE"""),10000.0)</f>
        <v>10000</v>
      </c>
      <c r="H155" s="2">
        <f>IFERROR(__xludf.DUMMYFUNCTION("""COMPUTED_VALUE"""),1.25)</f>
        <v>1.25</v>
      </c>
      <c r="I155" s="2">
        <f>IFERROR(__xludf.DUMMYFUNCTION("""COMPUTED_VALUE"""),6.17)</f>
        <v>6.17</v>
      </c>
      <c r="J155" s="2">
        <f>IFERROR(__xludf.DUMMYFUNCTION("""COMPUTED_VALUE"""),4.92)</f>
        <v>4.92</v>
      </c>
      <c r="K155" s="5">
        <f>IFERROR(__xludf.DUMMYFUNCTION("""COMPUTED_VALUE"""),3.936)</f>
        <v>3.936</v>
      </c>
      <c r="L155">
        <f>IFERROR(__xludf.DUMMYFUNCTION("""COMPUTED_VALUE"""),23706.0)</f>
        <v>23706</v>
      </c>
      <c r="M155" t="str">
        <f>IFERROR(__xludf.DUMMYFUNCTION("""COMPUTED_VALUE"""),"Office Product")</f>
        <v>Office Product</v>
      </c>
      <c r="O155" t="str">
        <f>IFERROR(__xludf.DUMMYFUNCTION("""COMPUTED_VALUE"""),"N")</f>
        <v>N</v>
      </c>
      <c r="P155" s="1" t="str">
        <f>IFERROR(__xludf.DUMMYFUNCTION("""COMPUTED_VALUE"""),"ID 19646")</f>
        <v>ID 19646</v>
      </c>
      <c r="Q155" s="1" t="str">
        <f>IFERROR(__xludf.DUMMYFUNCTION("""COMPUTED_VALUE"""),"B016PE57PW")</f>
        <v>B016PE57PW</v>
      </c>
    </row>
    <row r="156">
      <c r="A156" s="6">
        <f>IFERROR(__xludf.DUMMYFUNCTION("""COMPUTED_VALUE"""),45351.0)</f>
        <v>45351</v>
      </c>
      <c r="B156">
        <f>IFERROR(__xludf.DUMMYFUNCTION("""COMPUTED_VALUE"""),25955.0)</f>
        <v>25955</v>
      </c>
      <c r="C156" t="str">
        <f>IFERROR(__xludf.DUMMYFUNCTION("""COMPUTED_VALUE"""),"HAYES SCHOOL PUBLISHING Kindergarten Diplomas Certificate, 8-1/2 X 11 in, Paper, Pack of 30, (78302)")</f>
        <v>HAYES SCHOOL PUBLISHING Kindergarten Diplomas Certificate, 8-1/2 X 11 in, Paper, Pack of 30, (78302)</v>
      </c>
      <c r="D156" t="str">
        <f>IFERROR(__xludf.DUMMYFUNCTION("""COMPUTED_VALUE"""),"B000V9G720")</f>
        <v>B000V9G720</v>
      </c>
      <c r="E156" t="str">
        <f>IFERROR(__xludf.DUMMYFUNCTION("""COMPUTED_VALUE"""),"734675200303")</f>
        <v>734675200303</v>
      </c>
      <c r="F156">
        <f>IFERROR(__xludf.DUMMYFUNCTION("""COMPUTED_VALUE"""),450.0)</f>
        <v>450</v>
      </c>
      <c r="G156">
        <f>IFERROR(__xludf.DUMMYFUNCTION("""COMPUTED_VALUE"""),10000.0)</f>
        <v>10000</v>
      </c>
      <c r="H156" s="2">
        <f>IFERROR(__xludf.DUMMYFUNCTION("""COMPUTED_VALUE"""),4.25)</f>
        <v>4.25</v>
      </c>
      <c r="I156" s="2">
        <f>IFERROR(__xludf.DUMMYFUNCTION("""COMPUTED_VALUE"""),9.17)</f>
        <v>9.17</v>
      </c>
      <c r="J156" s="2">
        <f>IFERROR(__xludf.DUMMYFUNCTION("""COMPUTED_VALUE"""),4.92)</f>
        <v>4.92</v>
      </c>
      <c r="K156" s="5">
        <f>IFERROR(__xludf.DUMMYFUNCTION("""COMPUTED_VALUE"""),1.1576470588235295)</f>
        <v>1.157647059</v>
      </c>
      <c r="L156">
        <f>IFERROR(__xludf.DUMMYFUNCTION("""COMPUTED_VALUE"""),73412.0)</f>
        <v>73412</v>
      </c>
      <c r="M156" t="str">
        <f>IFERROR(__xludf.DUMMYFUNCTION("""COMPUTED_VALUE"""),"Toy")</f>
        <v>Toy</v>
      </c>
      <c r="O156" t="str">
        <f>IFERROR(__xludf.DUMMYFUNCTION("""COMPUTED_VALUE"""),"Y")</f>
        <v>Y</v>
      </c>
      <c r="P156" s="1" t="str">
        <f>IFERROR(__xludf.DUMMYFUNCTION("""COMPUTED_VALUE"""),"ID 25955")</f>
        <v>ID 25955</v>
      </c>
      <c r="Q156" s="1" t="str">
        <f>IFERROR(__xludf.DUMMYFUNCTION("""COMPUTED_VALUE"""),"B000V9G720")</f>
        <v>B000V9G720</v>
      </c>
    </row>
    <row r="157">
      <c r="A157" s="6">
        <f>IFERROR(__xludf.DUMMYFUNCTION("""COMPUTED_VALUE"""),45418.0)</f>
        <v>45418</v>
      </c>
      <c r="B157">
        <f>IFERROR(__xludf.DUMMYFUNCTION("""COMPUTED_VALUE"""),21925.0)</f>
        <v>21925</v>
      </c>
      <c r="C157" t="str">
        <f>IFERROR(__xludf.DUMMYFUNCTION("""COMPUTED_VALUE"""),"PRANG Refill Pans for Oval Watercolor Paint Set, 12 Pans per Box, Magenta (00818)")</f>
        <v>PRANG Refill Pans for Oval Watercolor Paint Set, 12 Pans per Box, Magenta (00818)</v>
      </c>
      <c r="D157" t="str">
        <f>IFERROR(__xludf.DUMMYFUNCTION("""COMPUTED_VALUE"""),"B0044SB59O")</f>
        <v>B0044SB59O</v>
      </c>
      <c r="E157" t="str">
        <f>IFERROR(__xludf.DUMMYFUNCTION("""COMPUTED_VALUE"""),"072067008183")</f>
        <v>072067008183</v>
      </c>
      <c r="F157">
        <f>IFERROR(__xludf.DUMMYFUNCTION("""COMPUTED_VALUE"""),816.0)</f>
        <v>816</v>
      </c>
      <c r="G157">
        <f>IFERROR(__xludf.DUMMYFUNCTION("""COMPUTED_VALUE"""),10000.0)</f>
        <v>10000</v>
      </c>
      <c r="H157" s="2">
        <f>IFERROR(__xludf.DUMMYFUNCTION("""COMPUTED_VALUE"""),4.5)</f>
        <v>4.5</v>
      </c>
      <c r="I157" s="2">
        <f>IFERROR(__xludf.DUMMYFUNCTION("""COMPUTED_VALUE"""),9.37)</f>
        <v>9.37</v>
      </c>
      <c r="J157" s="2">
        <f>IFERROR(__xludf.DUMMYFUNCTION("""COMPUTED_VALUE"""),4.869999999999999)</f>
        <v>4.87</v>
      </c>
      <c r="K157" s="5">
        <f>IFERROR(__xludf.DUMMYFUNCTION("""COMPUTED_VALUE"""),1.082222222222222)</f>
        <v>1.082222222</v>
      </c>
      <c r="L157">
        <f>IFERROR(__xludf.DUMMYFUNCTION("""COMPUTED_VALUE"""),19115.0)</f>
        <v>19115</v>
      </c>
      <c r="M157" t="str">
        <f>IFERROR(__xludf.DUMMYFUNCTION("""COMPUTED_VALUE"""),"BISS Basic")</f>
        <v>BISS Basic</v>
      </c>
      <c r="O157" t="str">
        <f>IFERROR(__xludf.DUMMYFUNCTION("""COMPUTED_VALUE"""),"N")</f>
        <v>N</v>
      </c>
      <c r="P157" s="1" t="str">
        <f>IFERROR(__xludf.DUMMYFUNCTION("""COMPUTED_VALUE"""),"ID 21925")</f>
        <v>ID 21925</v>
      </c>
      <c r="Q157" s="1" t="str">
        <f>IFERROR(__xludf.DUMMYFUNCTION("""COMPUTED_VALUE"""),"B0044SB59O")</f>
        <v>B0044SB59O</v>
      </c>
    </row>
    <row r="158">
      <c r="A158" s="6">
        <f>IFERROR(__xludf.DUMMYFUNCTION("""COMPUTED_VALUE"""),45401.0)</f>
        <v>45401</v>
      </c>
      <c r="B158">
        <f>IFERROR(__xludf.DUMMYFUNCTION("""COMPUTED_VALUE"""),10823.0)</f>
        <v>10823</v>
      </c>
      <c r="C158" t="str">
        <f>IFERROR(__xludf.DUMMYFUNCTION("""COMPUTED_VALUE"""),"Home Basics Sunflower collection, Heavy Duty Cast Iron Trivet, Elevated base Kitchen Countertop &amp; Dinning Room Table, (2, WHITE)")</f>
        <v>Home Basics Sunflower collection, Heavy Duty Cast Iron Trivet, Elevated base Kitchen Countertop &amp; Dinning Room Table, (2, WHITE)</v>
      </c>
      <c r="D158" t="str">
        <f>IFERROR(__xludf.DUMMYFUNCTION("""COMPUTED_VALUE"""),"B07Z6HRYM1")</f>
        <v>B07Z6HRYM1</v>
      </c>
      <c r="E158" t="str">
        <f>IFERROR(__xludf.DUMMYFUNCTION("""COMPUTED_VALUE"""),"886466458124")</f>
        <v>886466458124</v>
      </c>
      <c r="F158">
        <f>IFERROR(__xludf.DUMMYFUNCTION("""COMPUTED_VALUE"""),204.0)</f>
        <v>204</v>
      </c>
      <c r="G158">
        <f>IFERROR(__xludf.DUMMYFUNCTION("""COMPUTED_VALUE"""),10000.0)</f>
        <v>10000</v>
      </c>
      <c r="H158" s="2">
        <f>IFERROR(__xludf.DUMMYFUNCTION("""COMPUTED_VALUE"""),7.25)</f>
        <v>7.25</v>
      </c>
      <c r="I158" s="2">
        <f>IFERROR(__xludf.DUMMYFUNCTION("""COMPUTED_VALUE"""),12.09)</f>
        <v>12.09</v>
      </c>
      <c r="J158" s="2">
        <f>IFERROR(__xludf.DUMMYFUNCTION("""COMPUTED_VALUE"""),4.84)</f>
        <v>4.84</v>
      </c>
      <c r="K158" s="5">
        <f>IFERROR(__xludf.DUMMYFUNCTION("""COMPUTED_VALUE"""),0.6675862068965517)</f>
        <v>0.6675862069</v>
      </c>
      <c r="L158">
        <f>IFERROR(__xludf.DUMMYFUNCTION("""COMPUTED_VALUE"""),72062.0)</f>
        <v>72062</v>
      </c>
      <c r="M158" t="str">
        <f>IFERROR(__xludf.DUMMYFUNCTION("""COMPUTED_VALUE"""),"Home")</f>
        <v>Home</v>
      </c>
      <c r="O158" t="str">
        <f>IFERROR(__xludf.DUMMYFUNCTION("""COMPUTED_VALUE"""),"N")</f>
        <v>N</v>
      </c>
      <c r="P158" s="1" t="str">
        <f>IFERROR(__xludf.DUMMYFUNCTION("""COMPUTED_VALUE"""),"ID 10823")</f>
        <v>ID 10823</v>
      </c>
      <c r="Q158" s="1" t="str">
        <f>IFERROR(__xludf.DUMMYFUNCTION("""COMPUTED_VALUE"""),"B07Z6HRYM1")</f>
        <v>B07Z6HRYM1</v>
      </c>
    </row>
    <row r="159">
      <c r="A159" s="6">
        <f>IFERROR(__xludf.DUMMYFUNCTION("""COMPUTED_VALUE"""),44414.0)</f>
        <v>44414</v>
      </c>
      <c r="B159">
        <f>IFERROR(__xludf.DUMMYFUNCTION("""COMPUTED_VALUE"""),18091.0)</f>
        <v>18091</v>
      </c>
      <c r="C159" t="str">
        <f>IFERROR(__xludf.DUMMYFUNCTION("""COMPUTED_VALUE"""),"Fade to Silence Xbox One - Xbox One")</f>
        <v>Fade to Silence Xbox One - Xbox One</v>
      </c>
      <c r="D159" t="str">
        <f>IFERROR(__xludf.DUMMYFUNCTION("""COMPUTED_VALUE"""),"B07G1YNC22")</f>
        <v>B07G1YNC22</v>
      </c>
      <c r="E159" t="str">
        <f>IFERROR(__xludf.DUMMYFUNCTION("""COMPUTED_VALUE"""),"811994021427")</f>
        <v>811994021427</v>
      </c>
      <c r="F159">
        <f>IFERROR(__xludf.DUMMYFUNCTION("""COMPUTED_VALUE"""),200.0)</f>
        <v>200</v>
      </c>
      <c r="G159">
        <f>IFERROR(__xludf.DUMMYFUNCTION("""COMPUTED_VALUE"""),200.0)</f>
        <v>200</v>
      </c>
      <c r="H159" s="2">
        <f>IFERROR(__xludf.DUMMYFUNCTION("""COMPUTED_VALUE"""),5.5)</f>
        <v>5.5</v>
      </c>
      <c r="I159" s="2">
        <f>IFERROR(__xludf.DUMMYFUNCTION("""COMPUTED_VALUE"""),10.32)</f>
        <v>10.32</v>
      </c>
      <c r="J159" s="2">
        <f>IFERROR(__xludf.DUMMYFUNCTION("""COMPUTED_VALUE"""),4.82)</f>
        <v>4.82</v>
      </c>
      <c r="K159" s="5">
        <f>IFERROR(__xludf.DUMMYFUNCTION("""COMPUTED_VALUE"""),0.8763636363636365)</f>
        <v>0.8763636364</v>
      </c>
      <c r="L159">
        <f>IFERROR(__xludf.DUMMYFUNCTION("""COMPUTED_VALUE"""),73235.0)</f>
        <v>73235</v>
      </c>
      <c r="M159" t="str">
        <f>IFERROR(__xludf.DUMMYFUNCTION("""COMPUTED_VALUE"""),"Video Games")</f>
        <v>Video Games</v>
      </c>
      <c r="O159" t="str">
        <f>IFERROR(__xludf.DUMMYFUNCTION("""COMPUTED_VALUE"""),"N")</f>
        <v>N</v>
      </c>
      <c r="P159" s="1" t="str">
        <f>IFERROR(__xludf.DUMMYFUNCTION("""COMPUTED_VALUE"""),"ID 18091")</f>
        <v>ID 18091</v>
      </c>
      <c r="Q159" s="1" t="str">
        <f>IFERROR(__xludf.DUMMYFUNCTION("""COMPUTED_VALUE"""),"B07G1YNC22")</f>
        <v>B07G1YNC22</v>
      </c>
    </row>
    <row r="160">
      <c r="A160" s="6">
        <f>IFERROR(__xludf.DUMMYFUNCTION("""COMPUTED_VALUE"""),44458.0)</f>
        <v>44458</v>
      </c>
      <c r="B160">
        <f>IFERROR(__xludf.DUMMYFUNCTION("""COMPUTED_VALUE"""),18449.0)</f>
        <v>18449</v>
      </c>
      <c r="C160" t="str">
        <f>IFERROR(__xludf.DUMMYFUNCTION("""COMPUTED_VALUE"""),"Pendaflex Recycled Hanging Folders, Legal Size, Yellow, 1/5 Cut, 25/BX (81626)")</f>
        <v>Pendaflex Recycled Hanging Folders, Legal Size, Yellow, 1/5 Cut, 25/BX (81626)</v>
      </c>
      <c r="D160" t="str">
        <f>IFERROR(__xludf.DUMMYFUNCTION("""COMPUTED_VALUE"""),"B0006HXDNI")</f>
        <v>B0006HXDNI</v>
      </c>
      <c r="E160" t="str">
        <f>IFERROR(__xludf.DUMMYFUNCTION("""COMPUTED_VALUE"""),"78787816268")</f>
        <v>78787816268</v>
      </c>
      <c r="F160">
        <f>IFERROR(__xludf.DUMMYFUNCTION("""COMPUTED_VALUE"""),110.0)</f>
        <v>110</v>
      </c>
      <c r="G160">
        <f>IFERROR(__xludf.DUMMYFUNCTION("""COMPUTED_VALUE"""),5000.0)</f>
        <v>5000</v>
      </c>
      <c r="H160" s="2">
        <f>IFERROR(__xludf.DUMMYFUNCTION("""COMPUTED_VALUE"""),23.0)</f>
        <v>23</v>
      </c>
      <c r="I160" s="2">
        <f>IFERROR(__xludf.DUMMYFUNCTION("""COMPUTED_VALUE"""),27.81)</f>
        <v>27.81</v>
      </c>
      <c r="J160" s="2">
        <f>IFERROR(__xludf.DUMMYFUNCTION("""COMPUTED_VALUE"""),4.809999999999999)</f>
        <v>4.81</v>
      </c>
      <c r="K160" s="5">
        <f>IFERROR(__xludf.DUMMYFUNCTION("""COMPUTED_VALUE"""),0.20913043478260865)</f>
        <v>0.2091304348</v>
      </c>
      <c r="L160">
        <f>IFERROR(__xludf.DUMMYFUNCTION("""COMPUTED_VALUE"""),1365.0)</f>
        <v>1365</v>
      </c>
      <c r="M160" t="str">
        <f>IFERROR(__xludf.DUMMYFUNCTION("""COMPUTED_VALUE"""),"Office Product")</f>
        <v>Office Product</v>
      </c>
      <c r="O160" t="str">
        <f>IFERROR(__xludf.DUMMYFUNCTION("""COMPUTED_VALUE"""),"N")</f>
        <v>N</v>
      </c>
      <c r="P160" s="1" t="str">
        <f>IFERROR(__xludf.DUMMYFUNCTION("""COMPUTED_VALUE"""),"ID 18449")</f>
        <v>ID 18449</v>
      </c>
      <c r="Q160" s="1" t="str">
        <f>IFERROR(__xludf.DUMMYFUNCTION("""COMPUTED_VALUE"""),"B0006HXDNI")</f>
        <v>B0006HXDNI</v>
      </c>
    </row>
    <row r="161">
      <c r="A161" s="6">
        <f>IFERROR(__xludf.DUMMYFUNCTION("""COMPUTED_VALUE"""),45421.0)</f>
        <v>45421</v>
      </c>
      <c r="B161">
        <f>IFERROR(__xludf.DUMMYFUNCTION("""COMPUTED_VALUE"""),23054.0)</f>
        <v>23054</v>
      </c>
      <c r="C161" t="str">
        <f>IFERROR(__xludf.DUMMYFUNCTION("""COMPUTED_VALUE"""),"Grumbacher Pre-Tested Oil Paint, 37ml/1.25 oz., Pyrrole Red (P312G)")</f>
        <v>Grumbacher Pre-Tested Oil Paint, 37ml/1.25 oz., Pyrrole Red (P312G)</v>
      </c>
      <c r="D161" t="str">
        <f>IFERROR(__xludf.DUMMYFUNCTION("""COMPUTED_VALUE"""),"B00NG0IEXG")</f>
        <v>B00NG0IEXG</v>
      </c>
      <c r="E161" t="str">
        <f>IFERROR(__xludf.DUMMYFUNCTION("""COMPUTED_VALUE"""),"014173399366")</f>
        <v>014173399366</v>
      </c>
      <c r="F161">
        <f>IFERROR(__xludf.DUMMYFUNCTION("""COMPUTED_VALUE"""),180.0)</f>
        <v>180</v>
      </c>
      <c r="G161">
        <f>IFERROR(__xludf.DUMMYFUNCTION("""COMPUTED_VALUE"""),10000.0)</f>
        <v>10000</v>
      </c>
      <c r="H161" s="2">
        <f>IFERROR(__xludf.DUMMYFUNCTION("""COMPUTED_VALUE"""),12.25)</f>
        <v>12.25</v>
      </c>
      <c r="I161" s="2">
        <f>IFERROR(__xludf.DUMMYFUNCTION("""COMPUTED_VALUE"""),17.06)</f>
        <v>17.06</v>
      </c>
      <c r="J161" s="2">
        <f>IFERROR(__xludf.DUMMYFUNCTION("""COMPUTED_VALUE"""),4.809999999999999)</f>
        <v>4.81</v>
      </c>
      <c r="K161" s="5">
        <f>IFERROR(__xludf.DUMMYFUNCTION("""COMPUTED_VALUE"""),0.3926530612244897)</f>
        <v>0.3926530612</v>
      </c>
      <c r="L161">
        <f>IFERROR(__xludf.DUMMYFUNCTION("""COMPUTED_VALUE"""),66822.0)</f>
        <v>66822</v>
      </c>
      <c r="M161" t="str">
        <f>IFERROR(__xludf.DUMMYFUNCTION("""COMPUTED_VALUE"""),"Home")</f>
        <v>Home</v>
      </c>
      <c r="O161" t="str">
        <f>IFERROR(__xludf.DUMMYFUNCTION("""COMPUTED_VALUE"""),"N")</f>
        <v>N</v>
      </c>
      <c r="P161" s="1" t="str">
        <f>IFERROR(__xludf.DUMMYFUNCTION("""COMPUTED_VALUE"""),"ID 23054")</f>
        <v>ID 23054</v>
      </c>
      <c r="Q161" s="1" t="str">
        <f>IFERROR(__xludf.DUMMYFUNCTION("""COMPUTED_VALUE"""),"B00NG0IEXG")</f>
        <v>B00NG0IEXG</v>
      </c>
    </row>
    <row r="162">
      <c r="A162" s="6">
        <f>IFERROR(__xludf.DUMMYFUNCTION("""COMPUTED_VALUE"""),45376.0)</f>
        <v>45376</v>
      </c>
      <c r="B162">
        <f>IFERROR(__xludf.DUMMYFUNCTION("""COMPUTED_VALUE"""),17054.0)</f>
        <v>17054</v>
      </c>
      <c r="C162" t="str">
        <f>IFERROR(__xludf.DUMMYFUNCTION("""COMPUTED_VALUE"""),"PRANG Half Pan Watercolor Paint Refill Strip, 8 Assorted Color Tray (82000)")</f>
        <v>PRANG Half Pan Watercolor Paint Refill Strip, 8 Assorted Color Tray (82000)</v>
      </c>
      <c r="D162" t="str">
        <f>IFERROR(__xludf.DUMMYFUNCTION("""COMPUTED_VALUE"""),"B003U6KUUQ")</f>
        <v>B003U6KUUQ</v>
      </c>
      <c r="E162" t="str">
        <f>IFERROR(__xludf.DUMMYFUNCTION("""COMPUTED_VALUE"""),"072067820006")</f>
        <v>072067820006</v>
      </c>
      <c r="F162">
        <f>IFERROR(__xludf.DUMMYFUNCTION("""COMPUTED_VALUE"""),648.0)</f>
        <v>648</v>
      </c>
      <c r="G162">
        <f>IFERROR(__xludf.DUMMYFUNCTION("""COMPUTED_VALUE"""),10000.0)</f>
        <v>10000</v>
      </c>
      <c r="H162" s="2">
        <f>IFERROR(__xludf.DUMMYFUNCTION("""COMPUTED_VALUE"""),5.5)</f>
        <v>5.5</v>
      </c>
      <c r="I162" s="2">
        <f>IFERROR(__xludf.DUMMYFUNCTION("""COMPUTED_VALUE"""),10.26)</f>
        <v>10.26</v>
      </c>
      <c r="J162" s="2">
        <f>IFERROR(__xludf.DUMMYFUNCTION("""COMPUTED_VALUE"""),4.76)</f>
        <v>4.76</v>
      </c>
      <c r="K162" s="5">
        <f>IFERROR(__xludf.DUMMYFUNCTION("""COMPUTED_VALUE"""),0.8654545454545454)</f>
        <v>0.8654545455</v>
      </c>
      <c r="L162">
        <f>IFERROR(__xludf.DUMMYFUNCTION("""COMPUTED_VALUE"""),12972.0)</f>
        <v>12972</v>
      </c>
      <c r="M162" t="str">
        <f>IFERROR(__xludf.DUMMYFUNCTION("""COMPUTED_VALUE"""),"Office Product")</f>
        <v>Office Product</v>
      </c>
      <c r="O162" t="str">
        <f>IFERROR(__xludf.DUMMYFUNCTION("""COMPUTED_VALUE"""),"Y")</f>
        <v>Y</v>
      </c>
      <c r="P162" s="1" t="str">
        <f>IFERROR(__xludf.DUMMYFUNCTION("""COMPUTED_VALUE"""),"ID 17054")</f>
        <v>ID 17054</v>
      </c>
      <c r="Q162" s="1" t="str">
        <f>IFERROR(__xludf.DUMMYFUNCTION("""COMPUTED_VALUE"""),"B003U6KUUQ")</f>
        <v>B003U6KUUQ</v>
      </c>
    </row>
    <row r="163">
      <c r="A163" s="6">
        <f>IFERROR(__xludf.DUMMYFUNCTION("""COMPUTED_VALUE"""),45211.0)</f>
        <v>45211</v>
      </c>
      <c r="B163">
        <f>IFERROR(__xludf.DUMMYFUNCTION("""COMPUTED_VALUE"""),26088.0)</f>
        <v>26088</v>
      </c>
      <c r="C163" t="str">
        <f>IFERROR(__xludf.DUMMYFUNCTION("""COMPUTED_VALUE"""),"Softalk Antibacterial Phone Shoulder Rest, Landline Office Telephone Accessory with Nonslip Ergo-Grip Cushion and Self-Adhesive Tape Attachment, Pearl Gray 00833m One Size")</f>
        <v>Softalk Antibacterial Phone Shoulder Rest, Landline Office Telephone Accessory with Nonslip Ergo-Grip Cushion and Self-Adhesive Tape Attachment, Pearl Gray 00833m One Size</v>
      </c>
      <c r="D163" t="str">
        <f>IFERROR(__xludf.DUMMYFUNCTION("""COMPUTED_VALUE"""),"B00F8LPPA6")</f>
        <v>B00F8LPPA6</v>
      </c>
      <c r="E163" t="str">
        <f>IFERROR(__xludf.DUMMYFUNCTION("""COMPUTED_VALUE"""),"26281005107")</f>
        <v>26281005107</v>
      </c>
      <c r="F163">
        <f>IFERROR(__xludf.DUMMYFUNCTION("""COMPUTED_VALUE"""),180.0)</f>
        <v>180</v>
      </c>
      <c r="G163">
        <f>IFERROR(__xludf.DUMMYFUNCTION("""COMPUTED_VALUE"""),168.0)</f>
        <v>168</v>
      </c>
      <c r="H163" s="2">
        <f>IFERROR(__xludf.DUMMYFUNCTION("""COMPUTED_VALUE"""),10.0)</f>
        <v>10</v>
      </c>
      <c r="I163" s="2">
        <f>IFERROR(__xludf.DUMMYFUNCTION("""COMPUTED_VALUE"""),14.75)</f>
        <v>14.75</v>
      </c>
      <c r="J163" s="2">
        <f>IFERROR(__xludf.DUMMYFUNCTION("""COMPUTED_VALUE"""),4.75)</f>
        <v>4.75</v>
      </c>
      <c r="K163" s="5">
        <f>IFERROR(__xludf.DUMMYFUNCTION("""COMPUTED_VALUE"""),0.475)</f>
        <v>0.475</v>
      </c>
      <c r="L163">
        <f>IFERROR(__xludf.DUMMYFUNCTION("""COMPUTED_VALUE"""),6326.0)</f>
        <v>6326</v>
      </c>
      <c r="M163" t="str">
        <f>IFERROR(__xludf.DUMMYFUNCTION("""COMPUTED_VALUE"""),"CE")</f>
        <v>CE</v>
      </c>
      <c r="O163" t="str">
        <f>IFERROR(__xludf.DUMMYFUNCTION("""COMPUTED_VALUE"""),"N")</f>
        <v>N</v>
      </c>
      <c r="P163" s="1" t="str">
        <f>IFERROR(__xludf.DUMMYFUNCTION("""COMPUTED_VALUE"""),"ID 26088")</f>
        <v>ID 26088</v>
      </c>
      <c r="Q163" s="1" t="str">
        <f>IFERROR(__xludf.DUMMYFUNCTION("""COMPUTED_VALUE"""),"B00F8LPPA6")</f>
        <v>B00F8LPPA6</v>
      </c>
    </row>
    <row r="164">
      <c r="A164" s="6">
        <f>IFERROR(__xludf.DUMMYFUNCTION("""COMPUTED_VALUE"""),44762.0)</f>
        <v>44762</v>
      </c>
      <c r="B164">
        <f>IFERROR(__xludf.DUMMYFUNCTION("""COMPUTED_VALUE"""),21062.0)</f>
        <v>21062</v>
      </c>
      <c r="C164" t="str">
        <f>IFERROR(__xludf.DUMMYFUNCTION("""COMPUTED_VALUE"""),"Saunders Silver Landscape Recycled Aluminum Clipboard with Low Profile Clip - Letter Size Document Holder for Home, Office, and Business Use (21521)")</f>
        <v>Saunders Silver Landscape Recycled Aluminum Clipboard with Low Profile Clip - Letter Size Document Holder for Home, Office, and Business Use (21521)</v>
      </c>
      <c r="D164" t="str">
        <f>IFERROR(__xludf.DUMMYFUNCTION("""COMPUTED_VALUE"""),"B07F2LXLQ7")</f>
        <v>B07F2LXLQ7</v>
      </c>
      <c r="E164" t="str">
        <f>IFERROR(__xludf.DUMMYFUNCTION("""COMPUTED_VALUE"""),"44357215212")</f>
        <v>44357215212</v>
      </c>
      <c r="F164">
        <f>IFERROR(__xludf.DUMMYFUNCTION("""COMPUTED_VALUE"""),210.0)</f>
        <v>210</v>
      </c>
      <c r="G164">
        <f>IFERROR(__xludf.DUMMYFUNCTION("""COMPUTED_VALUE"""),1000.0)</f>
        <v>1000</v>
      </c>
      <c r="H164" s="2">
        <f>IFERROR(__xludf.DUMMYFUNCTION("""COMPUTED_VALUE"""),7.25)</f>
        <v>7.25</v>
      </c>
      <c r="I164" s="2">
        <f>IFERROR(__xludf.DUMMYFUNCTION("""COMPUTED_VALUE"""),11.95)</f>
        <v>11.95</v>
      </c>
      <c r="J164" s="2">
        <f>IFERROR(__xludf.DUMMYFUNCTION("""COMPUTED_VALUE"""),4.699999999999999)</f>
        <v>4.7</v>
      </c>
      <c r="K164" s="5">
        <f>IFERROR(__xludf.DUMMYFUNCTION("""COMPUTED_VALUE"""),0.6482758620689654)</f>
        <v>0.6482758621</v>
      </c>
      <c r="L164">
        <f>IFERROR(__xludf.DUMMYFUNCTION("""COMPUTED_VALUE"""),96180.0)</f>
        <v>96180</v>
      </c>
      <c r="M164" t="str">
        <f>IFERROR(__xludf.DUMMYFUNCTION("""COMPUTED_VALUE"""),"Office Product")</f>
        <v>Office Product</v>
      </c>
      <c r="O164" t="str">
        <f>IFERROR(__xludf.DUMMYFUNCTION("""COMPUTED_VALUE"""),"N")</f>
        <v>N</v>
      </c>
      <c r="P164" s="1" t="str">
        <f>IFERROR(__xludf.DUMMYFUNCTION("""COMPUTED_VALUE"""),"ID 21062")</f>
        <v>ID 21062</v>
      </c>
      <c r="Q164" s="1" t="str">
        <f>IFERROR(__xludf.DUMMYFUNCTION("""COMPUTED_VALUE"""),"B07F2LXLQ7")</f>
        <v>B07F2LXLQ7</v>
      </c>
    </row>
    <row r="165">
      <c r="A165" s="6">
        <f>IFERROR(__xludf.DUMMYFUNCTION("""COMPUTED_VALUE"""),45376.0)</f>
        <v>45376</v>
      </c>
      <c r="B165">
        <f>IFERROR(__xludf.DUMMYFUNCTION("""COMPUTED_VALUE"""),15843.0)</f>
        <v>15843</v>
      </c>
      <c r="C165" t="str">
        <f>IFERROR(__xludf.DUMMYFUNCTION("""COMPUTED_VALUE"""),"Pets Alive Rainbow Bonnie The Booty Shakin Llama Battery-Powered Dancing Robotic Toy by ZURU")</f>
        <v>Pets Alive Rainbow Bonnie The Booty Shakin Llama Battery-Powered Dancing Robotic Toy by ZURU</v>
      </c>
      <c r="D165" t="str">
        <f>IFERROR(__xludf.DUMMYFUNCTION("""COMPUTED_VALUE"""),"B07XYQV9S3")</f>
        <v>B07XYQV9S3</v>
      </c>
      <c r="E165" t="str">
        <f>IFERROR(__xludf.DUMMYFUNCTION("""COMPUTED_VALUE"""),"193052014795")</f>
        <v>193052014795</v>
      </c>
      <c r="F165">
        <f>IFERROR(__xludf.DUMMYFUNCTION("""COMPUTED_VALUE"""),66.0)</f>
        <v>66</v>
      </c>
      <c r="G165">
        <f>IFERROR(__xludf.DUMMYFUNCTION("""COMPUTED_VALUE"""),1060.0)</f>
        <v>1060</v>
      </c>
      <c r="H165" s="2">
        <f>IFERROR(__xludf.DUMMYFUNCTION("""COMPUTED_VALUE"""),20.0)</f>
        <v>20</v>
      </c>
      <c r="I165" s="2">
        <f>IFERROR(__xludf.DUMMYFUNCTION("""COMPUTED_VALUE"""),24.69)</f>
        <v>24.69</v>
      </c>
      <c r="J165" s="2">
        <f>IFERROR(__xludf.DUMMYFUNCTION("""COMPUTED_VALUE"""),4.690000000000001)</f>
        <v>4.69</v>
      </c>
      <c r="K165" s="5">
        <f>IFERROR(__xludf.DUMMYFUNCTION("""COMPUTED_VALUE"""),0.23450000000000007)</f>
        <v>0.2345</v>
      </c>
      <c r="L165">
        <f>IFERROR(__xludf.DUMMYFUNCTION("""COMPUTED_VALUE"""),53229.0)</f>
        <v>53229</v>
      </c>
      <c r="M165" t="str">
        <f>IFERROR(__xludf.DUMMYFUNCTION("""COMPUTED_VALUE"""),"Toy")</f>
        <v>Toy</v>
      </c>
      <c r="O165" t="str">
        <f>IFERROR(__xludf.DUMMYFUNCTION("""COMPUTED_VALUE"""),"Y")</f>
        <v>Y</v>
      </c>
      <c r="P165" s="1" t="str">
        <f>IFERROR(__xludf.DUMMYFUNCTION("""COMPUTED_VALUE"""),"ID 15843")</f>
        <v>ID 15843</v>
      </c>
      <c r="Q165" s="1" t="str">
        <f>IFERROR(__xludf.DUMMYFUNCTION("""COMPUTED_VALUE"""),"B07XYQV9S3")</f>
        <v>B07XYQV9S3</v>
      </c>
    </row>
    <row r="166">
      <c r="A166" s="6">
        <f>IFERROR(__xludf.DUMMYFUNCTION("""COMPUTED_VALUE"""),45257.0)</f>
        <v>45257</v>
      </c>
      <c r="B166">
        <f>IFERROR(__xludf.DUMMYFUNCTION("""COMPUTED_VALUE"""),24251.0)</f>
        <v>24251</v>
      </c>
      <c r="C166" t="str">
        <f>IFERROR(__xludf.DUMMYFUNCTION("""COMPUTED_VALUE"""),"ARMAF TRES NUIT 3.4 EAU DE TOILETTE SPRAY FOR MEN")</f>
        <v>ARMAF TRES NUIT 3.4 EAU DE TOILETTE SPRAY FOR MEN</v>
      </c>
      <c r="D166" t="str">
        <f>IFERROR(__xludf.DUMMYFUNCTION("""COMPUTED_VALUE"""),"B00NQGPPW8")</f>
        <v>B00NQGPPW8</v>
      </c>
      <c r="E166" t="str">
        <f>IFERROR(__xludf.DUMMYFUNCTION("""COMPUTED_VALUE"""),"6085010094663")</f>
        <v>6085010094663</v>
      </c>
      <c r="F166">
        <f>IFERROR(__xludf.DUMMYFUNCTION("""COMPUTED_VALUE"""),80.0)</f>
        <v>80</v>
      </c>
      <c r="G166">
        <f>IFERROR(__xludf.DUMMYFUNCTION("""COMPUTED_VALUE"""),10000.0)</f>
        <v>10000</v>
      </c>
      <c r="H166" s="2">
        <f>IFERROR(__xludf.DUMMYFUNCTION("""COMPUTED_VALUE"""),16.5)</f>
        <v>16.5</v>
      </c>
      <c r="I166" s="2">
        <f>IFERROR(__xludf.DUMMYFUNCTION("""COMPUTED_VALUE"""),21.19)</f>
        <v>21.19</v>
      </c>
      <c r="J166" s="2">
        <f>IFERROR(__xludf.DUMMYFUNCTION("""COMPUTED_VALUE"""),4.690000000000001)</f>
        <v>4.69</v>
      </c>
      <c r="K166" s="5">
        <f>IFERROR(__xludf.DUMMYFUNCTION("""COMPUTED_VALUE"""),0.2842424242424243)</f>
        <v>0.2842424242</v>
      </c>
      <c r="L166">
        <f>IFERROR(__xludf.DUMMYFUNCTION("""COMPUTED_VALUE"""),25600.0)</f>
        <v>25600</v>
      </c>
      <c r="M166" t="str">
        <f>IFERROR(__xludf.DUMMYFUNCTION("""COMPUTED_VALUE"""),"Beauty")</f>
        <v>Beauty</v>
      </c>
      <c r="O166" t="str">
        <f>IFERROR(__xludf.DUMMYFUNCTION("""COMPUTED_VALUE"""),"Y")</f>
        <v>Y</v>
      </c>
      <c r="P166" s="1" t="str">
        <f>IFERROR(__xludf.DUMMYFUNCTION("""COMPUTED_VALUE"""),"ID 24251")</f>
        <v>ID 24251</v>
      </c>
      <c r="Q166" s="1" t="str">
        <f>IFERROR(__xludf.DUMMYFUNCTION("""COMPUTED_VALUE"""),"B00NQGPPW8")</f>
        <v>B00NQGPPW8</v>
      </c>
    </row>
    <row r="167">
      <c r="A167" s="6">
        <f>IFERROR(__xludf.DUMMYFUNCTION("""COMPUTED_VALUE"""),45376.0)</f>
        <v>45376</v>
      </c>
      <c r="B167">
        <f>IFERROR(__xludf.DUMMYFUNCTION("""COMPUTED_VALUE"""),21923.0)</f>
        <v>21923</v>
      </c>
      <c r="C167" t="str">
        <f>IFERROR(__xludf.DUMMYFUNCTION("""COMPUTED_VALUE"""),"PRANG Refill Pans for Oval Watercolor Paint Set, 12 Pans per Box, Blue (00805)")</f>
        <v>PRANG Refill Pans for Oval Watercolor Paint Set, 12 Pans per Box, Blue (00805)</v>
      </c>
      <c r="D167" t="str">
        <f>IFERROR(__xludf.DUMMYFUNCTION("""COMPUTED_VALUE"""),"B0044S99X8")</f>
        <v>B0044S99X8</v>
      </c>
      <c r="E167" t="str">
        <f>IFERROR(__xludf.DUMMYFUNCTION("""COMPUTED_VALUE"""),"072067008053")</f>
        <v>072067008053</v>
      </c>
      <c r="F167">
        <f>IFERROR(__xludf.DUMMYFUNCTION("""COMPUTED_VALUE"""),816.0)</f>
        <v>816</v>
      </c>
      <c r="G167">
        <f>IFERROR(__xludf.DUMMYFUNCTION("""COMPUTED_VALUE"""),10000.0)</f>
        <v>10000</v>
      </c>
      <c r="H167" s="2">
        <f>IFERROR(__xludf.DUMMYFUNCTION("""COMPUTED_VALUE"""),4.5)</f>
        <v>4.5</v>
      </c>
      <c r="I167" s="2">
        <f>IFERROR(__xludf.DUMMYFUNCTION("""COMPUTED_VALUE"""),9.16)</f>
        <v>9.16</v>
      </c>
      <c r="J167" s="2">
        <f>IFERROR(__xludf.DUMMYFUNCTION("""COMPUTED_VALUE"""),4.66)</f>
        <v>4.66</v>
      </c>
      <c r="K167" s="5">
        <f>IFERROR(__xludf.DUMMYFUNCTION("""COMPUTED_VALUE"""),1.0355555555555556)</f>
        <v>1.035555556</v>
      </c>
      <c r="L167">
        <f>IFERROR(__xludf.DUMMYFUNCTION("""COMPUTED_VALUE"""),13615.0)</f>
        <v>13615</v>
      </c>
      <c r="M167" t="str">
        <f>IFERROR(__xludf.DUMMYFUNCTION("""COMPUTED_VALUE"""),"Office Product")</f>
        <v>Office Product</v>
      </c>
      <c r="O167" t="str">
        <f>IFERROR(__xludf.DUMMYFUNCTION("""COMPUTED_VALUE"""),"Y")</f>
        <v>Y</v>
      </c>
      <c r="P167" s="1" t="str">
        <f>IFERROR(__xludf.DUMMYFUNCTION("""COMPUTED_VALUE"""),"ID 21923")</f>
        <v>ID 21923</v>
      </c>
      <c r="Q167" s="1" t="str">
        <f>IFERROR(__xludf.DUMMYFUNCTION("""COMPUTED_VALUE"""),"B0044S99X8")</f>
        <v>B0044S99X8</v>
      </c>
    </row>
    <row r="168">
      <c r="A168" s="6">
        <f>IFERROR(__xludf.DUMMYFUNCTION("""COMPUTED_VALUE"""),44956.0)</f>
        <v>44956</v>
      </c>
      <c r="B168">
        <f>IFERROR(__xludf.DUMMYFUNCTION("""COMPUTED_VALUE"""),23039.0)</f>
        <v>23039</v>
      </c>
      <c r="C168" t="str">
        <f>IFERROR(__xludf.DUMMYFUNCTION("""COMPUTED_VALUE"""),"C-Line Stitched Shop Ticket Holders, Both Sides Clear, Open Long Side, 11 x 8.5 Inches, 25 per Box (49911)")</f>
        <v>C-Line Stitched Shop Ticket Holders, Both Sides Clear, Open Long Side, 11 x 8.5 Inches, 25 per Box (49911)</v>
      </c>
      <c r="D168" t="str">
        <f>IFERROR(__xludf.DUMMYFUNCTION("""COMPUTED_VALUE"""),"B001600LVG")</f>
        <v>B001600LVG</v>
      </c>
      <c r="E168" t="str">
        <f>IFERROR(__xludf.DUMMYFUNCTION("""COMPUTED_VALUE"""),"38944499116")</f>
        <v>38944499116</v>
      </c>
      <c r="F168">
        <f>IFERROR(__xludf.DUMMYFUNCTION("""COMPUTED_VALUE"""),91.0)</f>
        <v>91</v>
      </c>
      <c r="G168">
        <f>IFERROR(__xludf.DUMMYFUNCTION("""COMPUTED_VALUE"""),10000.0)</f>
        <v>10000</v>
      </c>
      <c r="H168" s="2">
        <f>IFERROR(__xludf.DUMMYFUNCTION("""COMPUTED_VALUE"""),14.5)</f>
        <v>14.5</v>
      </c>
      <c r="I168" s="2">
        <f>IFERROR(__xludf.DUMMYFUNCTION("""COMPUTED_VALUE"""),19.14)</f>
        <v>19.14</v>
      </c>
      <c r="J168" s="2">
        <f>IFERROR(__xludf.DUMMYFUNCTION("""COMPUTED_VALUE"""),4.640000000000001)</f>
        <v>4.64</v>
      </c>
      <c r="K168" s="5">
        <f>IFERROR(__xludf.DUMMYFUNCTION("""COMPUTED_VALUE"""),0.32000000000000006)</f>
        <v>0.32</v>
      </c>
      <c r="L168">
        <f>IFERROR(__xludf.DUMMYFUNCTION("""COMPUTED_VALUE"""),27817.0)</f>
        <v>27817</v>
      </c>
      <c r="M168" t="str">
        <f>IFERROR(__xludf.DUMMYFUNCTION("""COMPUTED_VALUE"""),"Office Product")</f>
        <v>Office Product</v>
      </c>
      <c r="N168"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68" t="str">
        <f>IFERROR(__xludf.DUMMYFUNCTION("""COMPUTED_VALUE"""),"N")</f>
        <v>N</v>
      </c>
      <c r="P168" s="1" t="str">
        <f>IFERROR(__xludf.DUMMYFUNCTION("""COMPUTED_VALUE"""),"ID 23039")</f>
        <v>ID 23039</v>
      </c>
      <c r="Q168" s="1" t="str">
        <f>IFERROR(__xludf.DUMMYFUNCTION("""COMPUTED_VALUE"""),"B001600LVG")</f>
        <v>B001600LVG</v>
      </c>
    </row>
    <row r="169">
      <c r="A169" s="6">
        <f>IFERROR(__xludf.DUMMYFUNCTION("""COMPUTED_VALUE"""),45362.0)</f>
        <v>45362</v>
      </c>
      <c r="B169">
        <f>IFERROR(__xludf.DUMMYFUNCTION("""COMPUTED_VALUE"""),19699.0)</f>
        <v>19699</v>
      </c>
      <c r="C169" t="str">
        <f>IFERROR(__xludf.DUMMYFUNCTION("""COMPUTED_VALUE"""),"Pentel Libretto Roller Gel Pen and Pencil Set with Gift Box, Pen 0.7mm and Pencil 0.5mm, Cream Barrels (K6A8W-A)")</f>
        <v>Pentel Libretto Roller Gel Pen and Pencil Set with Gift Box, Pen 0.7mm and Pencil 0.5mm, Cream Barrels (K6A8W-A)</v>
      </c>
      <c r="D169" t="str">
        <f>IFERROR(__xludf.DUMMYFUNCTION("""COMPUTED_VALUE"""),"B009M27MI0")</f>
        <v>B009M27MI0</v>
      </c>
      <c r="E169" t="str">
        <f>IFERROR(__xludf.DUMMYFUNCTION("""COMPUTED_VALUE"""),"072512247464")</f>
        <v>072512247464</v>
      </c>
      <c r="F169">
        <f>IFERROR(__xludf.DUMMYFUNCTION("""COMPUTED_VALUE"""),72.0)</f>
        <v>72</v>
      </c>
      <c r="G169">
        <f>IFERROR(__xludf.DUMMYFUNCTION("""COMPUTED_VALUE"""),10000.0)</f>
        <v>10000</v>
      </c>
      <c r="H169" s="2">
        <f>IFERROR(__xludf.DUMMYFUNCTION("""COMPUTED_VALUE"""),20.0)</f>
        <v>20</v>
      </c>
      <c r="I169" s="2">
        <f>IFERROR(__xludf.DUMMYFUNCTION("""COMPUTED_VALUE"""),24.63)</f>
        <v>24.63</v>
      </c>
      <c r="J169" s="2">
        <f>IFERROR(__xludf.DUMMYFUNCTION("""COMPUTED_VALUE"""),4.629999999999999)</f>
        <v>4.63</v>
      </c>
      <c r="K169" s="5">
        <f>IFERROR(__xludf.DUMMYFUNCTION("""COMPUTED_VALUE"""),0.23149999999999996)</f>
        <v>0.2315</v>
      </c>
      <c r="L169">
        <f>IFERROR(__xludf.DUMMYFUNCTION("""COMPUTED_VALUE"""),56236.0)</f>
        <v>56236</v>
      </c>
      <c r="M169" t="str">
        <f>IFERROR(__xludf.DUMMYFUNCTION("""COMPUTED_VALUE"""),"Office Product")</f>
        <v>Office Product</v>
      </c>
      <c r="O169" t="str">
        <f>IFERROR(__xludf.DUMMYFUNCTION("""COMPUTED_VALUE"""),"Y")</f>
        <v>Y</v>
      </c>
      <c r="P169" s="1" t="str">
        <f>IFERROR(__xludf.DUMMYFUNCTION("""COMPUTED_VALUE"""),"ID 19699")</f>
        <v>ID 19699</v>
      </c>
      <c r="Q169" s="1" t="str">
        <f>IFERROR(__xludf.DUMMYFUNCTION("""COMPUTED_VALUE"""),"B009M27MI0")</f>
        <v>B009M27MI0</v>
      </c>
    </row>
    <row r="170">
      <c r="A170" s="6">
        <f>IFERROR(__xludf.DUMMYFUNCTION("""COMPUTED_VALUE"""),45335.0)</f>
        <v>45335</v>
      </c>
      <c r="B170">
        <f>IFERROR(__xludf.DUMMYFUNCTION("""COMPUTED_VALUE"""),24075.0)</f>
        <v>24075</v>
      </c>
      <c r="C170" t="str">
        <f>IFERROR(__xludf.DUMMYFUNCTION("""COMPUTED_VALUE"""),"Pacon Multi-Sensory Raised, Tape-Bound Tablet, 1/2"" x 1/4"" Ruled Short, 8-1/2"" x 11"", 40 Sheets, White")</f>
        <v>Pacon Multi-Sensory Raised, Tape-Bound Tablet, 1/2" x 1/4" Ruled Short, 8-1/2" x 11", 40 Sheets, White</v>
      </c>
      <c r="D170" t="str">
        <f>IFERROR(__xludf.DUMMYFUNCTION("""COMPUTED_VALUE"""),"B084KWJL23")</f>
        <v>B084KWJL23</v>
      </c>
      <c r="E170" t="str">
        <f>IFERROR(__xludf.DUMMYFUNCTION("""COMPUTED_VALUE"""),"045173024699")</f>
        <v>045173024699</v>
      </c>
      <c r="F170">
        <f>IFERROR(__xludf.DUMMYFUNCTION("""COMPUTED_VALUE"""),756.0)</f>
        <v>756</v>
      </c>
      <c r="G170">
        <f>IFERROR(__xludf.DUMMYFUNCTION("""COMPUTED_VALUE"""),10000.0)</f>
        <v>10000</v>
      </c>
      <c r="H170" s="2">
        <f>IFERROR(__xludf.DUMMYFUNCTION("""COMPUTED_VALUE"""),4.75)</f>
        <v>4.75</v>
      </c>
      <c r="I170" s="2">
        <f>IFERROR(__xludf.DUMMYFUNCTION("""COMPUTED_VALUE"""),9.37)</f>
        <v>9.37</v>
      </c>
      <c r="J170" s="2">
        <f>IFERROR(__xludf.DUMMYFUNCTION("""COMPUTED_VALUE"""),4.619999999999999)</f>
        <v>4.62</v>
      </c>
      <c r="K170" s="5">
        <f>IFERROR(__xludf.DUMMYFUNCTION("""COMPUTED_VALUE"""),0.9726315789473683)</f>
        <v>0.9726315789</v>
      </c>
      <c r="L170">
        <f>IFERROR(__xludf.DUMMYFUNCTION("""COMPUTED_VALUE"""),50149.0)</f>
        <v>50149</v>
      </c>
      <c r="M170" t="str">
        <f>IFERROR(__xludf.DUMMYFUNCTION("""COMPUTED_VALUE"""),"Art and Craft Supply")</f>
        <v>Art and Craft Supply</v>
      </c>
      <c r="O170" t="str">
        <f>IFERROR(__xludf.DUMMYFUNCTION("""COMPUTED_VALUE"""),"Y")</f>
        <v>Y</v>
      </c>
      <c r="P170" s="1" t="str">
        <f>IFERROR(__xludf.DUMMYFUNCTION("""COMPUTED_VALUE"""),"ID 24075")</f>
        <v>ID 24075</v>
      </c>
      <c r="Q170" s="1" t="str">
        <f>IFERROR(__xludf.DUMMYFUNCTION("""COMPUTED_VALUE"""),"B084KWJL23")</f>
        <v>B084KWJL23</v>
      </c>
    </row>
    <row r="171">
      <c r="A171" s="6">
        <f>IFERROR(__xludf.DUMMYFUNCTION("""COMPUTED_VALUE"""),44776.0)</f>
        <v>44776</v>
      </c>
      <c r="B171">
        <f>IFERROR(__xludf.DUMMYFUNCTION("""COMPUTED_VALUE"""),20989.0)</f>
        <v>20989</v>
      </c>
      <c r="C171" t="str">
        <f>IFERROR(__xludf.DUMMYFUNCTION("""COMPUTED_VALUE"""),"Oster Core 16-Speed Blender with Glass Jar, Black, 006878")</f>
        <v>Oster Core 16-Speed Blender with Glass Jar, Black, 006878</v>
      </c>
      <c r="D171" t="str">
        <f>IFERROR(__xludf.DUMMYFUNCTION("""COMPUTED_VALUE"""),"B001ASMGNU")</f>
        <v>B001ASMGNU</v>
      </c>
      <c r="E171" t="str">
        <f>IFERROR(__xludf.DUMMYFUNCTION("""COMPUTED_VALUE"""),"034264419254")</f>
        <v>034264419254</v>
      </c>
      <c r="F171">
        <f>IFERROR(__xludf.DUMMYFUNCTION("""COMPUTED_VALUE"""),24.0)</f>
        <v>24</v>
      </c>
      <c r="G171">
        <f>IFERROR(__xludf.DUMMYFUNCTION("""COMPUTED_VALUE"""),1000.0)</f>
        <v>1000</v>
      </c>
      <c r="H171" s="2">
        <f>IFERROR(__xludf.DUMMYFUNCTION("""COMPUTED_VALUE"""),57.75)</f>
        <v>57.75</v>
      </c>
      <c r="I171" s="2">
        <f>IFERROR(__xludf.DUMMYFUNCTION("""COMPUTED_VALUE"""),62.32)</f>
        <v>62.32</v>
      </c>
      <c r="J171" s="2">
        <f>IFERROR(__xludf.DUMMYFUNCTION("""COMPUTED_VALUE"""),4.57)</f>
        <v>4.57</v>
      </c>
      <c r="K171" s="5">
        <f>IFERROR(__xludf.DUMMYFUNCTION("""COMPUTED_VALUE"""),0.07913419913419914)</f>
        <v>0.07913419913</v>
      </c>
      <c r="L171">
        <f>IFERROR(__xludf.DUMMYFUNCTION("""COMPUTED_VALUE"""),15280.0)</f>
        <v>15280</v>
      </c>
      <c r="M171" t="str">
        <f>IFERROR(__xludf.DUMMYFUNCTION("""COMPUTED_VALUE"""),"Kitchen")</f>
        <v>Kitchen</v>
      </c>
      <c r="O171" t="str">
        <f>IFERROR(__xludf.DUMMYFUNCTION("""COMPUTED_VALUE"""),"Y")</f>
        <v>Y</v>
      </c>
      <c r="P171" s="1" t="str">
        <f>IFERROR(__xludf.DUMMYFUNCTION("""COMPUTED_VALUE"""),"ID 20989")</f>
        <v>ID 20989</v>
      </c>
      <c r="Q171" s="1" t="str">
        <f>IFERROR(__xludf.DUMMYFUNCTION("""COMPUTED_VALUE"""),"B001ASMGNU")</f>
        <v>B001ASMGNU</v>
      </c>
    </row>
    <row r="172">
      <c r="A172" s="6">
        <f>IFERROR(__xludf.DUMMYFUNCTION("""COMPUTED_VALUE"""),45335.0)</f>
        <v>45335</v>
      </c>
      <c r="B172">
        <f>IFERROR(__xludf.DUMMYFUNCTION("""COMPUTED_VALUE"""),25139.0)</f>
        <v>25139</v>
      </c>
      <c r="C172" t="str">
        <f>IFERROR(__xludf.DUMMYFUNCTION("""COMPUTED_VALUE"""),"Pacon Multicultural Construction Paper, 9"" x 12"", Assorted Colors, Pack of 50")</f>
        <v>Pacon Multicultural Construction Paper, 9" x 12", Assorted Colors, Pack of 50</v>
      </c>
      <c r="D172" t="str">
        <f>IFERROR(__xludf.DUMMYFUNCTION("""COMPUTED_VALUE"""),"B07C9235D7")</f>
        <v>B07C9235D7</v>
      </c>
      <c r="E172" t="str">
        <f>IFERROR(__xludf.DUMMYFUNCTION("""COMPUTED_VALUE"""),"045173095095")</f>
        <v>045173095095</v>
      </c>
      <c r="F172">
        <f>IFERROR(__xludf.DUMMYFUNCTION("""COMPUTED_VALUE"""),1350.0)</f>
        <v>1350</v>
      </c>
      <c r="G172">
        <f>IFERROR(__xludf.DUMMYFUNCTION("""COMPUTED_VALUE"""),10000.0)</f>
        <v>10000</v>
      </c>
      <c r="H172" s="2">
        <f>IFERROR(__xludf.DUMMYFUNCTION("""COMPUTED_VALUE"""),2.75)</f>
        <v>2.75</v>
      </c>
      <c r="I172" s="2">
        <f>IFERROR(__xludf.DUMMYFUNCTION("""COMPUTED_VALUE"""),7.29)</f>
        <v>7.29</v>
      </c>
      <c r="J172" s="2">
        <f>IFERROR(__xludf.DUMMYFUNCTION("""COMPUTED_VALUE"""),4.54)</f>
        <v>4.54</v>
      </c>
      <c r="K172" s="5">
        <f>IFERROR(__xludf.DUMMYFUNCTION("""COMPUTED_VALUE"""),1.6509090909090909)</f>
        <v>1.650909091</v>
      </c>
      <c r="L172">
        <f>IFERROR(__xludf.DUMMYFUNCTION("""COMPUTED_VALUE"""),22552.0)</f>
        <v>22552</v>
      </c>
      <c r="M172" t="str">
        <f>IFERROR(__xludf.DUMMYFUNCTION("""COMPUTED_VALUE"""),"Art and Craft Supply")</f>
        <v>Art and Craft Supply</v>
      </c>
      <c r="O172" t="str">
        <f>IFERROR(__xludf.DUMMYFUNCTION("""COMPUTED_VALUE"""),"N")</f>
        <v>N</v>
      </c>
      <c r="P172" s="1" t="str">
        <f>IFERROR(__xludf.DUMMYFUNCTION("""COMPUTED_VALUE"""),"ID 25139")</f>
        <v>ID 25139</v>
      </c>
      <c r="Q172" s="1" t="str">
        <f>IFERROR(__xludf.DUMMYFUNCTION("""COMPUTED_VALUE"""),"B07C9235D7")</f>
        <v>B07C9235D7</v>
      </c>
    </row>
    <row r="173">
      <c r="A173" s="6">
        <f>IFERROR(__xludf.DUMMYFUNCTION("""COMPUTED_VALUE"""),45166.0)</f>
        <v>45166</v>
      </c>
      <c r="B173">
        <f>IFERROR(__xludf.DUMMYFUNCTION("""COMPUTED_VALUE"""),19967.0)</f>
        <v>19967</v>
      </c>
      <c r="C173" t="str">
        <f>IFERROR(__xludf.DUMMYFUNCTION("""COMPUTED_VALUE"""),"Pendaflex Classification Folders, Standard, 2 Dividers, Embedded Fasteners, 2/5 Cut Tab, Bright Red, Letter Size, 10/BX (24131P)")</f>
        <v>Pendaflex Classification Folders, Standard, 2 Dividers, Embedded Fasteners, 2/5 Cut Tab, Bright Red, Letter Size, 10/BX (24131P)</v>
      </c>
      <c r="D173" t="str">
        <f>IFERROR(__xludf.DUMMYFUNCTION("""COMPUTED_VALUE"""),"B006NVMSQ4")</f>
        <v>B006NVMSQ4</v>
      </c>
      <c r="E173" t="str">
        <f>IFERROR(__xludf.DUMMYFUNCTION("""COMPUTED_VALUE"""),"078973241317")</f>
        <v>078973241317</v>
      </c>
      <c r="F173">
        <f>IFERROR(__xludf.DUMMYFUNCTION("""COMPUTED_VALUE"""),50.0)</f>
        <v>50</v>
      </c>
      <c r="G173">
        <f>IFERROR(__xludf.DUMMYFUNCTION("""COMPUTED_VALUE"""),10000.0)</f>
        <v>10000</v>
      </c>
      <c r="H173" s="2">
        <f>IFERROR(__xludf.DUMMYFUNCTION("""COMPUTED_VALUE"""),64.0)</f>
        <v>64</v>
      </c>
      <c r="I173" s="2">
        <f>IFERROR(__xludf.DUMMYFUNCTION("""COMPUTED_VALUE"""),68.51)</f>
        <v>68.51</v>
      </c>
      <c r="J173" s="2">
        <f>IFERROR(__xludf.DUMMYFUNCTION("""COMPUTED_VALUE"""),4.510000000000005)</f>
        <v>4.51</v>
      </c>
      <c r="K173" s="5">
        <f>IFERROR(__xludf.DUMMYFUNCTION("""COMPUTED_VALUE"""),0.07046875000000008)</f>
        <v>0.07046875</v>
      </c>
      <c r="L173">
        <f>IFERROR(__xludf.DUMMYFUNCTION("""COMPUTED_VALUE"""),4143.0)</f>
        <v>4143</v>
      </c>
      <c r="M173" t="str">
        <f>IFERROR(__xludf.DUMMYFUNCTION("""COMPUTED_VALUE"""),"Office Product")</f>
        <v>Office Product</v>
      </c>
      <c r="O173" t="str">
        <f>IFERROR(__xludf.DUMMYFUNCTION("""COMPUTED_VALUE"""),"N")</f>
        <v>N</v>
      </c>
      <c r="P173" s="1" t="str">
        <f>IFERROR(__xludf.DUMMYFUNCTION("""COMPUTED_VALUE"""),"ID 19967")</f>
        <v>ID 19967</v>
      </c>
      <c r="Q173" s="1" t="str">
        <f>IFERROR(__xludf.DUMMYFUNCTION("""COMPUTED_VALUE"""),"B006NVMSQ4")</f>
        <v>B006NVMSQ4</v>
      </c>
    </row>
    <row r="174">
      <c r="A174" s="6">
        <f>IFERROR(__xludf.DUMMYFUNCTION("""COMPUTED_VALUE"""),45421.0)</f>
        <v>45421</v>
      </c>
      <c r="B174">
        <f>IFERROR(__xludf.DUMMYFUNCTION("""COMPUTED_VALUE"""),25589.0)</f>
        <v>25589</v>
      </c>
      <c r="C174" t="str">
        <f>IFERROR(__xludf.DUMMYFUNCTION("""COMPUTED_VALUE"""),"The Original Chartpak AD Marker, Tri-Nib, Cool Gray 2, 1 Each (P182)")</f>
        <v>The Original Chartpak AD Marker, Tri-Nib, Cool Gray 2, 1 Each (P182)</v>
      </c>
      <c r="D174" t="str">
        <f>IFERROR(__xludf.DUMMYFUNCTION("""COMPUTED_VALUE"""),"B002KUL1LA")</f>
        <v>B002KUL1LA</v>
      </c>
      <c r="E174" t="str">
        <f>IFERROR(__xludf.DUMMYFUNCTION("""COMPUTED_VALUE"""),"014173081216")</f>
        <v>014173081216</v>
      </c>
      <c r="F174">
        <f>IFERROR(__xludf.DUMMYFUNCTION("""COMPUTED_VALUE"""),900.0)</f>
        <v>900</v>
      </c>
      <c r="G174">
        <f>IFERROR(__xludf.DUMMYFUNCTION("""COMPUTED_VALUE"""),10000.0)</f>
        <v>10000</v>
      </c>
      <c r="H174" s="2">
        <f>IFERROR(__xludf.DUMMYFUNCTION("""COMPUTED_VALUE"""),3.5)</f>
        <v>3.5</v>
      </c>
      <c r="I174" s="2">
        <f>IFERROR(__xludf.DUMMYFUNCTION("""COMPUTED_VALUE"""),7.98)</f>
        <v>7.98</v>
      </c>
      <c r="J174" s="2">
        <f>IFERROR(__xludf.DUMMYFUNCTION("""COMPUTED_VALUE"""),4.48)</f>
        <v>4.48</v>
      </c>
      <c r="K174" s="5">
        <f>IFERROR(__xludf.DUMMYFUNCTION("""COMPUTED_VALUE"""),1.28)</f>
        <v>1.28</v>
      </c>
      <c r="L174">
        <f>IFERROR(__xludf.DUMMYFUNCTION("""COMPUTED_VALUE"""),41726.0)</f>
        <v>41726</v>
      </c>
      <c r="M174" t="str">
        <f>IFERROR(__xludf.DUMMYFUNCTION("""COMPUTED_VALUE"""),"Office Product")</f>
        <v>Office Product</v>
      </c>
      <c r="O174" t="str">
        <f>IFERROR(__xludf.DUMMYFUNCTION("""COMPUTED_VALUE"""),"N")</f>
        <v>N</v>
      </c>
      <c r="P174" s="1" t="str">
        <f>IFERROR(__xludf.DUMMYFUNCTION("""COMPUTED_VALUE"""),"ID 25589")</f>
        <v>ID 25589</v>
      </c>
      <c r="Q174" s="1" t="str">
        <f>IFERROR(__xludf.DUMMYFUNCTION("""COMPUTED_VALUE"""),"B002KUL1LA")</f>
        <v>B002KUL1LA</v>
      </c>
    </row>
    <row r="175">
      <c r="A175" s="6">
        <f>IFERROR(__xludf.DUMMYFUNCTION("""COMPUTED_VALUE"""),45376.0)</f>
        <v>45376</v>
      </c>
      <c r="B175">
        <f>IFERROR(__xludf.DUMMYFUNCTION("""COMPUTED_VALUE"""),17050.0)</f>
        <v>17050</v>
      </c>
      <c r="C175" t="str">
        <f>IFERROR(__xludf.DUMMYFUNCTION("""COMPUTED_VALUE"""),"PRANG Refill Pans for Half Pan Watercolor Paint Sets, 12 Pans per Box, Yellow (08003)")</f>
        <v>PRANG Refill Pans for Half Pan Watercolor Paint Sets, 12 Pans per Box, Yellow (08003)</v>
      </c>
      <c r="D175" t="str">
        <f>IFERROR(__xludf.DUMMYFUNCTION("""COMPUTED_VALUE"""),"B0050A678E")</f>
        <v>B0050A678E</v>
      </c>
      <c r="E175" t="str">
        <f>IFERROR(__xludf.DUMMYFUNCTION("""COMPUTED_VALUE"""),"072067080035")</f>
        <v>072067080035</v>
      </c>
      <c r="F175">
        <f>IFERROR(__xludf.DUMMYFUNCTION("""COMPUTED_VALUE"""),888.0)</f>
        <v>888</v>
      </c>
      <c r="G175">
        <f>IFERROR(__xludf.DUMMYFUNCTION("""COMPUTED_VALUE"""),10000.0)</f>
        <v>10000</v>
      </c>
      <c r="H175" s="2">
        <f>IFERROR(__xludf.DUMMYFUNCTION("""COMPUTED_VALUE"""),4.25)</f>
        <v>4.25</v>
      </c>
      <c r="I175" s="2">
        <f>IFERROR(__xludf.DUMMYFUNCTION("""COMPUTED_VALUE"""),8.71)</f>
        <v>8.71</v>
      </c>
      <c r="J175" s="2">
        <f>IFERROR(__xludf.DUMMYFUNCTION("""COMPUTED_VALUE"""),4.460000000000001)</f>
        <v>4.46</v>
      </c>
      <c r="K175" s="5">
        <f>IFERROR(__xludf.DUMMYFUNCTION("""COMPUTED_VALUE"""),1.0494117647058825)</f>
        <v>1.049411765</v>
      </c>
      <c r="L175">
        <f>IFERROR(__xludf.DUMMYFUNCTION("""COMPUTED_VALUE"""),13619.0)</f>
        <v>13619</v>
      </c>
      <c r="M175" t="str">
        <f>IFERROR(__xludf.DUMMYFUNCTION("""COMPUTED_VALUE"""),"Office Product")</f>
        <v>Office Product</v>
      </c>
      <c r="O175" t="str">
        <f>IFERROR(__xludf.DUMMYFUNCTION("""COMPUTED_VALUE"""),"Y")</f>
        <v>Y</v>
      </c>
      <c r="P175" s="1" t="str">
        <f>IFERROR(__xludf.DUMMYFUNCTION("""COMPUTED_VALUE"""),"ID 17050")</f>
        <v>ID 17050</v>
      </c>
      <c r="Q175" s="1" t="str">
        <f>IFERROR(__xludf.DUMMYFUNCTION("""COMPUTED_VALUE"""),"B0050A678E")</f>
        <v>B0050A678E</v>
      </c>
    </row>
    <row r="176">
      <c r="A176" s="6">
        <f>IFERROR(__xludf.DUMMYFUNCTION("""COMPUTED_VALUE"""),45390.0)</f>
        <v>45390</v>
      </c>
      <c r="B176">
        <f>IFERROR(__xludf.DUMMYFUNCTION("""COMPUTED_VALUE"""),20563.0)</f>
        <v>20563</v>
      </c>
      <c r="C176" t="str">
        <f>IFERROR(__xludf.DUMMYFUNCTION("""COMPUTED_VALUE"""),"Gaobige Coaxial Compression Tool Coax Cable Crimper Kit Adjustable RG6 RG59 RG11 75-5 75-7 Coaxial Cable Stripper with 10 PCS F Compression Connectors - Blue")</f>
        <v>Gaobige Coaxial Compression Tool Coax Cable Crimper Kit Adjustable RG6 RG59 RG11 75-5 75-7 Coaxial Cable Stripper with 10 PCS F Compression Connectors - Blue</v>
      </c>
      <c r="D176" t="str">
        <f>IFERROR(__xludf.DUMMYFUNCTION("""COMPUTED_VALUE"""),"B074V13V36")</f>
        <v>B074V13V36</v>
      </c>
      <c r="F176">
        <f>IFERROR(__xludf.DUMMYFUNCTION("""COMPUTED_VALUE"""),120.0)</f>
        <v>120</v>
      </c>
      <c r="G176">
        <f>IFERROR(__xludf.DUMMYFUNCTION("""COMPUTED_VALUE"""),120.0)</f>
        <v>120</v>
      </c>
      <c r="H176" s="2">
        <f>IFERROR(__xludf.DUMMYFUNCTION("""COMPUTED_VALUE"""),8.0)</f>
        <v>8</v>
      </c>
      <c r="I176" s="2">
        <f>IFERROR(__xludf.DUMMYFUNCTION("""COMPUTED_VALUE"""),12.44)</f>
        <v>12.44</v>
      </c>
      <c r="J176" s="2">
        <f>IFERROR(__xludf.DUMMYFUNCTION("""COMPUTED_VALUE"""),4.4399999999999995)</f>
        <v>4.44</v>
      </c>
      <c r="K176" s="5">
        <f>IFERROR(__xludf.DUMMYFUNCTION("""COMPUTED_VALUE"""),0.5549999999999999)</f>
        <v>0.555</v>
      </c>
      <c r="L176">
        <f>IFERROR(__xludf.DUMMYFUNCTION("""COMPUTED_VALUE"""),32700.0)</f>
        <v>32700</v>
      </c>
      <c r="M176" t="str">
        <f>IFERROR(__xludf.DUMMYFUNCTION("""COMPUTED_VALUE"""),"BISS Basic")</f>
        <v>BISS Basic</v>
      </c>
      <c r="N176" t="str">
        <f>IFERROR(__xludf.DUMMYFUNCTION("""COMPUTED_VALUE"""),"Brand permission to resell on amazon unknown")</f>
        <v>Brand permission to resell on amazon unknown</v>
      </c>
      <c r="O176" t="str">
        <f>IFERROR(__xludf.DUMMYFUNCTION("""COMPUTED_VALUE"""),"N")</f>
        <v>N</v>
      </c>
      <c r="P176" s="1" t="str">
        <f>IFERROR(__xludf.DUMMYFUNCTION("""COMPUTED_VALUE"""),"ID 20563")</f>
        <v>ID 20563</v>
      </c>
      <c r="Q176" s="1" t="str">
        <f>IFERROR(__xludf.DUMMYFUNCTION("""COMPUTED_VALUE"""),"B074V13V36")</f>
        <v>B074V13V36</v>
      </c>
    </row>
    <row r="177">
      <c r="A177" s="6">
        <f>IFERROR(__xludf.DUMMYFUNCTION("""COMPUTED_VALUE"""),45355.0)</f>
        <v>45355</v>
      </c>
      <c r="B177">
        <f>IFERROR(__xludf.DUMMYFUNCTION("""COMPUTED_VALUE"""),21717.0)</f>
        <v>21717</v>
      </c>
      <c r="C177" t="str">
        <f>IFERROR(__xludf.DUMMYFUNCTION("""COMPUTED_VALUE"""),"Hamilton Beach Single Serve Blender Black")</f>
        <v>Hamilton Beach Single Serve Blender Black</v>
      </c>
      <c r="D177" t="str">
        <f>IFERROR(__xludf.DUMMYFUNCTION("""COMPUTED_VALUE"""),"B07FSZD6TQ")</f>
        <v>B07FSZD6TQ</v>
      </c>
      <c r="E177" t="str">
        <f>IFERROR(__xludf.DUMMYFUNCTION("""COMPUTED_VALUE"""),"040094910328")</f>
        <v>040094910328</v>
      </c>
      <c r="F177">
        <f>IFERROR(__xludf.DUMMYFUNCTION("""COMPUTED_VALUE"""),84.0)</f>
        <v>84</v>
      </c>
      <c r="G177">
        <f>IFERROR(__xludf.DUMMYFUNCTION("""COMPUTED_VALUE"""),9250.0)</f>
        <v>9250</v>
      </c>
      <c r="H177" s="2">
        <f>IFERROR(__xludf.DUMMYFUNCTION("""COMPUTED_VALUE"""),16.0)</f>
        <v>16</v>
      </c>
      <c r="I177" s="2">
        <f>IFERROR(__xludf.DUMMYFUNCTION("""COMPUTED_VALUE"""),20.44)</f>
        <v>20.44</v>
      </c>
      <c r="J177" s="2">
        <f>IFERROR(__xludf.DUMMYFUNCTION("""COMPUTED_VALUE"""),4.440000000000001)</f>
        <v>4.44</v>
      </c>
      <c r="K177" s="5">
        <f>IFERROR(__xludf.DUMMYFUNCTION("""COMPUTED_VALUE"""),0.2775000000000001)</f>
        <v>0.2775</v>
      </c>
      <c r="L177">
        <f>IFERROR(__xludf.DUMMYFUNCTION("""COMPUTED_VALUE"""),232.0)</f>
        <v>232</v>
      </c>
      <c r="M177" t="str">
        <f>IFERROR(__xludf.DUMMYFUNCTION("""COMPUTED_VALUE"""),"Kitchen")</f>
        <v>Kitchen</v>
      </c>
      <c r="N177" t="str">
        <f>IFERROR(__xludf.DUMMYFUNCTION("""COMPUTED_VALUE"""),"Restricted for online resale")</f>
        <v>Restricted for online resale</v>
      </c>
      <c r="O177" t="str">
        <f>IFERROR(__xludf.DUMMYFUNCTION("""COMPUTED_VALUE"""),"N")</f>
        <v>N</v>
      </c>
      <c r="P177" s="1" t="str">
        <f>IFERROR(__xludf.DUMMYFUNCTION("""COMPUTED_VALUE"""),"ID 21717")</f>
        <v>ID 21717</v>
      </c>
      <c r="Q177" s="1" t="str">
        <f>IFERROR(__xludf.DUMMYFUNCTION("""COMPUTED_VALUE"""),"B07FSZD6TQ")</f>
        <v>B07FSZD6TQ</v>
      </c>
    </row>
    <row r="178">
      <c r="A178" s="6">
        <f>IFERROR(__xludf.DUMMYFUNCTION("""COMPUTED_VALUE"""),45376.0)</f>
        <v>45376</v>
      </c>
      <c r="B178">
        <f>IFERROR(__xludf.DUMMYFUNCTION("""COMPUTED_VALUE"""),19309.0)</f>
        <v>19309</v>
      </c>
      <c r="C178" t="str">
        <f>IFERROR(__xludf.DUMMYFUNCTION("""COMPUTED_VALUE"""),"Adjustable 3 Section Indoor/Outdoor Wood Lattice Criss Cross Pet Gate")</f>
        <v>Adjustable 3 Section Indoor/Outdoor Wood Lattice Criss Cross Pet Gate</v>
      </c>
      <c r="D178" t="str">
        <f>IFERROR(__xludf.DUMMYFUNCTION("""COMPUTED_VALUE"""),"B089T7BF64")</f>
        <v>B089T7BF64</v>
      </c>
      <c r="E178" t="str">
        <f>IFERROR(__xludf.DUMMYFUNCTION("""COMPUTED_VALUE"""),"084358052744")</f>
        <v>084358052744</v>
      </c>
      <c r="F178">
        <f>IFERROR(__xludf.DUMMYFUNCTION("""COMPUTED_VALUE"""),64.0)</f>
        <v>64</v>
      </c>
      <c r="G178">
        <f>IFERROR(__xludf.DUMMYFUNCTION("""COMPUTED_VALUE"""),10000.0)</f>
        <v>10000</v>
      </c>
      <c r="H178" s="2">
        <f>IFERROR(__xludf.DUMMYFUNCTION("""COMPUTED_VALUE"""),21.25)</f>
        <v>21.25</v>
      </c>
      <c r="I178" s="2">
        <f>IFERROR(__xludf.DUMMYFUNCTION("""COMPUTED_VALUE"""),25.66)</f>
        <v>25.66</v>
      </c>
      <c r="J178" s="2">
        <f>IFERROR(__xludf.DUMMYFUNCTION("""COMPUTED_VALUE"""),4.41)</f>
        <v>4.41</v>
      </c>
      <c r="K178" s="5">
        <f>IFERROR(__xludf.DUMMYFUNCTION("""COMPUTED_VALUE"""),0.20752941176470588)</f>
        <v>0.2075294118</v>
      </c>
      <c r="L178">
        <f>IFERROR(__xludf.DUMMYFUNCTION("""COMPUTED_VALUE"""),50562.0)</f>
        <v>50562</v>
      </c>
      <c r="M178" t="str">
        <f>IFERROR(__xludf.DUMMYFUNCTION("""COMPUTED_VALUE"""),"Baby Product")</f>
        <v>Baby Product</v>
      </c>
      <c r="N178" t="str">
        <f>IFERROR(__xludf.DUMMYFUNCTION("""COMPUTED_VALUE"""),"MAP $41.98. If you violate the MAP pricing the brand may choose to remove you from the listing")</f>
        <v>MAP $41.98. If you violate the MAP pricing the brand may choose to remove you from the listing</v>
      </c>
      <c r="O178" t="str">
        <f>IFERROR(__xludf.DUMMYFUNCTION("""COMPUTED_VALUE"""),"N")</f>
        <v>N</v>
      </c>
      <c r="P178" s="1" t="str">
        <f>IFERROR(__xludf.DUMMYFUNCTION("""COMPUTED_VALUE"""),"ID 19309")</f>
        <v>ID 19309</v>
      </c>
      <c r="Q178" s="1" t="str">
        <f>IFERROR(__xludf.DUMMYFUNCTION("""COMPUTED_VALUE"""),"B089T7BF64")</f>
        <v>B089T7BF64</v>
      </c>
    </row>
    <row r="179">
      <c r="A179" s="6">
        <f>IFERROR(__xludf.DUMMYFUNCTION("""COMPUTED_VALUE"""),44656.0)</f>
        <v>44656</v>
      </c>
      <c r="B179">
        <f>IFERROR(__xludf.DUMMYFUNCTION("""COMPUTED_VALUE"""),24839.0)</f>
        <v>24839</v>
      </c>
      <c r="C179" t="str">
        <f>IFERROR(__xludf.DUMMYFUNCTION("""COMPUTED_VALUE"""),"Alpine Automatic Hand Sanitizer Dispenser - Touchless Soap Dispenser for Restaurant, Hospital, School, Hotel, Kitchen and Bathroom -1200mL Foam")</f>
        <v>Alpine Automatic Hand Sanitizer Dispenser - Touchless Soap Dispenser for Restaurant, Hospital, School, Hotel, Kitchen and Bathroom -1200mL Foam</v>
      </c>
      <c r="D179" t="str">
        <f>IFERROR(__xludf.DUMMYFUNCTION("""COMPUTED_VALUE"""),"B086MNTYK7")</f>
        <v>B086MNTYK7</v>
      </c>
      <c r="E179" t="str">
        <f>IFERROR(__xludf.DUMMYFUNCTION("""COMPUTED_VALUE"""),"810012676090")</f>
        <v>810012676090</v>
      </c>
      <c r="F179">
        <f>IFERROR(__xludf.DUMMYFUNCTION("""COMPUTED_VALUE"""),100.0)</f>
        <v>100</v>
      </c>
      <c r="G179">
        <f>IFERROR(__xludf.DUMMYFUNCTION("""COMPUTED_VALUE"""),4591.0)</f>
        <v>4591</v>
      </c>
      <c r="H179" s="2">
        <f>IFERROR(__xludf.DUMMYFUNCTION("""COMPUTED_VALUE"""),21.5)</f>
        <v>21.5</v>
      </c>
      <c r="I179" s="2">
        <f>IFERROR(__xludf.DUMMYFUNCTION("""COMPUTED_VALUE"""),25.88)</f>
        <v>25.88</v>
      </c>
      <c r="J179" s="2">
        <f>IFERROR(__xludf.DUMMYFUNCTION("""COMPUTED_VALUE"""),4.379999999999999)</f>
        <v>4.38</v>
      </c>
      <c r="K179" s="5">
        <f>IFERROR(__xludf.DUMMYFUNCTION("""COMPUTED_VALUE"""),0.2037209302325581)</f>
        <v>0.2037209302</v>
      </c>
      <c r="L179">
        <f>IFERROR(__xludf.DUMMYFUNCTION("""COMPUTED_VALUE"""),94929.0)</f>
        <v>94929</v>
      </c>
      <c r="M179" t="str">
        <f>IFERROR(__xludf.DUMMYFUNCTION("""COMPUTED_VALUE"""),"Kitchen")</f>
        <v>Kitchen</v>
      </c>
      <c r="O179" t="str">
        <f>IFERROR(__xludf.DUMMYFUNCTION("""COMPUTED_VALUE"""),"Y")</f>
        <v>Y</v>
      </c>
      <c r="P179" s="1" t="str">
        <f>IFERROR(__xludf.DUMMYFUNCTION("""COMPUTED_VALUE"""),"ID 24839")</f>
        <v>ID 24839</v>
      </c>
      <c r="Q179" s="1" t="str">
        <f>IFERROR(__xludf.DUMMYFUNCTION("""COMPUTED_VALUE"""),"B086MNTYK7")</f>
        <v>B086MNTYK7</v>
      </c>
    </row>
    <row r="180">
      <c r="A180" s="6">
        <f>IFERROR(__xludf.DUMMYFUNCTION("""COMPUTED_VALUE"""),45429.0)</f>
        <v>45429</v>
      </c>
      <c r="B180">
        <f>IFERROR(__xludf.DUMMYFUNCTION("""COMPUTED_VALUE"""),9581.0)</f>
        <v>9581</v>
      </c>
      <c r="C180" t="str">
        <f>IFERROR(__xludf.DUMMYFUNCTION("""COMPUTED_VALUE"""),"ZAGG ifrogz Plugz w/Mic Ultimate Earbuds with Mic")</f>
        <v>ZAGG ifrogz Plugz w/Mic Ultimate Earbuds with Mic</v>
      </c>
      <c r="D180" t="str">
        <f>IFERROR(__xludf.DUMMYFUNCTION("""COMPUTED_VALUE"""),"B01N5FZT14")</f>
        <v>B01N5FZT14</v>
      </c>
      <c r="E180" t="str">
        <f>IFERROR(__xludf.DUMMYFUNCTION("""COMPUTED_VALUE"""),"848467046281")</f>
        <v>848467046281</v>
      </c>
      <c r="F180">
        <f>IFERROR(__xludf.DUMMYFUNCTION("""COMPUTED_VALUE"""),14976.0)</f>
        <v>14976</v>
      </c>
      <c r="G180">
        <f>IFERROR(__xludf.DUMMYFUNCTION("""COMPUTED_VALUE"""),14976.0)</f>
        <v>14976</v>
      </c>
      <c r="H180" s="2">
        <f>IFERROR(__xludf.DUMMYFUNCTION("""COMPUTED_VALUE"""),4.5)</f>
        <v>4.5</v>
      </c>
      <c r="I180" s="2">
        <f>IFERROR(__xludf.DUMMYFUNCTION("""COMPUTED_VALUE"""),8.84)</f>
        <v>8.84</v>
      </c>
      <c r="J180" s="2">
        <f>IFERROR(__xludf.DUMMYFUNCTION("""COMPUTED_VALUE"""),4.34)</f>
        <v>4.34</v>
      </c>
      <c r="K180" s="5">
        <f>IFERROR(__xludf.DUMMYFUNCTION("""COMPUTED_VALUE"""),0.9644444444444444)</f>
        <v>0.9644444444</v>
      </c>
      <c r="L180">
        <f>IFERROR(__xludf.DUMMYFUNCTION("""COMPUTED_VALUE"""),41207.0)</f>
        <v>41207</v>
      </c>
      <c r="M180" t="str">
        <f>IFERROR(__xludf.DUMMYFUNCTION("""COMPUTED_VALUE"""),"CE")</f>
        <v>CE</v>
      </c>
      <c r="N180" t="str">
        <f>IFERROR(__xludf.DUMMYFUNCTION("""COMPUTED_VALUE"""),"IN STOCK")</f>
        <v>IN STOCK</v>
      </c>
      <c r="O180" t="str">
        <f>IFERROR(__xludf.DUMMYFUNCTION("""COMPUTED_VALUE"""),"Y")</f>
        <v>Y</v>
      </c>
      <c r="P180" s="1" t="str">
        <f>IFERROR(__xludf.DUMMYFUNCTION("""COMPUTED_VALUE"""),"ID 9581")</f>
        <v>ID 9581</v>
      </c>
      <c r="Q180" s="1" t="str">
        <f>IFERROR(__xludf.DUMMYFUNCTION("""COMPUTED_VALUE"""),"B01N5FZT14")</f>
        <v>B01N5FZT14</v>
      </c>
    </row>
    <row r="181">
      <c r="A181" s="6">
        <f>IFERROR(__xludf.DUMMYFUNCTION("""COMPUTED_VALUE"""),45425.0)</f>
        <v>45425</v>
      </c>
      <c r="B181">
        <f>IFERROR(__xludf.DUMMYFUNCTION("""COMPUTED_VALUE"""),12006.0)</f>
        <v>12006</v>
      </c>
      <c r="C181" t="str">
        <f>IFERROR(__xludf.DUMMYFUNCTION("""COMPUTED_VALUE"""),"Libbey Glass Pitcher, 60-ounce")</f>
        <v>Libbey Glass Pitcher, 60-ounce</v>
      </c>
      <c r="D181" t="str">
        <f>IFERROR(__xludf.DUMMYFUNCTION("""COMPUTED_VALUE"""),"B0000CFM7I")</f>
        <v>B0000CFM7I</v>
      </c>
      <c r="E181" t="str">
        <f>IFERROR(__xludf.DUMMYFUNCTION("""COMPUTED_VALUE"""),"31009574049")</f>
        <v>31009574049</v>
      </c>
      <c r="F181">
        <f>IFERROR(__xludf.DUMMYFUNCTION("""COMPUTED_VALUE"""),276.0)</f>
        <v>276</v>
      </c>
      <c r="G181">
        <f>IFERROR(__xludf.DUMMYFUNCTION("""COMPUTED_VALUE"""),10000.0)</f>
        <v>10000</v>
      </c>
      <c r="H181" s="2">
        <f>IFERROR(__xludf.DUMMYFUNCTION("""COMPUTED_VALUE"""),4.75)</f>
        <v>4.75</v>
      </c>
      <c r="I181" s="2">
        <f>IFERROR(__xludf.DUMMYFUNCTION("""COMPUTED_VALUE"""),9.08)</f>
        <v>9.08</v>
      </c>
      <c r="J181" s="2">
        <f>IFERROR(__xludf.DUMMYFUNCTION("""COMPUTED_VALUE"""),4.33)</f>
        <v>4.33</v>
      </c>
      <c r="K181" s="5">
        <f>IFERROR(__xludf.DUMMYFUNCTION("""COMPUTED_VALUE"""),0.911578947368421)</f>
        <v>0.9115789474</v>
      </c>
      <c r="L181">
        <f>IFERROR(__xludf.DUMMYFUNCTION("""COMPUTED_VALUE"""),7196.0)</f>
        <v>7196</v>
      </c>
      <c r="M181" t="str">
        <f>IFERROR(__xludf.DUMMYFUNCTION("""COMPUTED_VALUE"""),"Kitchen")</f>
        <v>Kitchen</v>
      </c>
      <c r="O181" t="str">
        <f>IFERROR(__xludf.DUMMYFUNCTION("""COMPUTED_VALUE"""),"Y")</f>
        <v>Y</v>
      </c>
      <c r="P181" s="1" t="str">
        <f>IFERROR(__xludf.DUMMYFUNCTION("""COMPUTED_VALUE"""),"ID 12006")</f>
        <v>ID 12006</v>
      </c>
      <c r="Q181" s="1" t="str">
        <f>IFERROR(__xludf.DUMMYFUNCTION("""COMPUTED_VALUE"""),"B0000CFM7I")</f>
        <v>B0000CFM7I</v>
      </c>
    </row>
    <row r="182">
      <c r="A182" s="6">
        <f>IFERROR(__xludf.DUMMYFUNCTION("""COMPUTED_VALUE"""),45429.0)</f>
        <v>45429</v>
      </c>
      <c r="B182">
        <f>IFERROR(__xludf.DUMMYFUNCTION("""COMPUTED_VALUE"""),15991.0)</f>
        <v>15991</v>
      </c>
      <c r="C182" t="str">
        <f>IFERROR(__xludf.DUMMYFUNCTION("""COMPUTED_VALUE"""),"Giorgio Beverly Hills Women's Perfume, Eau De Toilette EDT Spray, 3 Fl Oz")</f>
        <v>Giorgio Beverly Hills Women's Perfume, Eau De Toilette EDT Spray, 3 Fl Oz</v>
      </c>
      <c r="D182" t="str">
        <f>IFERROR(__xludf.DUMMYFUNCTION("""COMPUTED_VALUE"""),"B001BKK3LO")</f>
        <v>B001BKK3LO</v>
      </c>
      <c r="E182" t="str">
        <f>IFERROR(__xludf.DUMMYFUNCTION("""COMPUTED_VALUE"""),"716393010273")</f>
        <v>716393010273</v>
      </c>
      <c r="F182">
        <f>IFERROR(__xludf.DUMMYFUNCTION("""COMPUTED_VALUE"""),120.0)</f>
        <v>120</v>
      </c>
      <c r="G182">
        <f>IFERROR(__xludf.DUMMYFUNCTION("""COMPUTED_VALUE"""),10000.0)</f>
        <v>10000</v>
      </c>
      <c r="H182" s="2">
        <f>IFERROR(__xludf.DUMMYFUNCTION("""COMPUTED_VALUE"""),11.25)</f>
        <v>11.25</v>
      </c>
      <c r="I182" s="2">
        <f>IFERROR(__xludf.DUMMYFUNCTION("""COMPUTED_VALUE"""),15.58)</f>
        <v>15.58</v>
      </c>
      <c r="J182" s="2">
        <f>IFERROR(__xludf.DUMMYFUNCTION("""COMPUTED_VALUE"""),4.33)</f>
        <v>4.33</v>
      </c>
      <c r="K182" s="5">
        <f>IFERROR(__xludf.DUMMYFUNCTION("""COMPUTED_VALUE"""),0.3848888888888889)</f>
        <v>0.3848888889</v>
      </c>
      <c r="L182">
        <f>IFERROR(__xludf.DUMMYFUNCTION("""COMPUTED_VALUE"""),11405.0)</f>
        <v>11405</v>
      </c>
      <c r="M182" t="str">
        <f>IFERROR(__xludf.DUMMYFUNCTION("""COMPUTED_VALUE"""),"Beauty")</f>
        <v>Beauty</v>
      </c>
      <c r="N182" t="str">
        <f>IFERROR(__xludf.DUMMYFUNCTION("""COMPUTED_VALUE"""),"Tester")</f>
        <v>Tester</v>
      </c>
      <c r="O182" t="str">
        <f>IFERROR(__xludf.DUMMYFUNCTION("""COMPUTED_VALUE"""),"Y")</f>
        <v>Y</v>
      </c>
      <c r="P182" s="1" t="str">
        <f>IFERROR(__xludf.DUMMYFUNCTION("""COMPUTED_VALUE"""),"ID 15991")</f>
        <v>ID 15991</v>
      </c>
      <c r="Q182" s="1" t="str">
        <f>IFERROR(__xludf.DUMMYFUNCTION("""COMPUTED_VALUE"""),"B001BKK3LO")</f>
        <v>B001BKK3LO</v>
      </c>
    </row>
    <row r="183">
      <c r="A183" s="6">
        <f>IFERROR(__xludf.DUMMYFUNCTION("""COMPUTED_VALUE"""),45429.0)</f>
        <v>45429</v>
      </c>
      <c r="B183">
        <f>IFERROR(__xludf.DUMMYFUNCTION("""COMPUTED_VALUE"""),9388.0)</f>
        <v>9388</v>
      </c>
      <c r="C183" t="str">
        <f>IFERROR(__xludf.DUMMYFUNCTION("""COMPUTED_VALUE"""),"Etna White Floral Wooden Pet Gate - Freestanding Foldable Adjustable 3-Section Dog Gate. Extra Wide, Keeps Pets Safe Indoors/Outdoors - Fully Assembled")</f>
        <v>Etna White Floral Wooden Pet Gate - Freestanding Foldable Adjustable 3-Section Dog Gate. Extra Wide, Keeps Pets Safe Indoors/Outdoors - Fully Assembled</v>
      </c>
      <c r="D183" t="str">
        <f>IFERROR(__xludf.DUMMYFUNCTION("""COMPUTED_VALUE"""),"B07L9CY75M")</f>
        <v>B07L9CY75M</v>
      </c>
      <c r="E183" t="str">
        <f>IFERROR(__xludf.DUMMYFUNCTION("""COMPUTED_VALUE"""),"084358051389")</f>
        <v>084358051389</v>
      </c>
      <c r="F183">
        <f>IFERROR(__xludf.DUMMYFUNCTION("""COMPUTED_VALUE"""),64.0)</f>
        <v>64</v>
      </c>
      <c r="G183">
        <f>IFERROR(__xludf.DUMMYFUNCTION("""COMPUTED_VALUE"""),160.0)</f>
        <v>160</v>
      </c>
      <c r="H183" s="2">
        <f>IFERROR(__xludf.DUMMYFUNCTION("""COMPUTED_VALUE"""),21.25)</f>
        <v>21.25</v>
      </c>
      <c r="I183" s="2">
        <f>IFERROR(__xludf.DUMMYFUNCTION("""COMPUTED_VALUE"""),25.51)</f>
        <v>25.51</v>
      </c>
      <c r="J183" s="2">
        <f>IFERROR(__xludf.DUMMYFUNCTION("""COMPUTED_VALUE"""),4.260000000000002)</f>
        <v>4.26</v>
      </c>
      <c r="K183" s="5">
        <f>IFERROR(__xludf.DUMMYFUNCTION("""COMPUTED_VALUE"""),0.20047058823529418)</f>
        <v>0.2004705882</v>
      </c>
      <c r="L183">
        <f>IFERROR(__xludf.DUMMYFUNCTION("""COMPUTED_VALUE"""),24356.0)</f>
        <v>24356</v>
      </c>
      <c r="M183" t="str">
        <f>IFERROR(__xludf.DUMMYFUNCTION("""COMPUTED_VALUE"""),"Pet Products")</f>
        <v>Pet Products</v>
      </c>
      <c r="N183" t="str">
        <f>IFERROR(__xludf.DUMMYFUNCTION("""COMPUTED_VALUE"""),"MAP $42.99. If you violate the MAP pricing, the brand will remove you and require you to return the merchandise at a 50% restocking fee.")</f>
        <v>MAP $42.99. If you violate the MAP pricing, the brand will remove you and require you to return the merchandise at a 50% restocking fee.</v>
      </c>
      <c r="O183" t="str">
        <f>IFERROR(__xludf.DUMMYFUNCTION("""COMPUTED_VALUE"""),"N")</f>
        <v>N</v>
      </c>
      <c r="P183" s="1" t="str">
        <f>IFERROR(__xludf.DUMMYFUNCTION("""COMPUTED_VALUE"""),"ID 9388")</f>
        <v>ID 9388</v>
      </c>
      <c r="Q183" s="1" t="str">
        <f>IFERROR(__xludf.DUMMYFUNCTION("""COMPUTED_VALUE"""),"B07L9CY75M")</f>
        <v>B07L9CY75M</v>
      </c>
    </row>
    <row r="184">
      <c r="A184" s="6">
        <f>IFERROR(__xludf.DUMMYFUNCTION("""COMPUTED_VALUE"""),45376.0)</f>
        <v>45376</v>
      </c>
      <c r="B184">
        <f>IFERROR(__xludf.DUMMYFUNCTION("""COMPUTED_VALUE"""),24057.0)</f>
        <v>24057</v>
      </c>
      <c r="C184" t="str">
        <f>IFERROR(__xludf.DUMMYFUNCTION("""COMPUTED_VALUE"""),"Pacon P0091920 Spectra Glitter Sparkling Crystals, Pink, 16-Ounce Jar")</f>
        <v>Pacon P0091920 Spectra Glitter Sparkling Crystals, Pink, 16-Ounce Jar</v>
      </c>
      <c r="D184" t="str">
        <f>IFERROR(__xludf.DUMMYFUNCTION("""COMPUTED_VALUE"""),"B00290FKBI")</f>
        <v>B00290FKBI</v>
      </c>
      <c r="E184" t="str">
        <f>IFERROR(__xludf.DUMMYFUNCTION("""COMPUTED_VALUE"""),"029444919204")</f>
        <v>029444919204</v>
      </c>
      <c r="F184">
        <f>IFERROR(__xludf.DUMMYFUNCTION("""COMPUTED_VALUE"""),540.0)</f>
        <v>540</v>
      </c>
      <c r="G184">
        <f>IFERROR(__xludf.DUMMYFUNCTION("""COMPUTED_VALUE"""),10000.0)</f>
        <v>10000</v>
      </c>
      <c r="H184" s="2">
        <f>IFERROR(__xludf.DUMMYFUNCTION("""COMPUTED_VALUE"""),7.5)</f>
        <v>7.5</v>
      </c>
      <c r="I184" s="2">
        <f>IFERROR(__xludf.DUMMYFUNCTION("""COMPUTED_VALUE"""),11.75)</f>
        <v>11.75</v>
      </c>
      <c r="J184" s="2">
        <f>IFERROR(__xludf.DUMMYFUNCTION("""COMPUTED_VALUE"""),4.25)</f>
        <v>4.25</v>
      </c>
      <c r="K184" s="5">
        <f>IFERROR(__xludf.DUMMYFUNCTION("""COMPUTED_VALUE"""),0.5666666666666667)</f>
        <v>0.5666666667</v>
      </c>
      <c r="L184">
        <f>IFERROR(__xludf.DUMMYFUNCTION("""COMPUTED_VALUE"""),45409.0)</f>
        <v>45409</v>
      </c>
      <c r="M184" t="str">
        <f>IFERROR(__xludf.DUMMYFUNCTION("""COMPUTED_VALUE"""),"Home")</f>
        <v>Home</v>
      </c>
      <c r="N184" t="str">
        <f>IFERROR(__xludf.DUMMYFUNCTION("""COMPUTED_VALUE"""),"Styling/Packaging may vary")</f>
        <v>Styling/Packaging may vary</v>
      </c>
      <c r="O184" t="str">
        <f>IFERROR(__xludf.DUMMYFUNCTION("""COMPUTED_VALUE"""),"N")</f>
        <v>N</v>
      </c>
      <c r="P184" s="1" t="str">
        <f>IFERROR(__xludf.DUMMYFUNCTION("""COMPUTED_VALUE"""),"ID 24057")</f>
        <v>ID 24057</v>
      </c>
      <c r="Q184" s="1" t="str">
        <f>IFERROR(__xludf.DUMMYFUNCTION("""COMPUTED_VALUE"""),"B00290FKBI")</f>
        <v>B00290FKBI</v>
      </c>
    </row>
    <row r="185">
      <c r="A185" s="6">
        <f>IFERROR(__xludf.DUMMYFUNCTION("""COMPUTED_VALUE"""),45383.0)</f>
        <v>45383</v>
      </c>
      <c r="B185">
        <f>IFERROR(__xludf.DUMMYFUNCTION("""COMPUTED_VALUE"""),25974.0)</f>
        <v>25974</v>
      </c>
      <c r="C185" t="str">
        <f>IFERROR(__xludf.DUMMYFUNCTION("""COMPUTED_VALUE"""),"Shiatsu Neck and Back Massager with Soothing Heat, Nekteck Electric Deep Tissue 3D Kneading Massage Pillow for Shoulder, Leg, Body Muscle Pain Relief, Home, Office, and Car Use")</f>
        <v>Shiatsu Neck and Back Massager with Soothing Heat, Nekteck Electric Deep Tissue 3D Kneading Massage Pillow for Shoulder, Leg, Body Muscle Pain Relief, Home, Office, and Car Use</v>
      </c>
      <c r="D185" t="str">
        <f>IFERROR(__xludf.DUMMYFUNCTION("""COMPUTED_VALUE"""),"B01BZOKLOO")</f>
        <v>B01BZOKLOO</v>
      </c>
      <c r="F185">
        <f>IFERROR(__xludf.DUMMYFUNCTION("""COMPUTED_VALUE"""),200.0)</f>
        <v>200</v>
      </c>
      <c r="G185">
        <f>IFERROR(__xludf.DUMMYFUNCTION("""COMPUTED_VALUE"""),200.0)</f>
        <v>200</v>
      </c>
      <c r="H185" s="2">
        <f>IFERROR(__xludf.DUMMYFUNCTION("""COMPUTED_VALUE"""),30.0)</f>
        <v>30</v>
      </c>
      <c r="I185" s="2">
        <f>IFERROR(__xludf.DUMMYFUNCTION("""COMPUTED_VALUE"""),34.24)</f>
        <v>34.24</v>
      </c>
      <c r="J185" s="2">
        <f>IFERROR(__xludf.DUMMYFUNCTION("""COMPUTED_VALUE"""),4.240000000000002)</f>
        <v>4.24</v>
      </c>
      <c r="K185" s="5">
        <f>IFERROR(__xludf.DUMMYFUNCTION("""COMPUTED_VALUE"""),0.1413333333333334)</f>
        <v>0.1413333333</v>
      </c>
      <c r="L185">
        <f>IFERROR(__xludf.DUMMYFUNCTION("""COMPUTED_VALUE"""),2530.0)</f>
        <v>2530</v>
      </c>
      <c r="M185" t="str">
        <f>IFERROR(__xludf.DUMMYFUNCTION("""COMPUTED_VALUE"""),"Health and Beauty")</f>
        <v>Health and Beauty</v>
      </c>
      <c r="N185" t="str">
        <f>IFERROR(__xludf.DUMMYFUNCTION("""COMPUTED_VALUE"""),"Brand permission to resell on amazon unknown.")</f>
        <v>Brand permission to resell on amazon unknown.</v>
      </c>
      <c r="O185" t="str">
        <f>IFERROR(__xludf.DUMMYFUNCTION("""COMPUTED_VALUE"""),"N")</f>
        <v>N</v>
      </c>
      <c r="P185" s="1" t="str">
        <f>IFERROR(__xludf.DUMMYFUNCTION("""COMPUTED_VALUE"""),"ID 25974")</f>
        <v>ID 25974</v>
      </c>
      <c r="Q185" s="1" t="str">
        <f>IFERROR(__xludf.DUMMYFUNCTION("""COMPUTED_VALUE"""),"B01BZOKLOO")</f>
        <v>B01BZOKLOO</v>
      </c>
    </row>
    <row r="186">
      <c r="A186" s="6">
        <f>IFERROR(__xludf.DUMMYFUNCTION("""COMPUTED_VALUE"""),43970.0)</f>
        <v>43970</v>
      </c>
      <c r="B186">
        <f>IFERROR(__xludf.DUMMYFUNCTION("""COMPUTED_VALUE"""),14428.0)</f>
        <v>14428</v>
      </c>
      <c r="C186" t="str">
        <f>IFERROR(__xludf.DUMMYFUNCTION("""COMPUTED_VALUE"""),"Plush Creations Plush Farm Animals for Toddlers with Plush Barn House Carrier. Animal Farm Set Includes 4 Talking Soft Cuddly Plush Stuffed Animals, A Plush Cow Plush Horse Plush Lamb Plush Rooster")</f>
        <v>Plush Creations Plush Farm Animals for Toddlers with Plush Barn House Carrier. Animal Farm Set Includes 4 Talking Soft Cuddly Plush Stuffed Animals, A Plush Cow Plush Horse Plush Lamb Plush Rooster</v>
      </c>
      <c r="D186" t="str">
        <f>IFERROR(__xludf.DUMMYFUNCTION("""COMPUTED_VALUE"""),"B07PFG4S2Q")</f>
        <v>B07PFG4S2Q</v>
      </c>
      <c r="F186">
        <f>IFERROR(__xludf.DUMMYFUNCTION("""COMPUTED_VALUE"""),15000.0)</f>
        <v>15000</v>
      </c>
      <c r="G186">
        <f>IFERROR(__xludf.DUMMYFUNCTION("""COMPUTED_VALUE"""),15000.0)</f>
        <v>15000</v>
      </c>
      <c r="H186" s="2">
        <f>IFERROR(__xludf.DUMMYFUNCTION("""COMPUTED_VALUE"""),18.0)</f>
        <v>18</v>
      </c>
      <c r="I186" s="2">
        <f>IFERROR(__xludf.DUMMYFUNCTION("""COMPUTED_VALUE"""),22.22)</f>
        <v>22.22</v>
      </c>
      <c r="J186" s="2">
        <f>IFERROR(__xludf.DUMMYFUNCTION("""COMPUTED_VALUE"""),4.219999999999999)</f>
        <v>4.22</v>
      </c>
      <c r="K186" s="5">
        <f>IFERROR(__xludf.DUMMYFUNCTION("""COMPUTED_VALUE"""),0.23444444444444437)</f>
        <v>0.2344444444</v>
      </c>
      <c r="L186">
        <f>IFERROR(__xludf.DUMMYFUNCTION("""COMPUTED_VALUE"""),32928.0)</f>
        <v>32928</v>
      </c>
      <c r="M186" t="str">
        <f>IFERROR(__xludf.DUMMYFUNCTION("""COMPUTED_VALUE"""),"BISS Basic")</f>
        <v>BISS Basic</v>
      </c>
      <c r="O186" t="str">
        <f>IFERROR(__xludf.DUMMYFUNCTION("""COMPUTED_VALUE"""),"N")</f>
        <v>N</v>
      </c>
      <c r="P186" s="1" t="str">
        <f>IFERROR(__xludf.DUMMYFUNCTION("""COMPUTED_VALUE"""),"ID 14428")</f>
        <v>ID 14428</v>
      </c>
      <c r="Q186" s="1" t="str">
        <f>IFERROR(__xludf.DUMMYFUNCTION("""COMPUTED_VALUE"""),"B07PFG4S2Q")</f>
        <v>B07PFG4S2Q</v>
      </c>
    </row>
    <row r="187">
      <c r="A187" s="6">
        <f>IFERROR(__xludf.DUMMYFUNCTION("""COMPUTED_VALUE"""),45429.0)</f>
        <v>45429</v>
      </c>
      <c r="B187">
        <f>IFERROR(__xludf.DUMMYFUNCTION("""COMPUTED_VALUE"""),16512.0)</f>
        <v>16512</v>
      </c>
      <c r="C187" t="str">
        <f>IFERROR(__xludf.DUMMYFUNCTION("""COMPUTED_VALUE"""),"Givenchy Gentleman For Men. Eau De Toilette Spray 3.3 Ounces")</f>
        <v>Givenchy Gentleman For Men. Eau De Toilette Spray 3.3 Ounces</v>
      </c>
      <c r="D187" t="str">
        <f>IFERROR(__xludf.DUMMYFUNCTION("""COMPUTED_VALUE"""),"B000C213NO")</f>
        <v>B000C213NO</v>
      </c>
      <c r="E187" t="str">
        <f>IFERROR(__xludf.DUMMYFUNCTION("""COMPUTED_VALUE"""),"3274872389816")</f>
        <v>3274872389816</v>
      </c>
      <c r="F187">
        <f>IFERROR(__xludf.DUMMYFUNCTION("""COMPUTED_VALUE"""),36.0)</f>
        <v>36</v>
      </c>
      <c r="G187">
        <f>IFERROR(__xludf.DUMMYFUNCTION("""COMPUTED_VALUE"""),36.0)</f>
        <v>36</v>
      </c>
      <c r="H187" s="2">
        <f>IFERROR(__xludf.DUMMYFUNCTION("""COMPUTED_VALUE"""),30.0)</f>
        <v>30</v>
      </c>
      <c r="I187" s="2">
        <f>IFERROR(__xludf.DUMMYFUNCTION("""COMPUTED_VALUE"""),34.13)</f>
        <v>34.13</v>
      </c>
      <c r="J187" s="2">
        <f>IFERROR(__xludf.DUMMYFUNCTION("""COMPUTED_VALUE"""),4.130000000000003)</f>
        <v>4.13</v>
      </c>
      <c r="K187" s="5">
        <f>IFERROR(__xludf.DUMMYFUNCTION("""COMPUTED_VALUE"""),0.13766666666666674)</f>
        <v>0.1376666667</v>
      </c>
      <c r="L187">
        <f>IFERROR(__xludf.DUMMYFUNCTION("""COMPUTED_VALUE"""),38652.0)</f>
        <v>38652</v>
      </c>
      <c r="M187" t="str">
        <f>IFERROR(__xludf.DUMMYFUNCTION("""COMPUTED_VALUE"""),"Beauty")</f>
        <v>Beauty</v>
      </c>
      <c r="N187" t="str">
        <f>IFERROR(__xludf.DUMMYFUNCTION("""COMPUTED_VALUE"""),"IN STOCK")</f>
        <v>IN STOCK</v>
      </c>
      <c r="O187" t="str">
        <f>IFERROR(__xludf.DUMMYFUNCTION("""COMPUTED_VALUE"""),"Y")</f>
        <v>Y</v>
      </c>
      <c r="P187" s="1" t="str">
        <f>IFERROR(__xludf.DUMMYFUNCTION("""COMPUTED_VALUE"""),"ID 16512")</f>
        <v>ID 16512</v>
      </c>
      <c r="Q187" s="1" t="str">
        <f>IFERROR(__xludf.DUMMYFUNCTION("""COMPUTED_VALUE"""),"B000C213NO")</f>
        <v>B000C213NO</v>
      </c>
    </row>
    <row r="188">
      <c r="A188" s="6">
        <f>IFERROR(__xludf.DUMMYFUNCTION("""COMPUTED_VALUE"""),43921.0)</f>
        <v>43921</v>
      </c>
      <c r="B188">
        <f>IFERROR(__xludf.DUMMYFUNCTION("""COMPUTED_VALUE"""),8210.0)</f>
        <v>8210</v>
      </c>
      <c r="C188" t="str">
        <f>IFERROR(__xludf.DUMMYFUNCTION("""COMPUTED_VALUE"""),"Uber Mom Baseball Wipe Box, Blue")</f>
        <v>Uber Mom Baseball Wipe Box, Blue</v>
      </c>
      <c r="D188" t="str">
        <f>IFERROR(__xludf.DUMMYFUNCTION("""COMPUTED_VALUE"""),"B00O10RHLK")</f>
        <v>B00O10RHLK</v>
      </c>
      <c r="E188" t="str">
        <f>IFERROR(__xludf.DUMMYFUNCTION("""COMPUTED_VALUE"""),"855749004280")</f>
        <v>855749004280</v>
      </c>
      <c r="F188">
        <f>IFERROR(__xludf.DUMMYFUNCTION("""COMPUTED_VALUE"""),1440.0)</f>
        <v>1440</v>
      </c>
      <c r="G188">
        <f>IFERROR(__xludf.DUMMYFUNCTION("""COMPUTED_VALUE"""),1440.0)</f>
        <v>1440</v>
      </c>
      <c r="H188" s="2">
        <f>IFERROR(__xludf.DUMMYFUNCTION("""COMPUTED_VALUE"""),1.0)</f>
        <v>1</v>
      </c>
      <c r="I188" s="2">
        <f>IFERROR(__xludf.DUMMYFUNCTION("""COMPUTED_VALUE"""),5.12)</f>
        <v>5.12</v>
      </c>
      <c r="J188" s="2">
        <f>IFERROR(__xludf.DUMMYFUNCTION("""COMPUTED_VALUE"""),4.12)</f>
        <v>4.12</v>
      </c>
      <c r="K188" s="5">
        <f>IFERROR(__xludf.DUMMYFUNCTION("""COMPUTED_VALUE"""),4.12)</f>
        <v>4.12</v>
      </c>
      <c r="L188">
        <f>IFERROR(__xludf.DUMMYFUNCTION("""COMPUTED_VALUE"""),44942.0)</f>
        <v>44942</v>
      </c>
      <c r="M188" t="str">
        <f>IFERROR(__xludf.DUMMYFUNCTION("""COMPUTED_VALUE"""),"Baby Product")</f>
        <v>Baby Product</v>
      </c>
      <c r="O188" t="str">
        <f>IFERROR(__xludf.DUMMYFUNCTION("""COMPUTED_VALUE"""),"N")</f>
        <v>N</v>
      </c>
      <c r="P188" s="1" t="str">
        <f>IFERROR(__xludf.DUMMYFUNCTION("""COMPUTED_VALUE"""),"ID 8210")</f>
        <v>ID 8210</v>
      </c>
      <c r="Q188" s="1" t="str">
        <f>IFERROR(__xludf.DUMMYFUNCTION("""COMPUTED_VALUE"""),"B00O10RHLK")</f>
        <v>B00O10RHLK</v>
      </c>
    </row>
    <row r="189">
      <c r="A189" s="6">
        <f>IFERROR(__xludf.DUMMYFUNCTION("""COMPUTED_VALUE"""),45351.0)</f>
        <v>45351</v>
      </c>
      <c r="B189">
        <f>IFERROR(__xludf.DUMMYFUNCTION("""COMPUTED_VALUE"""),19756.0)</f>
        <v>19756</v>
      </c>
      <c r="C189" t="str">
        <f>IFERROR(__xludf.DUMMYFUNCTION("""COMPUTED_VALUE"""),"Hayes Pre-Kindergarten Diploma, 8.5"" x 11"", Pack of 30")</f>
        <v>Hayes Pre-Kindergarten Diploma, 8.5" x 11", Pack of 30</v>
      </c>
      <c r="D189" t="str">
        <f>IFERROR(__xludf.DUMMYFUNCTION("""COMPUTED_VALUE"""),"B00207PHOK")</f>
        <v>B00207PHOK</v>
      </c>
      <c r="E189" t="str">
        <f>IFERROR(__xludf.DUMMYFUNCTION("""COMPUTED_VALUE"""),"734675041210")</f>
        <v>734675041210</v>
      </c>
      <c r="F189">
        <f>IFERROR(__xludf.DUMMYFUNCTION("""COMPUTED_VALUE"""),500.0)</f>
        <v>500</v>
      </c>
      <c r="G189">
        <f>IFERROR(__xludf.DUMMYFUNCTION("""COMPUTED_VALUE"""),10000.0)</f>
        <v>10000</v>
      </c>
      <c r="H189" s="2">
        <f>IFERROR(__xludf.DUMMYFUNCTION("""COMPUTED_VALUE"""),3.75)</f>
        <v>3.75</v>
      </c>
      <c r="I189" s="2">
        <f>IFERROR(__xludf.DUMMYFUNCTION("""COMPUTED_VALUE"""),7.86)</f>
        <v>7.86</v>
      </c>
      <c r="J189" s="2">
        <f>IFERROR(__xludf.DUMMYFUNCTION("""COMPUTED_VALUE"""),4.11)</f>
        <v>4.11</v>
      </c>
      <c r="K189" s="5">
        <f>IFERROR(__xludf.DUMMYFUNCTION("""COMPUTED_VALUE"""),1.096)</f>
        <v>1.096</v>
      </c>
      <c r="L189">
        <f>IFERROR(__xludf.DUMMYFUNCTION("""COMPUTED_VALUE"""),28528.0)</f>
        <v>28528</v>
      </c>
      <c r="M189" t="str">
        <f>IFERROR(__xludf.DUMMYFUNCTION("""COMPUTED_VALUE"""),"BISS Basic")</f>
        <v>BISS Basic</v>
      </c>
      <c r="O189" t="str">
        <f>IFERROR(__xludf.DUMMYFUNCTION("""COMPUTED_VALUE"""),"Y")</f>
        <v>Y</v>
      </c>
      <c r="P189" s="1" t="str">
        <f>IFERROR(__xludf.DUMMYFUNCTION("""COMPUTED_VALUE"""),"ID 19756")</f>
        <v>ID 19756</v>
      </c>
      <c r="Q189" s="1" t="str">
        <f>IFERROR(__xludf.DUMMYFUNCTION("""COMPUTED_VALUE"""),"B00207PHOK")</f>
        <v>B00207PHOK</v>
      </c>
    </row>
    <row r="190">
      <c r="A190" s="6">
        <f>IFERROR(__xludf.DUMMYFUNCTION("""COMPUTED_VALUE"""),45149.0)</f>
        <v>45149</v>
      </c>
      <c r="B190">
        <f>IFERROR(__xludf.DUMMYFUNCTION("""COMPUTED_VALUE"""),20457.0)</f>
        <v>20457</v>
      </c>
      <c r="C190" t="str">
        <f>IFERROR(__xludf.DUMMYFUNCTION("""COMPUTED_VALUE"""),"Pokémon Clip and Carry Poké Ball Adjustable Belt with 2 inch Pikachu Figure, Poké Ball, and Grass Type Nest Ball - Assorted colors")</f>
        <v>Pokémon Clip and Carry Poké Ball Adjustable Belt with 2 inch Pikachu Figure, Poké Ball, and Grass Type Nest Ball - Assorted colors</v>
      </c>
      <c r="D190" t="str">
        <f>IFERROR(__xludf.DUMMYFUNCTION("""COMPUTED_VALUE"""),"B01C49MHQY")</f>
        <v>B01C49MHQY</v>
      </c>
      <c r="E190" t="str">
        <f>IFERROR(__xludf.DUMMYFUNCTION("""COMPUTED_VALUE"""),"053941188894")</f>
        <v>053941188894</v>
      </c>
      <c r="F190">
        <f>IFERROR(__xludf.DUMMYFUNCTION("""COMPUTED_VALUE"""),108.0)</f>
        <v>108</v>
      </c>
      <c r="G190">
        <f>IFERROR(__xludf.DUMMYFUNCTION("""COMPUTED_VALUE"""),38.0)</f>
        <v>38</v>
      </c>
      <c r="H190" s="2">
        <f>IFERROR(__xludf.DUMMYFUNCTION("""COMPUTED_VALUE"""),12.0)</f>
        <v>12</v>
      </c>
      <c r="I190" s="2">
        <f>IFERROR(__xludf.DUMMYFUNCTION("""COMPUTED_VALUE"""),16.11)</f>
        <v>16.11</v>
      </c>
      <c r="J190" s="2">
        <f>IFERROR(__xludf.DUMMYFUNCTION("""COMPUTED_VALUE"""),4.109999999999999)</f>
        <v>4.11</v>
      </c>
      <c r="K190" s="5">
        <f>IFERROR(__xludf.DUMMYFUNCTION("""COMPUTED_VALUE"""),0.34249999999999997)</f>
        <v>0.3425</v>
      </c>
      <c r="L190">
        <f>IFERROR(__xludf.DUMMYFUNCTION("""COMPUTED_VALUE"""),32022.0)</f>
        <v>32022</v>
      </c>
      <c r="M190" t="str">
        <f>IFERROR(__xludf.DUMMYFUNCTION("""COMPUTED_VALUE"""),"Toy")</f>
        <v>Toy</v>
      </c>
      <c r="O190" t="str">
        <f>IFERROR(__xludf.DUMMYFUNCTION("""COMPUTED_VALUE"""),"N")</f>
        <v>N</v>
      </c>
      <c r="P190" s="1" t="str">
        <f>IFERROR(__xludf.DUMMYFUNCTION("""COMPUTED_VALUE"""),"ID 20457")</f>
        <v>ID 20457</v>
      </c>
      <c r="Q190" s="1" t="str">
        <f>IFERROR(__xludf.DUMMYFUNCTION("""COMPUTED_VALUE"""),"B01C49MHQY")</f>
        <v>B01C49MHQY</v>
      </c>
    </row>
    <row r="191">
      <c r="A191" s="6">
        <f>IFERROR(__xludf.DUMMYFUNCTION("""COMPUTED_VALUE"""),45343.0)</f>
        <v>45343</v>
      </c>
      <c r="B191">
        <f>IFERROR(__xludf.DUMMYFUNCTION("""COMPUTED_VALUE"""),14377.0)</f>
        <v>14377</v>
      </c>
      <c r="C191" t="str">
        <f>IFERROR(__xludf.DUMMYFUNCTION("""COMPUTED_VALUE"""),"Nyko Charge Link - Micro-USB Controller Charge and Sync Cable for Xbox One")</f>
        <v>Nyko Charge Link - Micro-USB Controller Charge and Sync Cable for Xbox One</v>
      </c>
      <c r="D191" t="str">
        <f>IFERROR(__xludf.DUMMYFUNCTION("""COMPUTED_VALUE"""),"B00IWLF9MS")</f>
        <v>B00IWLF9MS</v>
      </c>
      <c r="E191" t="str">
        <f>IFERROR(__xludf.DUMMYFUNCTION("""COMPUTED_VALUE"""),"743840861157")</f>
        <v>743840861157</v>
      </c>
      <c r="F191">
        <f>IFERROR(__xludf.DUMMYFUNCTION("""COMPUTED_VALUE"""),1008.0)</f>
        <v>1008</v>
      </c>
      <c r="G191">
        <f>IFERROR(__xludf.DUMMYFUNCTION("""COMPUTED_VALUE"""),5488.0)</f>
        <v>5488</v>
      </c>
      <c r="H191" s="2">
        <f>IFERROR(__xludf.DUMMYFUNCTION("""COMPUTED_VALUE"""),1.25)</f>
        <v>1.25</v>
      </c>
      <c r="I191" s="2">
        <f>IFERROR(__xludf.DUMMYFUNCTION("""COMPUTED_VALUE"""),5.34)</f>
        <v>5.34</v>
      </c>
      <c r="J191" s="2">
        <f>IFERROR(__xludf.DUMMYFUNCTION("""COMPUTED_VALUE"""),4.09)</f>
        <v>4.09</v>
      </c>
      <c r="K191" s="5">
        <f>IFERROR(__xludf.DUMMYFUNCTION("""COMPUTED_VALUE"""),3.272)</f>
        <v>3.272</v>
      </c>
      <c r="L191">
        <f>IFERROR(__xludf.DUMMYFUNCTION("""COMPUTED_VALUE"""),24700.0)</f>
        <v>24700</v>
      </c>
      <c r="M191" t="str">
        <f>IFERROR(__xludf.DUMMYFUNCTION("""COMPUTED_VALUE"""),"Video Games")</f>
        <v>Video Games</v>
      </c>
      <c r="N191" t="str">
        <f>IFERROR(__xludf.DUMMYFUNCTION("""COMPUTED_VALUE"""),"Disco by Brand after stock is finished")</f>
        <v>Disco by Brand after stock is finished</v>
      </c>
      <c r="O191" t="str">
        <f>IFERROR(__xludf.DUMMYFUNCTION("""COMPUTED_VALUE"""),"Y")</f>
        <v>Y</v>
      </c>
      <c r="P191" s="1" t="str">
        <f>IFERROR(__xludf.DUMMYFUNCTION("""COMPUTED_VALUE"""),"ID 14377")</f>
        <v>ID 14377</v>
      </c>
      <c r="Q191" s="1" t="str">
        <f>IFERROR(__xludf.DUMMYFUNCTION("""COMPUTED_VALUE"""),"B00IWLF9MS")</f>
        <v>B00IWLF9MS</v>
      </c>
    </row>
    <row r="192">
      <c r="A192" s="6">
        <f>IFERROR(__xludf.DUMMYFUNCTION("""COMPUTED_VALUE"""),45401.0)</f>
        <v>45401</v>
      </c>
      <c r="B192">
        <f>IFERROR(__xludf.DUMMYFUNCTION("""COMPUTED_VALUE"""),11762.0)</f>
        <v>11762</v>
      </c>
      <c r="C192" t="str">
        <f>IFERROR(__xludf.DUMMYFUNCTION("""COMPUTED_VALUE"""),"Home Basics KT47459 Adjustable Over The Cabinet Door Mount Plastic Organizer Storage Space Saving Hanging Basket for Kitchen, Pantry, Vanity and Bathroom, Cle")</f>
        <v>Home Basics KT47459 Adjustable Over The Cabinet Door Mount Plastic Organizer Storage Space Saving Hanging Basket for Kitchen, Pantry, Vanity and Bathroom, Cle</v>
      </c>
      <c r="D192" t="str">
        <f>IFERROR(__xludf.DUMMYFUNCTION("""COMPUTED_VALUE"""),"B07TQMTMHC")</f>
        <v>B07TQMTMHC</v>
      </c>
      <c r="E192" t="str">
        <f>IFERROR(__xludf.DUMMYFUNCTION("""COMPUTED_VALUE"""),"886466474599")</f>
        <v>886466474599</v>
      </c>
      <c r="F192">
        <f>IFERROR(__xludf.DUMMYFUNCTION("""COMPUTED_VALUE"""),276.0)</f>
        <v>276</v>
      </c>
      <c r="G192">
        <f>IFERROR(__xludf.DUMMYFUNCTION("""COMPUTED_VALUE"""),10000.0)</f>
        <v>10000</v>
      </c>
      <c r="H192" s="2">
        <f>IFERROR(__xludf.DUMMYFUNCTION("""COMPUTED_VALUE"""),4.75)</f>
        <v>4.75</v>
      </c>
      <c r="I192" s="2">
        <f>IFERROR(__xludf.DUMMYFUNCTION("""COMPUTED_VALUE"""),8.84)</f>
        <v>8.84</v>
      </c>
      <c r="J192" s="2">
        <f>IFERROR(__xludf.DUMMYFUNCTION("""COMPUTED_VALUE"""),4.09)</f>
        <v>4.09</v>
      </c>
      <c r="K192" s="5">
        <f>IFERROR(__xludf.DUMMYFUNCTION("""COMPUTED_VALUE"""),0.8610526315789473)</f>
        <v>0.8610526316</v>
      </c>
      <c r="L192">
        <f>IFERROR(__xludf.DUMMYFUNCTION("""COMPUTED_VALUE"""),69321.0)</f>
        <v>69321</v>
      </c>
      <c r="M192" t="str">
        <f>IFERROR(__xludf.DUMMYFUNCTION("""COMPUTED_VALUE"""),"Kitchen")</f>
        <v>Kitchen</v>
      </c>
      <c r="O192" t="str">
        <f>IFERROR(__xludf.DUMMYFUNCTION("""COMPUTED_VALUE"""),"Y")</f>
        <v>Y</v>
      </c>
      <c r="P192" s="1" t="str">
        <f>IFERROR(__xludf.DUMMYFUNCTION("""COMPUTED_VALUE"""),"ID 11762")</f>
        <v>ID 11762</v>
      </c>
      <c r="Q192" s="1" t="str">
        <f>IFERROR(__xludf.DUMMYFUNCTION("""COMPUTED_VALUE"""),"B07TQMTMHC")</f>
        <v>B07TQMTMHC</v>
      </c>
    </row>
    <row r="193">
      <c r="A193" s="6">
        <f>IFERROR(__xludf.DUMMYFUNCTION("""COMPUTED_VALUE"""),44941.0)</f>
        <v>44941</v>
      </c>
      <c r="B193">
        <f>IFERROR(__xludf.DUMMYFUNCTION("""COMPUTED_VALUE"""),24919.0)</f>
        <v>24919</v>
      </c>
      <c r="C193" t="str">
        <f>IFERROR(__xludf.DUMMYFUNCTION("""COMPUTED_VALUE"""),"Waterman Allure Fountain Pen | Macaron Pink Matte Lacquer with Chrome Trim | Fine Stainless Steel Nib | Blue Ink | With Gift Box")</f>
        <v>Waterman Allure Fountain Pen | Macaron Pink Matte Lacquer with Chrome Trim | Fine Stainless Steel Nib | Blue Ink | With Gift Box</v>
      </c>
      <c r="D193" t="str">
        <f>IFERROR(__xludf.DUMMYFUNCTION("""COMPUTED_VALUE"""),"B0856469HR")</f>
        <v>B0856469HR</v>
      </c>
      <c r="E193" t="str">
        <f>IFERROR(__xludf.DUMMYFUNCTION("""COMPUTED_VALUE"""),"3026981052255")</f>
        <v>3026981052255</v>
      </c>
      <c r="F193">
        <f>IFERROR(__xludf.DUMMYFUNCTION("""COMPUTED_VALUE"""),200.0)</f>
        <v>200</v>
      </c>
      <c r="G193">
        <f>IFERROR(__xludf.DUMMYFUNCTION("""COMPUTED_VALUE"""),10000.0)</f>
        <v>10000</v>
      </c>
      <c r="H193" s="2">
        <f>IFERROR(__xludf.DUMMYFUNCTION("""COMPUTED_VALUE"""),15.0)</f>
        <v>15</v>
      </c>
      <c r="I193" s="2">
        <f>IFERROR(__xludf.DUMMYFUNCTION("""COMPUTED_VALUE"""),19.08)</f>
        <v>19.08</v>
      </c>
      <c r="J193" s="2">
        <f>IFERROR(__xludf.DUMMYFUNCTION("""COMPUTED_VALUE"""),4.079999999999998)</f>
        <v>4.08</v>
      </c>
      <c r="K193" s="5">
        <f>IFERROR(__xludf.DUMMYFUNCTION("""COMPUTED_VALUE"""),0.2719999999999999)</f>
        <v>0.272</v>
      </c>
      <c r="L193">
        <f>IFERROR(__xludf.DUMMYFUNCTION("""COMPUTED_VALUE"""),82056.0)</f>
        <v>82056</v>
      </c>
      <c r="M193" t="str">
        <f>IFERROR(__xludf.DUMMYFUNCTION("""COMPUTED_VALUE"""),"Office Product")</f>
        <v>Office Product</v>
      </c>
      <c r="N193"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93" t="str">
        <f>IFERROR(__xludf.DUMMYFUNCTION("""COMPUTED_VALUE"""),"N")</f>
        <v>N</v>
      </c>
      <c r="P193" s="1" t="str">
        <f>IFERROR(__xludf.DUMMYFUNCTION("""COMPUTED_VALUE"""),"ID 24919")</f>
        <v>ID 24919</v>
      </c>
      <c r="Q193" s="1" t="str">
        <f>IFERROR(__xludf.DUMMYFUNCTION("""COMPUTED_VALUE"""),"B0856469HR")</f>
        <v>B0856469HR</v>
      </c>
    </row>
    <row r="194">
      <c r="A194" s="6">
        <f>IFERROR(__xludf.DUMMYFUNCTION("""COMPUTED_VALUE"""),45231.0)</f>
        <v>45231</v>
      </c>
      <c r="B194">
        <f>IFERROR(__xludf.DUMMYFUNCTION("""COMPUTED_VALUE"""),22324.0)</f>
        <v>22324</v>
      </c>
      <c r="C194" t="str">
        <f>IFERROR(__xludf.DUMMYFUNCTION("""COMPUTED_VALUE"""),"PILOT Varsity Disposable Fountain Pens, Medium Point Stainless Steel Nib, Green/Pink/Turquoise Inks, 3-Pack (90067)")</f>
        <v>PILOT Varsity Disposable Fountain Pens, Medium Point Stainless Steel Nib, Green/Pink/Turquoise Inks, 3-Pack (90067)</v>
      </c>
      <c r="D194" t="str">
        <f>IFERROR(__xludf.DUMMYFUNCTION("""COMPUTED_VALUE"""),"B00814JXN2")</f>
        <v>B00814JXN2</v>
      </c>
      <c r="E194" t="str">
        <f>IFERROR(__xludf.DUMMYFUNCTION("""COMPUTED_VALUE"""),"072838900678")</f>
        <v>072838900678</v>
      </c>
      <c r="F194">
        <f>IFERROR(__xludf.DUMMYFUNCTION("""COMPUTED_VALUE"""),288.0)</f>
        <v>288</v>
      </c>
      <c r="G194">
        <f>IFERROR(__xludf.DUMMYFUNCTION("""COMPUTED_VALUE"""),672.0)</f>
        <v>672</v>
      </c>
      <c r="H194" s="2">
        <f>IFERROR(__xludf.DUMMYFUNCTION("""COMPUTED_VALUE"""),5.0)</f>
        <v>5</v>
      </c>
      <c r="I194" s="2">
        <f>IFERROR(__xludf.DUMMYFUNCTION("""COMPUTED_VALUE"""),9.07)</f>
        <v>9.07</v>
      </c>
      <c r="J194" s="2">
        <f>IFERROR(__xludf.DUMMYFUNCTION("""COMPUTED_VALUE"""),4.07)</f>
        <v>4.07</v>
      </c>
      <c r="K194" s="5">
        <f>IFERROR(__xludf.DUMMYFUNCTION("""COMPUTED_VALUE"""),0.8140000000000001)</f>
        <v>0.814</v>
      </c>
      <c r="L194">
        <f>IFERROR(__xludf.DUMMYFUNCTION("""COMPUTED_VALUE"""),6075.0)</f>
        <v>6075</v>
      </c>
      <c r="M194" t="str">
        <f>IFERROR(__xludf.DUMMYFUNCTION("""COMPUTED_VALUE"""),"Office Product")</f>
        <v>Office Product</v>
      </c>
      <c r="N194" t="str">
        <f>IFERROR(__xludf.DUMMYFUNCTION("""COMPUTED_VALUE"""),"Disco by Brand")</f>
        <v>Disco by Brand</v>
      </c>
      <c r="O194" t="str">
        <f>IFERROR(__xludf.DUMMYFUNCTION("""COMPUTED_VALUE"""),"N")</f>
        <v>N</v>
      </c>
      <c r="P194" s="1" t="str">
        <f>IFERROR(__xludf.DUMMYFUNCTION("""COMPUTED_VALUE"""),"ID 22324")</f>
        <v>ID 22324</v>
      </c>
      <c r="Q194" s="1" t="str">
        <f>IFERROR(__xludf.DUMMYFUNCTION("""COMPUTED_VALUE"""),"B00814JXN2")</f>
        <v>B00814JXN2</v>
      </c>
    </row>
    <row r="195">
      <c r="A195" s="6">
        <f>IFERROR(__xludf.DUMMYFUNCTION("""COMPUTED_VALUE"""),45376.0)</f>
        <v>45376</v>
      </c>
      <c r="B195">
        <f>IFERROR(__xludf.DUMMYFUNCTION("""COMPUTED_VALUE"""),17058.0)</f>
        <v>17058</v>
      </c>
      <c r="C195" t="str">
        <f>IFERROR(__xludf.DUMMYFUNCTION("""COMPUTED_VALUE"""),"PRANG Refill Pans for Oval Watercolor Paint Set, 12 Pans per Box, Red (00801)")</f>
        <v>PRANG Refill Pans for Oval Watercolor Paint Set, 12 Pans per Box, Red (00801)</v>
      </c>
      <c r="D195" t="str">
        <f>IFERROR(__xludf.DUMMYFUNCTION("""COMPUTED_VALUE"""),"B0044SCY44")</f>
        <v>B0044SCY44</v>
      </c>
      <c r="E195" t="str">
        <f>IFERROR(__xludf.DUMMYFUNCTION("""COMPUTED_VALUE"""),"072067008015")</f>
        <v>072067008015</v>
      </c>
      <c r="F195">
        <f>IFERROR(__xludf.DUMMYFUNCTION("""COMPUTED_VALUE"""),816.0)</f>
        <v>816</v>
      </c>
      <c r="G195">
        <f>IFERROR(__xludf.DUMMYFUNCTION("""COMPUTED_VALUE"""),10000.0)</f>
        <v>10000</v>
      </c>
      <c r="H195" s="2">
        <f>IFERROR(__xludf.DUMMYFUNCTION("""COMPUTED_VALUE"""),4.5)</f>
        <v>4.5</v>
      </c>
      <c r="I195" s="2">
        <f>IFERROR(__xludf.DUMMYFUNCTION("""COMPUTED_VALUE"""),8.56)</f>
        <v>8.56</v>
      </c>
      <c r="J195" s="2">
        <f>IFERROR(__xludf.DUMMYFUNCTION("""COMPUTED_VALUE"""),4.0600000000000005)</f>
        <v>4.06</v>
      </c>
      <c r="K195" s="5">
        <f>IFERROR(__xludf.DUMMYFUNCTION("""COMPUTED_VALUE"""),0.9022222222222224)</f>
        <v>0.9022222222</v>
      </c>
      <c r="L195">
        <f>IFERROR(__xludf.DUMMYFUNCTION("""COMPUTED_VALUE"""),13615.0)</f>
        <v>13615</v>
      </c>
      <c r="M195" t="str">
        <f>IFERROR(__xludf.DUMMYFUNCTION("""COMPUTED_VALUE"""),"Home Improvement")</f>
        <v>Home Improvement</v>
      </c>
      <c r="O195" t="str">
        <f>IFERROR(__xludf.DUMMYFUNCTION("""COMPUTED_VALUE"""),"Y")</f>
        <v>Y</v>
      </c>
      <c r="P195" s="1" t="str">
        <f>IFERROR(__xludf.DUMMYFUNCTION("""COMPUTED_VALUE"""),"ID 17058")</f>
        <v>ID 17058</v>
      </c>
      <c r="Q195" s="1" t="str">
        <f>IFERROR(__xludf.DUMMYFUNCTION("""COMPUTED_VALUE"""),"B0044SCY44")</f>
        <v>B0044SCY44</v>
      </c>
    </row>
    <row r="196">
      <c r="A196" s="6">
        <f>IFERROR(__xludf.DUMMYFUNCTION("""COMPUTED_VALUE"""),44622.0)</f>
        <v>44622</v>
      </c>
      <c r="B196">
        <f>IFERROR(__xludf.DUMMYFUNCTION("""COMPUTED_VALUE"""),25415.0)</f>
        <v>25415</v>
      </c>
      <c r="C196" t="str">
        <f>IFERROR(__xludf.DUMMYFUNCTION("""COMPUTED_VALUE"""),"Cardinal Performer 3-Ring Binder, 1.5"", Non-Locking Slant-D Rings, 375-Sheet Capacity, ClearVue Presentation Binder, PVC-Free, Black (17401CB)")</f>
        <v>Cardinal Performer 3-Ring Binder, 1.5", Non-Locking Slant-D Rings, 375-Sheet Capacity, ClearVue Presentation Binder, PVC-Free, Black (17401CB)</v>
      </c>
      <c r="D196" t="str">
        <f>IFERROR(__xludf.DUMMYFUNCTION("""COMPUTED_VALUE"""),"B001DYX7H0")</f>
        <v>B001DYX7H0</v>
      </c>
      <c r="E196" t="str">
        <f>IFERROR(__xludf.DUMMYFUNCTION("""COMPUTED_VALUE"""),"083086174018")</f>
        <v>083086174018</v>
      </c>
      <c r="F196">
        <f>IFERROR(__xludf.DUMMYFUNCTION("""COMPUTED_VALUE"""),336.0)</f>
        <v>336</v>
      </c>
      <c r="G196">
        <f>IFERROR(__xludf.DUMMYFUNCTION("""COMPUTED_VALUE"""),5000.0)</f>
        <v>5000</v>
      </c>
      <c r="H196" s="2">
        <f>IFERROR(__xludf.DUMMYFUNCTION("""COMPUTED_VALUE"""),7.25)</f>
        <v>7.25</v>
      </c>
      <c r="I196" s="2">
        <f>IFERROR(__xludf.DUMMYFUNCTION("""COMPUTED_VALUE"""),11.3)</f>
        <v>11.3</v>
      </c>
      <c r="J196" s="2">
        <f>IFERROR(__xludf.DUMMYFUNCTION("""COMPUTED_VALUE"""),4.050000000000001)</f>
        <v>4.05</v>
      </c>
      <c r="K196" s="5">
        <f>IFERROR(__xludf.DUMMYFUNCTION("""COMPUTED_VALUE"""),0.5586206896551725)</f>
        <v>0.5586206897</v>
      </c>
      <c r="L196">
        <f>IFERROR(__xludf.DUMMYFUNCTION("""COMPUTED_VALUE"""),23672.0)</f>
        <v>23672</v>
      </c>
      <c r="M196" t="str">
        <f>IFERROR(__xludf.DUMMYFUNCTION("""COMPUTED_VALUE"""),"Office Product")</f>
        <v>Office Product</v>
      </c>
      <c r="O196" t="str">
        <f>IFERROR(__xludf.DUMMYFUNCTION("""COMPUTED_VALUE"""),"Y")</f>
        <v>Y</v>
      </c>
      <c r="P196" s="1" t="str">
        <f>IFERROR(__xludf.DUMMYFUNCTION("""COMPUTED_VALUE"""),"ID 25415")</f>
        <v>ID 25415</v>
      </c>
      <c r="Q196" s="1" t="str">
        <f>IFERROR(__xludf.DUMMYFUNCTION("""COMPUTED_VALUE"""),"B001DYX7H0")</f>
        <v>B001DYX7H0</v>
      </c>
    </row>
    <row r="197">
      <c r="A197" s="6">
        <f>IFERROR(__xludf.DUMMYFUNCTION("""COMPUTED_VALUE"""),44567.0)</f>
        <v>44567</v>
      </c>
      <c r="B197">
        <f>IFERROR(__xludf.DUMMYFUNCTION("""COMPUTED_VALUE"""),19400.0)</f>
        <v>19400</v>
      </c>
      <c r="C197" t="str">
        <f>IFERROR(__xludf.DUMMYFUNCTION("""COMPUTED_VALUE"""),"Elmer's Liquid School Glue, White, Washable, 7.625 Ounces, 3 Count Slime Kit")</f>
        <v>Elmer's Liquid School Glue, White, Washable, 7.625 Ounces, 3 Count Slime Kit</v>
      </c>
      <c r="D197" t="str">
        <f>IFERROR(__xludf.DUMMYFUNCTION("""COMPUTED_VALUE"""),"B072JWWS8Z")</f>
        <v>B072JWWS8Z</v>
      </c>
      <c r="E197" t="str">
        <f>IFERROR(__xludf.DUMMYFUNCTION("""COMPUTED_VALUE"""),"026000181877")</f>
        <v>026000181877</v>
      </c>
      <c r="F197">
        <f>IFERROR(__xludf.DUMMYFUNCTION("""COMPUTED_VALUE"""),191.0)</f>
        <v>191</v>
      </c>
      <c r="G197">
        <f>IFERROR(__xludf.DUMMYFUNCTION("""COMPUTED_VALUE"""),142.0)</f>
        <v>142</v>
      </c>
      <c r="H197" s="2">
        <f>IFERROR(__xludf.DUMMYFUNCTION("""COMPUTED_VALUE"""),4.25)</f>
        <v>4.25</v>
      </c>
      <c r="I197" s="2">
        <f>IFERROR(__xludf.DUMMYFUNCTION("""COMPUTED_VALUE"""),8.29)</f>
        <v>8.29</v>
      </c>
      <c r="J197" s="2">
        <f>IFERROR(__xludf.DUMMYFUNCTION("""COMPUTED_VALUE"""),4.039999999999999)</f>
        <v>4.04</v>
      </c>
      <c r="K197" s="5">
        <f>IFERROR(__xludf.DUMMYFUNCTION("""COMPUTED_VALUE"""),0.9505882352941174)</f>
        <v>0.9505882353</v>
      </c>
      <c r="L197">
        <f>IFERROR(__xludf.DUMMYFUNCTION("""COMPUTED_VALUE"""),28791.0)</f>
        <v>28791</v>
      </c>
      <c r="M197" t="str">
        <f>IFERROR(__xludf.DUMMYFUNCTION("""COMPUTED_VALUE"""),"Office Product")</f>
        <v>Office Product</v>
      </c>
      <c r="O197" t="str">
        <f>IFERROR(__xludf.DUMMYFUNCTION("""COMPUTED_VALUE"""),"N")</f>
        <v>N</v>
      </c>
      <c r="P197" s="1" t="str">
        <f>IFERROR(__xludf.DUMMYFUNCTION("""COMPUTED_VALUE"""),"ID 19400")</f>
        <v>ID 19400</v>
      </c>
      <c r="Q197" s="1" t="str">
        <f>IFERROR(__xludf.DUMMYFUNCTION("""COMPUTED_VALUE"""),"B072JWWS8Z")</f>
        <v>B072JWWS8Z</v>
      </c>
    </row>
    <row r="198">
      <c r="A198" s="6">
        <f>IFERROR(__xludf.DUMMYFUNCTION("""COMPUTED_VALUE"""),45383.0)</f>
        <v>45383</v>
      </c>
      <c r="B198">
        <f>IFERROR(__xludf.DUMMYFUNCTION("""COMPUTED_VALUE"""),23777.0)</f>
        <v>23777</v>
      </c>
      <c r="C198" t="str">
        <f>IFERROR(__xludf.DUMMYFUNCTION("""COMPUTED_VALUE"""),"Smead 100% Recycled Fastener File Folder, 2 Fasteners, Reinforced 1/3-Cut Tab, Letter Size, Green, 50 per Box (12141)")</f>
        <v>Smead 100% Recycled Fastener File Folder, 2 Fasteners, Reinforced 1/3-Cut Tab, Letter Size, Green, 50 per Box (12141)</v>
      </c>
      <c r="D198" t="str">
        <f>IFERROR(__xludf.DUMMYFUNCTION("""COMPUTED_VALUE"""),"B002MPPBG4")</f>
        <v>B002MPPBG4</v>
      </c>
      <c r="E198" t="str">
        <f>IFERROR(__xludf.DUMMYFUNCTION("""COMPUTED_VALUE"""),"086486121415")</f>
        <v>086486121415</v>
      </c>
      <c r="F198">
        <f>IFERROR(__xludf.DUMMYFUNCTION("""COMPUTED_VALUE"""),29.0)</f>
        <v>29</v>
      </c>
      <c r="G198">
        <f>IFERROR(__xludf.DUMMYFUNCTION("""COMPUTED_VALUE"""),10000.0)</f>
        <v>10000</v>
      </c>
      <c r="H198" s="2">
        <f>IFERROR(__xludf.DUMMYFUNCTION("""COMPUTED_VALUE"""),48.75)</f>
        <v>48.75</v>
      </c>
      <c r="I198" s="2">
        <f>IFERROR(__xludf.DUMMYFUNCTION("""COMPUTED_VALUE"""),52.78)</f>
        <v>52.78</v>
      </c>
      <c r="J198" s="2">
        <f>IFERROR(__xludf.DUMMYFUNCTION("""COMPUTED_VALUE"""),4.030000000000001)</f>
        <v>4.03</v>
      </c>
      <c r="K198" s="5">
        <f>IFERROR(__xludf.DUMMYFUNCTION("""COMPUTED_VALUE"""),0.0826666666666667)</f>
        <v>0.08266666667</v>
      </c>
      <c r="L198">
        <f>IFERROR(__xludf.DUMMYFUNCTION("""COMPUTED_VALUE"""),82114.0)</f>
        <v>82114</v>
      </c>
      <c r="M198" t="str">
        <f>IFERROR(__xludf.DUMMYFUNCTION("""COMPUTED_VALUE"""),"Office Product")</f>
        <v>Office Product</v>
      </c>
      <c r="N198" t="str">
        <f>IFERROR(__xludf.DUMMYFUNCTION("""COMPUTED_VALUE"""),"Styling/Packaging may vary")</f>
        <v>Styling/Packaging may vary</v>
      </c>
      <c r="O198" t="str">
        <f>IFERROR(__xludf.DUMMYFUNCTION("""COMPUTED_VALUE"""),"N")</f>
        <v>N</v>
      </c>
      <c r="P198" s="1" t="str">
        <f>IFERROR(__xludf.DUMMYFUNCTION("""COMPUTED_VALUE"""),"ID 23777")</f>
        <v>ID 23777</v>
      </c>
      <c r="Q198" s="1" t="str">
        <f>IFERROR(__xludf.DUMMYFUNCTION("""COMPUTED_VALUE"""),"B002MPPBG4")</f>
        <v>B002MPPBG4</v>
      </c>
    </row>
    <row r="199">
      <c r="A199" s="6">
        <f>IFERROR(__xludf.DUMMYFUNCTION("""COMPUTED_VALUE"""),45421.0)</f>
        <v>45421</v>
      </c>
      <c r="B199">
        <f>IFERROR(__xludf.DUMMYFUNCTION("""COMPUTED_VALUE"""),23094.0)</f>
        <v>23094</v>
      </c>
      <c r="C199" t="str">
        <f>IFERROR(__xludf.DUMMYFUNCTION("""COMPUTED_VALUE"""),"Clearprint 1000H Design Vellum Roll, 16 lb., 100% Cotton, 18 Inches W x 10 Yards Long, 1 Each (10101121)")</f>
        <v>Clearprint 1000H Design Vellum Roll, 16 lb., 100% Cotton, 18 Inches W x 10 Yards Long, 1 Each (10101121)</v>
      </c>
      <c r="D199" t="str">
        <f>IFERROR(__xludf.DUMMYFUNCTION("""COMPUTED_VALUE"""),"B000JM86CS")</f>
        <v>B000JM86CS</v>
      </c>
      <c r="E199" t="str">
        <f>IFERROR(__xludf.DUMMYFUNCTION("""COMPUTED_VALUE"""),"720362002060")</f>
        <v>720362002060</v>
      </c>
      <c r="F199">
        <f>IFERROR(__xludf.DUMMYFUNCTION("""COMPUTED_VALUE"""),126.0)</f>
        <v>126</v>
      </c>
      <c r="G199">
        <f>IFERROR(__xludf.DUMMYFUNCTION("""COMPUTED_VALUE"""),10000.0)</f>
        <v>10000</v>
      </c>
      <c r="H199" s="2">
        <f>IFERROR(__xludf.DUMMYFUNCTION("""COMPUTED_VALUE"""),16.5)</f>
        <v>16.5</v>
      </c>
      <c r="I199" s="2">
        <f>IFERROR(__xludf.DUMMYFUNCTION("""COMPUTED_VALUE"""),20.51)</f>
        <v>20.51</v>
      </c>
      <c r="J199" s="2">
        <f>IFERROR(__xludf.DUMMYFUNCTION("""COMPUTED_VALUE"""),4.010000000000002)</f>
        <v>4.01</v>
      </c>
      <c r="K199" s="5">
        <f>IFERROR(__xludf.DUMMYFUNCTION("""COMPUTED_VALUE"""),0.24303030303030312)</f>
        <v>0.243030303</v>
      </c>
      <c r="L199">
        <f>IFERROR(__xludf.DUMMYFUNCTION("""COMPUTED_VALUE"""),78665.0)</f>
        <v>78665</v>
      </c>
      <c r="M199" t="str">
        <f>IFERROR(__xludf.DUMMYFUNCTION("""COMPUTED_VALUE"""),"BISS Basic")</f>
        <v>BISS Basic</v>
      </c>
      <c r="O199" t="str">
        <f>IFERROR(__xludf.DUMMYFUNCTION("""COMPUTED_VALUE"""),"Y")</f>
        <v>Y</v>
      </c>
      <c r="P199" s="1" t="str">
        <f>IFERROR(__xludf.DUMMYFUNCTION("""COMPUTED_VALUE"""),"ID 23094")</f>
        <v>ID 23094</v>
      </c>
      <c r="Q199" s="1" t="str">
        <f>IFERROR(__xludf.DUMMYFUNCTION("""COMPUTED_VALUE"""),"B000JM86CS")</f>
        <v>B000JM86CS</v>
      </c>
    </row>
    <row r="200">
      <c r="A200" s="6">
        <f>IFERROR(__xludf.DUMMYFUNCTION("""COMPUTED_VALUE"""),45174.0)</f>
        <v>45174</v>
      </c>
      <c r="B200">
        <f>IFERROR(__xludf.DUMMYFUNCTION("""COMPUTED_VALUE"""),21262.0)</f>
        <v>21262</v>
      </c>
      <c r="C200" t="str">
        <f>IFERROR(__xludf.DUMMYFUNCTION("""COMPUTED_VALUE"""),"Mario Tennis: Ultra Smash /wii-u")</f>
        <v>Mario Tennis: Ultra Smash /wii-u</v>
      </c>
      <c r="D200" t="str">
        <f>IFERROR(__xludf.DUMMYFUNCTION("""COMPUTED_VALUE"""),"B00ZGEWN1Y")</f>
        <v>B00ZGEWN1Y</v>
      </c>
      <c r="E200" t="str">
        <f>IFERROR(__xludf.DUMMYFUNCTION("""COMPUTED_VALUE"""),"45496335335")</f>
        <v>45496335335</v>
      </c>
      <c r="F200">
        <f>IFERROR(__xludf.DUMMYFUNCTION("""COMPUTED_VALUE"""),300.0)</f>
        <v>300</v>
      </c>
      <c r="G200">
        <f>IFERROR(__xludf.DUMMYFUNCTION("""COMPUTED_VALUE"""),2272.0)</f>
        <v>2272</v>
      </c>
      <c r="H200" s="2">
        <f>IFERROR(__xludf.DUMMYFUNCTION("""COMPUTED_VALUE"""),17.25)</f>
        <v>17.25</v>
      </c>
      <c r="I200" s="2">
        <f>IFERROR(__xludf.DUMMYFUNCTION("""COMPUTED_VALUE"""),21.25)</f>
        <v>21.25</v>
      </c>
      <c r="J200" s="2">
        <f>IFERROR(__xludf.DUMMYFUNCTION("""COMPUTED_VALUE"""),4.0)</f>
        <v>4</v>
      </c>
      <c r="K200" s="5">
        <f>IFERROR(__xludf.DUMMYFUNCTION("""COMPUTED_VALUE"""),0.2318840579710145)</f>
        <v>0.231884058</v>
      </c>
      <c r="L200">
        <f>IFERROR(__xludf.DUMMYFUNCTION("""COMPUTED_VALUE"""),96442.0)</f>
        <v>96442</v>
      </c>
      <c r="M200" t="str">
        <f>IFERROR(__xludf.DUMMYFUNCTION("""COMPUTED_VALUE"""),"Video Games")</f>
        <v>Video Games</v>
      </c>
      <c r="N200" t="str">
        <f>IFERROR(__xludf.DUMMYFUNCTION("""COMPUTED_VALUE"""),"ENG/FRE/GER/ITA/ESP/NED/POR/RUS")</f>
        <v>ENG/FRE/GER/ITA/ESP/NED/POR/RUS</v>
      </c>
      <c r="O200" t="str">
        <f>IFERROR(__xludf.DUMMYFUNCTION("""COMPUTED_VALUE"""),"N")</f>
        <v>N</v>
      </c>
      <c r="P200" s="1" t="str">
        <f>IFERROR(__xludf.DUMMYFUNCTION("""COMPUTED_VALUE"""),"ID 21262")</f>
        <v>ID 21262</v>
      </c>
      <c r="Q200" s="1" t="str">
        <f>IFERROR(__xludf.DUMMYFUNCTION("""COMPUTED_VALUE"""),"B00ZGEWN1Y")</f>
        <v>B00ZGEWN1Y</v>
      </c>
    </row>
    <row r="201">
      <c r="A201" s="6">
        <f>IFERROR(__xludf.DUMMYFUNCTION("""COMPUTED_VALUE"""),44941.0)</f>
        <v>44941</v>
      </c>
      <c r="B201">
        <f>IFERROR(__xludf.DUMMYFUNCTION("""COMPUTED_VALUE"""),17760.0)</f>
        <v>17760</v>
      </c>
      <c r="C201" t="str">
        <f>IFERROR(__xludf.DUMMYFUNCTION("""COMPUTED_VALUE"""),"Prismacolor Double-Ended Marker, Broad and Fine Tip, PM39 True Blue (3478)")</f>
        <v>Prismacolor Double-Ended Marker, Broad and Fine Tip, PM39 True Blue (3478)</v>
      </c>
      <c r="D201" t="str">
        <f>IFERROR(__xludf.DUMMYFUNCTION("""COMPUTED_VALUE"""),"B000HF036O")</f>
        <v>B000HF036O</v>
      </c>
      <c r="E201" t="str">
        <f>IFERROR(__xludf.DUMMYFUNCTION("""COMPUTED_VALUE"""),"070735034786")</f>
        <v>070735034786</v>
      </c>
      <c r="F201">
        <f>IFERROR(__xludf.DUMMYFUNCTION("""COMPUTED_VALUE"""),1080.0)</f>
        <v>1080</v>
      </c>
      <c r="G201">
        <f>IFERROR(__xludf.DUMMYFUNCTION("""COMPUTED_VALUE"""),10000.0)</f>
        <v>10000</v>
      </c>
      <c r="H201" s="2">
        <f>IFERROR(__xludf.DUMMYFUNCTION("""COMPUTED_VALUE"""),3.0)</f>
        <v>3</v>
      </c>
      <c r="I201" s="2">
        <f>IFERROR(__xludf.DUMMYFUNCTION("""COMPUTED_VALUE"""),6.98)</f>
        <v>6.98</v>
      </c>
      <c r="J201" s="2">
        <f>IFERROR(__xludf.DUMMYFUNCTION("""COMPUTED_VALUE"""),3.9800000000000004)</f>
        <v>3.98</v>
      </c>
      <c r="K201" s="5">
        <f>IFERROR(__xludf.DUMMYFUNCTION("""COMPUTED_VALUE"""),1.3266666666666669)</f>
        <v>1.326666667</v>
      </c>
      <c r="L201">
        <f>IFERROR(__xludf.DUMMYFUNCTION("""COMPUTED_VALUE"""),75179.0)</f>
        <v>75179</v>
      </c>
      <c r="M201" t="str">
        <f>IFERROR(__xludf.DUMMYFUNCTION("""COMPUTED_VALUE"""),"Home")</f>
        <v>Home</v>
      </c>
      <c r="O201" t="str">
        <f>IFERROR(__xludf.DUMMYFUNCTION("""COMPUTED_VALUE"""),"N")</f>
        <v>N</v>
      </c>
      <c r="P201" s="1" t="str">
        <f>IFERROR(__xludf.DUMMYFUNCTION("""COMPUTED_VALUE"""),"ID 17760")</f>
        <v>ID 17760</v>
      </c>
      <c r="Q201" s="1" t="str">
        <f>IFERROR(__xludf.DUMMYFUNCTION("""COMPUTED_VALUE"""),"B000HF036O")</f>
        <v>B000HF036O</v>
      </c>
    </row>
    <row r="202">
      <c r="A202" s="6">
        <f>IFERROR(__xludf.DUMMYFUNCTION("""COMPUTED_VALUE"""),44558.0)</f>
        <v>44558</v>
      </c>
      <c r="B202">
        <f>IFERROR(__xludf.DUMMYFUNCTION("""COMPUTED_VALUE"""),19566.0)</f>
        <v>19566</v>
      </c>
      <c r="C202" t="str">
        <f>IFERROR(__xludf.DUMMYFUNCTION("""COMPUTED_VALUE"""),"Five Star Advance Spiral Notebook, 2 Subject, College Ruled Paper, 100 Sheets, 9-1/2"" x 6"", Blue (73162)")</f>
        <v>Five Star Advance Spiral Notebook, 2 Subject, College Ruled Paper, 100 Sheets, 9-1/2" x 6", Blue (73162)</v>
      </c>
      <c r="D202" t="str">
        <f>IFERROR(__xludf.DUMMYFUNCTION("""COMPUTED_VALUE"""),"B00X7NSPJK")</f>
        <v>B00X7NSPJK</v>
      </c>
      <c r="E202" t="str">
        <f>IFERROR(__xludf.DUMMYFUNCTION("""COMPUTED_VALUE"""),"43100731627")</f>
        <v>43100731627</v>
      </c>
      <c r="F202">
        <f>IFERROR(__xludf.DUMMYFUNCTION("""COMPUTED_VALUE"""),1260.0)</f>
        <v>1260</v>
      </c>
      <c r="G202">
        <f>IFERROR(__xludf.DUMMYFUNCTION("""COMPUTED_VALUE"""),5000.0)</f>
        <v>5000</v>
      </c>
      <c r="H202" s="2">
        <f>IFERROR(__xludf.DUMMYFUNCTION("""COMPUTED_VALUE"""),2.0)</f>
        <v>2</v>
      </c>
      <c r="I202" s="2">
        <f>IFERROR(__xludf.DUMMYFUNCTION("""COMPUTED_VALUE"""),5.97)</f>
        <v>5.97</v>
      </c>
      <c r="J202" s="2">
        <f>IFERROR(__xludf.DUMMYFUNCTION("""COMPUTED_VALUE"""),3.9699999999999998)</f>
        <v>3.97</v>
      </c>
      <c r="K202" s="5">
        <f>IFERROR(__xludf.DUMMYFUNCTION("""COMPUTED_VALUE"""),1.9849999999999999)</f>
        <v>1.985</v>
      </c>
      <c r="L202">
        <f>IFERROR(__xludf.DUMMYFUNCTION("""COMPUTED_VALUE"""),24050.0)</f>
        <v>24050</v>
      </c>
      <c r="M202" t="str">
        <f>IFERROR(__xludf.DUMMYFUNCTION("""COMPUTED_VALUE"""),"Office Product")</f>
        <v>Office Product</v>
      </c>
      <c r="N202" t="str">
        <f>IFERROR(__xludf.DUMMYFUNCTION("""COMPUTED_VALUE"""),"Promo: OSMI")</f>
        <v>Promo: OSMI</v>
      </c>
      <c r="O202" t="str">
        <f>IFERROR(__xludf.DUMMYFUNCTION("""COMPUTED_VALUE"""),"N")</f>
        <v>N</v>
      </c>
      <c r="P202" s="1" t="str">
        <f>IFERROR(__xludf.DUMMYFUNCTION("""COMPUTED_VALUE"""),"ID 19566")</f>
        <v>ID 19566</v>
      </c>
      <c r="Q202" s="1" t="str">
        <f>IFERROR(__xludf.DUMMYFUNCTION("""COMPUTED_VALUE"""),"B00X7NSPJK")</f>
        <v>B00X7NSPJK</v>
      </c>
    </row>
    <row r="203">
      <c r="A203" s="6">
        <f>IFERROR(__xludf.DUMMYFUNCTION("""COMPUTED_VALUE"""),44491.0)</f>
        <v>44491</v>
      </c>
      <c r="B203">
        <f>IFERROR(__xludf.DUMMYFUNCTION("""COMPUTED_VALUE"""),18530.0)</f>
        <v>18530</v>
      </c>
      <c r="C203" t="str">
        <f>IFERROR(__xludf.DUMMYFUNCTION("""COMPUTED_VALUE"""),"Derwent Academy Sketch Paper Pad, 50 Sheets, 18"" x 12"", Mediumweight (54974)")</f>
        <v>Derwent Academy Sketch Paper Pad, 50 Sheets, 18" x 12", Mediumweight (54974)</v>
      </c>
      <c r="D203" t="str">
        <f>IFERROR(__xludf.DUMMYFUNCTION("""COMPUTED_VALUE"""),"B07DPLV5LW")</f>
        <v>B07DPLV5LW</v>
      </c>
      <c r="E203" t="str">
        <f>IFERROR(__xludf.DUMMYFUNCTION("""COMPUTED_VALUE"""),"43100549741")</f>
        <v>43100549741</v>
      </c>
      <c r="F203">
        <f>IFERROR(__xludf.DUMMYFUNCTION("""COMPUTED_VALUE"""),348.0)</f>
        <v>348</v>
      </c>
      <c r="G203">
        <f>IFERROR(__xludf.DUMMYFUNCTION("""COMPUTED_VALUE"""),5000.0)</f>
        <v>5000</v>
      </c>
      <c r="H203" s="2">
        <f>IFERROR(__xludf.DUMMYFUNCTION("""COMPUTED_VALUE"""),7.0)</f>
        <v>7</v>
      </c>
      <c r="I203" s="2">
        <f>IFERROR(__xludf.DUMMYFUNCTION("""COMPUTED_VALUE"""),10.95)</f>
        <v>10.95</v>
      </c>
      <c r="J203" s="2">
        <f>IFERROR(__xludf.DUMMYFUNCTION("""COMPUTED_VALUE"""),3.9499999999999993)</f>
        <v>3.95</v>
      </c>
      <c r="K203" s="5">
        <f>IFERROR(__xludf.DUMMYFUNCTION("""COMPUTED_VALUE"""),0.5642857142857142)</f>
        <v>0.5642857143</v>
      </c>
      <c r="L203">
        <f>IFERROR(__xludf.DUMMYFUNCTION("""COMPUTED_VALUE"""),79281.0)</f>
        <v>79281</v>
      </c>
      <c r="M203" t="str">
        <f>IFERROR(__xludf.DUMMYFUNCTION("""COMPUTED_VALUE"""),"Office Product")</f>
        <v>Office Product</v>
      </c>
      <c r="O203" t="str">
        <f>IFERROR(__xludf.DUMMYFUNCTION("""COMPUTED_VALUE"""),"N")</f>
        <v>N</v>
      </c>
      <c r="P203" s="1" t="str">
        <f>IFERROR(__xludf.DUMMYFUNCTION("""COMPUTED_VALUE"""),"ID 18530")</f>
        <v>ID 18530</v>
      </c>
      <c r="Q203" s="1" t="str">
        <f>IFERROR(__xludf.DUMMYFUNCTION("""COMPUTED_VALUE"""),"B07DPLV5LW")</f>
        <v>B07DPLV5LW</v>
      </c>
    </row>
    <row r="204">
      <c r="A204" s="6">
        <f>IFERROR(__xludf.DUMMYFUNCTION("""COMPUTED_VALUE"""),45376.0)</f>
        <v>45376</v>
      </c>
      <c r="B204">
        <f>IFERROR(__xludf.DUMMYFUNCTION("""COMPUTED_VALUE"""),24128.0)</f>
        <v>24128</v>
      </c>
      <c r="C204" t="str">
        <f>IFERROR(__xludf.DUMMYFUNCTION("""COMPUTED_VALUE"""),"Fadeless (PAC0057268) Bulletin Board Art Paper, 48"" x 12', Pink")</f>
        <v>Fadeless (PAC0057268) Bulletin Board Art Paper, 48" x 12', Pink</v>
      </c>
      <c r="D204" t="str">
        <f>IFERROR(__xludf.DUMMYFUNCTION("""COMPUTED_VALUE"""),"B0006HXPW2")</f>
        <v>B0006HXPW2</v>
      </c>
      <c r="E204" t="str">
        <f>IFERROR(__xludf.DUMMYFUNCTION("""COMPUTED_VALUE"""),"029444572683")</f>
        <v>029444572683</v>
      </c>
      <c r="F204">
        <f>IFERROR(__xludf.DUMMYFUNCTION("""COMPUTED_VALUE"""),596.0)</f>
        <v>596</v>
      </c>
      <c r="G204">
        <f>IFERROR(__xludf.DUMMYFUNCTION("""COMPUTED_VALUE"""),10000.0)</f>
        <v>10000</v>
      </c>
      <c r="H204" s="2">
        <f>IFERROR(__xludf.DUMMYFUNCTION("""COMPUTED_VALUE"""),6.0)</f>
        <v>6</v>
      </c>
      <c r="I204" s="2">
        <f>IFERROR(__xludf.DUMMYFUNCTION("""COMPUTED_VALUE"""),9.94)</f>
        <v>9.94</v>
      </c>
      <c r="J204" s="2">
        <f>IFERROR(__xludf.DUMMYFUNCTION("""COMPUTED_VALUE"""),3.9399999999999995)</f>
        <v>3.94</v>
      </c>
      <c r="K204" s="5">
        <f>IFERROR(__xludf.DUMMYFUNCTION("""COMPUTED_VALUE"""),0.6566666666666666)</f>
        <v>0.6566666667</v>
      </c>
      <c r="L204">
        <f>IFERROR(__xludf.DUMMYFUNCTION("""COMPUTED_VALUE"""),2931.0)</f>
        <v>2931</v>
      </c>
      <c r="M204" t="str">
        <f>IFERROR(__xludf.DUMMYFUNCTION("""COMPUTED_VALUE"""),"Art and Craft Supply")</f>
        <v>Art and Craft Supply</v>
      </c>
      <c r="O204" t="str">
        <f>IFERROR(__xludf.DUMMYFUNCTION("""COMPUTED_VALUE"""),"Y")</f>
        <v>Y</v>
      </c>
      <c r="P204" s="1" t="str">
        <f>IFERROR(__xludf.DUMMYFUNCTION("""COMPUTED_VALUE"""),"ID 24128")</f>
        <v>ID 24128</v>
      </c>
      <c r="Q204" s="1" t="str">
        <f>IFERROR(__xludf.DUMMYFUNCTION("""COMPUTED_VALUE"""),"B0006HXPW2")</f>
        <v>B0006HXPW2</v>
      </c>
    </row>
    <row r="205">
      <c r="A205" s="6">
        <f>IFERROR(__xludf.DUMMYFUNCTION("""COMPUTED_VALUE"""),44657.0)</f>
        <v>44657</v>
      </c>
      <c r="B205">
        <f>IFERROR(__xludf.DUMMYFUNCTION("""COMPUTED_VALUE"""),2963.0)</f>
        <v>2963</v>
      </c>
      <c r="C205" t="str">
        <f>IFERROR(__xludf.DUMMYFUNCTION("""COMPUTED_VALUE"""),"Welcome to Planet Earth")</f>
        <v>Welcome to Planet Earth</v>
      </c>
      <c r="D205" t="str">
        <f>IFERROR(__xludf.DUMMYFUNCTION("""COMPUTED_VALUE"""),"B000BRMMHQ")</f>
        <v>B000BRMMHQ</v>
      </c>
      <c r="E205" t="str">
        <f>IFERROR(__xludf.DUMMYFUNCTION("""COMPUTED_VALUE"""),"786936694628")</f>
        <v>786936694628</v>
      </c>
      <c r="F205">
        <f>IFERROR(__xludf.DUMMYFUNCTION("""COMPUTED_VALUE"""),180.0)</f>
        <v>180</v>
      </c>
      <c r="G205">
        <f>IFERROR(__xludf.DUMMYFUNCTION("""COMPUTED_VALUE"""),445.0)</f>
        <v>445</v>
      </c>
      <c r="H205" s="2">
        <f>IFERROR(__xludf.DUMMYFUNCTION("""COMPUTED_VALUE"""),3.0)</f>
        <v>3</v>
      </c>
      <c r="I205" s="2">
        <f>IFERROR(__xludf.DUMMYFUNCTION("""COMPUTED_VALUE"""),6.93)</f>
        <v>6.93</v>
      </c>
      <c r="J205" s="2">
        <f>IFERROR(__xludf.DUMMYFUNCTION("""COMPUTED_VALUE"""),3.9299999999999997)</f>
        <v>3.93</v>
      </c>
      <c r="K205" s="5">
        <f>IFERROR(__xludf.DUMMYFUNCTION("""COMPUTED_VALUE"""),1.3099999999999998)</f>
        <v>1.31</v>
      </c>
      <c r="L205">
        <f>IFERROR(__xludf.DUMMYFUNCTION("""COMPUTED_VALUE"""),22543.0)</f>
        <v>22543</v>
      </c>
      <c r="M205" t="str">
        <f>IFERROR(__xludf.DUMMYFUNCTION("""COMPUTED_VALUE"""),"DVD")</f>
        <v>DVD</v>
      </c>
      <c r="O205" t="str">
        <f>IFERROR(__xludf.DUMMYFUNCTION("""COMPUTED_VALUE"""),"N")</f>
        <v>N</v>
      </c>
      <c r="P205" s="1" t="str">
        <f>IFERROR(__xludf.DUMMYFUNCTION("""COMPUTED_VALUE"""),"ID 2963")</f>
        <v>ID 2963</v>
      </c>
      <c r="Q205" s="1" t="str">
        <f>IFERROR(__xludf.DUMMYFUNCTION("""COMPUTED_VALUE"""),"B000BRMMHQ")</f>
        <v>B000BRMMHQ</v>
      </c>
    </row>
    <row r="206">
      <c r="A206" s="6">
        <f>IFERROR(__xludf.DUMMYFUNCTION("""COMPUTED_VALUE"""),45142.0)</f>
        <v>45142</v>
      </c>
      <c r="B206">
        <f>IFERROR(__xludf.DUMMYFUNCTION("""COMPUTED_VALUE"""),25374.0)</f>
        <v>25374</v>
      </c>
      <c r="C206" t="str">
        <f>IFERROR(__xludf.DUMMYFUNCTION("""COMPUTED_VALUE"""),"Versace Yellow Diamond Eau De Toilette Spray for Women, 0.17 Fl Oz (Miniature) (Pack of 2)")</f>
        <v>Versace Yellow Diamond Eau De Toilette Spray for Women, 0.17 Fl Oz (Miniature) (Pack of 2)</v>
      </c>
      <c r="D206" t="str">
        <f>IFERROR(__xludf.DUMMYFUNCTION("""COMPUTED_VALUE"""),"B09LKLYT3T")</f>
        <v>B09LKLYT3T</v>
      </c>
      <c r="E206" t="str">
        <f>IFERROR(__xludf.DUMMYFUNCTION("""COMPUTED_VALUE"""),"8011003806423")</f>
        <v>8011003806423</v>
      </c>
      <c r="F206">
        <f>IFERROR(__xludf.DUMMYFUNCTION("""COMPUTED_VALUE"""),150.0)</f>
        <v>150</v>
      </c>
      <c r="G206">
        <f>IFERROR(__xludf.DUMMYFUNCTION("""COMPUTED_VALUE"""),10000.0)</f>
        <v>10000</v>
      </c>
      <c r="H206" s="2">
        <f>IFERROR(__xludf.DUMMYFUNCTION("""COMPUTED_VALUE"""),10.0)</f>
        <v>10</v>
      </c>
      <c r="I206" s="2">
        <f>IFERROR(__xludf.DUMMYFUNCTION("""COMPUTED_VALUE"""),13.93)</f>
        <v>13.93</v>
      </c>
      <c r="J206" s="2">
        <f>IFERROR(__xludf.DUMMYFUNCTION("""COMPUTED_VALUE"""),3.9299999999999997)</f>
        <v>3.93</v>
      </c>
      <c r="K206" s="5">
        <f>IFERROR(__xludf.DUMMYFUNCTION("""COMPUTED_VALUE"""),0.39299999999999996)</f>
        <v>0.393</v>
      </c>
      <c r="L206">
        <f>IFERROR(__xludf.DUMMYFUNCTION("""COMPUTED_VALUE"""),9793.0)</f>
        <v>9793</v>
      </c>
      <c r="M206" t="str">
        <f>IFERROR(__xludf.DUMMYFUNCTION("""COMPUTED_VALUE"""),"Beauty")</f>
        <v>Beauty</v>
      </c>
      <c r="N206" t="str">
        <f>IFERROR(__xludf.DUMMYFUNCTION("""COMPUTED_VALUE"""),"UOM: 2 single units. Bundling &amp; other prep buyers responsibility")</f>
        <v>UOM: 2 single units. Bundling &amp; other prep buyers responsibility</v>
      </c>
      <c r="O206" t="str">
        <f>IFERROR(__xludf.DUMMYFUNCTION("""COMPUTED_VALUE"""),"N")</f>
        <v>N</v>
      </c>
      <c r="P206" s="1" t="str">
        <f>IFERROR(__xludf.DUMMYFUNCTION("""COMPUTED_VALUE"""),"ID 25374")</f>
        <v>ID 25374</v>
      </c>
      <c r="Q206" s="1" t="str">
        <f>IFERROR(__xludf.DUMMYFUNCTION("""COMPUTED_VALUE"""),"B09LKLYT3T")</f>
        <v>B09LKLYT3T</v>
      </c>
    </row>
    <row r="207">
      <c r="A207" s="6">
        <f>IFERROR(__xludf.DUMMYFUNCTION("""COMPUTED_VALUE"""),45071.0)</f>
        <v>45071</v>
      </c>
      <c r="B207">
        <f>IFERROR(__xludf.DUMMYFUNCTION("""COMPUTED_VALUE"""),22875.0)</f>
        <v>22875</v>
      </c>
      <c r="C207" t="str">
        <f>IFERROR(__xludf.DUMMYFUNCTION("""COMPUTED_VALUE"""),"Officemate Micro Binder Clips, Assorted Colors, 100 Clips per Tub (31023)")</f>
        <v>Officemate Micro Binder Clips, Assorted Colors, 100 Clips per Tub (31023)</v>
      </c>
      <c r="D207" t="str">
        <f>IFERROR(__xludf.DUMMYFUNCTION("""COMPUTED_VALUE"""),"B003GAYKNY")</f>
        <v>B003GAYKNY</v>
      </c>
      <c r="E207" t="str">
        <f>IFERROR(__xludf.DUMMYFUNCTION("""COMPUTED_VALUE"""),"042491310237")</f>
        <v>042491310237</v>
      </c>
      <c r="F207">
        <f>IFERROR(__xludf.DUMMYFUNCTION("""COMPUTED_VALUE"""),288.0)</f>
        <v>288</v>
      </c>
      <c r="G207">
        <f>IFERROR(__xludf.DUMMYFUNCTION("""COMPUTED_VALUE"""),10000.0)</f>
        <v>10000</v>
      </c>
      <c r="H207" s="2">
        <f>IFERROR(__xludf.DUMMYFUNCTION("""COMPUTED_VALUE"""),5.0)</f>
        <v>5</v>
      </c>
      <c r="I207" s="2">
        <f>IFERROR(__xludf.DUMMYFUNCTION("""COMPUTED_VALUE"""),8.92)</f>
        <v>8.92</v>
      </c>
      <c r="J207" s="2">
        <f>IFERROR(__xludf.DUMMYFUNCTION("""COMPUTED_VALUE"""),3.92)</f>
        <v>3.92</v>
      </c>
      <c r="K207" s="5">
        <f>IFERROR(__xludf.DUMMYFUNCTION("""COMPUTED_VALUE"""),0.784)</f>
        <v>0.784</v>
      </c>
      <c r="L207">
        <f>IFERROR(__xludf.DUMMYFUNCTION("""COMPUTED_VALUE"""),18436.0)</f>
        <v>18436</v>
      </c>
      <c r="M207" t="str">
        <f>IFERROR(__xludf.DUMMYFUNCTION("""COMPUTED_VALUE"""),"BISS Basic")</f>
        <v>BISS Basic</v>
      </c>
      <c r="O207" t="str">
        <f>IFERROR(__xludf.DUMMYFUNCTION("""COMPUTED_VALUE"""),"Y")</f>
        <v>Y</v>
      </c>
      <c r="P207" s="1" t="str">
        <f>IFERROR(__xludf.DUMMYFUNCTION("""COMPUTED_VALUE"""),"ID 22875")</f>
        <v>ID 22875</v>
      </c>
      <c r="Q207" s="1" t="str">
        <f>IFERROR(__xludf.DUMMYFUNCTION("""COMPUTED_VALUE"""),"B003GAYKNY")</f>
        <v>B003GAYKNY</v>
      </c>
    </row>
    <row r="208">
      <c r="A208" s="6">
        <f>IFERROR(__xludf.DUMMYFUNCTION("""COMPUTED_VALUE"""),45376.0)</f>
        <v>45376</v>
      </c>
      <c r="B208">
        <f>IFERROR(__xludf.DUMMYFUNCTION("""COMPUTED_VALUE"""),23281.0)</f>
        <v>23281</v>
      </c>
      <c r="C208" t="str">
        <f>IFERROR(__xludf.DUMMYFUNCTION("""COMPUTED_VALUE"""),"Dixon Industrial RediMark Permanent Markers, Chisel Point, Metal Barrel, Box of 12 Markers, Black (87170)")</f>
        <v>Dixon Industrial RediMark Permanent Markers, Chisel Point, Metal Barrel, Box of 12 Markers, Black (87170)</v>
      </c>
      <c r="D208" t="str">
        <f>IFERROR(__xludf.DUMMYFUNCTION("""COMPUTED_VALUE"""),"B000FZ3138")</f>
        <v>B000FZ3138</v>
      </c>
      <c r="E208" t="str">
        <f>IFERROR(__xludf.DUMMYFUNCTION("""COMPUTED_VALUE"""),"072067871701")</f>
        <v>072067871701</v>
      </c>
      <c r="F208">
        <f>IFERROR(__xludf.DUMMYFUNCTION("""COMPUTED_VALUE"""),264.0)</f>
        <v>264</v>
      </c>
      <c r="G208">
        <f>IFERROR(__xludf.DUMMYFUNCTION("""COMPUTED_VALUE"""),10000.0)</f>
        <v>10000</v>
      </c>
      <c r="H208" s="2">
        <f>IFERROR(__xludf.DUMMYFUNCTION("""COMPUTED_VALUE"""),14.0)</f>
        <v>14</v>
      </c>
      <c r="I208" s="2">
        <f>IFERROR(__xludf.DUMMYFUNCTION("""COMPUTED_VALUE"""),17.9)</f>
        <v>17.9</v>
      </c>
      <c r="J208" s="2">
        <f>IFERROR(__xludf.DUMMYFUNCTION("""COMPUTED_VALUE"""),3.8999999999999986)</f>
        <v>3.9</v>
      </c>
      <c r="K208" s="5">
        <f>IFERROR(__xludf.DUMMYFUNCTION("""COMPUTED_VALUE"""),0.27857142857142847)</f>
        <v>0.2785714286</v>
      </c>
      <c r="L208">
        <f>IFERROR(__xludf.DUMMYFUNCTION("""COMPUTED_VALUE"""),62446.0)</f>
        <v>62446</v>
      </c>
      <c r="M208" t="str">
        <f>IFERROR(__xludf.DUMMYFUNCTION("""COMPUTED_VALUE"""),"BISS Basic")</f>
        <v>BISS Basic</v>
      </c>
      <c r="O208" t="str">
        <f>IFERROR(__xludf.DUMMYFUNCTION("""COMPUTED_VALUE"""),"N")</f>
        <v>N</v>
      </c>
      <c r="P208" s="1" t="str">
        <f>IFERROR(__xludf.DUMMYFUNCTION("""COMPUTED_VALUE"""),"ID 23281")</f>
        <v>ID 23281</v>
      </c>
      <c r="Q208" s="1" t="str">
        <f>IFERROR(__xludf.DUMMYFUNCTION("""COMPUTED_VALUE"""),"B000FZ3138")</f>
        <v>B000FZ3138</v>
      </c>
    </row>
    <row r="209">
      <c r="A209" s="6">
        <f>IFERROR(__xludf.DUMMYFUNCTION("""COMPUTED_VALUE"""),44518.0)</f>
        <v>44518</v>
      </c>
      <c r="B209">
        <f>IFERROR(__xludf.DUMMYFUNCTION("""COMPUTED_VALUE"""),23495.0)</f>
        <v>23495</v>
      </c>
      <c r="C209" t="str">
        <f>IFERROR(__xludf.DUMMYFUNCTION("""COMPUTED_VALUE"""),"Scotch 085-RAF Advanced Tape Glider Refill, 1/4 inch x 36 Yards, 1/4-Inch by 36-Yard, Multicolor")</f>
        <v>Scotch 085-RAF Advanced Tape Glider Refill, 1/4 inch x 36 Yards, 1/4-Inch by 36-Yard, Multicolor</v>
      </c>
      <c r="D209" t="str">
        <f>IFERROR(__xludf.DUMMYFUNCTION("""COMPUTED_VALUE"""),"B00409RMNK")</f>
        <v>B00409RMNK</v>
      </c>
      <c r="E209" t="str">
        <f>IFERROR(__xludf.DUMMYFUNCTION("""COMPUTED_VALUE"""),"51115642883")</f>
        <v>51115642883</v>
      </c>
      <c r="F209">
        <f>IFERROR(__xludf.DUMMYFUNCTION("""COMPUTED_VALUE"""),360.0)</f>
        <v>360</v>
      </c>
      <c r="G209">
        <f>IFERROR(__xludf.DUMMYFUNCTION("""COMPUTED_VALUE"""),1000.0)</f>
        <v>1000</v>
      </c>
      <c r="H209" s="2">
        <f>IFERROR(__xludf.DUMMYFUNCTION("""COMPUTED_VALUE"""),8.5)</f>
        <v>8.5</v>
      </c>
      <c r="I209" s="2">
        <f>IFERROR(__xludf.DUMMYFUNCTION("""COMPUTED_VALUE"""),12.4)</f>
        <v>12.4</v>
      </c>
      <c r="J209" s="2">
        <f>IFERROR(__xludf.DUMMYFUNCTION("""COMPUTED_VALUE"""),3.9000000000000004)</f>
        <v>3.9</v>
      </c>
      <c r="K209" s="5">
        <f>IFERROR(__xludf.DUMMYFUNCTION("""COMPUTED_VALUE"""),0.45882352941176474)</f>
        <v>0.4588235294</v>
      </c>
      <c r="L209">
        <f>IFERROR(__xludf.DUMMYFUNCTION("""COMPUTED_VALUE"""),94555.0)</f>
        <v>94555</v>
      </c>
      <c r="M209" t="str">
        <f>IFERROR(__xludf.DUMMYFUNCTION("""COMPUTED_VALUE"""),"Art and Craft Supply")</f>
        <v>Art and Craft Supply</v>
      </c>
      <c r="N209" t="str">
        <f>IFERROR(__xludf.DUMMYFUNCTION("""COMPUTED_VALUE"""),"inner of 6, case of 36")</f>
        <v>inner of 6, case of 36</v>
      </c>
      <c r="O209" t="str">
        <f>IFERROR(__xludf.DUMMYFUNCTION("""COMPUTED_VALUE"""),"N")</f>
        <v>N</v>
      </c>
      <c r="P209" s="1" t="str">
        <f>IFERROR(__xludf.DUMMYFUNCTION("""COMPUTED_VALUE"""),"ID 23495")</f>
        <v>ID 23495</v>
      </c>
      <c r="Q209" s="1" t="str">
        <f>IFERROR(__xludf.DUMMYFUNCTION("""COMPUTED_VALUE"""),"B00409RMNK")</f>
        <v>B00409RMNK</v>
      </c>
    </row>
    <row r="210">
      <c r="A210" s="6">
        <f>IFERROR(__xludf.DUMMYFUNCTION("""COMPUTED_VALUE"""),45429.0)</f>
        <v>45429</v>
      </c>
      <c r="B210">
        <f>IFERROR(__xludf.DUMMYFUNCTION("""COMPUTED_VALUE"""),14837.0)</f>
        <v>14837</v>
      </c>
      <c r="C210" t="str">
        <f>IFERROR(__xludf.DUMMYFUNCTION("""COMPUTED_VALUE"""),"Etna Folding Pet Cot Chair - Portable Round Fold Out Elevated Cat Bed, Black and White Water Resistant Paw Print Cushion, Papsan Chair for Small Dogs")</f>
        <v>Etna Folding Pet Cot Chair - Portable Round Fold Out Elevated Cat Bed, Black and White Water Resistant Paw Print Cushion, Papsan Chair for Small Dogs</v>
      </c>
      <c r="D210" t="str">
        <f>IFERROR(__xludf.DUMMYFUNCTION("""COMPUTED_VALUE"""),"B08975YNFK")</f>
        <v>B08975YNFK</v>
      </c>
      <c r="E210" t="str">
        <f>IFERROR(__xludf.DUMMYFUNCTION("""COMPUTED_VALUE"""),"084358052669")</f>
        <v>084358052669</v>
      </c>
      <c r="F210">
        <f>IFERROR(__xludf.DUMMYFUNCTION("""COMPUTED_VALUE"""),78.0)</f>
        <v>78</v>
      </c>
      <c r="G210">
        <f>IFERROR(__xludf.DUMMYFUNCTION("""COMPUTED_VALUE"""),210.0)</f>
        <v>210</v>
      </c>
      <c r="H210" s="2">
        <f>IFERROR(__xludf.DUMMYFUNCTION("""COMPUTED_VALUE"""),17.75)</f>
        <v>17.75</v>
      </c>
      <c r="I210" s="2">
        <f>IFERROR(__xludf.DUMMYFUNCTION("""COMPUTED_VALUE"""),21.64)</f>
        <v>21.64</v>
      </c>
      <c r="J210" s="2">
        <f>IFERROR(__xludf.DUMMYFUNCTION("""COMPUTED_VALUE"""),3.8900000000000006)</f>
        <v>3.89</v>
      </c>
      <c r="K210" s="5">
        <f>IFERROR(__xludf.DUMMYFUNCTION("""COMPUTED_VALUE"""),0.21915492957746482)</f>
        <v>0.2191549296</v>
      </c>
      <c r="L210">
        <f>IFERROR(__xludf.DUMMYFUNCTION("""COMPUTED_VALUE"""),72192.0)</f>
        <v>72192</v>
      </c>
      <c r="M210" t="str">
        <f>IFERROR(__xludf.DUMMYFUNCTION("""COMPUTED_VALUE"""),"BISS Basic")</f>
        <v>BISS Basic</v>
      </c>
      <c r="N210" t="str">
        <f>IFERROR(__xludf.DUMMYFUNCTION("""COMPUTED_VALUE"""),"MAP $42.99. If you violate the MAP pricing the brand may choose to remove you from the listing")</f>
        <v>MAP $42.99. If you violate the MAP pricing the brand may choose to remove you from the listing</v>
      </c>
      <c r="O210" t="str">
        <f>IFERROR(__xludf.DUMMYFUNCTION("""COMPUTED_VALUE"""),"N")</f>
        <v>N</v>
      </c>
      <c r="P210" s="1" t="str">
        <f>IFERROR(__xludf.DUMMYFUNCTION("""COMPUTED_VALUE"""),"ID 14837")</f>
        <v>ID 14837</v>
      </c>
      <c r="Q210" s="1" t="str">
        <f>IFERROR(__xludf.DUMMYFUNCTION("""COMPUTED_VALUE"""),"B08975YNFK")</f>
        <v>B08975YNFK</v>
      </c>
    </row>
    <row r="211">
      <c r="A211" s="6">
        <f>IFERROR(__xludf.DUMMYFUNCTION("""COMPUTED_VALUE"""),45286.0)</f>
        <v>45286</v>
      </c>
      <c r="B211">
        <f>IFERROR(__xludf.DUMMYFUNCTION("""COMPUTED_VALUE"""),25780.0)</f>
        <v>25780</v>
      </c>
      <c r="C211" t="str">
        <f>IFERROR(__xludf.DUMMYFUNCTION("""COMPUTED_VALUE"""),"Casio FX 260 Solar II Scientific Calculator, Black")</f>
        <v>Casio FX 260 Solar II Scientific Calculator, Black</v>
      </c>
      <c r="D211" t="str">
        <f>IFERROR(__xludf.DUMMYFUNCTION("""COMPUTED_VALUE"""),"B000Q5XTBQ")</f>
        <v>B000Q5XTBQ</v>
      </c>
      <c r="E211" t="str">
        <f>IFERROR(__xludf.DUMMYFUNCTION("""COMPUTED_VALUE"""),"079767177232")</f>
        <v>079767177232</v>
      </c>
      <c r="F211">
        <f>IFERROR(__xludf.DUMMYFUNCTION("""COMPUTED_VALUE"""),150.0)</f>
        <v>150</v>
      </c>
      <c r="G211">
        <f>IFERROR(__xludf.DUMMYFUNCTION("""COMPUTED_VALUE"""),10000.0)</f>
        <v>10000</v>
      </c>
      <c r="H211" s="2">
        <f>IFERROR(__xludf.DUMMYFUNCTION("""COMPUTED_VALUE"""),10.0)</f>
        <v>10</v>
      </c>
      <c r="I211" s="2">
        <f>IFERROR(__xludf.DUMMYFUNCTION("""COMPUTED_VALUE"""),13.89)</f>
        <v>13.89</v>
      </c>
      <c r="J211" s="2">
        <f>IFERROR(__xludf.DUMMYFUNCTION("""COMPUTED_VALUE"""),3.8900000000000006)</f>
        <v>3.89</v>
      </c>
      <c r="K211" s="5">
        <f>IFERROR(__xludf.DUMMYFUNCTION("""COMPUTED_VALUE"""),0.38900000000000007)</f>
        <v>0.389</v>
      </c>
      <c r="L211">
        <f>IFERROR(__xludf.DUMMYFUNCTION("""COMPUTED_VALUE"""),73124.0)</f>
        <v>73124</v>
      </c>
      <c r="M211" t="str">
        <f>IFERROR(__xludf.DUMMYFUNCTION("""COMPUTED_VALUE"""),"CE")</f>
        <v>CE</v>
      </c>
      <c r="O211" t="str">
        <f>IFERROR(__xludf.DUMMYFUNCTION("""COMPUTED_VALUE"""),"N")</f>
        <v>N</v>
      </c>
      <c r="P211" s="1" t="str">
        <f>IFERROR(__xludf.DUMMYFUNCTION("""COMPUTED_VALUE"""),"ID 25780")</f>
        <v>ID 25780</v>
      </c>
      <c r="Q211" s="1" t="str">
        <f>IFERROR(__xludf.DUMMYFUNCTION("""COMPUTED_VALUE"""),"B000Q5XTBQ")</f>
        <v>B000Q5XTBQ</v>
      </c>
    </row>
    <row r="212">
      <c r="A212" s="6">
        <f>IFERROR(__xludf.DUMMYFUNCTION("""COMPUTED_VALUE"""),45348.0)</f>
        <v>45348</v>
      </c>
      <c r="B212">
        <f>IFERROR(__xludf.DUMMYFUNCTION("""COMPUTED_VALUE"""),24427.0)</f>
        <v>24427</v>
      </c>
      <c r="C212" t="str">
        <f>IFERROR(__xludf.DUMMYFUNCTION("""COMPUTED_VALUE"""),"GBC Binding Spines/Spirals/Coils, 5/8"" Diameter, 130 Sheet Capacity, CombBind, Black, 25 Pack (4090046)")</f>
        <v>GBC Binding Spines/Spirals/Coils, 5/8" Diameter, 130 Sheet Capacity, CombBind, Black, 25 Pack (4090046)</v>
      </c>
      <c r="D212" t="str">
        <f>IFERROR(__xludf.DUMMYFUNCTION("""COMPUTED_VALUE"""),"B00006IA1K")</f>
        <v>B00006IA1K</v>
      </c>
      <c r="E212" t="str">
        <f>IFERROR(__xludf.DUMMYFUNCTION("""COMPUTED_VALUE"""),"033816013339")</f>
        <v>033816013339</v>
      </c>
      <c r="F212">
        <f>IFERROR(__xludf.DUMMYFUNCTION("""COMPUTED_VALUE"""),290.0)</f>
        <v>290</v>
      </c>
      <c r="G212">
        <f>IFERROR(__xludf.DUMMYFUNCTION("""COMPUTED_VALUE"""),10000.0)</f>
        <v>10000</v>
      </c>
      <c r="H212" s="2">
        <f>IFERROR(__xludf.DUMMYFUNCTION("""COMPUTED_VALUE"""),8.5)</f>
        <v>8.5</v>
      </c>
      <c r="I212" s="2">
        <f>IFERROR(__xludf.DUMMYFUNCTION("""COMPUTED_VALUE"""),12.37)</f>
        <v>12.37</v>
      </c>
      <c r="J212" s="2">
        <f>IFERROR(__xludf.DUMMYFUNCTION("""COMPUTED_VALUE"""),3.869999999999999)</f>
        <v>3.87</v>
      </c>
      <c r="K212" s="5">
        <f>IFERROR(__xludf.DUMMYFUNCTION("""COMPUTED_VALUE"""),0.45529411764705874)</f>
        <v>0.4552941176</v>
      </c>
      <c r="L212">
        <f>IFERROR(__xludf.DUMMYFUNCTION("""COMPUTED_VALUE"""),31225.0)</f>
        <v>31225</v>
      </c>
      <c r="M212" t="str">
        <f>IFERROR(__xludf.DUMMYFUNCTION("""COMPUTED_VALUE"""),"Office Product")</f>
        <v>Office Product</v>
      </c>
      <c r="O212" t="str">
        <f>IFERROR(__xludf.DUMMYFUNCTION("""COMPUTED_VALUE"""),"N")</f>
        <v>N</v>
      </c>
      <c r="P212" s="1" t="str">
        <f>IFERROR(__xludf.DUMMYFUNCTION("""COMPUTED_VALUE"""),"ID 24427")</f>
        <v>ID 24427</v>
      </c>
      <c r="Q212" s="1" t="str">
        <f>IFERROR(__xludf.DUMMYFUNCTION("""COMPUTED_VALUE"""),"B00006IA1K")</f>
        <v>B00006IA1K</v>
      </c>
    </row>
    <row r="213">
      <c r="A213" s="6">
        <f>IFERROR(__xludf.DUMMYFUNCTION("""COMPUTED_VALUE"""),44585.0)</f>
        <v>44585</v>
      </c>
      <c r="B213">
        <f>IFERROR(__xludf.DUMMYFUNCTION("""COMPUTED_VALUE"""),24710.0)</f>
        <v>24710</v>
      </c>
      <c r="C213" t="str">
        <f>IFERROR(__xludf.DUMMYFUNCTION("""COMPUTED_VALUE"""),"Filofax Notebooks Pocket Dotted Journal Refill, Moveable, 5.5 X 3.5, 32 Cream Sheets Fits Refillable Pocket Journals (B122016U)")</f>
        <v>Filofax Notebooks Pocket Dotted Journal Refill, Moveable, 5.5 X 3.5, 32 Cream Sheets Fits Refillable Pocket Journals (B122016U)</v>
      </c>
      <c r="D213" t="str">
        <f>IFERROR(__xludf.DUMMYFUNCTION("""COMPUTED_VALUE"""),"B079FX9JDM")</f>
        <v>B079FX9JDM</v>
      </c>
      <c r="E213" t="str">
        <f>IFERROR(__xludf.DUMMYFUNCTION("""COMPUTED_VALUE"""),"757286603066")</f>
        <v>757286603066</v>
      </c>
      <c r="F213">
        <f>IFERROR(__xludf.DUMMYFUNCTION("""COMPUTED_VALUE"""),410.0)</f>
        <v>410</v>
      </c>
      <c r="G213">
        <f>IFERROR(__xludf.DUMMYFUNCTION("""COMPUTED_VALUE"""),1000.0)</f>
        <v>1000</v>
      </c>
      <c r="H213" s="2">
        <f>IFERROR(__xludf.DUMMYFUNCTION("""COMPUTED_VALUE"""),2.25)</f>
        <v>2.25</v>
      </c>
      <c r="I213" s="2">
        <f>IFERROR(__xludf.DUMMYFUNCTION("""COMPUTED_VALUE"""),6.12)</f>
        <v>6.12</v>
      </c>
      <c r="J213" s="2">
        <f>IFERROR(__xludf.DUMMYFUNCTION("""COMPUTED_VALUE"""),3.87)</f>
        <v>3.87</v>
      </c>
      <c r="K213" s="5">
        <f>IFERROR(__xludf.DUMMYFUNCTION("""COMPUTED_VALUE"""),1.72)</f>
        <v>1.72</v>
      </c>
      <c r="L213">
        <f>IFERROR(__xludf.DUMMYFUNCTION("""COMPUTED_VALUE"""),36253.0)</f>
        <v>36253</v>
      </c>
      <c r="M213" t="str">
        <f>IFERROR(__xludf.DUMMYFUNCTION("""COMPUTED_VALUE"""),"Office Product")</f>
        <v>Office Product</v>
      </c>
      <c r="O213" t="str">
        <f>IFERROR(__xludf.DUMMYFUNCTION("""COMPUTED_VALUE"""),"N")</f>
        <v>N</v>
      </c>
      <c r="P213" s="1" t="str">
        <f>IFERROR(__xludf.DUMMYFUNCTION("""COMPUTED_VALUE"""),"ID 24710")</f>
        <v>ID 24710</v>
      </c>
      <c r="Q213" s="1" t="str">
        <f>IFERROR(__xludf.DUMMYFUNCTION("""COMPUTED_VALUE"""),"B079FX9JDM")</f>
        <v>B079FX9JDM</v>
      </c>
    </row>
    <row r="214">
      <c r="A214" s="6">
        <f>IFERROR(__xludf.DUMMYFUNCTION("""COMPUTED_VALUE"""),44558.0)</f>
        <v>44558</v>
      </c>
      <c r="B214">
        <f>IFERROR(__xludf.DUMMYFUNCTION("""COMPUTED_VALUE"""),23901.0)</f>
        <v>23901</v>
      </c>
      <c r="C214" t="str">
        <f>IFERROR(__xludf.DUMMYFUNCTION("""COMPUTED_VALUE"""),"Disney Mickey Mouse Minnie Mouse Stapler by Swingline, Compact, 20 Sheets, Kisses Design (S7087954)")</f>
        <v>Disney Mickey Mouse Minnie Mouse Stapler by Swingline, Compact, 20 Sheets, Kisses Design (S7087954)</v>
      </c>
      <c r="D214" t="str">
        <f>IFERROR(__xludf.DUMMYFUNCTION("""COMPUTED_VALUE"""),"B01NAYYSHV")</f>
        <v>B01NAYYSHV</v>
      </c>
      <c r="E214" t="str">
        <f>IFERROR(__xludf.DUMMYFUNCTION("""COMPUTED_VALUE"""),"74711879545")</f>
        <v>74711879545</v>
      </c>
      <c r="F214">
        <f>IFERROR(__xludf.DUMMYFUNCTION("""COMPUTED_VALUE"""),882.0)</f>
        <v>882</v>
      </c>
      <c r="G214">
        <f>IFERROR(__xludf.DUMMYFUNCTION("""COMPUTED_VALUE"""),5000.0)</f>
        <v>5000</v>
      </c>
      <c r="H214" s="2">
        <f>IFERROR(__xludf.DUMMYFUNCTION("""COMPUTED_VALUE"""),5.0)</f>
        <v>5</v>
      </c>
      <c r="I214" s="2">
        <f>IFERROR(__xludf.DUMMYFUNCTION("""COMPUTED_VALUE"""),8.82)</f>
        <v>8.82</v>
      </c>
      <c r="J214" s="2">
        <f>IFERROR(__xludf.DUMMYFUNCTION("""COMPUTED_VALUE"""),3.8200000000000003)</f>
        <v>3.82</v>
      </c>
      <c r="K214" s="5">
        <f>IFERROR(__xludf.DUMMYFUNCTION("""COMPUTED_VALUE"""),0.764)</f>
        <v>0.764</v>
      </c>
      <c r="L214">
        <f>IFERROR(__xludf.DUMMYFUNCTION("""COMPUTED_VALUE"""),90473.0)</f>
        <v>90473</v>
      </c>
      <c r="M214" t="str">
        <f>IFERROR(__xludf.DUMMYFUNCTION("""COMPUTED_VALUE"""),"Office Product")</f>
        <v>Office Product</v>
      </c>
      <c r="N214" t="str">
        <f>IFERROR(__xludf.DUMMYFUNCTION("""COMPUTED_VALUE"""),"Promo: OSMI")</f>
        <v>Promo: OSMI</v>
      </c>
      <c r="O214" t="str">
        <f>IFERROR(__xludf.DUMMYFUNCTION("""COMPUTED_VALUE"""),"N")</f>
        <v>N</v>
      </c>
      <c r="P214" s="1" t="str">
        <f>IFERROR(__xludf.DUMMYFUNCTION("""COMPUTED_VALUE"""),"ID 23901")</f>
        <v>ID 23901</v>
      </c>
      <c r="Q214" s="1" t="str">
        <f>IFERROR(__xludf.DUMMYFUNCTION("""COMPUTED_VALUE"""),"B01NAYYSHV")</f>
        <v>B01NAYYSHV</v>
      </c>
    </row>
    <row r="215">
      <c r="A215" s="6">
        <f>IFERROR(__xludf.DUMMYFUNCTION("""COMPUTED_VALUE"""),45421.0)</f>
        <v>45421</v>
      </c>
      <c r="B215">
        <f>IFERROR(__xludf.DUMMYFUNCTION("""COMPUTED_VALUE"""),25925.0)</f>
        <v>25925</v>
      </c>
      <c r="C215" t="str">
        <f>IFERROR(__xludf.DUMMYFUNCTION("""COMPUTED_VALUE"""),"Pelikan Pelikano Jr. Fountain Pen, Right-Handed, Medium Nib, Turquoise, 1 Pen (924886)")</f>
        <v>Pelikan Pelikano Jr. Fountain Pen, Right-Handed, Medium Nib, Turquoise, 1 Pen (924886)</v>
      </c>
      <c r="D215" t="str">
        <f>IFERROR(__xludf.DUMMYFUNCTION("""COMPUTED_VALUE"""),"B00C1ZT1W0")</f>
        <v>B00C1ZT1W0</v>
      </c>
      <c r="E215" t="str">
        <f>IFERROR(__xludf.DUMMYFUNCTION("""COMPUTED_VALUE"""),"4012700924889")</f>
        <v>4012700924889</v>
      </c>
      <c r="F215">
        <f>IFERROR(__xludf.DUMMYFUNCTION("""COMPUTED_VALUE"""),156.0)</f>
        <v>156</v>
      </c>
      <c r="G215">
        <f>IFERROR(__xludf.DUMMYFUNCTION("""COMPUTED_VALUE"""),10000.0)</f>
        <v>10000</v>
      </c>
      <c r="H215" s="2">
        <f>IFERROR(__xludf.DUMMYFUNCTION("""COMPUTED_VALUE"""),13.25)</f>
        <v>13.25</v>
      </c>
      <c r="I215" s="2">
        <f>IFERROR(__xludf.DUMMYFUNCTION("""COMPUTED_VALUE"""),17.07)</f>
        <v>17.07</v>
      </c>
      <c r="J215" s="2">
        <f>IFERROR(__xludf.DUMMYFUNCTION("""COMPUTED_VALUE"""),3.8200000000000003)</f>
        <v>3.82</v>
      </c>
      <c r="K215" s="5">
        <f>IFERROR(__xludf.DUMMYFUNCTION("""COMPUTED_VALUE"""),0.28830188679245283)</f>
        <v>0.2883018868</v>
      </c>
      <c r="L215">
        <f>IFERROR(__xludf.DUMMYFUNCTION("""COMPUTED_VALUE"""),79957.0)</f>
        <v>79957</v>
      </c>
      <c r="M215" t="str">
        <f>IFERROR(__xludf.DUMMYFUNCTION("""COMPUTED_VALUE"""),"Office Product")</f>
        <v>Office Product</v>
      </c>
      <c r="O215" t="str">
        <f>IFERROR(__xludf.DUMMYFUNCTION("""COMPUTED_VALUE"""),"Y")</f>
        <v>Y</v>
      </c>
      <c r="P215" s="1" t="str">
        <f>IFERROR(__xludf.DUMMYFUNCTION("""COMPUTED_VALUE"""),"ID 25925")</f>
        <v>ID 25925</v>
      </c>
      <c r="Q215" s="1" t="str">
        <f>IFERROR(__xludf.DUMMYFUNCTION("""COMPUTED_VALUE"""),"B00C1ZT1W0")</f>
        <v>B00C1ZT1W0</v>
      </c>
    </row>
    <row r="216">
      <c r="A216" s="6">
        <f>IFERROR(__xludf.DUMMYFUNCTION("""COMPUTED_VALUE"""),45421.0)</f>
        <v>45421</v>
      </c>
      <c r="B216">
        <f>IFERROR(__xludf.DUMMYFUNCTION("""COMPUTED_VALUE"""),23073.0)</f>
        <v>23073</v>
      </c>
      <c r="C216" t="str">
        <f>IFERROR(__xludf.DUMMYFUNCTION("""COMPUTED_VALUE"""),"Grumbacher Pre-Tested Oil Paint, 37ml/1.25 oz., Arctic Blue (P313G)")</f>
        <v>Grumbacher Pre-Tested Oil Paint, 37ml/1.25 oz., Arctic Blue (P313G)</v>
      </c>
      <c r="D216" t="str">
        <f>IFERROR(__xludf.DUMMYFUNCTION("""COMPUTED_VALUE"""),"B00NG0IC9C")</f>
        <v>B00NG0IC9C</v>
      </c>
      <c r="E216" t="str">
        <f>IFERROR(__xludf.DUMMYFUNCTION("""COMPUTED_VALUE"""),"014173399380")</f>
        <v>014173399380</v>
      </c>
      <c r="F216">
        <f>IFERROR(__xludf.DUMMYFUNCTION("""COMPUTED_VALUE"""),288.0)</f>
        <v>288</v>
      </c>
      <c r="G216">
        <f>IFERROR(__xludf.DUMMYFUNCTION("""COMPUTED_VALUE"""),10000.0)</f>
        <v>10000</v>
      </c>
      <c r="H216" s="2">
        <f>IFERROR(__xludf.DUMMYFUNCTION("""COMPUTED_VALUE"""),7.5)</f>
        <v>7.5</v>
      </c>
      <c r="I216" s="2">
        <f>IFERROR(__xludf.DUMMYFUNCTION("""COMPUTED_VALUE"""),11.31)</f>
        <v>11.31</v>
      </c>
      <c r="J216" s="2">
        <f>IFERROR(__xludf.DUMMYFUNCTION("""COMPUTED_VALUE"""),3.8100000000000005)</f>
        <v>3.81</v>
      </c>
      <c r="K216" s="5">
        <f>IFERROR(__xludf.DUMMYFUNCTION("""COMPUTED_VALUE"""),0.5080000000000001)</f>
        <v>0.508</v>
      </c>
      <c r="L216">
        <f>IFERROR(__xludf.DUMMYFUNCTION("""COMPUTED_VALUE"""),66353.0)</f>
        <v>66353</v>
      </c>
      <c r="M216" t="str">
        <f>IFERROR(__xludf.DUMMYFUNCTION("""COMPUTED_VALUE"""),"Office Product")</f>
        <v>Office Product</v>
      </c>
      <c r="O216" t="str">
        <f>IFERROR(__xludf.DUMMYFUNCTION("""COMPUTED_VALUE"""),"N")</f>
        <v>N</v>
      </c>
      <c r="P216" s="1" t="str">
        <f>IFERROR(__xludf.DUMMYFUNCTION("""COMPUTED_VALUE"""),"ID 23073")</f>
        <v>ID 23073</v>
      </c>
      <c r="Q216" s="1" t="str">
        <f>IFERROR(__xludf.DUMMYFUNCTION("""COMPUTED_VALUE"""),"B00NG0IC9C")</f>
        <v>B00NG0IC9C</v>
      </c>
    </row>
    <row r="217">
      <c r="A217" s="6">
        <f>IFERROR(__xludf.DUMMYFUNCTION("""COMPUTED_VALUE"""),45376.0)</f>
        <v>45376</v>
      </c>
      <c r="B217">
        <f>IFERROR(__xludf.DUMMYFUNCTION("""COMPUTED_VALUE"""),17055.0)</f>
        <v>17055</v>
      </c>
      <c r="C217" t="str">
        <f>IFERROR(__xludf.DUMMYFUNCTION("""COMPUTED_VALUE"""),"PRANG Refill Pans for Oval Watercolor Paint Set, 12 Pans per Box, Purple (00806)")</f>
        <v>PRANG Refill Pans for Oval Watercolor Paint Set, 12 Pans per Box, Purple (00806)</v>
      </c>
      <c r="D217" t="str">
        <f>IFERROR(__xludf.DUMMYFUNCTION("""COMPUTED_VALUE"""),"B0044SESPM")</f>
        <v>B0044SESPM</v>
      </c>
      <c r="E217" t="str">
        <f>IFERROR(__xludf.DUMMYFUNCTION("""COMPUTED_VALUE"""),"072067008060")</f>
        <v>072067008060</v>
      </c>
      <c r="F217">
        <f>IFERROR(__xludf.DUMMYFUNCTION("""COMPUTED_VALUE"""),816.0)</f>
        <v>816</v>
      </c>
      <c r="G217">
        <f>IFERROR(__xludf.DUMMYFUNCTION("""COMPUTED_VALUE"""),10000.0)</f>
        <v>10000</v>
      </c>
      <c r="H217" s="2">
        <f>IFERROR(__xludf.DUMMYFUNCTION("""COMPUTED_VALUE"""),5.5)</f>
        <v>5.5</v>
      </c>
      <c r="I217" s="2">
        <f>IFERROR(__xludf.DUMMYFUNCTION("""COMPUTED_VALUE"""),9.25)</f>
        <v>9.25</v>
      </c>
      <c r="J217" s="2">
        <f>IFERROR(__xludf.DUMMYFUNCTION("""COMPUTED_VALUE"""),3.75)</f>
        <v>3.75</v>
      </c>
      <c r="K217" s="5">
        <f>IFERROR(__xludf.DUMMYFUNCTION("""COMPUTED_VALUE"""),0.6818181818181818)</f>
        <v>0.6818181818</v>
      </c>
      <c r="L217">
        <f>IFERROR(__xludf.DUMMYFUNCTION("""COMPUTED_VALUE"""),19115.0)</f>
        <v>19115</v>
      </c>
      <c r="M217" t="str">
        <f>IFERROR(__xludf.DUMMYFUNCTION("""COMPUTED_VALUE"""),"Office Product")</f>
        <v>Office Product</v>
      </c>
      <c r="O217" t="str">
        <f>IFERROR(__xludf.DUMMYFUNCTION("""COMPUTED_VALUE"""),"Y")</f>
        <v>Y</v>
      </c>
      <c r="P217" s="1" t="str">
        <f>IFERROR(__xludf.DUMMYFUNCTION("""COMPUTED_VALUE"""),"ID 17055")</f>
        <v>ID 17055</v>
      </c>
      <c r="Q217" s="1" t="str">
        <f>IFERROR(__xludf.DUMMYFUNCTION("""COMPUTED_VALUE"""),"B0044SESPM")</f>
        <v>B0044SESPM</v>
      </c>
    </row>
    <row r="218">
      <c r="A218" s="6">
        <f>IFERROR(__xludf.DUMMYFUNCTION("""COMPUTED_VALUE"""),44362.0)</f>
        <v>44362</v>
      </c>
      <c r="B218">
        <f>IFERROR(__xludf.DUMMYFUNCTION("""COMPUTED_VALUE"""),4207.0)</f>
        <v>4207</v>
      </c>
      <c r="C218" t="str">
        <f>IFERROR(__xludf.DUMMYFUNCTION("""COMPUTED_VALUE"""),"Company Of Heroes: Opposing Fronts - PC")</f>
        <v>Company Of Heroes: Opposing Fronts - PC</v>
      </c>
      <c r="D218" t="str">
        <f>IFERROR(__xludf.DUMMYFUNCTION("""COMPUTED_VALUE"""),"B000U850P2")</f>
        <v>B000U850P2</v>
      </c>
      <c r="E218" t="str">
        <f>IFERROR(__xludf.DUMMYFUNCTION("""COMPUTED_VALUE"""),"752919493267")</f>
        <v>752919493267</v>
      </c>
      <c r="F218">
        <f>IFERROR(__xludf.DUMMYFUNCTION("""COMPUTED_VALUE"""),647.0)</f>
        <v>647</v>
      </c>
      <c r="G218">
        <f>IFERROR(__xludf.DUMMYFUNCTION("""COMPUTED_VALUE"""),622.0)</f>
        <v>622</v>
      </c>
      <c r="H218" s="2">
        <f>IFERROR(__xludf.DUMMYFUNCTION("""COMPUTED_VALUE"""),0.75)</f>
        <v>0.75</v>
      </c>
      <c r="I218" s="2">
        <f>IFERROR(__xludf.DUMMYFUNCTION("""COMPUTED_VALUE"""),4.48)</f>
        <v>4.48</v>
      </c>
      <c r="J218" s="2">
        <f>IFERROR(__xludf.DUMMYFUNCTION("""COMPUTED_VALUE"""),3.7300000000000004)</f>
        <v>3.73</v>
      </c>
      <c r="K218" s="5">
        <f>IFERROR(__xludf.DUMMYFUNCTION("""COMPUTED_VALUE"""),4.973333333333334)</f>
        <v>4.973333333</v>
      </c>
      <c r="L218">
        <f>IFERROR(__xludf.DUMMYFUNCTION("""COMPUTED_VALUE"""),93511.0)</f>
        <v>93511</v>
      </c>
      <c r="M218" t="str">
        <f>IFERROR(__xludf.DUMMYFUNCTION("""COMPUTED_VALUE"""),"Video Games")</f>
        <v>Video Games</v>
      </c>
      <c r="O218" t="str">
        <f>IFERROR(__xludf.DUMMYFUNCTION("""COMPUTED_VALUE"""),"N")</f>
        <v>N</v>
      </c>
      <c r="P218" s="1" t="str">
        <f>IFERROR(__xludf.DUMMYFUNCTION("""COMPUTED_VALUE"""),"ID 4207")</f>
        <v>ID 4207</v>
      </c>
      <c r="Q218" s="1" t="str">
        <f>IFERROR(__xludf.DUMMYFUNCTION("""COMPUTED_VALUE"""),"B000U850P2")</f>
        <v>B000U850P2</v>
      </c>
    </row>
    <row r="219">
      <c r="A219" s="6">
        <f>IFERROR(__xludf.DUMMYFUNCTION("""COMPUTED_VALUE"""),45376.0)</f>
        <v>45376</v>
      </c>
      <c r="B219">
        <f>IFERROR(__xludf.DUMMYFUNCTION("""COMPUTED_VALUE"""),21914.0)</f>
        <v>21914</v>
      </c>
      <c r="C219" t="str">
        <f>IFERROR(__xludf.DUMMYFUNCTION("""COMPUTED_VALUE"""),"PRANG Refill Pans for Oval Watercolor Paint Set, 12 Pans per Box, Green (00804)")</f>
        <v>PRANG Refill Pans for Oval Watercolor Paint Set, 12 Pans per Box, Green (00804)</v>
      </c>
      <c r="D219" t="str">
        <f>IFERROR(__xludf.DUMMYFUNCTION("""COMPUTED_VALUE"""),"B0050A6270")</f>
        <v>B0050A6270</v>
      </c>
      <c r="E219" t="str">
        <f>IFERROR(__xludf.DUMMYFUNCTION("""COMPUTED_VALUE"""),"072067008046")</f>
        <v>072067008046</v>
      </c>
      <c r="F219">
        <f>IFERROR(__xludf.DUMMYFUNCTION("""COMPUTED_VALUE"""),816.0)</f>
        <v>816</v>
      </c>
      <c r="G219">
        <f>IFERROR(__xludf.DUMMYFUNCTION("""COMPUTED_VALUE"""),10000.0)</f>
        <v>10000</v>
      </c>
      <c r="H219" s="2">
        <f>IFERROR(__xludf.DUMMYFUNCTION("""COMPUTED_VALUE"""),4.5)</f>
        <v>4.5</v>
      </c>
      <c r="I219" s="2">
        <f>IFERROR(__xludf.DUMMYFUNCTION("""COMPUTED_VALUE"""),8.22)</f>
        <v>8.22</v>
      </c>
      <c r="J219" s="2">
        <f>IFERROR(__xludf.DUMMYFUNCTION("""COMPUTED_VALUE"""),3.7200000000000006)</f>
        <v>3.72</v>
      </c>
      <c r="K219" s="5">
        <f>IFERROR(__xludf.DUMMYFUNCTION("""COMPUTED_VALUE"""),0.8266666666666668)</f>
        <v>0.8266666667</v>
      </c>
      <c r="L219">
        <f>IFERROR(__xludf.DUMMYFUNCTION("""COMPUTED_VALUE"""),13771.0)</f>
        <v>13771</v>
      </c>
      <c r="M219" t="str">
        <f>IFERROR(__xludf.DUMMYFUNCTION("""COMPUTED_VALUE"""),"Office Product")</f>
        <v>Office Product</v>
      </c>
      <c r="O219" t="str">
        <f>IFERROR(__xludf.DUMMYFUNCTION("""COMPUTED_VALUE"""),"Y")</f>
        <v>Y</v>
      </c>
      <c r="P219" s="1" t="str">
        <f>IFERROR(__xludf.DUMMYFUNCTION("""COMPUTED_VALUE"""),"ID 21914")</f>
        <v>ID 21914</v>
      </c>
      <c r="Q219" s="1" t="str">
        <f>IFERROR(__xludf.DUMMYFUNCTION("""COMPUTED_VALUE"""),"B0050A6270")</f>
        <v>B0050A6270</v>
      </c>
    </row>
    <row r="220">
      <c r="A220" s="6">
        <f>IFERROR(__xludf.DUMMYFUNCTION("""COMPUTED_VALUE"""),45362.0)</f>
        <v>45362</v>
      </c>
      <c r="B220">
        <f>IFERROR(__xludf.DUMMYFUNCTION("""COMPUTED_VALUE"""),19717.0)</f>
        <v>19717</v>
      </c>
      <c r="C220" t="str">
        <f>IFERROR(__xludf.DUMMYFUNCTION("""COMPUTED_VALUE"""),"Pentel Twist Erase CLICK Automatic Pencil with 2 Eraser Refills and Lead, 0.9 mm, Assorted Barrels, Color May Vary, 2 Pack (PD279TLEBP2)")</f>
        <v>Pentel Twist Erase CLICK Automatic Pencil with 2 Eraser Refills and Lead, 0.9 mm, Assorted Barrels, Color May Vary, 2 Pack (PD279TLEBP2)</v>
      </c>
      <c r="D220" t="str">
        <f>IFERROR(__xludf.DUMMYFUNCTION("""COMPUTED_VALUE"""),"B0047CP82M")</f>
        <v>B0047CP82M</v>
      </c>
      <c r="E220" t="str">
        <f>IFERROR(__xludf.DUMMYFUNCTION("""COMPUTED_VALUE"""),"072512234242")</f>
        <v>072512234242</v>
      </c>
      <c r="F220">
        <f>IFERROR(__xludf.DUMMYFUNCTION("""COMPUTED_VALUE"""),432.0)</f>
        <v>432</v>
      </c>
      <c r="G220">
        <f>IFERROR(__xludf.DUMMYFUNCTION("""COMPUTED_VALUE"""),10000.0)</f>
        <v>10000</v>
      </c>
      <c r="H220" s="2">
        <f>IFERROR(__xludf.DUMMYFUNCTION("""COMPUTED_VALUE"""),4.25)</f>
        <v>4.25</v>
      </c>
      <c r="I220" s="2">
        <f>IFERROR(__xludf.DUMMYFUNCTION("""COMPUTED_VALUE"""),7.94)</f>
        <v>7.94</v>
      </c>
      <c r="J220" s="2">
        <f>IFERROR(__xludf.DUMMYFUNCTION("""COMPUTED_VALUE"""),3.6900000000000004)</f>
        <v>3.69</v>
      </c>
      <c r="K220" s="5">
        <f>IFERROR(__xludf.DUMMYFUNCTION("""COMPUTED_VALUE"""),0.8682352941176471)</f>
        <v>0.8682352941</v>
      </c>
      <c r="L220">
        <f>IFERROR(__xludf.DUMMYFUNCTION("""COMPUTED_VALUE"""),16872.0)</f>
        <v>16872</v>
      </c>
      <c r="M220" t="str">
        <f>IFERROR(__xludf.DUMMYFUNCTION("""COMPUTED_VALUE"""),"Office Product")</f>
        <v>Office Product</v>
      </c>
      <c r="O220" t="str">
        <f>IFERROR(__xludf.DUMMYFUNCTION("""COMPUTED_VALUE"""),"Y")</f>
        <v>Y</v>
      </c>
      <c r="P220" s="1" t="str">
        <f>IFERROR(__xludf.DUMMYFUNCTION("""COMPUTED_VALUE"""),"ID 19717")</f>
        <v>ID 19717</v>
      </c>
      <c r="Q220" s="1" t="str">
        <f>IFERROR(__xludf.DUMMYFUNCTION("""COMPUTED_VALUE"""),"B0047CP82M")</f>
        <v>B0047CP82M</v>
      </c>
    </row>
    <row r="221">
      <c r="A221" s="6">
        <f>IFERROR(__xludf.DUMMYFUNCTION("""COMPUTED_VALUE"""),45401.0)</f>
        <v>45401</v>
      </c>
      <c r="B221">
        <f>IFERROR(__xludf.DUMMYFUNCTION("""COMPUTED_VALUE"""),12961.0)</f>
        <v>12961</v>
      </c>
      <c r="C221" t="str">
        <f>IFERROR(__xludf.DUMMYFUNCTION("""COMPUTED_VALUE"""),"Home Basics Small 27 oz. Square Glass Canister Jar Container Fresh Sealed with Air-Tight Stainless-Steel Twist Top Lid for Kitchen Pantry Food Storage Organization, Clear")</f>
        <v>Home Basics Small 27 oz. Square Glass Canister Jar Container Fresh Sealed with Air-Tight Stainless-Steel Twist Top Lid for Kitchen Pantry Food Storage Organization, Clear</v>
      </c>
      <c r="D221" t="str">
        <f>IFERROR(__xludf.DUMMYFUNCTION("""COMPUTED_VALUE"""),"B006H32LR4")</f>
        <v>B006H32LR4</v>
      </c>
      <c r="E221" t="str">
        <f>IFERROR(__xludf.DUMMYFUNCTION("""COMPUTED_VALUE"""),"857198108205")</f>
        <v>857198108205</v>
      </c>
      <c r="F221">
        <f>IFERROR(__xludf.DUMMYFUNCTION("""COMPUTED_VALUE"""),504.0)</f>
        <v>504</v>
      </c>
      <c r="G221">
        <f>IFERROR(__xludf.DUMMYFUNCTION("""COMPUTED_VALUE"""),10000.0)</f>
        <v>10000</v>
      </c>
      <c r="H221" s="2">
        <f>IFERROR(__xludf.DUMMYFUNCTION("""COMPUTED_VALUE"""),4.0)</f>
        <v>4</v>
      </c>
      <c r="I221" s="2">
        <f>IFERROR(__xludf.DUMMYFUNCTION("""COMPUTED_VALUE"""),7.68)</f>
        <v>7.68</v>
      </c>
      <c r="J221" s="2">
        <f>IFERROR(__xludf.DUMMYFUNCTION("""COMPUTED_VALUE"""),3.6799999999999997)</f>
        <v>3.68</v>
      </c>
      <c r="K221" s="5">
        <f>IFERROR(__xludf.DUMMYFUNCTION("""COMPUTED_VALUE"""),0.9199999999999999)</f>
        <v>0.92</v>
      </c>
      <c r="L221">
        <f>IFERROR(__xludf.DUMMYFUNCTION("""COMPUTED_VALUE"""),88583.0)</f>
        <v>88583</v>
      </c>
      <c r="M221" t="str">
        <f>IFERROR(__xludf.DUMMYFUNCTION("""COMPUTED_VALUE"""),"Home")</f>
        <v>Home</v>
      </c>
      <c r="O221" t="str">
        <f>IFERROR(__xludf.DUMMYFUNCTION("""COMPUTED_VALUE"""),"N")</f>
        <v>N</v>
      </c>
      <c r="P221" s="1" t="str">
        <f>IFERROR(__xludf.DUMMYFUNCTION("""COMPUTED_VALUE"""),"ID 12961")</f>
        <v>ID 12961</v>
      </c>
      <c r="Q221" s="1" t="str">
        <f>IFERROR(__xludf.DUMMYFUNCTION("""COMPUTED_VALUE"""),"B006H32LR4")</f>
        <v>B006H32LR4</v>
      </c>
    </row>
    <row r="222">
      <c r="A222" s="6">
        <f>IFERROR(__xludf.DUMMYFUNCTION("""COMPUTED_VALUE"""),45133.0)</f>
        <v>45133</v>
      </c>
      <c r="B222">
        <f>IFERROR(__xludf.DUMMYFUNCTION("""COMPUTED_VALUE"""),25676.0)</f>
        <v>25676</v>
      </c>
      <c r="C222" t="str">
        <f>IFERROR(__xludf.DUMMYFUNCTION("""COMPUTED_VALUE"""),"Etna Freestanding Wood Pet Gate Tri Fold Panel Dog Fence for Doorways, Stairs - Indoor/Outdoor Small Pet Barrier - White Squares")</f>
        <v>Etna Freestanding Wood Pet Gate Tri Fold Panel Dog Fence for Doorways, Stairs - Indoor/Outdoor Small Pet Barrier - White Squares</v>
      </c>
      <c r="D222" t="str">
        <f>IFERROR(__xludf.DUMMYFUNCTION("""COMPUTED_VALUE"""),"B08P81HCW7")</f>
        <v>B08P81HCW7</v>
      </c>
      <c r="E222" t="str">
        <f>IFERROR(__xludf.DUMMYFUNCTION("""COMPUTED_VALUE"""),"084358052898")</f>
        <v>084358052898</v>
      </c>
      <c r="F222">
        <f>IFERROR(__xludf.DUMMYFUNCTION("""COMPUTED_VALUE"""),64.0)</f>
        <v>64</v>
      </c>
      <c r="G222">
        <f>IFERROR(__xludf.DUMMYFUNCTION("""COMPUTED_VALUE"""),814.0)</f>
        <v>814</v>
      </c>
      <c r="H222" s="2">
        <f>IFERROR(__xludf.DUMMYFUNCTION("""COMPUTED_VALUE"""),21.25)</f>
        <v>21.25</v>
      </c>
      <c r="I222" s="2">
        <f>IFERROR(__xludf.DUMMYFUNCTION("""COMPUTED_VALUE"""),24.89)</f>
        <v>24.89</v>
      </c>
      <c r="J222" s="2">
        <f>IFERROR(__xludf.DUMMYFUNCTION("""COMPUTED_VALUE"""),3.6400000000000006)</f>
        <v>3.64</v>
      </c>
      <c r="K222" s="5">
        <f>IFERROR(__xludf.DUMMYFUNCTION("""COMPUTED_VALUE"""),0.17129411764705885)</f>
        <v>0.1712941176</v>
      </c>
      <c r="L222">
        <f>IFERROR(__xludf.DUMMYFUNCTION("""COMPUTED_VALUE"""),54008.0)</f>
        <v>54008</v>
      </c>
      <c r="M222" t="str">
        <f>IFERROR(__xludf.DUMMYFUNCTION("""COMPUTED_VALUE"""),"Pet Products")</f>
        <v>Pet Products</v>
      </c>
      <c r="O222" t="str">
        <f>IFERROR(__xludf.DUMMYFUNCTION("""COMPUTED_VALUE"""),"N")</f>
        <v>N</v>
      </c>
      <c r="P222" s="1" t="str">
        <f>IFERROR(__xludf.DUMMYFUNCTION("""COMPUTED_VALUE"""),"ID 25676")</f>
        <v>ID 25676</v>
      </c>
      <c r="Q222" s="1" t="str">
        <f>IFERROR(__xludf.DUMMYFUNCTION("""COMPUTED_VALUE"""),"B08P81HCW7")</f>
        <v>B08P81HCW7</v>
      </c>
    </row>
    <row r="223">
      <c r="A223" s="6">
        <f>IFERROR(__xludf.DUMMYFUNCTION("""COMPUTED_VALUE"""),45401.0)</f>
        <v>45401</v>
      </c>
      <c r="B223">
        <f>IFERROR(__xludf.DUMMYFUNCTION("""COMPUTED_VALUE"""),20044.0)</f>
        <v>20044</v>
      </c>
      <c r="C223" t="str">
        <f>IFERROR(__xludf.DUMMYFUNCTION("""COMPUTED_VALUE"""),"License To Play The Original Pogo Ball (Red and Blue)")</f>
        <v>License To Play The Original Pogo Ball (Red and Blue)</v>
      </c>
      <c r="D223" t="str">
        <f>IFERROR(__xludf.DUMMYFUNCTION("""COMPUTED_VALUE"""),"B08W8NLWNG")</f>
        <v>B08W8NLWNG</v>
      </c>
      <c r="E223" t="str">
        <f>IFERROR(__xludf.DUMMYFUNCTION("""COMPUTED_VALUE"""),"022286122016")</f>
        <v>022286122016</v>
      </c>
      <c r="F223">
        <f>IFERROR(__xludf.DUMMYFUNCTION("""COMPUTED_VALUE"""),128.0)</f>
        <v>128</v>
      </c>
      <c r="G223">
        <f>IFERROR(__xludf.DUMMYFUNCTION("""COMPUTED_VALUE"""),10000.0)</f>
        <v>10000</v>
      </c>
      <c r="H223" s="2">
        <f>IFERROR(__xludf.DUMMYFUNCTION("""COMPUTED_VALUE"""),26.5)</f>
        <v>26.5</v>
      </c>
      <c r="I223" s="2">
        <f>IFERROR(__xludf.DUMMYFUNCTION("""COMPUTED_VALUE"""),30.13)</f>
        <v>30.13</v>
      </c>
      <c r="J223" s="2">
        <f>IFERROR(__xludf.DUMMYFUNCTION("""COMPUTED_VALUE"""),3.629999999999999)</f>
        <v>3.63</v>
      </c>
      <c r="K223" s="5">
        <f>IFERROR(__xludf.DUMMYFUNCTION("""COMPUTED_VALUE"""),0.13698113207547166)</f>
        <v>0.1369811321</v>
      </c>
      <c r="L223">
        <f>IFERROR(__xludf.DUMMYFUNCTION("""COMPUTED_VALUE"""),76759.0)</f>
        <v>76759</v>
      </c>
      <c r="M223" t="str">
        <f>IFERROR(__xludf.DUMMYFUNCTION("""COMPUTED_VALUE"""),"Sports")</f>
        <v>Sports</v>
      </c>
      <c r="O223" t="str">
        <f>IFERROR(__xludf.DUMMYFUNCTION("""COMPUTED_VALUE"""),"N")</f>
        <v>N</v>
      </c>
      <c r="P223" s="1" t="str">
        <f>IFERROR(__xludf.DUMMYFUNCTION("""COMPUTED_VALUE"""),"ID 20044")</f>
        <v>ID 20044</v>
      </c>
      <c r="Q223" s="1" t="str">
        <f>IFERROR(__xludf.DUMMYFUNCTION("""COMPUTED_VALUE"""),"B08W8NLWNG")</f>
        <v>B08W8NLWNG</v>
      </c>
    </row>
    <row r="224">
      <c r="A224" s="6">
        <f>IFERROR(__xludf.DUMMYFUNCTION("""COMPUTED_VALUE"""),45274.0)</f>
        <v>45274</v>
      </c>
      <c r="B224">
        <f>IFERROR(__xludf.DUMMYFUNCTION("""COMPUTED_VALUE"""),23940.0)</f>
        <v>23940</v>
      </c>
      <c r="C224" t="str">
        <f>IFERROR(__xludf.DUMMYFUNCTION("""COMPUTED_VALUE"""),"Indoor/Outdoor Solid Wood Heart Freestanding Foldable Adjustable 3-Section Pet Gate")</f>
        <v>Indoor/Outdoor Solid Wood Heart Freestanding Foldable Adjustable 3-Section Pet Gate</v>
      </c>
      <c r="D224" t="str">
        <f>IFERROR(__xludf.DUMMYFUNCTION("""COMPUTED_VALUE"""),"B07YJ5FBTD")</f>
        <v>B07YJ5FBTD</v>
      </c>
      <c r="E224" t="str">
        <f>IFERROR(__xludf.DUMMYFUNCTION("""COMPUTED_VALUE"""),"084358052188")</f>
        <v>084358052188</v>
      </c>
      <c r="F224">
        <f>IFERROR(__xludf.DUMMYFUNCTION("""COMPUTED_VALUE"""),60.0)</f>
        <v>60</v>
      </c>
      <c r="G224">
        <f>IFERROR(__xludf.DUMMYFUNCTION("""COMPUTED_VALUE"""),60.0)</f>
        <v>60</v>
      </c>
      <c r="H224" s="2">
        <f>IFERROR(__xludf.DUMMYFUNCTION("""COMPUTED_VALUE"""),21.5)</f>
        <v>21.5</v>
      </c>
      <c r="I224" s="2">
        <f>IFERROR(__xludf.DUMMYFUNCTION("""COMPUTED_VALUE"""),25.13)</f>
        <v>25.13</v>
      </c>
      <c r="J224" s="2">
        <f>IFERROR(__xludf.DUMMYFUNCTION("""COMPUTED_VALUE"""),3.629999999999999)</f>
        <v>3.63</v>
      </c>
      <c r="K224" s="5">
        <f>IFERROR(__xludf.DUMMYFUNCTION("""COMPUTED_VALUE"""),0.16883720930232554)</f>
        <v>0.1688372093</v>
      </c>
      <c r="L224">
        <f>IFERROR(__xludf.DUMMYFUNCTION("""COMPUTED_VALUE"""),37226.0)</f>
        <v>37226</v>
      </c>
      <c r="M224" t="str">
        <f>IFERROR(__xludf.DUMMYFUNCTION("""COMPUTED_VALUE"""),"BISS Basic")</f>
        <v>BISS Basic</v>
      </c>
      <c r="N224" t="str">
        <f>IFERROR(__xludf.DUMMYFUNCTION("""COMPUTED_VALUE"""),"MAP: $44.99. If you violate the MAP pricing, the brand will remove you and require you to return the merchandise at a 50% restocking fee.")</f>
        <v>MAP: $44.99. If you violate the MAP pricing, the brand will remove you and require you to return the merchandise at a 50% restocking fee.</v>
      </c>
      <c r="O224" t="str">
        <f>IFERROR(__xludf.DUMMYFUNCTION("""COMPUTED_VALUE"""),"N")</f>
        <v>N</v>
      </c>
      <c r="P224" s="1" t="str">
        <f>IFERROR(__xludf.DUMMYFUNCTION("""COMPUTED_VALUE"""),"ID 23940")</f>
        <v>ID 23940</v>
      </c>
      <c r="Q224" s="1" t="str">
        <f>IFERROR(__xludf.DUMMYFUNCTION("""COMPUTED_VALUE"""),"B07YJ5FBTD")</f>
        <v>B07YJ5FBTD</v>
      </c>
    </row>
    <row r="225">
      <c r="A225" s="6">
        <f>IFERROR(__xludf.DUMMYFUNCTION("""COMPUTED_VALUE"""),45421.0)</f>
        <v>45421</v>
      </c>
      <c r="B225">
        <f>IFERROR(__xludf.DUMMYFUNCTION("""COMPUTED_VALUE"""),25919.0)</f>
        <v>25919</v>
      </c>
      <c r="C225" t="str">
        <f>IFERROR(__xludf.DUMMYFUNCTION("""COMPUTED_VALUE"""),"Rapidesign Circle Radius Master Template, 1 Each (R142)")</f>
        <v>Rapidesign Circle Radius Master Template, 1 Each (R142)</v>
      </c>
      <c r="D225" t="str">
        <f>IFERROR(__xludf.DUMMYFUNCTION("""COMPUTED_VALUE"""),"B000KNL8EO")</f>
        <v>B000KNL8EO</v>
      </c>
      <c r="E225" t="str">
        <f>IFERROR(__xludf.DUMMYFUNCTION("""COMPUTED_VALUE"""),"014173252708")</f>
        <v>014173252708</v>
      </c>
      <c r="F225">
        <f>IFERROR(__xludf.DUMMYFUNCTION("""COMPUTED_VALUE"""),288.0)</f>
        <v>288</v>
      </c>
      <c r="G225">
        <f>IFERROR(__xludf.DUMMYFUNCTION("""COMPUTED_VALUE"""),10000.0)</f>
        <v>10000</v>
      </c>
      <c r="H225" s="2">
        <f>IFERROR(__xludf.DUMMYFUNCTION("""COMPUTED_VALUE"""),10.25)</f>
        <v>10.25</v>
      </c>
      <c r="I225" s="2">
        <f>IFERROR(__xludf.DUMMYFUNCTION("""COMPUTED_VALUE"""),13.88)</f>
        <v>13.88</v>
      </c>
      <c r="J225" s="2">
        <f>IFERROR(__xludf.DUMMYFUNCTION("""COMPUTED_VALUE"""),3.630000000000001)</f>
        <v>3.63</v>
      </c>
      <c r="K225" s="5">
        <f>IFERROR(__xludf.DUMMYFUNCTION("""COMPUTED_VALUE"""),0.3541463414634147)</f>
        <v>0.3541463415</v>
      </c>
      <c r="L225">
        <f>IFERROR(__xludf.DUMMYFUNCTION("""COMPUTED_VALUE"""),80357.0)</f>
        <v>80357</v>
      </c>
      <c r="M225" t="str">
        <f>IFERROR(__xludf.DUMMYFUNCTION("""COMPUTED_VALUE"""),"Office Product")</f>
        <v>Office Product</v>
      </c>
      <c r="O225" t="str">
        <f>IFERROR(__xludf.DUMMYFUNCTION("""COMPUTED_VALUE"""),"N")</f>
        <v>N</v>
      </c>
      <c r="P225" s="1" t="str">
        <f>IFERROR(__xludf.DUMMYFUNCTION("""COMPUTED_VALUE"""),"ID 25919")</f>
        <v>ID 25919</v>
      </c>
      <c r="Q225" s="1" t="str">
        <f>IFERROR(__xludf.DUMMYFUNCTION("""COMPUTED_VALUE"""),"B000KNL8EO")</f>
        <v>B000KNL8EO</v>
      </c>
    </row>
    <row r="226">
      <c r="A226" s="6">
        <f>IFERROR(__xludf.DUMMYFUNCTION("""COMPUTED_VALUE"""),45335.0)</f>
        <v>45335</v>
      </c>
      <c r="B226">
        <f>IFERROR(__xludf.DUMMYFUNCTION("""COMPUTED_VALUE"""),21937.0)</f>
        <v>21937</v>
      </c>
      <c r="C226" t="str">
        <f>IFERROR(__xludf.DUMMYFUNCTION("""COMPUTED_VALUE"""),"Prang Ready-to-Use Liquid Tempera Paint, 16-Ounce Bottle, Peach (21634)")</f>
        <v>Prang Ready-to-Use Liquid Tempera Paint, 16-Ounce Bottle, Peach (21634)</v>
      </c>
      <c r="D226" t="str">
        <f>IFERROR(__xludf.DUMMYFUNCTION("""COMPUTED_VALUE"""),"B000J07S5G")</f>
        <v>B000J07S5G</v>
      </c>
      <c r="E226" t="str">
        <f>IFERROR(__xludf.DUMMYFUNCTION("""COMPUTED_VALUE"""),"072067216342")</f>
        <v>072067216342</v>
      </c>
      <c r="F226">
        <f>IFERROR(__xludf.DUMMYFUNCTION("""COMPUTED_VALUE"""),3228.0)</f>
        <v>3228</v>
      </c>
      <c r="G226">
        <f>IFERROR(__xludf.DUMMYFUNCTION("""COMPUTED_VALUE"""),10000.0)</f>
        <v>10000</v>
      </c>
      <c r="H226" s="2">
        <f>IFERROR(__xludf.DUMMYFUNCTION("""COMPUTED_VALUE"""),1.25)</f>
        <v>1.25</v>
      </c>
      <c r="I226" s="2">
        <f>IFERROR(__xludf.DUMMYFUNCTION("""COMPUTED_VALUE"""),4.87)</f>
        <v>4.87</v>
      </c>
      <c r="J226" s="2">
        <f>IFERROR(__xludf.DUMMYFUNCTION("""COMPUTED_VALUE"""),3.62)</f>
        <v>3.62</v>
      </c>
      <c r="K226" s="5">
        <f>IFERROR(__xludf.DUMMYFUNCTION("""COMPUTED_VALUE"""),2.896)</f>
        <v>2.896</v>
      </c>
      <c r="L226">
        <f>IFERROR(__xludf.DUMMYFUNCTION("""COMPUTED_VALUE"""),20201.0)</f>
        <v>20201</v>
      </c>
      <c r="M226" t="str">
        <f>IFERROR(__xludf.DUMMYFUNCTION("""COMPUTED_VALUE"""),"Office Product")</f>
        <v>Office Product</v>
      </c>
      <c r="N226" t="str">
        <f>IFERROR(__xludf.DUMMYFUNCTION("""COMPUTED_VALUE"""),"2023 Close-out Pricing")</f>
        <v>2023 Close-out Pricing</v>
      </c>
      <c r="O226" t="str">
        <f>IFERROR(__xludf.DUMMYFUNCTION("""COMPUTED_VALUE"""),"N")</f>
        <v>N</v>
      </c>
      <c r="P226" s="1" t="str">
        <f>IFERROR(__xludf.DUMMYFUNCTION("""COMPUTED_VALUE"""),"ID 21937")</f>
        <v>ID 21937</v>
      </c>
      <c r="Q226" s="1" t="str">
        <f>IFERROR(__xludf.DUMMYFUNCTION("""COMPUTED_VALUE"""),"B000J07S5G")</f>
        <v>B000J07S5G</v>
      </c>
    </row>
    <row r="227">
      <c r="A227" s="6">
        <f>IFERROR(__xludf.DUMMYFUNCTION("""COMPUTED_VALUE"""),45421.0)</f>
        <v>45421</v>
      </c>
      <c r="B227">
        <f>IFERROR(__xludf.DUMMYFUNCTION("""COMPUTED_VALUE"""),12759.0)</f>
        <v>12759</v>
      </c>
      <c r="C227" t="str">
        <f>IFERROR(__xludf.DUMMYFUNCTION("""COMPUTED_VALUE"""),"Pickett Sheet Metal Duct Work Template (1276I)")</f>
        <v>Pickett Sheet Metal Duct Work Template (1276I)</v>
      </c>
      <c r="D227" t="str">
        <f>IFERROR(__xludf.DUMMYFUNCTION("""COMPUTED_VALUE"""),"B005E2PAOA")</f>
        <v>B005E2PAOA</v>
      </c>
      <c r="E227" t="str">
        <f>IFERROR(__xludf.DUMMYFUNCTION("""COMPUTED_VALUE"""),"014173153647")</f>
        <v>014173153647</v>
      </c>
      <c r="F227">
        <f>IFERROR(__xludf.DUMMYFUNCTION("""COMPUTED_VALUE"""),288.0)</f>
        <v>288</v>
      </c>
      <c r="G227">
        <f>IFERROR(__xludf.DUMMYFUNCTION("""COMPUTED_VALUE"""),10000.0)</f>
        <v>10000</v>
      </c>
      <c r="H227" s="2">
        <f>IFERROR(__xludf.DUMMYFUNCTION("""COMPUTED_VALUE"""),8.0)</f>
        <v>8</v>
      </c>
      <c r="I227" s="2">
        <f>IFERROR(__xludf.DUMMYFUNCTION("""COMPUTED_VALUE"""),11.61)</f>
        <v>11.61</v>
      </c>
      <c r="J227" s="2">
        <f>IFERROR(__xludf.DUMMYFUNCTION("""COMPUTED_VALUE"""),3.6099999999999994)</f>
        <v>3.61</v>
      </c>
      <c r="K227" s="5">
        <f>IFERROR(__xludf.DUMMYFUNCTION("""COMPUTED_VALUE"""),0.45124999999999993)</f>
        <v>0.45125</v>
      </c>
      <c r="L227">
        <f>IFERROR(__xludf.DUMMYFUNCTION("""COMPUTED_VALUE"""),79664.0)</f>
        <v>79664</v>
      </c>
      <c r="M227" t="str">
        <f>IFERROR(__xludf.DUMMYFUNCTION("""COMPUTED_VALUE"""),"Office Product")</f>
        <v>Office Product</v>
      </c>
      <c r="O227" t="str">
        <f>IFERROR(__xludf.DUMMYFUNCTION("""COMPUTED_VALUE"""),"Y")</f>
        <v>Y</v>
      </c>
      <c r="P227" s="1" t="str">
        <f>IFERROR(__xludf.DUMMYFUNCTION("""COMPUTED_VALUE"""),"ID 12759")</f>
        <v>ID 12759</v>
      </c>
      <c r="Q227" s="1" t="str">
        <f>IFERROR(__xludf.DUMMYFUNCTION("""COMPUTED_VALUE"""),"B005E2PAOA")</f>
        <v>B005E2PAOA</v>
      </c>
    </row>
    <row r="228">
      <c r="A228" s="6">
        <f>IFERROR(__xludf.DUMMYFUNCTION("""COMPUTED_VALUE"""),45401.0)</f>
        <v>45401</v>
      </c>
      <c r="B228">
        <f>IFERROR(__xludf.DUMMYFUNCTION("""COMPUTED_VALUE"""),16469.0)</f>
        <v>16469</v>
      </c>
      <c r="C228" t="str">
        <f>IFERROR(__xludf.DUMMYFUNCTION("""COMPUTED_VALUE"""),"Home Basics 3 Hook Over the Door Hooks with Crystal Knobs, Organize Clothes, Coats, Robes, Towels For Bedroom, Bathroom Or Closet, Chrome")</f>
        <v>Home Basics 3 Hook Over the Door Hooks with Crystal Knobs, Organize Clothes, Coats, Robes, Towels For Bedroom, Bathroom Or Closet, Chrome</v>
      </c>
      <c r="D228" t="str">
        <f>IFERROR(__xludf.DUMMYFUNCTION("""COMPUTED_VALUE"""),"B01N5RIQH9")</f>
        <v>B01N5RIQH9</v>
      </c>
      <c r="E228" t="str">
        <f>IFERROR(__xludf.DUMMYFUNCTION("""COMPUTED_VALUE"""),"886466412300")</f>
        <v>886466412300</v>
      </c>
      <c r="F228">
        <f>IFERROR(__xludf.DUMMYFUNCTION("""COMPUTED_VALUE"""),204.0)</f>
        <v>204</v>
      </c>
      <c r="G228">
        <f>IFERROR(__xludf.DUMMYFUNCTION("""COMPUTED_VALUE"""),10000.0)</f>
        <v>10000</v>
      </c>
      <c r="H228" s="2">
        <f>IFERROR(__xludf.DUMMYFUNCTION("""COMPUTED_VALUE"""),7.0)</f>
        <v>7</v>
      </c>
      <c r="I228" s="2">
        <f>IFERROR(__xludf.DUMMYFUNCTION("""COMPUTED_VALUE"""),10.61)</f>
        <v>10.61</v>
      </c>
      <c r="J228" s="2">
        <f>IFERROR(__xludf.DUMMYFUNCTION("""COMPUTED_VALUE"""),3.6099999999999994)</f>
        <v>3.61</v>
      </c>
      <c r="K228" s="5">
        <f>IFERROR(__xludf.DUMMYFUNCTION("""COMPUTED_VALUE"""),0.5157142857142857)</f>
        <v>0.5157142857</v>
      </c>
      <c r="L228">
        <f>IFERROR(__xludf.DUMMYFUNCTION("""COMPUTED_VALUE"""),64941.0)</f>
        <v>64941</v>
      </c>
      <c r="M228" t="str">
        <f>IFERROR(__xludf.DUMMYFUNCTION("""COMPUTED_VALUE"""),"Home")</f>
        <v>Home</v>
      </c>
      <c r="O228" t="str">
        <f>IFERROR(__xludf.DUMMYFUNCTION("""COMPUTED_VALUE"""),"N")</f>
        <v>N</v>
      </c>
      <c r="P228" s="1" t="str">
        <f>IFERROR(__xludf.DUMMYFUNCTION("""COMPUTED_VALUE"""),"ID 16469")</f>
        <v>ID 16469</v>
      </c>
      <c r="Q228" s="1" t="str">
        <f>IFERROR(__xludf.DUMMYFUNCTION("""COMPUTED_VALUE"""),"B01N5RIQH9")</f>
        <v>B01N5RIQH9</v>
      </c>
    </row>
    <row r="229">
      <c r="A229" s="6">
        <f>IFERROR(__xludf.DUMMYFUNCTION("""COMPUTED_VALUE"""),44433.0)</f>
        <v>44433</v>
      </c>
      <c r="B229">
        <f>IFERROR(__xludf.DUMMYFUNCTION("""COMPUTED_VALUE"""),19570.0)</f>
        <v>19570</v>
      </c>
      <c r="C229" t="str">
        <f>IFERROR(__xludf.DUMMYFUNCTION("""COMPUTED_VALUE"""),"GBC Binding Spines / Spirals / Coils, 10mm, 70 Sheet Capacity, 4:1 Pitch, Color Coil, Black, 100 Pack (9665020)")</f>
        <v>GBC Binding Spines / Spirals / Coils, 10mm, 70 Sheet Capacity, 4:1 Pitch, Color Coil, Black, 100 Pack (9665020)</v>
      </c>
      <c r="D229" t="str">
        <f>IFERROR(__xludf.DUMMYFUNCTION("""COMPUTED_VALUE"""),"B005I79RTU")</f>
        <v>B005I79RTU</v>
      </c>
      <c r="E229" t="str">
        <f>IFERROR(__xludf.DUMMYFUNCTION("""COMPUTED_VALUE"""),"33816061255")</f>
        <v>33816061255</v>
      </c>
      <c r="F229">
        <f>IFERROR(__xludf.DUMMYFUNCTION("""COMPUTED_VALUE"""),241.0)</f>
        <v>241</v>
      </c>
      <c r="G229">
        <f>IFERROR(__xludf.DUMMYFUNCTION("""COMPUTED_VALUE"""),5000.0)</f>
        <v>5000</v>
      </c>
      <c r="H229" s="2">
        <f>IFERROR(__xludf.DUMMYFUNCTION("""COMPUTED_VALUE"""),10.0)</f>
        <v>10</v>
      </c>
      <c r="I229" s="2">
        <f>IFERROR(__xludf.DUMMYFUNCTION("""COMPUTED_VALUE"""),13.61)</f>
        <v>13.61</v>
      </c>
      <c r="J229" s="2">
        <f>IFERROR(__xludf.DUMMYFUNCTION("""COMPUTED_VALUE"""),3.6099999999999994)</f>
        <v>3.61</v>
      </c>
      <c r="K229" s="5">
        <f>IFERROR(__xludf.DUMMYFUNCTION("""COMPUTED_VALUE"""),0.36099999999999993)</f>
        <v>0.361</v>
      </c>
      <c r="L229">
        <f>IFERROR(__xludf.DUMMYFUNCTION("""COMPUTED_VALUE"""),43926.0)</f>
        <v>43926</v>
      </c>
      <c r="M229" t="str">
        <f>IFERROR(__xludf.DUMMYFUNCTION("""COMPUTED_VALUE"""),"Office Product")</f>
        <v>Office Product</v>
      </c>
      <c r="N229" t="str">
        <f>IFERROR(__xludf.DUMMYFUNCTION("""COMPUTED_VALUE"""),"ZECM")</f>
        <v>ZECM</v>
      </c>
      <c r="O229" t="str">
        <f>IFERROR(__xludf.DUMMYFUNCTION("""COMPUTED_VALUE"""),"N")</f>
        <v>N</v>
      </c>
      <c r="P229" s="1" t="str">
        <f>IFERROR(__xludf.DUMMYFUNCTION("""COMPUTED_VALUE"""),"ID 19570")</f>
        <v>ID 19570</v>
      </c>
      <c r="Q229" s="1" t="str">
        <f>IFERROR(__xludf.DUMMYFUNCTION("""COMPUTED_VALUE"""),"B005I79RTU")</f>
        <v>B005I79RTU</v>
      </c>
    </row>
    <row r="230">
      <c r="A230" s="6">
        <f>IFERROR(__xludf.DUMMYFUNCTION("""COMPUTED_VALUE"""),45383.0)</f>
        <v>45383</v>
      </c>
      <c r="B230">
        <f>IFERROR(__xludf.DUMMYFUNCTION("""COMPUTED_VALUE"""),20166.0)</f>
        <v>20166</v>
      </c>
      <c r="C230" t="str">
        <f>IFERROR(__xludf.DUMMYFUNCTION("""COMPUTED_VALUE"""),"uni-ball Vision Rollerball Pens, Fine Point (0.7mm), Business Colors, 4 Count")</f>
        <v>uni-ball Vision Rollerball Pens, Fine Point (0.7mm), Business Colors, 4 Count</v>
      </c>
      <c r="D230" t="str">
        <f>IFERROR(__xludf.DUMMYFUNCTION("""COMPUTED_VALUE"""),"B0016T0OB4")</f>
        <v>B0016T0OB4</v>
      </c>
      <c r="E230" t="str">
        <f>IFERROR(__xludf.DUMMYFUNCTION("""COMPUTED_VALUE"""),"030246600207")</f>
        <v>030246600207</v>
      </c>
      <c r="F230">
        <f>IFERROR(__xludf.DUMMYFUNCTION("""COMPUTED_VALUE"""),288.0)</f>
        <v>288</v>
      </c>
      <c r="G230">
        <f>IFERROR(__xludf.DUMMYFUNCTION("""COMPUTED_VALUE"""),10000.0)</f>
        <v>10000</v>
      </c>
      <c r="H230" s="2">
        <f>IFERROR(__xludf.DUMMYFUNCTION("""COMPUTED_VALUE"""),6.0)</f>
        <v>6</v>
      </c>
      <c r="I230" s="2">
        <f>IFERROR(__xludf.DUMMYFUNCTION("""COMPUTED_VALUE"""),9.6)</f>
        <v>9.6</v>
      </c>
      <c r="J230" s="2">
        <f>IFERROR(__xludf.DUMMYFUNCTION("""COMPUTED_VALUE"""),3.5999999999999996)</f>
        <v>3.6</v>
      </c>
      <c r="K230" s="5">
        <f>IFERROR(__xludf.DUMMYFUNCTION("""COMPUTED_VALUE"""),0.6)</f>
        <v>0.6</v>
      </c>
      <c r="L230">
        <f>IFERROR(__xludf.DUMMYFUNCTION("""COMPUTED_VALUE"""),606.0)</f>
        <v>606</v>
      </c>
      <c r="M230" t="str">
        <f>IFERROR(__xludf.DUMMYFUNCTION("""COMPUTED_VALUE"""),"Office Product")</f>
        <v>Office Product</v>
      </c>
      <c r="O230" t="str">
        <f>IFERROR(__xludf.DUMMYFUNCTION("""COMPUTED_VALUE"""),"Y")</f>
        <v>Y</v>
      </c>
      <c r="P230" s="1" t="str">
        <f>IFERROR(__xludf.DUMMYFUNCTION("""COMPUTED_VALUE"""),"ID 20166")</f>
        <v>ID 20166</v>
      </c>
      <c r="Q230" s="1" t="str">
        <f>IFERROR(__xludf.DUMMYFUNCTION("""COMPUTED_VALUE"""),"B0016T0OB4")</f>
        <v>B0016T0OB4</v>
      </c>
    </row>
    <row r="231">
      <c r="A231" s="6">
        <f>IFERROR(__xludf.DUMMYFUNCTION("""COMPUTED_VALUE"""),45119.0)</f>
        <v>45119</v>
      </c>
      <c r="B231">
        <f>IFERROR(__xludf.DUMMYFUNCTION("""COMPUTED_VALUE"""),19703.0)</f>
        <v>19703</v>
      </c>
      <c r="C231" t="str">
        <f>IFERROR(__xludf.DUMMYFUNCTION("""COMPUTED_VALUE"""),"Pentel Twin checker Dual-Tip Highlighter, Chisel Tip, Assorted Colors (GF/Gk/GP/GS), 4-PK (SLW8BP4M)")</f>
        <v>Pentel Twin checker Dual-Tip Highlighter, Chisel Tip, Assorted Colors (GF/Gk/GP/GS), 4-PK (SLW8BP4M)</v>
      </c>
      <c r="D231" t="str">
        <f>IFERROR(__xludf.DUMMYFUNCTION("""COMPUTED_VALUE"""),"B07Q3HBG3T")</f>
        <v>B07Q3HBG3T</v>
      </c>
      <c r="E231" t="str">
        <f>IFERROR(__xludf.DUMMYFUNCTION("""COMPUTED_VALUE"""),"072512273999")</f>
        <v>072512273999</v>
      </c>
      <c r="F231">
        <f>IFERROR(__xludf.DUMMYFUNCTION("""COMPUTED_VALUE"""),432.0)</f>
        <v>432</v>
      </c>
      <c r="G231">
        <f>IFERROR(__xludf.DUMMYFUNCTION("""COMPUTED_VALUE"""),10000.0)</f>
        <v>10000</v>
      </c>
      <c r="H231" s="2">
        <f>IFERROR(__xludf.DUMMYFUNCTION("""COMPUTED_VALUE"""),3.25)</f>
        <v>3.25</v>
      </c>
      <c r="I231" s="2">
        <f>IFERROR(__xludf.DUMMYFUNCTION("""COMPUTED_VALUE"""),6.84)</f>
        <v>6.84</v>
      </c>
      <c r="J231" s="2">
        <f>IFERROR(__xludf.DUMMYFUNCTION("""COMPUTED_VALUE"""),3.59)</f>
        <v>3.59</v>
      </c>
      <c r="K231" s="5">
        <f>IFERROR(__xludf.DUMMYFUNCTION("""COMPUTED_VALUE"""),1.1046153846153846)</f>
        <v>1.104615385</v>
      </c>
      <c r="L231">
        <f>IFERROR(__xludf.DUMMYFUNCTION("""COMPUTED_VALUE"""),68040.0)</f>
        <v>68040</v>
      </c>
      <c r="M231" t="str">
        <f>IFERROR(__xludf.DUMMYFUNCTION("""COMPUTED_VALUE"""),"Office Product")</f>
        <v>Office Product</v>
      </c>
      <c r="O231" t="str">
        <f>IFERROR(__xludf.DUMMYFUNCTION("""COMPUTED_VALUE"""),"Y")</f>
        <v>Y</v>
      </c>
      <c r="P231" s="1" t="str">
        <f>IFERROR(__xludf.DUMMYFUNCTION("""COMPUTED_VALUE"""),"ID 19703")</f>
        <v>ID 19703</v>
      </c>
      <c r="Q231" s="1" t="str">
        <f>IFERROR(__xludf.DUMMYFUNCTION("""COMPUTED_VALUE"""),"B07Q3HBG3T")</f>
        <v>B07Q3HBG3T</v>
      </c>
    </row>
    <row r="232">
      <c r="A232" s="6">
        <f>IFERROR(__xludf.DUMMYFUNCTION("""COMPUTED_VALUE"""),44941.0)</f>
        <v>44941</v>
      </c>
      <c r="B232">
        <f>IFERROR(__xludf.DUMMYFUNCTION("""COMPUTED_VALUE"""),24643.0)</f>
        <v>24643</v>
      </c>
      <c r="C232" t="str">
        <f>IFERROR(__xludf.DUMMYFUNCTION("""COMPUTED_VALUE"""),"Parker Jotter Originals Fountain Pen, Classic White Finish, Medium Nib, Blue &amp; Black Ink")</f>
        <v>Parker Jotter Originals Fountain Pen, Classic White Finish, Medium Nib, Blue &amp; Black Ink</v>
      </c>
      <c r="D232" t="str">
        <f>IFERROR(__xludf.DUMMYFUNCTION("""COMPUTED_VALUE"""),"B07TWX4B5M")</f>
        <v>B07TWX4B5M</v>
      </c>
      <c r="E232" t="str">
        <f>IFERROR(__xludf.DUMMYFUNCTION("""COMPUTED_VALUE"""),"3026980968717")</f>
        <v>3026980968717</v>
      </c>
      <c r="F232">
        <f>IFERROR(__xludf.DUMMYFUNCTION("""COMPUTED_VALUE"""),330.0)</f>
        <v>330</v>
      </c>
      <c r="G232">
        <f>IFERROR(__xludf.DUMMYFUNCTION("""COMPUTED_VALUE"""),1000.0)</f>
        <v>1000</v>
      </c>
      <c r="H232" s="2">
        <f>IFERROR(__xludf.DUMMYFUNCTION("""COMPUTED_VALUE"""),9.0)</f>
        <v>9</v>
      </c>
      <c r="I232" s="2">
        <f>IFERROR(__xludf.DUMMYFUNCTION("""COMPUTED_VALUE"""),12.57)</f>
        <v>12.57</v>
      </c>
      <c r="J232" s="2">
        <f>IFERROR(__xludf.DUMMYFUNCTION("""COMPUTED_VALUE"""),3.5700000000000003)</f>
        <v>3.57</v>
      </c>
      <c r="K232" s="5">
        <f>IFERROR(__xludf.DUMMYFUNCTION("""COMPUTED_VALUE"""),0.3966666666666667)</f>
        <v>0.3966666667</v>
      </c>
      <c r="L232">
        <f>IFERROR(__xludf.DUMMYFUNCTION("""COMPUTED_VALUE"""),57053.0)</f>
        <v>57053</v>
      </c>
      <c r="M232" t="str">
        <f>IFERROR(__xludf.DUMMYFUNCTION("""COMPUTED_VALUE"""),"Office Product")</f>
        <v>Office Product</v>
      </c>
      <c r="O232" t="str">
        <f>IFERROR(__xludf.DUMMYFUNCTION("""COMPUTED_VALUE"""),"N")</f>
        <v>N</v>
      </c>
      <c r="P232" s="1" t="str">
        <f>IFERROR(__xludf.DUMMYFUNCTION("""COMPUTED_VALUE"""),"ID 24643")</f>
        <v>ID 24643</v>
      </c>
      <c r="Q232" s="1" t="str">
        <f>IFERROR(__xludf.DUMMYFUNCTION("""COMPUTED_VALUE"""),"B07TWX4B5M")</f>
        <v>B07TWX4B5M</v>
      </c>
    </row>
    <row r="233">
      <c r="A233" s="6">
        <f>IFERROR(__xludf.DUMMYFUNCTION("""COMPUTED_VALUE"""),44895.0)</f>
        <v>44895</v>
      </c>
      <c r="B233">
        <f>IFERROR(__xludf.DUMMYFUNCTION("""COMPUTED_VALUE"""),19329.0)</f>
        <v>19329</v>
      </c>
      <c r="C233" t="str">
        <f>IFERROR(__xludf.DUMMYFUNCTION("""COMPUTED_VALUE"""),"Muelhens 4711 Eau De Cologne 6.8 Oz/ 200 Ml for Men By 6.8 Fl Oz (AA723M)")</f>
        <v>Muelhens 4711 Eau De Cologne 6.8 Oz/ 200 Ml for Men By 6.8 Fl Oz (AA723M)</v>
      </c>
      <c r="D233" t="str">
        <f>IFERROR(__xludf.DUMMYFUNCTION("""COMPUTED_VALUE"""),"B0006NYCPA")</f>
        <v>B0006NYCPA</v>
      </c>
      <c r="E233" t="str">
        <f>IFERROR(__xludf.DUMMYFUNCTION("""COMPUTED_VALUE"""),"4011700740062")</f>
        <v>4011700740062</v>
      </c>
      <c r="F233">
        <f>IFERROR(__xludf.DUMMYFUNCTION("""COMPUTED_VALUE"""),110.0)</f>
        <v>110</v>
      </c>
      <c r="G233">
        <f>IFERROR(__xludf.DUMMYFUNCTION("""COMPUTED_VALUE"""),500.0)</f>
        <v>500</v>
      </c>
      <c r="H233" s="2">
        <f>IFERROR(__xludf.DUMMYFUNCTION("""COMPUTED_VALUE"""),11.75)</f>
        <v>11.75</v>
      </c>
      <c r="I233" s="2">
        <f>IFERROR(__xludf.DUMMYFUNCTION("""COMPUTED_VALUE"""),15.31)</f>
        <v>15.31</v>
      </c>
      <c r="J233" s="2">
        <f>IFERROR(__xludf.DUMMYFUNCTION("""COMPUTED_VALUE"""),3.5600000000000005)</f>
        <v>3.56</v>
      </c>
      <c r="K233" s="5">
        <f>IFERROR(__xludf.DUMMYFUNCTION("""COMPUTED_VALUE"""),0.30297872340425536)</f>
        <v>0.3029787234</v>
      </c>
      <c r="L233">
        <f>IFERROR(__xludf.DUMMYFUNCTION("""COMPUTED_VALUE"""),90395.0)</f>
        <v>90395</v>
      </c>
      <c r="M233" t="str">
        <f>IFERROR(__xludf.DUMMYFUNCTION("""COMPUTED_VALUE"""),"Beauty")</f>
        <v>Beauty</v>
      </c>
      <c r="O233" t="str">
        <f>IFERROR(__xludf.DUMMYFUNCTION("""COMPUTED_VALUE"""),"N")</f>
        <v>N</v>
      </c>
      <c r="P233" s="1" t="str">
        <f>IFERROR(__xludf.DUMMYFUNCTION("""COMPUTED_VALUE"""),"ID 19329")</f>
        <v>ID 19329</v>
      </c>
      <c r="Q233" s="1" t="str">
        <f>IFERROR(__xludf.DUMMYFUNCTION("""COMPUTED_VALUE"""),"B0006NYCPA")</f>
        <v>B0006NYCPA</v>
      </c>
    </row>
    <row r="234">
      <c r="A234" s="6">
        <f>IFERROR(__xludf.DUMMYFUNCTION("""COMPUTED_VALUE"""),45223.0)</f>
        <v>45223</v>
      </c>
      <c r="B234">
        <f>IFERROR(__xludf.DUMMYFUNCTION("""COMPUTED_VALUE"""),25947.0)</f>
        <v>25947</v>
      </c>
      <c r="C234" t="str">
        <f>IFERROR(__xludf.DUMMYFUNCTION("""COMPUTED_VALUE"""),"32OZ Hs Shredder Oil")</f>
        <v>32OZ Hs Shredder Oil</v>
      </c>
      <c r="D234" t="str">
        <f>IFERROR(__xludf.DUMMYFUNCTION("""COMPUTED_VALUE"""),"B0046HFS7I")</f>
        <v>B0046HFS7I</v>
      </c>
      <c r="E234" t="str">
        <f>IFERROR(__xludf.DUMMYFUNCTION("""COMPUTED_VALUE"""),"043859598847")</f>
        <v>043859598847</v>
      </c>
      <c r="F234">
        <f>IFERROR(__xludf.DUMMYFUNCTION("""COMPUTED_VALUE"""),132.0)</f>
        <v>132</v>
      </c>
      <c r="G234">
        <f>IFERROR(__xludf.DUMMYFUNCTION("""COMPUTED_VALUE"""),10000.0)</f>
        <v>10000</v>
      </c>
      <c r="H234" s="2">
        <f>IFERROR(__xludf.DUMMYFUNCTION("""COMPUTED_VALUE"""),10.0)</f>
        <v>10</v>
      </c>
      <c r="I234" s="2">
        <f>IFERROR(__xludf.DUMMYFUNCTION("""COMPUTED_VALUE"""),13.56)</f>
        <v>13.56</v>
      </c>
      <c r="J234" s="2">
        <f>IFERROR(__xludf.DUMMYFUNCTION("""COMPUTED_VALUE"""),3.5600000000000005)</f>
        <v>3.56</v>
      </c>
      <c r="K234" s="5">
        <f>IFERROR(__xludf.DUMMYFUNCTION("""COMPUTED_VALUE"""),0.35600000000000004)</f>
        <v>0.356</v>
      </c>
      <c r="L234">
        <f>IFERROR(__xludf.DUMMYFUNCTION("""COMPUTED_VALUE"""),90529.0)</f>
        <v>90529</v>
      </c>
      <c r="M234" t="str">
        <f>IFERROR(__xludf.DUMMYFUNCTION("""COMPUTED_VALUE"""),"CE")</f>
        <v>CE</v>
      </c>
      <c r="O234" t="str">
        <f>IFERROR(__xludf.DUMMYFUNCTION("""COMPUTED_VALUE"""),"N")</f>
        <v>N</v>
      </c>
      <c r="P234" s="1" t="str">
        <f>IFERROR(__xludf.DUMMYFUNCTION("""COMPUTED_VALUE"""),"ID 25947")</f>
        <v>ID 25947</v>
      </c>
      <c r="Q234" s="1" t="str">
        <f>IFERROR(__xludf.DUMMYFUNCTION("""COMPUTED_VALUE"""),"B0046HFS7I")</f>
        <v>B0046HFS7I</v>
      </c>
    </row>
    <row r="235">
      <c r="A235" s="6">
        <f>IFERROR(__xludf.DUMMYFUNCTION("""COMPUTED_VALUE"""),44469.0)</f>
        <v>44469</v>
      </c>
      <c r="B235">
        <f>IFERROR(__xludf.DUMMYFUNCTION("""COMPUTED_VALUE"""),18089.0)</f>
        <v>18089</v>
      </c>
      <c r="C235" t="str">
        <f>IFERROR(__xludf.DUMMYFUNCTION("""COMPUTED_VALUE"""),"Redout - Xbox One")</f>
        <v>Redout - Xbox One</v>
      </c>
      <c r="D235" t="str">
        <f>IFERROR(__xludf.DUMMYFUNCTION("""COMPUTED_VALUE"""),"B01N9WJDKF")</f>
        <v>B01N9WJDKF</v>
      </c>
      <c r="E235" t="str">
        <f>IFERROR(__xludf.DUMMYFUNCTION("""COMPUTED_VALUE"""),"812872019239")</f>
        <v>812872019239</v>
      </c>
      <c r="F235">
        <f>IFERROR(__xludf.DUMMYFUNCTION("""COMPUTED_VALUE"""),241.0)</f>
        <v>241</v>
      </c>
      <c r="G235">
        <f>IFERROR(__xludf.DUMMYFUNCTION("""COMPUTED_VALUE"""),241.0)</f>
        <v>241</v>
      </c>
      <c r="H235" s="2">
        <f>IFERROR(__xludf.DUMMYFUNCTION("""COMPUTED_VALUE"""),5.0)</f>
        <v>5</v>
      </c>
      <c r="I235" s="2">
        <f>IFERROR(__xludf.DUMMYFUNCTION("""COMPUTED_VALUE"""),8.55)</f>
        <v>8.55</v>
      </c>
      <c r="J235" s="2">
        <f>IFERROR(__xludf.DUMMYFUNCTION("""COMPUTED_VALUE"""),3.5500000000000007)</f>
        <v>3.55</v>
      </c>
      <c r="K235" s="5">
        <f>IFERROR(__xludf.DUMMYFUNCTION("""COMPUTED_VALUE"""),0.7100000000000002)</f>
        <v>0.71</v>
      </c>
      <c r="L235">
        <f>IFERROR(__xludf.DUMMYFUNCTION("""COMPUTED_VALUE"""),47327.0)</f>
        <v>47327</v>
      </c>
      <c r="M235" t="str">
        <f>IFERROR(__xludf.DUMMYFUNCTION("""COMPUTED_VALUE"""),"BISS Basic")</f>
        <v>BISS Basic</v>
      </c>
      <c r="O235" t="str">
        <f>IFERROR(__xludf.DUMMYFUNCTION("""COMPUTED_VALUE"""),"Y")</f>
        <v>Y</v>
      </c>
      <c r="P235" s="1" t="str">
        <f>IFERROR(__xludf.DUMMYFUNCTION("""COMPUTED_VALUE"""),"ID 18089")</f>
        <v>ID 18089</v>
      </c>
      <c r="Q235" s="1" t="str">
        <f>IFERROR(__xludf.DUMMYFUNCTION("""COMPUTED_VALUE"""),"B01N9WJDKF")</f>
        <v>B01N9WJDKF</v>
      </c>
    </row>
    <row r="236">
      <c r="A236" s="6">
        <f>IFERROR(__xludf.DUMMYFUNCTION("""COMPUTED_VALUE"""),44941.0)</f>
        <v>44941</v>
      </c>
      <c r="B236">
        <f>IFERROR(__xludf.DUMMYFUNCTION("""COMPUTED_VALUE"""),24920.0)</f>
        <v>24920</v>
      </c>
      <c r="C236" t="str">
        <f>IFERROR(__xludf.DUMMYFUNCTION("""COMPUTED_VALUE"""),"PARKER IM Ballpoint Pen | Matte Black with Black Trim | Medium Point with Blue Ink Refill | Gift Box")</f>
        <v>PARKER IM Ballpoint Pen | Matte Black with Black Trim | Medium Point with Blue Ink Refill | Gift Box</v>
      </c>
      <c r="D236" t="str">
        <f>IFERROR(__xludf.DUMMYFUNCTION("""COMPUTED_VALUE"""),"B08LDMP19M")</f>
        <v>B08LDMP19M</v>
      </c>
      <c r="E236" t="str">
        <f>IFERROR(__xludf.DUMMYFUNCTION("""COMPUTED_VALUE"""),"3026981276187")</f>
        <v>3026981276187</v>
      </c>
      <c r="F236">
        <f>IFERROR(__xludf.DUMMYFUNCTION("""COMPUTED_VALUE"""),200.0)</f>
        <v>200</v>
      </c>
      <c r="G236">
        <f>IFERROR(__xludf.DUMMYFUNCTION("""COMPUTED_VALUE"""),10000.0)</f>
        <v>10000</v>
      </c>
      <c r="H236" s="2">
        <f>IFERROR(__xludf.DUMMYFUNCTION("""COMPUTED_VALUE"""),16.0)</f>
        <v>16</v>
      </c>
      <c r="I236" s="2">
        <f>IFERROR(__xludf.DUMMYFUNCTION("""COMPUTED_VALUE"""),19.55)</f>
        <v>19.55</v>
      </c>
      <c r="J236" s="2">
        <f>IFERROR(__xludf.DUMMYFUNCTION("""COMPUTED_VALUE"""),3.5500000000000007)</f>
        <v>3.55</v>
      </c>
      <c r="K236" s="5">
        <f>IFERROR(__xludf.DUMMYFUNCTION("""COMPUTED_VALUE"""),0.22187500000000004)</f>
        <v>0.221875</v>
      </c>
      <c r="L236">
        <f>IFERROR(__xludf.DUMMYFUNCTION("""COMPUTED_VALUE"""),6718.0)</f>
        <v>6718</v>
      </c>
      <c r="M236" t="str">
        <f>IFERROR(__xludf.DUMMYFUNCTION("""COMPUTED_VALUE"""),"Office Product")</f>
        <v>Office Product</v>
      </c>
      <c r="O236" t="str">
        <f>IFERROR(__xludf.DUMMYFUNCTION("""COMPUTED_VALUE"""),"Y")</f>
        <v>Y</v>
      </c>
      <c r="P236" s="1" t="str">
        <f>IFERROR(__xludf.DUMMYFUNCTION("""COMPUTED_VALUE"""),"ID 24920")</f>
        <v>ID 24920</v>
      </c>
      <c r="Q236" s="1" t="str">
        <f>IFERROR(__xludf.DUMMYFUNCTION("""COMPUTED_VALUE"""),"B08LDMP19M")</f>
        <v>B08LDMP19M</v>
      </c>
    </row>
    <row r="237">
      <c r="A237" s="6">
        <f>IFERROR(__xludf.DUMMYFUNCTION("""COMPUTED_VALUE"""),44811.0)</f>
        <v>44811</v>
      </c>
      <c r="B237">
        <f>IFERROR(__xludf.DUMMYFUNCTION("""COMPUTED_VALUE"""),22405.0)</f>
        <v>22405</v>
      </c>
      <c r="C237" t="str">
        <f>IFERROR(__xludf.DUMMYFUNCTION("""COMPUTED_VALUE"""),"8-Inch Replacement Drum Glass Shade -7-7/8-Inch Fitter Opening")</f>
        <v>8-Inch Replacement Drum Glass Shade -7-7/8-Inch Fitter Opening</v>
      </c>
      <c r="D237" t="str">
        <f>IFERROR(__xludf.DUMMYFUNCTION("""COMPUTED_VALUE"""),"B001EBAIRO")</f>
        <v>B001EBAIRO</v>
      </c>
      <c r="E237" t="str">
        <f>IFERROR(__xludf.DUMMYFUNCTION("""COMPUTED_VALUE"""),"045923501067")</f>
        <v>045923501067</v>
      </c>
      <c r="F237">
        <f>IFERROR(__xludf.DUMMYFUNCTION("""COMPUTED_VALUE"""),126.0)</f>
        <v>126</v>
      </c>
      <c r="G237">
        <f>IFERROR(__xludf.DUMMYFUNCTION("""COMPUTED_VALUE"""),1000.0)</f>
        <v>1000</v>
      </c>
      <c r="H237" s="2">
        <f>IFERROR(__xludf.DUMMYFUNCTION("""COMPUTED_VALUE"""),10.75)</f>
        <v>10.75</v>
      </c>
      <c r="I237" s="2">
        <f>IFERROR(__xludf.DUMMYFUNCTION("""COMPUTED_VALUE"""),14.27)</f>
        <v>14.27</v>
      </c>
      <c r="J237" s="2">
        <f>IFERROR(__xludf.DUMMYFUNCTION("""COMPUTED_VALUE"""),3.5199999999999996)</f>
        <v>3.52</v>
      </c>
      <c r="K237" s="5">
        <f>IFERROR(__xludf.DUMMYFUNCTION("""COMPUTED_VALUE"""),0.32744186046511625)</f>
        <v>0.3274418605</v>
      </c>
      <c r="L237">
        <f>IFERROR(__xludf.DUMMYFUNCTION("""COMPUTED_VALUE"""),85155.0)</f>
        <v>85155</v>
      </c>
      <c r="M237" t="str">
        <f>IFERROR(__xludf.DUMMYFUNCTION("""COMPUTED_VALUE"""),"Lighting")</f>
        <v>Lighting</v>
      </c>
      <c r="O237" t="str">
        <f>IFERROR(__xludf.DUMMYFUNCTION("""COMPUTED_VALUE"""),"N")</f>
        <v>N</v>
      </c>
      <c r="P237" s="1" t="str">
        <f>IFERROR(__xludf.DUMMYFUNCTION("""COMPUTED_VALUE"""),"ID 22405")</f>
        <v>ID 22405</v>
      </c>
      <c r="Q237" s="1" t="str">
        <f>IFERROR(__xludf.DUMMYFUNCTION("""COMPUTED_VALUE"""),"B001EBAIRO")</f>
        <v>B001EBAIRO</v>
      </c>
    </row>
    <row r="238">
      <c r="A238" s="6">
        <f>IFERROR(__xludf.DUMMYFUNCTION("""COMPUTED_VALUE"""),44785.0)</f>
        <v>44785</v>
      </c>
      <c r="B238">
        <f>IFERROR(__xludf.DUMMYFUNCTION("""COMPUTED_VALUE"""),24690.0)</f>
        <v>24690</v>
      </c>
      <c r="C238" t="str">
        <f>IFERROR(__xludf.DUMMYFUNCTION("""COMPUTED_VALUE"""),"Tulip ColorShot Instant Fabric Color Interior Upholstery Spray 8 oz - Ocean")</f>
        <v>Tulip ColorShot Instant Fabric Color Interior Upholstery Spray 8 oz - Ocean</v>
      </c>
      <c r="D238" t="str">
        <f>IFERROR(__xludf.DUMMYFUNCTION("""COMPUTED_VALUE"""),"B072NBZPFQ")</f>
        <v>B072NBZPFQ</v>
      </c>
      <c r="E238" t="str">
        <f>IFERROR(__xludf.DUMMYFUNCTION("""COMPUTED_VALUE"""),"17754371324")</f>
        <v>17754371324</v>
      </c>
      <c r="F238">
        <f>IFERROR(__xludf.DUMMYFUNCTION("""COMPUTED_VALUE"""),348.0)</f>
        <v>348</v>
      </c>
      <c r="G238">
        <f>IFERROR(__xludf.DUMMYFUNCTION("""COMPUTED_VALUE"""),348.0)</f>
        <v>348</v>
      </c>
      <c r="H238" s="2">
        <f>IFERROR(__xludf.DUMMYFUNCTION("""COMPUTED_VALUE"""),5.75)</f>
        <v>5.75</v>
      </c>
      <c r="I238" s="2">
        <f>IFERROR(__xludf.DUMMYFUNCTION("""COMPUTED_VALUE"""),9.26)</f>
        <v>9.26</v>
      </c>
      <c r="J238" s="2">
        <f>IFERROR(__xludf.DUMMYFUNCTION("""COMPUTED_VALUE"""),3.51)</f>
        <v>3.51</v>
      </c>
      <c r="K238" s="5">
        <f>IFERROR(__xludf.DUMMYFUNCTION("""COMPUTED_VALUE"""),0.6104347826086957)</f>
        <v>0.6104347826</v>
      </c>
      <c r="L238">
        <f>IFERROR(__xludf.DUMMYFUNCTION("""COMPUTED_VALUE"""),11081.0)</f>
        <v>11081</v>
      </c>
      <c r="M238" t="str">
        <f>IFERROR(__xludf.DUMMYFUNCTION("""COMPUTED_VALUE"""),"Art and Craft Supply")</f>
        <v>Art and Craft Supply</v>
      </c>
      <c r="O238" t="str">
        <f>IFERROR(__xludf.DUMMYFUNCTION("""COMPUTED_VALUE"""),"N")</f>
        <v>N</v>
      </c>
      <c r="P238" s="1" t="str">
        <f>IFERROR(__xludf.DUMMYFUNCTION("""COMPUTED_VALUE"""),"ID 24690")</f>
        <v>ID 24690</v>
      </c>
      <c r="Q238" s="1" t="str">
        <f>IFERROR(__xludf.DUMMYFUNCTION("""COMPUTED_VALUE"""),"B072NBZPFQ")</f>
        <v>B072NBZPFQ</v>
      </c>
    </row>
    <row r="239">
      <c r="A239" s="6">
        <f>IFERROR(__xludf.DUMMYFUNCTION("""COMPUTED_VALUE"""),44941.0)</f>
        <v>44941</v>
      </c>
      <c r="B239">
        <f>IFERROR(__xludf.DUMMYFUNCTION("""COMPUTED_VALUE"""),19339.0)</f>
        <v>19339</v>
      </c>
      <c r="C239" t="str">
        <f>IFERROR(__xludf.DUMMYFUNCTION("""COMPUTED_VALUE"""),"Elmer's Washable Color Glue, Blue, 5 Ounces, Great for Making Slime")</f>
        <v>Elmer's Washable Color Glue, Blue, 5 Ounces, Great for Making Slime</v>
      </c>
      <c r="D239" t="str">
        <f>IFERROR(__xludf.DUMMYFUNCTION("""COMPUTED_VALUE"""),"B078WF5X2C")</f>
        <v>B078WF5X2C</v>
      </c>
      <c r="E239" t="str">
        <f>IFERROR(__xludf.DUMMYFUNCTION("""COMPUTED_VALUE"""),"26000182263")</f>
        <v>26000182263</v>
      </c>
      <c r="F239">
        <f>IFERROR(__xludf.DUMMYFUNCTION("""COMPUTED_VALUE"""),3690.0)</f>
        <v>3690</v>
      </c>
      <c r="G239">
        <f>IFERROR(__xludf.DUMMYFUNCTION("""COMPUTED_VALUE"""),63606.0)</f>
        <v>63606</v>
      </c>
      <c r="H239" s="2">
        <f>IFERROR(__xludf.DUMMYFUNCTION("""COMPUTED_VALUE"""),1.0)</f>
        <v>1</v>
      </c>
      <c r="I239" s="2">
        <f>IFERROR(__xludf.DUMMYFUNCTION("""COMPUTED_VALUE"""),4.5)</f>
        <v>4.5</v>
      </c>
      <c r="J239" s="2">
        <f>IFERROR(__xludf.DUMMYFUNCTION("""COMPUTED_VALUE"""),3.5)</f>
        <v>3.5</v>
      </c>
      <c r="K239" s="5">
        <f>IFERROR(__xludf.DUMMYFUNCTION("""COMPUTED_VALUE"""),3.5)</f>
        <v>3.5</v>
      </c>
      <c r="L239">
        <f>IFERROR(__xludf.DUMMYFUNCTION("""COMPUTED_VALUE"""),78070.0)</f>
        <v>78070</v>
      </c>
      <c r="M239" t="str">
        <f>IFERROR(__xludf.DUMMYFUNCTION("""COMPUTED_VALUE"""),"Office Product")</f>
        <v>Office Product</v>
      </c>
      <c r="O239" t="str">
        <f>IFERROR(__xludf.DUMMYFUNCTION("""COMPUTED_VALUE"""),"N")</f>
        <v>N</v>
      </c>
      <c r="P239" s="1" t="str">
        <f>IFERROR(__xludf.DUMMYFUNCTION("""COMPUTED_VALUE"""),"ID 19339")</f>
        <v>ID 19339</v>
      </c>
      <c r="Q239" s="1" t="str">
        <f>IFERROR(__xludf.DUMMYFUNCTION("""COMPUTED_VALUE"""),"B078WF5X2C")</f>
        <v>B078WF5X2C</v>
      </c>
    </row>
    <row r="240">
      <c r="A240" s="6">
        <f>IFERROR(__xludf.DUMMYFUNCTION("""COMPUTED_VALUE"""),44411.0)</f>
        <v>44411</v>
      </c>
      <c r="B240">
        <f>IFERROR(__xludf.DUMMYFUNCTION("""COMPUTED_VALUE"""),20493.0)</f>
        <v>20493</v>
      </c>
      <c r="C240" t="str">
        <f>IFERROR(__xludf.DUMMYFUNCTION("""COMPUTED_VALUE"""),"Dritz Care &amp; Repair Safety Pins 50/Pkg, Assorted")</f>
        <v>Dritz Care &amp; Repair Safety Pins 50/Pkg, Assorted</v>
      </c>
      <c r="D240" t="str">
        <f>IFERROR(__xludf.DUMMYFUNCTION("""COMPUTED_VALUE"""),"B000GBRP4M")</f>
        <v>B000GBRP4M</v>
      </c>
      <c r="E240" t="str">
        <f>IFERROR(__xludf.DUMMYFUNCTION("""COMPUTED_VALUE"""),"72879096002")</f>
        <v>72879096002</v>
      </c>
      <c r="F240">
        <f>IFERROR(__xludf.DUMMYFUNCTION("""COMPUTED_VALUE"""),1340.0)</f>
        <v>1340</v>
      </c>
      <c r="G240">
        <f>IFERROR(__xludf.DUMMYFUNCTION("""COMPUTED_VALUE"""),3168.0)</f>
        <v>3168</v>
      </c>
      <c r="H240" s="2">
        <f>IFERROR(__xludf.DUMMYFUNCTION("""COMPUTED_VALUE"""),1.0)</f>
        <v>1</v>
      </c>
      <c r="I240" s="2">
        <f>IFERROR(__xludf.DUMMYFUNCTION("""COMPUTED_VALUE"""),4.5)</f>
        <v>4.5</v>
      </c>
      <c r="J240" s="2">
        <f>IFERROR(__xludf.DUMMYFUNCTION("""COMPUTED_VALUE"""),3.5)</f>
        <v>3.5</v>
      </c>
      <c r="K240" s="5">
        <f>IFERROR(__xludf.DUMMYFUNCTION("""COMPUTED_VALUE"""),3.5)</f>
        <v>3.5</v>
      </c>
      <c r="L240">
        <f>IFERROR(__xludf.DUMMYFUNCTION("""COMPUTED_VALUE"""),73689.0)</f>
        <v>73689</v>
      </c>
      <c r="M240" t="str">
        <f>IFERROR(__xludf.DUMMYFUNCTION("""COMPUTED_VALUE"""),"Art and Craft Supply")</f>
        <v>Art and Craft Supply</v>
      </c>
      <c r="N240" t="str">
        <f>IFERROR(__xludf.DUMMYFUNCTION("""COMPUTED_VALUE"""),"Brand permission to resell on amazon unknown")</f>
        <v>Brand permission to resell on amazon unknown</v>
      </c>
      <c r="O240" t="str">
        <f>IFERROR(__xludf.DUMMYFUNCTION("""COMPUTED_VALUE"""),"N")</f>
        <v>N</v>
      </c>
      <c r="P240" s="1" t="str">
        <f>IFERROR(__xludf.DUMMYFUNCTION("""COMPUTED_VALUE"""),"ID 20493")</f>
        <v>ID 20493</v>
      </c>
      <c r="Q240" s="1" t="str">
        <f>IFERROR(__xludf.DUMMYFUNCTION("""COMPUTED_VALUE"""),"B000GBRP4M")</f>
        <v>B000GBRP4M</v>
      </c>
    </row>
    <row r="241">
      <c r="A241" s="6">
        <f>IFERROR(__xludf.DUMMYFUNCTION("""COMPUTED_VALUE"""),44558.0)</f>
        <v>44558</v>
      </c>
      <c r="B241">
        <f>IFERROR(__xludf.DUMMYFUNCTION("""COMPUTED_VALUE"""),19560.0)</f>
        <v>19560</v>
      </c>
      <c r="C241" t="str">
        <f>IFERROR(__xludf.DUMMYFUNCTION("""COMPUTED_VALUE"""),"Five Star Advance Spiral Notebook, 1 Subject, College Ruled Paper, 100 Sheets, 11"" x 8-1/2"", Blue (72886)")</f>
        <v>Five Star Advance Spiral Notebook, 1 Subject, College Ruled Paper, 100 Sheets, 11" x 8-1/2", Blue (72886)</v>
      </c>
      <c r="D241" t="str">
        <f>IFERROR(__xludf.DUMMYFUNCTION("""COMPUTED_VALUE"""),"B00X7X1O8O")</f>
        <v>B00X7X1O8O</v>
      </c>
      <c r="E241" t="str">
        <f>IFERROR(__xludf.DUMMYFUNCTION("""COMPUTED_VALUE"""),"43100728863")</f>
        <v>43100728863</v>
      </c>
      <c r="F241">
        <f>IFERROR(__xludf.DUMMYFUNCTION("""COMPUTED_VALUE"""),981.0)</f>
        <v>981</v>
      </c>
      <c r="G241">
        <f>IFERROR(__xludf.DUMMYFUNCTION("""COMPUTED_VALUE"""),5000.0)</f>
        <v>5000</v>
      </c>
      <c r="H241" s="2">
        <f>IFERROR(__xludf.DUMMYFUNCTION("""COMPUTED_VALUE"""),2.5)</f>
        <v>2.5</v>
      </c>
      <c r="I241" s="2">
        <f>IFERROR(__xludf.DUMMYFUNCTION("""COMPUTED_VALUE"""),6.0)</f>
        <v>6</v>
      </c>
      <c r="J241" s="2">
        <f>IFERROR(__xludf.DUMMYFUNCTION("""COMPUTED_VALUE"""),3.5)</f>
        <v>3.5</v>
      </c>
      <c r="K241" s="5">
        <f>IFERROR(__xludf.DUMMYFUNCTION("""COMPUTED_VALUE"""),1.4)</f>
        <v>1.4</v>
      </c>
      <c r="L241">
        <f>IFERROR(__xludf.DUMMYFUNCTION("""COMPUTED_VALUE"""),90351.0)</f>
        <v>90351</v>
      </c>
      <c r="M241" t="str">
        <f>IFERROR(__xludf.DUMMYFUNCTION("""COMPUTED_VALUE"""),"Office Product")</f>
        <v>Office Product</v>
      </c>
      <c r="N241" t="str">
        <f>IFERROR(__xludf.DUMMYFUNCTION("""COMPUTED_VALUE"""),"Promo: OSMI")</f>
        <v>Promo: OSMI</v>
      </c>
      <c r="O241" t="str">
        <f>IFERROR(__xludf.DUMMYFUNCTION("""COMPUTED_VALUE"""),"N")</f>
        <v>N</v>
      </c>
      <c r="P241" s="1" t="str">
        <f>IFERROR(__xludf.DUMMYFUNCTION("""COMPUTED_VALUE"""),"ID 19560")</f>
        <v>ID 19560</v>
      </c>
      <c r="Q241" s="1" t="str">
        <f>IFERROR(__xludf.DUMMYFUNCTION("""COMPUTED_VALUE"""),"B00X7X1O8O")</f>
        <v>B00X7X1O8O</v>
      </c>
    </row>
    <row r="242">
      <c r="A242" s="6">
        <f>IFERROR(__xludf.DUMMYFUNCTION("""COMPUTED_VALUE"""),45425.0)</f>
        <v>45425</v>
      </c>
      <c r="B242">
        <f>IFERROR(__xludf.DUMMYFUNCTION("""COMPUTED_VALUE"""),11902.0)</f>
        <v>11902</v>
      </c>
      <c r="C242" t="str">
        <f>IFERROR(__xludf.DUMMYFUNCTION("""COMPUTED_VALUE"""),"ChapStick Total Hydration (Coral Blush Tint, 1 Blister Pack of 1 Stick) Tinted Moisturizer, 100% Natural Lip Color and Lip Treatment, 0.12 Ounce")</f>
        <v>ChapStick Total Hydration (Coral Blush Tint, 1 Blister Pack of 1 Stick) Tinted Moisturizer, 100% Natural Lip Color and Lip Treatment, 0.12 Ounce</v>
      </c>
      <c r="D242" t="str">
        <f>IFERROR(__xludf.DUMMYFUNCTION("""COMPUTED_VALUE"""),"B01LC0IPRG")</f>
        <v>B01LC0IPRG</v>
      </c>
      <c r="E242" t="str">
        <f>IFERROR(__xludf.DUMMYFUNCTION("""COMPUTED_VALUE"""),"305731969016")</f>
        <v>305731969016</v>
      </c>
      <c r="F242">
        <f>IFERROR(__xludf.DUMMYFUNCTION("""COMPUTED_VALUE"""),216.0)</f>
        <v>216</v>
      </c>
      <c r="G242">
        <f>IFERROR(__xludf.DUMMYFUNCTION("""COMPUTED_VALUE"""),432.0)</f>
        <v>432</v>
      </c>
      <c r="H242" s="2">
        <f>IFERROR(__xludf.DUMMYFUNCTION("""COMPUTED_VALUE"""),7.25)</f>
        <v>7.25</v>
      </c>
      <c r="I242" s="2">
        <f>IFERROR(__xludf.DUMMYFUNCTION("""COMPUTED_VALUE"""),10.74)</f>
        <v>10.74</v>
      </c>
      <c r="J242" s="2">
        <f>IFERROR(__xludf.DUMMYFUNCTION("""COMPUTED_VALUE"""),3.49)</f>
        <v>3.49</v>
      </c>
      <c r="K242" s="5">
        <f>IFERROR(__xludf.DUMMYFUNCTION("""COMPUTED_VALUE"""),0.4813793103448276)</f>
        <v>0.4813793103</v>
      </c>
      <c r="L242">
        <f>IFERROR(__xludf.DUMMYFUNCTION("""COMPUTED_VALUE"""),5435.0)</f>
        <v>5435</v>
      </c>
      <c r="M242" t="str">
        <f>IFERROR(__xludf.DUMMYFUNCTION("""COMPUTED_VALUE"""),"Health and Beauty")</f>
        <v>Health and Beauty</v>
      </c>
      <c r="N242" t="str">
        <f>IFERROR(__xludf.DUMMYFUNCTION("""COMPUTED_VALUE"""),"XP 2/28/25")</f>
        <v>XP 2/28/25</v>
      </c>
      <c r="O242" t="str">
        <f>IFERROR(__xludf.DUMMYFUNCTION("""COMPUTED_VALUE"""),"N")</f>
        <v>N</v>
      </c>
      <c r="P242" s="1" t="str">
        <f>IFERROR(__xludf.DUMMYFUNCTION("""COMPUTED_VALUE"""),"ID 11902")</f>
        <v>ID 11902</v>
      </c>
      <c r="Q242" s="1" t="str">
        <f>IFERROR(__xludf.DUMMYFUNCTION("""COMPUTED_VALUE"""),"B01LC0IPRG")</f>
        <v>B01LC0IPRG</v>
      </c>
    </row>
    <row r="243">
      <c r="A243" s="6">
        <f>IFERROR(__xludf.DUMMYFUNCTION("""COMPUTED_VALUE"""),45259.0)</f>
        <v>45259</v>
      </c>
      <c r="B243">
        <f>IFERROR(__xludf.DUMMYFUNCTION("""COMPUTED_VALUE"""),16013.0)</f>
        <v>16013</v>
      </c>
      <c r="C243" t="str">
        <f>IFERROR(__xludf.DUMMYFUNCTION("""COMPUTED_VALUE"""),"Tootsie Roll Mini Bites Candy Coated Chews Movie Theater Box, 3.5 oz (Pack of 3)")</f>
        <v>Tootsie Roll Mini Bites Candy Coated Chews Movie Theater Box, 3.5 oz (Pack of 3)</v>
      </c>
      <c r="D243" t="str">
        <f>IFERROR(__xludf.DUMMYFUNCTION("""COMPUTED_VALUE"""),"B07NBPMNK8")</f>
        <v>B07NBPMNK8</v>
      </c>
      <c r="E243" t="str">
        <f>IFERROR(__xludf.DUMMYFUNCTION("""COMPUTED_VALUE"""),"071720220511")</f>
        <v>071720220511</v>
      </c>
      <c r="F243">
        <f>IFERROR(__xludf.DUMMYFUNCTION("""COMPUTED_VALUE"""),376.0)</f>
        <v>376</v>
      </c>
      <c r="G243">
        <f>IFERROR(__xludf.DUMMYFUNCTION("""COMPUTED_VALUE"""),1532.0)</f>
        <v>1532</v>
      </c>
      <c r="H243" s="2">
        <f>IFERROR(__xludf.DUMMYFUNCTION("""COMPUTED_VALUE"""),3.25)</f>
        <v>3.25</v>
      </c>
      <c r="I243" s="2">
        <f>IFERROR(__xludf.DUMMYFUNCTION("""COMPUTED_VALUE"""),6.73)</f>
        <v>6.73</v>
      </c>
      <c r="J243" s="2">
        <f>IFERROR(__xludf.DUMMYFUNCTION("""COMPUTED_VALUE"""),3.4800000000000004)</f>
        <v>3.48</v>
      </c>
      <c r="K243" s="5">
        <f>IFERROR(__xludf.DUMMYFUNCTION("""COMPUTED_VALUE"""),1.070769230769231)</f>
        <v>1.070769231</v>
      </c>
      <c r="L243">
        <f>IFERROR(__xludf.DUMMYFUNCTION("""COMPUTED_VALUE"""),67023.0)</f>
        <v>67023</v>
      </c>
      <c r="M243" t="str">
        <f>IFERROR(__xludf.DUMMYFUNCTION("""COMPUTED_VALUE"""),"Grocery")</f>
        <v>Grocery</v>
      </c>
      <c r="N243" t="str">
        <f>IFERROR(__xludf.DUMMYFUNCTION("""COMPUTED_VALUE"""),"UOM: 3 single units. Bundling &amp; other prep buyers responsibility")</f>
        <v>UOM: 3 single units. Bundling &amp; other prep buyers responsibility</v>
      </c>
      <c r="O243" t="str">
        <f>IFERROR(__xludf.DUMMYFUNCTION("""COMPUTED_VALUE"""),"N")</f>
        <v>N</v>
      </c>
      <c r="P243" s="1" t="str">
        <f>IFERROR(__xludf.DUMMYFUNCTION("""COMPUTED_VALUE"""),"ID 16013")</f>
        <v>ID 16013</v>
      </c>
      <c r="Q243" s="1" t="str">
        <f>IFERROR(__xludf.DUMMYFUNCTION("""COMPUTED_VALUE"""),"B07NBPMNK8")</f>
        <v>B07NBPMNK8</v>
      </c>
    </row>
    <row r="244">
      <c r="A244" s="6">
        <f>IFERROR(__xludf.DUMMYFUNCTION("""COMPUTED_VALUE"""),43994.0)</f>
        <v>43994</v>
      </c>
      <c r="B244">
        <f>IFERROR(__xludf.DUMMYFUNCTION("""COMPUTED_VALUE"""),15005.0)</f>
        <v>15005</v>
      </c>
      <c r="C244" t="str">
        <f>IFERROR(__xludf.DUMMYFUNCTION("""COMPUTED_VALUE"""),"Revlon Super Lustrous Lipstick, Nude Attitude")</f>
        <v>Revlon Super Lustrous Lipstick, Nude Attitude</v>
      </c>
      <c r="D244" t="str">
        <f>IFERROR(__xludf.DUMMYFUNCTION("""COMPUTED_VALUE"""),"B01EUPD4H6")</f>
        <v>B01EUPD4H6</v>
      </c>
      <c r="E244" t="str">
        <f>IFERROR(__xludf.DUMMYFUNCTION("""COMPUTED_VALUE"""),"309971415012")</f>
        <v>309971415012</v>
      </c>
      <c r="F244">
        <f>IFERROR(__xludf.DUMMYFUNCTION("""COMPUTED_VALUE"""),864.0)</f>
        <v>864</v>
      </c>
      <c r="G244">
        <f>IFERROR(__xludf.DUMMYFUNCTION("""COMPUTED_VALUE"""),1440.0)</f>
        <v>1440</v>
      </c>
      <c r="H244" s="2">
        <f>IFERROR(__xludf.DUMMYFUNCTION("""COMPUTED_VALUE"""),1.5)</f>
        <v>1.5</v>
      </c>
      <c r="I244" s="2">
        <f>IFERROR(__xludf.DUMMYFUNCTION("""COMPUTED_VALUE"""),4.97)</f>
        <v>4.97</v>
      </c>
      <c r="J244" s="2">
        <f>IFERROR(__xludf.DUMMYFUNCTION("""COMPUTED_VALUE"""),3.4699999999999998)</f>
        <v>3.47</v>
      </c>
      <c r="K244" s="5">
        <f>IFERROR(__xludf.DUMMYFUNCTION("""COMPUTED_VALUE"""),2.313333333333333)</f>
        <v>2.313333333</v>
      </c>
      <c r="L244">
        <f>IFERROR(__xludf.DUMMYFUNCTION("""COMPUTED_VALUE"""),272.0)</f>
        <v>272</v>
      </c>
      <c r="M244" t="str">
        <f>IFERROR(__xludf.DUMMYFUNCTION("""COMPUTED_VALUE"""),"Beauty")</f>
        <v>Beauty</v>
      </c>
      <c r="O244" t="str">
        <f>IFERROR(__xludf.DUMMYFUNCTION("""COMPUTED_VALUE"""),"N")</f>
        <v>N</v>
      </c>
      <c r="P244" s="1" t="str">
        <f>IFERROR(__xludf.DUMMYFUNCTION("""COMPUTED_VALUE"""),"ID 15005")</f>
        <v>ID 15005</v>
      </c>
      <c r="Q244" s="1" t="str">
        <f>IFERROR(__xludf.DUMMYFUNCTION("""COMPUTED_VALUE"""),"B01EUPD4H6")</f>
        <v>B01EUPD4H6</v>
      </c>
    </row>
    <row r="245">
      <c r="A245" s="6">
        <f>IFERROR(__xludf.DUMMYFUNCTION("""COMPUTED_VALUE"""),44903.0)</f>
        <v>44903</v>
      </c>
      <c r="B245">
        <f>IFERROR(__xludf.DUMMYFUNCTION("""COMPUTED_VALUE"""),16811.0)</f>
        <v>16811</v>
      </c>
      <c r="C245" t="str">
        <f>IFERROR(__xludf.DUMMYFUNCTION("""COMPUTED_VALUE"""),"Nautica Classic by Nautica Eau De Toilette Spray 3.4 OZ")</f>
        <v>Nautica Classic by Nautica Eau De Toilette Spray 3.4 OZ</v>
      </c>
      <c r="D245" t="str">
        <f>IFERROR(__xludf.DUMMYFUNCTION("""COMPUTED_VALUE"""),"B00023IXMW")</f>
        <v>B00023IXMW</v>
      </c>
      <c r="E245" t="str">
        <f>IFERROR(__xludf.DUMMYFUNCTION("""COMPUTED_VALUE"""),"3661163904016")</f>
        <v>3661163904016</v>
      </c>
      <c r="F245">
        <f>IFERROR(__xludf.DUMMYFUNCTION("""COMPUTED_VALUE"""),150.0)</f>
        <v>150</v>
      </c>
      <c r="G245">
        <f>IFERROR(__xludf.DUMMYFUNCTION("""COMPUTED_VALUE"""),1000.0)</f>
        <v>1000</v>
      </c>
      <c r="H245" s="2">
        <f>IFERROR(__xludf.DUMMYFUNCTION("""COMPUTED_VALUE"""),10.0)</f>
        <v>10</v>
      </c>
      <c r="I245" s="2">
        <f>IFERROR(__xludf.DUMMYFUNCTION("""COMPUTED_VALUE"""),13.47)</f>
        <v>13.47</v>
      </c>
      <c r="J245" s="2">
        <f>IFERROR(__xludf.DUMMYFUNCTION("""COMPUTED_VALUE"""),3.4700000000000006)</f>
        <v>3.47</v>
      </c>
      <c r="K245" s="5">
        <f>IFERROR(__xludf.DUMMYFUNCTION("""COMPUTED_VALUE"""),0.3470000000000001)</f>
        <v>0.347</v>
      </c>
      <c r="L245">
        <f>IFERROR(__xludf.DUMMYFUNCTION("""COMPUTED_VALUE"""),86241.0)</f>
        <v>86241</v>
      </c>
      <c r="M245" t="str">
        <f>IFERROR(__xludf.DUMMYFUNCTION("""COMPUTED_VALUE"""),"Beauty")</f>
        <v>Beauty</v>
      </c>
      <c r="O245" t="str">
        <f>IFERROR(__xludf.DUMMYFUNCTION("""COMPUTED_VALUE"""),"N")</f>
        <v>N</v>
      </c>
      <c r="P245" s="1" t="str">
        <f>IFERROR(__xludf.DUMMYFUNCTION("""COMPUTED_VALUE"""),"ID 16811")</f>
        <v>ID 16811</v>
      </c>
      <c r="Q245" s="1" t="str">
        <f>IFERROR(__xludf.DUMMYFUNCTION("""COMPUTED_VALUE"""),"B00023IXMW")</f>
        <v>B00023IXMW</v>
      </c>
    </row>
    <row r="246">
      <c r="A246" s="6">
        <f>IFERROR(__xludf.DUMMYFUNCTION("""COMPUTED_VALUE"""),44278.0)</f>
        <v>44278</v>
      </c>
      <c r="B246">
        <f>IFERROR(__xludf.DUMMYFUNCTION("""COMPUTED_VALUE"""),19198.0)</f>
        <v>19198</v>
      </c>
      <c r="C246" t="str">
        <f>IFERROR(__xludf.DUMMYFUNCTION("""COMPUTED_VALUE"""),"NFL FOCO Kansas City Chiefs Neck Gaiter, One Size, Big Logo")</f>
        <v>NFL FOCO Kansas City Chiefs Neck Gaiter, One Size, Big Logo</v>
      </c>
      <c r="D246" t="str">
        <f>IFERROR(__xludf.DUMMYFUNCTION("""COMPUTED_VALUE"""),"B0872BQK9C")</f>
        <v>B0872BQK9C</v>
      </c>
      <c r="E246" t="str">
        <f>IFERROR(__xludf.DUMMYFUNCTION("""COMPUTED_VALUE"""),"194751392177")</f>
        <v>194751392177</v>
      </c>
      <c r="F246">
        <f>IFERROR(__xludf.DUMMYFUNCTION("""COMPUTED_VALUE"""),180.0)</f>
        <v>180</v>
      </c>
      <c r="G246">
        <f>IFERROR(__xludf.DUMMYFUNCTION("""COMPUTED_VALUE"""),60.0)</f>
        <v>60</v>
      </c>
      <c r="H246" s="2">
        <f>IFERROR(__xludf.DUMMYFUNCTION("""COMPUTED_VALUE"""),7.5)</f>
        <v>7.5</v>
      </c>
      <c r="I246" s="2">
        <f>IFERROR(__xludf.DUMMYFUNCTION("""COMPUTED_VALUE"""),10.96)</f>
        <v>10.96</v>
      </c>
      <c r="J246" s="2">
        <f>IFERROR(__xludf.DUMMYFUNCTION("""COMPUTED_VALUE"""),3.460000000000001)</f>
        <v>3.46</v>
      </c>
      <c r="K246" s="5">
        <f>IFERROR(__xludf.DUMMYFUNCTION("""COMPUTED_VALUE"""),0.46133333333333343)</f>
        <v>0.4613333333</v>
      </c>
      <c r="L246">
        <f>IFERROR(__xludf.DUMMYFUNCTION("""COMPUTED_VALUE"""),10236.0)</f>
        <v>10236</v>
      </c>
      <c r="M246" t="str">
        <f>IFERROR(__xludf.DUMMYFUNCTION("""COMPUTED_VALUE"""),"Apparel")</f>
        <v>Apparel</v>
      </c>
      <c r="N246" t="str">
        <f>IFERROR(__xludf.DUMMYFUNCTION("""COMPUTED_VALUE"""),"Restricted for online sales")</f>
        <v>Restricted for online sales</v>
      </c>
      <c r="O246" t="str">
        <f>IFERROR(__xludf.DUMMYFUNCTION("""COMPUTED_VALUE"""),"Y")</f>
        <v>Y</v>
      </c>
      <c r="P246" s="1" t="str">
        <f>IFERROR(__xludf.DUMMYFUNCTION("""COMPUTED_VALUE"""),"ID 19198")</f>
        <v>ID 19198</v>
      </c>
      <c r="Q246" s="1" t="str">
        <f>IFERROR(__xludf.DUMMYFUNCTION("""COMPUTED_VALUE"""),"B0872BQK9C")</f>
        <v>B0872BQK9C</v>
      </c>
    </row>
    <row r="247">
      <c r="A247" s="6">
        <f>IFERROR(__xludf.DUMMYFUNCTION("""COMPUTED_VALUE"""),45142.0)</f>
        <v>45142</v>
      </c>
      <c r="B247">
        <f>IFERROR(__xludf.DUMMYFUNCTION("""COMPUTED_VALUE"""),15974.0)</f>
        <v>15974</v>
      </c>
      <c r="C247" t="str">
        <f>IFERROR(__xludf.DUMMYFUNCTION("""COMPUTED_VALUE"""),"Eau d'Orange Verte by Hermes for Men 3.3 oz Eau de Cologne Spray")</f>
        <v>Eau d'Orange Verte by Hermes for Men 3.3 oz Eau de Cologne Spray</v>
      </c>
      <c r="D247" t="str">
        <f>IFERROR(__xludf.DUMMYFUNCTION("""COMPUTED_VALUE"""),"B000C1Z6B0")</f>
        <v>B000C1Z6B0</v>
      </c>
      <c r="E247" t="str">
        <f>IFERROR(__xludf.DUMMYFUNCTION("""COMPUTED_VALUE"""),"3346130490685")</f>
        <v>3346130490685</v>
      </c>
      <c r="F247">
        <f>IFERROR(__xludf.DUMMYFUNCTION("""COMPUTED_VALUE"""),30.0)</f>
        <v>30</v>
      </c>
      <c r="G247">
        <f>IFERROR(__xludf.DUMMYFUNCTION("""COMPUTED_VALUE"""),84.0)</f>
        <v>84</v>
      </c>
      <c r="H247" s="2">
        <f>IFERROR(__xludf.DUMMYFUNCTION("""COMPUTED_VALUE"""),59.0)</f>
        <v>59</v>
      </c>
      <c r="I247" s="2">
        <f>IFERROR(__xludf.DUMMYFUNCTION("""COMPUTED_VALUE"""),62.45)</f>
        <v>62.45</v>
      </c>
      <c r="J247" s="2">
        <f>IFERROR(__xludf.DUMMYFUNCTION("""COMPUTED_VALUE"""),3.450000000000003)</f>
        <v>3.45</v>
      </c>
      <c r="K247" s="5">
        <f>IFERROR(__xludf.DUMMYFUNCTION("""COMPUTED_VALUE"""),0.05847457627118649)</f>
        <v>0.05847457627</v>
      </c>
      <c r="L247">
        <f>IFERROR(__xludf.DUMMYFUNCTION("""COMPUTED_VALUE"""),58840.0)</f>
        <v>58840</v>
      </c>
      <c r="M247" t="str">
        <f>IFERROR(__xludf.DUMMYFUNCTION("""COMPUTED_VALUE"""),"Beauty")</f>
        <v>Beauty</v>
      </c>
      <c r="O247" t="str">
        <f>IFERROR(__xludf.DUMMYFUNCTION("""COMPUTED_VALUE"""),"Y")</f>
        <v>Y</v>
      </c>
      <c r="P247" s="1" t="str">
        <f>IFERROR(__xludf.DUMMYFUNCTION("""COMPUTED_VALUE"""),"ID 15974")</f>
        <v>ID 15974</v>
      </c>
      <c r="Q247" s="1" t="str">
        <f>IFERROR(__xludf.DUMMYFUNCTION("""COMPUTED_VALUE"""),"B000C1Z6B0")</f>
        <v>B000C1Z6B0</v>
      </c>
    </row>
    <row r="248">
      <c r="A248" s="6">
        <f>IFERROR(__xludf.DUMMYFUNCTION("""COMPUTED_VALUE"""),45259.0)</f>
        <v>45259</v>
      </c>
      <c r="B248">
        <f>IFERROR(__xludf.DUMMYFUNCTION("""COMPUTED_VALUE"""),19104.0)</f>
        <v>19104</v>
      </c>
      <c r="C248" t="str">
        <f>IFERROR(__xludf.DUMMYFUNCTION("""COMPUTED_VALUE"""),"Royal Instant Pudding Dessert Mix, Vanilla, Fat Free (12 - 1.85 oz Boxes)")</f>
        <v>Royal Instant Pudding Dessert Mix, Vanilla, Fat Free (12 - 1.85 oz Boxes)</v>
      </c>
      <c r="D248" t="str">
        <f>IFERROR(__xludf.DUMMYFUNCTION("""COMPUTED_VALUE"""),"B004B9O9XK")</f>
        <v>B004B9O9XK</v>
      </c>
      <c r="E248" t="str">
        <f>IFERROR(__xludf.DUMMYFUNCTION("""COMPUTED_VALUE"""),"072392009404")</f>
        <v>072392009404</v>
      </c>
      <c r="F248">
        <f>IFERROR(__xludf.DUMMYFUNCTION("""COMPUTED_VALUE"""),93.0)</f>
        <v>93</v>
      </c>
      <c r="G248">
        <f>IFERROR(__xludf.DUMMYFUNCTION("""COMPUTED_VALUE"""),93.0)</f>
        <v>93</v>
      </c>
      <c r="H248" s="2">
        <f>IFERROR(__xludf.DUMMYFUNCTION("""COMPUTED_VALUE"""),9.5)</f>
        <v>9.5</v>
      </c>
      <c r="I248" s="2">
        <f>IFERROR(__xludf.DUMMYFUNCTION("""COMPUTED_VALUE"""),12.93)</f>
        <v>12.93</v>
      </c>
      <c r="J248" s="2">
        <f>IFERROR(__xludf.DUMMYFUNCTION("""COMPUTED_VALUE"""),3.4299999999999997)</f>
        <v>3.43</v>
      </c>
      <c r="K248" s="5">
        <f>IFERROR(__xludf.DUMMYFUNCTION("""COMPUTED_VALUE"""),0.36105263157894735)</f>
        <v>0.3610526316</v>
      </c>
      <c r="L248">
        <f>IFERROR(__xludf.DUMMYFUNCTION("""COMPUTED_VALUE"""),5447.0)</f>
        <v>5447</v>
      </c>
      <c r="M248" t="str">
        <f>IFERROR(__xludf.DUMMYFUNCTION("""COMPUTED_VALUE"""),"Grocery")</f>
        <v>Grocery</v>
      </c>
      <c r="N248" t="str">
        <f>IFERROR(__xludf.DUMMYFUNCTION("""COMPUTED_VALUE"""),"UOM: 1 box of 12")</f>
        <v>UOM: 1 box of 12</v>
      </c>
      <c r="O248" t="str">
        <f>IFERROR(__xludf.DUMMYFUNCTION("""COMPUTED_VALUE"""),"Y")</f>
        <v>Y</v>
      </c>
      <c r="P248" s="1" t="str">
        <f>IFERROR(__xludf.DUMMYFUNCTION("""COMPUTED_VALUE"""),"ID 19104")</f>
        <v>ID 19104</v>
      </c>
      <c r="Q248" s="1" t="str">
        <f>IFERROR(__xludf.DUMMYFUNCTION("""COMPUTED_VALUE"""),"B004B9O9XK")</f>
        <v>B004B9O9XK</v>
      </c>
    </row>
    <row r="249">
      <c r="A249" s="6">
        <f>IFERROR(__xludf.DUMMYFUNCTION("""COMPUTED_VALUE"""),45421.0)</f>
        <v>45421</v>
      </c>
      <c r="B249">
        <f>IFERROR(__xludf.DUMMYFUNCTION("""COMPUTED_VALUE"""),25647.0)</f>
        <v>25647</v>
      </c>
      <c r="C249" t="str">
        <f>IFERROR(__xludf.DUMMYFUNCTION("""COMPUTED_VALUE"""),"The Original Chartpak AD Markers, Tri-Nib, 12 Assorted Basic Colors in Plastic Carrying Case, 1 Each (AD12SET)")</f>
        <v>The Original Chartpak AD Markers, Tri-Nib, 12 Assorted Basic Colors in Plastic Carrying Case, 1 Each (AD12SET)</v>
      </c>
      <c r="D249" t="str">
        <f>IFERROR(__xludf.DUMMYFUNCTION("""COMPUTED_VALUE"""),"B000HF2OUW")</f>
        <v>B000HF2OUW</v>
      </c>
      <c r="E249" t="str">
        <f>IFERROR(__xludf.DUMMYFUNCTION("""COMPUTED_VALUE"""),"014173168122")</f>
        <v>014173168122</v>
      </c>
      <c r="F249">
        <f>IFERROR(__xludf.DUMMYFUNCTION("""COMPUTED_VALUE"""),54.0)</f>
        <v>54</v>
      </c>
      <c r="G249">
        <f>IFERROR(__xludf.DUMMYFUNCTION("""COMPUTED_VALUE"""),10000.0)</f>
        <v>10000</v>
      </c>
      <c r="H249" s="2">
        <f>IFERROR(__xludf.DUMMYFUNCTION("""COMPUTED_VALUE"""),39.0)</f>
        <v>39</v>
      </c>
      <c r="I249" s="2">
        <f>IFERROR(__xludf.DUMMYFUNCTION("""COMPUTED_VALUE"""),42.43)</f>
        <v>42.43</v>
      </c>
      <c r="J249" s="2">
        <f>IFERROR(__xludf.DUMMYFUNCTION("""COMPUTED_VALUE"""),3.4299999999999997)</f>
        <v>3.43</v>
      </c>
      <c r="K249" s="5">
        <f>IFERROR(__xludf.DUMMYFUNCTION("""COMPUTED_VALUE"""),0.08794871794871795)</f>
        <v>0.08794871795</v>
      </c>
      <c r="L249">
        <f>IFERROR(__xludf.DUMMYFUNCTION("""COMPUTED_VALUE"""),99333.0)</f>
        <v>99333</v>
      </c>
      <c r="M249" t="str">
        <f>IFERROR(__xludf.DUMMYFUNCTION("""COMPUTED_VALUE"""),"Office Product")</f>
        <v>Office Product</v>
      </c>
      <c r="O249" t="str">
        <f>IFERROR(__xludf.DUMMYFUNCTION("""COMPUTED_VALUE"""),"Y")</f>
        <v>Y</v>
      </c>
      <c r="P249" s="1" t="str">
        <f>IFERROR(__xludf.DUMMYFUNCTION("""COMPUTED_VALUE"""),"ID 25647")</f>
        <v>ID 25647</v>
      </c>
      <c r="Q249" s="1" t="str">
        <f>IFERROR(__xludf.DUMMYFUNCTION("""COMPUTED_VALUE"""),"B000HF2OUW")</f>
        <v>B000HF2OUW</v>
      </c>
    </row>
    <row r="250">
      <c r="A250" s="6">
        <f>IFERROR(__xludf.DUMMYFUNCTION("""COMPUTED_VALUE"""),45195.0)</f>
        <v>45195</v>
      </c>
      <c r="B250">
        <f>IFERROR(__xludf.DUMMYFUNCTION("""COMPUTED_VALUE"""),22690.0)</f>
        <v>22690</v>
      </c>
      <c r="C250" t="str">
        <f>IFERROR(__xludf.DUMMYFUNCTION("""COMPUTED_VALUE"""),"Eros Flame by Versace for Men (3 Set)")</f>
        <v>Eros Flame by Versace for Men (3 Set)</v>
      </c>
      <c r="D250" t="str">
        <f>IFERROR(__xludf.DUMMYFUNCTION("""COMPUTED_VALUE"""),"B07QS7SW3G")</f>
        <v>B07QS7SW3G</v>
      </c>
      <c r="E250" t="str">
        <f>IFERROR(__xludf.DUMMYFUNCTION("""COMPUTED_VALUE"""),"8011003846634")</f>
        <v>8011003846634</v>
      </c>
      <c r="F250">
        <f>IFERROR(__xludf.DUMMYFUNCTION("""COMPUTED_VALUE"""),90.0)</f>
        <v>90</v>
      </c>
      <c r="G250">
        <f>IFERROR(__xludf.DUMMYFUNCTION("""COMPUTED_VALUE"""),10000.0)</f>
        <v>10000</v>
      </c>
      <c r="H250" s="2">
        <f>IFERROR(__xludf.DUMMYFUNCTION("""COMPUTED_VALUE"""),14.75)</f>
        <v>14.75</v>
      </c>
      <c r="I250" s="2">
        <f>IFERROR(__xludf.DUMMYFUNCTION("""COMPUTED_VALUE"""),18.17)</f>
        <v>18.17</v>
      </c>
      <c r="J250" s="2">
        <f>IFERROR(__xludf.DUMMYFUNCTION("""COMPUTED_VALUE"""),3.4200000000000017)</f>
        <v>3.42</v>
      </c>
      <c r="K250" s="5">
        <f>IFERROR(__xludf.DUMMYFUNCTION("""COMPUTED_VALUE"""),0.23186440677966114)</f>
        <v>0.2318644068</v>
      </c>
      <c r="L250">
        <f>IFERROR(__xludf.DUMMYFUNCTION("""COMPUTED_VALUE"""),63021.0)</f>
        <v>63021</v>
      </c>
      <c r="M250" t="str">
        <f>IFERROR(__xludf.DUMMYFUNCTION("""COMPUTED_VALUE"""),"Beauty")</f>
        <v>Beauty</v>
      </c>
      <c r="O250" t="str">
        <f>IFERROR(__xludf.DUMMYFUNCTION("""COMPUTED_VALUE"""),"N")</f>
        <v>N</v>
      </c>
      <c r="P250" s="1" t="str">
        <f>IFERROR(__xludf.DUMMYFUNCTION("""COMPUTED_VALUE"""),"ID 22690")</f>
        <v>ID 22690</v>
      </c>
      <c r="Q250" s="1" t="str">
        <f>IFERROR(__xludf.DUMMYFUNCTION("""COMPUTED_VALUE"""),"B07QS7SW3G")</f>
        <v>B07QS7SW3G</v>
      </c>
    </row>
    <row r="251">
      <c r="A251" s="6">
        <f>IFERROR(__xludf.DUMMYFUNCTION("""COMPUTED_VALUE"""),44458.0)</f>
        <v>44458</v>
      </c>
      <c r="B251">
        <f>IFERROR(__xludf.DUMMYFUNCTION("""COMPUTED_VALUE"""),19950.0)</f>
        <v>19950</v>
      </c>
      <c r="C251" t="str">
        <f>IFERROR(__xludf.DUMMYFUNCTION("""COMPUTED_VALUE"""),"Oxford Blank Index Cards, 4"" x 6"", White, 100 Per Pack (40156-SP)")</f>
        <v>Oxford Blank Index Cards, 4" x 6", White, 100 Per Pack (40156-SP)</v>
      </c>
      <c r="D251" t="str">
        <f>IFERROR(__xludf.DUMMYFUNCTION("""COMPUTED_VALUE"""),"B001NYAB1U")</f>
        <v>B001NYAB1U</v>
      </c>
      <c r="E251" t="str">
        <f>IFERROR(__xludf.DUMMYFUNCTION("""COMPUTED_VALUE"""),"078787401563")</f>
        <v>078787401563</v>
      </c>
      <c r="F251">
        <f>IFERROR(__xludf.DUMMYFUNCTION("""COMPUTED_VALUE"""),1500.0)</f>
        <v>1500</v>
      </c>
      <c r="G251">
        <f>IFERROR(__xludf.DUMMYFUNCTION("""COMPUTED_VALUE"""),5000.0)</f>
        <v>5000</v>
      </c>
      <c r="H251" s="2">
        <f>IFERROR(__xludf.DUMMYFUNCTION("""COMPUTED_VALUE"""),1.75)</f>
        <v>1.75</v>
      </c>
      <c r="I251" s="2">
        <f>IFERROR(__xludf.DUMMYFUNCTION("""COMPUTED_VALUE"""),5.16)</f>
        <v>5.16</v>
      </c>
      <c r="J251" s="2">
        <f>IFERROR(__xludf.DUMMYFUNCTION("""COMPUTED_VALUE"""),3.41)</f>
        <v>3.41</v>
      </c>
      <c r="K251" s="5">
        <f>IFERROR(__xludf.DUMMYFUNCTION("""COMPUTED_VALUE"""),1.9485714285714286)</f>
        <v>1.948571429</v>
      </c>
      <c r="L251">
        <f>IFERROR(__xludf.DUMMYFUNCTION("""COMPUTED_VALUE"""),51508.0)</f>
        <v>51508</v>
      </c>
      <c r="M251" t="str">
        <f>IFERROR(__xludf.DUMMYFUNCTION("""COMPUTED_VALUE"""),"Office Product")</f>
        <v>Office Product</v>
      </c>
      <c r="O251" t="str">
        <f>IFERROR(__xludf.DUMMYFUNCTION("""COMPUTED_VALUE"""),"Y")</f>
        <v>Y</v>
      </c>
      <c r="P251" s="1" t="str">
        <f>IFERROR(__xludf.DUMMYFUNCTION("""COMPUTED_VALUE"""),"ID 19950")</f>
        <v>ID 19950</v>
      </c>
      <c r="Q251" s="1" t="str">
        <f>IFERROR(__xludf.DUMMYFUNCTION("""COMPUTED_VALUE"""),"B001NYAB1U")</f>
        <v>B001NYAB1U</v>
      </c>
    </row>
    <row r="252">
      <c r="A252" s="6">
        <f>IFERROR(__xludf.DUMMYFUNCTION("""COMPUTED_VALUE"""),45428.0)</f>
        <v>45428</v>
      </c>
      <c r="B252">
        <f>IFERROR(__xludf.DUMMYFUNCTION("""COMPUTED_VALUE"""),14969.0)</f>
        <v>14969</v>
      </c>
      <c r="C252" t="str">
        <f>IFERROR(__xludf.DUMMYFUNCTION("""COMPUTED_VALUE"""),"Chow Crown Game Kids Electronic Spinning Crown Snacks Food Kids &amp; Family Game")</f>
        <v>Chow Crown Game Kids Electronic Spinning Crown Snacks Food Kids &amp; Family Game</v>
      </c>
      <c r="D252" t="str">
        <f>IFERROR(__xludf.DUMMYFUNCTION("""COMPUTED_VALUE"""),"B0772229CR")</f>
        <v>B0772229CR</v>
      </c>
      <c r="E252" t="str">
        <f>IFERROR(__xludf.DUMMYFUNCTION("""COMPUTED_VALUE"""),"630509672165")</f>
        <v>630509672165</v>
      </c>
      <c r="F252">
        <f>IFERROR(__xludf.DUMMYFUNCTION("""COMPUTED_VALUE"""),216.0)</f>
        <v>216</v>
      </c>
      <c r="G252">
        <f>IFERROR(__xludf.DUMMYFUNCTION("""COMPUTED_VALUE"""),5784.0)</f>
        <v>5784</v>
      </c>
      <c r="H252" s="2">
        <f>IFERROR(__xludf.DUMMYFUNCTION("""COMPUTED_VALUE"""),6.0)</f>
        <v>6</v>
      </c>
      <c r="I252" s="2">
        <f>IFERROR(__xludf.DUMMYFUNCTION("""COMPUTED_VALUE"""),9.41)</f>
        <v>9.41</v>
      </c>
      <c r="J252" s="2">
        <f>IFERROR(__xludf.DUMMYFUNCTION("""COMPUTED_VALUE"""),3.41)</f>
        <v>3.41</v>
      </c>
      <c r="K252" s="5">
        <f>IFERROR(__xludf.DUMMYFUNCTION("""COMPUTED_VALUE"""),0.5683333333333334)</f>
        <v>0.5683333333</v>
      </c>
      <c r="L252">
        <f>IFERROR(__xludf.DUMMYFUNCTION("""COMPUTED_VALUE"""),20098.0)</f>
        <v>20098</v>
      </c>
      <c r="M252" t="str">
        <f>IFERROR(__xludf.DUMMYFUNCTION("""COMPUTED_VALUE"""),"Toy")</f>
        <v>Toy</v>
      </c>
      <c r="O252" t="str">
        <f>IFERROR(__xludf.DUMMYFUNCTION("""COMPUTED_VALUE"""),"N")</f>
        <v>N</v>
      </c>
      <c r="P252" s="1" t="str">
        <f>IFERROR(__xludf.DUMMYFUNCTION("""COMPUTED_VALUE"""),"ID 14969")</f>
        <v>ID 14969</v>
      </c>
      <c r="Q252" s="1" t="str">
        <f>IFERROR(__xludf.DUMMYFUNCTION("""COMPUTED_VALUE"""),"B0772229CR")</f>
        <v>B0772229CR</v>
      </c>
    </row>
    <row r="253">
      <c r="A253" s="6">
        <f>IFERROR(__xludf.DUMMYFUNCTION("""COMPUTED_VALUE"""),45421.0)</f>
        <v>45421</v>
      </c>
      <c r="B253">
        <f>IFERROR(__xludf.DUMMYFUNCTION("""COMPUTED_VALUE"""),25916.0)</f>
        <v>25916</v>
      </c>
      <c r="C253" t="str">
        <f>IFERROR(__xludf.DUMMYFUNCTION("""COMPUTED_VALUE"""),"Pelikan Pelikano Jr. Fountain Pen, Left-Handed, Medium Nib, Turquoise, 1 Pen (924894)")</f>
        <v>Pelikan Pelikano Jr. Fountain Pen, Left-Handed, Medium Nib, Turquoise, 1 Pen (924894)</v>
      </c>
      <c r="D253" t="str">
        <f>IFERROR(__xludf.DUMMYFUNCTION("""COMPUTED_VALUE"""),"B00C3XNYWS")</f>
        <v>B00C3XNYWS</v>
      </c>
      <c r="E253" t="str">
        <f>IFERROR(__xludf.DUMMYFUNCTION("""COMPUTED_VALUE"""),"4012700924896")</f>
        <v>4012700924896</v>
      </c>
      <c r="F253">
        <f>IFERROR(__xludf.DUMMYFUNCTION("""COMPUTED_VALUE"""),156.0)</f>
        <v>156</v>
      </c>
      <c r="G253">
        <f>IFERROR(__xludf.DUMMYFUNCTION("""COMPUTED_VALUE"""),10000.0)</f>
        <v>10000</v>
      </c>
      <c r="H253" s="2">
        <f>IFERROR(__xludf.DUMMYFUNCTION("""COMPUTED_VALUE"""),13.25)</f>
        <v>13.25</v>
      </c>
      <c r="I253" s="2">
        <f>IFERROR(__xludf.DUMMYFUNCTION("""COMPUTED_VALUE"""),16.64)</f>
        <v>16.64</v>
      </c>
      <c r="J253" s="2">
        <f>IFERROR(__xludf.DUMMYFUNCTION("""COMPUTED_VALUE"""),3.3900000000000006)</f>
        <v>3.39</v>
      </c>
      <c r="K253" s="5">
        <f>IFERROR(__xludf.DUMMYFUNCTION("""COMPUTED_VALUE"""),0.2558490566037736)</f>
        <v>0.2558490566</v>
      </c>
      <c r="L253">
        <f>IFERROR(__xludf.DUMMYFUNCTION("""COMPUTED_VALUE"""),89104.0)</f>
        <v>89104</v>
      </c>
      <c r="M253" t="str">
        <f>IFERROR(__xludf.DUMMYFUNCTION("""COMPUTED_VALUE"""),"Office Product")</f>
        <v>Office Product</v>
      </c>
      <c r="O253" t="str">
        <f>IFERROR(__xludf.DUMMYFUNCTION("""COMPUTED_VALUE"""),"Y")</f>
        <v>Y</v>
      </c>
      <c r="P253" s="1" t="str">
        <f>IFERROR(__xludf.DUMMYFUNCTION("""COMPUTED_VALUE"""),"ID 25916")</f>
        <v>ID 25916</v>
      </c>
      <c r="Q253" s="1" t="str">
        <f>IFERROR(__xludf.DUMMYFUNCTION("""COMPUTED_VALUE"""),"B00C3XNYWS")</f>
        <v>B00C3XNYWS</v>
      </c>
    </row>
    <row r="254">
      <c r="A254" s="6">
        <f>IFERROR(__xludf.DUMMYFUNCTION("""COMPUTED_VALUE"""),45390.0)</f>
        <v>45390</v>
      </c>
      <c r="B254">
        <f>IFERROR(__xludf.DUMMYFUNCTION("""COMPUTED_VALUE"""),6246.0)</f>
        <v>6246</v>
      </c>
      <c r="C254" t="str">
        <f>IFERROR(__xludf.DUMMYFUNCTION("""COMPUTED_VALUE"""),"Chef Craft Mini Bag Clip, Purple/Orange")</f>
        <v>Chef Craft Mini Bag Clip, Purple/Orange</v>
      </c>
      <c r="D254" t="str">
        <f>IFERROR(__xludf.DUMMYFUNCTION("""COMPUTED_VALUE"""),"B00KPENTOK")</f>
        <v>B00KPENTOK</v>
      </c>
      <c r="E254" t="str">
        <f>IFERROR(__xludf.DUMMYFUNCTION("""COMPUTED_VALUE"""),"085455218057")</f>
        <v>085455218057</v>
      </c>
      <c r="F254">
        <f>IFERROR(__xludf.DUMMYFUNCTION("""COMPUTED_VALUE"""),864.0)</f>
        <v>864</v>
      </c>
      <c r="G254">
        <f>IFERROR(__xludf.DUMMYFUNCTION("""COMPUTED_VALUE"""),10000.0)</f>
        <v>10000</v>
      </c>
      <c r="H254" s="2">
        <f>IFERROR(__xludf.DUMMYFUNCTION("""COMPUTED_VALUE"""),1.25)</f>
        <v>1.25</v>
      </c>
      <c r="I254" s="2">
        <f>IFERROR(__xludf.DUMMYFUNCTION("""COMPUTED_VALUE"""),4.6)</f>
        <v>4.6</v>
      </c>
      <c r="J254" s="2">
        <f>IFERROR(__xludf.DUMMYFUNCTION("""COMPUTED_VALUE"""),3.3499999999999996)</f>
        <v>3.35</v>
      </c>
      <c r="K254" s="5">
        <f>IFERROR(__xludf.DUMMYFUNCTION("""COMPUTED_VALUE"""),2.6799999999999997)</f>
        <v>2.68</v>
      </c>
      <c r="L254">
        <f>IFERROR(__xludf.DUMMYFUNCTION("""COMPUTED_VALUE"""),68498.0)</f>
        <v>68498</v>
      </c>
      <c r="M254" t="str">
        <f>IFERROR(__xludf.DUMMYFUNCTION("""COMPUTED_VALUE"""),"Kitchen")</f>
        <v>Kitchen</v>
      </c>
      <c r="O254" t="str">
        <f>IFERROR(__xludf.DUMMYFUNCTION("""COMPUTED_VALUE"""),"Y")</f>
        <v>Y</v>
      </c>
      <c r="P254" s="1" t="str">
        <f>IFERROR(__xludf.DUMMYFUNCTION("""COMPUTED_VALUE"""),"ID 6246")</f>
        <v>ID 6246</v>
      </c>
      <c r="Q254" s="1" t="str">
        <f>IFERROR(__xludf.DUMMYFUNCTION("""COMPUTED_VALUE"""),"B00KPENTOK")</f>
        <v>B00KPENTOK</v>
      </c>
    </row>
    <row r="255">
      <c r="A255" s="6">
        <f>IFERROR(__xludf.DUMMYFUNCTION("""COMPUTED_VALUE"""),44501.0)</f>
        <v>44501</v>
      </c>
      <c r="B255">
        <f>IFERROR(__xludf.DUMMYFUNCTION("""COMPUTED_VALUE"""),23048.0)</f>
        <v>23048</v>
      </c>
      <c r="C255" t="str">
        <f>IFERROR(__xludf.DUMMYFUNCTION("""COMPUTED_VALUE"""),"C-Line Polypropylene Sheet Protector with Index Tabs, Assorted Color Tabs, 11 x 8.5 Inches, One 8-Tab Set (05580)")</f>
        <v>C-Line Polypropylene Sheet Protector with Index Tabs, Assorted Color Tabs, 11 x 8.5 Inches, One 8-Tab Set (05580)</v>
      </c>
      <c r="D255" t="str">
        <f>IFERROR(__xludf.DUMMYFUNCTION("""COMPUTED_VALUE"""),"B001TQ7RLE")</f>
        <v>B001TQ7RLE</v>
      </c>
      <c r="E255" t="str">
        <f>IFERROR(__xludf.DUMMYFUNCTION("""COMPUTED_VALUE"""),"38944055572")</f>
        <v>38944055572</v>
      </c>
      <c r="F255">
        <f>IFERROR(__xludf.DUMMYFUNCTION("""COMPUTED_VALUE"""),390.0)</f>
        <v>390</v>
      </c>
      <c r="G255">
        <f>IFERROR(__xludf.DUMMYFUNCTION("""COMPUTED_VALUE"""),5000.0)</f>
        <v>5000</v>
      </c>
      <c r="H255" s="2">
        <f>IFERROR(__xludf.DUMMYFUNCTION("""COMPUTED_VALUE"""),2.5)</f>
        <v>2.5</v>
      </c>
      <c r="I255" s="2">
        <f>IFERROR(__xludf.DUMMYFUNCTION("""COMPUTED_VALUE"""),5.85)</f>
        <v>5.85</v>
      </c>
      <c r="J255" s="2">
        <f>IFERROR(__xludf.DUMMYFUNCTION("""COMPUTED_VALUE"""),3.3499999999999996)</f>
        <v>3.35</v>
      </c>
      <c r="K255" s="5">
        <f>IFERROR(__xludf.DUMMYFUNCTION("""COMPUTED_VALUE"""),1.3399999999999999)</f>
        <v>1.34</v>
      </c>
      <c r="L255">
        <f>IFERROR(__xludf.DUMMYFUNCTION("""COMPUTED_VALUE"""),94775.0)</f>
        <v>94775</v>
      </c>
      <c r="M255" t="str">
        <f>IFERROR(__xludf.DUMMYFUNCTION("""COMPUTED_VALUE"""),"Office Product")</f>
        <v>Office Product</v>
      </c>
      <c r="N255"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255" t="str">
        <f>IFERROR(__xludf.DUMMYFUNCTION("""COMPUTED_VALUE"""),"Y")</f>
        <v>Y</v>
      </c>
      <c r="P255" s="1" t="str">
        <f>IFERROR(__xludf.DUMMYFUNCTION("""COMPUTED_VALUE"""),"ID 23048")</f>
        <v>ID 23048</v>
      </c>
      <c r="Q255" s="1" t="str">
        <f>IFERROR(__xludf.DUMMYFUNCTION("""COMPUTED_VALUE"""),"B001TQ7RLE")</f>
        <v>B001TQ7RLE</v>
      </c>
    </row>
    <row r="256">
      <c r="A256" s="6">
        <f>IFERROR(__xludf.DUMMYFUNCTION("""COMPUTED_VALUE"""),45376.0)</f>
        <v>45376</v>
      </c>
      <c r="B256">
        <f>IFERROR(__xludf.DUMMYFUNCTION("""COMPUTED_VALUE"""),17059.0)</f>
        <v>17059</v>
      </c>
      <c r="C256" t="str">
        <f>IFERROR(__xludf.DUMMYFUNCTION("""COMPUTED_VALUE"""),"Prang Ready-to-Use Liquid Tempera Paint, 16-Ounce Bottle, Black (21608)")</f>
        <v>Prang Ready-to-Use Liquid Tempera Paint, 16-Ounce Bottle, Black (21608)</v>
      </c>
      <c r="D256" t="str">
        <f>IFERROR(__xludf.DUMMYFUNCTION("""COMPUTED_VALUE"""),"B001AZ0AM2")</f>
        <v>B001AZ0AM2</v>
      </c>
      <c r="E256" t="str">
        <f>IFERROR(__xludf.DUMMYFUNCTION("""COMPUTED_VALUE"""),"072067216083")</f>
        <v>072067216083</v>
      </c>
      <c r="F256">
        <f>IFERROR(__xludf.DUMMYFUNCTION("""COMPUTED_VALUE"""),1380.0)</f>
        <v>1380</v>
      </c>
      <c r="G256">
        <f>IFERROR(__xludf.DUMMYFUNCTION("""COMPUTED_VALUE"""),10000.0)</f>
        <v>10000</v>
      </c>
      <c r="H256" s="2">
        <f>IFERROR(__xludf.DUMMYFUNCTION("""COMPUTED_VALUE"""),2.75)</f>
        <v>2.75</v>
      </c>
      <c r="I256" s="2">
        <f>IFERROR(__xludf.DUMMYFUNCTION("""COMPUTED_VALUE"""),6.09)</f>
        <v>6.09</v>
      </c>
      <c r="J256" s="2">
        <f>IFERROR(__xludf.DUMMYFUNCTION("""COMPUTED_VALUE"""),3.34)</f>
        <v>3.34</v>
      </c>
      <c r="K256" s="5">
        <f>IFERROR(__xludf.DUMMYFUNCTION("""COMPUTED_VALUE"""),1.2145454545454546)</f>
        <v>1.214545455</v>
      </c>
      <c r="L256">
        <f>IFERROR(__xludf.DUMMYFUNCTION("""COMPUTED_VALUE"""),18448.0)</f>
        <v>18448</v>
      </c>
      <c r="M256" t="str">
        <f>IFERROR(__xludf.DUMMYFUNCTION("""COMPUTED_VALUE"""),"BISS")</f>
        <v>BISS</v>
      </c>
      <c r="O256" t="str">
        <f>IFERROR(__xludf.DUMMYFUNCTION("""COMPUTED_VALUE"""),"N")</f>
        <v>N</v>
      </c>
      <c r="P256" s="1" t="str">
        <f>IFERROR(__xludf.DUMMYFUNCTION("""COMPUTED_VALUE"""),"ID 17059")</f>
        <v>ID 17059</v>
      </c>
      <c r="Q256" s="1" t="str">
        <f>IFERROR(__xludf.DUMMYFUNCTION("""COMPUTED_VALUE"""),"B001AZ0AM2")</f>
        <v>B001AZ0AM2</v>
      </c>
    </row>
    <row r="257">
      <c r="A257" s="6">
        <f>IFERROR(__xludf.DUMMYFUNCTION("""COMPUTED_VALUE"""),45376.0)</f>
        <v>45376</v>
      </c>
      <c r="B257">
        <f>IFERROR(__xludf.DUMMYFUNCTION("""COMPUTED_VALUE"""),17489.0)</f>
        <v>17489</v>
      </c>
      <c r="C257" t="str">
        <f>IFERROR(__xludf.DUMMYFUNCTION("""COMPUTED_VALUE"""),"Kantek Stackers for Black Acrylic and Aluminum Letter Trays, Set of 4 Brackets (BA311)")</f>
        <v>Kantek Stackers for Black Acrylic and Aluminum Letter Trays, Set of 4 Brackets (BA311)</v>
      </c>
      <c r="D257" t="str">
        <f>IFERROR(__xludf.DUMMYFUNCTION("""COMPUTED_VALUE"""),"B004RTT0DI")</f>
        <v>B004RTT0DI</v>
      </c>
      <c r="E257" t="str">
        <f>IFERROR(__xludf.DUMMYFUNCTION("""COMPUTED_VALUE"""),"750333513110")</f>
        <v>750333513110</v>
      </c>
      <c r="F257">
        <f>IFERROR(__xludf.DUMMYFUNCTION("""COMPUTED_VALUE"""),276.0)</f>
        <v>276</v>
      </c>
      <c r="G257">
        <f>IFERROR(__xludf.DUMMYFUNCTION("""COMPUTED_VALUE"""),10000.0)</f>
        <v>10000</v>
      </c>
      <c r="H257" s="2">
        <f>IFERROR(__xludf.DUMMYFUNCTION("""COMPUTED_VALUE"""),4.5)</f>
        <v>4.5</v>
      </c>
      <c r="I257" s="2">
        <f>IFERROR(__xludf.DUMMYFUNCTION("""COMPUTED_VALUE"""),7.83)</f>
        <v>7.83</v>
      </c>
      <c r="J257" s="2">
        <f>IFERROR(__xludf.DUMMYFUNCTION("""COMPUTED_VALUE"""),3.33)</f>
        <v>3.33</v>
      </c>
      <c r="K257" s="5">
        <f>IFERROR(__xludf.DUMMYFUNCTION("""COMPUTED_VALUE"""),0.74)</f>
        <v>0.74</v>
      </c>
      <c r="L257">
        <f>IFERROR(__xludf.DUMMYFUNCTION("""COMPUTED_VALUE"""),81788.0)</f>
        <v>81788</v>
      </c>
      <c r="M257" t="str">
        <f>IFERROR(__xludf.DUMMYFUNCTION("""COMPUTED_VALUE"""),"Office Product")</f>
        <v>Office Product</v>
      </c>
      <c r="O257" t="str">
        <f>IFERROR(__xludf.DUMMYFUNCTION("""COMPUTED_VALUE"""),"Y")</f>
        <v>Y</v>
      </c>
      <c r="P257" s="1" t="str">
        <f>IFERROR(__xludf.DUMMYFUNCTION("""COMPUTED_VALUE"""),"ID 17489")</f>
        <v>ID 17489</v>
      </c>
      <c r="Q257" s="1" t="str">
        <f>IFERROR(__xludf.DUMMYFUNCTION("""COMPUTED_VALUE"""),"B004RTT0DI")</f>
        <v>B004RTT0DI</v>
      </c>
    </row>
    <row r="258">
      <c r="A258" s="6">
        <f>IFERROR(__xludf.DUMMYFUNCTION("""COMPUTED_VALUE"""),44811.0)</f>
        <v>44811</v>
      </c>
      <c r="B258">
        <f>IFERROR(__xludf.DUMMYFUNCTION("""COMPUTED_VALUE"""),23759.0)</f>
        <v>23759</v>
      </c>
      <c r="C258" t="str">
        <f>IFERROR(__xludf.DUMMYFUNCTION("""COMPUTED_VALUE"""),"SATCO 50/329 7.5-Inch diameter White Mushroom Glass Shade - 5-7/8 inch inside (opening) diameter Opening")</f>
        <v>SATCO 50/329 7.5-Inch diameter White Mushroom Glass Shade - 5-7/8 inch inside (opening) diameter Opening</v>
      </c>
      <c r="D258" t="str">
        <f>IFERROR(__xludf.DUMMYFUNCTION("""COMPUTED_VALUE"""),"B0018A9GTC")</f>
        <v>B0018A9GTC</v>
      </c>
      <c r="E258" t="str">
        <f>IFERROR(__xludf.DUMMYFUNCTION("""COMPUTED_VALUE"""),"045923503290")</f>
        <v>045923503290</v>
      </c>
      <c r="F258">
        <f>IFERROR(__xludf.DUMMYFUNCTION("""COMPUTED_VALUE"""),174.0)</f>
        <v>174</v>
      </c>
      <c r="G258">
        <f>IFERROR(__xludf.DUMMYFUNCTION("""COMPUTED_VALUE"""),1000.0)</f>
        <v>1000</v>
      </c>
      <c r="H258" s="2">
        <f>IFERROR(__xludf.DUMMYFUNCTION("""COMPUTED_VALUE"""),8.25)</f>
        <v>8.25</v>
      </c>
      <c r="I258" s="2">
        <f>IFERROR(__xludf.DUMMYFUNCTION("""COMPUTED_VALUE"""),11.57)</f>
        <v>11.57</v>
      </c>
      <c r="J258" s="2">
        <f>IFERROR(__xludf.DUMMYFUNCTION("""COMPUTED_VALUE"""),3.3200000000000003)</f>
        <v>3.32</v>
      </c>
      <c r="K258" s="5">
        <f>IFERROR(__xludf.DUMMYFUNCTION("""COMPUTED_VALUE"""),0.40242424242424246)</f>
        <v>0.4024242424</v>
      </c>
      <c r="L258">
        <f>IFERROR(__xludf.DUMMYFUNCTION("""COMPUTED_VALUE"""),97043.0)</f>
        <v>97043</v>
      </c>
      <c r="M258" t="str">
        <f>IFERROR(__xludf.DUMMYFUNCTION("""COMPUTED_VALUE"""),"Lighting")</f>
        <v>Lighting</v>
      </c>
      <c r="O258" t="str">
        <f>IFERROR(__xludf.DUMMYFUNCTION("""COMPUTED_VALUE"""),"N")</f>
        <v>N</v>
      </c>
      <c r="P258" s="1" t="str">
        <f>IFERROR(__xludf.DUMMYFUNCTION("""COMPUTED_VALUE"""),"ID 23759")</f>
        <v>ID 23759</v>
      </c>
      <c r="Q258" s="1" t="str">
        <f>IFERROR(__xludf.DUMMYFUNCTION("""COMPUTED_VALUE"""),"B0018A9GTC")</f>
        <v>B0018A9GTC</v>
      </c>
    </row>
    <row r="259">
      <c r="A259" s="6">
        <f>IFERROR(__xludf.DUMMYFUNCTION("""COMPUTED_VALUE"""),45078.0)</f>
        <v>45078</v>
      </c>
      <c r="B259">
        <f>IFERROR(__xludf.DUMMYFUNCTION("""COMPUTED_VALUE"""),14378.0)</f>
        <v>14378</v>
      </c>
      <c r="C259" t="str">
        <f>IFERROR(__xludf.DUMMYFUNCTION("""COMPUTED_VALUE"""),"Nyko Power Kit - USB Type-C/AC Travel Charger for Nintendo Switch")</f>
        <v>Nyko Power Kit - USB Type-C/AC Travel Charger for Nintendo Switch</v>
      </c>
      <c r="D259" t="str">
        <f>IFERROR(__xludf.DUMMYFUNCTION("""COMPUTED_VALUE"""),"B01NB0G478")</f>
        <v>B01NB0G478</v>
      </c>
      <c r="E259" t="str">
        <f>IFERROR(__xludf.DUMMYFUNCTION("""COMPUTED_VALUE"""),"743840872108")</f>
        <v>743840872108</v>
      </c>
      <c r="F259">
        <f>IFERROR(__xludf.DUMMYFUNCTION("""COMPUTED_VALUE"""),672.0)</f>
        <v>672</v>
      </c>
      <c r="G259">
        <f>IFERROR(__xludf.DUMMYFUNCTION("""COMPUTED_VALUE"""),2880.0)</f>
        <v>2880</v>
      </c>
      <c r="H259" s="2">
        <f>IFERROR(__xludf.DUMMYFUNCTION("""COMPUTED_VALUE"""),2.0)</f>
        <v>2</v>
      </c>
      <c r="I259" s="2">
        <f>IFERROR(__xludf.DUMMYFUNCTION("""COMPUTED_VALUE"""),5.31)</f>
        <v>5.31</v>
      </c>
      <c r="J259" s="2">
        <f>IFERROR(__xludf.DUMMYFUNCTION("""COMPUTED_VALUE"""),3.3099999999999996)</f>
        <v>3.31</v>
      </c>
      <c r="K259" s="5">
        <f>IFERROR(__xludf.DUMMYFUNCTION("""COMPUTED_VALUE"""),1.6549999999999998)</f>
        <v>1.655</v>
      </c>
      <c r="L259">
        <f>IFERROR(__xludf.DUMMYFUNCTION("""COMPUTED_VALUE"""),17790.0)</f>
        <v>17790</v>
      </c>
      <c r="M259" t="str">
        <f>IFERROR(__xludf.DUMMYFUNCTION("""COMPUTED_VALUE"""),"Video Games")</f>
        <v>Video Games</v>
      </c>
      <c r="O259" t="str">
        <f>IFERROR(__xludf.DUMMYFUNCTION("""COMPUTED_VALUE"""),"N")</f>
        <v>N</v>
      </c>
      <c r="P259" s="1" t="str">
        <f>IFERROR(__xludf.DUMMYFUNCTION("""COMPUTED_VALUE"""),"ID 14378")</f>
        <v>ID 14378</v>
      </c>
      <c r="Q259" s="1" t="str">
        <f>IFERROR(__xludf.DUMMYFUNCTION("""COMPUTED_VALUE"""),"B01NB0G478")</f>
        <v>B01NB0G478</v>
      </c>
    </row>
    <row r="260">
      <c r="A260" s="6">
        <f>IFERROR(__xludf.DUMMYFUNCTION("""COMPUTED_VALUE"""),45383.0)</f>
        <v>45383</v>
      </c>
      <c r="B260">
        <f>IFERROR(__xludf.DUMMYFUNCTION("""COMPUTED_VALUE"""),23782.0)</f>
        <v>23782</v>
      </c>
      <c r="C260" t="str">
        <f>IFERROR(__xludf.DUMMYFUNCTION("""COMPUTED_VALUE"""),"Smead Desk File/Sorter, Monthly (Jan-Dec), 12 Dividers, Letter Size, Dark Blue (89286)")</f>
        <v>Smead Desk File/Sorter, Monthly (Jan-Dec), 12 Dividers, Letter Size, Dark Blue (89286)</v>
      </c>
      <c r="D260" t="str">
        <f>IFERROR(__xludf.DUMMYFUNCTION("""COMPUTED_VALUE"""),"B071ZF638G")</f>
        <v>B071ZF638G</v>
      </c>
      <c r="E260" t="str">
        <f>IFERROR(__xludf.DUMMYFUNCTION("""COMPUTED_VALUE"""),"086486892865")</f>
        <v>086486892865</v>
      </c>
      <c r="F260">
        <f>IFERROR(__xludf.DUMMYFUNCTION("""COMPUTED_VALUE"""),115.0)</f>
        <v>115</v>
      </c>
      <c r="G260">
        <f>IFERROR(__xludf.DUMMYFUNCTION("""COMPUTED_VALUE"""),10000.0)</f>
        <v>10000</v>
      </c>
      <c r="H260" s="2">
        <f>IFERROR(__xludf.DUMMYFUNCTION("""COMPUTED_VALUE"""),11.75)</f>
        <v>11.75</v>
      </c>
      <c r="I260" s="2">
        <f>IFERROR(__xludf.DUMMYFUNCTION("""COMPUTED_VALUE"""),15.06)</f>
        <v>15.06</v>
      </c>
      <c r="J260" s="2">
        <f>IFERROR(__xludf.DUMMYFUNCTION("""COMPUTED_VALUE"""),3.3100000000000005)</f>
        <v>3.31</v>
      </c>
      <c r="K260" s="5">
        <f>IFERROR(__xludf.DUMMYFUNCTION("""COMPUTED_VALUE"""),0.28170212765957453)</f>
        <v>0.2817021277</v>
      </c>
      <c r="L260">
        <f>IFERROR(__xludf.DUMMYFUNCTION("""COMPUTED_VALUE"""),4734.0)</f>
        <v>4734</v>
      </c>
      <c r="M260" t="str">
        <f>IFERROR(__xludf.DUMMYFUNCTION("""COMPUTED_VALUE"""),"Office Product")</f>
        <v>Office Product</v>
      </c>
      <c r="O260" t="str">
        <f>IFERROR(__xludf.DUMMYFUNCTION("""COMPUTED_VALUE"""),"N")</f>
        <v>N</v>
      </c>
      <c r="P260" s="1" t="str">
        <f>IFERROR(__xludf.DUMMYFUNCTION("""COMPUTED_VALUE"""),"ID 23782")</f>
        <v>ID 23782</v>
      </c>
      <c r="Q260" s="1" t="str">
        <f>IFERROR(__xludf.DUMMYFUNCTION("""COMPUTED_VALUE"""),"B071ZF638G")</f>
        <v>B071ZF638G</v>
      </c>
    </row>
    <row r="261">
      <c r="A261" s="6">
        <f>IFERROR(__xludf.DUMMYFUNCTION("""COMPUTED_VALUE"""),44837.0)</f>
        <v>44837</v>
      </c>
      <c r="B261">
        <f>IFERROR(__xludf.DUMMYFUNCTION("""COMPUTED_VALUE"""),25022.0)</f>
        <v>25022</v>
      </c>
      <c r="C261" t="str">
        <f>IFERROR(__xludf.DUMMYFUNCTION("""COMPUTED_VALUE"""),"Westcott Trendsetter Straight Lace Pattern Scissor, 8"" (16660),Multi")</f>
        <v>Westcott Trendsetter Straight Lace Pattern Scissor, 8" (16660),Multi</v>
      </c>
      <c r="D261" t="str">
        <f>IFERROR(__xludf.DUMMYFUNCTION("""COMPUTED_VALUE"""),"B01H3LD398")</f>
        <v>B01H3LD398</v>
      </c>
      <c r="E261" t="str">
        <f>IFERROR(__xludf.DUMMYFUNCTION("""COMPUTED_VALUE"""),"73577166608")</f>
        <v>73577166608</v>
      </c>
      <c r="F261">
        <f>IFERROR(__xludf.DUMMYFUNCTION("""COMPUTED_VALUE"""),216.0)</f>
        <v>216</v>
      </c>
      <c r="G261">
        <f>IFERROR(__xludf.DUMMYFUNCTION("""COMPUTED_VALUE"""),10000.0)</f>
        <v>10000</v>
      </c>
      <c r="H261" s="2">
        <f>IFERROR(__xludf.DUMMYFUNCTION("""COMPUTED_VALUE"""),7.75)</f>
        <v>7.75</v>
      </c>
      <c r="I261" s="2">
        <f>IFERROR(__xludf.DUMMYFUNCTION("""COMPUTED_VALUE"""),11.06)</f>
        <v>11.06</v>
      </c>
      <c r="J261" s="2">
        <f>IFERROR(__xludf.DUMMYFUNCTION("""COMPUTED_VALUE"""),3.3100000000000005)</f>
        <v>3.31</v>
      </c>
      <c r="K261" s="5">
        <f>IFERROR(__xludf.DUMMYFUNCTION("""COMPUTED_VALUE"""),0.42709677419354847)</f>
        <v>0.4270967742</v>
      </c>
      <c r="L261">
        <f>IFERROR(__xludf.DUMMYFUNCTION("""COMPUTED_VALUE"""),58143.0)</f>
        <v>58143</v>
      </c>
      <c r="M261" t="str">
        <f>IFERROR(__xludf.DUMMYFUNCTION("""COMPUTED_VALUE"""),"Office Product")</f>
        <v>Office Product</v>
      </c>
      <c r="O261" t="str">
        <f>IFERROR(__xludf.DUMMYFUNCTION("""COMPUTED_VALUE"""),"Y")</f>
        <v>Y</v>
      </c>
      <c r="P261" s="1" t="str">
        <f>IFERROR(__xludf.DUMMYFUNCTION("""COMPUTED_VALUE"""),"ID 25022")</f>
        <v>ID 25022</v>
      </c>
      <c r="Q261" s="1" t="str">
        <f>IFERROR(__xludf.DUMMYFUNCTION("""COMPUTED_VALUE"""),"B01H3LD398")</f>
        <v>B01H3LD398</v>
      </c>
    </row>
    <row r="262">
      <c r="A262" s="6">
        <f>IFERROR(__xludf.DUMMYFUNCTION("""COMPUTED_VALUE"""),44272.0)</f>
        <v>44272</v>
      </c>
      <c r="B262">
        <f>IFERROR(__xludf.DUMMYFUNCTION("""COMPUTED_VALUE"""),19777.0)</f>
        <v>19777</v>
      </c>
      <c r="C262" t="str">
        <f>IFERROR(__xludf.DUMMYFUNCTION("""COMPUTED_VALUE"""),"SPR LUSTRS LP KISS ME CORAL750")</f>
        <v>SPR LUSTRS LP KISS ME CORAL750</v>
      </c>
      <c r="D262" t="str">
        <f>IFERROR(__xludf.DUMMYFUNCTION("""COMPUTED_VALUE"""),"B01LW762JK")</f>
        <v>B01LW762JK</v>
      </c>
      <c r="E262" t="str">
        <f>IFERROR(__xludf.DUMMYFUNCTION("""COMPUTED_VALUE"""),"309979632589")</f>
        <v>309979632589</v>
      </c>
      <c r="F262">
        <f>IFERROR(__xludf.DUMMYFUNCTION("""COMPUTED_VALUE"""),1200.0)</f>
        <v>1200</v>
      </c>
      <c r="G262">
        <f>IFERROR(__xludf.DUMMYFUNCTION("""COMPUTED_VALUE"""),3500.0)</f>
        <v>3500</v>
      </c>
      <c r="H262" s="2">
        <f>IFERROR(__xludf.DUMMYFUNCTION("""COMPUTED_VALUE"""),1.75)</f>
        <v>1.75</v>
      </c>
      <c r="I262" s="2">
        <f>IFERROR(__xludf.DUMMYFUNCTION("""COMPUTED_VALUE"""),5.04)</f>
        <v>5.04</v>
      </c>
      <c r="J262" s="2">
        <f>IFERROR(__xludf.DUMMYFUNCTION("""COMPUTED_VALUE"""),3.29)</f>
        <v>3.29</v>
      </c>
      <c r="K262" s="5">
        <f>IFERROR(__xludf.DUMMYFUNCTION("""COMPUTED_VALUE"""),1.8800000000000001)</f>
        <v>1.88</v>
      </c>
      <c r="L262">
        <f>IFERROR(__xludf.DUMMYFUNCTION("""COMPUTED_VALUE"""),263.0)</f>
        <v>263</v>
      </c>
      <c r="M262" t="str">
        <f>IFERROR(__xludf.DUMMYFUNCTION("""COMPUTED_VALUE"""),"Beauty")</f>
        <v>Beauty</v>
      </c>
      <c r="O262" t="str">
        <f>IFERROR(__xludf.DUMMYFUNCTION("""COMPUTED_VALUE"""),"N")</f>
        <v>N</v>
      </c>
      <c r="P262" s="1" t="str">
        <f>IFERROR(__xludf.DUMMYFUNCTION("""COMPUTED_VALUE"""),"ID 19777")</f>
        <v>ID 19777</v>
      </c>
      <c r="Q262" s="1" t="str">
        <f>IFERROR(__xludf.DUMMYFUNCTION("""COMPUTED_VALUE"""),"B01LW762JK")</f>
        <v>B01LW762JK</v>
      </c>
    </row>
    <row r="263">
      <c r="A263" s="6">
        <f>IFERROR(__xludf.DUMMYFUNCTION("""COMPUTED_VALUE"""),43692.0)</f>
        <v>43692</v>
      </c>
      <c r="B263">
        <f>IFERROR(__xludf.DUMMYFUNCTION("""COMPUTED_VALUE"""),9386.0)</f>
        <v>9386</v>
      </c>
      <c r="C263" t="str">
        <f>IFERROR(__xludf.DUMMYFUNCTION("""COMPUTED_VALUE"""),"Override: Mech City Brawl - Super Charged Mega Edition - PlayStation 4")</f>
        <v>Override: Mech City Brawl - Super Charged Mega Edition - PlayStation 4</v>
      </c>
      <c r="D263" t="str">
        <f>IFERROR(__xludf.DUMMYFUNCTION("""COMPUTED_VALUE"""),"B07FKZRNBF")</f>
        <v>B07FKZRNBF</v>
      </c>
      <c r="F263">
        <f>IFERROR(__xludf.DUMMYFUNCTION("""COMPUTED_VALUE"""),1000.0)</f>
        <v>1000</v>
      </c>
      <c r="G263">
        <f>IFERROR(__xludf.DUMMYFUNCTION("""COMPUTED_VALUE"""),4300.0)</f>
        <v>4300</v>
      </c>
      <c r="H263" s="2">
        <f>IFERROR(__xludf.DUMMYFUNCTION("""COMPUTED_VALUE"""),7.0)</f>
        <v>7</v>
      </c>
      <c r="I263" s="2">
        <f>IFERROR(__xludf.DUMMYFUNCTION("""COMPUTED_VALUE"""),10.25)</f>
        <v>10.25</v>
      </c>
      <c r="J263" s="2">
        <f>IFERROR(__xludf.DUMMYFUNCTION("""COMPUTED_VALUE"""),3.25)</f>
        <v>3.25</v>
      </c>
      <c r="K263" s="5">
        <f>IFERROR(__xludf.DUMMYFUNCTION("""COMPUTED_VALUE"""),0.4642857142857143)</f>
        <v>0.4642857143</v>
      </c>
      <c r="L263">
        <f>IFERROR(__xludf.DUMMYFUNCTION("""COMPUTED_VALUE"""),49592.0)</f>
        <v>49592</v>
      </c>
      <c r="M263" t="str">
        <f>IFERROR(__xludf.DUMMYFUNCTION("""COMPUTED_VALUE"""),"Video Games")</f>
        <v>Video Games</v>
      </c>
      <c r="O263" t="str">
        <f>IFERROR(__xludf.DUMMYFUNCTION("""COMPUTED_VALUE"""),"N")</f>
        <v>N</v>
      </c>
      <c r="P263" s="1" t="str">
        <f>IFERROR(__xludf.DUMMYFUNCTION("""COMPUTED_VALUE"""),"ID 9386")</f>
        <v>ID 9386</v>
      </c>
      <c r="Q263" s="1" t="str">
        <f>IFERROR(__xludf.DUMMYFUNCTION("""COMPUTED_VALUE"""),"B07FKZRNBF")</f>
        <v>B07FKZRNBF</v>
      </c>
    </row>
    <row r="264">
      <c r="A264" s="6">
        <f>IFERROR(__xludf.DUMMYFUNCTION("""COMPUTED_VALUE"""),45376.0)</f>
        <v>45376</v>
      </c>
      <c r="B264">
        <f>IFERROR(__xludf.DUMMYFUNCTION("""COMPUTED_VALUE"""),21968.0)</f>
        <v>21968</v>
      </c>
      <c r="C264" t="str">
        <f>IFERROR(__xludf.DUMMYFUNCTION("""COMPUTED_VALUE"""),"Prang Oval-16 Pan Watercolor Paint Set, 16 Assorted Colors, Refillable, Includes Brush (16000)")</f>
        <v>Prang Oval-16 Pan Watercolor Paint Set, 16 Assorted Colors, Refillable, Includes Brush (16000)</v>
      </c>
      <c r="D264" t="str">
        <f>IFERROR(__xludf.DUMMYFUNCTION("""COMPUTED_VALUE"""),"B001E6EUS2")</f>
        <v>B001E6EUS2</v>
      </c>
      <c r="E264" t="str">
        <f>IFERROR(__xludf.DUMMYFUNCTION("""COMPUTED_VALUE"""),"072067160003")</f>
        <v>072067160003</v>
      </c>
      <c r="F264">
        <f>IFERROR(__xludf.DUMMYFUNCTION("""COMPUTED_VALUE"""),540.0)</f>
        <v>540</v>
      </c>
      <c r="G264">
        <f>IFERROR(__xludf.DUMMYFUNCTION("""COMPUTED_VALUE"""),10000.0)</f>
        <v>10000</v>
      </c>
      <c r="H264" s="2">
        <f>IFERROR(__xludf.DUMMYFUNCTION("""COMPUTED_VALUE"""),7.0)</f>
        <v>7</v>
      </c>
      <c r="I264" s="2">
        <f>IFERROR(__xludf.DUMMYFUNCTION("""COMPUTED_VALUE"""),10.25)</f>
        <v>10.25</v>
      </c>
      <c r="J264" s="2">
        <f>IFERROR(__xludf.DUMMYFUNCTION("""COMPUTED_VALUE"""),3.25)</f>
        <v>3.25</v>
      </c>
      <c r="K264" s="5">
        <f>IFERROR(__xludf.DUMMYFUNCTION("""COMPUTED_VALUE"""),0.4642857142857143)</f>
        <v>0.4642857143</v>
      </c>
      <c r="L264">
        <f>IFERROR(__xludf.DUMMYFUNCTION("""COMPUTED_VALUE"""),23258.0)</f>
        <v>23258</v>
      </c>
      <c r="M264" t="str">
        <f>IFERROR(__xludf.DUMMYFUNCTION("""COMPUTED_VALUE"""),"Home")</f>
        <v>Home</v>
      </c>
      <c r="N264" t="str">
        <f>IFERROR(__xludf.DUMMYFUNCTION("""COMPUTED_VALUE"""),"Packaging may vary, This product is on backorder and will not be available for shipping until January 2022.")</f>
        <v>Packaging may vary, This product is on backorder and will not be available for shipping until January 2022.</v>
      </c>
      <c r="O264" t="str">
        <f>IFERROR(__xludf.DUMMYFUNCTION("""COMPUTED_VALUE"""),"Y")</f>
        <v>Y</v>
      </c>
      <c r="P264" s="1" t="str">
        <f>IFERROR(__xludf.DUMMYFUNCTION("""COMPUTED_VALUE"""),"ID 21968")</f>
        <v>ID 21968</v>
      </c>
      <c r="Q264" s="1" t="str">
        <f>IFERROR(__xludf.DUMMYFUNCTION("""COMPUTED_VALUE"""),"B001E6EUS2")</f>
        <v>B001E6EUS2</v>
      </c>
    </row>
    <row r="265">
      <c r="A265" s="6">
        <f>IFERROR(__xludf.DUMMYFUNCTION("""COMPUTED_VALUE"""),44755.0)</f>
        <v>44755</v>
      </c>
      <c r="B265">
        <f>IFERROR(__xludf.DUMMYFUNCTION("""COMPUTED_VALUE"""),6159.0)</f>
        <v>6159</v>
      </c>
      <c r="C265" t="str">
        <f>IFERROR(__xludf.DUMMYFUNCTION("""COMPUTED_VALUE"""),"Little Tikes Hopper Ball Colors May Vary")</f>
        <v>Little Tikes Hopper Ball Colors May Vary</v>
      </c>
      <c r="D265" t="str">
        <f>IFERROR(__xludf.DUMMYFUNCTION("""COMPUTED_VALUE"""),"B004I6RV04")</f>
        <v>B004I6RV04</v>
      </c>
      <c r="E265" t="str">
        <f>IFERROR(__xludf.DUMMYFUNCTION("""COMPUTED_VALUE"""),"820016093014")</f>
        <v>820016093014</v>
      </c>
      <c r="F265">
        <f>IFERROR(__xludf.DUMMYFUNCTION("""COMPUTED_VALUE"""),108.0)</f>
        <v>108</v>
      </c>
      <c r="G265">
        <f>IFERROR(__xludf.DUMMYFUNCTION("""COMPUTED_VALUE"""),108.0)</f>
        <v>108</v>
      </c>
      <c r="H265" s="2">
        <f>IFERROR(__xludf.DUMMYFUNCTION("""COMPUTED_VALUE"""),9.0)</f>
        <v>9</v>
      </c>
      <c r="I265" s="2">
        <f>IFERROR(__xludf.DUMMYFUNCTION("""COMPUTED_VALUE"""),12.23)</f>
        <v>12.23</v>
      </c>
      <c r="J265" s="2">
        <f>IFERROR(__xludf.DUMMYFUNCTION("""COMPUTED_VALUE"""),3.2300000000000004)</f>
        <v>3.23</v>
      </c>
      <c r="K265" s="5">
        <f>IFERROR(__xludf.DUMMYFUNCTION("""COMPUTED_VALUE"""),0.3588888888888889)</f>
        <v>0.3588888889</v>
      </c>
      <c r="L265">
        <f>IFERROR(__xludf.DUMMYFUNCTION("""COMPUTED_VALUE"""),90571.0)</f>
        <v>90571</v>
      </c>
      <c r="M265" t="str">
        <f>IFERROR(__xludf.DUMMYFUNCTION("""COMPUTED_VALUE"""),"Toy")</f>
        <v>Toy</v>
      </c>
      <c r="N265" t="str">
        <f>IFERROR(__xludf.DUMMYFUNCTION("""COMPUTED_VALUE"""),"**BLUE BALL** Restricted for online sale")</f>
        <v>**BLUE BALL** Restricted for online sale</v>
      </c>
      <c r="O265" t="str">
        <f>IFERROR(__xludf.DUMMYFUNCTION("""COMPUTED_VALUE"""),"N")</f>
        <v>N</v>
      </c>
      <c r="P265" s="1" t="str">
        <f>IFERROR(__xludf.DUMMYFUNCTION("""COMPUTED_VALUE"""),"ID 6159")</f>
        <v>ID 6159</v>
      </c>
      <c r="Q265" s="1" t="str">
        <f>IFERROR(__xludf.DUMMYFUNCTION("""COMPUTED_VALUE"""),"B004I6RV04")</f>
        <v>B004I6RV04</v>
      </c>
    </row>
    <row r="266">
      <c r="A266" s="6">
        <f>IFERROR(__xludf.DUMMYFUNCTION("""COMPUTED_VALUE"""),45376.0)</f>
        <v>45376</v>
      </c>
      <c r="B266">
        <f>IFERROR(__xludf.DUMMYFUNCTION("""COMPUTED_VALUE"""),24058.0)</f>
        <v>24058</v>
      </c>
      <c r="C266" t="str">
        <f>IFERROR(__xludf.DUMMYFUNCTION("""COMPUTED_VALUE"""),"Pacon Spectra Glitter Sparkling Crystals 0091920, 16 Oz. Shaker, Purple")</f>
        <v>Pacon Spectra Glitter Sparkling Crystals 0091920, 16 Oz. Shaker, Purple</v>
      </c>
      <c r="D266" t="str">
        <f>IFERROR(__xludf.DUMMYFUNCTION("""COMPUTED_VALUE"""),"B000J0C69E")</f>
        <v>B000J0C69E</v>
      </c>
      <c r="E266" t="str">
        <f>IFERROR(__xludf.DUMMYFUNCTION("""COMPUTED_VALUE"""),"029444917309")</f>
        <v>029444917309</v>
      </c>
      <c r="F266">
        <f>IFERROR(__xludf.DUMMYFUNCTION("""COMPUTED_VALUE"""),540.0)</f>
        <v>540</v>
      </c>
      <c r="G266">
        <f>IFERROR(__xludf.DUMMYFUNCTION("""COMPUTED_VALUE"""),10000.0)</f>
        <v>10000</v>
      </c>
      <c r="H266" s="2">
        <f>IFERROR(__xludf.DUMMYFUNCTION("""COMPUTED_VALUE"""),6.75)</f>
        <v>6.75</v>
      </c>
      <c r="I266" s="2">
        <f>IFERROR(__xludf.DUMMYFUNCTION("""COMPUTED_VALUE"""),9.98)</f>
        <v>9.98</v>
      </c>
      <c r="J266" s="2">
        <f>IFERROR(__xludf.DUMMYFUNCTION("""COMPUTED_VALUE"""),3.2300000000000004)</f>
        <v>3.23</v>
      </c>
      <c r="K266" s="5">
        <f>IFERROR(__xludf.DUMMYFUNCTION("""COMPUTED_VALUE"""),0.47851851851851857)</f>
        <v>0.4785185185</v>
      </c>
      <c r="L266">
        <f>IFERROR(__xludf.DUMMYFUNCTION("""COMPUTED_VALUE"""),45409.0)</f>
        <v>45409</v>
      </c>
      <c r="M266" t="str">
        <f>IFERROR(__xludf.DUMMYFUNCTION("""COMPUTED_VALUE"""),"Home")</f>
        <v>Home</v>
      </c>
      <c r="N266" t="str">
        <f>IFERROR(__xludf.DUMMYFUNCTION("""COMPUTED_VALUE"""),"Styling/Packaging may vary")</f>
        <v>Styling/Packaging may vary</v>
      </c>
      <c r="O266" t="str">
        <f>IFERROR(__xludf.DUMMYFUNCTION("""COMPUTED_VALUE"""),"Y")</f>
        <v>Y</v>
      </c>
      <c r="P266" s="1" t="str">
        <f>IFERROR(__xludf.DUMMYFUNCTION("""COMPUTED_VALUE"""),"ID 24058")</f>
        <v>ID 24058</v>
      </c>
      <c r="Q266" s="1" t="str">
        <f>IFERROR(__xludf.DUMMYFUNCTION("""COMPUTED_VALUE"""),"B000J0C69E")</f>
        <v>B000J0C69E</v>
      </c>
    </row>
    <row r="267">
      <c r="A267" s="6">
        <f>IFERROR(__xludf.DUMMYFUNCTION("""COMPUTED_VALUE"""),45429.0)</f>
        <v>45429</v>
      </c>
      <c r="B267">
        <f>IFERROR(__xludf.DUMMYFUNCTION("""COMPUTED_VALUE"""),7865.0)</f>
        <v>7865</v>
      </c>
      <c r="C267" t="str">
        <f>IFERROR(__xludf.DUMMYFUNCTION("""COMPUTED_VALUE"""),"Chef Craft 50 Count Cupcake Liners, American Flag")</f>
        <v>Chef Craft 50 Count Cupcake Liners, American Flag</v>
      </c>
      <c r="D267" t="str">
        <f>IFERROR(__xludf.DUMMYFUNCTION("""COMPUTED_VALUE"""),"B00KS9T77K")</f>
        <v>B00KS9T77K</v>
      </c>
      <c r="E267" t="str">
        <f>IFERROR(__xludf.DUMMYFUNCTION("""COMPUTED_VALUE"""),"085455218194")</f>
        <v>085455218194</v>
      </c>
      <c r="F267">
        <f>IFERROR(__xludf.DUMMYFUNCTION("""COMPUTED_VALUE"""),576.0)</f>
        <v>576</v>
      </c>
      <c r="G267">
        <f>IFERROR(__xludf.DUMMYFUNCTION("""COMPUTED_VALUE"""),8800.0)</f>
        <v>8800</v>
      </c>
      <c r="H267" s="2">
        <f>IFERROR(__xludf.DUMMYFUNCTION("""COMPUTED_VALUE"""),1.25)</f>
        <v>1.25</v>
      </c>
      <c r="I267" s="2">
        <f>IFERROR(__xludf.DUMMYFUNCTION("""COMPUTED_VALUE"""),4.47)</f>
        <v>4.47</v>
      </c>
      <c r="J267" s="2">
        <f>IFERROR(__xludf.DUMMYFUNCTION("""COMPUTED_VALUE"""),3.2199999999999998)</f>
        <v>3.22</v>
      </c>
      <c r="K267" s="5">
        <f>IFERROR(__xludf.DUMMYFUNCTION("""COMPUTED_VALUE"""),2.5759999999999996)</f>
        <v>2.576</v>
      </c>
      <c r="L267">
        <f>IFERROR(__xludf.DUMMYFUNCTION("""COMPUTED_VALUE"""),31887.0)</f>
        <v>31887</v>
      </c>
      <c r="M267" t="str">
        <f>IFERROR(__xludf.DUMMYFUNCTION("""COMPUTED_VALUE"""),"Kitchen")</f>
        <v>Kitchen</v>
      </c>
      <c r="O267" t="str">
        <f>IFERROR(__xludf.DUMMYFUNCTION("""COMPUTED_VALUE"""),"N")</f>
        <v>N</v>
      </c>
      <c r="P267" s="1" t="str">
        <f>IFERROR(__xludf.DUMMYFUNCTION("""COMPUTED_VALUE"""),"ID 7865")</f>
        <v>ID 7865</v>
      </c>
      <c r="Q267" s="1" t="str">
        <f>IFERROR(__xludf.DUMMYFUNCTION("""COMPUTED_VALUE"""),"B00KS9T77K")</f>
        <v>B00KS9T77K</v>
      </c>
    </row>
    <row r="268">
      <c r="A268" s="6">
        <f>IFERROR(__xludf.DUMMYFUNCTION("""COMPUTED_VALUE"""),44941.0)</f>
        <v>44941</v>
      </c>
      <c r="B268">
        <f>IFERROR(__xludf.DUMMYFUNCTION("""COMPUTED_VALUE"""),22631.0)</f>
        <v>22631</v>
      </c>
      <c r="C268" t="str">
        <f>IFERROR(__xludf.DUMMYFUNCTION("""COMPUTED_VALUE"""),"Sharpie Permanent Marker, Chisel Tip, Magenta, Each")</f>
        <v>Sharpie Permanent Marker, Chisel Tip, Magenta, Each</v>
      </c>
      <c r="D268" t="str">
        <f>IFERROR(__xludf.DUMMYFUNCTION("""COMPUTED_VALUE"""),"B077NR1PHS")</f>
        <v>B077NR1PHS</v>
      </c>
      <c r="E268" t="str">
        <f>IFERROR(__xludf.DUMMYFUNCTION("""COMPUTED_VALUE"""),"71641086869")</f>
        <v>71641086869</v>
      </c>
      <c r="F268">
        <f>IFERROR(__xludf.DUMMYFUNCTION("""COMPUTED_VALUE"""),5328.0)</f>
        <v>5328</v>
      </c>
      <c r="G268">
        <f>IFERROR(__xludf.DUMMYFUNCTION("""COMPUTED_VALUE"""),42855.0)</f>
        <v>42855</v>
      </c>
      <c r="H268" s="2">
        <f>IFERROR(__xludf.DUMMYFUNCTION("""COMPUTED_VALUE"""),0.75)</f>
        <v>0.75</v>
      </c>
      <c r="I268" s="2">
        <f>IFERROR(__xludf.DUMMYFUNCTION("""COMPUTED_VALUE"""),3.97)</f>
        <v>3.97</v>
      </c>
      <c r="J268" s="2">
        <f>IFERROR(__xludf.DUMMYFUNCTION("""COMPUTED_VALUE"""),3.22)</f>
        <v>3.22</v>
      </c>
      <c r="K268" s="5">
        <f>IFERROR(__xludf.DUMMYFUNCTION("""COMPUTED_VALUE"""),4.293333333333334)</f>
        <v>4.293333333</v>
      </c>
      <c r="L268">
        <f>IFERROR(__xludf.DUMMYFUNCTION("""COMPUTED_VALUE"""),92426.0)</f>
        <v>92426</v>
      </c>
      <c r="M268" t="str">
        <f>IFERROR(__xludf.DUMMYFUNCTION("""COMPUTED_VALUE"""),"Office Product")</f>
        <v>Office Product</v>
      </c>
      <c r="O268" t="str">
        <f>IFERROR(__xludf.DUMMYFUNCTION("""COMPUTED_VALUE"""),"N")</f>
        <v>N</v>
      </c>
      <c r="P268" s="1" t="str">
        <f>IFERROR(__xludf.DUMMYFUNCTION("""COMPUTED_VALUE"""),"ID 22631")</f>
        <v>ID 22631</v>
      </c>
      <c r="Q268" s="1" t="str">
        <f>IFERROR(__xludf.DUMMYFUNCTION("""COMPUTED_VALUE"""),"B077NR1PHS")</f>
        <v>B077NR1PHS</v>
      </c>
    </row>
    <row r="269">
      <c r="A269" s="6">
        <f>IFERROR(__xludf.DUMMYFUNCTION("""COMPUTED_VALUE"""),43958.0)</f>
        <v>43958</v>
      </c>
      <c r="B269">
        <f>IFERROR(__xludf.DUMMYFUNCTION("""COMPUTED_VALUE"""),588.0)</f>
        <v>588</v>
      </c>
      <c r="C269" t="str">
        <f>IFERROR(__xludf.DUMMYFUNCTION("""COMPUTED_VALUE"""),"Brush Buddies 2 Piece Shopkins Toothbrush")</f>
        <v>Brush Buddies 2 Piece Shopkins Toothbrush</v>
      </c>
      <c r="D269" t="str">
        <f>IFERROR(__xludf.DUMMYFUNCTION("""COMPUTED_VALUE"""),"B014LXD6L6")</f>
        <v>B014LXD6L6</v>
      </c>
      <c r="E269" t="str">
        <f>IFERROR(__xludf.DUMMYFUNCTION("""COMPUTED_VALUE"""),"748616029670")</f>
        <v>748616029670</v>
      </c>
      <c r="F269">
        <f>IFERROR(__xludf.DUMMYFUNCTION("""COMPUTED_VALUE"""),1200.0)</f>
        <v>1200</v>
      </c>
      <c r="G269">
        <f>IFERROR(__xludf.DUMMYFUNCTION("""COMPUTED_VALUE"""),292.0)</f>
        <v>292</v>
      </c>
      <c r="H269" s="2">
        <f>IFERROR(__xludf.DUMMYFUNCTION("""COMPUTED_VALUE"""),0.8)</f>
        <v>0.8</v>
      </c>
      <c r="I269" s="2">
        <f>IFERROR(__xludf.DUMMYFUNCTION("""COMPUTED_VALUE"""),4.0)</f>
        <v>4</v>
      </c>
      <c r="J269" s="2">
        <f>IFERROR(__xludf.DUMMYFUNCTION("""COMPUTED_VALUE"""),3.2)</f>
        <v>3.2</v>
      </c>
      <c r="K269" s="5">
        <f>IFERROR(__xludf.DUMMYFUNCTION("""COMPUTED_VALUE"""),4.0)</f>
        <v>4</v>
      </c>
      <c r="L269">
        <f>IFERROR(__xludf.DUMMYFUNCTION("""COMPUTED_VALUE"""),3308.0)</f>
        <v>3308</v>
      </c>
      <c r="M269" t="str">
        <f>IFERROR(__xludf.DUMMYFUNCTION("""COMPUTED_VALUE"""),"Beauty")</f>
        <v>Beauty</v>
      </c>
      <c r="O269" t="str">
        <f>IFERROR(__xludf.DUMMYFUNCTION("""COMPUTED_VALUE"""),"N")</f>
        <v>N</v>
      </c>
      <c r="P269" s="1" t="str">
        <f>IFERROR(__xludf.DUMMYFUNCTION("""COMPUTED_VALUE"""),"ID 588")</f>
        <v>ID 588</v>
      </c>
      <c r="Q269" s="1" t="str">
        <f>IFERROR(__xludf.DUMMYFUNCTION("""COMPUTED_VALUE"""),"B014LXD6L6")</f>
        <v>B014LXD6L6</v>
      </c>
    </row>
    <row r="270">
      <c r="A270" s="6">
        <f>IFERROR(__xludf.DUMMYFUNCTION("""COMPUTED_VALUE"""),45357.0)</f>
        <v>45357</v>
      </c>
      <c r="B270">
        <f>IFERROR(__xludf.DUMMYFUNCTION("""COMPUTED_VALUE"""),22339.0)</f>
        <v>22339</v>
      </c>
      <c r="C270" t="str">
        <f>IFERROR(__xludf.DUMMYFUNCTION("""COMPUTED_VALUE"""),"Pilot Super Color Permanent Marker Refill Ink, Xylene-Free, 1 Ounce Bottle with Dropper, Green Ink (48800)")</f>
        <v>Pilot Super Color Permanent Marker Refill Ink, Xylene-Free, 1 Ounce Bottle with Dropper, Green Ink (48800)</v>
      </c>
      <c r="D270" t="str">
        <f>IFERROR(__xludf.DUMMYFUNCTION("""COMPUTED_VALUE"""),"B00FACLZQQ")</f>
        <v>B00FACLZQQ</v>
      </c>
      <c r="E270" t="str">
        <f>IFERROR(__xludf.DUMMYFUNCTION("""COMPUTED_VALUE"""),"072838488008")</f>
        <v>072838488008</v>
      </c>
      <c r="F270">
        <f>IFERROR(__xludf.DUMMYFUNCTION("""COMPUTED_VALUE"""),720.0)</f>
        <v>720</v>
      </c>
      <c r="G270">
        <f>IFERROR(__xludf.DUMMYFUNCTION("""COMPUTED_VALUE"""),10000.0)</f>
        <v>10000</v>
      </c>
      <c r="H270" s="2">
        <f>IFERROR(__xludf.DUMMYFUNCTION("""COMPUTED_VALUE"""),1.5)</f>
        <v>1.5</v>
      </c>
      <c r="I270" s="2">
        <f>IFERROR(__xludf.DUMMYFUNCTION("""COMPUTED_VALUE"""),4.7)</f>
        <v>4.7</v>
      </c>
      <c r="J270" s="2">
        <f>IFERROR(__xludf.DUMMYFUNCTION("""COMPUTED_VALUE"""),3.2)</f>
        <v>3.2</v>
      </c>
      <c r="K270" s="5">
        <f>IFERROR(__xludf.DUMMYFUNCTION("""COMPUTED_VALUE"""),2.1333333333333333)</f>
        <v>2.133333333</v>
      </c>
      <c r="L270">
        <f>IFERROR(__xludf.DUMMYFUNCTION("""COMPUTED_VALUE"""),29364.0)</f>
        <v>29364</v>
      </c>
      <c r="M270" t="str">
        <f>IFERROR(__xludf.DUMMYFUNCTION("""COMPUTED_VALUE"""),"Office Product")</f>
        <v>Office Product</v>
      </c>
      <c r="O270" t="str">
        <f>IFERROR(__xludf.DUMMYFUNCTION("""COMPUTED_VALUE"""),"N")</f>
        <v>N</v>
      </c>
      <c r="P270" s="1" t="str">
        <f>IFERROR(__xludf.DUMMYFUNCTION("""COMPUTED_VALUE"""),"ID 22339")</f>
        <v>ID 22339</v>
      </c>
      <c r="Q270" s="1" t="str">
        <f>IFERROR(__xludf.DUMMYFUNCTION("""COMPUTED_VALUE"""),"B00FACLZQQ")</f>
        <v>B00FACLZQQ</v>
      </c>
    </row>
    <row r="271">
      <c r="A271" s="6">
        <f>IFERROR(__xludf.DUMMYFUNCTION("""COMPUTED_VALUE"""),45113.0)</f>
        <v>45113</v>
      </c>
      <c r="B271">
        <f>IFERROR(__xludf.DUMMYFUNCTION("""COMPUTED_VALUE"""),15142.0)</f>
        <v>15142</v>
      </c>
      <c r="C271" t="str">
        <f>IFERROR(__xludf.DUMMYFUNCTION("""COMPUTED_VALUE"""),"Elmer's Slime Activator | Magical Liquid Slime Activator Solution, Updated Formula for Twice as Much Slime, (8.75 fl oz)")</f>
        <v>Elmer's Slime Activator | Magical Liquid Slime Activator Solution, Updated Formula for Twice as Much Slime, (8.75 fl oz)</v>
      </c>
      <c r="D271" t="str">
        <f>IFERROR(__xludf.DUMMYFUNCTION("""COMPUTED_VALUE"""),"B076JVC67K")</f>
        <v>B076JVC67K</v>
      </c>
      <c r="E271" t="str">
        <f>IFERROR(__xludf.DUMMYFUNCTION("""COMPUTED_VALUE"""),"26000183215")</f>
        <v>26000183215</v>
      </c>
      <c r="F271">
        <f>IFERROR(__xludf.DUMMYFUNCTION("""COMPUTED_VALUE"""),594.0)</f>
        <v>594</v>
      </c>
      <c r="G271">
        <f>IFERROR(__xludf.DUMMYFUNCTION("""COMPUTED_VALUE"""),10000.0)</f>
        <v>10000</v>
      </c>
      <c r="H271" s="2">
        <f>IFERROR(__xludf.DUMMYFUNCTION("""COMPUTED_VALUE"""),5.0)</f>
        <v>5</v>
      </c>
      <c r="I271" s="2">
        <f>IFERROR(__xludf.DUMMYFUNCTION("""COMPUTED_VALUE"""),8.16)</f>
        <v>8.16</v>
      </c>
      <c r="J271" s="2">
        <f>IFERROR(__xludf.DUMMYFUNCTION("""COMPUTED_VALUE"""),3.16)</f>
        <v>3.16</v>
      </c>
      <c r="K271" s="5">
        <f>IFERROR(__xludf.DUMMYFUNCTION("""COMPUTED_VALUE"""),0.632)</f>
        <v>0.632</v>
      </c>
      <c r="L271">
        <f>IFERROR(__xludf.DUMMYFUNCTION("""COMPUTED_VALUE"""),34.0)</f>
        <v>34</v>
      </c>
      <c r="M271" t="str">
        <f>IFERROR(__xludf.DUMMYFUNCTION("""COMPUTED_VALUE"""),"Office Product")</f>
        <v>Office Product</v>
      </c>
      <c r="O271" t="str">
        <f>IFERROR(__xludf.DUMMYFUNCTION("""COMPUTED_VALUE"""),"N")</f>
        <v>N</v>
      </c>
      <c r="P271" s="1" t="str">
        <f>IFERROR(__xludf.DUMMYFUNCTION("""COMPUTED_VALUE"""),"ID 15142")</f>
        <v>ID 15142</v>
      </c>
      <c r="Q271" s="1" t="str">
        <f>IFERROR(__xludf.DUMMYFUNCTION("""COMPUTED_VALUE"""),"B076JVC67K")</f>
        <v>B076JVC67K</v>
      </c>
    </row>
    <row r="272">
      <c r="A272" s="6">
        <f>IFERROR(__xludf.DUMMYFUNCTION("""COMPUTED_VALUE"""),45097.0)</f>
        <v>45097</v>
      </c>
      <c r="B272">
        <f>IFERROR(__xludf.DUMMYFUNCTION("""COMPUTED_VALUE"""),19764.0)</f>
        <v>19764</v>
      </c>
      <c r="C272" t="str">
        <f>IFERROR(__xludf.DUMMYFUNCTION("""COMPUTED_VALUE"""),"tech21 EvoClear for Apple iPhone 12 Mini 5G - Germ Fighting Antimicrobial Phone Case with 10 ft. Drop Protection, Clear")</f>
        <v>tech21 EvoClear for Apple iPhone 12 Mini 5G - Germ Fighting Antimicrobial Phone Case with 10 ft. Drop Protection, Clear</v>
      </c>
      <c r="D272" t="str">
        <f>IFERROR(__xludf.DUMMYFUNCTION("""COMPUTED_VALUE"""),"B08CNNGYX2")</f>
        <v>B08CNNGYX2</v>
      </c>
      <c r="F272">
        <f>IFERROR(__xludf.DUMMYFUNCTION("""COMPUTED_VALUE"""),1300.0)</f>
        <v>1300</v>
      </c>
      <c r="G272">
        <f>IFERROR(__xludf.DUMMYFUNCTION("""COMPUTED_VALUE"""),1999.0)</f>
        <v>1999</v>
      </c>
      <c r="H272" s="2">
        <f>IFERROR(__xludf.DUMMYFUNCTION("""COMPUTED_VALUE"""),1.25)</f>
        <v>1.25</v>
      </c>
      <c r="I272" s="2">
        <f>IFERROR(__xludf.DUMMYFUNCTION("""COMPUTED_VALUE"""),4.41)</f>
        <v>4.41</v>
      </c>
      <c r="J272" s="2">
        <f>IFERROR(__xludf.DUMMYFUNCTION("""COMPUTED_VALUE"""),3.16)</f>
        <v>3.16</v>
      </c>
      <c r="K272" s="5">
        <f>IFERROR(__xludf.DUMMYFUNCTION("""COMPUTED_VALUE"""),2.528)</f>
        <v>2.528</v>
      </c>
      <c r="L272">
        <f>IFERROR(__xludf.DUMMYFUNCTION("""COMPUTED_VALUE"""),8510.0)</f>
        <v>8510</v>
      </c>
      <c r="M272" t="str">
        <f>IFERROR(__xludf.DUMMYFUNCTION("""COMPUTED_VALUE"""),"Wireless")</f>
        <v>Wireless</v>
      </c>
      <c r="O272" t="str">
        <f>IFERROR(__xludf.DUMMYFUNCTION("""COMPUTED_VALUE"""),"Y")</f>
        <v>Y</v>
      </c>
      <c r="P272" s="1" t="str">
        <f>IFERROR(__xludf.DUMMYFUNCTION("""COMPUTED_VALUE"""),"ID 19764")</f>
        <v>ID 19764</v>
      </c>
      <c r="Q272" s="1" t="str">
        <f>IFERROR(__xludf.DUMMYFUNCTION("""COMPUTED_VALUE"""),"B08CNNGYX2")</f>
        <v>B08CNNGYX2</v>
      </c>
    </row>
    <row r="273">
      <c r="A273" s="6">
        <f>IFERROR(__xludf.DUMMYFUNCTION("""COMPUTED_VALUE"""),45425.0)</f>
        <v>45425</v>
      </c>
      <c r="B273">
        <f>IFERROR(__xludf.DUMMYFUNCTION("""COMPUTED_VALUE"""),5854.0)</f>
        <v>5854</v>
      </c>
      <c r="C273" t="str">
        <f>IFERROR(__xludf.DUMMYFUNCTION("""COMPUTED_VALUE"""),"Anchor Hocking Oven Basics 4.8-quart Glass Baking Dish, Rectangular, Set of 1")</f>
        <v>Anchor Hocking Oven Basics 4.8-quart Glass Baking Dish, Rectangular, Set of 1</v>
      </c>
      <c r="D273" t="str">
        <f>IFERROR(__xludf.DUMMYFUNCTION("""COMPUTED_VALUE"""),"B000JGDND6")</f>
        <v>B000JGDND6</v>
      </c>
      <c r="E273" t="str">
        <f>IFERROR(__xludf.DUMMYFUNCTION("""COMPUTED_VALUE"""),"076440819380")</f>
        <v>076440819380</v>
      </c>
      <c r="F273">
        <f>IFERROR(__xludf.DUMMYFUNCTION("""COMPUTED_VALUE"""),174.0)</f>
        <v>174</v>
      </c>
      <c r="G273">
        <f>IFERROR(__xludf.DUMMYFUNCTION("""COMPUTED_VALUE"""),10000.0)</f>
        <v>10000</v>
      </c>
      <c r="H273" s="2">
        <f>IFERROR(__xludf.DUMMYFUNCTION("""COMPUTED_VALUE"""),8.25)</f>
        <v>8.25</v>
      </c>
      <c r="I273" s="2">
        <f>IFERROR(__xludf.DUMMYFUNCTION("""COMPUTED_VALUE"""),11.39)</f>
        <v>11.39</v>
      </c>
      <c r="J273" s="2">
        <f>IFERROR(__xludf.DUMMYFUNCTION("""COMPUTED_VALUE"""),3.1400000000000006)</f>
        <v>3.14</v>
      </c>
      <c r="K273" s="5">
        <f>IFERROR(__xludf.DUMMYFUNCTION("""COMPUTED_VALUE"""),0.38060606060606067)</f>
        <v>0.3806060606</v>
      </c>
      <c r="L273">
        <f>IFERROR(__xludf.DUMMYFUNCTION("""COMPUTED_VALUE"""),3404.0)</f>
        <v>3404</v>
      </c>
      <c r="M273" t="str">
        <f>IFERROR(__xludf.DUMMYFUNCTION("""COMPUTED_VALUE"""),"Kitchen")</f>
        <v>Kitchen</v>
      </c>
      <c r="N273" t="str">
        <f>IFERROR(__xludf.DUMMYFUNCTION("""COMPUTED_VALUE"""),"New, bulk packaging (brown box)")</f>
        <v>New, bulk packaging (brown box)</v>
      </c>
      <c r="O273" t="str">
        <f>IFERROR(__xludf.DUMMYFUNCTION("""COMPUTED_VALUE"""),"Y")</f>
        <v>Y</v>
      </c>
      <c r="P273" s="1" t="str">
        <f>IFERROR(__xludf.DUMMYFUNCTION("""COMPUTED_VALUE"""),"ID 5854")</f>
        <v>ID 5854</v>
      </c>
      <c r="Q273" s="1" t="str">
        <f>IFERROR(__xludf.DUMMYFUNCTION("""COMPUTED_VALUE"""),"B000JGDND6")</f>
        <v>B000JGDND6</v>
      </c>
    </row>
    <row r="274">
      <c r="A274" s="6">
        <f>IFERROR(__xludf.DUMMYFUNCTION("""COMPUTED_VALUE"""),44469.0)</f>
        <v>44469</v>
      </c>
      <c r="B274">
        <f>IFERROR(__xludf.DUMMYFUNCTION("""COMPUTED_VALUE"""),20516.0)</f>
        <v>20516</v>
      </c>
      <c r="C274" t="str">
        <f>IFERROR(__xludf.DUMMYFUNCTION("""COMPUTED_VALUE"""),"Borderlands Game of the Year -Xbox 360")</f>
        <v>Borderlands Game of the Year -Xbox 360</v>
      </c>
      <c r="D274" t="str">
        <f>IFERROR(__xludf.DUMMYFUNCTION("""COMPUTED_VALUE"""),"B0041OWQUI")</f>
        <v>B0041OWQUI</v>
      </c>
      <c r="E274" t="str">
        <f>IFERROR(__xludf.DUMMYFUNCTION("""COMPUTED_VALUE"""),"710425399824")</f>
        <v>710425399824</v>
      </c>
      <c r="F274">
        <f>IFERROR(__xludf.DUMMYFUNCTION("""COMPUTED_VALUE"""),140.0)</f>
        <v>140</v>
      </c>
      <c r="G274">
        <f>IFERROR(__xludf.DUMMYFUNCTION("""COMPUTED_VALUE"""),4299.0)</f>
        <v>4299</v>
      </c>
      <c r="H274" s="2">
        <f>IFERROR(__xludf.DUMMYFUNCTION("""COMPUTED_VALUE"""),9.5)</f>
        <v>9.5</v>
      </c>
      <c r="I274" s="2">
        <f>IFERROR(__xludf.DUMMYFUNCTION("""COMPUTED_VALUE"""),12.6)</f>
        <v>12.6</v>
      </c>
      <c r="J274" s="2">
        <f>IFERROR(__xludf.DUMMYFUNCTION("""COMPUTED_VALUE"""),3.0999999999999996)</f>
        <v>3.1</v>
      </c>
      <c r="K274" s="5">
        <f>IFERROR(__xludf.DUMMYFUNCTION("""COMPUTED_VALUE"""),0.32631578947368417)</f>
        <v>0.3263157895</v>
      </c>
      <c r="L274">
        <f>IFERROR(__xludf.DUMMYFUNCTION("""COMPUTED_VALUE"""),45228.0)</f>
        <v>45228</v>
      </c>
      <c r="M274" t="str">
        <f>IFERROR(__xludf.DUMMYFUNCTION("""COMPUTED_VALUE"""),"Video Games")</f>
        <v>Video Games</v>
      </c>
      <c r="O274" t="str">
        <f>IFERROR(__xludf.DUMMYFUNCTION("""COMPUTED_VALUE"""),"N")</f>
        <v>N</v>
      </c>
      <c r="P274" s="1" t="str">
        <f>IFERROR(__xludf.DUMMYFUNCTION("""COMPUTED_VALUE"""),"ID 20516")</f>
        <v>ID 20516</v>
      </c>
      <c r="Q274" s="1" t="str">
        <f>IFERROR(__xludf.DUMMYFUNCTION("""COMPUTED_VALUE"""),"B0041OWQUI")</f>
        <v>B0041OWQUI</v>
      </c>
    </row>
    <row r="275">
      <c r="A275" s="6">
        <f>IFERROR(__xludf.DUMMYFUNCTION("""COMPUTED_VALUE"""),45429.0)</f>
        <v>45429</v>
      </c>
      <c r="B275">
        <f>IFERROR(__xludf.DUMMYFUNCTION("""COMPUTED_VALUE"""),18038.0)</f>
        <v>18038</v>
      </c>
      <c r="C275" t="str">
        <f>IFERROR(__xludf.DUMMYFUNCTION("""COMPUTED_VALUE"""),"Paco by Paco Rabanne for Men - 3.3 oz EDT Spray")</f>
        <v>Paco by Paco Rabanne for Men - 3.3 oz EDT Spray</v>
      </c>
      <c r="D275" t="str">
        <f>IFERROR(__xludf.DUMMYFUNCTION("""COMPUTED_VALUE"""),"B000C217SA")</f>
        <v>B000C217SA</v>
      </c>
      <c r="E275" t="str">
        <f>IFERROR(__xludf.DUMMYFUNCTION("""COMPUTED_VALUE"""),"3349668081318")</f>
        <v>3349668081318</v>
      </c>
      <c r="F275">
        <f>IFERROR(__xludf.DUMMYFUNCTION("""COMPUTED_VALUE"""),60.0)</f>
        <v>60</v>
      </c>
      <c r="G275">
        <f>IFERROR(__xludf.DUMMYFUNCTION("""COMPUTED_VALUE"""),278.0)</f>
        <v>278</v>
      </c>
      <c r="H275" s="2">
        <f>IFERROR(__xludf.DUMMYFUNCTION("""COMPUTED_VALUE"""),23.0)</f>
        <v>23</v>
      </c>
      <c r="I275" s="2">
        <f>IFERROR(__xludf.DUMMYFUNCTION("""COMPUTED_VALUE"""),26.1)</f>
        <v>26.1</v>
      </c>
      <c r="J275" s="2">
        <f>IFERROR(__xludf.DUMMYFUNCTION("""COMPUTED_VALUE"""),3.1000000000000014)</f>
        <v>3.1</v>
      </c>
      <c r="K275" s="5">
        <f>IFERROR(__xludf.DUMMYFUNCTION("""COMPUTED_VALUE"""),0.13478260869565223)</f>
        <v>0.1347826087</v>
      </c>
      <c r="L275">
        <f>IFERROR(__xludf.DUMMYFUNCTION("""COMPUTED_VALUE"""),83960.0)</f>
        <v>83960</v>
      </c>
      <c r="M275" t="str">
        <f>IFERROR(__xludf.DUMMYFUNCTION("""COMPUTED_VALUE"""),"Beauty")</f>
        <v>Beauty</v>
      </c>
      <c r="O275" t="str">
        <f>IFERROR(__xludf.DUMMYFUNCTION("""COMPUTED_VALUE"""),"Y")</f>
        <v>Y</v>
      </c>
      <c r="P275" s="1" t="str">
        <f>IFERROR(__xludf.DUMMYFUNCTION("""COMPUTED_VALUE"""),"ID 18038")</f>
        <v>ID 18038</v>
      </c>
      <c r="Q275" s="1" t="str">
        <f>IFERROR(__xludf.DUMMYFUNCTION("""COMPUTED_VALUE"""),"B000C217SA")</f>
        <v>B000C217SA</v>
      </c>
    </row>
    <row r="276">
      <c r="A276" s="6">
        <f>IFERROR(__xludf.DUMMYFUNCTION("""COMPUTED_VALUE"""),45140.0)</f>
        <v>45140</v>
      </c>
      <c r="B276">
        <f>IFERROR(__xludf.DUMMYFUNCTION("""COMPUTED_VALUE"""),25658.0)</f>
        <v>25658</v>
      </c>
      <c r="C276" t="str">
        <f>IFERROR(__xludf.DUMMYFUNCTION("""COMPUTED_VALUE"""),"Rapidesign Metric Large Circles Template, 1 Each (R2140)")</f>
        <v>Rapidesign Metric Large Circles Template, 1 Each (R2140)</v>
      </c>
      <c r="D276" t="str">
        <f>IFERROR(__xludf.DUMMYFUNCTION("""COMPUTED_VALUE"""),"B001OA1AV8")</f>
        <v>B001OA1AV8</v>
      </c>
      <c r="E276" t="str">
        <f>IFERROR(__xludf.DUMMYFUNCTION("""COMPUTED_VALUE"""),"014173252975")</f>
        <v>014173252975</v>
      </c>
      <c r="F276">
        <f>IFERROR(__xludf.DUMMYFUNCTION("""COMPUTED_VALUE"""),252.0)</f>
        <v>252</v>
      </c>
      <c r="G276">
        <f>IFERROR(__xludf.DUMMYFUNCTION("""COMPUTED_VALUE"""),10000.0)</f>
        <v>10000</v>
      </c>
      <c r="H276" s="2">
        <f>IFERROR(__xludf.DUMMYFUNCTION("""COMPUTED_VALUE"""),8.5)</f>
        <v>8.5</v>
      </c>
      <c r="I276" s="2">
        <f>IFERROR(__xludf.DUMMYFUNCTION("""COMPUTED_VALUE"""),11.6)</f>
        <v>11.6</v>
      </c>
      <c r="J276" s="2">
        <f>IFERROR(__xludf.DUMMYFUNCTION("""COMPUTED_VALUE"""),3.0999999999999996)</f>
        <v>3.1</v>
      </c>
      <c r="K276" s="5">
        <f>IFERROR(__xludf.DUMMYFUNCTION("""COMPUTED_VALUE"""),0.36470588235294116)</f>
        <v>0.3647058824</v>
      </c>
      <c r="L276">
        <f>IFERROR(__xludf.DUMMYFUNCTION("""COMPUTED_VALUE"""),80481.0)</f>
        <v>80481</v>
      </c>
      <c r="M276" t="str">
        <f>IFERROR(__xludf.DUMMYFUNCTION("""COMPUTED_VALUE"""),"Office Product")</f>
        <v>Office Product</v>
      </c>
      <c r="O276" t="str">
        <f>IFERROR(__xludf.DUMMYFUNCTION("""COMPUTED_VALUE"""),"N")</f>
        <v>N</v>
      </c>
      <c r="P276" s="1" t="str">
        <f>IFERROR(__xludf.DUMMYFUNCTION("""COMPUTED_VALUE"""),"ID 25658")</f>
        <v>ID 25658</v>
      </c>
      <c r="Q276" s="1" t="str">
        <f>IFERROR(__xludf.DUMMYFUNCTION("""COMPUTED_VALUE"""),"B001OA1AV8")</f>
        <v>B001OA1AV8</v>
      </c>
    </row>
    <row r="277">
      <c r="A277" s="6">
        <f>IFERROR(__xludf.DUMMYFUNCTION("""COMPUTED_VALUE"""),45376.0)</f>
        <v>45376</v>
      </c>
      <c r="B277">
        <f>IFERROR(__xludf.DUMMYFUNCTION("""COMPUTED_VALUE"""),17081.0)</f>
        <v>17081</v>
      </c>
      <c r="C277" t="str">
        <f>IFERROR(__xludf.DUMMYFUNCTION("""COMPUTED_VALUE"""),"DIXON Industrial REACH- Deep Hole Permanent Marker, Black, 1-Count (14201)")</f>
        <v>DIXON Industrial REACH- Deep Hole Permanent Marker, Black, 1-Count (14201)</v>
      </c>
      <c r="D277" t="str">
        <f>IFERROR(__xludf.DUMMYFUNCTION("""COMPUTED_VALUE"""),"B00WRMVUAS")</f>
        <v>B00WRMVUAS</v>
      </c>
      <c r="E277" t="str">
        <f>IFERROR(__xludf.DUMMYFUNCTION("""COMPUTED_VALUE"""),"072067142016")</f>
        <v>072067142016</v>
      </c>
      <c r="F277">
        <f>IFERROR(__xludf.DUMMYFUNCTION("""COMPUTED_VALUE"""),1512.0)</f>
        <v>1512</v>
      </c>
      <c r="G277">
        <f>IFERROR(__xludf.DUMMYFUNCTION("""COMPUTED_VALUE"""),10000.0)</f>
        <v>10000</v>
      </c>
      <c r="H277" s="2">
        <f>IFERROR(__xludf.DUMMYFUNCTION("""COMPUTED_VALUE"""),2.5)</f>
        <v>2.5</v>
      </c>
      <c r="I277" s="2">
        <f>IFERROR(__xludf.DUMMYFUNCTION("""COMPUTED_VALUE"""),5.59)</f>
        <v>5.59</v>
      </c>
      <c r="J277" s="2">
        <f>IFERROR(__xludf.DUMMYFUNCTION("""COMPUTED_VALUE"""),3.09)</f>
        <v>3.09</v>
      </c>
      <c r="K277" s="5">
        <f>IFERROR(__xludf.DUMMYFUNCTION("""COMPUTED_VALUE"""),1.236)</f>
        <v>1.236</v>
      </c>
      <c r="L277">
        <f>IFERROR(__xludf.DUMMYFUNCTION("""COMPUTED_VALUE"""),28976.0)</f>
        <v>28976</v>
      </c>
      <c r="M277" t="str">
        <f>IFERROR(__xludf.DUMMYFUNCTION("""COMPUTED_VALUE"""),"Office Product")</f>
        <v>Office Product</v>
      </c>
      <c r="O277" t="str">
        <f>IFERROR(__xludf.DUMMYFUNCTION("""COMPUTED_VALUE"""),"Y")</f>
        <v>Y</v>
      </c>
      <c r="P277" s="1" t="str">
        <f>IFERROR(__xludf.DUMMYFUNCTION("""COMPUTED_VALUE"""),"ID 17081")</f>
        <v>ID 17081</v>
      </c>
      <c r="Q277" s="1" t="str">
        <f>IFERROR(__xludf.DUMMYFUNCTION("""COMPUTED_VALUE"""),"B00WRMVUAS")</f>
        <v>B00WRMVUAS</v>
      </c>
    </row>
    <row r="278">
      <c r="A278" s="6">
        <f>IFERROR(__xludf.DUMMYFUNCTION("""COMPUTED_VALUE"""),45429.0)</f>
        <v>45429</v>
      </c>
      <c r="B278">
        <f>IFERROR(__xludf.DUMMYFUNCTION("""COMPUTED_VALUE"""),20792.0)</f>
        <v>20792</v>
      </c>
      <c r="C278" t="str">
        <f>IFERROR(__xludf.DUMMYFUNCTION("""COMPUTED_VALUE"""),"CURVE CRUSH by Liz Claiborne EDT SPRAY 3.4 OZTESTER")</f>
        <v>CURVE CRUSH by Liz Claiborne EDT SPRAY 3.4 OZTESTER</v>
      </c>
      <c r="D278" t="str">
        <f>IFERROR(__xludf.DUMMYFUNCTION("""COMPUTED_VALUE"""),"B00BVO64C2")</f>
        <v>B00BVO64C2</v>
      </c>
      <c r="E278" t="str">
        <f>IFERROR(__xludf.DUMMYFUNCTION("""COMPUTED_VALUE"""),"098691026225")</f>
        <v>098691026225</v>
      </c>
      <c r="F278">
        <f>IFERROR(__xludf.DUMMYFUNCTION("""COMPUTED_VALUE"""),120.0)</f>
        <v>120</v>
      </c>
      <c r="G278">
        <f>IFERROR(__xludf.DUMMYFUNCTION("""COMPUTED_VALUE"""),10000.0)</f>
        <v>10000</v>
      </c>
      <c r="H278" s="2">
        <f>IFERROR(__xludf.DUMMYFUNCTION("""COMPUTED_VALUE"""),11.25)</f>
        <v>11.25</v>
      </c>
      <c r="I278" s="2">
        <f>IFERROR(__xludf.DUMMYFUNCTION("""COMPUTED_VALUE"""),14.34)</f>
        <v>14.34</v>
      </c>
      <c r="J278" s="2">
        <f>IFERROR(__xludf.DUMMYFUNCTION("""COMPUTED_VALUE"""),3.09)</f>
        <v>3.09</v>
      </c>
      <c r="K278" s="5">
        <f>IFERROR(__xludf.DUMMYFUNCTION("""COMPUTED_VALUE"""),0.27466666666666667)</f>
        <v>0.2746666667</v>
      </c>
      <c r="L278">
        <f>IFERROR(__xludf.DUMMYFUNCTION("""COMPUTED_VALUE"""),33458.0)</f>
        <v>33458</v>
      </c>
      <c r="M278" t="str">
        <f>IFERROR(__xludf.DUMMYFUNCTION("""COMPUTED_VALUE"""),"Beauty")</f>
        <v>Beauty</v>
      </c>
      <c r="O278" t="str">
        <f>IFERROR(__xludf.DUMMYFUNCTION("""COMPUTED_VALUE"""),"N")</f>
        <v>N</v>
      </c>
      <c r="P278" s="1" t="str">
        <f>IFERROR(__xludf.DUMMYFUNCTION("""COMPUTED_VALUE"""),"ID 20792")</f>
        <v>ID 20792</v>
      </c>
      <c r="Q278" s="1" t="str">
        <f>IFERROR(__xludf.DUMMYFUNCTION("""COMPUTED_VALUE"""),"B00BVO64C2")</f>
        <v>B00BVO64C2</v>
      </c>
    </row>
    <row r="279">
      <c r="A279" s="6">
        <f>IFERROR(__xludf.DUMMYFUNCTION("""COMPUTED_VALUE"""),45355.0)</f>
        <v>45355</v>
      </c>
      <c r="B279">
        <f>IFERROR(__xludf.DUMMYFUNCTION("""COMPUTED_VALUE"""),23778.0)</f>
        <v>23778</v>
      </c>
      <c r="C279" t="str">
        <f>IFERROR(__xludf.DUMMYFUNCTION("""COMPUTED_VALUE"""),"Smead Self-Adhesive Poly USB Flash Drive Pocket, Clear 6 per Pack (68150)")</f>
        <v>Smead Self-Adhesive Poly USB Flash Drive Pocket, Clear 6 per Pack (68150)</v>
      </c>
      <c r="D279" t="str">
        <f>IFERROR(__xludf.DUMMYFUNCTION("""COMPUTED_VALUE"""),"B007RM6GZW")</f>
        <v>B007RM6GZW</v>
      </c>
      <c r="E279" t="str">
        <f>IFERROR(__xludf.DUMMYFUNCTION("""COMPUTED_VALUE"""),"086486681506")</f>
        <v>086486681506</v>
      </c>
      <c r="F279">
        <f>IFERROR(__xludf.DUMMYFUNCTION("""COMPUTED_VALUE"""),600.0)</f>
        <v>600</v>
      </c>
      <c r="G279">
        <f>IFERROR(__xludf.DUMMYFUNCTION("""COMPUTED_VALUE"""),10000.0)</f>
        <v>10000</v>
      </c>
      <c r="H279" s="2">
        <f>IFERROR(__xludf.DUMMYFUNCTION("""COMPUTED_VALUE"""),5.25)</f>
        <v>5.25</v>
      </c>
      <c r="I279" s="2">
        <f>IFERROR(__xludf.DUMMYFUNCTION("""COMPUTED_VALUE"""),8.34)</f>
        <v>8.34</v>
      </c>
      <c r="J279" s="2">
        <f>IFERROR(__xludf.DUMMYFUNCTION("""COMPUTED_VALUE"""),3.09)</f>
        <v>3.09</v>
      </c>
      <c r="K279" s="5">
        <f>IFERROR(__xludf.DUMMYFUNCTION("""COMPUTED_VALUE"""),0.5885714285714285)</f>
        <v>0.5885714286</v>
      </c>
      <c r="L279">
        <f>IFERROR(__xludf.DUMMYFUNCTION("""COMPUTED_VALUE"""),99236.0)</f>
        <v>99236</v>
      </c>
      <c r="M279" t="str">
        <f>IFERROR(__xludf.DUMMYFUNCTION("""COMPUTED_VALUE"""),"Office Product")</f>
        <v>Office Product</v>
      </c>
      <c r="O279" t="str">
        <f>IFERROR(__xludf.DUMMYFUNCTION("""COMPUTED_VALUE"""),"Y")</f>
        <v>Y</v>
      </c>
      <c r="P279" s="1" t="str">
        <f>IFERROR(__xludf.DUMMYFUNCTION("""COMPUTED_VALUE"""),"ID 23778")</f>
        <v>ID 23778</v>
      </c>
      <c r="Q279" s="1" t="str">
        <f>IFERROR(__xludf.DUMMYFUNCTION("""COMPUTED_VALUE"""),"B007RM6GZW")</f>
        <v>B007RM6GZW</v>
      </c>
    </row>
    <row r="280">
      <c r="A280" s="6">
        <f>IFERROR(__xludf.DUMMYFUNCTION("""COMPUTED_VALUE"""),44411.0)</f>
        <v>44411</v>
      </c>
      <c r="B280">
        <f>IFERROR(__xludf.DUMMYFUNCTION("""COMPUTED_VALUE"""),21292.0)</f>
        <v>21292</v>
      </c>
      <c r="C280" t="str">
        <f>IFERROR(__xludf.DUMMYFUNCTION("""COMPUTED_VALUE"""),"China Glaze Nail Polish ***ASSORTED STYLES***")</f>
        <v>China Glaze Nail Polish ***ASSORTED STYLES***</v>
      </c>
      <c r="D280" t="str">
        <f>IFERROR(__xludf.DUMMYFUNCTION("""COMPUTED_VALUE"""),"B003EADL2C")</f>
        <v>B003EADL2C</v>
      </c>
      <c r="F280">
        <f>IFERROR(__xludf.DUMMYFUNCTION("""COMPUTED_VALUE"""),30000.0)</f>
        <v>30000</v>
      </c>
      <c r="G280">
        <f>IFERROR(__xludf.DUMMYFUNCTION("""COMPUTED_VALUE"""),30000.0)</f>
        <v>30000</v>
      </c>
      <c r="H280" s="2">
        <f>IFERROR(__xludf.DUMMYFUNCTION("""COMPUTED_VALUE"""),0.5)</f>
        <v>0.5</v>
      </c>
      <c r="I280" s="2">
        <f>IFERROR(__xludf.DUMMYFUNCTION("""COMPUTED_VALUE"""),3.58)</f>
        <v>3.58</v>
      </c>
      <c r="J280" s="2">
        <f>IFERROR(__xludf.DUMMYFUNCTION("""COMPUTED_VALUE"""),3.08)</f>
        <v>3.08</v>
      </c>
      <c r="K280" s="5">
        <f>IFERROR(__xludf.DUMMYFUNCTION("""COMPUTED_VALUE"""),6.16)</f>
        <v>6.16</v>
      </c>
      <c r="L280">
        <f>IFERROR(__xludf.DUMMYFUNCTION("""COMPUTED_VALUE"""),22355.0)</f>
        <v>22355</v>
      </c>
      <c r="M280" t="str">
        <f>IFERROR(__xludf.DUMMYFUNCTION("""COMPUTED_VALUE"""),"Beauty")</f>
        <v>Beauty</v>
      </c>
      <c r="N280" t="str">
        <f>IFERROR(__xludf.DUMMYFUNCTION("""COMPUTED_VALUE"""),"***ASSORTED STYLES*** Brand permission to resell on amazon unknown")</f>
        <v>***ASSORTED STYLES*** Brand permission to resell on amazon unknown</v>
      </c>
      <c r="O280" t="str">
        <f>IFERROR(__xludf.DUMMYFUNCTION("""COMPUTED_VALUE"""),"N")</f>
        <v>N</v>
      </c>
      <c r="P280" s="1" t="str">
        <f>IFERROR(__xludf.DUMMYFUNCTION("""COMPUTED_VALUE"""),"ID 21292")</f>
        <v>ID 21292</v>
      </c>
      <c r="Q280" s="1" t="str">
        <f>IFERROR(__xludf.DUMMYFUNCTION("""COMPUTED_VALUE"""),"B003EADL2C")</f>
        <v>B003EADL2C</v>
      </c>
    </row>
    <row r="281">
      <c r="A281" s="6">
        <f>IFERROR(__xludf.DUMMYFUNCTION("""COMPUTED_VALUE"""),44802.0)</f>
        <v>44802</v>
      </c>
      <c r="B281">
        <f>IFERROR(__xludf.DUMMYFUNCTION("""COMPUTED_VALUE"""),22145.0)</f>
        <v>22145</v>
      </c>
      <c r="C281" t="str">
        <f>IFERROR(__xludf.DUMMYFUNCTION("""COMPUTED_VALUE"""),"COVERGIRL clean fresh cream blush, sweet innocence, 1 count, 0.507 Fl Ounce")</f>
        <v>COVERGIRL clean fresh cream blush, sweet innocence, 1 count, 0.507 Fl Ounce</v>
      </c>
      <c r="D281" t="str">
        <f>IFERROR(__xludf.DUMMYFUNCTION("""COMPUTED_VALUE"""),"B07ZTQ72KX")</f>
        <v>B07ZTQ72KX</v>
      </c>
      <c r="E281" t="str">
        <f>IFERROR(__xludf.DUMMYFUNCTION("""COMPUTED_VALUE"""),"3614229322637")</f>
        <v>3614229322637</v>
      </c>
      <c r="F281">
        <f>IFERROR(__xludf.DUMMYFUNCTION("""COMPUTED_VALUE"""),910.0)</f>
        <v>910</v>
      </c>
      <c r="G281">
        <f>IFERROR(__xludf.DUMMYFUNCTION("""COMPUTED_VALUE"""),1440.0)</f>
        <v>1440</v>
      </c>
      <c r="H281" s="2">
        <f>IFERROR(__xludf.DUMMYFUNCTION("""COMPUTED_VALUE"""),2.0)</f>
        <v>2</v>
      </c>
      <c r="I281" s="2">
        <f>IFERROR(__xludf.DUMMYFUNCTION("""COMPUTED_VALUE"""),5.06)</f>
        <v>5.06</v>
      </c>
      <c r="J281" s="2">
        <f>IFERROR(__xludf.DUMMYFUNCTION("""COMPUTED_VALUE"""),3.0599999999999996)</f>
        <v>3.06</v>
      </c>
      <c r="K281" s="5">
        <f>IFERROR(__xludf.DUMMYFUNCTION("""COMPUTED_VALUE"""),1.5299999999999998)</f>
        <v>1.53</v>
      </c>
      <c r="L281">
        <f>IFERROR(__xludf.DUMMYFUNCTION("""COMPUTED_VALUE"""),69914.0)</f>
        <v>69914</v>
      </c>
      <c r="M281" t="str">
        <f>IFERROR(__xludf.DUMMYFUNCTION("""COMPUTED_VALUE"""),"Beauty")</f>
        <v>Beauty</v>
      </c>
      <c r="O281" t="str">
        <f>IFERROR(__xludf.DUMMYFUNCTION("""COMPUTED_VALUE"""),"N")</f>
        <v>N</v>
      </c>
      <c r="P281" s="1" t="str">
        <f>IFERROR(__xludf.DUMMYFUNCTION("""COMPUTED_VALUE"""),"ID 22145")</f>
        <v>ID 22145</v>
      </c>
      <c r="Q281" s="1" t="str">
        <f>IFERROR(__xludf.DUMMYFUNCTION("""COMPUTED_VALUE"""),"B07ZTQ72KX")</f>
        <v>B07ZTQ72KX</v>
      </c>
    </row>
    <row r="282">
      <c r="A282" s="6">
        <f>IFERROR(__xludf.DUMMYFUNCTION("""COMPUTED_VALUE"""),44627.0)</f>
        <v>44627</v>
      </c>
      <c r="B282">
        <f>IFERROR(__xludf.DUMMYFUNCTION("""COMPUTED_VALUE"""),12738.0)</f>
        <v>12738</v>
      </c>
      <c r="C282" t="str">
        <f>IFERROR(__xludf.DUMMYFUNCTION("""COMPUTED_VALUE"""),"Zippo High Polish Rose Gold Zippo Logo Pocket Lighter")</f>
        <v>Zippo High Polish Rose Gold Zippo Logo Pocket Lighter</v>
      </c>
      <c r="D282" t="str">
        <f>IFERROR(__xludf.DUMMYFUNCTION("""COMPUTED_VALUE"""),"B084PRP4RJ")</f>
        <v>B084PRP4RJ</v>
      </c>
      <c r="E282" t="str">
        <f>IFERROR(__xludf.DUMMYFUNCTION("""COMPUTED_VALUE"""),"191693149487")</f>
        <v>191693149487</v>
      </c>
      <c r="F282">
        <f>IFERROR(__xludf.DUMMYFUNCTION("""COMPUTED_VALUE"""),160.0)</f>
        <v>160</v>
      </c>
      <c r="G282">
        <f>IFERROR(__xludf.DUMMYFUNCTION("""COMPUTED_VALUE"""),5000.0)</f>
        <v>5000</v>
      </c>
      <c r="H282" s="2">
        <f>IFERROR(__xludf.DUMMYFUNCTION("""COMPUTED_VALUE"""),15.25)</f>
        <v>15.25</v>
      </c>
      <c r="I282" s="2">
        <f>IFERROR(__xludf.DUMMYFUNCTION("""COMPUTED_VALUE"""),18.3)</f>
        <v>18.3</v>
      </c>
      <c r="J282" s="2">
        <f>IFERROR(__xludf.DUMMYFUNCTION("""COMPUTED_VALUE"""),3.0500000000000007)</f>
        <v>3.05</v>
      </c>
      <c r="K282" s="5">
        <f>IFERROR(__xludf.DUMMYFUNCTION("""COMPUTED_VALUE"""),0.20000000000000004)</f>
        <v>0.2</v>
      </c>
      <c r="L282">
        <f>IFERROR(__xludf.DUMMYFUNCTION("""COMPUTED_VALUE"""),33275.0)</f>
        <v>33275</v>
      </c>
      <c r="M282" t="str">
        <f>IFERROR(__xludf.DUMMYFUNCTION("""COMPUTED_VALUE"""),"Sports")</f>
        <v>Sports</v>
      </c>
      <c r="N282" t="str">
        <f>IFERROR(__xludf.DUMMYFUNCTION("""COMPUTED_VALUE"""),"Cannot be resold online")</f>
        <v>Cannot be resold online</v>
      </c>
      <c r="O282" t="str">
        <f>IFERROR(__xludf.DUMMYFUNCTION("""COMPUTED_VALUE"""),"Y")</f>
        <v>Y</v>
      </c>
      <c r="P282" s="1" t="str">
        <f>IFERROR(__xludf.DUMMYFUNCTION("""COMPUTED_VALUE"""),"ID 12738")</f>
        <v>ID 12738</v>
      </c>
      <c r="Q282" s="1" t="str">
        <f>IFERROR(__xludf.DUMMYFUNCTION("""COMPUTED_VALUE"""),"B084PRP4RJ")</f>
        <v>B084PRP4RJ</v>
      </c>
    </row>
    <row r="283">
      <c r="A283" s="6">
        <f>IFERROR(__xludf.DUMMYFUNCTION("""COMPUTED_VALUE"""),45348.0)</f>
        <v>45348</v>
      </c>
      <c r="B283">
        <f>IFERROR(__xludf.DUMMYFUNCTION("""COMPUTED_VALUE"""),25985.0)</f>
        <v>25985</v>
      </c>
      <c r="C283" t="str">
        <f>IFERROR(__xludf.DUMMYFUNCTION("""COMPUTED_VALUE"""),"True Religion Eau de Parfum Spray for Women, 3.4 Fluid Ounce")</f>
        <v>True Religion Eau de Parfum Spray for Women, 3.4 Fluid Ounce</v>
      </c>
      <c r="D283" t="str">
        <f>IFERROR(__xludf.DUMMYFUNCTION("""COMPUTED_VALUE"""),"B002GZYEMM")</f>
        <v>B002GZYEMM</v>
      </c>
      <c r="E283" t="str">
        <f>IFERROR(__xludf.DUMMYFUNCTION("""COMPUTED_VALUE"""),"0844061013704")</f>
        <v>0844061013704</v>
      </c>
      <c r="F283">
        <f>IFERROR(__xludf.DUMMYFUNCTION("""COMPUTED_VALUE"""),80.0)</f>
        <v>80</v>
      </c>
      <c r="G283">
        <f>IFERROR(__xludf.DUMMYFUNCTION("""COMPUTED_VALUE"""),999.0)</f>
        <v>999</v>
      </c>
      <c r="H283" s="2">
        <f>IFERROR(__xludf.DUMMYFUNCTION("""COMPUTED_VALUE"""),18.5)</f>
        <v>18.5</v>
      </c>
      <c r="I283" s="2">
        <f>IFERROR(__xludf.DUMMYFUNCTION("""COMPUTED_VALUE"""),21.53)</f>
        <v>21.53</v>
      </c>
      <c r="J283" s="2">
        <f>IFERROR(__xludf.DUMMYFUNCTION("""COMPUTED_VALUE"""),3.030000000000001)</f>
        <v>3.03</v>
      </c>
      <c r="K283" s="5">
        <f>IFERROR(__xludf.DUMMYFUNCTION("""COMPUTED_VALUE"""),0.16378378378378383)</f>
        <v>0.1637837838</v>
      </c>
      <c r="L283">
        <f>IFERROR(__xludf.DUMMYFUNCTION("""COMPUTED_VALUE"""),63510.0)</f>
        <v>63510</v>
      </c>
      <c r="M283" t="str">
        <f>IFERROR(__xludf.DUMMYFUNCTION("""COMPUTED_VALUE"""),"Beauty")</f>
        <v>Beauty</v>
      </c>
      <c r="O283" t="str">
        <f>IFERROR(__xludf.DUMMYFUNCTION("""COMPUTED_VALUE"""),"N")</f>
        <v>N</v>
      </c>
      <c r="P283" s="1" t="str">
        <f>IFERROR(__xludf.DUMMYFUNCTION("""COMPUTED_VALUE"""),"ID 25985")</f>
        <v>ID 25985</v>
      </c>
      <c r="Q283" s="1" t="str">
        <f>IFERROR(__xludf.DUMMYFUNCTION("""COMPUTED_VALUE"""),"B002GZYEMM")</f>
        <v>B002GZYEMM</v>
      </c>
    </row>
    <row r="284">
      <c r="A284" s="6">
        <f>IFERROR(__xludf.DUMMYFUNCTION("""COMPUTED_VALUE"""),44627.0)</f>
        <v>44627</v>
      </c>
      <c r="B284">
        <f>IFERROR(__xludf.DUMMYFUNCTION("""COMPUTED_VALUE"""),12163.0)</f>
        <v>12163</v>
      </c>
      <c r="C284" t="str">
        <f>IFERROR(__xludf.DUMMYFUNCTION("""COMPUTED_VALUE"""),"Zippo Gift Kit")</f>
        <v>Zippo Gift Kit</v>
      </c>
      <c r="D284" t="str">
        <f>IFERROR(__xludf.DUMMYFUNCTION("""COMPUTED_VALUE"""),"B001E5FLWC")</f>
        <v>B001E5FLWC</v>
      </c>
      <c r="E284" t="str">
        <f>IFERROR(__xludf.DUMMYFUNCTION("""COMPUTED_VALUE"""),"41689909109")</f>
        <v>41689909109</v>
      </c>
      <c r="F284">
        <f>IFERROR(__xludf.DUMMYFUNCTION("""COMPUTED_VALUE"""),750.0)</f>
        <v>750</v>
      </c>
      <c r="G284">
        <f>IFERROR(__xludf.DUMMYFUNCTION("""COMPUTED_VALUE"""),6000.0)</f>
        <v>6000</v>
      </c>
      <c r="H284" s="2">
        <f>IFERROR(__xludf.DUMMYFUNCTION("""COMPUTED_VALUE"""),3.25)</f>
        <v>3.25</v>
      </c>
      <c r="I284" s="2">
        <f>IFERROR(__xludf.DUMMYFUNCTION("""COMPUTED_VALUE"""),6.27)</f>
        <v>6.27</v>
      </c>
      <c r="J284" s="2">
        <f>IFERROR(__xludf.DUMMYFUNCTION("""COMPUTED_VALUE"""),3.0199999999999996)</f>
        <v>3.02</v>
      </c>
      <c r="K284" s="5">
        <f>IFERROR(__xludf.DUMMYFUNCTION("""COMPUTED_VALUE"""),0.9292307692307691)</f>
        <v>0.9292307692</v>
      </c>
      <c r="L284">
        <f>IFERROR(__xludf.DUMMYFUNCTION("""COMPUTED_VALUE"""),82906.0)</f>
        <v>82906</v>
      </c>
      <c r="M284" t="str">
        <f>IFERROR(__xludf.DUMMYFUNCTION("""COMPUTED_VALUE"""),"Sports")</f>
        <v>Sports</v>
      </c>
      <c r="O284" t="str">
        <f>IFERROR(__xludf.DUMMYFUNCTION("""COMPUTED_VALUE"""),"Y")</f>
        <v>Y</v>
      </c>
      <c r="P284" s="1" t="str">
        <f>IFERROR(__xludf.DUMMYFUNCTION("""COMPUTED_VALUE"""),"ID 12163")</f>
        <v>ID 12163</v>
      </c>
      <c r="Q284" s="1" t="str">
        <f>IFERROR(__xludf.DUMMYFUNCTION("""COMPUTED_VALUE"""),"B001E5FLWC")</f>
        <v>B001E5FLWC</v>
      </c>
    </row>
    <row r="285">
      <c r="A285" s="6">
        <f>IFERROR(__xludf.DUMMYFUNCTION("""COMPUTED_VALUE"""),45426.0)</f>
        <v>45426</v>
      </c>
      <c r="B285">
        <f>IFERROR(__xludf.DUMMYFUNCTION("""COMPUTED_VALUE"""),12758.0)</f>
        <v>12758</v>
      </c>
      <c r="C285" t="str">
        <f>IFERROR(__xludf.DUMMYFUNCTION("""COMPUTED_VALUE"""),"Chartpak Self-Adhesive Vinyl Capital Letters and Numbers, 3/4 Inches High, White, 94 per Pack (01026)")</f>
        <v>Chartpak Self-Adhesive Vinyl Capital Letters and Numbers, 3/4 Inches High, White, 94 per Pack (01026)</v>
      </c>
      <c r="D285" t="str">
        <f>IFERROR(__xludf.DUMMYFUNCTION("""COMPUTED_VALUE"""),"B0006VRX3K")</f>
        <v>B0006VRX3K</v>
      </c>
      <c r="E285" t="str">
        <f>IFERROR(__xludf.DUMMYFUNCTION("""COMPUTED_VALUE"""),"014173118660")</f>
        <v>014173118660</v>
      </c>
      <c r="F285">
        <f>IFERROR(__xludf.DUMMYFUNCTION("""COMPUTED_VALUE"""),792.0)</f>
        <v>792</v>
      </c>
      <c r="G285">
        <f>IFERROR(__xludf.DUMMYFUNCTION("""COMPUTED_VALUE"""),10000.0)</f>
        <v>10000</v>
      </c>
      <c r="H285" s="2">
        <f>IFERROR(__xludf.DUMMYFUNCTION("""COMPUTED_VALUE"""),2.75)</f>
        <v>2.75</v>
      </c>
      <c r="I285" s="2">
        <f>IFERROR(__xludf.DUMMYFUNCTION("""COMPUTED_VALUE"""),5.77)</f>
        <v>5.77</v>
      </c>
      <c r="J285" s="2">
        <f>IFERROR(__xludf.DUMMYFUNCTION("""COMPUTED_VALUE"""),3.0199999999999996)</f>
        <v>3.02</v>
      </c>
      <c r="K285" s="5">
        <f>IFERROR(__xludf.DUMMYFUNCTION("""COMPUTED_VALUE"""),1.098181818181818)</f>
        <v>1.098181818</v>
      </c>
      <c r="L285">
        <f>IFERROR(__xludf.DUMMYFUNCTION("""COMPUTED_VALUE"""),2440.0)</f>
        <v>2440</v>
      </c>
      <c r="M285" t="str">
        <f>IFERROR(__xludf.DUMMYFUNCTION("""COMPUTED_VALUE"""),"Office Product")</f>
        <v>Office Product</v>
      </c>
      <c r="O285" t="str">
        <f>IFERROR(__xludf.DUMMYFUNCTION("""COMPUTED_VALUE"""),"N")</f>
        <v>N</v>
      </c>
      <c r="P285" s="1" t="str">
        <f>IFERROR(__xludf.DUMMYFUNCTION("""COMPUTED_VALUE"""),"ID 12758")</f>
        <v>ID 12758</v>
      </c>
      <c r="Q285" s="1" t="str">
        <f>IFERROR(__xludf.DUMMYFUNCTION("""COMPUTED_VALUE"""),"B0006VRX3K")</f>
        <v>B0006VRX3K</v>
      </c>
    </row>
    <row r="286">
      <c r="A286" s="6">
        <f>IFERROR(__xludf.DUMMYFUNCTION("""COMPUTED_VALUE"""),44941.0)</f>
        <v>44941</v>
      </c>
      <c r="B286">
        <f>IFERROR(__xludf.DUMMYFUNCTION("""COMPUTED_VALUE"""),24610.0)</f>
        <v>24610</v>
      </c>
      <c r="C286" t="str">
        <f>IFERROR(__xludf.DUMMYFUNCTION("""COMPUTED_VALUE"""),"Parker Jotter London Refills Discovery Pack: 3 Quinkflow Refills for Ballpoint Pens &amp; 3 Quink Gel Refills")</f>
        <v>Parker Jotter London Refills Discovery Pack: 3 Quinkflow Refills for Ballpoint Pens &amp; 3 Quink Gel Refills</v>
      </c>
      <c r="D286" t="str">
        <f>IFERROR(__xludf.DUMMYFUNCTION("""COMPUTED_VALUE"""),"B074VJK1DB")</f>
        <v>B074VJK1DB</v>
      </c>
      <c r="E286" t="str">
        <f>IFERROR(__xludf.DUMMYFUNCTION("""COMPUTED_VALUE"""),"3026980327385")</f>
        <v>3026980327385</v>
      </c>
      <c r="F286">
        <f>IFERROR(__xludf.DUMMYFUNCTION("""COMPUTED_VALUE"""),288.0)</f>
        <v>288</v>
      </c>
      <c r="G286">
        <f>IFERROR(__xludf.DUMMYFUNCTION("""COMPUTED_VALUE"""),1000.0)</f>
        <v>1000</v>
      </c>
      <c r="H286" s="2">
        <f>IFERROR(__xludf.DUMMYFUNCTION("""COMPUTED_VALUE"""),10.5)</f>
        <v>10.5</v>
      </c>
      <c r="I286" s="2">
        <f>IFERROR(__xludf.DUMMYFUNCTION("""COMPUTED_VALUE"""),13.52)</f>
        <v>13.52</v>
      </c>
      <c r="J286" s="2">
        <f>IFERROR(__xludf.DUMMYFUNCTION("""COMPUTED_VALUE"""),3.0199999999999996)</f>
        <v>3.02</v>
      </c>
      <c r="K286" s="5">
        <f>IFERROR(__xludf.DUMMYFUNCTION("""COMPUTED_VALUE"""),0.28761904761904755)</f>
        <v>0.2876190476</v>
      </c>
      <c r="L286">
        <f>IFERROR(__xludf.DUMMYFUNCTION("""COMPUTED_VALUE"""),28761.0)</f>
        <v>28761</v>
      </c>
      <c r="M286" t="str">
        <f>IFERROR(__xludf.DUMMYFUNCTION("""COMPUTED_VALUE"""),"Office Product")</f>
        <v>Office Product</v>
      </c>
      <c r="O286" t="str">
        <f>IFERROR(__xludf.DUMMYFUNCTION("""COMPUTED_VALUE"""),"Y")</f>
        <v>Y</v>
      </c>
      <c r="P286" s="1" t="str">
        <f>IFERROR(__xludf.DUMMYFUNCTION("""COMPUTED_VALUE"""),"ID 24610")</f>
        <v>ID 24610</v>
      </c>
      <c r="Q286" s="1" t="str">
        <f>IFERROR(__xludf.DUMMYFUNCTION("""COMPUTED_VALUE"""),"B074VJK1DB")</f>
        <v>B074VJK1DB</v>
      </c>
    </row>
    <row r="287">
      <c r="A287" s="6">
        <f>IFERROR(__xludf.DUMMYFUNCTION("""COMPUTED_VALUE"""),45105.0)</f>
        <v>45105</v>
      </c>
      <c r="B287">
        <f>IFERROR(__xludf.DUMMYFUNCTION("""COMPUTED_VALUE"""),19966.0)</f>
        <v>19966</v>
      </c>
      <c r="C287" t="str">
        <f>IFERROR(__xludf.DUMMYFUNCTION("""COMPUTED_VALUE"""),"Adams Weekly Time Cards, 1-Sided, 4.25 x 6.75 Inches, White Index Bristol Paper, 100 Cards Per Pack (9616ABF)")</f>
        <v>Adams Weekly Time Cards, 1-Sided, 4.25 x 6.75 Inches, White Index Bristol Paper, 100 Cards Per Pack (9616ABF)</v>
      </c>
      <c r="D287" t="str">
        <f>IFERROR(__xludf.DUMMYFUNCTION("""COMPUTED_VALUE"""),"B006J2HXHQ")</f>
        <v>B006J2HXHQ</v>
      </c>
      <c r="E287" t="str">
        <f>IFERROR(__xludf.DUMMYFUNCTION("""COMPUTED_VALUE"""),"087958096163")</f>
        <v>087958096163</v>
      </c>
      <c r="F287">
        <f>IFERROR(__xludf.DUMMYFUNCTION("""COMPUTED_VALUE"""),540.0)</f>
        <v>540</v>
      </c>
      <c r="G287">
        <f>IFERROR(__xludf.DUMMYFUNCTION("""COMPUTED_VALUE"""),10000.0)</f>
        <v>10000</v>
      </c>
      <c r="H287" s="2">
        <f>IFERROR(__xludf.DUMMYFUNCTION("""COMPUTED_VALUE"""),4.5)</f>
        <v>4.5</v>
      </c>
      <c r="I287" s="2">
        <f>IFERROR(__xludf.DUMMYFUNCTION("""COMPUTED_VALUE"""),7.5)</f>
        <v>7.5</v>
      </c>
      <c r="J287" s="2">
        <f>IFERROR(__xludf.DUMMYFUNCTION("""COMPUTED_VALUE"""),3.0)</f>
        <v>3</v>
      </c>
      <c r="K287" s="5">
        <f>IFERROR(__xludf.DUMMYFUNCTION("""COMPUTED_VALUE"""),0.6666666666666666)</f>
        <v>0.6666666667</v>
      </c>
      <c r="L287">
        <f>IFERROR(__xludf.DUMMYFUNCTION("""COMPUTED_VALUE"""),31437.0)</f>
        <v>31437</v>
      </c>
      <c r="M287" t="str">
        <f>IFERROR(__xludf.DUMMYFUNCTION("""COMPUTED_VALUE"""),"Office Product")</f>
        <v>Office Product</v>
      </c>
      <c r="O287" t="str">
        <f>IFERROR(__xludf.DUMMYFUNCTION("""COMPUTED_VALUE"""),"Y")</f>
        <v>Y</v>
      </c>
      <c r="P287" s="1" t="str">
        <f>IFERROR(__xludf.DUMMYFUNCTION("""COMPUTED_VALUE"""),"ID 19966")</f>
        <v>ID 19966</v>
      </c>
      <c r="Q287" s="1" t="str">
        <f>IFERROR(__xludf.DUMMYFUNCTION("""COMPUTED_VALUE"""),"B006J2HXHQ")</f>
        <v>B006J2HXHQ</v>
      </c>
    </row>
    <row r="288">
      <c r="A288" s="6">
        <f>IFERROR(__xludf.DUMMYFUNCTION("""COMPUTED_VALUE"""),43992.0)</f>
        <v>43992</v>
      </c>
      <c r="B288">
        <f>IFERROR(__xludf.DUMMYFUNCTION("""COMPUTED_VALUE"""),11779.0)</f>
        <v>11779</v>
      </c>
      <c r="C288" t="str">
        <f>IFERROR(__xludf.DUMMYFUNCTION("""COMPUTED_VALUE"""),"Baby Diaper Bag Backpack with YKK Zippers for Girls and Boys, Large Waterproof Diaper Backpack Organizer with Stroller Straps,Baby Wipes Pocket and Infant Changing Pad, Perfect Baby Shower Gift")</f>
        <v>Baby Diaper Bag Backpack with YKK Zippers for Girls and Boys, Large Waterproof Diaper Backpack Organizer with Stroller Straps,Baby Wipes Pocket and Infant Changing Pad, Perfect Baby Shower Gift</v>
      </c>
      <c r="D288" t="str">
        <f>IFERROR(__xludf.DUMMYFUNCTION("""COMPUTED_VALUE"""),"B073TNM59P")</f>
        <v>B073TNM59P</v>
      </c>
      <c r="F288">
        <f>IFERROR(__xludf.DUMMYFUNCTION("""COMPUTED_VALUE"""),320.0)</f>
        <v>320</v>
      </c>
      <c r="G288">
        <f>IFERROR(__xludf.DUMMYFUNCTION("""COMPUTED_VALUE"""),1300.0)</f>
        <v>1300</v>
      </c>
      <c r="H288" s="2">
        <f>IFERROR(__xludf.DUMMYFUNCTION("""COMPUTED_VALUE"""),8.5)</f>
        <v>8.5</v>
      </c>
      <c r="I288" s="2">
        <f>IFERROR(__xludf.DUMMYFUNCTION("""COMPUTED_VALUE"""),11.49)</f>
        <v>11.49</v>
      </c>
      <c r="J288" s="2">
        <f>IFERROR(__xludf.DUMMYFUNCTION("""COMPUTED_VALUE"""),2.99)</f>
        <v>2.99</v>
      </c>
      <c r="K288" s="5">
        <f>IFERROR(__xludf.DUMMYFUNCTION("""COMPUTED_VALUE"""),0.351764705882353)</f>
        <v>0.3517647059</v>
      </c>
      <c r="L288">
        <f>IFERROR(__xludf.DUMMYFUNCTION("""COMPUTED_VALUE"""),85264.0)</f>
        <v>85264</v>
      </c>
      <c r="M288" t="str">
        <f>IFERROR(__xludf.DUMMYFUNCTION("""COMPUTED_VALUE"""),"Baby Product")</f>
        <v>Baby Product</v>
      </c>
      <c r="O288" t="str">
        <f>IFERROR(__xludf.DUMMYFUNCTION("""COMPUTED_VALUE"""),"N")</f>
        <v>N</v>
      </c>
      <c r="P288" s="1" t="str">
        <f>IFERROR(__xludf.DUMMYFUNCTION("""COMPUTED_VALUE"""),"ID 11779")</f>
        <v>ID 11779</v>
      </c>
      <c r="Q288" s="1" t="str">
        <f>IFERROR(__xludf.DUMMYFUNCTION("""COMPUTED_VALUE"""),"B073TNM59P")</f>
        <v>B073TNM59P</v>
      </c>
    </row>
    <row r="289">
      <c r="A289" s="6">
        <f>IFERROR(__xludf.DUMMYFUNCTION("""COMPUTED_VALUE"""),45274.0)</f>
        <v>45274</v>
      </c>
      <c r="B289">
        <f>IFERROR(__xludf.DUMMYFUNCTION("""COMPUTED_VALUE"""),20978.0)</f>
        <v>20978</v>
      </c>
      <c r="C289" t="str">
        <f>IFERROR(__xludf.DUMMYFUNCTION("""COMPUTED_VALUE"""),"It's Academic Flexi Storage Box, Folding, Collapsible and Adjustable for Pencils, Supplies, and More, Purple (23135)")</f>
        <v>It's Academic Flexi Storage Box, Folding, Collapsible and Adjustable for Pencils, Supplies, and More, Purple (23135)</v>
      </c>
      <c r="D289" t="str">
        <f>IFERROR(__xludf.DUMMYFUNCTION("""COMPUTED_VALUE"""),"B07GTX7YLF")</f>
        <v>B07GTX7YLF</v>
      </c>
      <c r="E289" t="str">
        <f>IFERROR(__xludf.DUMMYFUNCTION("""COMPUTED_VALUE"""),"725150231356")</f>
        <v>725150231356</v>
      </c>
      <c r="F289">
        <f>IFERROR(__xludf.DUMMYFUNCTION("""COMPUTED_VALUE"""),432.0)</f>
        <v>432</v>
      </c>
      <c r="G289">
        <f>IFERROR(__xludf.DUMMYFUNCTION("""COMPUTED_VALUE"""),1116.0)</f>
        <v>1116</v>
      </c>
      <c r="H289" s="2">
        <f>IFERROR(__xludf.DUMMYFUNCTION("""COMPUTED_VALUE"""),3.0)</f>
        <v>3</v>
      </c>
      <c r="I289" s="2">
        <f>IFERROR(__xludf.DUMMYFUNCTION("""COMPUTED_VALUE"""),5.99)</f>
        <v>5.99</v>
      </c>
      <c r="J289" s="2">
        <f>IFERROR(__xludf.DUMMYFUNCTION("""COMPUTED_VALUE"""),2.99)</f>
        <v>2.99</v>
      </c>
      <c r="K289" s="5">
        <f>IFERROR(__xludf.DUMMYFUNCTION("""COMPUTED_VALUE"""),0.9966666666666667)</f>
        <v>0.9966666667</v>
      </c>
      <c r="L289">
        <f>IFERROR(__xludf.DUMMYFUNCTION("""COMPUTED_VALUE"""),40645.0)</f>
        <v>40645</v>
      </c>
      <c r="M289" t="str">
        <f>IFERROR(__xludf.DUMMYFUNCTION("""COMPUTED_VALUE"""),"Office Product")</f>
        <v>Office Product</v>
      </c>
      <c r="N289" t="str">
        <f>IFERROR(__xludf.DUMMYFUNCTION("""COMPUTED_VALUE"""),"Promo: Overstock")</f>
        <v>Promo: Overstock</v>
      </c>
      <c r="O289" t="str">
        <f>IFERROR(__xludf.DUMMYFUNCTION("""COMPUTED_VALUE"""),"Y")</f>
        <v>Y</v>
      </c>
      <c r="P289" s="1" t="str">
        <f>IFERROR(__xludf.DUMMYFUNCTION("""COMPUTED_VALUE"""),"ID 20978")</f>
        <v>ID 20978</v>
      </c>
      <c r="Q289" s="1" t="str">
        <f>IFERROR(__xludf.DUMMYFUNCTION("""COMPUTED_VALUE"""),"B07GTX7YLF")</f>
        <v>B07GTX7YLF</v>
      </c>
    </row>
    <row r="290">
      <c r="A290" s="6">
        <f>IFERROR(__xludf.DUMMYFUNCTION("""COMPUTED_VALUE"""),45383.0)</f>
        <v>45383</v>
      </c>
      <c r="B290">
        <f>IFERROR(__xludf.DUMMYFUNCTION("""COMPUTED_VALUE"""),21245.0)</f>
        <v>21245</v>
      </c>
      <c r="C290" t="str">
        <f>IFERROR(__xludf.DUMMYFUNCTION("""COMPUTED_VALUE"""),"Monster Hunter Generations (Nintendo 3DS)")</f>
        <v>Monster Hunter Generations (Nintendo 3DS)</v>
      </c>
      <c r="D290" t="str">
        <f>IFERROR(__xludf.DUMMYFUNCTION("""COMPUTED_VALUE"""),"B01ET83KGO")</f>
        <v>B01ET83KGO</v>
      </c>
      <c r="E290" t="str">
        <f>IFERROR(__xludf.DUMMYFUNCTION("""COMPUTED_VALUE"""),"045496473228")</f>
        <v>045496473228</v>
      </c>
      <c r="F290">
        <f>IFERROR(__xludf.DUMMYFUNCTION("""COMPUTED_VALUE"""),50.0)</f>
        <v>50</v>
      </c>
      <c r="G290">
        <f>IFERROR(__xludf.DUMMYFUNCTION("""COMPUTED_VALUE"""),10000.0)</f>
        <v>10000</v>
      </c>
      <c r="H290" s="2">
        <f>IFERROR(__xludf.DUMMYFUNCTION("""COMPUTED_VALUE"""),24.0)</f>
        <v>24</v>
      </c>
      <c r="I290" s="2">
        <f>IFERROR(__xludf.DUMMYFUNCTION("""COMPUTED_VALUE"""),26.99)</f>
        <v>26.99</v>
      </c>
      <c r="J290" s="2">
        <f>IFERROR(__xludf.DUMMYFUNCTION("""COMPUTED_VALUE"""),2.9899999999999984)</f>
        <v>2.99</v>
      </c>
      <c r="K290" s="5">
        <f>IFERROR(__xludf.DUMMYFUNCTION("""COMPUTED_VALUE"""),0.12458333333333327)</f>
        <v>0.1245833333</v>
      </c>
      <c r="L290">
        <f>IFERROR(__xludf.DUMMYFUNCTION("""COMPUTED_VALUE"""),60254.0)</f>
        <v>60254</v>
      </c>
      <c r="M290" t="str">
        <f>IFERROR(__xludf.DUMMYFUNCTION("""COMPUTED_VALUE"""),"Video Games")</f>
        <v>Video Games</v>
      </c>
      <c r="O290" t="str">
        <f>IFERROR(__xludf.DUMMYFUNCTION("""COMPUTED_VALUE"""),"N")</f>
        <v>N</v>
      </c>
      <c r="P290" s="1" t="str">
        <f>IFERROR(__xludf.DUMMYFUNCTION("""COMPUTED_VALUE"""),"ID 21245")</f>
        <v>ID 21245</v>
      </c>
      <c r="Q290" s="1" t="str">
        <f>IFERROR(__xludf.DUMMYFUNCTION("""COMPUTED_VALUE"""),"B01ET83KGO")</f>
        <v>B01ET83KGO</v>
      </c>
    </row>
    <row r="291">
      <c r="A291" s="6">
        <f>IFERROR(__xludf.DUMMYFUNCTION("""COMPUTED_VALUE"""),45376.0)</f>
        <v>45376</v>
      </c>
      <c r="B291">
        <f>IFERROR(__xludf.DUMMYFUNCTION("""COMPUTED_VALUE"""),21970.0)</f>
        <v>21970</v>
      </c>
      <c r="C291" t="str">
        <f>IFERROR(__xludf.DUMMYFUNCTION("""COMPUTED_VALUE"""),"PRANG Ready-to-Use Washable Tempera Paint, 32-Ounce Bottle, White (10907)")</f>
        <v>PRANG Ready-to-Use Washable Tempera Paint, 32-Ounce Bottle, White (10907)</v>
      </c>
      <c r="D291" t="str">
        <f>IFERROR(__xludf.DUMMYFUNCTION("""COMPUTED_VALUE"""),"B008OCJB9W")</f>
        <v>B008OCJB9W</v>
      </c>
      <c r="E291" t="str">
        <f>IFERROR(__xludf.DUMMYFUNCTION("""COMPUTED_VALUE"""),"072067109071")</f>
        <v>072067109071</v>
      </c>
      <c r="F291">
        <f>IFERROR(__xludf.DUMMYFUNCTION("""COMPUTED_VALUE"""),882.0)</f>
        <v>882</v>
      </c>
      <c r="G291">
        <f>IFERROR(__xludf.DUMMYFUNCTION("""COMPUTED_VALUE"""),10000.0)</f>
        <v>10000</v>
      </c>
      <c r="H291" s="2">
        <f>IFERROR(__xludf.DUMMYFUNCTION("""COMPUTED_VALUE"""),4.25)</f>
        <v>4.25</v>
      </c>
      <c r="I291" s="2">
        <f>IFERROR(__xludf.DUMMYFUNCTION("""COMPUTED_VALUE"""),7.21)</f>
        <v>7.21</v>
      </c>
      <c r="J291" s="2">
        <f>IFERROR(__xludf.DUMMYFUNCTION("""COMPUTED_VALUE"""),2.96)</f>
        <v>2.96</v>
      </c>
      <c r="K291" s="5">
        <f>IFERROR(__xludf.DUMMYFUNCTION("""COMPUTED_VALUE"""),0.6964705882352941)</f>
        <v>0.6964705882</v>
      </c>
      <c r="L291">
        <f>IFERROR(__xludf.DUMMYFUNCTION("""COMPUTED_VALUE"""),79463.0)</f>
        <v>79463</v>
      </c>
      <c r="M291" t="str">
        <f>IFERROR(__xludf.DUMMYFUNCTION("""COMPUTED_VALUE"""),"Office Product")</f>
        <v>Office Product</v>
      </c>
      <c r="O291" t="str">
        <f>IFERROR(__xludf.DUMMYFUNCTION("""COMPUTED_VALUE"""),"Y")</f>
        <v>Y</v>
      </c>
      <c r="P291" s="1" t="str">
        <f>IFERROR(__xludf.DUMMYFUNCTION("""COMPUTED_VALUE"""),"ID 21970")</f>
        <v>ID 21970</v>
      </c>
      <c r="Q291" s="1" t="str">
        <f>IFERROR(__xludf.DUMMYFUNCTION("""COMPUTED_VALUE"""),"B008OCJB9W")</f>
        <v>B008OCJB9W</v>
      </c>
    </row>
    <row r="292">
      <c r="A292" s="6">
        <f>IFERROR(__xludf.DUMMYFUNCTION("""COMPUTED_VALUE"""),45299.0)</f>
        <v>45299</v>
      </c>
      <c r="B292">
        <f>IFERROR(__xludf.DUMMYFUNCTION("""COMPUTED_VALUE"""),9775.0)</f>
        <v>9775</v>
      </c>
      <c r="C292" t="str">
        <f>IFERROR(__xludf.DUMMYFUNCTION("""COMPUTED_VALUE"""),"BIC Atlantis Ultra Comfort Ballpoint Pen 1/Pkg-Assorted Barrels")</f>
        <v>BIC Atlantis Ultra Comfort Ballpoint Pen 1/Pkg-Assorted Barrels</v>
      </c>
      <c r="D292" t="str">
        <f>IFERROR(__xludf.DUMMYFUNCTION("""COMPUTED_VALUE"""),"B017O8I9W6")</f>
        <v>B017O8I9W6</v>
      </c>
      <c r="E292" t="str">
        <f>IFERROR(__xludf.DUMMYFUNCTION("""COMPUTED_VALUE"""),"070330351707")</f>
        <v>070330351707</v>
      </c>
      <c r="F292">
        <f>IFERROR(__xludf.DUMMYFUNCTION("""COMPUTED_VALUE"""),72.0)</f>
        <v>72</v>
      </c>
      <c r="G292">
        <f>IFERROR(__xludf.DUMMYFUNCTION("""COMPUTED_VALUE"""),10000.0)</f>
        <v>10000</v>
      </c>
      <c r="H292" s="2">
        <f>IFERROR(__xludf.DUMMYFUNCTION("""COMPUTED_VALUE"""),18.75)</f>
        <v>18.75</v>
      </c>
      <c r="I292" s="2">
        <f>IFERROR(__xludf.DUMMYFUNCTION("""COMPUTED_VALUE"""),21.7)</f>
        <v>21.7</v>
      </c>
      <c r="J292" s="2">
        <f>IFERROR(__xludf.DUMMYFUNCTION("""COMPUTED_VALUE"""),2.9499999999999993)</f>
        <v>2.95</v>
      </c>
      <c r="K292" s="5">
        <f>IFERROR(__xludf.DUMMYFUNCTION("""COMPUTED_VALUE"""),0.1573333333333333)</f>
        <v>0.1573333333</v>
      </c>
      <c r="L292">
        <f>IFERROR(__xludf.DUMMYFUNCTION("""COMPUTED_VALUE"""),63564.0)</f>
        <v>63564</v>
      </c>
      <c r="M292" t="str">
        <f>IFERROR(__xludf.DUMMYFUNCTION("""COMPUTED_VALUE"""),"Office Product")</f>
        <v>Office Product</v>
      </c>
      <c r="N292" t="str">
        <f>IFERROR(__xludf.DUMMYFUNCTION("""COMPUTED_VALUE"""),"UOM: 1 inner case of 6 units. (Master case has 6 inner cases)")</f>
        <v>UOM: 1 inner case of 6 units. (Master case has 6 inner cases)</v>
      </c>
      <c r="O292" t="str">
        <f>IFERROR(__xludf.DUMMYFUNCTION("""COMPUTED_VALUE"""),"N")</f>
        <v>N</v>
      </c>
      <c r="P292" s="1" t="str">
        <f>IFERROR(__xludf.DUMMYFUNCTION("""COMPUTED_VALUE"""),"ID 9775")</f>
        <v>ID 9775</v>
      </c>
      <c r="Q292" s="1" t="str">
        <f>IFERROR(__xludf.DUMMYFUNCTION("""COMPUTED_VALUE"""),"B017O8I9W6")</f>
        <v>B017O8I9W6</v>
      </c>
    </row>
    <row r="293">
      <c r="A293" s="6">
        <f>IFERROR(__xludf.DUMMYFUNCTION("""COMPUTED_VALUE"""),45377.0)</f>
        <v>45377</v>
      </c>
      <c r="B293">
        <f>IFERROR(__xludf.DUMMYFUNCTION("""COMPUTED_VALUE"""),17076.0)</f>
        <v>17076</v>
      </c>
      <c r="C293" t="str">
        <f>IFERROR(__xludf.DUMMYFUNCTION("""COMPUTED_VALUE"""),"DIXON Industrial REACH- Deep Hole Permanent Marker, Red, 1-Count (14202)")</f>
        <v>DIXON Industrial REACH- Deep Hole Permanent Marker, Red, 1-Count (14202)</v>
      </c>
      <c r="D293" t="str">
        <f>IFERROR(__xludf.DUMMYFUNCTION("""COMPUTED_VALUE"""),"B00WRMVVZC")</f>
        <v>B00WRMVVZC</v>
      </c>
      <c r="E293" t="str">
        <f>IFERROR(__xludf.DUMMYFUNCTION("""COMPUTED_VALUE"""),"072067142023")</f>
        <v>072067142023</v>
      </c>
      <c r="F293">
        <f>IFERROR(__xludf.DUMMYFUNCTION("""COMPUTED_VALUE"""),1512.0)</f>
        <v>1512</v>
      </c>
      <c r="G293">
        <f>IFERROR(__xludf.DUMMYFUNCTION("""COMPUTED_VALUE"""),10000.0)</f>
        <v>10000</v>
      </c>
      <c r="H293" s="2">
        <f>IFERROR(__xludf.DUMMYFUNCTION("""COMPUTED_VALUE"""),2.5)</f>
        <v>2.5</v>
      </c>
      <c r="I293" s="2">
        <f>IFERROR(__xludf.DUMMYFUNCTION("""COMPUTED_VALUE"""),5.43)</f>
        <v>5.43</v>
      </c>
      <c r="J293" s="2">
        <f>IFERROR(__xludf.DUMMYFUNCTION("""COMPUTED_VALUE"""),2.9299999999999997)</f>
        <v>2.93</v>
      </c>
      <c r="K293" s="5">
        <f>IFERROR(__xludf.DUMMYFUNCTION("""COMPUTED_VALUE"""),1.172)</f>
        <v>1.172</v>
      </c>
      <c r="L293">
        <f>IFERROR(__xludf.DUMMYFUNCTION("""COMPUTED_VALUE"""),28976.0)</f>
        <v>28976</v>
      </c>
      <c r="M293" t="str">
        <f>IFERROR(__xludf.DUMMYFUNCTION("""COMPUTED_VALUE"""),"Office Product")</f>
        <v>Office Product</v>
      </c>
      <c r="N293" t="str">
        <f>IFERROR(__xludf.DUMMYFUNCTION("""COMPUTED_VALUE"""),"2023 Close-out Pricing")</f>
        <v>2023 Close-out Pricing</v>
      </c>
      <c r="O293" t="str">
        <f>IFERROR(__xludf.DUMMYFUNCTION("""COMPUTED_VALUE"""),"Y")</f>
        <v>Y</v>
      </c>
      <c r="P293" s="1" t="str">
        <f>IFERROR(__xludf.DUMMYFUNCTION("""COMPUTED_VALUE"""),"ID 17076")</f>
        <v>ID 17076</v>
      </c>
      <c r="Q293" s="1" t="str">
        <f>IFERROR(__xludf.DUMMYFUNCTION("""COMPUTED_VALUE"""),"B00WRMVVZC")</f>
        <v>B00WRMVVZC</v>
      </c>
    </row>
    <row r="294">
      <c r="A294" s="6">
        <f>IFERROR(__xludf.DUMMYFUNCTION("""COMPUTED_VALUE"""),45376.0)</f>
        <v>45376</v>
      </c>
      <c r="B294">
        <f>IFERROR(__xludf.DUMMYFUNCTION("""COMPUTED_VALUE"""),24124.0)</f>
        <v>24124</v>
      </c>
      <c r="C294" t="str">
        <f>IFERROR(__xludf.DUMMYFUNCTION("""COMPUTED_VALUE"""),"Pacon P0091940 Spectra Glitter Sparkling Crystals, White, 16-Ounce Jar")</f>
        <v>Pacon P0091940 Spectra Glitter Sparkling Crystals, White, 16-Ounce Jar</v>
      </c>
      <c r="D294" t="str">
        <f>IFERROR(__xludf.DUMMYFUNCTION("""COMPUTED_VALUE"""),"B00290JI9I")</f>
        <v>B00290JI9I</v>
      </c>
      <c r="E294" t="str">
        <f>IFERROR(__xludf.DUMMYFUNCTION("""COMPUTED_VALUE"""),"029444919402")</f>
        <v>029444919402</v>
      </c>
      <c r="F294">
        <f>IFERROR(__xludf.DUMMYFUNCTION("""COMPUTED_VALUE"""),540.0)</f>
        <v>540</v>
      </c>
      <c r="G294">
        <f>IFERROR(__xludf.DUMMYFUNCTION("""COMPUTED_VALUE"""),10000.0)</f>
        <v>10000</v>
      </c>
      <c r="H294" s="2">
        <f>IFERROR(__xludf.DUMMYFUNCTION("""COMPUTED_VALUE"""),6.75)</f>
        <v>6.75</v>
      </c>
      <c r="I294" s="2">
        <f>IFERROR(__xludf.DUMMYFUNCTION("""COMPUTED_VALUE"""),9.68)</f>
        <v>9.68</v>
      </c>
      <c r="J294" s="2">
        <f>IFERROR(__xludf.DUMMYFUNCTION("""COMPUTED_VALUE"""),2.9299999999999997)</f>
        <v>2.93</v>
      </c>
      <c r="K294" s="5">
        <f>IFERROR(__xludf.DUMMYFUNCTION("""COMPUTED_VALUE"""),0.43407407407407406)</f>
        <v>0.4340740741</v>
      </c>
      <c r="L294">
        <f>IFERROR(__xludf.DUMMYFUNCTION("""COMPUTED_VALUE"""),29555.0)</f>
        <v>29555</v>
      </c>
      <c r="M294" t="str">
        <f>IFERROR(__xludf.DUMMYFUNCTION("""COMPUTED_VALUE"""),"Home")</f>
        <v>Home</v>
      </c>
      <c r="O294" t="str">
        <f>IFERROR(__xludf.DUMMYFUNCTION("""COMPUTED_VALUE"""),"N")</f>
        <v>N</v>
      </c>
      <c r="P294" s="1" t="str">
        <f>IFERROR(__xludf.DUMMYFUNCTION("""COMPUTED_VALUE"""),"ID 24124")</f>
        <v>ID 24124</v>
      </c>
      <c r="Q294" s="1" t="str">
        <f>IFERROR(__xludf.DUMMYFUNCTION("""COMPUTED_VALUE"""),"B00290JI9I")</f>
        <v>B00290JI9I</v>
      </c>
    </row>
    <row r="295">
      <c r="A295" s="6">
        <f>IFERROR(__xludf.DUMMYFUNCTION("""COMPUTED_VALUE"""),45429.0)</f>
        <v>45429</v>
      </c>
      <c r="B295">
        <f>IFERROR(__xludf.DUMMYFUNCTION("""COMPUTED_VALUE"""),16737.0)</f>
        <v>16737</v>
      </c>
      <c r="C295" t="str">
        <f>IFERROR(__xludf.DUMMYFUNCTION("""COMPUTED_VALUE"""),"Dana Navy by Cover Girl for Women 1.5 oz Cologne Spray")</f>
        <v>Dana Navy by Cover Girl for Women 1.5 oz Cologne Spray</v>
      </c>
      <c r="D295" t="str">
        <f>IFERROR(__xludf.DUMMYFUNCTION("""COMPUTED_VALUE"""),"B00A35V1T6")</f>
        <v>B00A35V1T6</v>
      </c>
      <c r="E295" t="str">
        <f>IFERROR(__xludf.DUMMYFUNCTION("""COMPUTED_VALUE"""),"022700659210")</f>
        <v>022700659210</v>
      </c>
      <c r="F295">
        <f>IFERROR(__xludf.DUMMYFUNCTION("""COMPUTED_VALUE"""),100.0)</f>
        <v>100</v>
      </c>
      <c r="G295">
        <f>IFERROR(__xludf.DUMMYFUNCTION("""COMPUTED_VALUE"""),10000.0)</f>
        <v>10000</v>
      </c>
      <c r="H295" s="2">
        <f>IFERROR(__xludf.DUMMYFUNCTION("""COMPUTED_VALUE"""),12.5)</f>
        <v>12.5</v>
      </c>
      <c r="I295" s="2">
        <f>IFERROR(__xludf.DUMMYFUNCTION("""COMPUTED_VALUE"""),15.42)</f>
        <v>15.42</v>
      </c>
      <c r="J295" s="2">
        <f>IFERROR(__xludf.DUMMYFUNCTION("""COMPUTED_VALUE"""),2.92)</f>
        <v>2.92</v>
      </c>
      <c r="K295" s="5">
        <f>IFERROR(__xludf.DUMMYFUNCTION("""COMPUTED_VALUE"""),0.2336)</f>
        <v>0.2336</v>
      </c>
      <c r="L295">
        <f>IFERROR(__xludf.DUMMYFUNCTION("""COMPUTED_VALUE"""),80687.0)</f>
        <v>80687</v>
      </c>
      <c r="M295" t="str">
        <f>IFERROR(__xludf.DUMMYFUNCTION("""COMPUTED_VALUE"""),"Beauty")</f>
        <v>Beauty</v>
      </c>
      <c r="O295" t="str">
        <f>IFERROR(__xludf.DUMMYFUNCTION("""COMPUTED_VALUE"""),"N")</f>
        <v>N</v>
      </c>
      <c r="P295" s="1" t="str">
        <f>IFERROR(__xludf.DUMMYFUNCTION("""COMPUTED_VALUE"""),"ID 16737")</f>
        <v>ID 16737</v>
      </c>
      <c r="Q295" s="1" t="str">
        <f>IFERROR(__xludf.DUMMYFUNCTION("""COMPUTED_VALUE"""),"B00A35V1T6")</f>
        <v>B00A35V1T6</v>
      </c>
    </row>
    <row r="296">
      <c r="A296" s="6">
        <f>IFERROR(__xludf.DUMMYFUNCTION("""COMPUTED_VALUE"""),45364.0)</f>
        <v>45364</v>
      </c>
      <c r="B296">
        <f>IFERROR(__xludf.DUMMYFUNCTION("""COMPUTED_VALUE"""),22399.0)</f>
        <v>22399</v>
      </c>
      <c r="C296" t="str">
        <f>IFERROR(__xludf.DUMMYFUNCTION("""COMPUTED_VALUE"""),"NATIONAL 43581 Chemistry Notebook, Blue cover, Narrow Ruled, 11"" x 8.5"", 60 Sheets, (43571)")</f>
        <v>NATIONAL 43581 Chemistry Notebook, Blue cover, Narrow Ruled, 11" x 8.5", 60 Sheets, (43571)</v>
      </c>
      <c r="D296" t="str">
        <f>IFERROR(__xludf.DUMMYFUNCTION("""COMPUTED_VALUE"""),"B0007LTJPY")</f>
        <v>B0007LTJPY</v>
      </c>
      <c r="E296" t="str">
        <f>IFERROR(__xludf.DUMMYFUNCTION("""COMPUTED_VALUE"""),"073333435818")</f>
        <v>073333435818</v>
      </c>
      <c r="F296">
        <f>IFERROR(__xludf.DUMMYFUNCTION("""COMPUTED_VALUE"""),200.0)</f>
        <v>200</v>
      </c>
      <c r="G296">
        <f>IFERROR(__xludf.DUMMYFUNCTION("""COMPUTED_VALUE"""),10000.0)</f>
        <v>10000</v>
      </c>
      <c r="H296" s="2">
        <f>IFERROR(__xludf.DUMMYFUNCTION("""COMPUTED_VALUE"""),6.25)</f>
        <v>6.25</v>
      </c>
      <c r="I296" s="2">
        <f>IFERROR(__xludf.DUMMYFUNCTION("""COMPUTED_VALUE"""),9.17)</f>
        <v>9.17</v>
      </c>
      <c r="J296" s="2">
        <f>IFERROR(__xludf.DUMMYFUNCTION("""COMPUTED_VALUE"""),2.92)</f>
        <v>2.92</v>
      </c>
      <c r="K296" s="5">
        <f>IFERROR(__xludf.DUMMYFUNCTION("""COMPUTED_VALUE"""),0.4672)</f>
        <v>0.4672</v>
      </c>
      <c r="L296">
        <f>IFERROR(__xludf.DUMMYFUNCTION("""COMPUTED_VALUE"""),62394.0)</f>
        <v>62394</v>
      </c>
      <c r="M296" t="str">
        <f>IFERROR(__xludf.DUMMYFUNCTION("""COMPUTED_VALUE"""),"Office Product")</f>
        <v>Office Product</v>
      </c>
      <c r="O296" t="str">
        <f>IFERROR(__xludf.DUMMYFUNCTION("""COMPUTED_VALUE"""),"Y")</f>
        <v>Y</v>
      </c>
      <c r="P296" s="1" t="str">
        <f>IFERROR(__xludf.DUMMYFUNCTION("""COMPUTED_VALUE"""),"ID 22399")</f>
        <v>ID 22399</v>
      </c>
      <c r="Q296" s="1" t="str">
        <f>IFERROR(__xludf.DUMMYFUNCTION("""COMPUTED_VALUE"""),"B0007LTJPY")</f>
        <v>B0007LTJPY</v>
      </c>
    </row>
    <row r="297">
      <c r="A297" s="6">
        <f>IFERROR(__xludf.DUMMYFUNCTION("""COMPUTED_VALUE"""),45421.0)</f>
        <v>45421</v>
      </c>
      <c r="B297">
        <f>IFERROR(__xludf.DUMMYFUNCTION("""COMPUTED_VALUE"""),25915.0)</f>
        <v>25915</v>
      </c>
      <c r="C297" t="str">
        <f>IFERROR(__xludf.DUMMYFUNCTION("""COMPUTED_VALUE"""),"Clearprint 3020 Bond Pad with Printed Fade-Out 30-Degree Isometric Grid, 20 lb., 8-1/2 x 11 Inches, 30 Sheets, White, 1 Each (932811ISO)")</f>
        <v>Clearprint 3020 Bond Pad with Printed Fade-Out 30-Degree Isometric Grid, 20 lb., 8-1/2 x 11 Inches, 30 Sheets, White, 1 Each (932811ISO)</v>
      </c>
      <c r="D297" t="str">
        <f>IFERROR(__xludf.DUMMYFUNCTION("""COMPUTED_VALUE"""),"B0008GNVO8")</f>
        <v>B0008GNVO8</v>
      </c>
      <c r="E297" t="str">
        <f>IFERROR(__xludf.DUMMYFUNCTION("""COMPUTED_VALUE"""),"720362352066")</f>
        <v>720362352066</v>
      </c>
      <c r="F297">
        <f>IFERROR(__xludf.DUMMYFUNCTION("""COMPUTED_VALUE"""),432.0)</f>
        <v>432</v>
      </c>
      <c r="G297">
        <f>IFERROR(__xludf.DUMMYFUNCTION("""COMPUTED_VALUE"""),10000.0)</f>
        <v>10000</v>
      </c>
      <c r="H297" s="2">
        <f>IFERROR(__xludf.DUMMYFUNCTION("""COMPUTED_VALUE"""),5.75)</f>
        <v>5.75</v>
      </c>
      <c r="I297" s="2">
        <f>IFERROR(__xludf.DUMMYFUNCTION("""COMPUTED_VALUE"""),8.66)</f>
        <v>8.66</v>
      </c>
      <c r="J297" s="2">
        <f>IFERROR(__xludf.DUMMYFUNCTION("""COMPUTED_VALUE"""),2.91)</f>
        <v>2.91</v>
      </c>
      <c r="K297" s="5">
        <f>IFERROR(__xludf.DUMMYFUNCTION("""COMPUTED_VALUE"""),0.5060869565217392)</f>
        <v>0.5060869565</v>
      </c>
      <c r="L297">
        <f>IFERROR(__xludf.DUMMYFUNCTION("""COMPUTED_VALUE"""),76463.0)</f>
        <v>76463</v>
      </c>
      <c r="M297" t="str">
        <f>IFERROR(__xludf.DUMMYFUNCTION("""COMPUTED_VALUE"""),"Office Product")</f>
        <v>Office Product</v>
      </c>
      <c r="O297" t="str">
        <f>IFERROR(__xludf.DUMMYFUNCTION("""COMPUTED_VALUE"""),"Y")</f>
        <v>Y</v>
      </c>
      <c r="P297" s="1" t="str">
        <f>IFERROR(__xludf.DUMMYFUNCTION("""COMPUTED_VALUE"""),"ID 25915")</f>
        <v>ID 25915</v>
      </c>
      <c r="Q297" s="1" t="str">
        <f>IFERROR(__xludf.DUMMYFUNCTION("""COMPUTED_VALUE"""),"B0008GNVO8")</f>
        <v>B0008GNVO8</v>
      </c>
    </row>
    <row r="298">
      <c r="A298" s="6">
        <f>IFERROR(__xludf.DUMMYFUNCTION("""COMPUTED_VALUE"""),44769.0)</f>
        <v>44769</v>
      </c>
      <c r="B298">
        <f>IFERROR(__xludf.DUMMYFUNCTION("""COMPUTED_VALUE"""),7289.0)</f>
        <v>7289</v>
      </c>
      <c r="C298" t="str">
        <f>IFERROR(__xludf.DUMMYFUNCTION("""COMPUTED_VALUE"""),"Obliphica Professional Medium to Coarse Seaberry Serum, 0.5 fl. oz.")</f>
        <v>Obliphica Professional Medium to Coarse Seaberry Serum, 0.5 fl. oz.</v>
      </c>
      <c r="D298" t="str">
        <f>IFERROR(__xludf.DUMMYFUNCTION("""COMPUTED_VALUE"""),"B01M32SCOM")</f>
        <v>B01M32SCOM</v>
      </c>
      <c r="E298" t="str">
        <f>IFERROR(__xludf.DUMMYFUNCTION("""COMPUTED_VALUE"""),"7290013093561")</f>
        <v>7290013093561</v>
      </c>
      <c r="F298">
        <f>IFERROR(__xludf.DUMMYFUNCTION("""COMPUTED_VALUE"""),2000.0)</f>
        <v>2000</v>
      </c>
      <c r="G298">
        <f>IFERROR(__xludf.DUMMYFUNCTION("""COMPUTED_VALUE"""),5580.0)</f>
        <v>5580</v>
      </c>
      <c r="H298" s="2">
        <f>IFERROR(__xludf.DUMMYFUNCTION("""COMPUTED_VALUE"""),2.0)</f>
        <v>2</v>
      </c>
      <c r="I298" s="2">
        <f>IFERROR(__xludf.DUMMYFUNCTION("""COMPUTED_VALUE"""),4.9)</f>
        <v>4.9</v>
      </c>
      <c r="J298" s="2">
        <f>IFERROR(__xludf.DUMMYFUNCTION("""COMPUTED_VALUE"""),2.9000000000000004)</f>
        <v>2.9</v>
      </c>
      <c r="K298" s="5">
        <f>IFERROR(__xludf.DUMMYFUNCTION("""COMPUTED_VALUE"""),1.4500000000000002)</f>
        <v>1.45</v>
      </c>
      <c r="L298">
        <f>IFERROR(__xludf.DUMMYFUNCTION("""COMPUTED_VALUE"""),55708.0)</f>
        <v>55708</v>
      </c>
      <c r="M298" t="str">
        <f>IFERROR(__xludf.DUMMYFUNCTION("""COMPUTED_VALUE"""),"Beauty")</f>
        <v>Beauty</v>
      </c>
      <c r="O298" t="str">
        <f>IFERROR(__xludf.DUMMYFUNCTION("""COMPUTED_VALUE"""),"N")</f>
        <v>N</v>
      </c>
      <c r="P298" s="1" t="str">
        <f>IFERROR(__xludf.DUMMYFUNCTION("""COMPUTED_VALUE"""),"ID 7289")</f>
        <v>ID 7289</v>
      </c>
      <c r="Q298" s="1" t="str">
        <f>IFERROR(__xludf.DUMMYFUNCTION("""COMPUTED_VALUE"""),"B01M32SCOM")</f>
        <v>B01M32SCOM</v>
      </c>
    </row>
    <row r="299">
      <c r="A299" s="6">
        <f>IFERROR(__xludf.DUMMYFUNCTION("""COMPUTED_VALUE"""),44684.0)</f>
        <v>44684</v>
      </c>
      <c r="B299">
        <f>IFERROR(__xludf.DUMMYFUNCTION("""COMPUTED_VALUE"""),20947.0)</f>
        <v>20947</v>
      </c>
      <c r="C299" t="str">
        <f>IFERROR(__xludf.DUMMYFUNCTION("""COMPUTED_VALUE"""),"Bfree Borosilicate Super Glass BPA-Free Anti-Colic Baby Bottle (Borosilicate 8.8 fl.oz)")</f>
        <v>Bfree Borosilicate Super Glass BPA-Free Anti-Colic Baby Bottle (Borosilicate 8.8 fl.oz)</v>
      </c>
      <c r="D299" t="str">
        <f>IFERROR(__xludf.DUMMYFUNCTION("""COMPUTED_VALUE"""),"B01N0BR4L7")</f>
        <v>B01N0BR4L7</v>
      </c>
      <c r="E299" t="str">
        <f>IFERROR(__xludf.DUMMYFUNCTION("""COMPUTED_VALUE"""),"7290008585392")</f>
        <v>7290008585392</v>
      </c>
      <c r="F299">
        <f>IFERROR(__xludf.DUMMYFUNCTION("""COMPUTED_VALUE"""),1272.0)</f>
        <v>1272</v>
      </c>
      <c r="G299">
        <f>IFERROR(__xludf.DUMMYFUNCTION("""COMPUTED_VALUE"""),6168.0)</f>
        <v>6168</v>
      </c>
      <c r="H299" s="2">
        <f>IFERROR(__xludf.DUMMYFUNCTION("""COMPUTED_VALUE"""),2.5)</f>
        <v>2.5</v>
      </c>
      <c r="I299" s="2">
        <f>IFERROR(__xludf.DUMMYFUNCTION("""COMPUTED_VALUE"""),5.4)</f>
        <v>5.4</v>
      </c>
      <c r="J299" s="2">
        <f>IFERROR(__xludf.DUMMYFUNCTION("""COMPUTED_VALUE"""),2.9000000000000004)</f>
        <v>2.9</v>
      </c>
      <c r="K299" s="5">
        <f>IFERROR(__xludf.DUMMYFUNCTION("""COMPUTED_VALUE"""),1.1600000000000001)</f>
        <v>1.16</v>
      </c>
      <c r="L299">
        <f>IFERROR(__xludf.DUMMYFUNCTION("""COMPUTED_VALUE"""),41308.0)</f>
        <v>41308</v>
      </c>
      <c r="M299" t="str">
        <f>IFERROR(__xludf.DUMMYFUNCTION("""COMPUTED_VALUE"""),"Baby Product")</f>
        <v>Baby Product</v>
      </c>
      <c r="O299" t="str">
        <f>IFERROR(__xludf.DUMMYFUNCTION("""COMPUTED_VALUE"""),"N")</f>
        <v>N</v>
      </c>
      <c r="P299" s="1" t="str">
        <f>IFERROR(__xludf.DUMMYFUNCTION("""COMPUTED_VALUE"""),"ID 20947")</f>
        <v>ID 20947</v>
      </c>
      <c r="Q299" s="1" t="str">
        <f>IFERROR(__xludf.DUMMYFUNCTION("""COMPUTED_VALUE"""),"B01N0BR4L7")</f>
        <v>B01N0BR4L7</v>
      </c>
    </row>
    <row r="300">
      <c r="A300" s="6">
        <f>IFERROR(__xludf.DUMMYFUNCTION("""COMPUTED_VALUE"""),45211.0)</f>
        <v>45211</v>
      </c>
      <c r="B300">
        <f>IFERROR(__xludf.DUMMYFUNCTION("""COMPUTED_VALUE"""),24545.0)</f>
        <v>24545</v>
      </c>
      <c r="C300" t="str">
        <f>IFERROR(__xludf.DUMMYFUNCTION("""COMPUTED_VALUE"""),"Casmir By Chopard For Women. Eau De Parfum Spray 1 Ounces")</f>
        <v>Casmir By Chopard For Women. Eau De Parfum Spray 1 Ounces</v>
      </c>
      <c r="D300" t="str">
        <f>IFERROR(__xludf.DUMMYFUNCTION("""COMPUTED_VALUE"""),"B000C1Z2PK")</f>
        <v>B000C1Z2PK</v>
      </c>
      <c r="E300" t="str">
        <f>IFERROR(__xludf.DUMMYFUNCTION("""COMPUTED_VALUE"""),"7640177366009")</f>
        <v>7640177366009</v>
      </c>
      <c r="F300">
        <f>IFERROR(__xludf.DUMMYFUNCTION("""COMPUTED_VALUE"""),50.0)</f>
        <v>50</v>
      </c>
      <c r="G300">
        <f>IFERROR(__xludf.DUMMYFUNCTION("""COMPUTED_VALUE"""),50.0)</f>
        <v>50</v>
      </c>
      <c r="H300" s="2">
        <f>IFERROR(__xludf.DUMMYFUNCTION("""COMPUTED_VALUE"""),16.5)</f>
        <v>16.5</v>
      </c>
      <c r="I300" s="2">
        <f>IFERROR(__xludf.DUMMYFUNCTION("""COMPUTED_VALUE"""),19.4)</f>
        <v>19.4</v>
      </c>
      <c r="J300" s="2">
        <f>IFERROR(__xludf.DUMMYFUNCTION("""COMPUTED_VALUE"""),2.8999999999999986)</f>
        <v>2.9</v>
      </c>
      <c r="K300" s="5">
        <f>IFERROR(__xludf.DUMMYFUNCTION("""COMPUTED_VALUE"""),0.17575757575757567)</f>
        <v>0.1757575758</v>
      </c>
      <c r="L300">
        <f>IFERROR(__xludf.DUMMYFUNCTION("""COMPUTED_VALUE"""),35448.0)</f>
        <v>35448</v>
      </c>
      <c r="M300" t="str">
        <f>IFERROR(__xludf.DUMMYFUNCTION("""COMPUTED_VALUE"""),"Beauty")</f>
        <v>Beauty</v>
      </c>
      <c r="O300" t="str">
        <f>IFERROR(__xludf.DUMMYFUNCTION("""COMPUTED_VALUE"""),"N")</f>
        <v>N</v>
      </c>
      <c r="P300" s="1" t="str">
        <f>IFERROR(__xludf.DUMMYFUNCTION("""COMPUTED_VALUE"""),"ID 24545")</f>
        <v>ID 24545</v>
      </c>
      <c r="Q300" s="1" t="str">
        <f>IFERROR(__xludf.DUMMYFUNCTION("""COMPUTED_VALUE"""),"B000C1Z2PK")</f>
        <v>B000C1Z2PK</v>
      </c>
    </row>
    <row r="301">
      <c r="A301" s="6">
        <f>IFERROR(__xludf.DUMMYFUNCTION("""COMPUTED_VALUE"""),45335.0)</f>
        <v>45335</v>
      </c>
      <c r="B301">
        <f>IFERROR(__xludf.DUMMYFUNCTION("""COMPUTED_VALUE"""),25164.0)</f>
        <v>25164</v>
      </c>
      <c r="C301" t="str">
        <f>IFERROR(__xludf.DUMMYFUNCTION("""COMPUTED_VALUE"""),"DIXON TICONDEROGA COMPANY PRANG HYGIEIA DUSTLESS BOARD CHALK (Set of 6)")</f>
        <v>DIXON TICONDEROGA COMPANY PRANG HYGIEIA DUSTLESS BOARD CHALK (Set of 6)</v>
      </c>
      <c r="D301" t="str">
        <f>IFERROR(__xludf.DUMMYFUNCTION("""COMPUTED_VALUE"""),"B00QFXUIWG")</f>
        <v>B00QFXUIWG</v>
      </c>
      <c r="E301" t="str">
        <f>IFERROR(__xludf.DUMMYFUNCTION("""COMPUTED_VALUE"""),"072067311443")</f>
        <v>072067311443</v>
      </c>
      <c r="F301">
        <f>IFERROR(__xludf.DUMMYFUNCTION("""COMPUTED_VALUE"""),1200.0)</f>
        <v>1200</v>
      </c>
      <c r="G301">
        <f>IFERROR(__xludf.DUMMYFUNCTION("""COMPUTED_VALUE"""),10000.0)</f>
        <v>10000</v>
      </c>
      <c r="H301" s="2">
        <f>IFERROR(__xludf.DUMMYFUNCTION("""COMPUTED_VALUE"""),3.0)</f>
        <v>3</v>
      </c>
      <c r="I301" s="2">
        <f>IFERROR(__xludf.DUMMYFUNCTION("""COMPUTED_VALUE"""),5.9)</f>
        <v>5.9</v>
      </c>
      <c r="J301" s="2">
        <f>IFERROR(__xludf.DUMMYFUNCTION("""COMPUTED_VALUE"""),2.9000000000000004)</f>
        <v>2.9</v>
      </c>
      <c r="K301" s="5">
        <f>IFERROR(__xludf.DUMMYFUNCTION("""COMPUTED_VALUE"""),0.9666666666666668)</f>
        <v>0.9666666667</v>
      </c>
      <c r="L301">
        <f>IFERROR(__xludf.DUMMYFUNCTION("""COMPUTED_VALUE"""),53606.0)</f>
        <v>53606</v>
      </c>
      <c r="M301" t="str">
        <f>IFERROR(__xludf.DUMMYFUNCTION("""COMPUTED_VALUE"""),"Office Product")</f>
        <v>Office Product</v>
      </c>
      <c r="N301" t="str">
        <f>IFERROR(__xludf.DUMMYFUNCTION("""COMPUTED_VALUE"""),"UOM: 6 single units. Bundling &amp; other prep buyers responsibility")</f>
        <v>UOM: 6 single units. Bundling &amp; other prep buyers responsibility</v>
      </c>
      <c r="O301" t="str">
        <f>IFERROR(__xludf.DUMMYFUNCTION("""COMPUTED_VALUE"""),"N")</f>
        <v>N</v>
      </c>
      <c r="P301" s="1" t="str">
        <f>IFERROR(__xludf.DUMMYFUNCTION("""COMPUTED_VALUE"""),"ID 25164")</f>
        <v>ID 25164</v>
      </c>
      <c r="Q301" s="1" t="str">
        <f>IFERROR(__xludf.DUMMYFUNCTION("""COMPUTED_VALUE"""),"B00QFXUIWG")</f>
        <v>B00QFXUIWG</v>
      </c>
    </row>
    <row r="302">
      <c r="A302" s="6">
        <f>IFERROR(__xludf.DUMMYFUNCTION("""COMPUTED_VALUE"""),45383.0)</f>
        <v>45383</v>
      </c>
      <c r="B302">
        <f>IFERROR(__xludf.DUMMYFUNCTION("""COMPUTED_VALUE"""),897.0)</f>
        <v>897</v>
      </c>
      <c r="C302" t="str">
        <f>IFERROR(__xludf.DUMMYFUNCTION("""COMPUTED_VALUE"""),"uni-ball Deluxe Rollerball Pens, Fine Point (0.7mm), Black, 3 Count")</f>
        <v>uni-ball Deluxe Rollerball Pens, Fine Point (0.7mm), Black, 3 Count</v>
      </c>
      <c r="D302" t="str">
        <f>IFERROR(__xludf.DUMMYFUNCTION("""COMPUTED_VALUE"""),"B001OLS5QU")</f>
        <v>B001OLS5QU</v>
      </c>
      <c r="E302" t="str">
        <f>IFERROR(__xludf.DUMMYFUNCTION("""COMPUTED_VALUE"""),"030246603116")</f>
        <v>030246603116</v>
      </c>
      <c r="F302">
        <f>IFERROR(__xludf.DUMMYFUNCTION("""COMPUTED_VALUE"""),288.0)</f>
        <v>288</v>
      </c>
      <c r="G302">
        <f>IFERROR(__xludf.DUMMYFUNCTION("""COMPUTED_VALUE"""),10000.0)</f>
        <v>10000</v>
      </c>
      <c r="H302" s="2">
        <f>IFERROR(__xludf.DUMMYFUNCTION("""COMPUTED_VALUE"""),5.0)</f>
        <v>5</v>
      </c>
      <c r="I302" s="2">
        <f>IFERROR(__xludf.DUMMYFUNCTION("""COMPUTED_VALUE"""),7.89)</f>
        <v>7.89</v>
      </c>
      <c r="J302" s="2">
        <f>IFERROR(__xludf.DUMMYFUNCTION("""COMPUTED_VALUE"""),2.8899999999999997)</f>
        <v>2.89</v>
      </c>
      <c r="K302" s="5">
        <f>IFERROR(__xludf.DUMMYFUNCTION("""COMPUTED_VALUE"""),0.578)</f>
        <v>0.578</v>
      </c>
      <c r="L302">
        <f>IFERROR(__xludf.DUMMYFUNCTION("""COMPUTED_VALUE"""),27865.0)</f>
        <v>27865</v>
      </c>
      <c r="M302" t="str">
        <f>IFERROR(__xludf.DUMMYFUNCTION("""COMPUTED_VALUE"""),"BISS Basic")</f>
        <v>BISS Basic</v>
      </c>
      <c r="O302" t="str">
        <f>IFERROR(__xludf.DUMMYFUNCTION("""COMPUTED_VALUE"""),"Y")</f>
        <v>Y</v>
      </c>
      <c r="P302" s="1" t="str">
        <f>IFERROR(__xludf.DUMMYFUNCTION("""COMPUTED_VALUE"""),"ID 897")</f>
        <v>ID 897</v>
      </c>
      <c r="Q302" s="1" t="str">
        <f>IFERROR(__xludf.DUMMYFUNCTION("""COMPUTED_VALUE"""),"B001OLS5QU")</f>
        <v>B001OLS5QU</v>
      </c>
    </row>
    <row r="303">
      <c r="A303" s="6">
        <f>IFERROR(__xludf.DUMMYFUNCTION("""COMPUTED_VALUE"""),44909.0)</f>
        <v>44909</v>
      </c>
      <c r="B303">
        <f>IFERROR(__xludf.DUMMYFUNCTION("""COMPUTED_VALUE"""),23346.0)</f>
        <v>23346</v>
      </c>
      <c r="C303" t="str">
        <f>IFERROR(__xludf.DUMMYFUNCTION("""COMPUTED_VALUE"""),"Sugar Sprinkles 8oz-White")</f>
        <v>Sugar Sprinkles 8oz-White</v>
      </c>
      <c r="D303" t="str">
        <f>IFERROR(__xludf.DUMMYFUNCTION("""COMPUTED_VALUE"""),"B00W682PJ8")</f>
        <v>B00W682PJ8</v>
      </c>
      <c r="E303" t="str">
        <f>IFERROR(__xludf.DUMMYFUNCTION("""COMPUTED_VALUE"""),"070896719928")</f>
        <v>070896719928</v>
      </c>
      <c r="F303">
        <f>IFERROR(__xludf.DUMMYFUNCTION("""COMPUTED_VALUE"""),2016.0)</f>
        <v>2016</v>
      </c>
      <c r="G303">
        <f>IFERROR(__xludf.DUMMYFUNCTION("""COMPUTED_VALUE"""),768.0)</f>
        <v>768</v>
      </c>
      <c r="H303" s="2">
        <f>IFERROR(__xludf.DUMMYFUNCTION("""COMPUTED_VALUE"""),1.0)</f>
        <v>1</v>
      </c>
      <c r="I303" s="2">
        <f>IFERROR(__xludf.DUMMYFUNCTION("""COMPUTED_VALUE"""),3.88)</f>
        <v>3.88</v>
      </c>
      <c r="J303" s="2">
        <f>IFERROR(__xludf.DUMMYFUNCTION("""COMPUTED_VALUE"""),2.88)</f>
        <v>2.88</v>
      </c>
      <c r="K303" s="5">
        <f>IFERROR(__xludf.DUMMYFUNCTION("""COMPUTED_VALUE"""),2.88)</f>
        <v>2.88</v>
      </c>
      <c r="L303">
        <f>IFERROR(__xludf.DUMMYFUNCTION("""COMPUTED_VALUE"""),32737.0)</f>
        <v>32737</v>
      </c>
      <c r="M303" t="str">
        <f>IFERROR(__xludf.DUMMYFUNCTION("""COMPUTED_VALUE"""),"Grocery")</f>
        <v>Grocery</v>
      </c>
      <c r="O303" t="str">
        <f>IFERROR(__xludf.DUMMYFUNCTION("""COMPUTED_VALUE"""),"N")</f>
        <v>N</v>
      </c>
      <c r="P303" s="1" t="str">
        <f>IFERROR(__xludf.DUMMYFUNCTION("""COMPUTED_VALUE"""),"ID 23346")</f>
        <v>ID 23346</v>
      </c>
      <c r="Q303" s="1" t="str">
        <f>IFERROR(__xludf.DUMMYFUNCTION("""COMPUTED_VALUE"""),"B00W682PJ8")</f>
        <v>B00W682PJ8</v>
      </c>
    </row>
    <row r="304">
      <c r="A304" s="6">
        <f>IFERROR(__xludf.DUMMYFUNCTION("""COMPUTED_VALUE"""),45401.0)</f>
        <v>45401</v>
      </c>
      <c r="B304">
        <f>IFERROR(__xludf.DUMMYFUNCTION("""COMPUTED_VALUE"""),16449.0)</f>
        <v>16449</v>
      </c>
      <c r="C304" t="str">
        <f>IFERROR(__xludf.DUMMYFUNCTION("""COMPUTED_VALUE"""),"Home Basics ST01034 Serving Tray, Bamboo")</f>
        <v>Home Basics ST01034 Serving Tray, Bamboo</v>
      </c>
      <c r="D304" t="str">
        <f>IFERROR(__xludf.DUMMYFUNCTION("""COMPUTED_VALUE"""),"B004LF8TSA")</f>
        <v>B004LF8TSA</v>
      </c>
      <c r="E304" t="str">
        <f>IFERROR(__xludf.DUMMYFUNCTION("""COMPUTED_VALUE"""),"857198010348")</f>
        <v>857198010348</v>
      </c>
      <c r="F304">
        <f>IFERROR(__xludf.DUMMYFUNCTION("""COMPUTED_VALUE"""),144.0)</f>
        <v>144</v>
      </c>
      <c r="G304">
        <f>IFERROR(__xludf.DUMMYFUNCTION("""COMPUTED_VALUE"""),10000.0)</f>
        <v>10000</v>
      </c>
      <c r="H304" s="2">
        <f>IFERROR(__xludf.DUMMYFUNCTION("""COMPUTED_VALUE"""),9.5)</f>
        <v>9.5</v>
      </c>
      <c r="I304" s="2">
        <f>IFERROR(__xludf.DUMMYFUNCTION("""COMPUTED_VALUE"""),12.37)</f>
        <v>12.37</v>
      </c>
      <c r="J304" s="2">
        <f>IFERROR(__xludf.DUMMYFUNCTION("""COMPUTED_VALUE"""),2.869999999999999)</f>
        <v>2.87</v>
      </c>
      <c r="K304" s="5">
        <f>IFERROR(__xludf.DUMMYFUNCTION("""COMPUTED_VALUE"""),0.30210526315789465)</f>
        <v>0.3021052632</v>
      </c>
      <c r="L304">
        <f>IFERROR(__xludf.DUMMYFUNCTION("""COMPUTED_VALUE"""),96134.0)</f>
        <v>96134</v>
      </c>
      <c r="M304" t="str">
        <f>IFERROR(__xludf.DUMMYFUNCTION("""COMPUTED_VALUE"""),"Home")</f>
        <v>Home</v>
      </c>
      <c r="O304" t="str">
        <f>IFERROR(__xludf.DUMMYFUNCTION("""COMPUTED_VALUE"""),"N")</f>
        <v>N</v>
      </c>
      <c r="P304" s="1" t="str">
        <f>IFERROR(__xludf.DUMMYFUNCTION("""COMPUTED_VALUE"""),"ID 16449")</f>
        <v>ID 16449</v>
      </c>
      <c r="Q304" s="1" t="str">
        <f>IFERROR(__xludf.DUMMYFUNCTION("""COMPUTED_VALUE"""),"B004LF8TSA")</f>
        <v>B004LF8TSA</v>
      </c>
    </row>
    <row r="305">
      <c r="A305" s="6">
        <f>IFERROR(__xludf.DUMMYFUNCTION("""COMPUTED_VALUE"""),45329.0)</f>
        <v>45329</v>
      </c>
      <c r="B305">
        <f>IFERROR(__xludf.DUMMYFUNCTION("""COMPUTED_VALUE"""),12713.0)</f>
        <v>12713</v>
      </c>
      <c r="C305" t="str">
        <f>IFERROR(__xludf.DUMMYFUNCTION("""COMPUTED_VALUE"""),"Zippo Howling Wolves 360° Design Black Ice Pocket Lighter")</f>
        <v>Zippo Howling Wolves 360° Design Black Ice Pocket Lighter</v>
      </c>
      <c r="D305" t="str">
        <f>IFERROR(__xludf.DUMMYFUNCTION("""COMPUTED_VALUE"""),"B084PRVZHR")</f>
        <v>B084PRVZHR</v>
      </c>
      <c r="E305" t="str">
        <f>IFERROR(__xludf.DUMMYFUNCTION("""COMPUTED_VALUE"""),"191693146257")</f>
        <v>191693146257</v>
      </c>
      <c r="F305">
        <f>IFERROR(__xludf.DUMMYFUNCTION("""COMPUTED_VALUE"""),120.0)</f>
        <v>120</v>
      </c>
      <c r="G305">
        <f>IFERROR(__xludf.DUMMYFUNCTION("""COMPUTED_VALUE"""),5000.0)</f>
        <v>5000</v>
      </c>
      <c r="H305" s="2">
        <f>IFERROR(__xludf.DUMMYFUNCTION("""COMPUTED_VALUE"""),20.75)</f>
        <v>20.75</v>
      </c>
      <c r="I305" s="2">
        <f>IFERROR(__xludf.DUMMYFUNCTION("""COMPUTED_VALUE"""),23.6)</f>
        <v>23.6</v>
      </c>
      <c r="J305" s="2">
        <f>IFERROR(__xludf.DUMMYFUNCTION("""COMPUTED_VALUE"""),2.8500000000000014)</f>
        <v>2.85</v>
      </c>
      <c r="K305" s="5">
        <f>IFERROR(__xludf.DUMMYFUNCTION("""COMPUTED_VALUE"""),0.13734939759036152)</f>
        <v>0.1373493976</v>
      </c>
      <c r="L305">
        <f>IFERROR(__xludf.DUMMYFUNCTION("""COMPUTED_VALUE"""),88704.0)</f>
        <v>88704</v>
      </c>
      <c r="M305" t="str">
        <f>IFERROR(__xludf.DUMMYFUNCTION("""COMPUTED_VALUE"""),"Sports")</f>
        <v>Sports</v>
      </c>
      <c r="N305" t="str">
        <f>IFERROR(__xludf.DUMMYFUNCTION("""COMPUTED_VALUE""")," Restricted for resale on third party websites")</f>
        <v> Restricted for resale on third party websites</v>
      </c>
      <c r="O305" t="str">
        <f>IFERROR(__xludf.DUMMYFUNCTION("""COMPUTED_VALUE"""),"Y")</f>
        <v>Y</v>
      </c>
      <c r="P305" s="1" t="str">
        <f>IFERROR(__xludf.DUMMYFUNCTION("""COMPUTED_VALUE"""),"ID 12713")</f>
        <v>ID 12713</v>
      </c>
      <c r="Q305" s="1" t="str">
        <f>IFERROR(__xludf.DUMMYFUNCTION("""COMPUTED_VALUE"""),"B084PRVZHR")</f>
        <v>B084PRVZHR</v>
      </c>
    </row>
    <row r="306">
      <c r="A306" s="6">
        <f>IFERROR(__xludf.DUMMYFUNCTION("""COMPUTED_VALUE"""),45342.0)</f>
        <v>45342</v>
      </c>
      <c r="B306">
        <f>IFERROR(__xludf.DUMMYFUNCTION("""COMPUTED_VALUE"""),18194.0)</f>
        <v>18194</v>
      </c>
      <c r="C306" t="str">
        <f>IFERROR(__xludf.DUMMYFUNCTION("""COMPUTED_VALUE"""),"TRESemmé Thickening Shampoo for Fine Hair 24 Hour Volume Hair Care With Volume Control Complex and Silk Proteins 28 oz")</f>
        <v>TRESemmé Thickening Shampoo for Fine Hair 24 Hour Volume Hair Care With Volume Control Complex and Silk Proteins 28 oz</v>
      </c>
      <c r="D306" t="str">
        <f>IFERROR(__xludf.DUMMYFUNCTION("""COMPUTED_VALUE"""),"B00TBJSJV8")</f>
        <v>B00TBJSJV8</v>
      </c>
      <c r="E306" t="str">
        <f>IFERROR(__xludf.DUMMYFUNCTION("""COMPUTED_VALUE"""),"022400393612")</f>
        <v>022400393612</v>
      </c>
      <c r="F306">
        <f>IFERROR(__xludf.DUMMYFUNCTION("""COMPUTED_VALUE"""),306.0)</f>
        <v>306</v>
      </c>
      <c r="G306">
        <f>IFERROR(__xludf.DUMMYFUNCTION("""COMPUTED_VALUE"""),540.0)</f>
        <v>540</v>
      </c>
      <c r="H306" s="2">
        <f>IFERROR(__xludf.DUMMYFUNCTION("""COMPUTED_VALUE"""),4.0)</f>
        <v>4</v>
      </c>
      <c r="I306" s="2">
        <f>IFERROR(__xludf.DUMMYFUNCTION("""COMPUTED_VALUE"""),6.85)</f>
        <v>6.85</v>
      </c>
      <c r="J306" s="2">
        <f>IFERROR(__xludf.DUMMYFUNCTION("""COMPUTED_VALUE"""),2.8499999999999996)</f>
        <v>2.85</v>
      </c>
      <c r="K306" s="5">
        <f>IFERROR(__xludf.DUMMYFUNCTION("""COMPUTED_VALUE"""),0.7124999999999999)</f>
        <v>0.7125</v>
      </c>
      <c r="L306">
        <f>IFERROR(__xludf.DUMMYFUNCTION("""COMPUTED_VALUE"""),32016.0)</f>
        <v>32016</v>
      </c>
      <c r="M306" t="str">
        <f>IFERROR(__xludf.DUMMYFUNCTION("""COMPUTED_VALUE"""),"Beauty")</f>
        <v>Beauty</v>
      </c>
      <c r="O306" t="str">
        <f>IFERROR(__xludf.DUMMYFUNCTION("""COMPUTED_VALUE"""),"N")</f>
        <v>N</v>
      </c>
      <c r="P306" s="1" t="str">
        <f>IFERROR(__xludf.DUMMYFUNCTION("""COMPUTED_VALUE"""),"ID 18194")</f>
        <v>ID 18194</v>
      </c>
      <c r="Q306" s="1" t="str">
        <f>IFERROR(__xludf.DUMMYFUNCTION("""COMPUTED_VALUE"""),"B00TBJSJV8")</f>
        <v>B00TBJSJV8</v>
      </c>
    </row>
    <row r="307">
      <c r="A307" s="6">
        <f>IFERROR(__xludf.DUMMYFUNCTION("""COMPUTED_VALUE"""),44439.0)</f>
        <v>44439</v>
      </c>
      <c r="B307">
        <f>IFERROR(__xludf.DUMMYFUNCTION("""COMPUTED_VALUE"""),19558.0)</f>
        <v>19558</v>
      </c>
      <c r="C307" t="str">
        <f>IFERROR(__xludf.DUMMYFUNCTION("""COMPUTED_VALUE"""),"Five Star Spiral Notebook, 1 Subject, College Ruled Paper, 100 Sheets, 11"" x 8-1/2, School, Wired, Purple (38744)")</f>
        <v>Five Star Spiral Notebook, 1 Subject, College Ruled Paper, 100 Sheets, 11" x 8-1/2, School, Wired, Purple (38744)</v>
      </c>
      <c r="D307" t="str">
        <f>IFERROR(__xludf.DUMMYFUNCTION("""COMPUTED_VALUE"""),"B01E0E8X4G")</f>
        <v>B01E0E8X4G</v>
      </c>
      <c r="E307" t="str">
        <f>IFERROR(__xludf.DUMMYFUNCTION("""COMPUTED_VALUE"""),"43100387442")</f>
        <v>43100387442</v>
      </c>
      <c r="F307">
        <f>IFERROR(__xludf.DUMMYFUNCTION("""COMPUTED_VALUE"""),588.0)</f>
        <v>588</v>
      </c>
      <c r="G307">
        <f>IFERROR(__xludf.DUMMYFUNCTION("""COMPUTED_VALUE"""),5000.0)</f>
        <v>5000</v>
      </c>
      <c r="H307" s="2">
        <f>IFERROR(__xludf.DUMMYFUNCTION("""COMPUTED_VALUE"""),4.75)</f>
        <v>4.75</v>
      </c>
      <c r="I307" s="2">
        <f>IFERROR(__xludf.DUMMYFUNCTION("""COMPUTED_VALUE"""),7.59)</f>
        <v>7.59</v>
      </c>
      <c r="J307" s="2">
        <f>IFERROR(__xludf.DUMMYFUNCTION("""COMPUTED_VALUE"""),2.84)</f>
        <v>2.84</v>
      </c>
      <c r="K307" s="5">
        <f>IFERROR(__xludf.DUMMYFUNCTION("""COMPUTED_VALUE"""),0.5978947368421053)</f>
        <v>0.5978947368</v>
      </c>
      <c r="L307">
        <f>IFERROR(__xludf.DUMMYFUNCTION("""COMPUTED_VALUE"""),5540.0)</f>
        <v>5540</v>
      </c>
      <c r="M307" t="str">
        <f>IFERROR(__xludf.DUMMYFUNCTION("""COMPUTED_VALUE"""),"Office Product")</f>
        <v>Office Product</v>
      </c>
      <c r="O307" t="str">
        <f>IFERROR(__xludf.DUMMYFUNCTION("""COMPUTED_VALUE"""),"N")</f>
        <v>N</v>
      </c>
      <c r="P307" s="1" t="str">
        <f>IFERROR(__xludf.DUMMYFUNCTION("""COMPUTED_VALUE"""),"ID 19558")</f>
        <v>ID 19558</v>
      </c>
      <c r="Q307" s="1" t="str">
        <f>IFERROR(__xludf.DUMMYFUNCTION("""COMPUTED_VALUE"""),"B01E0E8X4G")</f>
        <v>B01E0E8X4G</v>
      </c>
    </row>
    <row r="308">
      <c r="A308" s="6">
        <f>IFERROR(__xludf.DUMMYFUNCTION("""COMPUTED_VALUE"""),45026.0)</f>
        <v>45026</v>
      </c>
      <c r="B308">
        <f>IFERROR(__xludf.DUMMYFUNCTION("""COMPUTED_VALUE"""),687.0)</f>
        <v>687</v>
      </c>
      <c r="C308" t="str">
        <f>IFERROR(__xludf.DUMMYFUNCTION("""COMPUTED_VALUE"""),"PaperPro inCOURAGE 20 Reduced Effort Compact Stapler with Built-in Staple Remover, 20 Sheets, Pink/White (1588)")</f>
        <v>PaperPro inCOURAGE 20 Reduced Effort Compact Stapler with Built-in Staple Remover, 20 Sheets, Pink/White (1588)</v>
      </c>
      <c r="D308" t="str">
        <f>IFERROR(__xludf.DUMMYFUNCTION("""COMPUTED_VALUE"""),"B001TDKOPI")</f>
        <v>B001TDKOPI</v>
      </c>
      <c r="E308" t="str">
        <f>IFERROR(__xludf.DUMMYFUNCTION("""COMPUTED_VALUE"""),"842048015888")</f>
        <v>842048015888</v>
      </c>
      <c r="F308">
        <f>IFERROR(__xludf.DUMMYFUNCTION("""COMPUTED_VALUE"""),180.0)</f>
        <v>180</v>
      </c>
      <c r="G308">
        <f>IFERROR(__xludf.DUMMYFUNCTION("""COMPUTED_VALUE"""),1466.0)</f>
        <v>1466</v>
      </c>
      <c r="H308" s="2">
        <f>IFERROR(__xludf.DUMMYFUNCTION("""COMPUTED_VALUE"""),7.0)</f>
        <v>7</v>
      </c>
      <c r="I308" s="2">
        <f>IFERROR(__xludf.DUMMYFUNCTION("""COMPUTED_VALUE"""),9.84)</f>
        <v>9.84</v>
      </c>
      <c r="J308" s="2">
        <f>IFERROR(__xludf.DUMMYFUNCTION("""COMPUTED_VALUE"""),2.84)</f>
        <v>2.84</v>
      </c>
      <c r="K308" s="5">
        <f>IFERROR(__xludf.DUMMYFUNCTION("""COMPUTED_VALUE"""),0.4057142857142857)</f>
        <v>0.4057142857</v>
      </c>
      <c r="L308">
        <f>IFERROR(__xludf.DUMMYFUNCTION("""COMPUTED_VALUE"""),76159.0)</f>
        <v>76159</v>
      </c>
      <c r="M308" t="str">
        <f>IFERROR(__xludf.DUMMYFUNCTION("""COMPUTED_VALUE"""),"Office Product")</f>
        <v>Office Product</v>
      </c>
      <c r="O308" t="str">
        <f>IFERROR(__xludf.DUMMYFUNCTION("""COMPUTED_VALUE"""),"Y")</f>
        <v>Y</v>
      </c>
      <c r="P308" s="1" t="str">
        <f>IFERROR(__xludf.DUMMYFUNCTION("""COMPUTED_VALUE"""),"ID 687")</f>
        <v>ID 687</v>
      </c>
      <c r="Q308" s="1" t="str">
        <f>IFERROR(__xludf.DUMMYFUNCTION("""COMPUTED_VALUE"""),"B001TDKOPI")</f>
        <v>B001TDKOPI</v>
      </c>
    </row>
    <row r="309">
      <c r="A309" s="6">
        <f>IFERROR(__xludf.DUMMYFUNCTION("""COMPUTED_VALUE"""),44497.0)</f>
        <v>44497</v>
      </c>
      <c r="B309">
        <f>IFERROR(__xludf.DUMMYFUNCTION("""COMPUTED_VALUE"""),22156.0)</f>
        <v>22156</v>
      </c>
      <c r="C309" t="str">
        <f>IFERROR(__xludf.DUMMYFUNCTION("""COMPUTED_VALUE"""),"Maybelline New York Color Tattoo Eye Chrome Eyeshadow, Gilded Rose, 0.11 fl. oz.")</f>
        <v>Maybelline New York Color Tattoo Eye Chrome Eyeshadow, Gilded Rose, 0.11 fl. oz.</v>
      </c>
      <c r="D309" t="str">
        <f>IFERROR(__xludf.DUMMYFUNCTION("""COMPUTED_VALUE"""),"B01DPA716W")</f>
        <v>B01DPA716W</v>
      </c>
      <c r="E309" t="str">
        <f>IFERROR(__xludf.DUMMYFUNCTION("""COMPUTED_VALUE"""),"041554472578")</f>
        <v>041554472578</v>
      </c>
      <c r="F309">
        <f>IFERROR(__xludf.DUMMYFUNCTION("""COMPUTED_VALUE"""),1500.0)</f>
        <v>1500</v>
      </c>
      <c r="G309">
        <f>IFERROR(__xludf.DUMMYFUNCTION("""COMPUTED_VALUE"""),720.0)</f>
        <v>720</v>
      </c>
      <c r="H309" s="2">
        <f>IFERROR(__xludf.DUMMYFUNCTION("""COMPUTED_VALUE"""),1.25)</f>
        <v>1.25</v>
      </c>
      <c r="I309" s="2">
        <f>IFERROR(__xludf.DUMMYFUNCTION("""COMPUTED_VALUE"""),4.09)</f>
        <v>4.09</v>
      </c>
      <c r="J309" s="2">
        <f>IFERROR(__xludf.DUMMYFUNCTION("""COMPUTED_VALUE"""),2.84)</f>
        <v>2.84</v>
      </c>
      <c r="K309" s="5">
        <f>IFERROR(__xludf.DUMMYFUNCTION("""COMPUTED_VALUE"""),2.272)</f>
        <v>2.272</v>
      </c>
      <c r="L309">
        <f>IFERROR(__xludf.DUMMYFUNCTION("""COMPUTED_VALUE"""),34061.0)</f>
        <v>34061</v>
      </c>
      <c r="M309" t="str">
        <f>IFERROR(__xludf.DUMMYFUNCTION("""COMPUTED_VALUE"""),"Beauty")</f>
        <v>Beauty</v>
      </c>
      <c r="O309" t="str">
        <f>IFERROR(__xludf.DUMMYFUNCTION("""COMPUTED_VALUE"""),"N")</f>
        <v>N</v>
      </c>
      <c r="P309" s="1" t="str">
        <f>IFERROR(__xludf.DUMMYFUNCTION("""COMPUTED_VALUE"""),"ID 22156")</f>
        <v>ID 22156</v>
      </c>
      <c r="Q309" s="1" t="str">
        <f>IFERROR(__xludf.DUMMYFUNCTION("""COMPUTED_VALUE"""),"B01DPA716W")</f>
        <v>B01DPA716W</v>
      </c>
    </row>
    <row r="310">
      <c r="A310" s="6">
        <f>IFERROR(__xludf.DUMMYFUNCTION("""COMPUTED_VALUE"""),44837.0)</f>
        <v>44837</v>
      </c>
      <c r="B310">
        <f>IFERROR(__xludf.DUMMYFUNCTION("""COMPUTED_VALUE"""),9551.0)</f>
        <v>9551</v>
      </c>
      <c r="C310" t="str">
        <f>IFERROR(__xludf.DUMMYFUNCTION("""COMPUTED_VALUE"""),"Nyko Boost Pak - Dockable 2500 mAh rechargeable battery pack for Nintendo Switch")</f>
        <v>Nyko Boost Pak - Dockable 2500 mAh rechargeable battery pack for Nintendo Switch</v>
      </c>
      <c r="D310" t="str">
        <f>IFERROR(__xludf.DUMMYFUNCTION("""COMPUTED_VALUE"""),"B072KHS2ZW")</f>
        <v>B072KHS2ZW</v>
      </c>
      <c r="E310" t="str">
        <f>IFERROR(__xludf.DUMMYFUNCTION("""COMPUTED_VALUE"""),"743840872245")</f>
        <v>743840872245</v>
      </c>
      <c r="F310">
        <f>IFERROR(__xludf.DUMMYFUNCTION("""COMPUTED_VALUE"""),672.0)</f>
        <v>672</v>
      </c>
      <c r="G310">
        <f>IFERROR(__xludf.DUMMYFUNCTION("""COMPUTED_VALUE"""),25172.0)</f>
        <v>25172</v>
      </c>
      <c r="H310" s="2">
        <f>IFERROR(__xludf.DUMMYFUNCTION("""COMPUTED_VALUE"""),2.0)</f>
        <v>2</v>
      </c>
      <c r="I310" s="2">
        <f>IFERROR(__xludf.DUMMYFUNCTION("""COMPUTED_VALUE"""),4.82)</f>
        <v>4.82</v>
      </c>
      <c r="J310" s="2">
        <f>IFERROR(__xludf.DUMMYFUNCTION("""COMPUTED_VALUE"""),2.8200000000000003)</f>
        <v>2.82</v>
      </c>
      <c r="K310" s="5">
        <f>IFERROR(__xludf.DUMMYFUNCTION("""COMPUTED_VALUE"""),1.4100000000000001)</f>
        <v>1.41</v>
      </c>
      <c r="L310">
        <f>IFERROR(__xludf.DUMMYFUNCTION("""COMPUTED_VALUE"""),65076.0)</f>
        <v>65076</v>
      </c>
      <c r="M310" t="str">
        <f>IFERROR(__xludf.DUMMYFUNCTION("""COMPUTED_VALUE"""),"Video Games")</f>
        <v>Video Games</v>
      </c>
      <c r="O310" t="str">
        <f>IFERROR(__xludf.DUMMYFUNCTION("""COMPUTED_VALUE"""),"Y")</f>
        <v>Y</v>
      </c>
      <c r="P310" s="1" t="str">
        <f>IFERROR(__xludf.DUMMYFUNCTION("""COMPUTED_VALUE"""),"ID 9551")</f>
        <v>ID 9551</v>
      </c>
      <c r="Q310" s="1" t="str">
        <f>IFERROR(__xludf.DUMMYFUNCTION("""COMPUTED_VALUE"""),"B072KHS2ZW")</f>
        <v>B072KHS2ZW</v>
      </c>
    </row>
    <row r="311">
      <c r="A311" s="6">
        <f>IFERROR(__xludf.DUMMYFUNCTION("""COMPUTED_VALUE"""),43994.0)</f>
        <v>43994</v>
      </c>
      <c r="B311">
        <f>IFERROR(__xludf.DUMMYFUNCTION("""COMPUTED_VALUE"""),15013.0)</f>
        <v>15013</v>
      </c>
      <c r="C311" t="str">
        <f>IFERROR(__xludf.DUMMYFUNCTION("""COMPUTED_VALUE"""),"Revlon Ultra HD Gel Lipcolor, HD Sand")</f>
        <v>Revlon Ultra HD Gel Lipcolor, HD Sand</v>
      </c>
      <c r="D311" t="str">
        <f>IFERROR(__xludf.DUMMYFUNCTION("""COMPUTED_VALUE"""),"B01KHSUVUS")</f>
        <v>B01KHSUVUS</v>
      </c>
      <c r="E311" t="str">
        <f>IFERROR(__xludf.DUMMYFUNCTION("""COMPUTED_VALUE"""),"309977862131")</f>
        <v>309977862131</v>
      </c>
      <c r="F311">
        <f>IFERROR(__xludf.DUMMYFUNCTION("""COMPUTED_VALUE"""),700.0)</f>
        <v>700</v>
      </c>
      <c r="G311">
        <f>IFERROR(__xludf.DUMMYFUNCTION("""COMPUTED_VALUE"""),2880.0)</f>
        <v>2880</v>
      </c>
      <c r="H311" s="2">
        <f>IFERROR(__xludf.DUMMYFUNCTION("""COMPUTED_VALUE"""),2.0)</f>
        <v>2</v>
      </c>
      <c r="I311" s="2">
        <f>IFERROR(__xludf.DUMMYFUNCTION("""COMPUTED_VALUE"""),4.79)</f>
        <v>4.79</v>
      </c>
      <c r="J311" s="2">
        <f>IFERROR(__xludf.DUMMYFUNCTION("""COMPUTED_VALUE"""),2.79)</f>
        <v>2.79</v>
      </c>
      <c r="K311" s="5">
        <f>IFERROR(__xludf.DUMMYFUNCTION("""COMPUTED_VALUE"""),1.395)</f>
        <v>1.395</v>
      </c>
      <c r="L311">
        <f>IFERROR(__xludf.DUMMYFUNCTION("""COMPUTED_VALUE"""),32087.0)</f>
        <v>32087</v>
      </c>
      <c r="M311" t="str">
        <f>IFERROR(__xludf.DUMMYFUNCTION("""COMPUTED_VALUE"""),"Beauty")</f>
        <v>Beauty</v>
      </c>
      <c r="O311" t="str">
        <f>IFERROR(__xludf.DUMMYFUNCTION("""COMPUTED_VALUE"""),"N")</f>
        <v>N</v>
      </c>
      <c r="P311" s="1" t="str">
        <f>IFERROR(__xludf.DUMMYFUNCTION("""COMPUTED_VALUE"""),"ID 15013")</f>
        <v>ID 15013</v>
      </c>
      <c r="Q311" s="1" t="str">
        <f>IFERROR(__xludf.DUMMYFUNCTION("""COMPUTED_VALUE"""),"B01KHSUVUS")</f>
        <v>B01KHSUVUS</v>
      </c>
    </row>
    <row r="312">
      <c r="A312" s="6">
        <f>IFERROR(__xludf.DUMMYFUNCTION("""COMPUTED_VALUE"""),45429.0)</f>
        <v>45429</v>
      </c>
      <c r="B312">
        <f>IFERROR(__xludf.DUMMYFUNCTION("""COMPUTED_VALUE"""),25479.0)</f>
        <v>25479</v>
      </c>
      <c r="C312" t="str">
        <f>IFERROR(__xludf.DUMMYFUNCTION("""COMPUTED_VALUE"""),"Revlon ColorStay Brow Tint, Dark Brown, 1 Count")</f>
        <v>Revlon ColorStay Brow Tint, Dark Brown, 1 Count</v>
      </c>
      <c r="D312" t="str">
        <f>IFERROR(__xludf.DUMMYFUNCTION("""COMPUTED_VALUE"""),"B07B4P29RM")</f>
        <v>B07B4P29RM</v>
      </c>
      <c r="E312" t="str">
        <f>IFERROR(__xludf.DUMMYFUNCTION("""COMPUTED_VALUE"""),"309970005030")</f>
        <v>309970005030</v>
      </c>
      <c r="F312">
        <f>IFERROR(__xludf.DUMMYFUNCTION("""COMPUTED_VALUE"""),1000.0)</f>
        <v>1000</v>
      </c>
      <c r="G312">
        <f>IFERROR(__xludf.DUMMYFUNCTION("""COMPUTED_VALUE"""),1654.0)</f>
        <v>1654</v>
      </c>
      <c r="H312" s="2">
        <f>IFERROR(__xludf.DUMMYFUNCTION("""COMPUTED_VALUE"""),1.25)</f>
        <v>1.25</v>
      </c>
      <c r="I312" s="2">
        <f>IFERROR(__xludf.DUMMYFUNCTION("""COMPUTED_VALUE"""),4.04)</f>
        <v>4.04</v>
      </c>
      <c r="J312" s="2">
        <f>IFERROR(__xludf.DUMMYFUNCTION("""COMPUTED_VALUE"""),2.79)</f>
        <v>2.79</v>
      </c>
      <c r="K312" s="5">
        <f>IFERROR(__xludf.DUMMYFUNCTION("""COMPUTED_VALUE"""),2.232)</f>
        <v>2.232</v>
      </c>
      <c r="L312">
        <f>IFERROR(__xludf.DUMMYFUNCTION("""COMPUTED_VALUE"""),58689.0)</f>
        <v>58689</v>
      </c>
      <c r="M312" t="str">
        <f>IFERROR(__xludf.DUMMYFUNCTION("""COMPUTED_VALUE"""),"Beauty")</f>
        <v>Beauty</v>
      </c>
      <c r="O312" t="str">
        <f>IFERROR(__xludf.DUMMYFUNCTION("""COMPUTED_VALUE"""),"Y")</f>
        <v>Y</v>
      </c>
      <c r="P312" s="1" t="str">
        <f>IFERROR(__xludf.DUMMYFUNCTION("""COMPUTED_VALUE"""),"ID 25479")</f>
        <v>ID 25479</v>
      </c>
      <c r="Q312" s="1" t="str">
        <f>IFERROR(__xludf.DUMMYFUNCTION("""COMPUTED_VALUE"""),"B07B4P29RM")</f>
        <v>B07B4P29RM</v>
      </c>
    </row>
    <row r="313">
      <c r="A313" s="6">
        <f>IFERROR(__xludf.DUMMYFUNCTION("""COMPUTED_VALUE"""),45397.0)</f>
        <v>45397</v>
      </c>
      <c r="B313">
        <f>IFERROR(__xludf.DUMMYFUNCTION("""COMPUTED_VALUE"""),20963.0)</f>
        <v>20963</v>
      </c>
      <c r="C313" t="str">
        <f>IFERROR(__xludf.DUMMYFUNCTION("""COMPUTED_VALUE"""),"Bostitch EZ Squeeze 130 Sheet B8 PowerCrown Staples for Bostitch B8130, 1,000 Per Box (STCR130XHC)")</f>
        <v>Bostitch EZ Squeeze 130 Sheet B8 PowerCrown Staples for Bostitch B8130, 1,000 Per Box (STCR130XHC)</v>
      </c>
      <c r="D313" t="str">
        <f>IFERROR(__xludf.DUMMYFUNCTION("""COMPUTED_VALUE"""),"B004I2E8HC")</f>
        <v>B004I2E8HC</v>
      </c>
      <c r="E313" t="str">
        <f>IFERROR(__xludf.DUMMYFUNCTION("""COMPUTED_VALUE"""),"077914052760")</f>
        <v>077914052760</v>
      </c>
      <c r="F313">
        <f>IFERROR(__xludf.DUMMYFUNCTION("""COMPUTED_VALUE"""),1025.0)</f>
        <v>1025</v>
      </c>
      <c r="G313">
        <f>IFERROR(__xludf.DUMMYFUNCTION("""COMPUTED_VALUE"""),1144.0)</f>
        <v>1144</v>
      </c>
      <c r="H313" s="2">
        <f>IFERROR(__xludf.DUMMYFUNCTION("""COMPUTED_VALUE"""),2.75)</f>
        <v>2.75</v>
      </c>
      <c r="I313" s="2">
        <f>IFERROR(__xludf.DUMMYFUNCTION("""COMPUTED_VALUE"""),5.53)</f>
        <v>5.53</v>
      </c>
      <c r="J313" s="2">
        <f>IFERROR(__xludf.DUMMYFUNCTION("""COMPUTED_VALUE"""),2.7800000000000002)</f>
        <v>2.78</v>
      </c>
      <c r="K313" s="5">
        <f>IFERROR(__xludf.DUMMYFUNCTION("""COMPUTED_VALUE"""),1.010909090909091)</f>
        <v>1.010909091</v>
      </c>
      <c r="L313">
        <f>IFERROR(__xludf.DUMMYFUNCTION("""COMPUTED_VALUE"""),80203.0)</f>
        <v>80203</v>
      </c>
      <c r="M313" t="str">
        <f>IFERROR(__xludf.DUMMYFUNCTION("""COMPUTED_VALUE"""),"Office Product")</f>
        <v>Office Product</v>
      </c>
      <c r="O313" t="str">
        <f>IFERROR(__xludf.DUMMYFUNCTION("""COMPUTED_VALUE"""),"Y")</f>
        <v>Y</v>
      </c>
      <c r="P313" s="1" t="str">
        <f>IFERROR(__xludf.DUMMYFUNCTION("""COMPUTED_VALUE"""),"ID 20963")</f>
        <v>ID 20963</v>
      </c>
      <c r="Q313" s="1" t="str">
        <f>IFERROR(__xludf.DUMMYFUNCTION("""COMPUTED_VALUE"""),"B004I2E8HC")</f>
        <v>B004I2E8HC</v>
      </c>
    </row>
    <row r="314">
      <c r="A314" s="6">
        <f>IFERROR(__xludf.DUMMYFUNCTION("""COMPUTED_VALUE"""),45397.0)</f>
        <v>45397</v>
      </c>
      <c r="B314">
        <f>IFERROR(__xludf.DUMMYFUNCTION("""COMPUTED_VALUE"""),20969.0)</f>
        <v>20969</v>
      </c>
      <c r="C314" t="str">
        <f>IFERROR(__xludf.DUMMYFUNCTION("""COMPUTED_VALUE"""),"It's Academic Mini Executive Leather Portfolio Folder, 1"" Ring Binder and 250-Sheet Capacity, Note Pads, and 5.5"" x 8.5"" Documents, 2 Pen Loops, Dark Brown Faux Leather (98295")</f>
        <v>It's Academic Mini Executive Leather Portfolio Folder, 1" Ring Binder and 250-Sheet Capacity, Note Pads, and 5.5" x 8.5" Documents, 2 Pen Loops, Dark Brown Faux Leather (98295</v>
      </c>
      <c r="D314" t="str">
        <f>IFERROR(__xludf.DUMMYFUNCTION("""COMPUTED_VALUE"""),"B08JH8RJ41")</f>
        <v>B08JH8RJ41</v>
      </c>
      <c r="E314" t="str">
        <f>IFERROR(__xludf.DUMMYFUNCTION("""COMPUTED_VALUE"""),"725150982951")</f>
        <v>725150982951</v>
      </c>
      <c r="F314">
        <f>IFERROR(__xludf.DUMMYFUNCTION("""COMPUTED_VALUE"""),204.0)</f>
        <v>204</v>
      </c>
      <c r="G314">
        <f>IFERROR(__xludf.DUMMYFUNCTION("""COMPUTED_VALUE"""),2904.0)</f>
        <v>2904</v>
      </c>
      <c r="H314" s="2">
        <f>IFERROR(__xludf.DUMMYFUNCTION("""COMPUTED_VALUE"""),6.25)</f>
        <v>6.25</v>
      </c>
      <c r="I314" s="2">
        <f>IFERROR(__xludf.DUMMYFUNCTION("""COMPUTED_VALUE"""),9.02)</f>
        <v>9.02</v>
      </c>
      <c r="J314" s="2">
        <f>IFERROR(__xludf.DUMMYFUNCTION("""COMPUTED_VALUE"""),2.7699999999999996)</f>
        <v>2.77</v>
      </c>
      <c r="K314" s="5">
        <f>IFERROR(__xludf.DUMMYFUNCTION("""COMPUTED_VALUE"""),0.4431999999999999)</f>
        <v>0.4432</v>
      </c>
      <c r="L314">
        <f>IFERROR(__xludf.DUMMYFUNCTION("""COMPUTED_VALUE"""),50657.0)</f>
        <v>50657</v>
      </c>
      <c r="M314" t="str">
        <f>IFERROR(__xludf.DUMMYFUNCTION("""COMPUTED_VALUE"""),"BISS Basic")</f>
        <v>BISS Basic</v>
      </c>
      <c r="N314" t="str">
        <f>IFERROR(__xludf.DUMMYFUNCTION("""COMPUTED_VALUE"""),"Promo: Overstock")</f>
        <v>Promo: Overstock</v>
      </c>
      <c r="O314" t="str">
        <f>IFERROR(__xludf.DUMMYFUNCTION("""COMPUTED_VALUE"""),"Y")</f>
        <v>Y</v>
      </c>
      <c r="P314" s="1" t="str">
        <f>IFERROR(__xludf.DUMMYFUNCTION("""COMPUTED_VALUE"""),"ID 20969")</f>
        <v>ID 20969</v>
      </c>
      <c r="Q314" s="1" t="str">
        <f>IFERROR(__xludf.DUMMYFUNCTION("""COMPUTED_VALUE"""),"B08JH8RJ41")</f>
        <v>B08JH8RJ41</v>
      </c>
    </row>
    <row r="315">
      <c r="A315" s="6">
        <f>IFERROR(__xludf.DUMMYFUNCTION("""COMPUTED_VALUE"""),44441.0)</f>
        <v>44441</v>
      </c>
      <c r="B315">
        <f>IFERROR(__xludf.DUMMYFUNCTION("""COMPUTED_VALUE"""),15143.0)</f>
        <v>15143</v>
      </c>
      <c r="C315" t="str">
        <f>IFERROR(__xludf.DUMMYFUNCTION("""COMPUTED_VALUE"""),"Krazy Glue All Purpose Super Glue Pen, Fine Tip, 3 Grams")</f>
        <v>Krazy Glue All Purpose Super Glue Pen, Fine Tip, 3 Grams</v>
      </c>
      <c r="D315" t="str">
        <f>IFERROR(__xludf.DUMMYFUNCTION("""COMPUTED_VALUE"""),"B000RIZ9EW")</f>
        <v>B000RIZ9EW</v>
      </c>
      <c r="E315" t="str">
        <f>IFERROR(__xludf.DUMMYFUNCTION("""COMPUTED_VALUE"""),"070158000245")</f>
        <v>070158000245</v>
      </c>
      <c r="F315">
        <f>IFERROR(__xludf.DUMMYFUNCTION("""COMPUTED_VALUE"""),756.0)</f>
        <v>756</v>
      </c>
      <c r="G315">
        <f>IFERROR(__xludf.DUMMYFUNCTION("""COMPUTED_VALUE"""),1000.0)</f>
        <v>1000</v>
      </c>
      <c r="H315" s="2">
        <f>IFERROR(__xludf.DUMMYFUNCTION("""COMPUTED_VALUE"""),1.75)</f>
        <v>1.75</v>
      </c>
      <c r="I315" s="2">
        <f>IFERROR(__xludf.DUMMYFUNCTION("""COMPUTED_VALUE"""),4.52)</f>
        <v>4.52</v>
      </c>
      <c r="J315" s="2">
        <f>IFERROR(__xludf.DUMMYFUNCTION("""COMPUTED_VALUE"""),2.7699999999999996)</f>
        <v>2.77</v>
      </c>
      <c r="K315" s="5">
        <f>IFERROR(__xludf.DUMMYFUNCTION("""COMPUTED_VALUE"""),1.5828571428571425)</f>
        <v>1.582857143</v>
      </c>
      <c r="L315">
        <f>IFERROR(__xludf.DUMMYFUNCTION("""COMPUTED_VALUE"""),78751.0)</f>
        <v>78751</v>
      </c>
      <c r="M315" t="str">
        <f>IFERROR(__xludf.DUMMYFUNCTION("""COMPUTED_VALUE"""),"Home Improvement")</f>
        <v>Home Improvement</v>
      </c>
      <c r="O315" t="str">
        <f>IFERROR(__xludf.DUMMYFUNCTION("""COMPUTED_VALUE"""),"N")</f>
        <v>N</v>
      </c>
      <c r="P315" s="1" t="str">
        <f>IFERROR(__xludf.DUMMYFUNCTION("""COMPUTED_VALUE"""),"ID 15143")</f>
        <v>ID 15143</v>
      </c>
      <c r="Q315" s="1" t="str">
        <f>IFERROR(__xludf.DUMMYFUNCTION("""COMPUTED_VALUE"""),"B000RIZ9EW")</f>
        <v>B000RIZ9EW</v>
      </c>
    </row>
    <row r="316">
      <c r="A316" s="6">
        <f>IFERROR(__xludf.DUMMYFUNCTION("""COMPUTED_VALUE"""),45362.0)</f>
        <v>45362</v>
      </c>
      <c r="B316">
        <f>IFERROR(__xludf.DUMMYFUNCTION("""COMPUTED_VALUE"""),23051.0)</f>
        <v>23051</v>
      </c>
      <c r="C316" t="str">
        <f>IFERROR(__xludf.DUMMYFUNCTION("""COMPUTED_VALUE"""),"C-Line Recycled Two-Pocket Paper Portfolio, Color May Vary, 1 Folder Only (05300)")</f>
        <v>C-Line Recycled Two-Pocket Paper Portfolio, Color May Vary, 1 Folder Only (05300)</v>
      </c>
      <c r="D316" t="str">
        <f>IFERROR(__xludf.DUMMYFUNCTION("""COMPUTED_VALUE"""),"B002UKOKA4")</f>
        <v>B002UKOKA4</v>
      </c>
      <c r="E316" t="str">
        <f>IFERROR(__xludf.DUMMYFUNCTION("""COMPUTED_VALUE"""),"38944053004")</f>
        <v>38944053004</v>
      </c>
      <c r="F316">
        <f>IFERROR(__xludf.DUMMYFUNCTION("""COMPUTED_VALUE"""),1200.0)</f>
        <v>1200</v>
      </c>
      <c r="G316">
        <f>IFERROR(__xludf.DUMMYFUNCTION("""COMPUTED_VALUE"""),10000.0)</f>
        <v>10000</v>
      </c>
      <c r="H316" s="2">
        <f>IFERROR(__xludf.DUMMYFUNCTION("""COMPUTED_VALUE"""),0.5)</f>
        <v>0.5</v>
      </c>
      <c r="I316" s="2">
        <f>IFERROR(__xludf.DUMMYFUNCTION("""COMPUTED_VALUE"""),3.27)</f>
        <v>3.27</v>
      </c>
      <c r="J316" s="2">
        <f>IFERROR(__xludf.DUMMYFUNCTION("""COMPUTED_VALUE"""),2.77)</f>
        <v>2.77</v>
      </c>
      <c r="K316" s="5">
        <f>IFERROR(__xludf.DUMMYFUNCTION("""COMPUTED_VALUE"""),5.54)</f>
        <v>5.54</v>
      </c>
      <c r="L316">
        <f>IFERROR(__xludf.DUMMYFUNCTION("""COMPUTED_VALUE"""),71369.0)</f>
        <v>71369</v>
      </c>
      <c r="M316" t="str">
        <f>IFERROR(__xludf.DUMMYFUNCTION("""COMPUTED_VALUE"""),"Office Product")</f>
        <v>Office Product</v>
      </c>
      <c r="O316" t="str">
        <f>IFERROR(__xludf.DUMMYFUNCTION("""COMPUTED_VALUE"""),"Y")</f>
        <v>Y</v>
      </c>
      <c r="P316" s="1" t="str">
        <f>IFERROR(__xludf.DUMMYFUNCTION("""COMPUTED_VALUE"""),"ID 23051")</f>
        <v>ID 23051</v>
      </c>
      <c r="Q316" s="1" t="str">
        <f>IFERROR(__xludf.DUMMYFUNCTION("""COMPUTED_VALUE"""),"B002UKOKA4")</f>
        <v>B002UKOKA4</v>
      </c>
    </row>
    <row r="317">
      <c r="A317" s="6">
        <f>IFERROR(__xludf.DUMMYFUNCTION("""COMPUTED_VALUE"""),45421.0)</f>
        <v>45421</v>
      </c>
      <c r="B317">
        <f>IFERROR(__xludf.DUMMYFUNCTION("""COMPUTED_VALUE"""),23096.0)</f>
        <v>23096</v>
      </c>
      <c r="C317" t="str">
        <f>IFERROR(__xludf.DUMMYFUNCTION("""COMPUTED_VALUE"""),"Weber Odorless Turpenoid, 4 Fl Oz (Pack of 1)")</f>
        <v>Weber Odorless Turpenoid, 4 Fl Oz (Pack of 1)</v>
      </c>
      <c r="D317" t="str">
        <f>IFERROR(__xludf.DUMMYFUNCTION("""COMPUTED_VALUE"""),"B000XZXUGI")</f>
        <v>B000XZXUGI</v>
      </c>
      <c r="E317" t="str">
        <f>IFERROR(__xludf.DUMMYFUNCTION("""COMPUTED_VALUE"""),"018918016815")</f>
        <v>018918016815</v>
      </c>
      <c r="F317">
        <f>IFERROR(__xludf.DUMMYFUNCTION("""COMPUTED_VALUE"""),456.0)</f>
        <v>456</v>
      </c>
      <c r="G317">
        <f>IFERROR(__xludf.DUMMYFUNCTION("""COMPUTED_VALUE"""),10000.0)</f>
        <v>10000</v>
      </c>
      <c r="H317" s="2">
        <f>IFERROR(__xludf.DUMMYFUNCTION("""COMPUTED_VALUE"""),4.75)</f>
        <v>4.75</v>
      </c>
      <c r="I317" s="2">
        <f>IFERROR(__xludf.DUMMYFUNCTION("""COMPUTED_VALUE"""),7.52)</f>
        <v>7.52</v>
      </c>
      <c r="J317" s="2">
        <f>IFERROR(__xludf.DUMMYFUNCTION("""COMPUTED_VALUE"""),2.7699999999999996)</f>
        <v>2.77</v>
      </c>
      <c r="K317" s="5">
        <f>IFERROR(__xludf.DUMMYFUNCTION("""COMPUTED_VALUE"""),0.583157894736842)</f>
        <v>0.5831578947</v>
      </c>
      <c r="L317">
        <f>IFERROR(__xludf.DUMMYFUNCTION("""COMPUTED_VALUE"""),4359.0)</f>
        <v>4359</v>
      </c>
      <c r="M317" t="str">
        <f>IFERROR(__xludf.DUMMYFUNCTION("""COMPUTED_VALUE"""),"Home Improvement")</f>
        <v>Home Improvement</v>
      </c>
      <c r="O317" t="str">
        <f>IFERROR(__xludf.DUMMYFUNCTION("""COMPUTED_VALUE"""),"N")</f>
        <v>N</v>
      </c>
      <c r="P317" s="1" t="str">
        <f>IFERROR(__xludf.DUMMYFUNCTION("""COMPUTED_VALUE"""),"ID 23096")</f>
        <v>ID 23096</v>
      </c>
      <c r="Q317" s="1" t="str">
        <f>IFERROR(__xludf.DUMMYFUNCTION("""COMPUTED_VALUE"""),"B000XZXUGI")</f>
        <v>B000XZXUGI</v>
      </c>
    </row>
    <row r="318">
      <c r="A318" s="6">
        <f>IFERROR(__xludf.DUMMYFUNCTION("""COMPUTED_VALUE"""),45387.0)</f>
        <v>45387</v>
      </c>
      <c r="B318">
        <f>IFERROR(__xludf.DUMMYFUNCTION("""COMPUTED_VALUE"""),22545.0)</f>
        <v>22545</v>
      </c>
      <c r="C318" t="str">
        <f>IFERROR(__xludf.DUMMYFUNCTION("""COMPUTED_VALUE"""),"Calming Heat Massaging Weighted Heating Pad by Sharper Image- Weighted Electric Heating Pad with Massaging Vibrations, 6 Settings- 3 Heat, 3 Massage- 9 Relaxing Combinations, 12” x 24”, 4 lbs")</f>
        <v>Calming Heat Massaging Weighted Heating Pad by Sharper Image- Weighted Electric Heating Pad with Massaging Vibrations, 6 Settings- 3 Heat, 3 Massage- 9 Relaxing Combinations, 12” x 24”, 4 lbs</v>
      </c>
      <c r="D318" t="str">
        <f>IFERROR(__xludf.DUMMYFUNCTION("""COMPUTED_VALUE"""),"B085QKQMP1")</f>
        <v>B085QKQMP1</v>
      </c>
      <c r="E318" t="str">
        <f>IFERROR(__xludf.DUMMYFUNCTION("""COMPUTED_VALUE"""),"740275053980")</f>
        <v>740275053980</v>
      </c>
      <c r="F318">
        <f>IFERROR(__xludf.DUMMYFUNCTION("""COMPUTED_VALUE"""),92.0)</f>
        <v>92</v>
      </c>
      <c r="G318">
        <f>IFERROR(__xludf.DUMMYFUNCTION("""COMPUTED_VALUE"""),1512.0)</f>
        <v>1512</v>
      </c>
      <c r="H318" s="2">
        <f>IFERROR(__xludf.DUMMYFUNCTION("""COMPUTED_VALUE"""),21.25)</f>
        <v>21.25</v>
      </c>
      <c r="I318" s="2">
        <f>IFERROR(__xludf.DUMMYFUNCTION("""COMPUTED_VALUE"""),24.01)</f>
        <v>24.01</v>
      </c>
      <c r="J318" s="2">
        <f>IFERROR(__xludf.DUMMYFUNCTION("""COMPUTED_VALUE"""),2.7600000000000016)</f>
        <v>2.76</v>
      </c>
      <c r="K318" s="5">
        <f>IFERROR(__xludf.DUMMYFUNCTION("""COMPUTED_VALUE"""),0.12988235294117653)</f>
        <v>0.1298823529</v>
      </c>
      <c r="L318">
        <f>IFERROR(__xludf.DUMMYFUNCTION("""COMPUTED_VALUE"""),39665.0)</f>
        <v>39665</v>
      </c>
      <c r="M318" t="str">
        <f>IFERROR(__xludf.DUMMYFUNCTION("""COMPUTED_VALUE"""),"Health and Beauty")</f>
        <v>Health and Beauty</v>
      </c>
      <c r="N318" t="str">
        <f>IFERROR(__xludf.DUMMYFUNCTION("""COMPUTED_VALUE"""),"Restricted for resale online")</f>
        <v>Restricted for resale online</v>
      </c>
      <c r="O318" t="str">
        <f>IFERROR(__xludf.DUMMYFUNCTION("""COMPUTED_VALUE"""),"N")</f>
        <v>N</v>
      </c>
      <c r="P318" s="1" t="str">
        <f>IFERROR(__xludf.DUMMYFUNCTION("""COMPUTED_VALUE"""),"ID 22545")</f>
        <v>ID 22545</v>
      </c>
      <c r="Q318" s="1" t="str">
        <f>IFERROR(__xludf.DUMMYFUNCTION("""COMPUTED_VALUE"""),"B085QKQMP1")</f>
        <v>B085QKQMP1</v>
      </c>
    </row>
    <row r="319">
      <c r="A319" s="6">
        <f>IFERROR(__xludf.DUMMYFUNCTION("""COMPUTED_VALUE"""),44439.0)</f>
        <v>44439</v>
      </c>
      <c r="B319">
        <f>IFERROR(__xludf.DUMMYFUNCTION("""COMPUTED_VALUE"""),18855.0)</f>
        <v>18855</v>
      </c>
      <c r="C319" t="str">
        <f>IFERROR(__xludf.DUMMYFUNCTION("""COMPUTED_VALUE"""),"Five Star Top Bound Notebook, 1 Subject, College Ruled Paper, 100 Sheets, 11"" x 8-1/2"", Color Selected For You, 1 Count (06182)")</f>
        <v>Five Star Top Bound Notebook, 1 Subject, College Ruled Paper, 100 Sheets, 11" x 8-1/2", Color Selected For You, 1 Count (06182)</v>
      </c>
      <c r="D319" t="str">
        <f>IFERROR(__xludf.DUMMYFUNCTION("""COMPUTED_VALUE"""),"B000GOYN5S")</f>
        <v>B000GOYN5S</v>
      </c>
      <c r="E319" t="str">
        <f>IFERROR(__xludf.DUMMYFUNCTION("""COMPUTED_VALUE"""),"043100061823")</f>
        <v>043100061823</v>
      </c>
      <c r="F319">
        <f>IFERROR(__xludf.DUMMYFUNCTION("""COMPUTED_VALUE"""),540.0)</f>
        <v>540</v>
      </c>
      <c r="G319">
        <f>IFERROR(__xludf.DUMMYFUNCTION("""COMPUTED_VALUE"""),5000.0)</f>
        <v>5000</v>
      </c>
      <c r="H319" s="2">
        <f>IFERROR(__xludf.DUMMYFUNCTION("""COMPUTED_VALUE"""),4.5)</f>
        <v>4.5</v>
      </c>
      <c r="I319" s="2">
        <f>IFERROR(__xludf.DUMMYFUNCTION("""COMPUTED_VALUE"""),7.24)</f>
        <v>7.24</v>
      </c>
      <c r="J319" s="2">
        <f>IFERROR(__xludf.DUMMYFUNCTION("""COMPUTED_VALUE"""),2.74)</f>
        <v>2.74</v>
      </c>
      <c r="K319" s="5">
        <f>IFERROR(__xludf.DUMMYFUNCTION("""COMPUTED_VALUE"""),0.6088888888888889)</f>
        <v>0.6088888889</v>
      </c>
      <c r="L319">
        <f>IFERROR(__xludf.DUMMYFUNCTION("""COMPUTED_VALUE"""),73125.0)</f>
        <v>73125</v>
      </c>
      <c r="M319" t="str">
        <f>IFERROR(__xludf.DUMMYFUNCTION("""COMPUTED_VALUE"""),"Office Product")</f>
        <v>Office Product</v>
      </c>
      <c r="O319" t="str">
        <f>IFERROR(__xludf.DUMMYFUNCTION("""COMPUTED_VALUE"""),"N")</f>
        <v>N</v>
      </c>
      <c r="P319" s="1" t="str">
        <f>IFERROR(__xludf.DUMMYFUNCTION("""COMPUTED_VALUE"""),"ID 18855")</f>
        <v>ID 18855</v>
      </c>
      <c r="Q319" s="1" t="str">
        <f>IFERROR(__xludf.DUMMYFUNCTION("""COMPUTED_VALUE"""),"B000GOYN5S")</f>
        <v>B000GOYN5S</v>
      </c>
    </row>
    <row r="320">
      <c r="A320" s="6">
        <f>IFERROR(__xludf.DUMMYFUNCTION("""COMPUTED_VALUE"""),44278.0)</f>
        <v>44278</v>
      </c>
      <c r="B320">
        <f>IFERROR(__xludf.DUMMYFUNCTION("""COMPUTED_VALUE"""),19202.0)</f>
        <v>19202</v>
      </c>
      <c r="C320" t="str">
        <f>IFERROR(__xludf.DUMMYFUNCTION("""COMPUTED_VALUE"""),"NFL Houston Texans Unisex Face Mask Gaiter Big Logo, Team Colors, One Size")</f>
        <v>NFL Houston Texans Unisex Face Mask Gaiter Big Logo, Team Colors, One Size</v>
      </c>
      <c r="D320" t="str">
        <f>IFERROR(__xludf.DUMMYFUNCTION("""COMPUTED_VALUE"""),"B0872BMWG5")</f>
        <v>B0872BMWG5</v>
      </c>
      <c r="E320" t="str">
        <f>IFERROR(__xludf.DUMMYFUNCTION("""COMPUTED_VALUE"""),"194751392108")</f>
        <v>194751392108</v>
      </c>
      <c r="F320">
        <f>IFERROR(__xludf.DUMMYFUNCTION("""COMPUTED_VALUE"""),180.0)</f>
        <v>180</v>
      </c>
      <c r="G320">
        <f>IFERROR(__xludf.DUMMYFUNCTION("""COMPUTED_VALUE"""),1800.0)</f>
        <v>1800</v>
      </c>
      <c r="H320" s="2">
        <f>IFERROR(__xludf.DUMMYFUNCTION("""COMPUTED_VALUE"""),7.5)</f>
        <v>7.5</v>
      </c>
      <c r="I320" s="2">
        <f>IFERROR(__xludf.DUMMYFUNCTION("""COMPUTED_VALUE"""),10.23)</f>
        <v>10.23</v>
      </c>
      <c r="J320" s="2">
        <f>IFERROR(__xludf.DUMMYFUNCTION("""COMPUTED_VALUE"""),2.7300000000000004)</f>
        <v>2.73</v>
      </c>
      <c r="K320" s="5">
        <f>IFERROR(__xludf.DUMMYFUNCTION("""COMPUTED_VALUE"""),0.36400000000000005)</f>
        <v>0.364</v>
      </c>
      <c r="L320">
        <f>IFERROR(__xludf.DUMMYFUNCTION("""COMPUTED_VALUE"""),10236.0)</f>
        <v>10236</v>
      </c>
      <c r="M320" t="str">
        <f>IFERROR(__xludf.DUMMYFUNCTION("""COMPUTED_VALUE"""),"Apparel")</f>
        <v>Apparel</v>
      </c>
      <c r="N320" t="str">
        <f>IFERROR(__xludf.DUMMYFUNCTION("""COMPUTED_VALUE"""),"Restricted for online sales")</f>
        <v>Restricted for online sales</v>
      </c>
      <c r="O320" t="str">
        <f>IFERROR(__xludf.DUMMYFUNCTION("""COMPUTED_VALUE"""),"Y")</f>
        <v>Y</v>
      </c>
      <c r="P320" s="1" t="str">
        <f>IFERROR(__xludf.DUMMYFUNCTION("""COMPUTED_VALUE"""),"ID 19202")</f>
        <v>ID 19202</v>
      </c>
      <c r="Q320" s="1" t="str">
        <f>IFERROR(__xludf.DUMMYFUNCTION("""COMPUTED_VALUE"""),"B0872BMWG5")</f>
        <v>B0872BMWG5</v>
      </c>
    </row>
    <row r="321">
      <c r="A321" s="6">
        <f>IFERROR(__xludf.DUMMYFUNCTION("""COMPUTED_VALUE"""),44944.0)</f>
        <v>44944</v>
      </c>
      <c r="B321">
        <f>IFERROR(__xludf.DUMMYFUNCTION("""COMPUTED_VALUE"""),20672.0)</f>
        <v>20672</v>
      </c>
      <c r="C321" t="str">
        <f>IFERROR(__xludf.DUMMYFUNCTION("""COMPUTED_VALUE"""),"Wings by Giorgio Beverly Hills for Women, Eau De Toilette Spray, 3-Ounce")</f>
        <v>Wings by Giorgio Beverly Hills for Women, Eau De Toilette Spray, 3-Ounce</v>
      </c>
      <c r="D321" t="str">
        <f>IFERROR(__xludf.DUMMYFUNCTION("""COMPUTED_VALUE"""),"B000C1VX3A")</f>
        <v>B000C1VX3A</v>
      </c>
      <c r="E321" t="str">
        <f>IFERROR(__xludf.DUMMYFUNCTION("""COMPUTED_VALUE"""),"716393018859")</f>
        <v>716393018859</v>
      </c>
      <c r="F321">
        <f>IFERROR(__xludf.DUMMYFUNCTION("""COMPUTED_VALUE"""),100.0)</f>
        <v>100</v>
      </c>
      <c r="G321">
        <f>IFERROR(__xludf.DUMMYFUNCTION("""COMPUTED_VALUE"""),500.0)</f>
        <v>500</v>
      </c>
      <c r="H321" s="2">
        <f>IFERROR(__xludf.DUMMYFUNCTION("""COMPUTED_VALUE"""),12.5)</f>
        <v>12.5</v>
      </c>
      <c r="I321" s="2">
        <f>IFERROR(__xludf.DUMMYFUNCTION("""COMPUTED_VALUE"""),15.23)</f>
        <v>15.23</v>
      </c>
      <c r="J321" s="2">
        <f>IFERROR(__xludf.DUMMYFUNCTION("""COMPUTED_VALUE"""),2.7300000000000004)</f>
        <v>2.73</v>
      </c>
      <c r="K321" s="5">
        <f>IFERROR(__xludf.DUMMYFUNCTION("""COMPUTED_VALUE"""),0.21840000000000004)</f>
        <v>0.2184</v>
      </c>
      <c r="L321">
        <f>IFERROR(__xludf.DUMMYFUNCTION("""COMPUTED_VALUE"""),19640.0)</f>
        <v>19640</v>
      </c>
      <c r="M321" t="str">
        <f>IFERROR(__xludf.DUMMYFUNCTION("""COMPUTED_VALUE"""),"Beauty")</f>
        <v>Beauty</v>
      </c>
      <c r="O321" t="str">
        <f>IFERROR(__xludf.DUMMYFUNCTION("""COMPUTED_VALUE"""),"Y")</f>
        <v>Y</v>
      </c>
      <c r="P321" s="1" t="str">
        <f>IFERROR(__xludf.DUMMYFUNCTION("""COMPUTED_VALUE"""),"ID 20672")</f>
        <v>ID 20672</v>
      </c>
      <c r="Q321" s="1" t="str">
        <f>IFERROR(__xludf.DUMMYFUNCTION("""COMPUTED_VALUE"""),"B000C1VX3A")</f>
        <v>B000C1VX3A</v>
      </c>
    </row>
    <row r="322">
      <c r="A322" s="6">
        <f>IFERROR(__xludf.DUMMYFUNCTION("""COMPUTED_VALUE"""),45232.0)</f>
        <v>45232</v>
      </c>
      <c r="B322">
        <f>IFERROR(__xludf.DUMMYFUNCTION("""COMPUTED_VALUE"""),20689.0)</f>
        <v>20689</v>
      </c>
      <c r="C322" t="str">
        <f>IFERROR(__xludf.DUMMYFUNCTION("""COMPUTED_VALUE"""),"BIC 4-Color Mini Ballpoint Pen, Medium Point (1.0mm), Assorted Inks, 2-Count")</f>
        <v>BIC 4-Color Mini Ballpoint Pen, Medium Point (1.0mm), Assorted Inks, 2-Count</v>
      </c>
      <c r="D322" t="str">
        <f>IFERROR(__xludf.DUMMYFUNCTION("""COMPUTED_VALUE"""),"B00K0TRXJC")</f>
        <v>B00K0TRXJC</v>
      </c>
      <c r="E322" t="str">
        <f>IFERROR(__xludf.DUMMYFUNCTION("""COMPUTED_VALUE"""),"070330197091")</f>
        <v>070330197091</v>
      </c>
      <c r="F322">
        <f>IFERROR(__xludf.DUMMYFUNCTION("""COMPUTED_VALUE"""),432.0)</f>
        <v>432</v>
      </c>
      <c r="G322">
        <f>IFERROR(__xludf.DUMMYFUNCTION("""COMPUTED_VALUE"""),10000.0)</f>
        <v>10000</v>
      </c>
      <c r="H322" s="2">
        <f>IFERROR(__xludf.DUMMYFUNCTION("""COMPUTED_VALUE"""),3.25)</f>
        <v>3.25</v>
      </c>
      <c r="I322" s="2">
        <f>IFERROR(__xludf.DUMMYFUNCTION("""COMPUTED_VALUE"""),5.94)</f>
        <v>5.94</v>
      </c>
      <c r="J322" s="2">
        <f>IFERROR(__xludf.DUMMYFUNCTION("""COMPUTED_VALUE"""),2.6900000000000004)</f>
        <v>2.69</v>
      </c>
      <c r="K322" s="5">
        <f>IFERROR(__xludf.DUMMYFUNCTION("""COMPUTED_VALUE"""),0.8276923076923078)</f>
        <v>0.8276923077</v>
      </c>
      <c r="L322">
        <f>IFERROR(__xludf.DUMMYFUNCTION("""COMPUTED_VALUE"""),669.0)</f>
        <v>669</v>
      </c>
      <c r="M322" t="str">
        <f>IFERROR(__xludf.DUMMYFUNCTION("""COMPUTED_VALUE"""),"Office Product")</f>
        <v>Office Product</v>
      </c>
      <c r="O322" t="str">
        <f>IFERROR(__xludf.DUMMYFUNCTION("""COMPUTED_VALUE"""),"Y")</f>
        <v>Y</v>
      </c>
      <c r="P322" s="1" t="str">
        <f>IFERROR(__xludf.DUMMYFUNCTION("""COMPUTED_VALUE"""),"ID 20689")</f>
        <v>ID 20689</v>
      </c>
      <c r="Q322" s="1" t="str">
        <f>IFERROR(__xludf.DUMMYFUNCTION("""COMPUTED_VALUE"""),"B00K0TRXJC")</f>
        <v>B00K0TRXJC</v>
      </c>
    </row>
    <row r="323">
      <c r="A323" s="6">
        <f>IFERROR(__xludf.DUMMYFUNCTION("""COMPUTED_VALUE"""),45376.0)</f>
        <v>45376</v>
      </c>
      <c r="B323">
        <f>IFERROR(__xludf.DUMMYFUNCTION("""COMPUTED_VALUE"""),17072.0)</f>
        <v>17072</v>
      </c>
      <c r="C323" t="str">
        <f>IFERROR(__xludf.DUMMYFUNCTION("""COMPUTED_VALUE"""),"PRANG Refill Pans for Oval Watercolor Paint Set, 12 Pans per Box, Yellow Green (00812)")</f>
        <v>PRANG Refill Pans for Oval Watercolor Paint Set, 12 Pans per Box, Yellow Green (00812)</v>
      </c>
      <c r="D323" t="str">
        <f>IFERROR(__xludf.DUMMYFUNCTION("""COMPUTED_VALUE"""),"B0050A64C8")</f>
        <v>B0050A64C8</v>
      </c>
      <c r="E323" t="str">
        <f>IFERROR(__xludf.DUMMYFUNCTION("""COMPUTED_VALUE"""),"072067008121")</f>
        <v>072067008121</v>
      </c>
      <c r="F323">
        <f>IFERROR(__xludf.DUMMYFUNCTION("""COMPUTED_VALUE"""),816.0)</f>
        <v>816</v>
      </c>
      <c r="G323">
        <f>IFERROR(__xludf.DUMMYFUNCTION("""COMPUTED_VALUE"""),10000.0)</f>
        <v>10000</v>
      </c>
      <c r="H323" s="2">
        <f>IFERROR(__xludf.DUMMYFUNCTION("""COMPUTED_VALUE"""),4.5)</f>
        <v>4.5</v>
      </c>
      <c r="I323" s="2">
        <f>IFERROR(__xludf.DUMMYFUNCTION("""COMPUTED_VALUE"""),7.18)</f>
        <v>7.18</v>
      </c>
      <c r="J323" s="2">
        <f>IFERROR(__xludf.DUMMYFUNCTION("""COMPUTED_VALUE"""),2.6799999999999997)</f>
        <v>2.68</v>
      </c>
      <c r="K323" s="5">
        <f>IFERROR(__xludf.DUMMYFUNCTION("""COMPUTED_VALUE"""),0.5955555555555555)</f>
        <v>0.5955555556</v>
      </c>
      <c r="L323">
        <f>IFERROR(__xludf.DUMMYFUNCTION("""COMPUTED_VALUE"""),19115.0)</f>
        <v>19115</v>
      </c>
      <c r="M323" t="str">
        <f>IFERROR(__xludf.DUMMYFUNCTION("""COMPUTED_VALUE"""),"Office Product")</f>
        <v>Office Product</v>
      </c>
      <c r="O323" t="str">
        <f>IFERROR(__xludf.DUMMYFUNCTION("""COMPUTED_VALUE"""),"Y")</f>
        <v>Y</v>
      </c>
      <c r="P323" s="1" t="str">
        <f>IFERROR(__xludf.DUMMYFUNCTION("""COMPUTED_VALUE"""),"ID 17072")</f>
        <v>ID 17072</v>
      </c>
      <c r="Q323" s="1" t="str">
        <f>IFERROR(__xludf.DUMMYFUNCTION("""COMPUTED_VALUE"""),"B0050A64C8")</f>
        <v>B0050A64C8</v>
      </c>
    </row>
    <row r="324">
      <c r="A324" s="6">
        <f>IFERROR(__xludf.DUMMYFUNCTION("""COMPUTED_VALUE"""),44769.0)</f>
        <v>44769</v>
      </c>
      <c r="B324">
        <f>IFERROR(__xludf.DUMMYFUNCTION("""COMPUTED_VALUE"""),6730.0)</f>
        <v>6730</v>
      </c>
      <c r="C324" t="str">
        <f>IFERROR(__xludf.DUMMYFUNCTION("""COMPUTED_VALUE"""),"Chet Craft 19000 Melamine Solid Turner, White")</f>
        <v>Chet Craft 19000 Melamine Solid Turner, White</v>
      </c>
      <c r="D324" t="str">
        <f>IFERROR(__xludf.DUMMYFUNCTION("""COMPUTED_VALUE"""),"B00E80IMTY")</f>
        <v>B00E80IMTY</v>
      </c>
      <c r="E324" t="str">
        <f>IFERROR(__xludf.DUMMYFUNCTION("""COMPUTED_VALUE"""),"85455190001")</f>
        <v>85455190001</v>
      </c>
      <c r="F324">
        <f>IFERROR(__xludf.DUMMYFUNCTION("""COMPUTED_VALUE"""),1824.0)</f>
        <v>1824</v>
      </c>
      <c r="G324">
        <f>IFERROR(__xludf.DUMMYFUNCTION("""COMPUTED_VALUE"""),1000.0)</f>
        <v>1000</v>
      </c>
      <c r="H324" s="2">
        <f>IFERROR(__xludf.DUMMYFUNCTION("""COMPUTED_VALUE"""),1.5)</f>
        <v>1.5</v>
      </c>
      <c r="I324" s="2">
        <f>IFERROR(__xludf.DUMMYFUNCTION("""COMPUTED_VALUE"""),4.17)</f>
        <v>4.17</v>
      </c>
      <c r="J324" s="2">
        <f>IFERROR(__xludf.DUMMYFUNCTION("""COMPUTED_VALUE"""),2.67)</f>
        <v>2.67</v>
      </c>
      <c r="K324" s="5">
        <f>IFERROR(__xludf.DUMMYFUNCTION("""COMPUTED_VALUE"""),1.78)</f>
        <v>1.78</v>
      </c>
      <c r="L324">
        <f>IFERROR(__xludf.DUMMYFUNCTION("""COMPUTED_VALUE"""),81126.0)</f>
        <v>81126</v>
      </c>
      <c r="M324" t="str">
        <f>IFERROR(__xludf.DUMMYFUNCTION("""COMPUTED_VALUE"""),"Kitchen")</f>
        <v>Kitchen</v>
      </c>
      <c r="O324" t="str">
        <f>IFERROR(__xludf.DUMMYFUNCTION("""COMPUTED_VALUE"""),"Y")</f>
        <v>Y</v>
      </c>
      <c r="P324" s="1" t="str">
        <f>IFERROR(__xludf.DUMMYFUNCTION("""COMPUTED_VALUE"""),"ID 6730")</f>
        <v>ID 6730</v>
      </c>
      <c r="Q324" s="1" t="str">
        <f>IFERROR(__xludf.DUMMYFUNCTION("""COMPUTED_VALUE"""),"B00E80IMTY")</f>
        <v>B00E80IMTY</v>
      </c>
    </row>
    <row r="325">
      <c r="A325" s="6">
        <f>IFERROR(__xludf.DUMMYFUNCTION("""COMPUTED_VALUE"""),45009.0)</f>
        <v>45009</v>
      </c>
      <c r="B325">
        <f>IFERROR(__xludf.DUMMYFUNCTION("""COMPUTED_VALUE"""),12672.0)</f>
        <v>12672</v>
      </c>
      <c r="C325" t="str">
        <f>IFERROR(__xludf.DUMMYFUNCTION("""COMPUTED_VALUE"""),"Bostitch SB353/8-1M Heavy Duty Premium Staples")</f>
        <v>Bostitch SB353/8-1M Heavy Duty Premium Staples</v>
      </c>
      <c r="D325" t="str">
        <f>IFERROR(__xludf.DUMMYFUNCTION("""COMPUTED_VALUE"""),"B0015A7OIA")</f>
        <v>B0015A7OIA</v>
      </c>
      <c r="E325" t="str">
        <f>IFERROR(__xludf.DUMMYFUNCTION("""COMPUTED_VALUE"""),"077914009177")</f>
        <v>077914009177</v>
      </c>
      <c r="F325">
        <f>IFERROR(__xludf.DUMMYFUNCTION("""COMPUTED_VALUE"""),500.0)</f>
        <v>500</v>
      </c>
      <c r="G325">
        <f>IFERROR(__xludf.DUMMYFUNCTION("""COMPUTED_VALUE"""),10000.0)</f>
        <v>10000</v>
      </c>
      <c r="H325" s="2">
        <f>IFERROR(__xludf.DUMMYFUNCTION("""COMPUTED_VALUE"""),2.0)</f>
        <v>2</v>
      </c>
      <c r="I325" s="2">
        <f>IFERROR(__xludf.DUMMYFUNCTION("""COMPUTED_VALUE"""),4.67)</f>
        <v>4.67</v>
      </c>
      <c r="J325" s="2">
        <f>IFERROR(__xludf.DUMMYFUNCTION("""COMPUTED_VALUE"""),2.67)</f>
        <v>2.67</v>
      </c>
      <c r="K325" s="5">
        <f>IFERROR(__xludf.DUMMYFUNCTION("""COMPUTED_VALUE"""),1.335)</f>
        <v>1.335</v>
      </c>
      <c r="L325">
        <f>IFERROR(__xludf.DUMMYFUNCTION("""COMPUTED_VALUE"""),45701.0)</f>
        <v>45701</v>
      </c>
      <c r="M325" t="str">
        <f>IFERROR(__xludf.DUMMYFUNCTION("""COMPUTED_VALUE"""),"Office Product")</f>
        <v>Office Product</v>
      </c>
      <c r="O325" t="str">
        <f>IFERROR(__xludf.DUMMYFUNCTION("""COMPUTED_VALUE"""),"Y")</f>
        <v>Y</v>
      </c>
      <c r="P325" s="1" t="str">
        <f>IFERROR(__xludf.DUMMYFUNCTION("""COMPUTED_VALUE"""),"ID 12672")</f>
        <v>ID 12672</v>
      </c>
      <c r="Q325" s="1" t="str">
        <f>IFERROR(__xludf.DUMMYFUNCTION("""COMPUTED_VALUE"""),"B0015A7OIA")</f>
        <v>B0015A7OIA</v>
      </c>
    </row>
    <row r="326">
      <c r="A326" s="6">
        <f>IFERROR(__xludf.DUMMYFUNCTION("""COMPUTED_VALUE"""),45145.0)</f>
        <v>45145</v>
      </c>
      <c r="B326">
        <f>IFERROR(__xludf.DUMMYFUNCTION("""COMPUTED_VALUE"""),22327.0)</f>
        <v>22327</v>
      </c>
      <c r="C326" t="str">
        <f>IFERROR(__xludf.DUMMYFUNCTION("""COMPUTED_VALUE"""),"PILOT Precise V5 Stick Liquid Ink Rolling Ball Stick Pens, Extra Fine Point (0.5mm) Blue Ink, 2-Pack (25002)")</f>
        <v>PILOT Precise V5 Stick Liquid Ink Rolling Ball Stick Pens, Extra Fine Point (0.5mm) Blue Ink, 2-Pack (25002)</v>
      </c>
      <c r="D326" t="str">
        <f>IFERROR(__xludf.DUMMYFUNCTION("""COMPUTED_VALUE"""),"B00347A86W")</f>
        <v>B00347A86W</v>
      </c>
      <c r="E326" t="str">
        <f>IFERROR(__xludf.DUMMYFUNCTION("""COMPUTED_VALUE"""),"072838250025")</f>
        <v>072838250025</v>
      </c>
      <c r="F326">
        <f>IFERROR(__xludf.DUMMYFUNCTION("""COMPUTED_VALUE"""),576.0)</f>
        <v>576</v>
      </c>
      <c r="G326">
        <f>IFERROR(__xludf.DUMMYFUNCTION("""COMPUTED_VALUE"""),10000.0)</f>
        <v>10000</v>
      </c>
      <c r="H326" s="2">
        <f>IFERROR(__xludf.DUMMYFUNCTION("""COMPUTED_VALUE"""),2.5)</f>
        <v>2.5</v>
      </c>
      <c r="I326" s="2">
        <f>IFERROR(__xludf.DUMMYFUNCTION("""COMPUTED_VALUE"""),5.17)</f>
        <v>5.17</v>
      </c>
      <c r="J326" s="2">
        <f>IFERROR(__xludf.DUMMYFUNCTION("""COMPUTED_VALUE"""),2.67)</f>
        <v>2.67</v>
      </c>
      <c r="K326" s="5">
        <f>IFERROR(__xludf.DUMMYFUNCTION("""COMPUTED_VALUE"""),1.068)</f>
        <v>1.068</v>
      </c>
      <c r="L326">
        <f>IFERROR(__xludf.DUMMYFUNCTION("""COMPUTED_VALUE"""),1176.0)</f>
        <v>1176</v>
      </c>
      <c r="M326" t="str">
        <f>IFERROR(__xludf.DUMMYFUNCTION("""COMPUTED_VALUE"""),"Office Product")</f>
        <v>Office Product</v>
      </c>
      <c r="O326" t="str">
        <f>IFERROR(__xludf.DUMMYFUNCTION("""COMPUTED_VALUE"""),"Y")</f>
        <v>Y</v>
      </c>
      <c r="P326" s="1" t="str">
        <f>IFERROR(__xludf.DUMMYFUNCTION("""COMPUTED_VALUE"""),"ID 22327")</f>
        <v>ID 22327</v>
      </c>
      <c r="Q326" s="1" t="str">
        <f>IFERROR(__xludf.DUMMYFUNCTION("""COMPUTED_VALUE"""),"B00347A86W")</f>
        <v>B00347A86W</v>
      </c>
    </row>
    <row r="327">
      <c r="A327" s="6">
        <f>IFERROR(__xludf.DUMMYFUNCTION("""COMPUTED_VALUE"""),45348.0)</f>
        <v>45348</v>
      </c>
      <c r="B327">
        <f>IFERROR(__xludf.DUMMYFUNCTION("""COMPUTED_VALUE"""),24538.0)</f>
        <v>24538</v>
      </c>
      <c r="C327" t="str">
        <f>IFERROR(__xludf.DUMMYFUNCTION("""COMPUTED_VALUE"""),"M/Mariah Carey Edp Spray 3.4 Oz (W)")</f>
        <v>M/Mariah Carey Edp Spray 3.4 Oz (W)</v>
      </c>
      <c r="D327" t="str">
        <f>IFERROR(__xludf.DUMMYFUNCTION("""COMPUTED_VALUE"""),"B00M5YKY7S")</f>
        <v>B00M5YKY7S</v>
      </c>
      <c r="E327" t="str">
        <f>IFERROR(__xludf.DUMMYFUNCTION("""COMPUTED_VALUE"""),"719346107808")</f>
        <v>719346107808</v>
      </c>
      <c r="F327">
        <f>IFERROR(__xludf.DUMMYFUNCTION("""COMPUTED_VALUE"""),50.0)</f>
        <v>50</v>
      </c>
      <c r="G327">
        <f>IFERROR(__xludf.DUMMYFUNCTION("""COMPUTED_VALUE"""),10000.0)</f>
        <v>10000</v>
      </c>
      <c r="H327" s="2">
        <f>IFERROR(__xludf.DUMMYFUNCTION("""COMPUTED_VALUE"""),27.75)</f>
        <v>27.75</v>
      </c>
      <c r="I327" s="2">
        <f>IFERROR(__xludf.DUMMYFUNCTION("""COMPUTED_VALUE"""),30.42)</f>
        <v>30.42</v>
      </c>
      <c r="J327" s="2">
        <f>IFERROR(__xludf.DUMMYFUNCTION("""COMPUTED_VALUE"""),2.6700000000000017)</f>
        <v>2.67</v>
      </c>
      <c r="K327" s="5">
        <f>IFERROR(__xludf.DUMMYFUNCTION("""COMPUTED_VALUE"""),0.09621621621621627)</f>
        <v>0.09621621622</v>
      </c>
      <c r="L327">
        <f>IFERROR(__xludf.DUMMYFUNCTION("""COMPUTED_VALUE"""),44487.0)</f>
        <v>44487</v>
      </c>
      <c r="M327" t="str">
        <f>IFERROR(__xludf.DUMMYFUNCTION("""COMPUTED_VALUE"""),"Beauty")</f>
        <v>Beauty</v>
      </c>
      <c r="O327" t="str">
        <f>IFERROR(__xludf.DUMMYFUNCTION("""COMPUTED_VALUE"""),"N")</f>
        <v>N</v>
      </c>
      <c r="P327" s="1" t="str">
        <f>IFERROR(__xludf.DUMMYFUNCTION("""COMPUTED_VALUE"""),"ID 24538")</f>
        <v>ID 24538</v>
      </c>
      <c r="Q327" s="1" t="str">
        <f>IFERROR(__xludf.DUMMYFUNCTION("""COMPUTED_VALUE"""),"B00M5YKY7S")</f>
        <v>B00M5YKY7S</v>
      </c>
    </row>
    <row r="328">
      <c r="A328" s="6">
        <f>IFERROR(__xludf.DUMMYFUNCTION("""COMPUTED_VALUE"""),45421.0)</f>
        <v>45421</v>
      </c>
      <c r="B328">
        <f>IFERROR(__xludf.DUMMYFUNCTION("""COMPUTED_VALUE"""),12784.0)</f>
        <v>12784</v>
      </c>
      <c r="C328" t="str">
        <f>IFERROR(__xludf.DUMMYFUNCTION("""COMPUTED_VALUE"""),"Rapidesign Electro-Logic Symbol Template, 1 Each (R308)")</f>
        <v>Rapidesign Electro-Logic Symbol Template, 1 Each (R308)</v>
      </c>
      <c r="D328" t="str">
        <f>IFERROR(__xludf.DUMMYFUNCTION("""COMPUTED_VALUE"""),"B004IUPG2U")</f>
        <v>B004IUPG2U</v>
      </c>
      <c r="E328" t="str">
        <f>IFERROR(__xludf.DUMMYFUNCTION("""COMPUTED_VALUE"""),"014173253170")</f>
        <v>014173253170</v>
      </c>
      <c r="F328">
        <f>IFERROR(__xludf.DUMMYFUNCTION("""COMPUTED_VALUE"""),288.0)</f>
        <v>288</v>
      </c>
      <c r="G328">
        <f>IFERROR(__xludf.DUMMYFUNCTION("""COMPUTED_VALUE"""),10000.0)</f>
        <v>10000</v>
      </c>
      <c r="H328" s="2">
        <f>IFERROR(__xludf.DUMMYFUNCTION("""COMPUTED_VALUE"""),12.0)</f>
        <v>12</v>
      </c>
      <c r="I328" s="2">
        <f>IFERROR(__xludf.DUMMYFUNCTION("""COMPUTED_VALUE"""),14.66)</f>
        <v>14.66</v>
      </c>
      <c r="J328" s="2">
        <f>IFERROR(__xludf.DUMMYFUNCTION("""COMPUTED_VALUE"""),2.66)</f>
        <v>2.66</v>
      </c>
      <c r="K328" s="5">
        <f>IFERROR(__xludf.DUMMYFUNCTION("""COMPUTED_VALUE"""),0.22166666666666668)</f>
        <v>0.2216666667</v>
      </c>
      <c r="L328">
        <f>IFERROR(__xludf.DUMMYFUNCTION("""COMPUTED_VALUE"""),90956.0)</f>
        <v>90956</v>
      </c>
      <c r="M328" t="str">
        <f>IFERROR(__xludf.DUMMYFUNCTION("""COMPUTED_VALUE"""),"Office Product")</f>
        <v>Office Product</v>
      </c>
      <c r="O328" t="str">
        <f>IFERROR(__xludf.DUMMYFUNCTION("""COMPUTED_VALUE"""),"Y")</f>
        <v>Y</v>
      </c>
      <c r="P328" s="1" t="str">
        <f>IFERROR(__xludf.DUMMYFUNCTION("""COMPUTED_VALUE"""),"ID 12784")</f>
        <v>ID 12784</v>
      </c>
      <c r="Q328" s="1" t="str">
        <f>IFERROR(__xludf.DUMMYFUNCTION("""COMPUTED_VALUE"""),"B004IUPG2U")</f>
        <v>B004IUPG2U</v>
      </c>
    </row>
    <row r="329">
      <c r="A329" s="6">
        <f>IFERROR(__xludf.DUMMYFUNCTION("""COMPUTED_VALUE"""),45362.0)</f>
        <v>45362</v>
      </c>
      <c r="B329">
        <f>IFERROR(__xludf.DUMMYFUNCTION("""COMPUTED_VALUE"""),15516.0)</f>
        <v>15516</v>
      </c>
      <c r="C329" t="str">
        <f>IFERROR(__xludf.DUMMYFUNCTION("""COMPUTED_VALUE"""),"Dots Assorted Fruit Gumdrops Candy, 6.5 oz")</f>
        <v>Dots Assorted Fruit Gumdrops Candy, 6.5 oz</v>
      </c>
      <c r="D329" t="str">
        <f>IFERROR(__xludf.DUMMYFUNCTION("""COMPUTED_VALUE"""),"B01KKEKRTY")</f>
        <v>B01KKEKRTY</v>
      </c>
      <c r="E329" t="str">
        <f>IFERROR(__xludf.DUMMYFUNCTION("""COMPUTED_VALUE"""),"071720870006")</f>
        <v>071720870006</v>
      </c>
      <c r="F329">
        <f>IFERROR(__xludf.DUMMYFUNCTION("""COMPUTED_VALUE"""),1008.0)</f>
        <v>1008</v>
      </c>
      <c r="G329">
        <f>IFERROR(__xludf.DUMMYFUNCTION("""COMPUTED_VALUE"""),8351.0)</f>
        <v>8351</v>
      </c>
      <c r="H329" s="2">
        <f>IFERROR(__xludf.DUMMYFUNCTION("""COMPUTED_VALUE"""),1.25)</f>
        <v>1.25</v>
      </c>
      <c r="I329" s="2">
        <f>IFERROR(__xludf.DUMMYFUNCTION("""COMPUTED_VALUE"""),3.9)</f>
        <v>3.9</v>
      </c>
      <c r="J329" s="2">
        <f>IFERROR(__xludf.DUMMYFUNCTION("""COMPUTED_VALUE"""),2.65)</f>
        <v>2.65</v>
      </c>
      <c r="K329" s="5">
        <f>IFERROR(__xludf.DUMMYFUNCTION("""COMPUTED_VALUE"""),2.12)</f>
        <v>2.12</v>
      </c>
      <c r="L329">
        <f>IFERROR(__xludf.DUMMYFUNCTION("""COMPUTED_VALUE"""),88967.0)</f>
        <v>88967</v>
      </c>
      <c r="M329" t="str">
        <f>IFERROR(__xludf.DUMMYFUNCTION("""COMPUTED_VALUE"""),"Grocery")</f>
        <v>Grocery</v>
      </c>
      <c r="O329" t="str">
        <f>IFERROR(__xludf.DUMMYFUNCTION("""COMPUTED_VALUE"""),"N")</f>
        <v>N</v>
      </c>
      <c r="P329" s="1" t="str">
        <f>IFERROR(__xludf.DUMMYFUNCTION("""COMPUTED_VALUE"""),"ID 15516")</f>
        <v>ID 15516</v>
      </c>
      <c r="Q329" s="1" t="str">
        <f>IFERROR(__xludf.DUMMYFUNCTION("""COMPUTED_VALUE"""),"B01KKEKRTY")</f>
        <v>B01KKEKRTY</v>
      </c>
    </row>
    <row r="330">
      <c r="A330" s="6">
        <f>IFERROR(__xludf.DUMMYFUNCTION("""COMPUTED_VALUE"""),45222.0)</f>
        <v>45222</v>
      </c>
      <c r="B330">
        <f>IFERROR(__xludf.DUMMYFUNCTION("""COMPUTED_VALUE"""),8990.0)</f>
        <v>8990</v>
      </c>
      <c r="C330" t="str">
        <f>IFERROR(__xludf.DUMMYFUNCTION("""COMPUTED_VALUE"""),"U.S. Toy VL31 Crystal Bracelets(24 Piece)")</f>
        <v>U.S. Toy VL31 Crystal Bracelets(24 Piece)</v>
      </c>
      <c r="D330" t="str">
        <f>IFERROR(__xludf.DUMMYFUNCTION("""COMPUTED_VALUE"""),"B00362VTW2")</f>
        <v>B00362VTW2</v>
      </c>
      <c r="E330" t="str">
        <f>IFERROR(__xludf.DUMMYFUNCTION("""COMPUTED_VALUE"""),"049392268032")</f>
        <v>049392268032</v>
      </c>
      <c r="F330">
        <f>IFERROR(__xludf.DUMMYFUNCTION("""COMPUTED_VALUE"""),480.0)</f>
        <v>480</v>
      </c>
      <c r="G330">
        <f>IFERROR(__xludf.DUMMYFUNCTION("""COMPUTED_VALUE"""),480.0)</f>
        <v>480</v>
      </c>
      <c r="H330" s="2">
        <f>IFERROR(__xludf.DUMMYFUNCTION("""COMPUTED_VALUE"""),2.0)</f>
        <v>2</v>
      </c>
      <c r="I330" s="2">
        <f>IFERROR(__xludf.DUMMYFUNCTION("""COMPUTED_VALUE"""),4.65)</f>
        <v>4.65</v>
      </c>
      <c r="J330" s="2">
        <f>IFERROR(__xludf.DUMMYFUNCTION("""COMPUTED_VALUE"""),2.6500000000000004)</f>
        <v>2.65</v>
      </c>
      <c r="K330" s="5">
        <f>IFERROR(__xludf.DUMMYFUNCTION("""COMPUTED_VALUE"""),1.3250000000000002)</f>
        <v>1.325</v>
      </c>
      <c r="L330">
        <f>IFERROR(__xludf.DUMMYFUNCTION("""COMPUTED_VALUE"""),83631.0)</f>
        <v>83631</v>
      </c>
      <c r="M330" t="str">
        <f>IFERROR(__xludf.DUMMYFUNCTION("""COMPUTED_VALUE"""),"Toy")</f>
        <v>Toy</v>
      </c>
      <c r="N330" t="str">
        <f>IFERROR(__xludf.DUMMYFUNCTION("""COMPUTED_VALUE"""),"MAP: $4.29. If you violate the MAP pricing, the brand will remove you and require you to return the merchandise at a 50% restocking fee.")</f>
        <v>MAP: $4.29. If you violate the MAP pricing, the brand will remove you and require you to return the merchandise at a 50% restocking fee.</v>
      </c>
      <c r="O330" t="str">
        <f>IFERROR(__xludf.DUMMYFUNCTION("""COMPUTED_VALUE"""),"N")</f>
        <v>N</v>
      </c>
      <c r="P330" s="1" t="str">
        <f>IFERROR(__xludf.DUMMYFUNCTION("""COMPUTED_VALUE"""),"ID 8990")</f>
        <v>ID 8990</v>
      </c>
      <c r="Q330" s="1" t="str">
        <f>IFERROR(__xludf.DUMMYFUNCTION("""COMPUTED_VALUE"""),"B00362VTW2")</f>
        <v>B00362VTW2</v>
      </c>
    </row>
    <row r="331">
      <c r="A331" s="6">
        <f>IFERROR(__xludf.DUMMYFUNCTION("""COMPUTED_VALUE"""),45385.0)</f>
        <v>45385</v>
      </c>
      <c r="B331">
        <f>IFERROR(__xludf.DUMMYFUNCTION("""COMPUTED_VALUE"""),17740.0)</f>
        <v>17740</v>
      </c>
      <c r="C331" t="str">
        <f>IFERROR(__xludf.DUMMYFUNCTION("""COMPUTED_VALUE"""),"Paper Mate Flair Felt Tip Pens, Medium Point Limited Edition Candy Pop Pack, 0.7mm, Pack of 16 (1979423)")</f>
        <v>Paper Mate Flair Felt Tip Pens, Medium Point Limited Edition Candy Pop Pack, 0.7mm, Pack of 16 (1979423)</v>
      </c>
      <c r="D331" t="str">
        <f>IFERROR(__xludf.DUMMYFUNCTION("""COMPUTED_VALUE"""),"B01M6ZU6G1")</f>
        <v>B01M6ZU6G1</v>
      </c>
      <c r="E331" t="str">
        <f>IFERROR(__xludf.DUMMYFUNCTION("""COMPUTED_VALUE"""),"041540009306")</f>
        <v>041540009306</v>
      </c>
      <c r="F331">
        <f>IFERROR(__xludf.DUMMYFUNCTION("""COMPUTED_VALUE"""),192.0)</f>
        <v>192</v>
      </c>
      <c r="G331">
        <f>IFERROR(__xludf.DUMMYFUNCTION("""COMPUTED_VALUE"""),2400.0)</f>
        <v>2400</v>
      </c>
      <c r="H331" s="2">
        <f>IFERROR(__xludf.DUMMYFUNCTION("""COMPUTED_VALUE"""),17.25)</f>
        <v>17.25</v>
      </c>
      <c r="I331" s="2">
        <f>IFERROR(__xludf.DUMMYFUNCTION("""COMPUTED_VALUE"""),19.88)</f>
        <v>19.88</v>
      </c>
      <c r="J331" s="2">
        <f>IFERROR(__xludf.DUMMYFUNCTION("""COMPUTED_VALUE"""),2.629999999999999)</f>
        <v>2.63</v>
      </c>
      <c r="K331" s="5">
        <f>IFERROR(__xludf.DUMMYFUNCTION("""COMPUTED_VALUE"""),0.15246376811594198)</f>
        <v>0.1524637681</v>
      </c>
      <c r="L331">
        <f>IFERROR(__xludf.DUMMYFUNCTION("""COMPUTED_VALUE"""),44091.0)</f>
        <v>44091</v>
      </c>
      <c r="M331" t="str">
        <f>IFERROR(__xludf.DUMMYFUNCTION("""COMPUTED_VALUE"""),"Office Product")</f>
        <v>Office Product</v>
      </c>
      <c r="O331" t="str">
        <f>IFERROR(__xludf.DUMMYFUNCTION("""COMPUTED_VALUE"""),"N")</f>
        <v>N</v>
      </c>
      <c r="P331" s="1" t="str">
        <f>IFERROR(__xludf.DUMMYFUNCTION("""COMPUTED_VALUE"""),"ID 17740")</f>
        <v>ID 17740</v>
      </c>
      <c r="Q331" s="1" t="str">
        <f>IFERROR(__xludf.DUMMYFUNCTION("""COMPUTED_VALUE"""),"B01M6ZU6G1")</f>
        <v>B01M6ZU6G1</v>
      </c>
    </row>
    <row r="332">
      <c r="A332" s="6">
        <f>IFERROR(__xludf.DUMMYFUNCTION("""COMPUTED_VALUE"""),45362.0)</f>
        <v>45362</v>
      </c>
      <c r="B332">
        <f>IFERROR(__xludf.DUMMYFUNCTION("""COMPUTED_VALUE"""),19607.0)</f>
        <v>19607</v>
      </c>
      <c r="C332" t="str">
        <f>IFERROR(__xludf.DUMMYFUNCTION("""COMPUTED_VALUE"""),"Pentel Icy Automatic Pencil, 0.5mm, Assorted Barrels, Color May Vary, 1 Pack (AL25TBP)")</f>
        <v>Pentel Icy Automatic Pencil, 0.5mm, Assorted Barrels, Color May Vary, 1 Pack (AL25TBP)</v>
      </c>
      <c r="D332" t="str">
        <f>IFERROR(__xludf.DUMMYFUNCTION("""COMPUTED_VALUE"""),"B002JGIETC")</f>
        <v>B002JGIETC</v>
      </c>
      <c r="E332" t="str">
        <f>IFERROR(__xludf.DUMMYFUNCTION("""COMPUTED_VALUE"""),"072512098691")</f>
        <v>072512098691</v>
      </c>
      <c r="F332">
        <f>IFERROR(__xludf.DUMMYFUNCTION("""COMPUTED_VALUE"""),1152.0)</f>
        <v>1152</v>
      </c>
      <c r="G332">
        <f>IFERROR(__xludf.DUMMYFUNCTION("""COMPUTED_VALUE"""),10000.0)</f>
        <v>10000</v>
      </c>
      <c r="H332" s="2">
        <f>IFERROR(__xludf.DUMMYFUNCTION("""COMPUTED_VALUE"""),1.0)</f>
        <v>1</v>
      </c>
      <c r="I332" s="2">
        <f>IFERROR(__xludf.DUMMYFUNCTION("""COMPUTED_VALUE"""),3.63)</f>
        <v>3.63</v>
      </c>
      <c r="J332" s="2">
        <f>IFERROR(__xludf.DUMMYFUNCTION("""COMPUTED_VALUE"""),2.63)</f>
        <v>2.63</v>
      </c>
      <c r="K332" s="5">
        <f>IFERROR(__xludf.DUMMYFUNCTION("""COMPUTED_VALUE"""),2.63)</f>
        <v>2.63</v>
      </c>
      <c r="L332">
        <f>IFERROR(__xludf.DUMMYFUNCTION("""COMPUTED_VALUE"""),14058.0)</f>
        <v>14058</v>
      </c>
      <c r="M332" t="str">
        <f>IFERROR(__xludf.DUMMYFUNCTION("""COMPUTED_VALUE"""),"Office Product")</f>
        <v>Office Product</v>
      </c>
      <c r="O332" t="str">
        <f>IFERROR(__xludf.DUMMYFUNCTION("""COMPUTED_VALUE"""),"N")</f>
        <v>N</v>
      </c>
      <c r="P332" s="1" t="str">
        <f>IFERROR(__xludf.DUMMYFUNCTION("""COMPUTED_VALUE"""),"ID 19607")</f>
        <v>ID 19607</v>
      </c>
      <c r="Q332" s="1" t="str">
        <f>IFERROR(__xludf.DUMMYFUNCTION("""COMPUTED_VALUE"""),"B002JGIETC")</f>
        <v>B002JGIETC</v>
      </c>
    </row>
    <row r="333">
      <c r="A333" s="6">
        <f>IFERROR(__xludf.DUMMYFUNCTION("""COMPUTED_VALUE"""),45105.0)</f>
        <v>45105</v>
      </c>
      <c r="B333">
        <f>IFERROR(__xludf.DUMMYFUNCTION("""COMPUTED_VALUE"""),25416.0)</f>
        <v>25416</v>
      </c>
      <c r="C333" t="str">
        <f>IFERROR(__xludf.DUMMYFUNCTION("""COMPUTED_VALUE"""),"Cardinal 3 Ring Binder, 1 Inch Heavy Duty XtraLife Binder, Locking Slant-D Rings, Crack-Resistant Cover &amp; Spine, ClearVue Covers, Holds 270 Sheets, Blue (26302)")</f>
        <v>Cardinal 3 Ring Binder, 1 Inch Heavy Duty XtraLife Binder, Locking Slant-D Rings, Crack-Resistant Cover &amp; Spine, ClearVue Covers, Holds 270 Sheets, Blue (26302)</v>
      </c>
      <c r="D333" t="str">
        <f>IFERROR(__xludf.DUMMYFUNCTION("""COMPUTED_VALUE"""),"B00016ZMNI")</f>
        <v>B00016ZMNI</v>
      </c>
      <c r="E333" t="str">
        <f>IFERROR(__xludf.DUMMYFUNCTION("""COMPUTED_VALUE"""),"083086263026")</f>
        <v>083086263026</v>
      </c>
      <c r="F333">
        <f>IFERROR(__xludf.DUMMYFUNCTION("""COMPUTED_VALUE"""),350.0)</f>
        <v>350</v>
      </c>
      <c r="G333">
        <f>IFERROR(__xludf.DUMMYFUNCTION("""COMPUTED_VALUE"""),10000.0)</f>
        <v>10000</v>
      </c>
      <c r="H333" s="2">
        <f>IFERROR(__xludf.DUMMYFUNCTION("""COMPUTED_VALUE"""),7.0)</f>
        <v>7</v>
      </c>
      <c r="I333" s="2">
        <f>IFERROR(__xludf.DUMMYFUNCTION("""COMPUTED_VALUE"""),9.63)</f>
        <v>9.63</v>
      </c>
      <c r="J333" s="2">
        <f>IFERROR(__xludf.DUMMYFUNCTION("""COMPUTED_VALUE"""),2.630000000000001)</f>
        <v>2.63</v>
      </c>
      <c r="K333" s="5">
        <f>IFERROR(__xludf.DUMMYFUNCTION("""COMPUTED_VALUE"""),0.37571428571428583)</f>
        <v>0.3757142857</v>
      </c>
      <c r="L333">
        <f>IFERROR(__xludf.DUMMYFUNCTION("""COMPUTED_VALUE"""),83067.0)</f>
        <v>83067</v>
      </c>
      <c r="M333" t="str">
        <f>IFERROR(__xludf.DUMMYFUNCTION("""COMPUTED_VALUE"""),"Office Product")</f>
        <v>Office Product</v>
      </c>
      <c r="N333"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333" t="str">
        <f>IFERROR(__xludf.DUMMYFUNCTION("""COMPUTED_VALUE"""),"N")</f>
        <v>N</v>
      </c>
      <c r="P333" s="1" t="str">
        <f>IFERROR(__xludf.DUMMYFUNCTION("""COMPUTED_VALUE"""),"ID 25416")</f>
        <v>ID 25416</v>
      </c>
      <c r="Q333" s="1" t="str">
        <f>IFERROR(__xludf.DUMMYFUNCTION("""COMPUTED_VALUE"""),"B00016ZMNI")</f>
        <v>B00016ZMNI</v>
      </c>
    </row>
    <row r="334">
      <c r="A334" s="6">
        <f>IFERROR(__xludf.DUMMYFUNCTION("""COMPUTED_VALUE"""),45376.0)</f>
        <v>45376</v>
      </c>
      <c r="B334">
        <f>IFERROR(__xludf.DUMMYFUNCTION("""COMPUTED_VALUE"""),25124.0)</f>
        <v>25124</v>
      </c>
      <c r="C334" t="str">
        <f>IFERROR(__xludf.DUMMYFUNCTION("""COMPUTED_VALUE"""),"PACON Pacon 4"" Self-Adhesive Uppercase and Lowercase Letters, 154-Count, Black (51693)")</f>
        <v>PACON Pacon 4" Self-Adhesive Uppercase and Lowercase Letters, 154-Count, Black (51693)</v>
      </c>
      <c r="D334" t="str">
        <f>IFERROR(__xludf.DUMMYFUNCTION("""COMPUTED_VALUE"""),"B00Z3NAVR6")</f>
        <v>B00Z3NAVR6</v>
      </c>
      <c r="E334" t="str">
        <f>IFERROR(__xludf.DUMMYFUNCTION("""COMPUTED_VALUE"""),"045173516934")</f>
        <v>045173516934</v>
      </c>
      <c r="F334">
        <f>IFERROR(__xludf.DUMMYFUNCTION("""COMPUTED_VALUE"""),432.0)</f>
        <v>432</v>
      </c>
      <c r="G334">
        <f>IFERROR(__xludf.DUMMYFUNCTION("""COMPUTED_VALUE"""),10000.0)</f>
        <v>10000</v>
      </c>
      <c r="H334" s="2">
        <f>IFERROR(__xludf.DUMMYFUNCTION("""COMPUTED_VALUE"""),8.5)</f>
        <v>8.5</v>
      </c>
      <c r="I334" s="2">
        <f>IFERROR(__xludf.DUMMYFUNCTION("""COMPUTED_VALUE"""),11.12)</f>
        <v>11.12</v>
      </c>
      <c r="J334" s="2">
        <f>IFERROR(__xludf.DUMMYFUNCTION("""COMPUTED_VALUE"""),2.619999999999999)</f>
        <v>2.62</v>
      </c>
      <c r="K334" s="5">
        <f>IFERROR(__xludf.DUMMYFUNCTION("""COMPUTED_VALUE"""),0.30823529411764694)</f>
        <v>0.3082352941</v>
      </c>
      <c r="L334">
        <f>IFERROR(__xludf.DUMMYFUNCTION("""COMPUTED_VALUE"""),18706.0)</f>
        <v>18706</v>
      </c>
      <c r="M334" t="str">
        <f>IFERROR(__xludf.DUMMYFUNCTION("""COMPUTED_VALUE"""),"Home")</f>
        <v>Home</v>
      </c>
      <c r="O334" t="str">
        <f>IFERROR(__xludf.DUMMYFUNCTION("""COMPUTED_VALUE"""),"Y")</f>
        <v>Y</v>
      </c>
      <c r="P334" s="1" t="str">
        <f>IFERROR(__xludf.DUMMYFUNCTION("""COMPUTED_VALUE"""),"ID 25124")</f>
        <v>ID 25124</v>
      </c>
      <c r="Q334" s="1" t="str">
        <f>IFERROR(__xludf.DUMMYFUNCTION("""COMPUTED_VALUE"""),"B00Z3NAVR6")</f>
        <v>B00Z3NAVR6</v>
      </c>
    </row>
    <row r="335">
      <c r="A335" s="6">
        <f>IFERROR(__xludf.DUMMYFUNCTION("""COMPUTED_VALUE"""),44627.0)</f>
        <v>44627</v>
      </c>
      <c r="B335">
        <f>IFERROR(__xludf.DUMMYFUNCTION("""COMPUTED_VALUE"""),12196.0)</f>
        <v>12196</v>
      </c>
      <c r="C335" t="str">
        <f>IFERROR(__xludf.DUMMYFUNCTION("""COMPUTED_VALUE"""),"Zippo Pink Matte Logo Pocket Lighter with 12 oz Lighter Fluid")</f>
        <v>Zippo Pink Matte Logo Pocket Lighter with 12 oz Lighter Fluid</v>
      </c>
      <c r="D335" t="str">
        <f>IFERROR(__xludf.DUMMYFUNCTION("""COMPUTED_VALUE"""),"B00152SO64")</f>
        <v>B00152SO64</v>
      </c>
      <c r="E335" t="str">
        <f>IFERROR(__xludf.DUMMYFUNCTION("""COMPUTED_VALUE"""),"41689192792")</f>
        <v>41689192792</v>
      </c>
      <c r="F335">
        <f>IFERROR(__xludf.DUMMYFUNCTION("""COMPUTED_VALUE"""),210.0)</f>
        <v>210</v>
      </c>
      <c r="G335">
        <f>IFERROR(__xludf.DUMMYFUNCTION("""COMPUTED_VALUE"""),6000.0)</f>
        <v>6000</v>
      </c>
      <c r="H335" s="2">
        <f>IFERROR(__xludf.DUMMYFUNCTION("""COMPUTED_VALUE"""),11.75)</f>
        <v>11.75</v>
      </c>
      <c r="I335" s="2">
        <f>IFERROR(__xludf.DUMMYFUNCTION("""COMPUTED_VALUE"""),14.32)</f>
        <v>14.32</v>
      </c>
      <c r="J335" s="2">
        <f>IFERROR(__xludf.DUMMYFUNCTION("""COMPUTED_VALUE"""),2.5700000000000003)</f>
        <v>2.57</v>
      </c>
      <c r="K335" s="5">
        <f>IFERROR(__xludf.DUMMYFUNCTION("""COMPUTED_VALUE"""),0.21872340425531916)</f>
        <v>0.2187234043</v>
      </c>
      <c r="L335">
        <f>IFERROR(__xludf.DUMMYFUNCTION("""COMPUTED_VALUE"""),12073.0)</f>
        <v>12073</v>
      </c>
      <c r="M335" t="str">
        <f>IFERROR(__xludf.DUMMYFUNCTION("""COMPUTED_VALUE"""),"Sports")</f>
        <v>Sports</v>
      </c>
      <c r="O335" t="str">
        <f>IFERROR(__xludf.DUMMYFUNCTION("""COMPUTED_VALUE"""),"Y")</f>
        <v>Y</v>
      </c>
      <c r="P335" s="1" t="str">
        <f>IFERROR(__xludf.DUMMYFUNCTION("""COMPUTED_VALUE"""),"ID 12196")</f>
        <v>ID 12196</v>
      </c>
      <c r="Q335" s="1" t="str">
        <f>IFERROR(__xludf.DUMMYFUNCTION("""COMPUTED_VALUE"""),"B00152SO64")</f>
        <v>B00152SO64</v>
      </c>
    </row>
    <row r="336">
      <c r="A336" s="6">
        <f>IFERROR(__xludf.DUMMYFUNCTION("""COMPUTED_VALUE"""),45376.0)</f>
        <v>45376</v>
      </c>
      <c r="B336">
        <f>IFERROR(__xludf.DUMMYFUNCTION("""COMPUTED_VALUE"""),25130.0)</f>
        <v>25130</v>
      </c>
      <c r="C336" t="str">
        <f>IFERROR(__xludf.DUMMYFUNCTION("""COMPUTED_VALUE"""),"Pacon® PAC1720 Index Cards, 3"" x 5"", Unruled, 5 Bright Colors, Pack of 100")</f>
        <v>Pacon® PAC1720 Index Cards, 3" x 5", Unruled, 5 Bright Colors, Pack of 100</v>
      </c>
      <c r="D336" t="str">
        <f>IFERROR(__xludf.DUMMYFUNCTION("""COMPUTED_VALUE"""),"B00RY1O2T8")</f>
        <v>B00RY1O2T8</v>
      </c>
      <c r="E336" t="str">
        <f>IFERROR(__xludf.DUMMYFUNCTION("""COMPUTED_VALUE"""),"045173017202")</f>
        <v>045173017202</v>
      </c>
      <c r="F336">
        <f>IFERROR(__xludf.DUMMYFUNCTION("""COMPUTED_VALUE"""),1332.0)</f>
        <v>1332</v>
      </c>
      <c r="G336">
        <f>IFERROR(__xludf.DUMMYFUNCTION("""COMPUTED_VALUE"""),10000.0)</f>
        <v>10000</v>
      </c>
      <c r="H336" s="2">
        <f>IFERROR(__xludf.DUMMYFUNCTION("""COMPUTED_VALUE"""),2.75)</f>
        <v>2.75</v>
      </c>
      <c r="I336" s="2">
        <f>IFERROR(__xludf.DUMMYFUNCTION("""COMPUTED_VALUE"""),5.31)</f>
        <v>5.31</v>
      </c>
      <c r="J336" s="2">
        <f>IFERROR(__xludf.DUMMYFUNCTION("""COMPUTED_VALUE"""),2.5599999999999996)</f>
        <v>2.56</v>
      </c>
      <c r="K336" s="5">
        <f>IFERROR(__xludf.DUMMYFUNCTION("""COMPUTED_VALUE"""),0.9309090909090908)</f>
        <v>0.9309090909</v>
      </c>
      <c r="L336">
        <f>IFERROR(__xludf.DUMMYFUNCTION("""COMPUTED_VALUE"""),24140.0)</f>
        <v>24140</v>
      </c>
      <c r="M336" t="str">
        <f>IFERROR(__xludf.DUMMYFUNCTION("""COMPUTED_VALUE"""),"BISS Basic")</f>
        <v>BISS Basic</v>
      </c>
      <c r="O336" t="str">
        <f>IFERROR(__xludf.DUMMYFUNCTION("""COMPUTED_VALUE"""),"Y")</f>
        <v>Y</v>
      </c>
      <c r="P336" s="1" t="str">
        <f>IFERROR(__xludf.DUMMYFUNCTION("""COMPUTED_VALUE"""),"ID 25130")</f>
        <v>ID 25130</v>
      </c>
      <c r="Q336" s="1" t="str">
        <f>IFERROR(__xludf.DUMMYFUNCTION("""COMPUTED_VALUE"""),"B00RY1O2T8")</f>
        <v>B00RY1O2T8</v>
      </c>
    </row>
    <row r="337">
      <c r="A337" s="6">
        <f>IFERROR(__xludf.DUMMYFUNCTION("""COMPUTED_VALUE"""),45421.0)</f>
        <v>45421</v>
      </c>
      <c r="B337">
        <f>IFERROR(__xludf.DUMMYFUNCTION("""COMPUTED_VALUE"""),25645.0)</f>
        <v>25645</v>
      </c>
      <c r="C337" t="str">
        <f>IFERROR(__xludf.DUMMYFUNCTION("""COMPUTED_VALUE"""),"Koh-I-Noor Rapidograph Technical and Artist Pen.25mm Nib, 1 Each (3165.ZZZ)")</f>
        <v>Koh-I-Noor Rapidograph Technical and Artist Pen.25mm Nib, 1 Each (3165.ZZZ)</v>
      </c>
      <c r="D337" t="str">
        <f>IFERROR(__xludf.DUMMYFUNCTION("""COMPUTED_VALUE"""),"B004O7APN2")</f>
        <v>B004O7APN2</v>
      </c>
      <c r="E337" t="str">
        <f>IFERROR(__xludf.DUMMYFUNCTION("""COMPUTED_VALUE"""),"014173276476")</f>
        <v>014173276476</v>
      </c>
      <c r="F337">
        <f>IFERROR(__xludf.DUMMYFUNCTION("""COMPUTED_VALUE"""),100.0)</f>
        <v>100</v>
      </c>
      <c r="G337">
        <f>IFERROR(__xludf.DUMMYFUNCTION("""COMPUTED_VALUE"""),10000.0)</f>
        <v>10000</v>
      </c>
      <c r="H337" s="2">
        <f>IFERROR(__xludf.DUMMYFUNCTION("""COMPUTED_VALUE"""),21.5)</f>
        <v>21.5</v>
      </c>
      <c r="I337" s="2">
        <f>IFERROR(__xludf.DUMMYFUNCTION("""COMPUTED_VALUE"""),24.06)</f>
        <v>24.06</v>
      </c>
      <c r="J337" s="2">
        <f>IFERROR(__xludf.DUMMYFUNCTION("""COMPUTED_VALUE"""),2.5599999999999987)</f>
        <v>2.56</v>
      </c>
      <c r="K337" s="5">
        <f>IFERROR(__xludf.DUMMYFUNCTION("""COMPUTED_VALUE"""),0.1190697674418604)</f>
        <v>0.1190697674</v>
      </c>
      <c r="L337">
        <f>IFERROR(__xludf.DUMMYFUNCTION("""COMPUTED_VALUE"""),37402.0)</f>
        <v>37402</v>
      </c>
      <c r="M337" t="str">
        <f>IFERROR(__xludf.DUMMYFUNCTION("""COMPUTED_VALUE"""),"Home")</f>
        <v>Home</v>
      </c>
      <c r="O337" t="str">
        <f>IFERROR(__xludf.DUMMYFUNCTION("""COMPUTED_VALUE"""),"Y")</f>
        <v>Y</v>
      </c>
      <c r="P337" s="1" t="str">
        <f>IFERROR(__xludf.DUMMYFUNCTION("""COMPUTED_VALUE"""),"ID 25645")</f>
        <v>ID 25645</v>
      </c>
      <c r="Q337" s="1" t="str">
        <f>IFERROR(__xludf.DUMMYFUNCTION("""COMPUTED_VALUE"""),"B004O7APN2")</f>
        <v>B004O7APN2</v>
      </c>
    </row>
    <row r="338">
      <c r="A338" s="6">
        <f>IFERROR(__xludf.DUMMYFUNCTION("""COMPUTED_VALUE"""),45112.0)</f>
        <v>45112</v>
      </c>
      <c r="B338">
        <f>IFERROR(__xludf.DUMMYFUNCTION("""COMPUTED_VALUE"""),15535.0)</f>
        <v>15535</v>
      </c>
      <c r="C338" t="str">
        <f>IFERROR(__xludf.DUMMYFUNCTION("""COMPUTED_VALUE"""),"Duck Brand Select Grip EasyLiner Shelf and Drawer Liner, Non-Adhesive, 12-Inch x 10-Feet, Non-Adhesive, Mesh , Black,")</f>
        <v>Duck Brand Select Grip EasyLiner Shelf and Drawer Liner, Non-Adhesive, 12-Inch x 10-Feet, Non-Adhesive, Mesh , Black,</v>
      </c>
      <c r="D338" t="str">
        <f>IFERROR(__xludf.DUMMYFUNCTION("""COMPUTED_VALUE"""),"B002AS9N58")</f>
        <v>B002AS9N58</v>
      </c>
      <c r="E338" t="str">
        <f>IFERROR(__xludf.DUMMYFUNCTION("""COMPUTED_VALUE"""),"075353257791")</f>
        <v>075353257791</v>
      </c>
      <c r="F338">
        <f>IFERROR(__xludf.DUMMYFUNCTION("""COMPUTED_VALUE"""),246.0)</f>
        <v>246</v>
      </c>
      <c r="G338">
        <f>IFERROR(__xludf.DUMMYFUNCTION("""COMPUTED_VALUE"""),10000.0)</f>
        <v>10000</v>
      </c>
      <c r="H338" s="2">
        <f>IFERROR(__xludf.DUMMYFUNCTION("""COMPUTED_VALUE"""),5.0)</f>
        <v>5</v>
      </c>
      <c r="I338" s="2">
        <f>IFERROR(__xludf.DUMMYFUNCTION("""COMPUTED_VALUE"""),7.53)</f>
        <v>7.53</v>
      </c>
      <c r="J338" s="2">
        <f>IFERROR(__xludf.DUMMYFUNCTION("""COMPUTED_VALUE"""),2.5300000000000002)</f>
        <v>2.53</v>
      </c>
      <c r="K338" s="5">
        <f>IFERROR(__xludf.DUMMYFUNCTION("""COMPUTED_VALUE"""),0.506)</f>
        <v>0.506</v>
      </c>
      <c r="L338">
        <f>IFERROR(__xludf.DUMMYFUNCTION("""COMPUTED_VALUE"""),19164.0)</f>
        <v>19164</v>
      </c>
      <c r="M338" t="str">
        <f>IFERROR(__xludf.DUMMYFUNCTION("""COMPUTED_VALUE"""),"Home")</f>
        <v>Home</v>
      </c>
      <c r="O338" t="str">
        <f>IFERROR(__xludf.DUMMYFUNCTION("""COMPUTED_VALUE"""),"N")</f>
        <v>N</v>
      </c>
      <c r="P338" s="1" t="str">
        <f>IFERROR(__xludf.DUMMYFUNCTION("""COMPUTED_VALUE"""),"ID 15535")</f>
        <v>ID 15535</v>
      </c>
      <c r="Q338" s="1" t="str">
        <f>IFERROR(__xludf.DUMMYFUNCTION("""COMPUTED_VALUE"""),"B002AS9N58")</f>
        <v>B002AS9N58</v>
      </c>
    </row>
    <row r="339">
      <c r="A339" s="6">
        <f>IFERROR(__xludf.DUMMYFUNCTION("""COMPUTED_VALUE"""),45231.0)</f>
        <v>45231</v>
      </c>
      <c r="B339">
        <f>IFERROR(__xludf.DUMMYFUNCTION("""COMPUTED_VALUE"""),19250.0)</f>
        <v>19250</v>
      </c>
      <c r="C339" t="str">
        <f>IFERROR(__xludf.DUMMYFUNCTION("""COMPUTED_VALUE"""),"NARS Velvet Matte Lip Pencil, Famous Red, 0.08 Ounce")</f>
        <v>NARS Velvet Matte Lip Pencil, Famous Red, 0.08 Ounce</v>
      </c>
      <c r="D339" t="str">
        <f>IFERROR(__xludf.DUMMYFUNCTION("""COMPUTED_VALUE"""),"B071FNVF1G")</f>
        <v>B071FNVF1G</v>
      </c>
      <c r="E339" t="str">
        <f>IFERROR(__xludf.DUMMYFUNCTION("""COMPUTED_VALUE"""),"607845024897")</f>
        <v>607845024897</v>
      </c>
      <c r="F339">
        <f>IFERROR(__xludf.DUMMYFUNCTION("""COMPUTED_VALUE"""),94.0)</f>
        <v>94</v>
      </c>
      <c r="G339">
        <f>IFERROR(__xludf.DUMMYFUNCTION("""COMPUTED_VALUE"""),94.0)</f>
        <v>94</v>
      </c>
      <c r="H339" s="2">
        <f>IFERROR(__xludf.DUMMYFUNCTION("""COMPUTED_VALUE"""),8.75)</f>
        <v>8.75</v>
      </c>
      <c r="I339" s="2">
        <f>IFERROR(__xludf.DUMMYFUNCTION("""COMPUTED_VALUE"""),11.28)</f>
        <v>11.28</v>
      </c>
      <c r="J339" s="2">
        <f>IFERROR(__xludf.DUMMYFUNCTION("""COMPUTED_VALUE"""),2.5299999999999994)</f>
        <v>2.53</v>
      </c>
      <c r="K339" s="5">
        <f>IFERROR(__xludf.DUMMYFUNCTION("""COMPUTED_VALUE"""),0.2891428571428571)</f>
        <v>0.2891428571</v>
      </c>
      <c r="L339">
        <f>IFERROR(__xludf.DUMMYFUNCTION("""COMPUTED_VALUE"""),33483.0)</f>
        <v>33483</v>
      </c>
      <c r="M339" t="str">
        <f>IFERROR(__xludf.DUMMYFUNCTION("""COMPUTED_VALUE"""),"Beauty")</f>
        <v>Beauty</v>
      </c>
      <c r="O339" t="str">
        <f>IFERROR(__xludf.DUMMYFUNCTION("""COMPUTED_VALUE"""),"N")</f>
        <v>N</v>
      </c>
      <c r="P339" s="1" t="str">
        <f>IFERROR(__xludf.DUMMYFUNCTION("""COMPUTED_VALUE"""),"ID 19250")</f>
        <v>ID 19250</v>
      </c>
      <c r="Q339" s="1" t="str">
        <f>IFERROR(__xludf.DUMMYFUNCTION("""COMPUTED_VALUE"""),"B071FNVF1G")</f>
        <v>B071FNVF1G</v>
      </c>
    </row>
    <row r="340">
      <c r="A340" s="6">
        <f>IFERROR(__xludf.DUMMYFUNCTION("""COMPUTED_VALUE"""),45362.0)</f>
        <v>45362</v>
      </c>
      <c r="B340">
        <f>IFERROR(__xludf.DUMMYFUNCTION("""COMPUTED_VALUE"""),19728.0)</f>
        <v>19728</v>
      </c>
      <c r="C340" t="str">
        <f>IFERROR(__xludf.DUMMYFUNCTION("""COMPUTED_VALUE"""),"Pentel EnerGel Deluxe RTX Retractable Liquid Gel Pen, 0.5mm, Needle Tip, Black Ink, 2 Pack (BLN75BP2A)")</f>
        <v>Pentel EnerGel Deluxe RTX Retractable Liquid Gel Pen, 0.5mm, Needle Tip, Black Ink, 2 Pack (BLN75BP2A)</v>
      </c>
      <c r="D340" t="str">
        <f>IFERROR(__xludf.DUMMYFUNCTION("""COMPUTED_VALUE"""),"B002VKXJIM")</f>
        <v>B002VKXJIM</v>
      </c>
      <c r="E340" t="str">
        <f>IFERROR(__xludf.DUMMYFUNCTION("""COMPUTED_VALUE"""),"072512234075")</f>
        <v>072512234075</v>
      </c>
      <c r="F340">
        <f>IFERROR(__xludf.DUMMYFUNCTION("""COMPUTED_VALUE"""),432.0)</f>
        <v>432</v>
      </c>
      <c r="G340">
        <f>IFERROR(__xludf.DUMMYFUNCTION("""COMPUTED_VALUE"""),10000.0)</f>
        <v>10000</v>
      </c>
      <c r="H340" s="2">
        <f>IFERROR(__xludf.DUMMYFUNCTION("""COMPUTED_VALUE"""),3.25)</f>
        <v>3.25</v>
      </c>
      <c r="I340" s="2">
        <f>IFERROR(__xludf.DUMMYFUNCTION("""COMPUTED_VALUE"""),5.77)</f>
        <v>5.77</v>
      </c>
      <c r="J340" s="2">
        <f>IFERROR(__xludf.DUMMYFUNCTION("""COMPUTED_VALUE"""),2.5199999999999996)</f>
        <v>2.52</v>
      </c>
      <c r="K340" s="5">
        <f>IFERROR(__xludf.DUMMYFUNCTION("""COMPUTED_VALUE"""),0.7753846153846152)</f>
        <v>0.7753846154</v>
      </c>
      <c r="L340">
        <f>IFERROR(__xludf.DUMMYFUNCTION("""COMPUTED_VALUE"""),300.0)</f>
        <v>300</v>
      </c>
      <c r="M340" t="str">
        <f>IFERROR(__xludf.DUMMYFUNCTION("""COMPUTED_VALUE"""),"Office Product")</f>
        <v>Office Product</v>
      </c>
      <c r="O340" t="str">
        <f>IFERROR(__xludf.DUMMYFUNCTION("""COMPUTED_VALUE"""),"Y")</f>
        <v>Y</v>
      </c>
      <c r="P340" s="1" t="str">
        <f>IFERROR(__xludf.DUMMYFUNCTION("""COMPUTED_VALUE"""),"ID 19728")</f>
        <v>ID 19728</v>
      </c>
      <c r="Q340" s="1" t="str">
        <f>IFERROR(__xludf.DUMMYFUNCTION("""COMPUTED_VALUE"""),"B002VKXJIM")</f>
        <v>B002VKXJIM</v>
      </c>
    </row>
    <row r="341">
      <c r="A341" s="6">
        <f>IFERROR(__xludf.DUMMYFUNCTION("""COMPUTED_VALUE"""),45258.0)</f>
        <v>45258</v>
      </c>
      <c r="B341">
        <f>IFERROR(__xludf.DUMMYFUNCTION("""COMPUTED_VALUE"""),21558.0)</f>
        <v>21558</v>
      </c>
      <c r="C341" t="str">
        <f>IFERROR(__xludf.DUMMYFUNCTION("""COMPUTED_VALUE"""),"Garnier Nutrisse Nourishing Hair Color Creme, 66 True Red (Pomegranate) (Packaging May Vary)")</f>
        <v>Garnier Nutrisse Nourishing Hair Color Creme, 66 True Red (Pomegranate) (Packaging May Vary)</v>
      </c>
      <c r="D341" t="str">
        <f>IFERROR(__xludf.DUMMYFUNCTION("""COMPUTED_VALUE"""),"B003BQOZJW")</f>
        <v>B003BQOZJW</v>
      </c>
      <c r="E341" t="str">
        <f>IFERROR(__xludf.DUMMYFUNCTION("""COMPUTED_VALUE"""),"603084242627")</f>
        <v>603084242627</v>
      </c>
      <c r="F341">
        <f>IFERROR(__xludf.DUMMYFUNCTION("""COMPUTED_VALUE"""),696.0)</f>
        <v>696</v>
      </c>
      <c r="G341">
        <f>IFERROR(__xludf.DUMMYFUNCTION("""COMPUTED_VALUE"""),2400.0)</f>
        <v>2400</v>
      </c>
      <c r="H341" s="2">
        <f>IFERROR(__xludf.DUMMYFUNCTION("""COMPUTED_VALUE"""),3.5)</f>
        <v>3.5</v>
      </c>
      <c r="I341" s="2">
        <f>IFERROR(__xludf.DUMMYFUNCTION("""COMPUTED_VALUE"""),6.02)</f>
        <v>6.02</v>
      </c>
      <c r="J341" s="2">
        <f>IFERROR(__xludf.DUMMYFUNCTION("""COMPUTED_VALUE"""),2.5199999999999996)</f>
        <v>2.52</v>
      </c>
      <c r="K341" s="5">
        <f>IFERROR(__xludf.DUMMYFUNCTION("""COMPUTED_VALUE"""),0.7199999999999999)</f>
        <v>0.72</v>
      </c>
      <c r="L341">
        <f>IFERROR(__xludf.DUMMYFUNCTION("""COMPUTED_VALUE"""),7716.0)</f>
        <v>7716</v>
      </c>
      <c r="M341" t="str">
        <f>IFERROR(__xludf.DUMMYFUNCTION("""COMPUTED_VALUE"""),"BISS Basic")</f>
        <v>BISS Basic</v>
      </c>
      <c r="O341" t="str">
        <f>IFERROR(__xludf.DUMMYFUNCTION("""COMPUTED_VALUE"""),"N")</f>
        <v>N</v>
      </c>
      <c r="P341" s="1" t="str">
        <f>IFERROR(__xludf.DUMMYFUNCTION("""COMPUTED_VALUE"""),"ID 21558")</f>
        <v>ID 21558</v>
      </c>
      <c r="Q341" s="1" t="str">
        <f>IFERROR(__xludf.DUMMYFUNCTION("""COMPUTED_VALUE"""),"B003BQOZJW")</f>
        <v>B003BQOZJW</v>
      </c>
    </row>
    <row r="342">
      <c r="A342" s="6">
        <f>IFERROR(__xludf.DUMMYFUNCTION("""COMPUTED_VALUE"""),45376.0)</f>
        <v>45376</v>
      </c>
      <c r="B342">
        <f>IFERROR(__xludf.DUMMYFUNCTION("""COMPUTED_VALUE"""),24070.0)</f>
        <v>24070</v>
      </c>
      <c r="C342" t="str">
        <f>IFERROR(__xludf.DUMMYFUNCTION("""COMPUTED_VALUE"""),"Pacon PAC2481 Multi-Program Handwriting Tablet, 1/2"" Ruled (Long Way)")</f>
        <v>Pacon PAC2481 Multi-Program Handwriting Tablet, 1/2" Ruled (Long Way)</v>
      </c>
      <c r="D342" t="str">
        <f>IFERROR(__xludf.DUMMYFUNCTION("""COMPUTED_VALUE"""),"B000G1KTWC")</f>
        <v>B000G1KTWC</v>
      </c>
      <c r="E342" t="str">
        <f>IFERROR(__xludf.DUMMYFUNCTION("""COMPUTED_VALUE"""),"045173024811")</f>
        <v>045173024811</v>
      </c>
      <c r="F342">
        <f>IFERROR(__xludf.DUMMYFUNCTION("""COMPUTED_VALUE"""),2064.0)</f>
        <v>2064</v>
      </c>
      <c r="G342">
        <f>IFERROR(__xludf.DUMMYFUNCTION("""COMPUTED_VALUE"""),10000.0)</f>
        <v>10000</v>
      </c>
      <c r="H342" s="2">
        <f>IFERROR(__xludf.DUMMYFUNCTION("""COMPUTED_VALUE"""),1.75)</f>
        <v>1.75</v>
      </c>
      <c r="I342" s="2">
        <f>IFERROR(__xludf.DUMMYFUNCTION("""COMPUTED_VALUE"""),4.27)</f>
        <v>4.27</v>
      </c>
      <c r="J342" s="2">
        <f>IFERROR(__xludf.DUMMYFUNCTION("""COMPUTED_VALUE"""),2.5199999999999996)</f>
        <v>2.52</v>
      </c>
      <c r="K342" s="5">
        <f>IFERROR(__xludf.DUMMYFUNCTION("""COMPUTED_VALUE"""),1.4399999999999997)</f>
        <v>1.44</v>
      </c>
      <c r="L342">
        <f>IFERROR(__xludf.DUMMYFUNCTION("""COMPUTED_VALUE"""),76422.0)</f>
        <v>76422</v>
      </c>
      <c r="M342" t="str">
        <f>IFERROR(__xludf.DUMMYFUNCTION("""COMPUTED_VALUE"""),"BISS")</f>
        <v>BISS</v>
      </c>
      <c r="O342" t="str">
        <f>IFERROR(__xludf.DUMMYFUNCTION("""COMPUTED_VALUE"""),"Y")</f>
        <v>Y</v>
      </c>
      <c r="P342" s="1" t="str">
        <f>IFERROR(__xludf.DUMMYFUNCTION("""COMPUTED_VALUE"""),"ID 24070")</f>
        <v>ID 24070</v>
      </c>
      <c r="Q342" s="1" t="str">
        <f>IFERROR(__xludf.DUMMYFUNCTION("""COMPUTED_VALUE"""),"B000G1KTWC")</f>
        <v>B000G1KTWC</v>
      </c>
    </row>
    <row r="343">
      <c r="A343" s="6">
        <f>IFERROR(__xludf.DUMMYFUNCTION("""COMPUTED_VALUE"""),45429.0)</f>
        <v>45429</v>
      </c>
      <c r="B343">
        <f>IFERROR(__xludf.DUMMYFUNCTION("""COMPUTED_VALUE"""),13291.0)</f>
        <v>13291</v>
      </c>
      <c r="C343" t="str">
        <f>IFERROR(__xludf.DUMMYFUNCTION("""COMPUTED_VALUE"""),"Duke Cannon Supply Co. THICK High-Viscosity Body Wash for Men - Smells Like Naval Supremacy, 17.5 Fl Oz")</f>
        <v>Duke Cannon Supply Co. THICK High-Viscosity Body Wash for Men - Smells Like Naval Supremacy, 17.5 Fl Oz</v>
      </c>
      <c r="D343" t="str">
        <f>IFERROR(__xludf.DUMMYFUNCTION("""COMPUTED_VALUE"""),"B085HG6D2B")</f>
        <v>B085HG6D2B</v>
      </c>
      <c r="E343" t="str">
        <f>IFERROR(__xludf.DUMMYFUNCTION("""COMPUTED_VALUE"""),"850003539973")</f>
        <v>850003539973</v>
      </c>
      <c r="F343">
        <f>IFERROR(__xludf.DUMMYFUNCTION("""COMPUTED_VALUE"""),186.0)</f>
        <v>186</v>
      </c>
      <c r="G343">
        <f>IFERROR(__xludf.DUMMYFUNCTION("""COMPUTED_VALUE"""),467.0)</f>
        <v>467</v>
      </c>
      <c r="H343" s="2">
        <f>IFERROR(__xludf.DUMMYFUNCTION("""COMPUTED_VALUE"""),7.25)</f>
        <v>7.25</v>
      </c>
      <c r="I343" s="2">
        <f>IFERROR(__xludf.DUMMYFUNCTION("""COMPUTED_VALUE"""),9.77)</f>
        <v>9.77</v>
      </c>
      <c r="J343" s="2">
        <f>IFERROR(__xludf.DUMMYFUNCTION("""COMPUTED_VALUE"""),2.5199999999999996)</f>
        <v>2.52</v>
      </c>
      <c r="K343" s="5">
        <f>IFERROR(__xludf.DUMMYFUNCTION("""COMPUTED_VALUE"""),0.3475862068965517)</f>
        <v>0.3475862069</v>
      </c>
      <c r="L343">
        <f>IFERROR(__xludf.DUMMYFUNCTION("""COMPUTED_VALUE"""),35894.0)</f>
        <v>35894</v>
      </c>
      <c r="M343" t="str">
        <f>IFERROR(__xludf.DUMMYFUNCTION("""COMPUTED_VALUE"""),"Beauty")</f>
        <v>Beauty</v>
      </c>
      <c r="O343" t="str">
        <f>IFERROR(__xludf.DUMMYFUNCTION("""COMPUTED_VALUE"""),"N")</f>
        <v>N</v>
      </c>
      <c r="P343" s="1" t="str">
        <f>IFERROR(__xludf.DUMMYFUNCTION("""COMPUTED_VALUE"""),"ID 13291")</f>
        <v>ID 13291</v>
      </c>
      <c r="Q343" s="1" t="str">
        <f>IFERROR(__xludf.DUMMYFUNCTION("""COMPUTED_VALUE"""),"B085HG6D2B")</f>
        <v>B085HG6D2B</v>
      </c>
    </row>
    <row r="344">
      <c r="A344" s="6">
        <f>IFERROR(__xludf.DUMMYFUNCTION("""COMPUTED_VALUE"""),45362.0)</f>
        <v>45362</v>
      </c>
      <c r="B344">
        <f>IFERROR(__xludf.DUMMYFUNCTION("""COMPUTED_VALUE"""),19716.0)</f>
        <v>19716</v>
      </c>
      <c r="C344" t="str">
        <f>IFERROR(__xludf.DUMMYFUNCTION("""COMPUTED_VALUE"""),"Pentel Refill Lead, 0.5mm, Fine, Red, 12 Pieces Per Tube, 3 Pack (PPR5BP3-K6)")</f>
        <v>Pentel Refill Lead, 0.5mm, Fine, Red, 12 Pieces Per Tube, 3 Pack (PPR5BP3-K6)</v>
      </c>
      <c r="D344" t="str">
        <f>IFERROR(__xludf.DUMMYFUNCTION("""COMPUTED_VALUE"""),"B004FLKP2S")</f>
        <v>B004FLKP2S</v>
      </c>
      <c r="E344" t="str">
        <f>IFERROR(__xludf.DUMMYFUNCTION("""COMPUTED_VALUE"""),"072512076316")</f>
        <v>072512076316</v>
      </c>
      <c r="F344">
        <f>IFERROR(__xludf.DUMMYFUNCTION("""COMPUTED_VALUE"""),432.0)</f>
        <v>432</v>
      </c>
      <c r="G344">
        <f>IFERROR(__xludf.DUMMYFUNCTION("""COMPUTED_VALUE"""),10000.0)</f>
        <v>10000</v>
      </c>
      <c r="H344" s="2">
        <f>IFERROR(__xludf.DUMMYFUNCTION("""COMPUTED_VALUE"""),2.75)</f>
        <v>2.75</v>
      </c>
      <c r="I344" s="2">
        <f>IFERROR(__xludf.DUMMYFUNCTION("""COMPUTED_VALUE"""),5.26)</f>
        <v>5.26</v>
      </c>
      <c r="J344" s="2">
        <f>IFERROR(__xludf.DUMMYFUNCTION("""COMPUTED_VALUE"""),2.51)</f>
        <v>2.51</v>
      </c>
      <c r="K344" s="5">
        <f>IFERROR(__xludf.DUMMYFUNCTION("""COMPUTED_VALUE"""),0.9127272727272726)</f>
        <v>0.9127272727</v>
      </c>
      <c r="L344">
        <f>IFERROR(__xludf.DUMMYFUNCTION("""COMPUTED_VALUE"""),86420.0)</f>
        <v>86420</v>
      </c>
      <c r="M344" t="str">
        <f>IFERROR(__xludf.DUMMYFUNCTION("""COMPUTED_VALUE"""),"Office Product")</f>
        <v>Office Product</v>
      </c>
      <c r="O344" t="str">
        <f>IFERROR(__xludf.DUMMYFUNCTION("""COMPUTED_VALUE"""),"Y")</f>
        <v>Y</v>
      </c>
      <c r="P344" s="1" t="str">
        <f>IFERROR(__xludf.DUMMYFUNCTION("""COMPUTED_VALUE"""),"ID 19716")</f>
        <v>ID 19716</v>
      </c>
      <c r="Q344" s="1" t="str">
        <f>IFERROR(__xludf.DUMMYFUNCTION("""COMPUTED_VALUE"""),"B004FLKP2S")</f>
        <v>B004FLKP2S</v>
      </c>
    </row>
    <row r="345">
      <c r="A345" s="6">
        <f>IFERROR(__xludf.DUMMYFUNCTION("""COMPUTED_VALUE"""),45232.0)</f>
        <v>45232</v>
      </c>
      <c r="B345">
        <f>IFERROR(__xludf.DUMMYFUNCTION("""COMPUTED_VALUE"""),25817.0)</f>
        <v>25817</v>
      </c>
      <c r="C345" t="str">
        <f>IFERROR(__xludf.DUMMYFUNCTION("""COMPUTED_VALUE"""),"BIC Gel-ocity Smooth Stick Gel Pens, Fine Point, 0.5mm, Assorted Ink (8 Pack)")</f>
        <v>BIC Gel-ocity Smooth Stick Gel Pens, Fine Point, 0.5mm, Assorted Ink (8 Pack)</v>
      </c>
      <c r="D345" t="str">
        <f>IFERROR(__xludf.DUMMYFUNCTION("""COMPUTED_VALUE"""),"B088Y3DD6N")</f>
        <v>B088Y3DD6N</v>
      </c>
      <c r="E345" t="str">
        <f>IFERROR(__xludf.DUMMYFUNCTION("""COMPUTED_VALUE"""),"070330364431")</f>
        <v>070330364431</v>
      </c>
      <c r="F345">
        <f>IFERROR(__xludf.DUMMYFUNCTION("""COMPUTED_VALUE"""),360.0)</f>
        <v>360</v>
      </c>
      <c r="G345">
        <f>IFERROR(__xludf.DUMMYFUNCTION("""COMPUTED_VALUE"""),10000.0)</f>
        <v>10000</v>
      </c>
      <c r="H345" s="2">
        <f>IFERROR(__xludf.DUMMYFUNCTION("""COMPUTED_VALUE"""),3.5)</f>
        <v>3.5</v>
      </c>
      <c r="I345" s="2">
        <f>IFERROR(__xludf.DUMMYFUNCTION("""COMPUTED_VALUE"""),6.0)</f>
        <v>6</v>
      </c>
      <c r="J345" s="2">
        <f>IFERROR(__xludf.DUMMYFUNCTION("""COMPUTED_VALUE"""),2.5)</f>
        <v>2.5</v>
      </c>
      <c r="K345" s="5">
        <f>IFERROR(__xludf.DUMMYFUNCTION("""COMPUTED_VALUE"""),0.7142857142857143)</f>
        <v>0.7142857143</v>
      </c>
      <c r="L345">
        <f>IFERROR(__xludf.DUMMYFUNCTION("""COMPUTED_VALUE"""),24088.0)</f>
        <v>24088</v>
      </c>
      <c r="M345" t="str">
        <f>IFERROR(__xludf.DUMMYFUNCTION("""COMPUTED_VALUE"""),"Office Product")</f>
        <v>Office Product</v>
      </c>
      <c r="O345" t="str">
        <f>IFERROR(__xludf.DUMMYFUNCTION("""COMPUTED_VALUE"""),"N")</f>
        <v>N</v>
      </c>
      <c r="P345" s="1" t="str">
        <f>IFERROR(__xludf.DUMMYFUNCTION("""COMPUTED_VALUE"""),"ID 25817")</f>
        <v>ID 25817</v>
      </c>
      <c r="Q345" s="1" t="str">
        <f>IFERROR(__xludf.DUMMYFUNCTION("""COMPUTED_VALUE"""),"B088Y3DD6N")</f>
        <v>B088Y3DD6N</v>
      </c>
    </row>
    <row r="346">
      <c r="A346" s="6">
        <f>IFERROR(__xludf.DUMMYFUNCTION("""COMPUTED_VALUE"""),45351.0)</f>
        <v>45351</v>
      </c>
      <c r="B346">
        <f>IFERROR(__xludf.DUMMYFUNCTION("""COMPUTED_VALUE"""),25954.0)</f>
        <v>25954</v>
      </c>
      <c r="C346" t="str">
        <f>IFERROR(__xludf.DUMMYFUNCTION("""COMPUTED_VALUE"""),"Cheerleading Award (Set of 30)")</f>
        <v>Cheerleading Award (Set of 30)</v>
      </c>
      <c r="D346" t="str">
        <f>IFERROR(__xludf.DUMMYFUNCTION("""COMPUTED_VALUE"""),"B000V9EO84")</f>
        <v>B000V9EO84</v>
      </c>
      <c r="E346" t="str">
        <f>IFERROR(__xludf.DUMMYFUNCTION("""COMPUTED_VALUE"""),"734675130365")</f>
        <v>734675130365</v>
      </c>
      <c r="F346">
        <f>IFERROR(__xludf.DUMMYFUNCTION("""COMPUTED_VALUE"""),450.0)</f>
        <v>450</v>
      </c>
      <c r="G346">
        <f>IFERROR(__xludf.DUMMYFUNCTION("""COMPUTED_VALUE"""),10000.0)</f>
        <v>10000</v>
      </c>
      <c r="H346" s="2">
        <f>IFERROR(__xludf.DUMMYFUNCTION("""COMPUTED_VALUE"""),4.25)</f>
        <v>4.25</v>
      </c>
      <c r="I346" s="2">
        <f>IFERROR(__xludf.DUMMYFUNCTION("""COMPUTED_VALUE"""),6.75)</f>
        <v>6.75</v>
      </c>
      <c r="J346" s="2">
        <f>IFERROR(__xludf.DUMMYFUNCTION("""COMPUTED_VALUE"""),2.5)</f>
        <v>2.5</v>
      </c>
      <c r="K346" s="5">
        <f>IFERROR(__xludf.DUMMYFUNCTION("""COMPUTED_VALUE"""),0.5882352941176471)</f>
        <v>0.5882352941</v>
      </c>
      <c r="L346">
        <f>IFERROR(__xludf.DUMMYFUNCTION("""COMPUTED_VALUE"""),58952.0)</f>
        <v>58952</v>
      </c>
      <c r="M346" t="str">
        <f>IFERROR(__xludf.DUMMYFUNCTION("""COMPUTED_VALUE"""),"Office Product")</f>
        <v>Office Product</v>
      </c>
      <c r="O346" t="str">
        <f>IFERROR(__xludf.DUMMYFUNCTION("""COMPUTED_VALUE"""),"N")</f>
        <v>N</v>
      </c>
      <c r="P346" s="1" t="str">
        <f>IFERROR(__xludf.DUMMYFUNCTION("""COMPUTED_VALUE"""),"ID 25954")</f>
        <v>ID 25954</v>
      </c>
      <c r="Q346" s="1" t="str">
        <f>IFERROR(__xludf.DUMMYFUNCTION("""COMPUTED_VALUE"""),"B000V9EO84")</f>
        <v>B000V9EO84</v>
      </c>
    </row>
    <row r="347">
      <c r="A347" s="6">
        <f>IFERROR(__xludf.DUMMYFUNCTION("""COMPUTED_VALUE"""),45362.0)</f>
        <v>45362</v>
      </c>
      <c r="B347">
        <f>IFERROR(__xludf.DUMMYFUNCTION("""COMPUTED_VALUE"""),19720.0)</f>
        <v>19720</v>
      </c>
      <c r="C347" t="str">
        <f>IFERROR(__xludf.DUMMYFUNCTION("""COMPUTED_VALUE"""),"EnerGel Kuro Liquid Gel Retractable Pens")</f>
        <v>EnerGel Kuro Liquid Gel Retractable Pens</v>
      </c>
      <c r="D347" t="str">
        <f>IFERROR(__xludf.DUMMYFUNCTION("""COMPUTED_VALUE"""),"B08X6SJGQH")</f>
        <v>B08X6SJGQH</v>
      </c>
      <c r="E347" t="str">
        <f>IFERROR(__xludf.DUMMYFUNCTION("""COMPUTED_VALUE"""),"072512282311")</f>
        <v>072512282311</v>
      </c>
      <c r="F347">
        <f>IFERROR(__xludf.DUMMYFUNCTION("""COMPUTED_VALUE"""),120.0)</f>
        <v>120</v>
      </c>
      <c r="G347">
        <f>IFERROR(__xludf.DUMMYFUNCTION("""COMPUTED_VALUE"""),10000.0)</f>
        <v>10000</v>
      </c>
      <c r="H347" s="2">
        <f>IFERROR(__xludf.DUMMYFUNCTION("""COMPUTED_VALUE"""),11.25)</f>
        <v>11.25</v>
      </c>
      <c r="I347" s="2">
        <f>IFERROR(__xludf.DUMMYFUNCTION("""COMPUTED_VALUE"""),13.74)</f>
        <v>13.74</v>
      </c>
      <c r="J347" s="2">
        <f>IFERROR(__xludf.DUMMYFUNCTION("""COMPUTED_VALUE"""),2.49)</f>
        <v>2.49</v>
      </c>
      <c r="K347" s="5">
        <f>IFERROR(__xludf.DUMMYFUNCTION("""COMPUTED_VALUE"""),0.22133333333333335)</f>
        <v>0.2213333333</v>
      </c>
      <c r="L347">
        <f>IFERROR(__xludf.DUMMYFUNCTION("""COMPUTED_VALUE"""),49592.0)</f>
        <v>49592</v>
      </c>
      <c r="M347" t="str">
        <f>IFERROR(__xludf.DUMMYFUNCTION("""COMPUTED_VALUE"""),"Office Product")</f>
        <v>Office Product</v>
      </c>
      <c r="O347" t="str">
        <f>IFERROR(__xludf.DUMMYFUNCTION("""COMPUTED_VALUE"""),"Y")</f>
        <v>Y</v>
      </c>
      <c r="P347" s="1" t="str">
        <f>IFERROR(__xludf.DUMMYFUNCTION("""COMPUTED_VALUE"""),"ID 19720")</f>
        <v>ID 19720</v>
      </c>
      <c r="Q347" s="1" t="str">
        <f>IFERROR(__xludf.DUMMYFUNCTION("""COMPUTED_VALUE"""),"B08X6SJGQH")</f>
        <v>B08X6SJGQH</v>
      </c>
    </row>
    <row r="348">
      <c r="A348" s="6">
        <f>IFERROR(__xludf.DUMMYFUNCTION("""COMPUTED_VALUE"""),44469.0)</f>
        <v>44469</v>
      </c>
      <c r="B348">
        <f>IFERROR(__xludf.DUMMYFUNCTION("""COMPUTED_VALUE"""),18113.0)</f>
        <v>18113</v>
      </c>
      <c r="C348" t="str">
        <f>IFERROR(__xludf.DUMMYFUNCTION("""COMPUTED_VALUE"""),"8 To Glory Xbox One - Xbox One")</f>
        <v>8 To Glory Xbox One - Xbox One</v>
      </c>
      <c r="D348" t="str">
        <f>IFERROR(__xludf.DUMMYFUNCTION("""COMPUTED_VALUE"""),"B07HBBKF6N")</f>
        <v>B07HBBKF6N</v>
      </c>
      <c r="E348" t="str">
        <f>IFERROR(__xludf.DUMMYFUNCTION("""COMPUTED_VALUE"""),"811994021779")</f>
        <v>811994021779</v>
      </c>
      <c r="F348">
        <f>IFERROR(__xludf.DUMMYFUNCTION("""COMPUTED_VALUE"""),200.0)</f>
        <v>200</v>
      </c>
      <c r="G348">
        <f>IFERROR(__xludf.DUMMYFUNCTION("""COMPUTED_VALUE"""),3867.0)</f>
        <v>3867</v>
      </c>
      <c r="H348" s="2">
        <f>IFERROR(__xludf.DUMMYFUNCTION("""COMPUTED_VALUE"""),6.0)</f>
        <v>6</v>
      </c>
      <c r="I348" s="2">
        <f>IFERROR(__xludf.DUMMYFUNCTION("""COMPUTED_VALUE"""),8.48)</f>
        <v>8.48</v>
      </c>
      <c r="J348" s="2">
        <f>IFERROR(__xludf.DUMMYFUNCTION("""COMPUTED_VALUE"""),2.4800000000000004)</f>
        <v>2.48</v>
      </c>
      <c r="K348" s="5">
        <f>IFERROR(__xludf.DUMMYFUNCTION("""COMPUTED_VALUE"""),0.4133333333333334)</f>
        <v>0.4133333333</v>
      </c>
      <c r="L348">
        <f>IFERROR(__xludf.DUMMYFUNCTION("""COMPUTED_VALUE"""),36653.0)</f>
        <v>36653</v>
      </c>
      <c r="M348" t="str">
        <f>IFERROR(__xludf.DUMMYFUNCTION("""COMPUTED_VALUE"""),"Video Games")</f>
        <v>Video Games</v>
      </c>
      <c r="O348" t="str">
        <f>IFERROR(__xludf.DUMMYFUNCTION("""COMPUTED_VALUE"""),"N")</f>
        <v>N</v>
      </c>
      <c r="P348" s="1" t="str">
        <f>IFERROR(__xludf.DUMMYFUNCTION("""COMPUTED_VALUE"""),"ID 18113")</f>
        <v>ID 18113</v>
      </c>
      <c r="Q348" s="1" t="str">
        <f>IFERROR(__xludf.DUMMYFUNCTION("""COMPUTED_VALUE"""),"B07HBBKF6N")</f>
        <v>B07HBBKF6N</v>
      </c>
    </row>
    <row r="349">
      <c r="A349" s="6">
        <f>IFERROR(__xludf.DUMMYFUNCTION("""COMPUTED_VALUE"""),44503.0)</f>
        <v>44503</v>
      </c>
      <c r="B349">
        <f>IFERROR(__xludf.DUMMYFUNCTION("""COMPUTED_VALUE"""),19335.0)</f>
        <v>19335</v>
      </c>
      <c r="C349" t="str">
        <f>IFERROR(__xludf.DUMMYFUNCTION("""COMPUTED_VALUE"""),"X-Acto Multi-Material Scissors with Heavy Duty 3MM Stainless Steel Blades (X3038)")</f>
        <v>X-Acto Multi-Material Scissors with Heavy Duty 3MM Stainless Steel Blades (X3038)</v>
      </c>
      <c r="D349" t="str">
        <f>IFERROR(__xludf.DUMMYFUNCTION("""COMPUTED_VALUE"""),"B00BMQGGXG")</f>
        <v>B00BMQGGXG</v>
      </c>
      <c r="E349" t="str">
        <f>IFERROR(__xludf.DUMMYFUNCTION("""COMPUTED_VALUE"""),"79946030389")</f>
        <v>79946030389</v>
      </c>
      <c r="F349">
        <f>IFERROR(__xludf.DUMMYFUNCTION("""COMPUTED_VALUE"""),432.0)</f>
        <v>432</v>
      </c>
      <c r="G349">
        <f>IFERROR(__xludf.DUMMYFUNCTION("""COMPUTED_VALUE"""),1138.0)</f>
        <v>1138</v>
      </c>
      <c r="H349" s="2">
        <f>IFERROR(__xludf.DUMMYFUNCTION("""COMPUTED_VALUE"""),2.25)</f>
        <v>2.25</v>
      </c>
      <c r="I349" s="2">
        <f>IFERROR(__xludf.DUMMYFUNCTION("""COMPUTED_VALUE"""),4.73)</f>
        <v>4.73</v>
      </c>
      <c r="J349" s="2">
        <f>IFERROR(__xludf.DUMMYFUNCTION("""COMPUTED_VALUE"""),2.4800000000000004)</f>
        <v>2.48</v>
      </c>
      <c r="K349" s="5">
        <f>IFERROR(__xludf.DUMMYFUNCTION("""COMPUTED_VALUE"""),1.1022222222222224)</f>
        <v>1.102222222</v>
      </c>
      <c r="L349">
        <f>IFERROR(__xludf.DUMMYFUNCTION("""COMPUTED_VALUE"""),93167.0)</f>
        <v>93167</v>
      </c>
      <c r="M349" t="str">
        <f>IFERROR(__xludf.DUMMYFUNCTION("""COMPUTED_VALUE"""),"Office Product")</f>
        <v>Office Product</v>
      </c>
      <c r="O349" t="str">
        <f>IFERROR(__xludf.DUMMYFUNCTION("""COMPUTED_VALUE"""),"N")</f>
        <v>N</v>
      </c>
      <c r="P349" s="1" t="str">
        <f>IFERROR(__xludf.DUMMYFUNCTION("""COMPUTED_VALUE"""),"ID 19335")</f>
        <v>ID 19335</v>
      </c>
      <c r="Q349" s="1" t="str">
        <f>IFERROR(__xludf.DUMMYFUNCTION("""COMPUTED_VALUE"""),"B00BMQGGXG")</f>
        <v>B00BMQGGXG</v>
      </c>
    </row>
    <row r="350">
      <c r="A350" s="6">
        <f>IFERROR(__xludf.DUMMYFUNCTION("""COMPUTED_VALUE"""),45429.0)</f>
        <v>45429</v>
      </c>
      <c r="B350">
        <f>IFERROR(__xludf.DUMMYFUNCTION("""COMPUTED_VALUE"""),20538.0)</f>
        <v>20538</v>
      </c>
      <c r="C350" t="str">
        <f>IFERROR(__xludf.DUMMYFUNCTION("""COMPUTED_VALUE"""),"Yves Saint Laurent Opium Eau De Parfum Spray (New Packaging) - 90ml/3oz")</f>
        <v>Yves Saint Laurent Opium Eau De Parfum Spray (New Packaging) - 90ml/3oz</v>
      </c>
      <c r="D350" t="str">
        <f>IFERROR(__xludf.DUMMYFUNCTION("""COMPUTED_VALUE"""),"B004XWJ3G8")</f>
        <v>B004XWJ3G8</v>
      </c>
      <c r="E350" t="str">
        <f>IFERROR(__xludf.DUMMYFUNCTION("""COMPUTED_VALUE"""),"3365440556263")</f>
        <v>3365440556263</v>
      </c>
      <c r="F350">
        <f>IFERROR(__xludf.DUMMYFUNCTION("""COMPUTED_VALUE"""),20.0)</f>
        <v>20</v>
      </c>
      <c r="G350">
        <f>IFERROR(__xludf.DUMMYFUNCTION("""COMPUTED_VALUE"""),10000.0)</f>
        <v>10000</v>
      </c>
      <c r="H350" s="2">
        <f>IFERROR(__xludf.DUMMYFUNCTION("""COMPUTED_VALUE"""),92.0)</f>
        <v>92</v>
      </c>
      <c r="I350" s="2">
        <f>IFERROR(__xludf.DUMMYFUNCTION("""COMPUTED_VALUE"""),94.48)</f>
        <v>94.48</v>
      </c>
      <c r="J350" s="2">
        <f>IFERROR(__xludf.DUMMYFUNCTION("""COMPUTED_VALUE"""),2.480000000000004)</f>
        <v>2.48</v>
      </c>
      <c r="K350" s="5">
        <f>IFERROR(__xludf.DUMMYFUNCTION("""COMPUTED_VALUE"""),0.02695652173913048)</f>
        <v>0.02695652174</v>
      </c>
      <c r="L350">
        <f>IFERROR(__xludf.DUMMYFUNCTION("""COMPUTED_VALUE"""),34645.0)</f>
        <v>34645</v>
      </c>
      <c r="M350" t="str">
        <f>IFERROR(__xludf.DUMMYFUNCTION("""COMPUTED_VALUE"""),"Beauty")</f>
        <v>Beauty</v>
      </c>
      <c r="O350" t="str">
        <f>IFERROR(__xludf.DUMMYFUNCTION("""COMPUTED_VALUE"""),"N")</f>
        <v>N</v>
      </c>
      <c r="P350" s="1" t="str">
        <f>IFERROR(__xludf.DUMMYFUNCTION("""COMPUTED_VALUE"""),"ID 20538")</f>
        <v>ID 20538</v>
      </c>
      <c r="Q350" s="1" t="str">
        <f>IFERROR(__xludf.DUMMYFUNCTION("""COMPUTED_VALUE"""),"B004XWJ3G8")</f>
        <v>B004XWJ3G8</v>
      </c>
    </row>
    <row r="351">
      <c r="A351" s="6">
        <f>IFERROR(__xludf.DUMMYFUNCTION("""COMPUTED_VALUE"""),45429.0)</f>
        <v>45429</v>
      </c>
      <c r="B351">
        <f>IFERROR(__xludf.DUMMYFUNCTION("""COMPUTED_VALUE"""),22056.0)</f>
        <v>22056</v>
      </c>
      <c r="C351" t="str">
        <f>IFERROR(__xludf.DUMMYFUNCTION("""COMPUTED_VALUE"""),"Almay Best Blend Forever Foundation, Natural Tan, 1 fl. oz, SPF 40 Broad Spectrum")</f>
        <v>Almay Best Blend Forever Foundation, Natural Tan, 1 fl. oz, SPF 40 Broad Spectrum</v>
      </c>
      <c r="D351" t="str">
        <f>IFERROR(__xludf.DUMMYFUNCTION("""COMPUTED_VALUE"""),"B075KGJ1YY")</f>
        <v>B075KGJ1YY</v>
      </c>
      <c r="E351" t="str">
        <f>IFERROR(__xludf.DUMMYFUNCTION("""COMPUTED_VALUE"""),"309974747097")</f>
        <v>309974747097</v>
      </c>
      <c r="F351">
        <f>IFERROR(__xludf.DUMMYFUNCTION("""COMPUTED_VALUE"""),400.0)</f>
        <v>400</v>
      </c>
      <c r="G351">
        <f>IFERROR(__xludf.DUMMYFUNCTION("""COMPUTED_VALUE"""),941.0)</f>
        <v>941</v>
      </c>
      <c r="H351" s="2">
        <f>IFERROR(__xludf.DUMMYFUNCTION("""COMPUTED_VALUE"""),3.0)</f>
        <v>3</v>
      </c>
      <c r="I351" s="2">
        <f>IFERROR(__xludf.DUMMYFUNCTION("""COMPUTED_VALUE"""),5.47)</f>
        <v>5.47</v>
      </c>
      <c r="J351" s="2">
        <f>IFERROR(__xludf.DUMMYFUNCTION("""COMPUTED_VALUE"""),2.4699999999999998)</f>
        <v>2.47</v>
      </c>
      <c r="K351" s="5">
        <f>IFERROR(__xludf.DUMMYFUNCTION("""COMPUTED_VALUE"""),0.8233333333333333)</f>
        <v>0.8233333333</v>
      </c>
      <c r="L351">
        <f>IFERROR(__xludf.DUMMYFUNCTION("""COMPUTED_VALUE"""),52248.0)</f>
        <v>52248</v>
      </c>
      <c r="M351" t="str">
        <f>IFERROR(__xludf.DUMMYFUNCTION("""COMPUTED_VALUE"""),"Beauty")</f>
        <v>Beauty</v>
      </c>
      <c r="O351" t="str">
        <f>IFERROR(__xludf.DUMMYFUNCTION("""COMPUTED_VALUE"""),"Y")</f>
        <v>Y</v>
      </c>
      <c r="P351" s="1" t="str">
        <f>IFERROR(__xludf.DUMMYFUNCTION("""COMPUTED_VALUE"""),"ID 22056")</f>
        <v>ID 22056</v>
      </c>
      <c r="Q351" s="1" t="str">
        <f>IFERROR(__xludf.DUMMYFUNCTION("""COMPUTED_VALUE"""),"B075KGJ1YY")</f>
        <v>B075KGJ1YY</v>
      </c>
    </row>
    <row r="352">
      <c r="A352" s="6">
        <f>IFERROR(__xludf.DUMMYFUNCTION("""COMPUTED_VALUE"""),44601.0)</f>
        <v>44601</v>
      </c>
      <c r="B352">
        <f>IFERROR(__xludf.DUMMYFUNCTION("""COMPUTED_VALUE"""),23479.0)</f>
        <v>23479</v>
      </c>
      <c r="C352" t="str">
        <f>IFERROR(__xludf.DUMMYFUNCTION("""COMPUTED_VALUE"""),"Scotch Heavy Duty Packaging Tape, 1.88"" x 19.4 yd, Designed for Packing, Shipping and Mailing, Strong Seal on All Box Types, 1.5"" Core, Clear, 1 Roll with Dispenser (142-700-H)")</f>
        <v>Scotch Heavy Duty Packaging Tape, 1.88" x 19.4 yd, Designed for Packing, Shipping and Mailing, Strong Seal on All Box Types, 1.5" Core, Clear, 1 Roll with Dispenser (142-700-H)</v>
      </c>
      <c r="D352" t="str">
        <f>IFERROR(__xludf.DUMMYFUNCTION("""COMPUTED_VALUE"""),"B003FYLW9Q")</f>
        <v>B003FYLW9Q</v>
      </c>
      <c r="E352" t="str">
        <f>IFERROR(__xludf.DUMMYFUNCTION("""COMPUTED_VALUE"""),"51131670006")</f>
        <v>51131670006</v>
      </c>
      <c r="F352">
        <f>IFERROR(__xludf.DUMMYFUNCTION("""COMPUTED_VALUE"""),1368.0)</f>
        <v>1368</v>
      </c>
      <c r="G352">
        <f>IFERROR(__xludf.DUMMYFUNCTION("""COMPUTED_VALUE"""),2000.0)</f>
        <v>2000</v>
      </c>
      <c r="H352" s="2">
        <f>IFERROR(__xludf.DUMMYFUNCTION("""COMPUTED_VALUE"""),2.25)</f>
        <v>2.25</v>
      </c>
      <c r="I352" s="2">
        <f>IFERROR(__xludf.DUMMYFUNCTION("""COMPUTED_VALUE"""),4.72)</f>
        <v>4.72</v>
      </c>
      <c r="J352" s="2">
        <f>IFERROR(__xludf.DUMMYFUNCTION("""COMPUTED_VALUE"""),2.4699999999999998)</f>
        <v>2.47</v>
      </c>
      <c r="K352" s="5">
        <f>IFERROR(__xludf.DUMMYFUNCTION("""COMPUTED_VALUE"""),1.0977777777777777)</f>
        <v>1.097777778</v>
      </c>
      <c r="L352">
        <f>IFERROR(__xludf.DUMMYFUNCTION("""COMPUTED_VALUE"""),85486.0)</f>
        <v>85486</v>
      </c>
      <c r="M352" t="str">
        <f>IFERROR(__xludf.DUMMYFUNCTION("""COMPUTED_VALUE"""),"Office Product")</f>
        <v>Office Product</v>
      </c>
      <c r="N352" t="str">
        <f>IFERROR(__xludf.DUMMYFUNCTION("""COMPUTED_VALUE"""),"May need prep to sell individually")</f>
        <v>May need prep to sell individually</v>
      </c>
      <c r="O352" t="str">
        <f>IFERROR(__xludf.DUMMYFUNCTION("""COMPUTED_VALUE"""),"N")</f>
        <v>N</v>
      </c>
      <c r="P352" s="1" t="str">
        <f>IFERROR(__xludf.DUMMYFUNCTION("""COMPUTED_VALUE"""),"ID 23479")</f>
        <v>ID 23479</v>
      </c>
      <c r="Q352" s="1" t="str">
        <f>IFERROR(__xludf.DUMMYFUNCTION("""COMPUTED_VALUE"""),"B003FYLW9Q")</f>
        <v>B003FYLW9Q</v>
      </c>
    </row>
    <row r="353">
      <c r="A353" s="6">
        <f>IFERROR(__xludf.DUMMYFUNCTION("""COMPUTED_VALUE"""),45429.0)</f>
        <v>45429</v>
      </c>
      <c r="B353">
        <f>IFERROR(__xludf.DUMMYFUNCTION("""COMPUTED_VALUE"""),14762.0)</f>
        <v>14762</v>
      </c>
      <c r="C353" t="str">
        <f>IFERROR(__xludf.DUMMYFUNCTION("""COMPUTED_VALUE"""),"Chef Craft 26790 Classic Sturdy Whisk, Mini, Chrome")</f>
        <v>Chef Craft 26790 Classic Sturdy Whisk, Mini, Chrome</v>
      </c>
      <c r="D353" t="str">
        <f>IFERROR(__xludf.DUMMYFUNCTION("""COMPUTED_VALUE"""),"B01K7MVE0A")</f>
        <v>B01K7MVE0A</v>
      </c>
      <c r="E353" t="str">
        <f>IFERROR(__xludf.DUMMYFUNCTION("""COMPUTED_VALUE"""),"085455267901")</f>
        <v>085455267901</v>
      </c>
      <c r="F353">
        <f>IFERROR(__xludf.DUMMYFUNCTION("""COMPUTED_VALUE"""),576.0)</f>
        <v>576</v>
      </c>
      <c r="G353">
        <f>IFERROR(__xludf.DUMMYFUNCTION("""COMPUTED_VALUE"""),3200.0)</f>
        <v>3200</v>
      </c>
      <c r="H353" s="2">
        <f>IFERROR(__xludf.DUMMYFUNCTION("""COMPUTED_VALUE"""),1.5)</f>
        <v>1.5</v>
      </c>
      <c r="I353" s="2">
        <f>IFERROR(__xludf.DUMMYFUNCTION("""COMPUTED_VALUE"""),3.94)</f>
        <v>3.94</v>
      </c>
      <c r="J353" s="2">
        <f>IFERROR(__xludf.DUMMYFUNCTION("""COMPUTED_VALUE"""),2.44)</f>
        <v>2.44</v>
      </c>
      <c r="K353" s="5">
        <f>IFERROR(__xludf.DUMMYFUNCTION("""COMPUTED_VALUE"""),1.6266666666666667)</f>
        <v>1.626666667</v>
      </c>
      <c r="L353">
        <f>IFERROR(__xludf.DUMMYFUNCTION("""COMPUTED_VALUE"""),32432.0)</f>
        <v>32432</v>
      </c>
      <c r="M353" t="str">
        <f>IFERROR(__xludf.DUMMYFUNCTION("""COMPUTED_VALUE"""),"Kitchen")</f>
        <v>Kitchen</v>
      </c>
      <c r="O353" t="str">
        <f>IFERROR(__xludf.DUMMYFUNCTION("""COMPUTED_VALUE"""),"Y")</f>
        <v>Y</v>
      </c>
      <c r="P353" s="1" t="str">
        <f>IFERROR(__xludf.DUMMYFUNCTION("""COMPUTED_VALUE"""),"ID 14762")</f>
        <v>ID 14762</v>
      </c>
      <c r="Q353" s="1" t="str">
        <f>IFERROR(__xludf.DUMMYFUNCTION("""COMPUTED_VALUE"""),"B01K7MVE0A")</f>
        <v>B01K7MVE0A</v>
      </c>
    </row>
    <row r="354">
      <c r="A354" s="6">
        <f>IFERROR(__xludf.DUMMYFUNCTION("""COMPUTED_VALUE"""),45182.0)</f>
        <v>45182</v>
      </c>
      <c r="B354">
        <f>IFERROR(__xludf.DUMMYFUNCTION("""COMPUTED_VALUE"""),11158.0)</f>
        <v>11158</v>
      </c>
      <c r="C354" t="str">
        <f>IFERROR(__xludf.DUMMYFUNCTION("""COMPUTED_VALUE"""),"VERSACE Eros Eau De Parfum Spray for Women, 3.4 Ounce")</f>
        <v>VERSACE Eros Eau De Parfum Spray for Women, 3.4 Ounce</v>
      </c>
      <c r="D354" t="str">
        <f>IFERROR(__xludf.DUMMYFUNCTION("""COMPUTED_VALUE"""),"B01457B8HW")</f>
        <v>B01457B8HW</v>
      </c>
      <c r="E354" t="str">
        <f>IFERROR(__xludf.DUMMYFUNCTION("""COMPUTED_VALUE"""),"8011003823581")</f>
        <v>8011003823581</v>
      </c>
      <c r="F354">
        <f>IFERROR(__xludf.DUMMYFUNCTION("""COMPUTED_VALUE"""),30.0)</f>
        <v>30</v>
      </c>
      <c r="G354">
        <f>IFERROR(__xludf.DUMMYFUNCTION("""COMPUTED_VALUE"""),10000.0)</f>
        <v>10000</v>
      </c>
      <c r="H354" s="2">
        <f>IFERROR(__xludf.DUMMYFUNCTION("""COMPUTED_VALUE"""),46.5)</f>
        <v>46.5</v>
      </c>
      <c r="I354" s="2">
        <f>IFERROR(__xludf.DUMMYFUNCTION("""COMPUTED_VALUE"""),48.94)</f>
        <v>48.94</v>
      </c>
      <c r="J354" s="2">
        <f>IFERROR(__xludf.DUMMYFUNCTION("""COMPUTED_VALUE"""),2.4399999999999977)</f>
        <v>2.44</v>
      </c>
      <c r="K354" s="5">
        <f>IFERROR(__xludf.DUMMYFUNCTION("""COMPUTED_VALUE"""),0.052473118279569846)</f>
        <v>0.05247311828</v>
      </c>
      <c r="L354">
        <f>IFERROR(__xludf.DUMMYFUNCTION("""COMPUTED_VALUE"""),44959.0)</f>
        <v>44959</v>
      </c>
      <c r="M354" t="str">
        <f>IFERROR(__xludf.DUMMYFUNCTION("""COMPUTED_VALUE"""),"Beauty")</f>
        <v>Beauty</v>
      </c>
      <c r="O354" t="str">
        <f>IFERROR(__xludf.DUMMYFUNCTION("""COMPUTED_VALUE"""),"N")</f>
        <v>N</v>
      </c>
      <c r="P354" s="1" t="str">
        <f>IFERROR(__xludf.DUMMYFUNCTION("""COMPUTED_VALUE"""),"ID 11158")</f>
        <v>ID 11158</v>
      </c>
      <c r="Q354" s="1" t="str">
        <f>IFERROR(__xludf.DUMMYFUNCTION("""COMPUTED_VALUE"""),"B01457B8HW")</f>
        <v>B01457B8HW</v>
      </c>
    </row>
    <row r="355">
      <c r="A355" s="6">
        <f>IFERROR(__xludf.DUMMYFUNCTION("""COMPUTED_VALUE"""),44941.0)</f>
        <v>44941</v>
      </c>
      <c r="B355">
        <f>IFERROR(__xludf.DUMMYFUNCTION("""COMPUTED_VALUE"""),15438.0)</f>
        <v>15438</v>
      </c>
      <c r="C355" t="str">
        <f>IFERROR(__xludf.DUMMYFUNCTION("""COMPUTED_VALUE"""),"ELMERS Repositionable Mounting Spray Adhesive, 10 Oz, Clear (E454)")</f>
        <v>ELMERS Repositionable Mounting Spray Adhesive, 10 Oz, Clear (E454)</v>
      </c>
      <c r="D355" t="str">
        <f>IFERROR(__xludf.DUMMYFUNCTION("""COMPUTED_VALUE"""),"B000BKRLMO")</f>
        <v>B000BKRLMO</v>
      </c>
      <c r="E355" t="str">
        <f>IFERROR(__xludf.DUMMYFUNCTION("""COMPUTED_VALUE"""),"26000004541")</f>
        <v>26000004541</v>
      </c>
      <c r="F355">
        <f>IFERROR(__xludf.DUMMYFUNCTION("""COMPUTED_VALUE"""),384.0)</f>
        <v>384</v>
      </c>
      <c r="G355">
        <f>IFERROR(__xludf.DUMMYFUNCTION("""COMPUTED_VALUE"""),5345.0)</f>
        <v>5345</v>
      </c>
      <c r="H355" s="2">
        <f>IFERROR(__xludf.DUMMYFUNCTION("""COMPUTED_VALUE"""),7.75)</f>
        <v>7.75</v>
      </c>
      <c r="I355" s="2">
        <f>IFERROR(__xludf.DUMMYFUNCTION("""COMPUTED_VALUE"""),10.18)</f>
        <v>10.18</v>
      </c>
      <c r="J355" s="2">
        <f>IFERROR(__xludf.DUMMYFUNCTION("""COMPUTED_VALUE"""),2.4299999999999997)</f>
        <v>2.43</v>
      </c>
      <c r="K355" s="5">
        <f>IFERROR(__xludf.DUMMYFUNCTION("""COMPUTED_VALUE"""),0.3135483870967742)</f>
        <v>0.3135483871</v>
      </c>
      <c r="L355">
        <f>IFERROR(__xludf.DUMMYFUNCTION("""COMPUTED_VALUE"""),8712.0)</f>
        <v>8712</v>
      </c>
      <c r="M355" t="str">
        <f>IFERROR(__xludf.DUMMYFUNCTION("""COMPUTED_VALUE"""),"Office Product")</f>
        <v>Office Product</v>
      </c>
      <c r="O355" t="str">
        <f>IFERROR(__xludf.DUMMYFUNCTION("""COMPUTED_VALUE"""),"N")</f>
        <v>N</v>
      </c>
      <c r="P355" s="1" t="str">
        <f>IFERROR(__xludf.DUMMYFUNCTION("""COMPUTED_VALUE"""),"ID 15438")</f>
        <v>ID 15438</v>
      </c>
      <c r="Q355" s="1" t="str">
        <f>IFERROR(__xludf.DUMMYFUNCTION("""COMPUTED_VALUE"""),"B000BKRLMO")</f>
        <v>B000BKRLMO</v>
      </c>
    </row>
    <row r="356">
      <c r="A356" s="6">
        <f>IFERROR(__xludf.DUMMYFUNCTION("""COMPUTED_VALUE"""),44082.0)</f>
        <v>44082</v>
      </c>
      <c r="B356">
        <f>IFERROR(__xludf.DUMMYFUNCTION("""COMPUTED_VALUE"""),16374.0)</f>
        <v>16374</v>
      </c>
      <c r="C356" t="str">
        <f>IFERROR(__xludf.DUMMYFUNCTION("""COMPUTED_VALUE"""),"Revlon Colorsilk Beautiful Color, Permanent Hair Dye with Keratin, 100% Gray Coverage, Ammonia Free, 75 Warm Golden Blonde")</f>
        <v>Revlon Colorsilk Beautiful Color, Permanent Hair Dye with Keratin, 100% Gray Coverage, Ammonia Free, 75 Warm Golden Blonde</v>
      </c>
      <c r="D356" t="str">
        <f>IFERROR(__xludf.DUMMYFUNCTION("""COMPUTED_VALUE"""),"B004JK7MP8")</f>
        <v>B004JK7MP8</v>
      </c>
      <c r="E356" t="str">
        <f>IFERROR(__xludf.DUMMYFUNCTION("""COMPUTED_VALUE"""),"309978456759")</f>
        <v>309978456759</v>
      </c>
      <c r="F356">
        <f>IFERROR(__xludf.DUMMYFUNCTION("""COMPUTED_VALUE"""),600.0)</f>
        <v>600</v>
      </c>
      <c r="G356">
        <f>IFERROR(__xludf.DUMMYFUNCTION("""COMPUTED_VALUE"""),1000.0)</f>
        <v>1000</v>
      </c>
      <c r="H356" s="2">
        <f>IFERROR(__xludf.DUMMYFUNCTION("""COMPUTED_VALUE"""),2.0)</f>
        <v>2</v>
      </c>
      <c r="I356" s="2">
        <f>IFERROR(__xludf.DUMMYFUNCTION("""COMPUTED_VALUE"""),4.43)</f>
        <v>4.43</v>
      </c>
      <c r="J356" s="2">
        <f>IFERROR(__xludf.DUMMYFUNCTION("""COMPUTED_VALUE"""),2.4299999999999997)</f>
        <v>2.43</v>
      </c>
      <c r="K356" s="5">
        <f>IFERROR(__xludf.DUMMYFUNCTION("""COMPUTED_VALUE"""),1.2149999999999999)</f>
        <v>1.215</v>
      </c>
      <c r="L356">
        <f>IFERROR(__xludf.DUMMYFUNCTION("""COMPUTED_VALUE"""),227.0)</f>
        <v>227</v>
      </c>
      <c r="M356" t="str">
        <f>IFERROR(__xludf.DUMMYFUNCTION("""COMPUTED_VALUE"""),"Beauty")</f>
        <v>Beauty</v>
      </c>
      <c r="O356" t="str">
        <f>IFERROR(__xludf.DUMMYFUNCTION("""COMPUTED_VALUE"""),"N")</f>
        <v>N</v>
      </c>
      <c r="P356" s="1" t="str">
        <f>IFERROR(__xludf.DUMMYFUNCTION("""COMPUTED_VALUE"""),"ID 16374")</f>
        <v>ID 16374</v>
      </c>
      <c r="Q356" s="1" t="str">
        <f>IFERROR(__xludf.DUMMYFUNCTION("""COMPUTED_VALUE"""),"B004JK7MP8")</f>
        <v>B004JK7MP8</v>
      </c>
    </row>
    <row r="357">
      <c r="A357" s="6">
        <f>IFERROR(__xludf.DUMMYFUNCTION("""COMPUTED_VALUE"""),44587.0)</f>
        <v>44587</v>
      </c>
      <c r="B357">
        <f>IFERROR(__xludf.DUMMYFUNCTION("""COMPUTED_VALUE"""),24888.0)</f>
        <v>24888</v>
      </c>
      <c r="C357" t="str">
        <f>IFERROR(__xludf.DUMMYFUNCTION("""COMPUTED_VALUE"""),"Insect Shield Insect Repellant Premium T-Shirt for Protecting Dogs from Fleas, Ticks, Mosquitoes, Orange, X-Large (IE9414 24 69)")</f>
        <v>Insect Shield Insect Repellant Premium T-Shirt for Protecting Dogs from Fleas, Ticks, Mosquitoes, Orange, X-Large (IE9414 24 69)</v>
      </c>
      <c r="D357" t="str">
        <f>IFERROR(__xludf.DUMMYFUNCTION("""COMPUTED_VALUE"""),"B00T3ZZQZM")</f>
        <v>B00T3ZZQZM</v>
      </c>
      <c r="E357" t="str">
        <f>IFERROR(__xludf.DUMMYFUNCTION("""COMPUTED_VALUE"""),"721343941682")</f>
        <v>721343941682</v>
      </c>
      <c r="F357">
        <f>IFERROR(__xludf.DUMMYFUNCTION("""COMPUTED_VALUE"""),1296.0)</f>
        <v>1296</v>
      </c>
      <c r="G357">
        <f>IFERROR(__xludf.DUMMYFUNCTION("""COMPUTED_VALUE"""),2928.0)</f>
        <v>2928</v>
      </c>
      <c r="H357" s="2">
        <f>IFERROR(__xludf.DUMMYFUNCTION("""COMPUTED_VALUE"""),2.5)</f>
        <v>2.5</v>
      </c>
      <c r="I357" s="2">
        <f>IFERROR(__xludf.DUMMYFUNCTION("""COMPUTED_VALUE"""),4.91)</f>
        <v>4.91</v>
      </c>
      <c r="J357" s="2">
        <f>IFERROR(__xludf.DUMMYFUNCTION("""COMPUTED_VALUE"""),2.41)</f>
        <v>2.41</v>
      </c>
      <c r="K357" s="5">
        <f>IFERROR(__xludf.DUMMYFUNCTION("""COMPUTED_VALUE"""),0.9640000000000001)</f>
        <v>0.964</v>
      </c>
      <c r="L357">
        <f>IFERROR(__xludf.DUMMYFUNCTION("""COMPUTED_VALUE"""),28183.0)</f>
        <v>28183</v>
      </c>
      <c r="M357" t="str">
        <f>IFERROR(__xludf.DUMMYFUNCTION("""COMPUTED_VALUE"""),"Health and Beauty")</f>
        <v>Health and Beauty</v>
      </c>
      <c r="O357" t="str">
        <f>IFERROR(__xludf.DUMMYFUNCTION("""COMPUTED_VALUE"""),"Y")</f>
        <v>Y</v>
      </c>
      <c r="P357" s="1" t="str">
        <f>IFERROR(__xludf.DUMMYFUNCTION("""COMPUTED_VALUE"""),"ID 24888")</f>
        <v>ID 24888</v>
      </c>
      <c r="Q357" s="1" t="str">
        <f>IFERROR(__xludf.DUMMYFUNCTION("""COMPUTED_VALUE"""),"B00T3ZZQZM")</f>
        <v>B00T3ZZQZM</v>
      </c>
    </row>
    <row r="358">
      <c r="A358" s="6">
        <f>IFERROR(__xludf.DUMMYFUNCTION("""COMPUTED_VALUE"""),43994.0)</f>
        <v>43994</v>
      </c>
      <c r="B358">
        <f>IFERROR(__xludf.DUMMYFUNCTION("""COMPUTED_VALUE"""),14998.0)</f>
        <v>14998</v>
      </c>
      <c r="C358" t="str">
        <f>IFERROR(__xludf.DUMMYFUNCTION("""COMPUTED_VALUE"""),"Revlon Super Lustrous Lipstick, Lovers Coral")</f>
        <v>Revlon Super Lustrous Lipstick, Lovers Coral</v>
      </c>
      <c r="D358" t="str">
        <f>IFERROR(__xludf.DUMMYFUNCTION("""COMPUTED_VALUE"""),"B00CQ5Z2P0")</f>
        <v>B00CQ5Z2P0</v>
      </c>
      <c r="E358" t="str">
        <f>IFERROR(__xludf.DUMMYFUNCTION("""COMPUTED_VALUE"""),"309972924254")</f>
        <v>309972924254</v>
      </c>
      <c r="F358">
        <f>IFERROR(__xludf.DUMMYFUNCTION("""COMPUTED_VALUE"""),770.0)</f>
        <v>770</v>
      </c>
      <c r="G358">
        <f>IFERROR(__xludf.DUMMYFUNCTION("""COMPUTED_VALUE"""),2880.0)</f>
        <v>2880</v>
      </c>
      <c r="H358" s="2">
        <f>IFERROR(__xludf.DUMMYFUNCTION("""COMPUTED_VALUE"""),1.75)</f>
        <v>1.75</v>
      </c>
      <c r="I358" s="2">
        <f>IFERROR(__xludf.DUMMYFUNCTION("""COMPUTED_VALUE"""),4.15)</f>
        <v>4.15</v>
      </c>
      <c r="J358" s="2">
        <f>IFERROR(__xludf.DUMMYFUNCTION("""COMPUTED_VALUE"""),2.4000000000000004)</f>
        <v>2.4</v>
      </c>
      <c r="K358" s="5">
        <f>IFERROR(__xludf.DUMMYFUNCTION("""COMPUTED_VALUE"""),1.3714285714285717)</f>
        <v>1.371428571</v>
      </c>
      <c r="L358">
        <f>IFERROR(__xludf.DUMMYFUNCTION("""COMPUTED_VALUE"""),272.0)</f>
        <v>272</v>
      </c>
      <c r="M358" t="str">
        <f>IFERROR(__xludf.DUMMYFUNCTION("""COMPUTED_VALUE"""),"Beauty")</f>
        <v>Beauty</v>
      </c>
      <c r="O358" t="str">
        <f>IFERROR(__xludf.DUMMYFUNCTION("""COMPUTED_VALUE"""),"N")</f>
        <v>N</v>
      </c>
      <c r="P358" s="1" t="str">
        <f>IFERROR(__xludf.DUMMYFUNCTION("""COMPUTED_VALUE"""),"ID 14998")</f>
        <v>ID 14998</v>
      </c>
      <c r="Q358" s="1" t="str">
        <f>IFERROR(__xludf.DUMMYFUNCTION("""COMPUTED_VALUE"""),"B00CQ5Z2P0")</f>
        <v>B00CQ5Z2P0</v>
      </c>
    </row>
    <row r="359">
      <c r="A359" s="6">
        <f>IFERROR(__xludf.DUMMYFUNCTION("""COMPUTED_VALUE"""),45335.0)</f>
        <v>45335</v>
      </c>
      <c r="B359">
        <f>IFERROR(__xludf.DUMMYFUNCTION("""COMPUTED_VALUE"""),25141.0)</f>
        <v>25141</v>
      </c>
      <c r="C359" t="str">
        <f>IFERROR(__xludf.DUMMYFUNCTION("""COMPUTED_VALUE"""),"PRANG Refill Pans for Half Pan Watercolor Paint Sets, 12 Pans per Box, Blue Violet (08016)")</f>
        <v>PRANG Refill Pans for Half Pan Watercolor Paint Sets, 12 Pans per Box, Blue Violet (08016)</v>
      </c>
      <c r="D359" t="str">
        <f>IFERROR(__xludf.DUMMYFUNCTION("""COMPUTED_VALUE"""),"B0050A64QY")</f>
        <v>B0050A64QY</v>
      </c>
      <c r="E359" t="str">
        <f>IFERROR(__xludf.DUMMYFUNCTION("""COMPUTED_VALUE"""),"072067080165")</f>
        <v>072067080165</v>
      </c>
      <c r="F359">
        <f>IFERROR(__xludf.DUMMYFUNCTION("""COMPUTED_VALUE"""),2016.0)</f>
        <v>2016</v>
      </c>
      <c r="G359">
        <f>IFERROR(__xludf.DUMMYFUNCTION("""COMPUTED_VALUE"""),10000.0)</f>
        <v>10000</v>
      </c>
      <c r="H359" s="2">
        <f>IFERROR(__xludf.DUMMYFUNCTION("""COMPUTED_VALUE"""),2.0)</f>
        <v>2</v>
      </c>
      <c r="I359" s="2">
        <f>IFERROR(__xludf.DUMMYFUNCTION("""COMPUTED_VALUE"""),4.4)</f>
        <v>4.4</v>
      </c>
      <c r="J359" s="2">
        <f>IFERROR(__xludf.DUMMYFUNCTION("""COMPUTED_VALUE"""),2.4000000000000004)</f>
        <v>2.4</v>
      </c>
      <c r="K359" s="5">
        <f>IFERROR(__xludf.DUMMYFUNCTION("""COMPUTED_VALUE"""),1.2000000000000002)</f>
        <v>1.2</v>
      </c>
      <c r="L359">
        <f>IFERROR(__xludf.DUMMYFUNCTION("""COMPUTED_VALUE"""),13619.0)</f>
        <v>13619</v>
      </c>
      <c r="M359" t="str">
        <f>IFERROR(__xludf.DUMMYFUNCTION("""COMPUTED_VALUE"""),"Home Improvement")</f>
        <v>Home Improvement</v>
      </c>
      <c r="N359" t="str">
        <f>IFERROR(__xludf.DUMMYFUNCTION("""COMPUTED_VALUE"""),"2023 Close-out Pricing")</f>
        <v>2023 Close-out Pricing</v>
      </c>
      <c r="O359" t="str">
        <f>IFERROR(__xludf.DUMMYFUNCTION("""COMPUTED_VALUE"""),"Y")</f>
        <v>Y</v>
      </c>
      <c r="P359" s="1" t="str">
        <f>IFERROR(__xludf.DUMMYFUNCTION("""COMPUTED_VALUE"""),"ID 25141")</f>
        <v>ID 25141</v>
      </c>
      <c r="Q359" s="1" t="str">
        <f>IFERROR(__xludf.DUMMYFUNCTION("""COMPUTED_VALUE"""),"B0050A64QY")</f>
        <v>B0050A64QY</v>
      </c>
    </row>
    <row r="360">
      <c r="A360" s="6">
        <f>IFERROR(__xludf.DUMMYFUNCTION("""COMPUTED_VALUE"""),44791.0)</f>
        <v>44791</v>
      </c>
      <c r="B360">
        <f>IFERROR(__xludf.DUMMYFUNCTION("""COMPUTED_VALUE"""),20868.0)</f>
        <v>20868</v>
      </c>
      <c r="C360" t="str">
        <f>IFERROR(__xludf.DUMMYFUNCTION("""COMPUTED_VALUE"""),"Perry Ellis 360 Red for Women, 8.0 fl oz Body Mist")</f>
        <v>Perry Ellis 360 Red for Women, 8.0 fl oz Body Mist</v>
      </c>
      <c r="D360" t="str">
        <f>IFERROR(__xludf.DUMMYFUNCTION("""COMPUTED_VALUE"""),"B01N7L2926")</f>
        <v>B01N7L2926</v>
      </c>
      <c r="E360" t="str">
        <f>IFERROR(__xludf.DUMMYFUNCTION("""COMPUTED_VALUE"""),"844061011076")</f>
        <v>844061011076</v>
      </c>
      <c r="F360">
        <f>IFERROR(__xludf.DUMMYFUNCTION("""COMPUTED_VALUE"""),160.0)</f>
        <v>160</v>
      </c>
      <c r="G360">
        <f>IFERROR(__xludf.DUMMYFUNCTION("""COMPUTED_VALUE"""),1000.0)</f>
        <v>1000</v>
      </c>
      <c r="H360" s="2">
        <f>IFERROR(__xludf.DUMMYFUNCTION("""COMPUTED_VALUE"""),7.75)</f>
        <v>7.75</v>
      </c>
      <c r="I360" s="2">
        <f>IFERROR(__xludf.DUMMYFUNCTION("""COMPUTED_VALUE"""),10.14)</f>
        <v>10.14</v>
      </c>
      <c r="J360" s="2">
        <f>IFERROR(__xludf.DUMMYFUNCTION("""COMPUTED_VALUE"""),2.3900000000000006)</f>
        <v>2.39</v>
      </c>
      <c r="K360" s="5">
        <f>IFERROR(__xludf.DUMMYFUNCTION("""COMPUTED_VALUE"""),0.3083870967741936)</f>
        <v>0.3083870968</v>
      </c>
      <c r="L360">
        <f>IFERROR(__xludf.DUMMYFUNCTION("""COMPUTED_VALUE"""),31683.0)</f>
        <v>31683</v>
      </c>
      <c r="M360" t="str">
        <f>IFERROR(__xludf.DUMMYFUNCTION("""COMPUTED_VALUE"""),"Beauty")</f>
        <v>Beauty</v>
      </c>
      <c r="O360" t="str">
        <f>IFERROR(__xludf.DUMMYFUNCTION("""COMPUTED_VALUE"""),"N")</f>
        <v>N</v>
      </c>
      <c r="P360" s="1" t="str">
        <f>IFERROR(__xludf.DUMMYFUNCTION("""COMPUTED_VALUE"""),"ID 20868")</f>
        <v>ID 20868</v>
      </c>
      <c r="Q360" s="1" t="str">
        <f>IFERROR(__xludf.DUMMYFUNCTION("""COMPUTED_VALUE"""),"B01N7L2926")</f>
        <v>B01N7L2926</v>
      </c>
    </row>
    <row r="361">
      <c r="A361" s="6">
        <f>IFERROR(__xludf.DUMMYFUNCTION("""COMPUTED_VALUE"""),44594.0)</f>
        <v>44594</v>
      </c>
      <c r="B361">
        <f>IFERROR(__xludf.DUMMYFUNCTION("""COMPUTED_VALUE"""),24761.0)</f>
        <v>24761</v>
      </c>
      <c r="C361" t="str">
        <f>IFERROR(__xludf.DUMMYFUNCTION("""COMPUTED_VALUE"""),"Duck Brand Standard Tape Gun with Foam Handle, Includes 1 Roll of 54 Yard Standard Tape (669332), Green/Black")</f>
        <v>Duck Brand Standard Tape Gun with Foam Handle, Includes 1 Roll of 54 Yard Standard Tape (669332), Green/Black</v>
      </c>
      <c r="D361" t="str">
        <f>IFERROR(__xludf.DUMMYFUNCTION("""COMPUTED_VALUE"""),"B0058I1R0Q")</f>
        <v>B0058I1R0Q</v>
      </c>
      <c r="E361" t="str">
        <f>IFERROR(__xludf.DUMMYFUNCTION("""COMPUTED_VALUE"""),"75353102121")</f>
        <v>75353102121</v>
      </c>
      <c r="F361">
        <f>IFERROR(__xludf.DUMMYFUNCTION("""COMPUTED_VALUE"""),174.0)</f>
        <v>174</v>
      </c>
      <c r="G361">
        <f>IFERROR(__xludf.DUMMYFUNCTION("""COMPUTED_VALUE"""),1000.0)</f>
        <v>1000</v>
      </c>
      <c r="H361" s="2">
        <f>IFERROR(__xludf.DUMMYFUNCTION("""COMPUTED_VALUE"""),13.5)</f>
        <v>13.5</v>
      </c>
      <c r="I361" s="2">
        <f>IFERROR(__xludf.DUMMYFUNCTION("""COMPUTED_VALUE"""),15.89)</f>
        <v>15.89</v>
      </c>
      <c r="J361" s="2">
        <f>IFERROR(__xludf.DUMMYFUNCTION("""COMPUTED_VALUE"""),2.3900000000000006)</f>
        <v>2.39</v>
      </c>
      <c r="K361" s="5">
        <f>IFERROR(__xludf.DUMMYFUNCTION("""COMPUTED_VALUE"""),0.17703703703703708)</f>
        <v>0.177037037</v>
      </c>
      <c r="L361">
        <f>IFERROR(__xludf.DUMMYFUNCTION("""COMPUTED_VALUE"""),28299.0)</f>
        <v>28299</v>
      </c>
      <c r="M361" t="str">
        <f>IFERROR(__xludf.DUMMYFUNCTION("""COMPUTED_VALUE"""),"Office Product")</f>
        <v>Office Product</v>
      </c>
      <c r="N361" t="str">
        <f>IFERROR(__xludf.DUMMYFUNCTION("""COMPUTED_VALUE"""),"Need to check if the gun comes with a roll of tape")</f>
        <v>Need to check if the gun comes with a roll of tape</v>
      </c>
      <c r="O361" t="str">
        <f>IFERROR(__xludf.DUMMYFUNCTION("""COMPUTED_VALUE"""),"Y")</f>
        <v>Y</v>
      </c>
      <c r="P361" s="1" t="str">
        <f>IFERROR(__xludf.DUMMYFUNCTION("""COMPUTED_VALUE"""),"ID 24761")</f>
        <v>ID 24761</v>
      </c>
      <c r="Q361" s="1" t="str">
        <f>IFERROR(__xludf.DUMMYFUNCTION("""COMPUTED_VALUE"""),"B0058I1R0Q")</f>
        <v>B0058I1R0Q</v>
      </c>
    </row>
    <row r="362">
      <c r="A362" s="6">
        <f>IFERROR(__xludf.DUMMYFUNCTION("""COMPUTED_VALUE"""),44769.0)</f>
        <v>44769</v>
      </c>
      <c r="B362">
        <f>IFERROR(__xludf.DUMMYFUNCTION("""COMPUTED_VALUE"""),8467.0)</f>
        <v>8467</v>
      </c>
      <c r="C362" t="str">
        <f>IFERROR(__xludf.DUMMYFUNCTION("""COMPUTED_VALUE"""),"OtterBox SYMMETRY SERIES Case for Samsung Galaxy Note8 - Retail Packaging - MUTED WATERS (SURF SPRAY/SILIVER LINING)")</f>
        <v>OtterBox SYMMETRY SERIES Case for Samsung Galaxy Note8 - Retail Packaging - MUTED WATERS (SURF SPRAY/SILIVER LINING)</v>
      </c>
      <c r="D362" t="str">
        <f>IFERROR(__xludf.DUMMYFUNCTION("""COMPUTED_VALUE"""),"B00Z7RNVE8")</f>
        <v>B00Z7RNVE8</v>
      </c>
      <c r="F362">
        <f>IFERROR(__xludf.DUMMYFUNCTION("""COMPUTED_VALUE"""),200.0)</f>
        <v>200</v>
      </c>
      <c r="G362">
        <f>IFERROR(__xludf.DUMMYFUNCTION("""COMPUTED_VALUE"""),770.0)</f>
        <v>770</v>
      </c>
      <c r="H362" s="2">
        <f>IFERROR(__xludf.DUMMYFUNCTION("""COMPUTED_VALUE"""),9.0)</f>
        <v>9</v>
      </c>
      <c r="I362" s="2">
        <f>IFERROR(__xludf.DUMMYFUNCTION("""COMPUTED_VALUE"""),11.38)</f>
        <v>11.38</v>
      </c>
      <c r="J362" s="2">
        <f>IFERROR(__xludf.DUMMYFUNCTION("""COMPUTED_VALUE"""),2.380000000000001)</f>
        <v>2.38</v>
      </c>
      <c r="K362" s="5">
        <f>IFERROR(__xludf.DUMMYFUNCTION("""COMPUTED_VALUE"""),0.26444444444444454)</f>
        <v>0.2644444444</v>
      </c>
      <c r="L362">
        <f>IFERROR(__xludf.DUMMYFUNCTION("""COMPUTED_VALUE"""),16682.0)</f>
        <v>16682</v>
      </c>
      <c r="M362" t="str">
        <f>IFERROR(__xludf.DUMMYFUNCTION("""COMPUTED_VALUE"""),"Wireless")</f>
        <v>Wireless</v>
      </c>
      <c r="O362" t="str">
        <f>IFERROR(__xludf.DUMMYFUNCTION("""COMPUTED_VALUE"""),"N")</f>
        <v>N</v>
      </c>
      <c r="P362" s="1" t="str">
        <f>IFERROR(__xludf.DUMMYFUNCTION("""COMPUTED_VALUE"""),"ID 8467")</f>
        <v>ID 8467</v>
      </c>
      <c r="Q362" s="1" t="str">
        <f>IFERROR(__xludf.DUMMYFUNCTION("""COMPUTED_VALUE"""),"B00Z7RNVE8")</f>
        <v>B00Z7RNVE8</v>
      </c>
    </row>
    <row r="363">
      <c r="A363" s="6">
        <f>IFERROR(__xludf.DUMMYFUNCTION("""COMPUTED_VALUE"""),43885.0)</f>
        <v>43885</v>
      </c>
      <c r="B363">
        <f>IFERROR(__xludf.DUMMYFUNCTION("""COMPUTED_VALUE"""),9571.0)</f>
        <v>9571</v>
      </c>
      <c r="C363" t="str">
        <f>IFERROR(__xludf.DUMMYFUNCTION("""COMPUTED_VALUE"""),"L'Oreal Paris Makeup Lash Paradise Mascara, Voluptuous Volume, Intense Length, Feathery Soft Full Lashes, No Flaking, No Smudging, No Clumping, Mystic Black, 0.28 fl. oz")</f>
        <v>L'Oreal Paris Makeup Lash Paradise Mascara, Voluptuous Volume, Intense Length, Feathery Soft Full Lashes, No Flaking, No Smudging, No Clumping, Mystic Black, 0.28 fl. oz</v>
      </c>
      <c r="D363" t="str">
        <f>IFERROR(__xludf.DUMMYFUNCTION("""COMPUTED_VALUE"""),"B06XDLY282")</f>
        <v>B06XDLY282</v>
      </c>
      <c r="E363" t="str">
        <f>IFERROR(__xludf.DUMMYFUNCTION("""COMPUTED_VALUE"""),"71249350652")</f>
        <v>71249350652</v>
      </c>
      <c r="F363">
        <f>IFERROR(__xludf.DUMMYFUNCTION("""COMPUTED_VALUE"""),300.0)</f>
        <v>300</v>
      </c>
      <c r="G363">
        <f>IFERROR(__xludf.DUMMYFUNCTION("""COMPUTED_VALUE"""),200.0)</f>
        <v>200</v>
      </c>
      <c r="H363" s="2">
        <f>IFERROR(__xludf.DUMMYFUNCTION("""COMPUTED_VALUE"""),4.5)</f>
        <v>4.5</v>
      </c>
      <c r="I363" s="2">
        <f>IFERROR(__xludf.DUMMYFUNCTION("""COMPUTED_VALUE"""),6.87)</f>
        <v>6.87</v>
      </c>
      <c r="J363" s="2">
        <f>IFERROR(__xludf.DUMMYFUNCTION("""COMPUTED_VALUE"""),2.37)</f>
        <v>2.37</v>
      </c>
      <c r="K363" s="5">
        <f>IFERROR(__xludf.DUMMYFUNCTION("""COMPUTED_VALUE"""),0.5266666666666667)</f>
        <v>0.5266666667</v>
      </c>
      <c r="L363">
        <f>IFERROR(__xludf.DUMMYFUNCTION("""COMPUTED_VALUE"""),2107.0)</f>
        <v>2107</v>
      </c>
      <c r="M363" t="str">
        <f>IFERROR(__xludf.DUMMYFUNCTION("""COMPUTED_VALUE"""),"Beauty")</f>
        <v>Beauty</v>
      </c>
      <c r="O363" t="str">
        <f>IFERROR(__xludf.DUMMYFUNCTION("""COMPUTED_VALUE"""),"Y")</f>
        <v>Y</v>
      </c>
      <c r="P363" s="1" t="str">
        <f>IFERROR(__xludf.DUMMYFUNCTION("""COMPUTED_VALUE"""),"ID 9571")</f>
        <v>ID 9571</v>
      </c>
      <c r="Q363" s="1" t="str">
        <f>IFERROR(__xludf.DUMMYFUNCTION("""COMPUTED_VALUE"""),"B06XDLY282")</f>
        <v>B06XDLY282</v>
      </c>
    </row>
    <row r="364">
      <c r="A364" s="6">
        <f>IFERROR(__xludf.DUMMYFUNCTION("""COMPUTED_VALUE"""),45421.0)</f>
        <v>45421</v>
      </c>
      <c r="B364">
        <f>IFERROR(__xludf.DUMMYFUNCTION("""COMPUTED_VALUE"""),23095.0)</f>
        <v>23095</v>
      </c>
      <c r="C364" t="str">
        <f>IFERROR(__xludf.DUMMYFUNCTION("""COMPUTED_VALUE"""),"Grumbacher Pre-Tested Oil Paint, 37ml/1.25 Ounce, Titanium White (Original Formula) (P2129G)")</f>
        <v>Grumbacher Pre-Tested Oil Paint, 37ml/1.25 Ounce, Titanium White (Original Formula) (P2129G)</v>
      </c>
      <c r="D364" t="str">
        <f>IFERROR(__xludf.DUMMYFUNCTION("""COMPUTED_VALUE"""),"B004O7G5HC")</f>
        <v>B004O7G5HC</v>
      </c>
      <c r="E364" t="str">
        <f>IFERROR(__xludf.DUMMYFUNCTION("""COMPUTED_VALUE"""),"014173353443")</f>
        <v>014173353443</v>
      </c>
      <c r="F364">
        <f>IFERROR(__xludf.DUMMYFUNCTION("""COMPUTED_VALUE"""),396.0)</f>
        <v>396</v>
      </c>
      <c r="G364">
        <f>IFERROR(__xludf.DUMMYFUNCTION("""COMPUTED_VALUE"""),10000.0)</f>
        <v>10000</v>
      </c>
      <c r="H364" s="2">
        <f>IFERROR(__xludf.DUMMYFUNCTION("""COMPUTED_VALUE"""),5.75)</f>
        <v>5.75</v>
      </c>
      <c r="I364" s="2">
        <f>IFERROR(__xludf.DUMMYFUNCTION("""COMPUTED_VALUE"""),8.12)</f>
        <v>8.12</v>
      </c>
      <c r="J364" s="2">
        <f>IFERROR(__xludf.DUMMYFUNCTION("""COMPUTED_VALUE"""),2.369999999999999)</f>
        <v>2.37</v>
      </c>
      <c r="K364" s="5">
        <f>IFERROR(__xludf.DUMMYFUNCTION("""COMPUTED_VALUE"""),0.4121739130434781)</f>
        <v>0.412173913</v>
      </c>
      <c r="L364">
        <f>IFERROR(__xludf.DUMMYFUNCTION("""COMPUTED_VALUE"""),60705.0)</f>
        <v>60705</v>
      </c>
      <c r="M364" t="str">
        <f>IFERROR(__xludf.DUMMYFUNCTION("""COMPUTED_VALUE"""),"Office Product")</f>
        <v>Office Product</v>
      </c>
      <c r="O364" t="str">
        <f>IFERROR(__xludf.DUMMYFUNCTION("""COMPUTED_VALUE"""),"Y")</f>
        <v>Y</v>
      </c>
      <c r="P364" s="1" t="str">
        <f>IFERROR(__xludf.DUMMYFUNCTION("""COMPUTED_VALUE"""),"ID 23095")</f>
        <v>ID 23095</v>
      </c>
      <c r="Q364" s="1" t="str">
        <f>IFERROR(__xludf.DUMMYFUNCTION("""COMPUTED_VALUE"""),"B004O7G5HC")</f>
        <v>B004O7G5HC</v>
      </c>
    </row>
    <row r="365">
      <c r="A365" s="6">
        <f>IFERROR(__xludf.DUMMYFUNCTION("""COMPUTED_VALUE"""),44866.0)</f>
        <v>44866</v>
      </c>
      <c r="B365">
        <f>IFERROR(__xludf.DUMMYFUNCTION("""COMPUTED_VALUE"""),15643.0)</f>
        <v>15643</v>
      </c>
      <c r="C365" t="str">
        <f>IFERROR(__xludf.DUMMYFUNCTION("""COMPUTED_VALUE"""),"Prada Luna Rossa Eau de Toilette Spray, 5 Ounce")</f>
        <v>Prada Luna Rossa Eau de Toilette Spray, 5 Ounce</v>
      </c>
      <c r="D365" t="str">
        <f>IFERROR(__xludf.DUMMYFUNCTION("""COMPUTED_VALUE"""),"B00BAATL9U")</f>
        <v>B00BAATL9U</v>
      </c>
      <c r="E365" t="str">
        <f>IFERROR(__xludf.DUMMYFUNCTION("""COMPUTED_VALUE"""),"8435137729173")</f>
        <v>8435137729173</v>
      </c>
      <c r="F365">
        <f>IFERROR(__xludf.DUMMYFUNCTION("""COMPUTED_VALUE"""),20.0)</f>
        <v>20</v>
      </c>
      <c r="G365">
        <f>IFERROR(__xludf.DUMMYFUNCTION("""COMPUTED_VALUE"""),10000.0)</f>
        <v>10000</v>
      </c>
      <c r="H365" s="2">
        <f>IFERROR(__xludf.DUMMYFUNCTION("""COMPUTED_VALUE"""),92.0)</f>
        <v>92</v>
      </c>
      <c r="I365" s="2">
        <f>IFERROR(__xludf.DUMMYFUNCTION("""COMPUTED_VALUE"""),94.36)</f>
        <v>94.36</v>
      </c>
      <c r="J365" s="2">
        <f>IFERROR(__xludf.DUMMYFUNCTION("""COMPUTED_VALUE"""),2.3599999999999994)</f>
        <v>2.36</v>
      </c>
      <c r="K365" s="5">
        <f>IFERROR(__xludf.DUMMYFUNCTION("""COMPUTED_VALUE"""),0.02565217391304347)</f>
        <v>0.02565217391</v>
      </c>
      <c r="L365">
        <f>IFERROR(__xludf.DUMMYFUNCTION("""COMPUTED_VALUE"""),61419.0)</f>
        <v>61419</v>
      </c>
      <c r="M365" t="str">
        <f>IFERROR(__xludf.DUMMYFUNCTION("""COMPUTED_VALUE"""),"Beauty")</f>
        <v>Beauty</v>
      </c>
      <c r="O365" t="str">
        <f>IFERROR(__xludf.DUMMYFUNCTION("""COMPUTED_VALUE"""),"N")</f>
        <v>N</v>
      </c>
      <c r="P365" s="1" t="str">
        <f>IFERROR(__xludf.DUMMYFUNCTION("""COMPUTED_VALUE"""),"ID 15643")</f>
        <v>ID 15643</v>
      </c>
      <c r="Q365" s="1" t="str">
        <f>IFERROR(__xludf.DUMMYFUNCTION("""COMPUTED_VALUE"""),"B00BAATL9U")</f>
        <v>B00BAATL9U</v>
      </c>
    </row>
    <row r="366">
      <c r="A366" s="6">
        <f>IFERROR(__xludf.DUMMYFUNCTION("""COMPUTED_VALUE"""),44882.0)</f>
        <v>44882</v>
      </c>
      <c r="B366">
        <f>IFERROR(__xludf.DUMMYFUNCTION("""COMPUTED_VALUE"""),19803.0)</f>
        <v>19803</v>
      </c>
      <c r="C366" t="str">
        <f>IFERROR(__xludf.DUMMYFUNCTION("""COMPUTED_VALUE"""),"Gibson 53441.16 Sensations Stainless Steel 16-Piece Flatware Set Black")</f>
        <v>Gibson 53441.16 Sensations Stainless Steel 16-Piece Flatware Set Black</v>
      </c>
      <c r="D366" t="str">
        <f>IFERROR(__xludf.DUMMYFUNCTION("""COMPUTED_VALUE"""),"B000FGCWZU")</f>
        <v>B000FGCWZU</v>
      </c>
      <c r="E366" t="str">
        <f>IFERROR(__xludf.DUMMYFUNCTION("""COMPUTED_VALUE"""),"8508176413 3")</f>
        <v>8508176413 3</v>
      </c>
      <c r="F366">
        <f>IFERROR(__xludf.DUMMYFUNCTION("""COMPUTED_VALUE"""),376.0)</f>
        <v>376</v>
      </c>
      <c r="G366">
        <f>IFERROR(__xludf.DUMMYFUNCTION("""COMPUTED_VALUE"""),10112.0)</f>
        <v>10112</v>
      </c>
      <c r="H366" s="2">
        <f>IFERROR(__xludf.DUMMYFUNCTION("""COMPUTED_VALUE"""),4.75)</f>
        <v>4.75</v>
      </c>
      <c r="I366" s="2">
        <f>IFERROR(__xludf.DUMMYFUNCTION("""COMPUTED_VALUE"""),7.11)</f>
        <v>7.11</v>
      </c>
      <c r="J366" s="2">
        <f>IFERROR(__xludf.DUMMYFUNCTION("""COMPUTED_VALUE"""),2.3600000000000003)</f>
        <v>2.36</v>
      </c>
      <c r="K366" s="5">
        <f>IFERROR(__xludf.DUMMYFUNCTION("""COMPUTED_VALUE"""),0.496842105263158)</f>
        <v>0.4968421053</v>
      </c>
      <c r="L366">
        <f>IFERROR(__xludf.DUMMYFUNCTION("""COMPUTED_VALUE"""),80321.0)</f>
        <v>80321</v>
      </c>
      <c r="M366" t="str">
        <f>IFERROR(__xludf.DUMMYFUNCTION("""COMPUTED_VALUE"""),"Kitchen")</f>
        <v>Kitchen</v>
      </c>
      <c r="O366" t="str">
        <f>IFERROR(__xludf.DUMMYFUNCTION("""COMPUTED_VALUE"""),"N")</f>
        <v>N</v>
      </c>
      <c r="P366" s="1" t="str">
        <f>IFERROR(__xludf.DUMMYFUNCTION("""COMPUTED_VALUE"""),"ID 19803")</f>
        <v>ID 19803</v>
      </c>
      <c r="Q366" s="1" t="str">
        <f>IFERROR(__xludf.DUMMYFUNCTION("""COMPUTED_VALUE"""),"B000FGCWZU")</f>
        <v>B000FGCWZU</v>
      </c>
    </row>
    <row r="367">
      <c r="A367" s="6">
        <f>IFERROR(__xludf.DUMMYFUNCTION("""COMPUTED_VALUE"""),45425.0)</f>
        <v>45425</v>
      </c>
      <c r="B367">
        <f>IFERROR(__xludf.DUMMYFUNCTION("""COMPUTED_VALUE"""),8485.0)</f>
        <v>8485</v>
      </c>
      <c r="C367" t="str">
        <f>IFERROR(__xludf.DUMMYFUNCTION("""COMPUTED_VALUE"""),"14 Day Pill &amp; Vitamin Organizer 2 Weeks AM/PM 4 Doses a Day Travel Case Handy &amp; Portable")</f>
        <v>14 Day Pill &amp; Vitamin Organizer 2 Weeks AM/PM 4 Doses a Day Travel Case Handy &amp; Portable</v>
      </c>
      <c r="D367" t="str">
        <f>IFERROR(__xludf.DUMMYFUNCTION("""COMPUTED_VALUE"""),"B07D6WHQJL")</f>
        <v>B07D6WHQJL</v>
      </c>
      <c r="E367" t="str">
        <f>IFERROR(__xludf.DUMMYFUNCTION("""COMPUTED_VALUE"""),"736386000000")</f>
        <v>736386000000</v>
      </c>
      <c r="F367">
        <f>IFERROR(__xludf.DUMMYFUNCTION("""COMPUTED_VALUE"""),432.0)</f>
        <v>432</v>
      </c>
      <c r="G367">
        <f>IFERROR(__xludf.DUMMYFUNCTION("""COMPUTED_VALUE"""),2352.0)</f>
        <v>2352</v>
      </c>
      <c r="H367" s="2">
        <f>IFERROR(__xludf.DUMMYFUNCTION("""COMPUTED_VALUE"""),3.0)</f>
        <v>3</v>
      </c>
      <c r="I367" s="2">
        <f>IFERROR(__xludf.DUMMYFUNCTION("""COMPUTED_VALUE"""),5.35)</f>
        <v>5.35</v>
      </c>
      <c r="J367" s="2">
        <f>IFERROR(__xludf.DUMMYFUNCTION("""COMPUTED_VALUE"""),2.3499999999999996)</f>
        <v>2.35</v>
      </c>
      <c r="K367" s="5">
        <f>IFERROR(__xludf.DUMMYFUNCTION("""COMPUTED_VALUE"""),0.7833333333333332)</f>
        <v>0.7833333333</v>
      </c>
      <c r="L367">
        <f>IFERROR(__xludf.DUMMYFUNCTION("""COMPUTED_VALUE"""),36683.0)</f>
        <v>36683</v>
      </c>
      <c r="M367" t="str">
        <f>IFERROR(__xludf.DUMMYFUNCTION("""COMPUTED_VALUE"""),"Health and Beauty")</f>
        <v>Health and Beauty</v>
      </c>
      <c r="O367" t="str">
        <f>IFERROR(__xludf.DUMMYFUNCTION("""COMPUTED_VALUE"""),"Y")</f>
        <v>Y</v>
      </c>
      <c r="P367" s="1" t="str">
        <f>IFERROR(__xludf.DUMMYFUNCTION("""COMPUTED_VALUE"""),"ID 8485")</f>
        <v>ID 8485</v>
      </c>
      <c r="Q367" s="1" t="str">
        <f>IFERROR(__xludf.DUMMYFUNCTION("""COMPUTED_VALUE"""),"B07D6WHQJL")</f>
        <v>B07D6WHQJL</v>
      </c>
    </row>
    <row r="368">
      <c r="A368" s="6">
        <f>IFERROR(__xludf.DUMMYFUNCTION("""COMPUTED_VALUE"""),45390.0)</f>
        <v>45390</v>
      </c>
      <c r="B368">
        <f>IFERROR(__xludf.DUMMYFUNCTION("""COMPUTED_VALUE"""),21118.0)</f>
        <v>21118</v>
      </c>
      <c r="C368" t="str">
        <f>IFERROR(__xludf.DUMMYFUNCTION("""COMPUTED_VALUE"""),"Chef Craft Premium Silicone Basting Brush, 10.25 inch, Black")</f>
        <v>Chef Craft Premium Silicone Basting Brush, 10.25 inch, Black</v>
      </c>
      <c r="D368" t="str">
        <f>IFERROR(__xludf.DUMMYFUNCTION("""COMPUTED_VALUE"""),"B08SJ3KCYQ")</f>
        <v>B08SJ3KCYQ</v>
      </c>
      <c r="E368" t="str">
        <f>IFERROR(__xludf.DUMMYFUNCTION("""COMPUTED_VALUE"""),"085455136702")</f>
        <v>085455136702</v>
      </c>
      <c r="F368">
        <f>IFERROR(__xludf.DUMMYFUNCTION("""COMPUTED_VALUE"""),504.0)</f>
        <v>504</v>
      </c>
      <c r="G368">
        <f>IFERROR(__xludf.DUMMYFUNCTION("""COMPUTED_VALUE"""),10000.0)</f>
        <v>10000</v>
      </c>
      <c r="H368" s="2">
        <f>IFERROR(__xludf.DUMMYFUNCTION("""COMPUTED_VALUE"""),2.5)</f>
        <v>2.5</v>
      </c>
      <c r="I368" s="2">
        <f>IFERROR(__xludf.DUMMYFUNCTION("""COMPUTED_VALUE"""),4.84)</f>
        <v>4.84</v>
      </c>
      <c r="J368" s="2">
        <f>IFERROR(__xludf.DUMMYFUNCTION("""COMPUTED_VALUE"""),2.34)</f>
        <v>2.34</v>
      </c>
      <c r="K368" s="5">
        <f>IFERROR(__xludf.DUMMYFUNCTION("""COMPUTED_VALUE"""),0.9359999999999999)</f>
        <v>0.936</v>
      </c>
      <c r="L368">
        <f>IFERROR(__xludf.DUMMYFUNCTION("""COMPUTED_VALUE"""),96419.0)</f>
        <v>96419</v>
      </c>
      <c r="M368" t="str">
        <f>IFERROR(__xludf.DUMMYFUNCTION("""COMPUTED_VALUE"""),"Kitchen")</f>
        <v>Kitchen</v>
      </c>
      <c r="O368" t="str">
        <f>IFERROR(__xludf.DUMMYFUNCTION("""COMPUTED_VALUE"""),"Y")</f>
        <v>Y</v>
      </c>
      <c r="P368" s="1" t="str">
        <f>IFERROR(__xludf.DUMMYFUNCTION("""COMPUTED_VALUE"""),"ID 21118")</f>
        <v>ID 21118</v>
      </c>
      <c r="Q368" s="1" t="str">
        <f>IFERROR(__xludf.DUMMYFUNCTION("""COMPUTED_VALUE"""),"B08SJ3KCYQ")</f>
        <v>B08SJ3KCYQ</v>
      </c>
    </row>
    <row r="369">
      <c r="A369" s="6">
        <f>IFERROR(__xludf.DUMMYFUNCTION("""COMPUTED_VALUE"""),45390.0)</f>
        <v>45390</v>
      </c>
      <c r="B369">
        <f>IFERROR(__xludf.DUMMYFUNCTION("""COMPUTED_VALUE"""),13767.0)</f>
        <v>13767</v>
      </c>
      <c r="C369" t="str">
        <f>IFERROR(__xludf.DUMMYFUNCTION("""COMPUTED_VALUE"""),"Chef Craft 21389 Mesh Strainer 6""")</f>
        <v>Chef Craft 21389 Mesh Strainer 6"</v>
      </c>
      <c r="D369" t="str">
        <f>IFERROR(__xludf.DUMMYFUNCTION("""COMPUTED_VALUE"""),"B001WYPGZ2")</f>
        <v>B001WYPGZ2</v>
      </c>
      <c r="E369" t="str">
        <f>IFERROR(__xludf.DUMMYFUNCTION("""COMPUTED_VALUE"""),"085455213892")</f>
        <v>085455213892</v>
      </c>
      <c r="F369">
        <f>IFERROR(__xludf.DUMMYFUNCTION("""COMPUTED_VALUE"""),576.0)</f>
        <v>576</v>
      </c>
      <c r="G369">
        <f>IFERROR(__xludf.DUMMYFUNCTION("""COMPUTED_VALUE"""),10000.0)</f>
        <v>10000</v>
      </c>
      <c r="H369" s="2">
        <f>IFERROR(__xludf.DUMMYFUNCTION("""COMPUTED_VALUE"""),2.0)</f>
        <v>2</v>
      </c>
      <c r="I369" s="2">
        <f>IFERROR(__xludf.DUMMYFUNCTION("""COMPUTED_VALUE"""),4.33)</f>
        <v>4.33</v>
      </c>
      <c r="J369" s="2">
        <f>IFERROR(__xludf.DUMMYFUNCTION("""COMPUTED_VALUE"""),2.33)</f>
        <v>2.33</v>
      </c>
      <c r="K369" s="5">
        <f>IFERROR(__xludf.DUMMYFUNCTION("""COMPUTED_VALUE"""),1.165)</f>
        <v>1.165</v>
      </c>
      <c r="L369">
        <f>IFERROR(__xludf.DUMMYFUNCTION("""COMPUTED_VALUE"""),46041.0)</f>
        <v>46041</v>
      </c>
      <c r="M369" t="str">
        <f>IFERROR(__xludf.DUMMYFUNCTION("""COMPUTED_VALUE"""),"Kitchen")</f>
        <v>Kitchen</v>
      </c>
      <c r="O369" t="str">
        <f>IFERROR(__xludf.DUMMYFUNCTION("""COMPUTED_VALUE"""),"Y")</f>
        <v>Y</v>
      </c>
      <c r="P369" s="1" t="str">
        <f>IFERROR(__xludf.DUMMYFUNCTION("""COMPUTED_VALUE"""),"ID 13767")</f>
        <v>ID 13767</v>
      </c>
      <c r="Q369" s="1" t="str">
        <f>IFERROR(__xludf.DUMMYFUNCTION("""COMPUTED_VALUE"""),"B001WYPGZ2")</f>
        <v>B001WYPGZ2</v>
      </c>
    </row>
    <row r="370">
      <c r="A370" s="6">
        <f>IFERROR(__xludf.DUMMYFUNCTION("""COMPUTED_VALUE"""),45390.0)</f>
        <v>45390</v>
      </c>
      <c r="B370">
        <f>IFERROR(__xludf.DUMMYFUNCTION("""COMPUTED_VALUE"""),21125.0)</f>
        <v>21125</v>
      </c>
      <c r="C370" t="str">
        <f>IFERROR(__xludf.DUMMYFUNCTION("""COMPUTED_VALUE"""),"Chef Craft Premium Silicone Basting Brush, 10.25 inch, Pastel Blue")</f>
        <v>Chef Craft Premium Silicone Basting Brush, 10.25 inch, Pastel Blue</v>
      </c>
      <c r="D370" t="str">
        <f>IFERROR(__xludf.DUMMYFUNCTION("""COMPUTED_VALUE"""),"B08SJ6W9D8")</f>
        <v>B08SJ6W9D8</v>
      </c>
      <c r="E370" t="str">
        <f>IFERROR(__xludf.DUMMYFUNCTION("""COMPUTED_VALUE"""),"085455139703")</f>
        <v>085455139703</v>
      </c>
      <c r="F370">
        <f>IFERROR(__xludf.DUMMYFUNCTION("""COMPUTED_VALUE"""),504.0)</f>
        <v>504</v>
      </c>
      <c r="G370">
        <f>IFERROR(__xludf.DUMMYFUNCTION("""COMPUTED_VALUE"""),10000.0)</f>
        <v>10000</v>
      </c>
      <c r="H370" s="2">
        <f>IFERROR(__xludf.DUMMYFUNCTION("""COMPUTED_VALUE"""),2.5)</f>
        <v>2.5</v>
      </c>
      <c r="I370" s="2">
        <f>IFERROR(__xludf.DUMMYFUNCTION("""COMPUTED_VALUE"""),4.83)</f>
        <v>4.83</v>
      </c>
      <c r="J370" s="2">
        <f>IFERROR(__xludf.DUMMYFUNCTION("""COMPUTED_VALUE"""),2.33)</f>
        <v>2.33</v>
      </c>
      <c r="K370" s="5">
        <f>IFERROR(__xludf.DUMMYFUNCTION("""COMPUTED_VALUE"""),0.932)</f>
        <v>0.932</v>
      </c>
      <c r="L370">
        <f>IFERROR(__xludf.DUMMYFUNCTION("""COMPUTED_VALUE"""),96419.0)</f>
        <v>96419</v>
      </c>
      <c r="M370" t="str">
        <f>IFERROR(__xludf.DUMMYFUNCTION("""COMPUTED_VALUE"""),"Kitchen")</f>
        <v>Kitchen</v>
      </c>
      <c r="O370" t="str">
        <f>IFERROR(__xludf.DUMMYFUNCTION("""COMPUTED_VALUE"""),"Y")</f>
        <v>Y</v>
      </c>
      <c r="P370" s="1" t="str">
        <f>IFERROR(__xludf.DUMMYFUNCTION("""COMPUTED_VALUE"""),"ID 21125")</f>
        <v>ID 21125</v>
      </c>
      <c r="Q370" s="1" t="str">
        <f>IFERROR(__xludf.DUMMYFUNCTION("""COMPUTED_VALUE"""),"B08SJ6W9D8")</f>
        <v>B08SJ6W9D8</v>
      </c>
    </row>
    <row r="371">
      <c r="A371" s="6">
        <f>IFERROR(__xludf.DUMMYFUNCTION("""COMPUTED_VALUE"""),45390.0)</f>
        <v>45390</v>
      </c>
      <c r="B371">
        <f>IFERROR(__xludf.DUMMYFUNCTION("""COMPUTED_VALUE"""),15417.0)</f>
        <v>15417</v>
      </c>
      <c r="C371" t="str">
        <f>IFERROR(__xludf.DUMMYFUNCTION("""COMPUTED_VALUE"""),"Chef Craft Premium Silicone Basting Brush, 10.25"", Blue")</f>
        <v>Chef Craft Premium Silicone Basting Brush, 10.25", Blue</v>
      </c>
      <c r="D371" t="str">
        <f>IFERROR(__xludf.DUMMYFUNCTION("""COMPUTED_VALUE"""),"B01BKAUNM8")</f>
        <v>B01BKAUNM8</v>
      </c>
      <c r="E371" t="str">
        <f>IFERROR(__xludf.DUMMYFUNCTION("""COMPUTED_VALUE"""),"085455134708")</f>
        <v>085455134708</v>
      </c>
      <c r="F371">
        <f>IFERROR(__xludf.DUMMYFUNCTION("""COMPUTED_VALUE"""),504.0)</f>
        <v>504</v>
      </c>
      <c r="G371">
        <f>IFERROR(__xludf.DUMMYFUNCTION("""COMPUTED_VALUE"""),10000.0)</f>
        <v>10000</v>
      </c>
      <c r="H371" s="2">
        <f>IFERROR(__xludf.DUMMYFUNCTION("""COMPUTED_VALUE"""),2.5)</f>
        <v>2.5</v>
      </c>
      <c r="I371" s="2">
        <f>IFERROR(__xludf.DUMMYFUNCTION("""COMPUTED_VALUE"""),4.81)</f>
        <v>4.81</v>
      </c>
      <c r="J371" s="2">
        <f>IFERROR(__xludf.DUMMYFUNCTION("""COMPUTED_VALUE"""),2.3099999999999996)</f>
        <v>2.31</v>
      </c>
      <c r="K371" s="5">
        <f>IFERROR(__xludf.DUMMYFUNCTION("""COMPUTED_VALUE"""),0.9239999999999998)</f>
        <v>0.924</v>
      </c>
      <c r="L371">
        <f>IFERROR(__xludf.DUMMYFUNCTION("""COMPUTED_VALUE"""),96419.0)</f>
        <v>96419</v>
      </c>
      <c r="M371" t="str">
        <f>IFERROR(__xludf.DUMMYFUNCTION("""COMPUTED_VALUE"""),"Kitchen")</f>
        <v>Kitchen</v>
      </c>
      <c r="O371" t="str">
        <f>IFERROR(__xludf.DUMMYFUNCTION("""COMPUTED_VALUE"""),"Y")</f>
        <v>Y</v>
      </c>
      <c r="P371" s="1" t="str">
        <f>IFERROR(__xludf.DUMMYFUNCTION("""COMPUTED_VALUE"""),"ID 15417")</f>
        <v>ID 15417</v>
      </c>
      <c r="Q371" s="1" t="str">
        <f>IFERROR(__xludf.DUMMYFUNCTION("""COMPUTED_VALUE"""),"B01BKAUNM8")</f>
        <v>B01BKAUNM8</v>
      </c>
    </row>
    <row r="372">
      <c r="A372" s="6">
        <f>IFERROR(__xludf.DUMMYFUNCTION("""COMPUTED_VALUE"""),45341.0)</f>
        <v>45341</v>
      </c>
      <c r="B372">
        <f>IFERROR(__xludf.DUMMYFUNCTION("""COMPUTED_VALUE"""),12675.0)</f>
        <v>12675</v>
      </c>
      <c r="C372" t="str">
        <f>IFERROR(__xludf.DUMMYFUNCTION("""COMPUTED_VALUE"""),"Stanley Guppy 5-Inch Blunt Tip Kids Scissors, Assorted Colors - Pack of 2 (SCI5BT-2PK)")</f>
        <v>Stanley Guppy 5-Inch Blunt Tip Kids Scissors, Assorted Colors - Pack of 2 (SCI5BT-2PK)</v>
      </c>
      <c r="D372" t="str">
        <f>IFERROR(__xludf.DUMMYFUNCTION("""COMPUTED_VALUE"""),"B00LJO8008")</f>
        <v>B00LJO8008</v>
      </c>
      <c r="E372" t="str">
        <f>IFERROR(__xludf.DUMMYFUNCTION("""COMPUTED_VALUE"""),"077914057703")</f>
        <v>077914057703</v>
      </c>
      <c r="F372">
        <f>IFERROR(__xludf.DUMMYFUNCTION("""COMPUTED_VALUE"""),410.0)</f>
        <v>410</v>
      </c>
      <c r="G372">
        <f>IFERROR(__xludf.DUMMYFUNCTION("""COMPUTED_VALUE"""),410.0)</f>
        <v>410</v>
      </c>
      <c r="H372" s="2">
        <f>IFERROR(__xludf.DUMMYFUNCTION("""COMPUTED_VALUE"""),1.25)</f>
        <v>1.25</v>
      </c>
      <c r="I372" s="2">
        <f>IFERROR(__xludf.DUMMYFUNCTION("""COMPUTED_VALUE"""),3.55)</f>
        <v>3.55</v>
      </c>
      <c r="J372" s="2">
        <f>IFERROR(__xludf.DUMMYFUNCTION("""COMPUTED_VALUE"""),2.3)</f>
        <v>2.3</v>
      </c>
      <c r="K372" s="5">
        <f>IFERROR(__xludf.DUMMYFUNCTION("""COMPUTED_VALUE"""),1.8399999999999999)</f>
        <v>1.84</v>
      </c>
      <c r="L372">
        <f>IFERROR(__xludf.DUMMYFUNCTION("""COMPUTED_VALUE"""),66914.0)</f>
        <v>66914</v>
      </c>
      <c r="M372" t="str">
        <f>IFERROR(__xludf.DUMMYFUNCTION("""COMPUTED_VALUE"""),"Office Product")</f>
        <v>Office Product</v>
      </c>
      <c r="N372" t="str">
        <f>IFERROR(__xludf.DUMMYFUNCTION("""COMPUTED_VALUE"""),"Overstock pricing")</f>
        <v>Overstock pricing</v>
      </c>
      <c r="O372" t="str">
        <f>IFERROR(__xludf.DUMMYFUNCTION("""COMPUTED_VALUE"""),"Y")</f>
        <v>Y</v>
      </c>
      <c r="P372" s="1" t="str">
        <f>IFERROR(__xludf.DUMMYFUNCTION("""COMPUTED_VALUE"""),"ID 12675")</f>
        <v>ID 12675</v>
      </c>
      <c r="Q372" s="1" t="str">
        <f>IFERROR(__xludf.DUMMYFUNCTION("""COMPUTED_VALUE"""),"B00LJO8008")</f>
        <v>B00LJO8008</v>
      </c>
    </row>
    <row r="373">
      <c r="A373" s="6">
        <f>IFERROR(__xludf.DUMMYFUNCTION("""COMPUTED_VALUE"""),45251.0)</f>
        <v>45251</v>
      </c>
      <c r="B373">
        <f>IFERROR(__xludf.DUMMYFUNCTION("""COMPUTED_VALUE"""),22382.0)</f>
        <v>22382</v>
      </c>
      <c r="C373" t="str">
        <f>IFERROR(__xludf.DUMMYFUNCTION("""COMPUTED_VALUE"""),"Filofax Notebooks A5 Quad Journal Refill, Movable, 8 1/4 x 5 13/16 inches, 32 Cream Sheets Fits Filofax Refillable A5 (B152905U)")</f>
        <v>Filofax Notebooks A5 Quad Journal Refill, Movable, 8 1/4 x 5 13/16 inches, 32 Cream Sheets Fits Filofax Refillable A5 (B152905U)</v>
      </c>
      <c r="D373" t="str">
        <f>IFERROR(__xludf.DUMMYFUNCTION("""COMPUTED_VALUE"""),"B00XEZXMOE")</f>
        <v>B00XEZXMOE</v>
      </c>
      <c r="E373" t="str">
        <f>IFERROR(__xludf.DUMMYFUNCTION("""COMPUTED_VALUE"""),"757286601260")</f>
        <v>757286601260</v>
      </c>
      <c r="F373">
        <f>IFERROR(__xludf.DUMMYFUNCTION("""COMPUTED_VALUE"""),420.0)</f>
        <v>420</v>
      </c>
      <c r="G373">
        <f>IFERROR(__xludf.DUMMYFUNCTION("""COMPUTED_VALUE"""),10000.0)</f>
        <v>10000</v>
      </c>
      <c r="H373" s="2">
        <f>IFERROR(__xludf.DUMMYFUNCTION("""COMPUTED_VALUE"""),3.0)</f>
        <v>3</v>
      </c>
      <c r="I373" s="2">
        <f>IFERROR(__xludf.DUMMYFUNCTION("""COMPUTED_VALUE"""),5.3)</f>
        <v>5.3</v>
      </c>
      <c r="J373" s="2">
        <f>IFERROR(__xludf.DUMMYFUNCTION("""COMPUTED_VALUE"""),2.3)</f>
        <v>2.3</v>
      </c>
      <c r="K373" s="5">
        <f>IFERROR(__xludf.DUMMYFUNCTION("""COMPUTED_VALUE"""),0.7666666666666666)</f>
        <v>0.7666666667</v>
      </c>
      <c r="L373">
        <f>IFERROR(__xludf.DUMMYFUNCTION("""COMPUTED_VALUE"""),36253.0)</f>
        <v>36253</v>
      </c>
      <c r="M373" t="str">
        <f>IFERROR(__xludf.DUMMYFUNCTION("""COMPUTED_VALUE"""),"Office Product")</f>
        <v>Office Product</v>
      </c>
      <c r="O373" t="str">
        <f>IFERROR(__xludf.DUMMYFUNCTION("""COMPUTED_VALUE"""),"N")</f>
        <v>N</v>
      </c>
      <c r="P373" s="1" t="str">
        <f>IFERROR(__xludf.DUMMYFUNCTION("""COMPUTED_VALUE"""),"ID 22382")</f>
        <v>ID 22382</v>
      </c>
      <c r="Q373" s="1" t="str">
        <f>IFERROR(__xludf.DUMMYFUNCTION("""COMPUTED_VALUE"""),"B00XEZXMOE")</f>
        <v>B00XEZXMOE</v>
      </c>
    </row>
    <row r="374">
      <c r="A374" s="6">
        <f>IFERROR(__xludf.DUMMYFUNCTION("""COMPUTED_VALUE"""),45383.0)</f>
        <v>45383</v>
      </c>
      <c r="B374">
        <f>IFERROR(__xludf.DUMMYFUNCTION("""COMPUTED_VALUE"""),24157.0)</f>
        <v>24157</v>
      </c>
      <c r="C374" t="str">
        <f>IFERROR(__xludf.DUMMYFUNCTION("""COMPUTED_VALUE"""),"uni-ball 307 Retractable Gel Pens, Medium Point (0.7mm), Blue, 3 Count")</f>
        <v>uni-ball 307 Retractable Gel Pens, Medium Point (0.7mm), Blue, 3 Count</v>
      </c>
      <c r="D374" t="str">
        <f>IFERROR(__xludf.DUMMYFUNCTION("""COMPUTED_VALUE"""),"B00UHUKKRG")</f>
        <v>B00UHUKKRG</v>
      </c>
      <c r="E374" t="str">
        <f>IFERROR(__xludf.DUMMYFUNCTION("""COMPUTED_VALUE"""),"030246006870")</f>
        <v>030246006870</v>
      </c>
      <c r="F374">
        <f>IFERROR(__xludf.DUMMYFUNCTION("""COMPUTED_VALUE"""),288.0)</f>
        <v>288</v>
      </c>
      <c r="G374">
        <f>IFERROR(__xludf.DUMMYFUNCTION("""COMPUTED_VALUE"""),10000.0)</f>
        <v>10000</v>
      </c>
      <c r="H374" s="2">
        <f>IFERROR(__xludf.DUMMYFUNCTION("""COMPUTED_VALUE"""),4.75)</f>
        <v>4.75</v>
      </c>
      <c r="I374" s="2">
        <f>IFERROR(__xludf.DUMMYFUNCTION("""COMPUTED_VALUE"""),7.05)</f>
        <v>7.05</v>
      </c>
      <c r="J374" s="2">
        <f>IFERROR(__xludf.DUMMYFUNCTION("""COMPUTED_VALUE"""),2.3)</f>
        <v>2.3</v>
      </c>
      <c r="K374" s="5">
        <f>IFERROR(__xludf.DUMMYFUNCTION("""COMPUTED_VALUE"""),0.4842105263157894)</f>
        <v>0.4842105263</v>
      </c>
      <c r="L374">
        <f>IFERROR(__xludf.DUMMYFUNCTION("""COMPUTED_VALUE"""),75304.0)</f>
        <v>75304</v>
      </c>
      <c r="M374" t="str">
        <f>IFERROR(__xludf.DUMMYFUNCTION("""COMPUTED_VALUE"""),"BISS Basic")</f>
        <v>BISS Basic</v>
      </c>
      <c r="O374" t="str">
        <f>IFERROR(__xludf.DUMMYFUNCTION("""COMPUTED_VALUE"""),"N")</f>
        <v>N</v>
      </c>
      <c r="P374" s="1" t="str">
        <f>IFERROR(__xludf.DUMMYFUNCTION("""COMPUTED_VALUE"""),"ID 24157")</f>
        <v>ID 24157</v>
      </c>
      <c r="Q374" s="1" t="str">
        <f>IFERROR(__xludf.DUMMYFUNCTION("""COMPUTED_VALUE"""),"B00UHUKKRG")</f>
        <v>B00UHUKKRG</v>
      </c>
    </row>
    <row r="375">
      <c r="A375" s="6">
        <f>IFERROR(__xludf.DUMMYFUNCTION("""COMPUTED_VALUE"""),44214.0)</f>
        <v>44214</v>
      </c>
      <c r="B375">
        <f>IFERROR(__xludf.DUMMYFUNCTION("""COMPUTED_VALUE"""),16574.0)</f>
        <v>16574</v>
      </c>
      <c r="C375" t="str">
        <f>IFERROR(__xludf.DUMMYFUNCTION("""COMPUTED_VALUE"""),"Adidas Victory League Cologne, 3.4 Fl Oz Eau De Toilette Spray, For Men, BY ADIDAS")</f>
        <v>Adidas Victory League Cologne, 3.4 Fl Oz Eau De Toilette Spray, For Men, BY ADIDAS</v>
      </c>
      <c r="D375" t="str">
        <f>IFERROR(__xludf.DUMMYFUNCTION("""COMPUTED_VALUE"""),"B005IQ1WSU")</f>
        <v>B005IQ1WSU</v>
      </c>
      <c r="E375" t="str">
        <f>IFERROR(__xludf.DUMMYFUNCTION("""COMPUTED_VALUE"""),"3412241210204")</f>
        <v>3412241210204</v>
      </c>
      <c r="F375">
        <f>IFERROR(__xludf.DUMMYFUNCTION("""COMPUTED_VALUE"""),400.0)</f>
        <v>400</v>
      </c>
      <c r="G375">
        <f>IFERROR(__xludf.DUMMYFUNCTION("""COMPUTED_VALUE"""),999.0)</f>
        <v>999</v>
      </c>
      <c r="H375" s="2">
        <f>IFERROR(__xludf.DUMMYFUNCTION("""COMPUTED_VALUE"""),3.5)</f>
        <v>3.5</v>
      </c>
      <c r="I375" s="2">
        <f>IFERROR(__xludf.DUMMYFUNCTION("""COMPUTED_VALUE"""),5.78)</f>
        <v>5.78</v>
      </c>
      <c r="J375" s="2">
        <f>IFERROR(__xludf.DUMMYFUNCTION("""COMPUTED_VALUE"""),2.2800000000000002)</f>
        <v>2.28</v>
      </c>
      <c r="K375" s="5">
        <f>IFERROR(__xludf.DUMMYFUNCTION("""COMPUTED_VALUE"""),0.6514285714285715)</f>
        <v>0.6514285714</v>
      </c>
      <c r="L375">
        <f>IFERROR(__xludf.DUMMYFUNCTION("""COMPUTED_VALUE"""),95769.0)</f>
        <v>95769</v>
      </c>
      <c r="M375" t="str">
        <f>IFERROR(__xludf.DUMMYFUNCTION("""COMPUTED_VALUE"""),"Beauty")</f>
        <v>Beauty</v>
      </c>
      <c r="O375" t="str">
        <f>IFERROR(__xludf.DUMMYFUNCTION("""COMPUTED_VALUE"""),"N")</f>
        <v>N</v>
      </c>
      <c r="P375" s="1" t="str">
        <f>IFERROR(__xludf.DUMMYFUNCTION("""COMPUTED_VALUE"""),"ID 16574")</f>
        <v>ID 16574</v>
      </c>
      <c r="Q375" s="1" t="str">
        <f>IFERROR(__xludf.DUMMYFUNCTION("""COMPUTED_VALUE"""),"B005IQ1WSU")</f>
        <v>B005IQ1WSU</v>
      </c>
    </row>
    <row r="376">
      <c r="A376" s="6">
        <f>IFERROR(__xludf.DUMMYFUNCTION("""COMPUTED_VALUE"""),45383.0)</f>
        <v>45383</v>
      </c>
      <c r="B376">
        <f>IFERROR(__xludf.DUMMYFUNCTION("""COMPUTED_VALUE"""),20162.0)</f>
        <v>20162</v>
      </c>
      <c r="C376" t="str">
        <f>IFERROR(__xludf.DUMMYFUNCTION("""COMPUTED_VALUE"""),"uni-ball Vision Elite Rollerball Pens, Bold Point (0.8mm), Black, 2 Count")</f>
        <v>uni-ball Vision Elite Rollerball Pens, Bold Point (0.8mm), Black, 2 Count</v>
      </c>
      <c r="D376" t="str">
        <f>IFERROR(__xludf.DUMMYFUNCTION("""COMPUTED_VALUE"""),"B000X5G1BO")</f>
        <v>B000X5G1BO</v>
      </c>
      <c r="E376" t="str">
        <f>IFERROR(__xludf.DUMMYFUNCTION("""COMPUTED_VALUE"""),"030246671788")</f>
        <v>030246671788</v>
      </c>
      <c r="F376">
        <f>IFERROR(__xludf.DUMMYFUNCTION("""COMPUTED_VALUE"""),336.0)</f>
        <v>336</v>
      </c>
      <c r="G376">
        <f>IFERROR(__xludf.DUMMYFUNCTION("""COMPUTED_VALUE"""),10000.0)</f>
        <v>10000</v>
      </c>
      <c r="H376" s="2">
        <f>IFERROR(__xludf.DUMMYFUNCTION("""COMPUTED_VALUE"""),4.0)</f>
        <v>4</v>
      </c>
      <c r="I376" s="2">
        <f>IFERROR(__xludf.DUMMYFUNCTION("""COMPUTED_VALUE"""),6.28)</f>
        <v>6.28</v>
      </c>
      <c r="J376" s="2">
        <f>IFERROR(__xludf.DUMMYFUNCTION("""COMPUTED_VALUE"""),2.2800000000000002)</f>
        <v>2.28</v>
      </c>
      <c r="K376" s="5">
        <f>IFERROR(__xludf.DUMMYFUNCTION("""COMPUTED_VALUE"""),0.5700000000000001)</f>
        <v>0.57</v>
      </c>
      <c r="L376">
        <f>IFERROR(__xludf.DUMMYFUNCTION("""COMPUTED_VALUE"""),80814.0)</f>
        <v>80814</v>
      </c>
      <c r="M376" t="str">
        <f>IFERROR(__xludf.DUMMYFUNCTION("""COMPUTED_VALUE"""),"Office Product")</f>
        <v>Office Product</v>
      </c>
      <c r="O376" t="str">
        <f>IFERROR(__xludf.DUMMYFUNCTION("""COMPUTED_VALUE"""),"Y")</f>
        <v>Y</v>
      </c>
      <c r="P376" s="1" t="str">
        <f>IFERROR(__xludf.DUMMYFUNCTION("""COMPUTED_VALUE"""),"ID 20162")</f>
        <v>ID 20162</v>
      </c>
      <c r="Q376" s="1" t="str">
        <f>IFERROR(__xludf.DUMMYFUNCTION("""COMPUTED_VALUE"""),"B000X5G1BO")</f>
        <v>B000X5G1BO</v>
      </c>
    </row>
    <row r="377">
      <c r="A377" s="6">
        <f>IFERROR(__xludf.DUMMYFUNCTION("""COMPUTED_VALUE"""),45208.0)</f>
        <v>45208</v>
      </c>
      <c r="B377">
        <f>IFERROR(__xludf.DUMMYFUNCTION("""COMPUTED_VALUE"""),22503.0)</f>
        <v>22503</v>
      </c>
      <c r="C377" t="str">
        <f>IFERROR(__xludf.DUMMYFUNCTION("""COMPUTED_VALUE"""),"Tombow Dual Brush Pen Art Marker, 837 - Wine Red, 1-Pack")</f>
        <v>Tombow Dual Brush Pen Art Marker, 837 - Wine Red, 1-Pack</v>
      </c>
      <c r="D377" t="str">
        <f>IFERROR(__xludf.DUMMYFUNCTION("""COMPUTED_VALUE"""),"B000KNQ2AY")</f>
        <v>B000KNQ2AY</v>
      </c>
      <c r="E377" t="str">
        <f>IFERROR(__xludf.DUMMYFUNCTION("""COMPUTED_VALUE"""),"085014565950")</f>
        <v>085014565950</v>
      </c>
      <c r="F377">
        <f>IFERROR(__xludf.DUMMYFUNCTION("""COMPUTED_VALUE"""),462.0)</f>
        <v>462</v>
      </c>
      <c r="G377">
        <f>IFERROR(__xludf.DUMMYFUNCTION("""COMPUTED_VALUE"""),10000.0)</f>
        <v>10000</v>
      </c>
      <c r="H377" s="2">
        <f>IFERROR(__xludf.DUMMYFUNCTION("""COMPUTED_VALUE"""),1.75)</f>
        <v>1.75</v>
      </c>
      <c r="I377" s="2">
        <f>IFERROR(__xludf.DUMMYFUNCTION("""COMPUTED_VALUE"""),4.03)</f>
        <v>4.03</v>
      </c>
      <c r="J377" s="2">
        <f>IFERROR(__xludf.DUMMYFUNCTION("""COMPUTED_VALUE"""),2.2800000000000002)</f>
        <v>2.28</v>
      </c>
      <c r="K377" s="5">
        <f>IFERROR(__xludf.DUMMYFUNCTION("""COMPUTED_VALUE"""),1.302857142857143)</f>
        <v>1.302857143</v>
      </c>
      <c r="L377">
        <f>IFERROR(__xludf.DUMMYFUNCTION("""COMPUTED_VALUE"""),9196.0)</f>
        <v>9196</v>
      </c>
      <c r="M377" t="str">
        <f>IFERROR(__xludf.DUMMYFUNCTION("""COMPUTED_VALUE"""),"Art and Craft Supply")</f>
        <v>Art and Craft Supply</v>
      </c>
      <c r="N377" t="str">
        <f>IFERROR(__xludf.DUMMYFUNCTION("""COMPUTED_VALUE"""),"Restricted for online resale")</f>
        <v>Restricted for online resale</v>
      </c>
      <c r="O377" t="str">
        <f>IFERROR(__xludf.DUMMYFUNCTION("""COMPUTED_VALUE"""),"N")</f>
        <v>N</v>
      </c>
      <c r="P377" s="1" t="str">
        <f>IFERROR(__xludf.DUMMYFUNCTION("""COMPUTED_VALUE"""),"ID 22503")</f>
        <v>ID 22503</v>
      </c>
      <c r="Q377" s="1" t="str">
        <f>IFERROR(__xludf.DUMMYFUNCTION("""COMPUTED_VALUE"""),"B000KNQ2AY")</f>
        <v>B000KNQ2AY</v>
      </c>
    </row>
    <row r="378">
      <c r="A378" s="6">
        <f>IFERROR(__xludf.DUMMYFUNCTION("""COMPUTED_VALUE"""),45208.0)</f>
        <v>45208</v>
      </c>
      <c r="B378">
        <f>IFERROR(__xludf.DUMMYFUNCTION("""COMPUTED_VALUE"""),22504.0)</f>
        <v>22504</v>
      </c>
      <c r="C378" t="str">
        <f>IFERROR(__xludf.DUMMYFUNCTION("""COMPUTED_VALUE"""),"Tombow Dual Brush Pen Art Marker, 533 - Peacock Blue, 1-Pack")</f>
        <v>Tombow Dual Brush Pen Art Marker, 533 - Peacock Blue, 1-Pack</v>
      </c>
      <c r="D378" t="str">
        <f>IFERROR(__xludf.DUMMYFUNCTION("""COMPUTED_VALUE"""),"B000XAHE1A")</f>
        <v>B000XAHE1A</v>
      </c>
      <c r="E378" t="str">
        <f>IFERROR(__xludf.DUMMYFUNCTION("""COMPUTED_VALUE"""),"085014565615")</f>
        <v>085014565615</v>
      </c>
      <c r="F378">
        <f>IFERROR(__xludf.DUMMYFUNCTION("""COMPUTED_VALUE"""),462.0)</f>
        <v>462</v>
      </c>
      <c r="G378">
        <f>IFERROR(__xludf.DUMMYFUNCTION("""COMPUTED_VALUE"""),10000.0)</f>
        <v>10000</v>
      </c>
      <c r="H378" s="2">
        <f>IFERROR(__xludf.DUMMYFUNCTION("""COMPUTED_VALUE"""),1.75)</f>
        <v>1.75</v>
      </c>
      <c r="I378" s="2">
        <f>IFERROR(__xludf.DUMMYFUNCTION("""COMPUTED_VALUE"""),4.03)</f>
        <v>4.03</v>
      </c>
      <c r="J378" s="2">
        <f>IFERROR(__xludf.DUMMYFUNCTION("""COMPUTED_VALUE"""),2.2800000000000002)</f>
        <v>2.28</v>
      </c>
      <c r="K378" s="5">
        <f>IFERROR(__xludf.DUMMYFUNCTION("""COMPUTED_VALUE"""),1.302857142857143)</f>
        <v>1.302857143</v>
      </c>
      <c r="L378">
        <f>IFERROR(__xludf.DUMMYFUNCTION("""COMPUTED_VALUE"""),6130.0)</f>
        <v>6130</v>
      </c>
      <c r="M378" t="str">
        <f>IFERROR(__xludf.DUMMYFUNCTION("""COMPUTED_VALUE"""),"Art and Craft Supply")</f>
        <v>Art and Craft Supply</v>
      </c>
      <c r="N378" t="str">
        <f>IFERROR(__xludf.DUMMYFUNCTION("""COMPUTED_VALUE"""),"Restricted for online resale")</f>
        <v>Restricted for online resale</v>
      </c>
      <c r="O378" t="str">
        <f>IFERROR(__xludf.DUMMYFUNCTION("""COMPUTED_VALUE"""),"N")</f>
        <v>N</v>
      </c>
      <c r="P378" s="1" t="str">
        <f>IFERROR(__xludf.DUMMYFUNCTION("""COMPUTED_VALUE"""),"ID 22504")</f>
        <v>ID 22504</v>
      </c>
      <c r="Q378" s="1" t="str">
        <f>IFERROR(__xludf.DUMMYFUNCTION("""COMPUTED_VALUE"""),"B000XAHE1A")</f>
        <v>B000XAHE1A</v>
      </c>
    </row>
    <row r="379">
      <c r="A379" s="6">
        <f>IFERROR(__xludf.DUMMYFUNCTION("""COMPUTED_VALUE"""),44956.0)</f>
        <v>44956</v>
      </c>
      <c r="B379">
        <f>IFERROR(__xludf.DUMMYFUNCTION("""COMPUTED_VALUE"""),22505.0)</f>
        <v>22505</v>
      </c>
      <c r="C379" t="str">
        <f>IFERROR(__xludf.DUMMYFUNCTION("""COMPUTED_VALUE"""),"Tombow Dual Brush Pen Art Marker, 606 - Violet, 1-Pack")</f>
        <v>Tombow Dual Brush Pen Art Marker, 606 - Violet, 1-Pack</v>
      </c>
      <c r="D379" t="str">
        <f>IFERROR(__xludf.DUMMYFUNCTION("""COMPUTED_VALUE"""),"B0016N2BSY")</f>
        <v>B0016N2BSY</v>
      </c>
      <c r="E379" t="str">
        <f>IFERROR(__xludf.DUMMYFUNCTION("""COMPUTED_VALUE"""),"085014565684")</f>
        <v>085014565684</v>
      </c>
      <c r="F379">
        <f>IFERROR(__xludf.DUMMYFUNCTION("""COMPUTED_VALUE"""),462.0)</f>
        <v>462</v>
      </c>
      <c r="G379">
        <f>IFERROR(__xludf.DUMMYFUNCTION("""COMPUTED_VALUE"""),10000.0)</f>
        <v>10000</v>
      </c>
      <c r="H379" s="2">
        <f>IFERROR(__xludf.DUMMYFUNCTION("""COMPUTED_VALUE"""),1.75)</f>
        <v>1.75</v>
      </c>
      <c r="I379" s="2">
        <f>IFERROR(__xludf.DUMMYFUNCTION("""COMPUTED_VALUE"""),4.03)</f>
        <v>4.03</v>
      </c>
      <c r="J379" s="2">
        <f>IFERROR(__xludf.DUMMYFUNCTION("""COMPUTED_VALUE"""),2.2800000000000002)</f>
        <v>2.28</v>
      </c>
      <c r="K379" s="5">
        <f>IFERROR(__xludf.DUMMYFUNCTION("""COMPUTED_VALUE"""),1.302857142857143)</f>
        <v>1.302857143</v>
      </c>
      <c r="L379">
        <f>IFERROR(__xludf.DUMMYFUNCTION("""COMPUTED_VALUE"""),8177.0)</f>
        <v>8177</v>
      </c>
      <c r="M379" t="str">
        <f>IFERROR(__xludf.DUMMYFUNCTION("""COMPUTED_VALUE"""),"Home")</f>
        <v>Home</v>
      </c>
      <c r="N379" t="str">
        <f>IFERROR(__xludf.DUMMYFUNCTION("""COMPUTED_VALUE"""),"Restricted for online resale")</f>
        <v>Restricted for online resale</v>
      </c>
      <c r="O379" t="str">
        <f>IFERROR(__xludf.DUMMYFUNCTION("""COMPUTED_VALUE"""),"N")</f>
        <v>N</v>
      </c>
      <c r="P379" s="1" t="str">
        <f>IFERROR(__xludf.DUMMYFUNCTION("""COMPUTED_VALUE"""),"ID 22505")</f>
        <v>ID 22505</v>
      </c>
      <c r="Q379" s="1" t="str">
        <f>IFERROR(__xludf.DUMMYFUNCTION("""COMPUTED_VALUE"""),"B0016N2BSY")</f>
        <v>B0016N2BSY</v>
      </c>
    </row>
    <row r="380">
      <c r="A380" s="6">
        <f>IFERROR(__xludf.DUMMYFUNCTION("""COMPUTED_VALUE"""),45421.0)</f>
        <v>45421</v>
      </c>
      <c r="B380">
        <f>IFERROR(__xludf.DUMMYFUNCTION("""COMPUTED_VALUE"""),23058.0)</f>
        <v>23058</v>
      </c>
      <c r="C380" t="str">
        <f>IFERROR(__xludf.DUMMYFUNCTION("""COMPUTED_VALUE"""),"Molotow ONE4ALL Acrylic Paint Refill, For Molotow ONE4ALL Paint Marker, Lobster, 30ml Bottle, 1 Each (693.010)")</f>
        <v>Molotow ONE4ALL Acrylic Paint Refill, For Molotow ONE4ALL Paint Marker, Lobster, 30ml Bottle, 1 Each (693.010)</v>
      </c>
      <c r="D380" t="str">
        <f>IFERROR(__xludf.DUMMYFUNCTION("""COMPUTED_VALUE"""),"B0043MHBQ2")</f>
        <v>B0043MHBQ2</v>
      </c>
      <c r="E380" t="str">
        <f>IFERROR(__xludf.DUMMYFUNCTION("""COMPUTED_VALUE"""),"4250397601663")</f>
        <v>4250397601663</v>
      </c>
      <c r="F380">
        <f>IFERROR(__xludf.DUMMYFUNCTION("""COMPUTED_VALUE"""),294.0)</f>
        <v>294</v>
      </c>
      <c r="G380">
        <f>IFERROR(__xludf.DUMMYFUNCTION("""COMPUTED_VALUE"""),10000.0)</f>
        <v>10000</v>
      </c>
      <c r="H380" s="2">
        <f>IFERROR(__xludf.DUMMYFUNCTION("""COMPUTED_VALUE"""),7.25)</f>
        <v>7.25</v>
      </c>
      <c r="I380" s="2">
        <f>IFERROR(__xludf.DUMMYFUNCTION("""COMPUTED_VALUE"""),9.53)</f>
        <v>9.53</v>
      </c>
      <c r="J380" s="2">
        <f>IFERROR(__xludf.DUMMYFUNCTION("""COMPUTED_VALUE"""),2.2799999999999994)</f>
        <v>2.28</v>
      </c>
      <c r="K380" s="5">
        <f>IFERROR(__xludf.DUMMYFUNCTION("""COMPUTED_VALUE"""),0.3144827586206896)</f>
        <v>0.3144827586</v>
      </c>
      <c r="L380">
        <f>IFERROR(__xludf.DUMMYFUNCTION("""COMPUTED_VALUE"""),43427.0)</f>
        <v>43427</v>
      </c>
      <c r="M380" t="str">
        <f>IFERROR(__xludf.DUMMYFUNCTION("""COMPUTED_VALUE"""),"Office Product")</f>
        <v>Office Product</v>
      </c>
      <c r="O380" t="str">
        <f>IFERROR(__xludf.DUMMYFUNCTION("""COMPUTED_VALUE"""),"N")</f>
        <v>N</v>
      </c>
      <c r="P380" s="1" t="str">
        <f>IFERROR(__xludf.DUMMYFUNCTION("""COMPUTED_VALUE"""),"ID 23058")</f>
        <v>ID 23058</v>
      </c>
      <c r="Q380" s="1" t="str">
        <f>IFERROR(__xludf.DUMMYFUNCTION("""COMPUTED_VALUE"""),"B0043MHBQ2")</f>
        <v>B0043MHBQ2</v>
      </c>
    </row>
    <row r="381">
      <c r="A381" s="6">
        <f>IFERROR(__xludf.DUMMYFUNCTION("""COMPUTED_VALUE"""),45421.0)</f>
        <v>45421</v>
      </c>
      <c r="B381">
        <f>IFERROR(__xludf.DUMMYFUNCTION("""COMPUTED_VALUE"""),25917.0)</f>
        <v>25917</v>
      </c>
      <c r="C381" t="str">
        <f>IFERROR(__xludf.DUMMYFUNCTION("""COMPUTED_VALUE"""),"Rapidesign Metric Pocket Pal Template, 1 Each (R2050)")</f>
        <v>Rapidesign Metric Pocket Pal Template, 1 Each (R2050)</v>
      </c>
      <c r="D381" t="str">
        <f>IFERROR(__xludf.DUMMYFUNCTION("""COMPUTED_VALUE"""),"B00290J30C")</f>
        <v>B00290J30C</v>
      </c>
      <c r="E381" t="str">
        <f>IFERROR(__xludf.DUMMYFUNCTION("""COMPUTED_VALUE"""),"014173252876")</f>
        <v>014173252876</v>
      </c>
      <c r="F381">
        <f>IFERROR(__xludf.DUMMYFUNCTION("""COMPUTED_VALUE"""),432.0)</f>
        <v>432</v>
      </c>
      <c r="G381">
        <f>IFERROR(__xludf.DUMMYFUNCTION("""COMPUTED_VALUE"""),10000.0)</f>
        <v>10000</v>
      </c>
      <c r="H381" s="2">
        <f>IFERROR(__xludf.DUMMYFUNCTION("""COMPUTED_VALUE"""),6.5)</f>
        <v>6.5</v>
      </c>
      <c r="I381" s="2">
        <f>IFERROR(__xludf.DUMMYFUNCTION("""COMPUTED_VALUE"""),8.78)</f>
        <v>8.78</v>
      </c>
      <c r="J381" s="2">
        <f>IFERROR(__xludf.DUMMYFUNCTION("""COMPUTED_VALUE"""),2.2799999999999994)</f>
        <v>2.28</v>
      </c>
      <c r="K381" s="5">
        <f>IFERROR(__xludf.DUMMYFUNCTION("""COMPUTED_VALUE"""),0.35076923076923067)</f>
        <v>0.3507692308</v>
      </c>
      <c r="L381">
        <f>IFERROR(__xludf.DUMMYFUNCTION("""COMPUTED_VALUE"""),80481.0)</f>
        <v>80481</v>
      </c>
      <c r="M381" t="str">
        <f>IFERROR(__xludf.DUMMYFUNCTION("""COMPUTED_VALUE"""),"Office Product")</f>
        <v>Office Product</v>
      </c>
      <c r="O381" t="str">
        <f>IFERROR(__xludf.DUMMYFUNCTION("""COMPUTED_VALUE"""),"Y")</f>
        <v>Y</v>
      </c>
      <c r="P381" s="1" t="str">
        <f>IFERROR(__xludf.DUMMYFUNCTION("""COMPUTED_VALUE"""),"ID 25917")</f>
        <v>ID 25917</v>
      </c>
      <c r="Q381" s="1" t="str">
        <f>IFERROR(__xludf.DUMMYFUNCTION("""COMPUTED_VALUE"""),"B00290J30C")</f>
        <v>B00290J30C</v>
      </c>
    </row>
    <row r="382">
      <c r="A382" s="6">
        <f>IFERROR(__xludf.DUMMYFUNCTION("""COMPUTED_VALUE"""),45429.0)</f>
        <v>45429</v>
      </c>
      <c r="B382">
        <f>IFERROR(__xludf.DUMMYFUNCTION("""COMPUTED_VALUE"""),16995.0)</f>
        <v>16995</v>
      </c>
      <c r="C382" t="str">
        <f>IFERROR(__xludf.DUMMYFUNCTION("""COMPUTED_VALUE"""),"Revlon PhotoReady Color Correcting Pen for Dark Spots")</f>
        <v>Revlon PhotoReady Color Correcting Pen for Dark Spots</v>
      </c>
      <c r="D382" t="str">
        <f>IFERROR(__xludf.DUMMYFUNCTION("""COMPUTED_VALUE"""),"B07599CB1N")</f>
        <v>B07599CB1N</v>
      </c>
      <c r="E382" t="str">
        <f>IFERROR(__xludf.DUMMYFUNCTION("""COMPUTED_VALUE"""),"309974296038")</f>
        <v>309974296038</v>
      </c>
      <c r="F382">
        <f>IFERROR(__xludf.DUMMYFUNCTION("""COMPUTED_VALUE"""),528.0)</f>
        <v>528</v>
      </c>
      <c r="G382">
        <f>IFERROR(__xludf.DUMMYFUNCTION("""COMPUTED_VALUE"""),964.0)</f>
        <v>964</v>
      </c>
      <c r="H382" s="2">
        <f>IFERROR(__xludf.DUMMYFUNCTION("""COMPUTED_VALUE"""),2.5)</f>
        <v>2.5</v>
      </c>
      <c r="I382" s="2">
        <f>IFERROR(__xludf.DUMMYFUNCTION("""COMPUTED_VALUE"""),4.77)</f>
        <v>4.77</v>
      </c>
      <c r="J382" s="2">
        <f>IFERROR(__xludf.DUMMYFUNCTION("""COMPUTED_VALUE"""),2.2699999999999996)</f>
        <v>2.27</v>
      </c>
      <c r="K382" s="5">
        <f>IFERROR(__xludf.DUMMYFUNCTION("""COMPUTED_VALUE"""),0.9079999999999998)</f>
        <v>0.908</v>
      </c>
      <c r="L382">
        <f>IFERROR(__xludf.DUMMYFUNCTION("""COMPUTED_VALUE"""),30124.0)</f>
        <v>30124</v>
      </c>
      <c r="M382" t="str">
        <f>IFERROR(__xludf.DUMMYFUNCTION("""COMPUTED_VALUE"""),"Beauty")</f>
        <v>Beauty</v>
      </c>
      <c r="O382" t="str">
        <f>IFERROR(__xludf.DUMMYFUNCTION("""COMPUTED_VALUE"""),"Y")</f>
        <v>Y</v>
      </c>
      <c r="P382" s="1" t="str">
        <f>IFERROR(__xludf.DUMMYFUNCTION("""COMPUTED_VALUE"""),"ID 16995")</f>
        <v>ID 16995</v>
      </c>
      <c r="Q382" s="1" t="str">
        <f>IFERROR(__xludf.DUMMYFUNCTION("""COMPUTED_VALUE"""),"B07599CB1N")</f>
        <v>B07599CB1N</v>
      </c>
    </row>
    <row r="383">
      <c r="A383" s="6">
        <f>IFERROR(__xludf.DUMMYFUNCTION("""COMPUTED_VALUE"""),45376.0)</f>
        <v>45376</v>
      </c>
      <c r="B383">
        <f>IFERROR(__xludf.DUMMYFUNCTION("""COMPUTED_VALUE"""),21944.0)</f>
        <v>21944</v>
      </c>
      <c r="C383" t="str">
        <f>IFERROR(__xludf.DUMMYFUNCTION("""COMPUTED_VALUE"""),"Ticonderoga Noir Black Wood-Cased #2 Pencils, Holographic Design, 12-Count (13970)")</f>
        <v>Ticonderoga Noir Black Wood-Cased #2 Pencils, Holographic Design, 12-Count (13970)</v>
      </c>
      <c r="D383" t="str">
        <f>IFERROR(__xludf.DUMMYFUNCTION("""COMPUTED_VALUE"""),"B002ON02CC")</f>
        <v>B002ON02CC</v>
      </c>
      <c r="E383" t="str">
        <f>IFERROR(__xludf.DUMMYFUNCTION("""COMPUTED_VALUE"""),"072067139702")</f>
        <v>072067139702</v>
      </c>
      <c r="F383">
        <f>IFERROR(__xludf.DUMMYFUNCTION("""COMPUTED_VALUE"""),1080.0)</f>
        <v>1080</v>
      </c>
      <c r="G383">
        <f>IFERROR(__xludf.DUMMYFUNCTION("""COMPUTED_VALUE"""),10000.0)</f>
        <v>10000</v>
      </c>
      <c r="H383" s="2">
        <f>IFERROR(__xludf.DUMMYFUNCTION("""COMPUTED_VALUE"""),3.5)</f>
        <v>3.5</v>
      </c>
      <c r="I383" s="2">
        <f>IFERROR(__xludf.DUMMYFUNCTION("""COMPUTED_VALUE"""),5.77)</f>
        <v>5.77</v>
      </c>
      <c r="J383" s="2">
        <f>IFERROR(__xludf.DUMMYFUNCTION("""COMPUTED_VALUE"""),2.2699999999999996)</f>
        <v>2.27</v>
      </c>
      <c r="K383" s="5">
        <f>IFERROR(__xludf.DUMMYFUNCTION("""COMPUTED_VALUE"""),0.6485714285714285)</f>
        <v>0.6485714286</v>
      </c>
      <c r="L383">
        <f>IFERROR(__xludf.DUMMYFUNCTION("""COMPUTED_VALUE"""),14924.0)</f>
        <v>14924</v>
      </c>
      <c r="M383" t="str">
        <f>IFERROR(__xludf.DUMMYFUNCTION("""COMPUTED_VALUE"""),"BISS Basic")</f>
        <v>BISS Basic</v>
      </c>
      <c r="O383" t="str">
        <f>IFERROR(__xludf.DUMMYFUNCTION("""COMPUTED_VALUE"""),"Y")</f>
        <v>Y</v>
      </c>
      <c r="P383" s="1" t="str">
        <f>IFERROR(__xludf.DUMMYFUNCTION("""COMPUTED_VALUE"""),"ID 21944")</f>
        <v>ID 21944</v>
      </c>
      <c r="Q383" s="1" t="str">
        <f>IFERROR(__xludf.DUMMYFUNCTION("""COMPUTED_VALUE"""),"B002ON02CC")</f>
        <v>B002ON02CC</v>
      </c>
    </row>
    <row r="384">
      <c r="A384" s="6">
        <f>IFERROR(__xludf.DUMMYFUNCTION("""COMPUTED_VALUE"""),45376.0)</f>
        <v>45376</v>
      </c>
      <c r="B384">
        <f>IFERROR(__xludf.DUMMYFUNCTION("""COMPUTED_VALUE"""),24008.0)</f>
        <v>24008</v>
      </c>
      <c r="C384" t="str">
        <f>IFERROR(__xludf.DUMMYFUNCTION("""COMPUTED_VALUE"""),"JoJo Siwa Kids Floor Puzzle")</f>
        <v>JoJo Siwa Kids Floor Puzzle</v>
      </c>
      <c r="D384" t="str">
        <f>IFERROR(__xludf.DUMMYFUNCTION("""COMPUTED_VALUE"""),"B08CX539V2")</f>
        <v>B08CX539V2</v>
      </c>
      <c r="E384" t="str">
        <f>IFERROR(__xludf.DUMMYFUNCTION("""COMPUTED_VALUE"""),"686141086266")</f>
        <v>686141086266</v>
      </c>
      <c r="F384">
        <f>IFERROR(__xludf.DUMMYFUNCTION("""COMPUTED_VALUE"""),402.0)</f>
        <v>402</v>
      </c>
      <c r="G384">
        <f>IFERROR(__xludf.DUMMYFUNCTION("""COMPUTED_VALUE"""),2483.0)</f>
        <v>2483</v>
      </c>
      <c r="H384" s="2">
        <f>IFERROR(__xludf.DUMMYFUNCTION("""COMPUTED_VALUE"""),1.75)</f>
        <v>1.75</v>
      </c>
      <c r="I384" s="2">
        <f>IFERROR(__xludf.DUMMYFUNCTION("""COMPUTED_VALUE"""),4.02)</f>
        <v>4.02</v>
      </c>
      <c r="J384" s="2">
        <f>IFERROR(__xludf.DUMMYFUNCTION("""COMPUTED_VALUE"""),2.2699999999999996)</f>
        <v>2.27</v>
      </c>
      <c r="K384" s="5">
        <f>IFERROR(__xludf.DUMMYFUNCTION("""COMPUTED_VALUE"""),1.297142857142857)</f>
        <v>1.297142857</v>
      </c>
      <c r="L384">
        <f>IFERROR(__xludf.DUMMYFUNCTION("""COMPUTED_VALUE"""),39177.0)</f>
        <v>39177</v>
      </c>
      <c r="M384" t="str">
        <f>IFERROR(__xludf.DUMMYFUNCTION("""COMPUTED_VALUE"""),"Baby Product")</f>
        <v>Baby Product</v>
      </c>
      <c r="O384" t="str">
        <f>IFERROR(__xludf.DUMMYFUNCTION("""COMPUTED_VALUE"""),"Y")</f>
        <v>Y</v>
      </c>
      <c r="P384" s="1" t="str">
        <f>IFERROR(__xludf.DUMMYFUNCTION("""COMPUTED_VALUE"""),"ID 24008")</f>
        <v>ID 24008</v>
      </c>
      <c r="Q384" s="1" t="str">
        <f>IFERROR(__xludf.DUMMYFUNCTION("""COMPUTED_VALUE"""),"B08CX539V2")</f>
        <v>B08CX539V2</v>
      </c>
    </row>
    <row r="385">
      <c r="A385" s="6">
        <f>IFERROR(__xludf.DUMMYFUNCTION("""COMPUTED_VALUE"""),45425.0)</f>
        <v>45425</v>
      </c>
      <c r="B385">
        <f>IFERROR(__xludf.DUMMYFUNCTION("""COMPUTED_VALUE"""),21799.0)</f>
        <v>21799</v>
      </c>
      <c r="C385" t="str">
        <f>IFERROR(__xludf.DUMMYFUNCTION("""COMPUTED_VALUE"""),"Yves Saint Laurent Mon Paris Eau De Parfum Spray For Women, 3 Ounce")</f>
        <v>Yves Saint Laurent Mon Paris Eau De Parfum Spray For Women, 3 Ounce</v>
      </c>
      <c r="D385" t="str">
        <f>IFERROR(__xludf.DUMMYFUNCTION("""COMPUTED_VALUE"""),"B00AU1JM3K")</f>
        <v>B00AU1JM3K</v>
      </c>
      <c r="E385" t="str">
        <f>IFERROR(__xludf.DUMMYFUNCTION("""COMPUTED_VALUE"""),"3614272050358")</f>
        <v>3614272050358</v>
      </c>
      <c r="F385">
        <f>IFERROR(__xludf.DUMMYFUNCTION("""COMPUTED_VALUE"""),20.0)</f>
        <v>20</v>
      </c>
      <c r="G385">
        <f>IFERROR(__xludf.DUMMYFUNCTION("""COMPUTED_VALUE"""),10000.0)</f>
        <v>10000</v>
      </c>
      <c r="H385" s="2">
        <f>IFERROR(__xludf.DUMMYFUNCTION("""COMPUTED_VALUE"""),87.25)</f>
        <v>87.25</v>
      </c>
      <c r="I385" s="2">
        <f>IFERROR(__xludf.DUMMYFUNCTION("""COMPUTED_VALUE"""),89.5)</f>
        <v>89.5</v>
      </c>
      <c r="J385" s="2">
        <f>IFERROR(__xludf.DUMMYFUNCTION("""COMPUTED_VALUE"""),2.25)</f>
        <v>2.25</v>
      </c>
      <c r="K385" s="5">
        <f>IFERROR(__xludf.DUMMYFUNCTION("""COMPUTED_VALUE"""),0.025787965616045846)</f>
        <v>0.02578796562</v>
      </c>
      <c r="L385">
        <f>IFERROR(__xludf.DUMMYFUNCTION("""COMPUTED_VALUE"""),24404.0)</f>
        <v>24404</v>
      </c>
      <c r="M385" t="str">
        <f>IFERROR(__xludf.DUMMYFUNCTION("""COMPUTED_VALUE"""),"Beauty")</f>
        <v>Beauty</v>
      </c>
      <c r="O385" t="str">
        <f>IFERROR(__xludf.DUMMYFUNCTION("""COMPUTED_VALUE"""),"N")</f>
        <v>N</v>
      </c>
      <c r="P385" s="1" t="str">
        <f>IFERROR(__xludf.DUMMYFUNCTION("""COMPUTED_VALUE"""),"ID 21799")</f>
        <v>ID 21799</v>
      </c>
      <c r="Q385" s="1" t="str">
        <f>IFERROR(__xludf.DUMMYFUNCTION("""COMPUTED_VALUE"""),"B00AU1JM3K")</f>
        <v>B00AU1JM3K</v>
      </c>
    </row>
    <row r="386">
      <c r="A386" s="6">
        <f>IFERROR(__xludf.DUMMYFUNCTION("""COMPUTED_VALUE"""),45350.0)</f>
        <v>45350</v>
      </c>
      <c r="B386">
        <f>IFERROR(__xludf.DUMMYFUNCTION("""COMPUTED_VALUE"""),22992.0)</f>
        <v>22992</v>
      </c>
      <c r="C386" t="str">
        <f>IFERROR(__xludf.DUMMYFUNCTION("""COMPUTED_VALUE"""),"ADVANTUS Panel Wall Clip for Fabric Panels, Standard Size, 40-Sheet Capacity, Pack of 4, Assorted Cool Colors (75306)")</f>
        <v>ADVANTUS Panel Wall Clip for Fabric Panels, Standard Size, 40-Sheet Capacity, Pack of 4, Assorted Cool Colors (75306)</v>
      </c>
      <c r="D386" t="str">
        <f>IFERROR(__xludf.DUMMYFUNCTION("""COMPUTED_VALUE"""),"B001M4SDES")</f>
        <v>B001M4SDES</v>
      </c>
      <c r="E386" t="str">
        <f>IFERROR(__xludf.DUMMYFUNCTION("""COMPUTED_VALUE"""),"091141753061")</f>
        <v>091141753061</v>
      </c>
      <c r="F386">
        <f>IFERROR(__xludf.DUMMYFUNCTION("""COMPUTED_VALUE"""),528.0)</f>
        <v>528</v>
      </c>
      <c r="G386">
        <f>IFERROR(__xludf.DUMMYFUNCTION("""COMPUTED_VALUE"""),10000.0)</f>
        <v>10000</v>
      </c>
      <c r="H386" s="2">
        <f>IFERROR(__xludf.DUMMYFUNCTION("""COMPUTED_VALUE"""),2.5)</f>
        <v>2.5</v>
      </c>
      <c r="I386" s="2">
        <f>IFERROR(__xludf.DUMMYFUNCTION("""COMPUTED_VALUE"""),4.75)</f>
        <v>4.75</v>
      </c>
      <c r="J386" s="2">
        <f>IFERROR(__xludf.DUMMYFUNCTION("""COMPUTED_VALUE"""),2.25)</f>
        <v>2.25</v>
      </c>
      <c r="K386" s="5">
        <f>IFERROR(__xludf.DUMMYFUNCTION("""COMPUTED_VALUE"""),0.9)</f>
        <v>0.9</v>
      </c>
      <c r="L386">
        <f>IFERROR(__xludf.DUMMYFUNCTION("""COMPUTED_VALUE"""),6373.0)</f>
        <v>6373</v>
      </c>
      <c r="M386" t="str">
        <f>IFERROR(__xludf.DUMMYFUNCTION("""COMPUTED_VALUE"""),"BISS")</f>
        <v>BISS</v>
      </c>
      <c r="O386" t="str">
        <f>IFERROR(__xludf.DUMMYFUNCTION("""COMPUTED_VALUE"""),"Y")</f>
        <v>Y</v>
      </c>
      <c r="P386" s="1" t="str">
        <f>IFERROR(__xludf.DUMMYFUNCTION("""COMPUTED_VALUE"""),"ID 22992")</f>
        <v>ID 22992</v>
      </c>
      <c r="Q386" s="1" t="str">
        <f>IFERROR(__xludf.DUMMYFUNCTION("""COMPUTED_VALUE"""),"B001M4SDES")</f>
        <v>B001M4SDES</v>
      </c>
    </row>
    <row r="387">
      <c r="A387" s="6">
        <f>IFERROR(__xludf.DUMMYFUNCTION("""COMPUTED_VALUE"""),44006.0)</f>
        <v>44006</v>
      </c>
      <c r="B387">
        <f>IFERROR(__xludf.DUMMYFUNCTION("""COMPUTED_VALUE"""),12571.0)</f>
        <v>12571</v>
      </c>
      <c r="C387" t="str">
        <f>IFERROR(__xludf.DUMMYFUNCTION("""COMPUTED_VALUE"""),"Adidas Moves For Men Eau De Toilette Spray, 1 Fl Oz")</f>
        <v>Adidas Moves For Men Eau De Toilette Spray, 1 Fl Oz</v>
      </c>
      <c r="D387" t="str">
        <f>IFERROR(__xludf.DUMMYFUNCTION("""COMPUTED_VALUE"""),"B002Z7FU9C")</f>
        <v>B002Z7FU9C</v>
      </c>
      <c r="E387" t="str">
        <f>IFERROR(__xludf.DUMMYFUNCTION("""COMPUTED_VALUE"""),"31655337906")</f>
        <v>31655337906</v>
      </c>
      <c r="F387">
        <f>IFERROR(__xludf.DUMMYFUNCTION("""COMPUTED_VALUE"""),220.0)</f>
        <v>220</v>
      </c>
      <c r="G387">
        <f>IFERROR(__xludf.DUMMYFUNCTION("""COMPUTED_VALUE"""),96.0)</f>
        <v>96</v>
      </c>
      <c r="H387" s="2">
        <f>IFERROR(__xludf.DUMMYFUNCTION("""COMPUTED_VALUE"""),6.0)</f>
        <v>6</v>
      </c>
      <c r="I387" s="2">
        <f>IFERROR(__xludf.DUMMYFUNCTION("""COMPUTED_VALUE"""),8.23)</f>
        <v>8.23</v>
      </c>
      <c r="J387" s="2">
        <f>IFERROR(__xludf.DUMMYFUNCTION("""COMPUTED_VALUE"""),2.2300000000000004)</f>
        <v>2.23</v>
      </c>
      <c r="K387" s="5">
        <f>IFERROR(__xludf.DUMMYFUNCTION("""COMPUTED_VALUE"""),0.37166666666666676)</f>
        <v>0.3716666667</v>
      </c>
      <c r="L387">
        <f>IFERROR(__xludf.DUMMYFUNCTION("""COMPUTED_VALUE"""),8595.0)</f>
        <v>8595</v>
      </c>
      <c r="M387" t="str">
        <f>IFERROR(__xludf.DUMMYFUNCTION("""COMPUTED_VALUE"""),"Beauty")</f>
        <v>Beauty</v>
      </c>
      <c r="O387" t="str">
        <f>IFERROR(__xludf.DUMMYFUNCTION("""COMPUTED_VALUE"""),"Y")</f>
        <v>Y</v>
      </c>
      <c r="P387" s="1" t="str">
        <f>IFERROR(__xludf.DUMMYFUNCTION("""COMPUTED_VALUE"""),"ID 12571")</f>
        <v>ID 12571</v>
      </c>
      <c r="Q387" s="1" t="str">
        <f>IFERROR(__xludf.DUMMYFUNCTION("""COMPUTED_VALUE"""),"B002Z7FU9C")</f>
        <v>B002Z7FU9C</v>
      </c>
    </row>
    <row r="388">
      <c r="A388" s="6">
        <f>IFERROR(__xludf.DUMMYFUNCTION("""COMPUTED_VALUE"""),45390.0)</f>
        <v>45390</v>
      </c>
      <c r="B388">
        <f>IFERROR(__xludf.DUMMYFUNCTION("""COMPUTED_VALUE"""),14118.0)</f>
        <v>14118</v>
      </c>
      <c r="C388" t="str">
        <f>IFERROR(__xludf.DUMMYFUNCTION("""COMPUTED_VALUE"""),"Chef Craft 2329122 Vibrant Plastic 4 Piece Large Bag Clip Set, 4-Pack, Green/Blue/Orange/Purple")</f>
        <v>Chef Craft 2329122 Vibrant Plastic 4 Piece Large Bag Clip Set, 4-Pack, Green/Blue/Orange/Purple</v>
      </c>
      <c r="D388" t="str">
        <f>IFERROR(__xludf.DUMMYFUNCTION("""COMPUTED_VALUE"""),"B00RLDI0DS")</f>
        <v>B00RLDI0DS</v>
      </c>
      <c r="E388" t="str">
        <f>IFERROR(__xludf.DUMMYFUNCTION("""COMPUTED_VALUE"""),"085455420238")</f>
        <v>085455420238</v>
      </c>
      <c r="F388">
        <f>IFERROR(__xludf.DUMMYFUNCTION("""COMPUTED_VALUE"""),360.0)</f>
        <v>360</v>
      </c>
      <c r="G388">
        <f>IFERROR(__xludf.DUMMYFUNCTION("""COMPUTED_VALUE"""),10000.0)</f>
        <v>10000</v>
      </c>
      <c r="H388" s="2">
        <f>IFERROR(__xludf.DUMMYFUNCTION("""COMPUTED_VALUE"""),3.75)</f>
        <v>3.75</v>
      </c>
      <c r="I388" s="2">
        <f>IFERROR(__xludf.DUMMYFUNCTION("""COMPUTED_VALUE"""),5.97)</f>
        <v>5.97</v>
      </c>
      <c r="J388" s="2">
        <f>IFERROR(__xludf.DUMMYFUNCTION("""COMPUTED_VALUE"""),2.2199999999999998)</f>
        <v>2.22</v>
      </c>
      <c r="K388" s="5">
        <f>IFERROR(__xludf.DUMMYFUNCTION("""COMPUTED_VALUE"""),0.592)</f>
        <v>0.592</v>
      </c>
      <c r="L388">
        <f>IFERROR(__xludf.DUMMYFUNCTION("""COMPUTED_VALUE"""),65902.0)</f>
        <v>65902</v>
      </c>
      <c r="M388" t="str">
        <f>IFERROR(__xludf.DUMMYFUNCTION("""COMPUTED_VALUE"""),"Kitchen")</f>
        <v>Kitchen</v>
      </c>
      <c r="O388" t="str">
        <f>IFERROR(__xludf.DUMMYFUNCTION("""COMPUTED_VALUE"""),"N")</f>
        <v>N</v>
      </c>
      <c r="P388" s="1" t="str">
        <f>IFERROR(__xludf.DUMMYFUNCTION("""COMPUTED_VALUE"""),"ID 14118")</f>
        <v>ID 14118</v>
      </c>
      <c r="Q388" s="1" t="str">
        <f>IFERROR(__xludf.DUMMYFUNCTION("""COMPUTED_VALUE"""),"B00RLDI0DS")</f>
        <v>B00RLDI0DS</v>
      </c>
    </row>
    <row r="389">
      <c r="A389" s="6">
        <f>IFERROR(__xludf.DUMMYFUNCTION("""COMPUTED_VALUE"""),45376.0)</f>
        <v>45376</v>
      </c>
      <c r="B389">
        <f>IFERROR(__xludf.DUMMYFUNCTION("""COMPUTED_VALUE"""),17046.0)</f>
        <v>17046</v>
      </c>
      <c r="C389" t="str">
        <f>IFERROR(__xludf.DUMMYFUNCTION("""COMPUTED_VALUE"""),"DIXON Dry Erase Markers, Wedge Tip, Red, 12-Pack (92101)")</f>
        <v>DIXON Dry Erase Markers, Wedge Tip, Red, 12-Pack (92101)</v>
      </c>
      <c r="D389" t="str">
        <f>IFERROR(__xludf.DUMMYFUNCTION("""COMPUTED_VALUE"""),"B0050A69LY")</f>
        <v>B0050A69LY</v>
      </c>
      <c r="E389" t="str">
        <f>IFERROR(__xludf.DUMMYFUNCTION("""COMPUTED_VALUE"""),"072067921017")</f>
        <v>072067921017</v>
      </c>
      <c r="F389">
        <f>IFERROR(__xludf.DUMMYFUNCTION("""COMPUTED_VALUE"""),468.0)</f>
        <v>468</v>
      </c>
      <c r="G389">
        <f>IFERROR(__xludf.DUMMYFUNCTION("""COMPUTED_VALUE"""),10000.0)</f>
        <v>10000</v>
      </c>
      <c r="H389" s="2">
        <f>IFERROR(__xludf.DUMMYFUNCTION("""COMPUTED_VALUE"""),7.75)</f>
        <v>7.75</v>
      </c>
      <c r="I389" s="2">
        <f>IFERROR(__xludf.DUMMYFUNCTION("""COMPUTED_VALUE"""),9.96)</f>
        <v>9.96</v>
      </c>
      <c r="J389" s="2">
        <f>IFERROR(__xludf.DUMMYFUNCTION("""COMPUTED_VALUE"""),2.210000000000001)</f>
        <v>2.21</v>
      </c>
      <c r="K389" s="5">
        <f>IFERROR(__xludf.DUMMYFUNCTION("""COMPUTED_VALUE"""),0.28516129032258075)</f>
        <v>0.2851612903</v>
      </c>
      <c r="L389">
        <f>IFERROR(__xludf.DUMMYFUNCTION("""COMPUTED_VALUE"""),59052.0)</f>
        <v>59052</v>
      </c>
      <c r="M389" t="str">
        <f>IFERROR(__xludf.DUMMYFUNCTION("""COMPUTED_VALUE"""),"BISS Basic")</f>
        <v>BISS Basic</v>
      </c>
      <c r="O389" t="str">
        <f>IFERROR(__xludf.DUMMYFUNCTION("""COMPUTED_VALUE"""),"Y")</f>
        <v>Y</v>
      </c>
      <c r="P389" s="1" t="str">
        <f>IFERROR(__xludf.DUMMYFUNCTION("""COMPUTED_VALUE"""),"ID 17046")</f>
        <v>ID 17046</v>
      </c>
      <c r="Q389" s="1" t="str">
        <f>IFERROR(__xludf.DUMMYFUNCTION("""COMPUTED_VALUE"""),"B0050A69LY")</f>
        <v>B0050A69LY</v>
      </c>
    </row>
    <row r="390">
      <c r="A390" s="6">
        <f>IFERROR(__xludf.DUMMYFUNCTION("""COMPUTED_VALUE"""),45054.0)</f>
        <v>45054</v>
      </c>
      <c r="B390">
        <f>IFERROR(__xludf.DUMMYFUNCTION("""COMPUTED_VALUE"""),23902.0)</f>
        <v>23902</v>
      </c>
      <c r="C390" t="str">
        <f>IFERROR(__xludf.DUMMYFUNCTION("""COMPUTED_VALUE"""),"Disney Minnie Mouse Stapler by Swingline, Compact, 20 Sheets, Bow Design (S7087956)")</f>
        <v>Disney Minnie Mouse Stapler by Swingline, Compact, 20 Sheets, Bow Design (S7087956)</v>
      </c>
      <c r="D390" t="str">
        <f>IFERROR(__xludf.DUMMYFUNCTION("""COMPUTED_VALUE"""),"B01NAZ11HC")</f>
        <v>B01NAZ11HC</v>
      </c>
      <c r="E390" t="str">
        <f>IFERROR(__xludf.DUMMYFUNCTION("""COMPUTED_VALUE"""),"74711879569")</f>
        <v>74711879569</v>
      </c>
      <c r="F390">
        <f>IFERROR(__xludf.DUMMYFUNCTION("""COMPUTED_VALUE"""),882.0)</f>
        <v>882</v>
      </c>
      <c r="G390">
        <f>IFERROR(__xludf.DUMMYFUNCTION("""COMPUTED_VALUE"""),10000.0)</f>
        <v>10000</v>
      </c>
      <c r="H390" s="2">
        <f>IFERROR(__xludf.DUMMYFUNCTION("""COMPUTED_VALUE"""),5.5)</f>
        <v>5.5</v>
      </c>
      <c r="I390" s="2">
        <f>IFERROR(__xludf.DUMMYFUNCTION("""COMPUTED_VALUE"""),7.71)</f>
        <v>7.71</v>
      </c>
      <c r="J390" s="2">
        <f>IFERROR(__xludf.DUMMYFUNCTION("""COMPUTED_VALUE"""),2.21)</f>
        <v>2.21</v>
      </c>
      <c r="K390" s="5">
        <f>IFERROR(__xludf.DUMMYFUNCTION("""COMPUTED_VALUE"""),0.4018181818181818)</f>
        <v>0.4018181818</v>
      </c>
      <c r="L390">
        <f>IFERROR(__xludf.DUMMYFUNCTION("""COMPUTED_VALUE"""),40308.0)</f>
        <v>40308</v>
      </c>
      <c r="M390" t="str">
        <f>IFERROR(__xludf.DUMMYFUNCTION("""COMPUTED_VALUE"""),"Office Product")</f>
        <v>Office Product</v>
      </c>
      <c r="N390" t="str">
        <f>IFERROR(__xludf.DUMMYFUNCTION("""COMPUTED_VALUE"""),"Promo: OSMI,No ETA")</f>
        <v>Promo: OSMI,No ETA</v>
      </c>
      <c r="O390" t="str">
        <f>IFERROR(__xludf.DUMMYFUNCTION("""COMPUTED_VALUE"""),"N")</f>
        <v>N</v>
      </c>
      <c r="P390" s="1" t="str">
        <f>IFERROR(__xludf.DUMMYFUNCTION("""COMPUTED_VALUE"""),"ID 23902")</f>
        <v>ID 23902</v>
      </c>
      <c r="Q390" s="1" t="str">
        <f>IFERROR(__xludf.DUMMYFUNCTION("""COMPUTED_VALUE"""),"B01NAZ11HC")</f>
        <v>B01NAZ11HC</v>
      </c>
    </row>
    <row r="391">
      <c r="A391" s="6">
        <f>IFERROR(__xludf.DUMMYFUNCTION("""COMPUTED_VALUE"""),44414.0)</f>
        <v>44414</v>
      </c>
      <c r="B391">
        <f>IFERROR(__xludf.DUMMYFUNCTION("""COMPUTED_VALUE"""),18084.0)</f>
        <v>18084</v>
      </c>
      <c r="C391" t="str">
        <f>IFERROR(__xludf.DUMMYFUNCTION("""COMPUTED_VALUE"""),"SOULCALIBUR VI: Standard Edition - Xbox One")</f>
        <v>SOULCALIBUR VI: Standard Edition - Xbox One</v>
      </c>
      <c r="D391" t="str">
        <f>IFERROR(__xludf.DUMMYFUNCTION("""COMPUTED_VALUE"""),"B077Y86FJP")</f>
        <v>B077Y86FJP</v>
      </c>
      <c r="E391" t="str">
        <f>IFERROR(__xludf.DUMMYFUNCTION("""COMPUTED_VALUE"""),"722674220514")</f>
        <v>722674220514</v>
      </c>
      <c r="F391">
        <f>IFERROR(__xludf.DUMMYFUNCTION("""COMPUTED_VALUE"""),92.0)</f>
        <v>92</v>
      </c>
      <c r="G391">
        <f>IFERROR(__xludf.DUMMYFUNCTION("""COMPUTED_VALUE"""),92.0)</f>
        <v>92</v>
      </c>
      <c r="H391" s="2">
        <f>IFERROR(__xludf.DUMMYFUNCTION("""COMPUTED_VALUE"""),11.5)</f>
        <v>11.5</v>
      </c>
      <c r="I391" s="2">
        <f>IFERROR(__xludf.DUMMYFUNCTION("""COMPUTED_VALUE"""),13.7)</f>
        <v>13.7</v>
      </c>
      <c r="J391" s="2">
        <f>IFERROR(__xludf.DUMMYFUNCTION("""COMPUTED_VALUE"""),2.1999999999999993)</f>
        <v>2.2</v>
      </c>
      <c r="K391" s="5">
        <f>IFERROR(__xludf.DUMMYFUNCTION("""COMPUTED_VALUE"""),0.1913043478260869)</f>
        <v>0.1913043478</v>
      </c>
      <c r="L391">
        <f>IFERROR(__xludf.DUMMYFUNCTION("""COMPUTED_VALUE"""),10689.0)</f>
        <v>10689</v>
      </c>
      <c r="M391" t="str">
        <f>IFERROR(__xludf.DUMMYFUNCTION("""COMPUTED_VALUE"""),"Video Games")</f>
        <v>Video Games</v>
      </c>
      <c r="O391" t="str">
        <f>IFERROR(__xludf.DUMMYFUNCTION("""COMPUTED_VALUE"""),"N")</f>
        <v>N</v>
      </c>
      <c r="P391" s="1" t="str">
        <f>IFERROR(__xludf.DUMMYFUNCTION("""COMPUTED_VALUE"""),"ID 18084")</f>
        <v>ID 18084</v>
      </c>
      <c r="Q391" s="1" t="str">
        <f>IFERROR(__xludf.DUMMYFUNCTION("""COMPUTED_VALUE"""),"B077Y86FJP")</f>
        <v>B077Y86FJP</v>
      </c>
    </row>
    <row r="392">
      <c r="A392" s="6">
        <f>IFERROR(__xludf.DUMMYFUNCTION("""COMPUTED_VALUE"""),44417.0)</f>
        <v>44417</v>
      </c>
      <c r="B392">
        <f>IFERROR(__xludf.DUMMYFUNCTION("""COMPUTED_VALUE"""),21449.0)</f>
        <v>21449</v>
      </c>
      <c r="C392" t="str">
        <f>IFERROR(__xludf.DUMMYFUNCTION("""COMPUTED_VALUE"""),"Kids Star Night Light, 360-Degree Rotating Star Projector, Desk Lamp 4 LEDs 8 Colors Changing with USB Cable, Best for Children Baby Bedroom and Party Decorations")</f>
        <v>Kids Star Night Light, 360-Degree Rotating Star Projector, Desk Lamp 4 LEDs 8 Colors Changing with USB Cable, Best for Children Baby Bedroom and Party Decorations</v>
      </c>
      <c r="D392" t="str">
        <f>IFERROR(__xludf.DUMMYFUNCTION("""COMPUTED_VALUE"""),"B07SR29FHB")</f>
        <v>B07SR29FHB</v>
      </c>
      <c r="F392">
        <f>IFERROR(__xludf.DUMMYFUNCTION("""COMPUTED_VALUE"""),264.0)</f>
        <v>264</v>
      </c>
      <c r="G392">
        <f>IFERROR(__xludf.DUMMYFUNCTION("""COMPUTED_VALUE"""),264.0)</f>
        <v>264</v>
      </c>
      <c r="H392" s="2">
        <f>IFERROR(__xludf.DUMMYFUNCTION("""COMPUTED_VALUE"""),4.75)</f>
        <v>4.75</v>
      </c>
      <c r="I392" s="2">
        <f>IFERROR(__xludf.DUMMYFUNCTION("""COMPUTED_VALUE"""),6.94)</f>
        <v>6.94</v>
      </c>
      <c r="J392" s="2">
        <f>IFERROR(__xludf.DUMMYFUNCTION("""COMPUTED_VALUE"""),2.1900000000000004)</f>
        <v>2.19</v>
      </c>
      <c r="K392" s="5">
        <f>IFERROR(__xludf.DUMMYFUNCTION("""COMPUTED_VALUE"""),0.46105263157894744)</f>
        <v>0.4610526316</v>
      </c>
      <c r="L392">
        <f>IFERROR(__xludf.DUMMYFUNCTION("""COMPUTED_VALUE"""),36137.0)</f>
        <v>36137</v>
      </c>
      <c r="M392" t="str">
        <f>IFERROR(__xludf.DUMMYFUNCTION("""COMPUTED_VALUE"""),"Home Improvement")</f>
        <v>Home Improvement</v>
      </c>
      <c r="N392" t="str">
        <f>IFERROR(__xludf.DUMMYFUNCTION("""COMPUTED_VALUE"""),"Brand permission to resell on amazon unknown")</f>
        <v>Brand permission to resell on amazon unknown</v>
      </c>
      <c r="O392" t="str">
        <f>IFERROR(__xludf.DUMMYFUNCTION("""COMPUTED_VALUE"""),"N")</f>
        <v>N</v>
      </c>
      <c r="P392" s="1" t="str">
        <f>IFERROR(__xludf.DUMMYFUNCTION("""COMPUTED_VALUE"""),"ID 21449")</f>
        <v>ID 21449</v>
      </c>
      <c r="Q392" s="1" t="str">
        <f>IFERROR(__xludf.DUMMYFUNCTION("""COMPUTED_VALUE"""),"B07SR29FHB")</f>
        <v>B07SR29FHB</v>
      </c>
    </row>
    <row r="393">
      <c r="A393" s="6">
        <f>IFERROR(__xludf.DUMMYFUNCTION("""COMPUTED_VALUE"""),45113.0)</f>
        <v>45113</v>
      </c>
      <c r="B393">
        <f>IFERROR(__xludf.DUMMYFUNCTION("""COMPUTED_VALUE"""),17745.0)</f>
        <v>17745</v>
      </c>
      <c r="C393" t="str">
        <f>IFERROR(__xludf.DUMMYFUNCTION("""COMPUTED_VALUE"""),"Paper Mate 810408 Flair Felt Pens Medium Point Assorted Ink 4/Pack (84044)")</f>
        <v>Paper Mate 810408 Flair Felt Pens Medium Point Assorted Ink 4/Pack (84044)</v>
      </c>
      <c r="D393" t="str">
        <f>IFERROR(__xludf.DUMMYFUNCTION("""COMPUTED_VALUE"""),"B0797MR2G6")</f>
        <v>B0797MR2G6</v>
      </c>
      <c r="E393" t="str">
        <f>IFERROR(__xludf.DUMMYFUNCTION("""COMPUTED_VALUE"""),"041540840442")</f>
        <v>041540840442</v>
      </c>
      <c r="F393">
        <f>IFERROR(__xludf.DUMMYFUNCTION("""COMPUTED_VALUE"""),624.0)</f>
        <v>624</v>
      </c>
      <c r="G393">
        <f>IFERROR(__xludf.DUMMYFUNCTION("""COMPUTED_VALUE"""),10000.0)</f>
        <v>10000</v>
      </c>
      <c r="H393" s="2">
        <f>IFERROR(__xludf.DUMMYFUNCTION("""COMPUTED_VALUE"""),4.5)</f>
        <v>4.5</v>
      </c>
      <c r="I393" s="2">
        <f>IFERROR(__xludf.DUMMYFUNCTION("""COMPUTED_VALUE"""),6.68)</f>
        <v>6.68</v>
      </c>
      <c r="J393" s="2">
        <f>IFERROR(__xludf.DUMMYFUNCTION("""COMPUTED_VALUE"""),2.1799999999999997)</f>
        <v>2.18</v>
      </c>
      <c r="K393" s="5">
        <f>IFERROR(__xludf.DUMMYFUNCTION("""COMPUTED_VALUE"""),0.4844444444444444)</f>
        <v>0.4844444444</v>
      </c>
      <c r="L393">
        <f>IFERROR(__xludf.DUMMYFUNCTION("""COMPUTED_VALUE"""),81155.0)</f>
        <v>81155</v>
      </c>
      <c r="M393" t="str">
        <f>IFERROR(__xludf.DUMMYFUNCTION("""COMPUTED_VALUE"""),"Office Product")</f>
        <v>Office Product</v>
      </c>
      <c r="O393" t="str">
        <f>IFERROR(__xludf.DUMMYFUNCTION("""COMPUTED_VALUE"""),"N")</f>
        <v>N</v>
      </c>
      <c r="P393" s="1" t="str">
        <f>IFERROR(__xludf.DUMMYFUNCTION("""COMPUTED_VALUE"""),"ID 17745")</f>
        <v>ID 17745</v>
      </c>
      <c r="Q393" s="1" t="str">
        <f>IFERROR(__xludf.DUMMYFUNCTION("""COMPUTED_VALUE"""),"B0797MR2G6")</f>
        <v>B0797MR2G6</v>
      </c>
    </row>
    <row r="394">
      <c r="A394" s="6">
        <f>IFERROR(__xludf.DUMMYFUNCTION("""COMPUTED_VALUE"""),45378.0)</f>
        <v>45378</v>
      </c>
      <c r="B394">
        <f>IFERROR(__xludf.DUMMYFUNCTION("""COMPUTED_VALUE"""),19284.0)</f>
        <v>19284</v>
      </c>
      <c r="C394" t="str">
        <f>IFERROR(__xludf.DUMMYFUNCTION("""COMPUTED_VALUE"""),"Banzai Triple Racer 16 Ft Water Slide-with 3 bodyboards included")</f>
        <v>Banzai Triple Racer 16 Ft Water Slide-with 3 bodyboards included</v>
      </c>
      <c r="D394" t="str">
        <f>IFERROR(__xludf.DUMMYFUNCTION("""COMPUTED_VALUE"""),"B06WWGWQFD")</f>
        <v>B06WWGWQFD</v>
      </c>
      <c r="E394" t="str">
        <f>IFERROR(__xludf.DUMMYFUNCTION("""COMPUTED_VALUE"""),"191124423292")</f>
        <v>191124423292</v>
      </c>
      <c r="F394">
        <f>IFERROR(__xludf.DUMMYFUNCTION("""COMPUTED_VALUE"""),112.0)</f>
        <v>112</v>
      </c>
      <c r="G394">
        <f>IFERROR(__xludf.DUMMYFUNCTION("""COMPUTED_VALUE"""),7900.0)</f>
        <v>7900</v>
      </c>
      <c r="H394" s="2">
        <f>IFERROR(__xludf.DUMMYFUNCTION("""COMPUTED_VALUE"""),11.25)</f>
        <v>11.25</v>
      </c>
      <c r="I394" s="2">
        <f>IFERROR(__xludf.DUMMYFUNCTION("""COMPUTED_VALUE"""),13.43)</f>
        <v>13.43</v>
      </c>
      <c r="J394" s="2">
        <f>IFERROR(__xludf.DUMMYFUNCTION("""COMPUTED_VALUE"""),2.1799999999999997)</f>
        <v>2.18</v>
      </c>
      <c r="K394" s="5">
        <f>IFERROR(__xludf.DUMMYFUNCTION("""COMPUTED_VALUE"""),0.19377777777777774)</f>
        <v>0.1937777778</v>
      </c>
      <c r="L394">
        <f>IFERROR(__xludf.DUMMYFUNCTION("""COMPUTED_VALUE"""),21974.0)</f>
        <v>21974</v>
      </c>
      <c r="M394" t="str">
        <f>IFERROR(__xludf.DUMMYFUNCTION("""COMPUTED_VALUE"""),"Toy")</f>
        <v>Toy</v>
      </c>
      <c r="O394" t="str">
        <f>IFERROR(__xludf.DUMMYFUNCTION("""COMPUTED_VALUE"""),"N")</f>
        <v>N</v>
      </c>
      <c r="P394" s="1" t="str">
        <f>IFERROR(__xludf.DUMMYFUNCTION("""COMPUTED_VALUE"""),"ID 19284")</f>
        <v>ID 19284</v>
      </c>
      <c r="Q394" s="1" t="str">
        <f>IFERROR(__xludf.DUMMYFUNCTION("""COMPUTED_VALUE"""),"B06WWGWQFD")</f>
        <v>B06WWGWQFD</v>
      </c>
    </row>
    <row r="395">
      <c r="A395" s="6">
        <f>IFERROR(__xludf.DUMMYFUNCTION("""COMPUTED_VALUE"""),45229.0)</f>
        <v>45229</v>
      </c>
      <c r="B395">
        <f>IFERROR(__xludf.DUMMYFUNCTION("""COMPUTED_VALUE"""),20033.0)</f>
        <v>20033</v>
      </c>
      <c r="C395" t="str">
        <f>IFERROR(__xludf.DUMMYFUNCTION("""COMPUTED_VALUE"""),"ACCO Brands ACCO Ideal Paper Clamp/Butterfly Clamp, Smooth, 2 Size(Small), 50/Box, 3-Pack (150 Clamps Total) (A7072643)")</f>
        <v>ACCO Brands ACCO Ideal Paper Clamp/Butterfly Clamp, Smooth, 2 Size(Small), 50/Box, 3-Pack (150 Clamps Total) (A7072643)</v>
      </c>
      <c r="D395" t="str">
        <f>IFERROR(__xludf.DUMMYFUNCTION("""COMPUTED_VALUE"""),"B01I4RM12A")</f>
        <v>B01I4RM12A</v>
      </c>
      <c r="E395" t="str">
        <f>IFERROR(__xludf.DUMMYFUNCTION("""COMPUTED_VALUE"""),"050505726431")</f>
        <v>050505726431</v>
      </c>
      <c r="F395">
        <f>IFERROR(__xludf.DUMMYFUNCTION("""COMPUTED_VALUE"""),318.0)</f>
        <v>318</v>
      </c>
      <c r="G395">
        <f>IFERROR(__xludf.DUMMYFUNCTION("""COMPUTED_VALUE"""),10000.0)</f>
        <v>10000</v>
      </c>
      <c r="H395" s="2">
        <f>IFERROR(__xludf.DUMMYFUNCTION("""COMPUTED_VALUE"""),8.5)</f>
        <v>8.5</v>
      </c>
      <c r="I395" s="2">
        <f>IFERROR(__xludf.DUMMYFUNCTION("""COMPUTED_VALUE"""),10.68)</f>
        <v>10.68</v>
      </c>
      <c r="J395" s="2">
        <f>IFERROR(__xludf.DUMMYFUNCTION("""COMPUTED_VALUE"""),2.1799999999999997)</f>
        <v>2.18</v>
      </c>
      <c r="K395" s="5">
        <f>IFERROR(__xludf.DUMMYFUNCTION("""COMPUTED_VALUE"""),0.25647058823529406)</f>
        <v>0.2564705882</v>
      </c>
      <c r="L395">
        <f>IFERROR(__xludf.DUMMYFUNCTION("""COMPUTED_VALUE"""),80239.0)</f>
        <v>80239</v>
      </c>
      <c r="M395" t="str">
        <f>IFERROR(__xludf.DUMMYFUNCTION("""COMPUTED_VALUE"""),"Office Product")</f>
        <v>Office Product</v>
      </c>
      <c r="O395" t="str">
        <f>IFERROR(__xludf.DUMMYFUNCTION("""COMPUTED_VALUE"""),"Y")</f>
        <v>Y</v>
      </c>
      <c r="P395" s="1" t="str">
        <f>IFERROR(__xludf.DUMMYFUNCTION("""COMPUTED_VALUE"""),"ID 20033")</f>
        <v>ID 20033</v>
      </c>
      <c r="Q395" s="1" t="str">
        <f>IFERROR(__xludf.DUMMYFUNCTION("""COMPUTED_VALUE"""),"B01I4RM12A")</f>
        <v>B01I4RM12A</v>
      </c>
    </row>
    <row r="396">
      <c r="A396" s="6">
        <f>IFERROR(__xludf.DUMMYFUNCTION("""COMPUTED_VALUE"""),45273.0)</f>
        <v>45273</v>
      </c>
      <c r="B396">
        <f>IFERROR(__xludf.DUMMYFUNCTION("""COMPUTED_VALUE"""),22502.0)</f>
        <v>22502</v>
      </c>
      <c r="C396" t="str">
        <f>IFERROR(__xludf.DUMMYFUNCTION("""COMPUTED_VALUE"""),"Tombow Dual Brush Pen Art Marker, 491 - Glacier Blue, 1-Pack")</f>
        <v>Tombow Dual Brush Pen Art Marker, 491 - Glacier Blue, 1-Pack</v>
      </c>
      <c r="D396" t="str">
        <f>IFERROR(__xludf.DUMMYFUNCTION("""COMPUTED_VALUE"""),"B000KNLUYW")</f>
        <v>B000KNLUYW</v>
      </c>
      <c r="E396" t="str">
        <f>IFERROR(__xludf.DUMMYFUNCTION("""COMPUTED_VALUE"""),"085014565547")</f>
        <v>085014565547</v>
      </c>
      <c r="F396">
        <f>IFERROR(__xludf.DUMMYFUNCTION("""COMPUTED_VALUE"""),804.0)</f>
        <v>804</v>
      </c>
      <c r="G396">
        <f>IFERROR(__xludf.DUMMYFUNCTION("""COMPUTED_VALUE"""),10000.0)</f>
        <v>10000</v>
      </c>
      <c r="H396" s="2">
        <f>IFERROR(__xludf.DUMMYFUNCTION("""COMPUTED_VALUE"""),1.5)</f>
        <v>1.5</v>
      </c>
      <c r="I396" s="2">
        <f>IFERROR(__xludf.DUMMYFUNCTION("""COMPUTED_VALUE"""),3.67)</f>
        <v>3.67</v>
      </c>
      <c r="J396" s="2">
        <f>IFERROR(__xludf.DUMMYFUNCTION("""COMPUTED_VALUE"""),2.17)</f>
        <v>2.17</v>
      </c>
      <c r="K396" s="5">
        <f>IFERROR(__xludf.DUMMYFUNCTION("""COMPUTED_VALUE"""),1.4466666666666665)</f>
        <v>1.446666667</v>
      </c>
      <c r="L396">
        <f>IFERROR(__xludf.DUMMYFUNCTION("""COMPUTED_VALUE"""),11504.0)</f>
        <v>11504</v>
      </c>
      <c r="M396" t="str">
        <f>IFERROR(__xludf.DUMMYFUNCTION("""COMPUTED_VALUE"""),"Art and Craft Supply")</f>
        <v>Art and Craft Supply</v>
      </c>
      <c r="N396" t="str">
        <f>IFERROR(__xludf.DUMMYFUNCTION("""COMPUTED_VALUE"""),"Restricted for online resale")</f>
        <v>Restricted for online resale</v>
      </c>
      <c r="O396" t="str">
        <f>IFERROR(__xludf.DUMMYFUNCTION("""COMPUTED_VALUE"""),"N")</f>
        <v>N</v>
      </c>
      <c r="P396" s="1" t="str">
        <f>IFERROR(__xludf.DUMMYFUNCTION("""COMPUTED_VALUE"""),"ID 22502")</f>
        <v>ID 22502</v>
      </c>
      <c r="Q396" s="1" t="str">
        <f>IFERROR(__xludf.DUMMYFUNCTION("""COMPUTED_VALUE"""),"B000KNLUYW")</f>
        <v>B000KNLUYW</v>
      </c>
    </row>
    <row r="397">
      <c r="A397" s="6">
        <f>IFERROR(__xludf.DUMMYFUNCTION("""COMPUTED_VALUE"""),45376.0)</f>
        <v>45376</v>
      </c>
      <c r="B397">
        <f>IFERROR(__xludf.DUMMYFUNCTION("""COMPUTED_VALUE"""),24097.0)</f>
        <v>24097</v>
      </c>
      <c r="C397" t="str">
        <f>IFERROR(__xludf.DUMMYFUNCTION("""COMPUTED_VALUE"""),"Creativity Street Chenille Stems/Pipe Cleaners 12 Inch x 6mm 100-Piece, Blue")</f>
        <v>Creativity Street Chenille Stems/Pipe Cleaners 12 Inch x 6mm 100-Piece, Blue</v>
      </c>
      <c r="D397" t="str">
        <f>IFERROR(__xludf.DUMMYFUNCTION("""COMPUTED_VALUE"""),"B00359LMVE")</f>
        <v>B00359LMVE</v>
      </c>
      <c r="E397" t="str">
        <f>IFERROR(__xludf.DUMMYFUNCTION("""COMPUTED_VALUE"""),"021196711006")</f>
        <v>021196711006</v>
      </c>
      <c r="F397">
        <f>IFERROR(__xludf.DUMMYFUNCTION("""COMPUTED_VALUE"""),2076.0)</f>
        <v>2076</v>
      </c>
      <c r="G397">
        <f>IFERROR(__xludf.DUMMYFUNCTION("""COMPUTED_VALUE"""),10000.0)</f>
        <v>10000</v>
      </c>
      <c r="H397" s="2">
        <f>IFERROR(__xludf.DUMMYFUNCTION("""COMPUTED_VALUE"""),1.75)</f>
        <v>1.75</v>
      </c>
      <c r="I397" s="2">
        <f>IFERROR(__xludf.DUMMYFUNCTION("""COMPUTED_VALUE"""),3.92)</f>
        <v>3.92</v>
      </c>
      <c r="J397" s="2">
        <f>IFERROR(__xludf.DUMMYFUNCTION("""COMPUTED_VALUE"""),2.17)</f>
        <v>2.17</v>
      </c>
      <c r="K397" s="5">
        <f>IFERROR(__xludf.DUMMYFUNCTION("""COMPUTED_VALUE"""),1.24)</f>
        <v>1.24</v>
      </c>
      <c r="L397">
        <f>IFERROR(__xludf.DUMMYFUNCTION("""COMPUTED_VALUE"""),45036.0)</f>
        <v>45036</v>
      </c>
      <c r="M397" t="str">
        <f>IFERROR(__xludf.DUMMYFUNCTION("""COMPUTED_VALUE"""),"Toy")</f>
        <v>Toy</v>
      </c>
      <c r="O397" t="str">
        <f>IFERROR(__xludf.DUMMYFUNCTION("""COMPUTED_VALUE"""),"N")</f>
        <v>N</v>
      </c>
      <c r="P397" s="1" t="str">
        <f>IFERROR(__xludf.DUMMYFUNCTION("""COMPUTED_VALUE"""),"ID 24097")</f>
        <v>ID 24097</v>
      </c>
      <c r="Q397" s="1" t="str">
        <f>IFERROR(__xludf.DUMMYFUNCTION("""COMPUTED_VALUE"""),"B00359LMVE")</f>
        <v>B00359LMVE</v>
      </c>
    </row>
    <row r="398">
      <c r="A398" s="6">
        <f>IFERROR(__xludf.DUMMYFUNCTION("""COMPUTED_VALUE"""),45413.0)</f>
        <v>45413</v>
      </c>
      <c r="B398">
        <f>IFERROR(__xludf.DUMMYFUNCTION("""COMPUTED_VALUE"""),22757.0)</f>
        <v>22757</v>
      </c>
      <c r="C398" t="str">
        <f>IFERROR(__xludf.DUMMYFUNCTION("""COMPUTED_VALUE"""),"Alliance Rubber 20129 Pale Crepe Gold Rubber Bands Size #12, 1/4 lb Box Contains Approx. 962 Bands (1 3/4"" x 1/16"", Golden Crepe)")</f>
        <v>Alliance Rubber 20129 Pale Crepe Gold Rubber Bands Size #12, 1/4 lb Box Contains Approx. 962 Bands (1 3/4" x 1/16", Golden Crepe)</v>
      </c>
      <c r="D398" t="str">
        <f>IFERROR(__xludf.DUMMYFUNCTION("""COMPUTED_VALUE"""),"B00007LB2K")</f>
        <v>B00007LB2K</v>
      </c>
      <c r="E398" t="str">
        <f>IFERROR(__xludf.DUMMYFUNCTION("""COMPUTED_VALUE"""),"071815201296")</f>
        <v>071815201296</v>
      </c>
      <c r="F398">
        <f>IFERROR(__xludf.DUMMYFUNCTION("""COMPUTED_VALUE"""),760.0)</f>
        <v>760</v>
      </c>
      <c r="G398">
        <f>IFERROR(__xludf.DUMMYFUNCTION("""COMPUTED_VALUE"""),10000.0)</f>
        <v>10000</v>
      </c>
      <c r="H398" s="2">
        <f>IFERROR(__xludf.DUMMYFUNCTION("""COMPUTED_VALUE"""),2.0)</f>
        <v>2</v>
      </c>
      <c r="I398" s="2">
        <f>IFERROR(__xludf.DUMMYFUNCTION("""COMPUTED_VALUE"""),4.16)</f>
        <v>4.16</v>
      </c>
      <c r="J398" s="2">
        <f>IFERROR(__xludf.DUMMYFUNCTION("""COMPUTED_VALUE"""),2.16)</f>
        <v>2.16</v>
      </c>
      <c r="K398" s="5">
        <f>IFERROR(__xludf.DUMMYFUNCTION("""COMPUTED_VALUE"""),1.08)</f>
        <v>1.08</v>
      </c>
      <c r="L398">
        <f>IFERROR(__xludf.DUMMYFUNCTION("""COMPUTED_VALUE"""),12414.0)</f>
        <v>12414</v>
      </c>
      <c r="M398" t="str">
        <f>IFERROR(__xludf.DUMMYFUNCTION("""COMPUTED_VALUE"""),"Office Product")</f>
        <v>Office Product</v>
      </c>
      <c r="O398" t="str">
        <f>IFERROR(__xludf.DUMMYFUNCTION("""COMPUTED_VALUE"""),"N")</f>
        <v>N</v>
      </c>
      <c r="P398" s="1" t="str">
        <f>IFERROR(__xludf.DUMMYFUNCTION("""COMPUTED_VALUE"""),"ID 22757")</f>
        <v>ID 22757</v>
      </c>
      <c r="Q398" s="1" t="str">
        <f>IFERROR(__xludf.DUMMYFUNCTION("""COMPUTED_VALUE"""),"B00007LB2K")</f>
        <v>B00007LB2K</v>
      </c>
    </row>
    <row r="399">
      <c r="A399" s="6">
        <f>IFERROR(__xludf.DUMMYFUNCTION("""COMPUTED_VALUE"""),45401.0)</f>
        <v>45401</v>
      </c>
      <c r="B399">
        <f>IFERROR(__xludf.DUMMYFUNCTION("""COMPUTED_VALUE"""),15824.0)</f>
        <v>15824</v>
      </c>
      <c r="C399" t="str">
        <f>IFERROR(__xludf.DUMMYFUNCTION("""COMPUTED_VALUE"""),"GIORGIO ARMANI Acqua Di Gio By Giorgio Armani For Men. Deodorant Spray 3.4 oz")</f>
        <v>GIORGIO ARMANI Acqua Di Gio By Giorgio Armani For Men. Deodorant Spray 3.4 oz</v>
      </c>
      <c r="D399" t="str">
        <f>IFERROR(__xludf.DUMMYFUNCTION("""COMPUTED_VALUE"""),"B000P2796G")</f>
        <v>B000P2796G</v>
      </c>
      <c r="E399" t="str">
        <f>IFERROR(__xludf.DUMMYFUNCTION("""COMPUTED_VALUE"""),"3360372058892")</f>
        <v>3360372058892</v>
      </c>
      <c r="F399">
        <f>IFERROR(__xludf.DUMMYFUNCTION("""COMPUTED_VALUE"""),50.0)</f>
        <v>50</v>
      </c>
      <c r="G399">
        <f>IFERROR(__xludf.DUMMYFUNCTION("""COMPUTED_VALUE"""),10000.0)</f>
        <v>10000</v>
      </c>
      <c r="H399" s="2">
        <f>IFERROR(__xludf.DUMMYFUNCTION("""COMPUTED_VALUE"""),30.5)</f>
        <v>30.5</v>
      </c>
      <c r="I399" s="2">
        <f>IFERROR(__xludf.DUMMYFUNCTION("""COMPUTED_VALUE"""),32.66)</f>
        <v>32.66</v>
      </c>
      <c r="J399" s="2">
        <f>IFERROR(__xludf.DUMMYFUNCTION("""COMPUTED_VALUE"""),2.1599999999999966)</f>
        <v>2.16</v>
      </c>
      <c r="K399" s="5">
        <f>IFERROR(__xludf.DUMMYFUNCTION("""COMPUTED_VALUE"""),0.07081967213114743)</f>
        <v>0.07081967213</v>
      </c>
      <c r="L399">
        <f>IFERROR(__xludf.DUMMYFUNCTION("""COMPUTED_VALUE"""),92039.0)</f>
        <v>92039</v>
      </c>
      <c r="M399" t="str">
        <f>IFERROR(__xludf.DUMMYFUNCTION("""COMPUTED_VALUE"""),"Beauty")</f>
        <v>Beauty</v>
      </c>
      <c r="O399" t="str">
        <f>IFERROR(__xludf.DUMMYFUNCTION("""COMPUTED_VALUE"""),"N")</f>
        <v>N</v>
      </c>
      <c r="P399" s="1" t="str">
        <f>IFERROR(__xludf.DUMMYFUNCTION("""COMPUTED_VALUE"""),"ID 15824")</f>
        <v>ID 15824</v>
      </c>
      <c r="Q399" s="1" t="str">
        <f>IFERROR(__xludf.DUMMYFUNCTION("""COMPUTED_VALUE"""),"B000P2796G")</f>
        <v>B000P2796G</v>
      </c>
    </row>
    <row r="400">
      <c r="A400" s="6">
        <f>IFERROR(__xludf.DUMMYFUNCTION("""COMPUTED_VALUE"""),44836.0)</f>
        <v>44836</v>
      </c>
      <c r="B400">
        <f>IFERROR(__xludf.DUMMYFUNCTION("""COMPUTED_VALUE"""),22900.0)</f>
        <v>22900</v>
      </c>
      <c r="C400" t="str">
        <f>IFERROR(__xludf.DUMMYFUNCTION("""COMPUTED_VALUE"""),"Officemate No.1 Smooth Paper Clips, Pack of 6 Boxes of 100 Clips Each, 600 Clips Total (99911-6PK)")</f>
        <v>Officemate No.1 Smooth Paper Clips, Pack of 6 Boxes of 100 Clips Each, 600 Clips Total (99911-6PK)</v>
      </c>
      <c r="D400" t="str">
        <f>IFERROR(__xludf.DUMMYFUNCTION("""COMPUTED_VALUE"""),"B07BSR2QQJ")</f>
        <v>B07BSR2QQJ</v>
      </c>
      <c r="E400" t="str">
        <f>IFERROR(__xludf.DUMMYFUNCTION("""COMPUTED_VALUE"""),"042491999111")</f>
        <v>042491999111</v>
      </c>
      <c r="F400">
        <f>IFERROR(__xludf.DUMMYFUNCTION("""COMPUTED_VALUE"""),5000.0)</f>
        <v>5000</v>
      </c>
      <c r="G400">
        <f>IFERROR(__xludf.DUMMYFUNCTION("""COMPUTED_VALUE"""),10000.0)</f>
        <v>10000</v>
      </c>
      <c r="H400" s="2">
        <f>IFERROR(__xludf.DUMMYFUNCTION("""COMPUTED_VALUE"""),1.25)</f>
        <v>1.25</v>
      </c>
      <c r="I400" s="2">
        <f>IFERROR(__xludf.DUMMYFUNCTION("""COMPUTED_VALUE"""),3.4)</f>
        <v>3.4</v>
      </c>
      <c r="J400" s="2">
        <f>IFERROR(__xludf.DUMMYFUNCTION("""COMPUTED_VALUE"""),2.15)</f>
        <v>2.15</v>
      </c>
      <c r="K400" s="5">
        <f>IFERROR(__xludf.DUMMYFUNCTION("""COMPUTED_VALUE"""),1.72)</f>
        <v>1.72</v>
      </c>
      <c r="L400">
        <f>IFERROR(__xludf.DUMMYFUNCTION("""COMPUTED_VALUE"""),16277.0)</f>
        <v>16277</v>
      </c>
      <c r="M400" t="str">
        <f>IFERROR(__xludf.DUMMYFUNCTION("""COMPUTED_VALUE"""),"Office Product")</f>
        <v>Office Product</v>
      </c>
      <c r="N400" t="str">
        <f>IFERROR(__xludf.DUMMYFUNCTION("""COMPUTED_VALUE"""),"UOM: 6 single boxes. Prep and bundling not included or offered")</f>
        <v>UOM: 6 single boxes. Prep and bundling not included or offered</v>
      </c>
      <c r="O400" t="str">
        <f>IFERROR(__xludf.DUMMYFUNCTION("""COMPUTED_VALUE"""),"N")</f>
        <v>N</v>
      </c>
      <c r="P400" s="1" t="str">
        <f>IFERROR(__xludf.DUMMYFUNCTION("""COMPUTED_VALUE"""),"ID 22900")</f>
        <v>ID 22900</v>
      </c>
      <c r="Q400" s="1" t="str">
        <f>IFERROR(__xludf.DUMMYFUNCTION("""COMPUTED_VALUE"""),"B07BSR2QQJ")</f>
        <v>B07BSR2QQJ</v>
      </c>
    </row>
    <row r="401">
      <c r="A401" s="6">
        <f>IFERROR(__xludf.DUMMYFUNCTION("""COMPUTED_VALUE"""),45208.0)</f>
        <v>45208</v>
      </c>
      <c r="B401">
        <f>IFERROR(__xludf.DUMMYFUNCTION("""COMPUTED_VALUE"""),23534.0)</f>
        <v>23534</v>
      </c>
      <c r="C401" t="str">
        <f>IFERROR(__xludf.DUMMYFUNCTION("""COMPUTED_VALUE"""),"Tombow 57304 MONO Sand Eraser, Silica Eraser Designed to Remove Colored Pencil and Ink Markings")</f>
        <v>Tombow 57304 MONO Sand Eraser, Silica Eraser Designed to Remove Colored Pencil and Ink Markings</v>
      </c>
      <c r="D401" t="str">
        <f>IFERROR(__xludf.DUMMYFUNCTION("""COMPUTED_VALUE"""),"B008MHR5A6")</f>
        <v>B008MHR5A6</v>
      </c>
      <c r="E401" t="str">
        <f>IFERROR(__xludf.DUMMYFUNCTION("""COMPUTED_VALUE"""),"4901991652635")</f>
        <v>4901991652635</v>
      </c>
      <c r="F401">
        <f>IFERROR(__xludf.DUMMYFUNCTION("""COMPUTED_VALUE"""),550.0)</f>
        <v>550</v>
      </c>
      <c r="G401">
        <f>IFERROR(__xludf.DUMMYFUNCTION("""COMPUTED_VALUE"""),1000.0)</f>
        <v>1000</v>
      </c>
      <c r="H401" s="2">
        <f>IFERROR(__xludf.DUMMYFUNCTION("""COMPUTED_VALUE"""),1.5)</f>
        <v>1.5</v>
      </c>
      <c r="I401" s="2">
        <f>IFERROR(__xludf.DUMMYFUNCTION("""COMPUTED_VALUE"""),3.65)</f>
        <v>3.65</v>
      </c>
      <c r="J401" s="2">
        <f>IFERROR(__xludf.DUMMYFUNCTION("""COMPUTED_VALUE"""),2.15)</f>
        <v>2.15</v>
      </c>
      <c r="K401" s="5">
        <f>IFERROR(__xludf.DUMMYFUNCTION("""COMPUTED_VALUE"""),1.4333333333333333)</f>
        <v>1.433333333</v>
      </c>
      <c r="L401">
        <f>IFERROR(__xludf.DUMMYFUNCTION("""COMPUTED_VALUE"""),6195.0)</f>
        <v>6195</v>
      </c>
      <c r="M401" t="str">
        <f>IFERROR(__xludf.DUMMYFUNCTION("""COMPUTED_VALUE"""),"Office Product")</f>
        <v>Office Product</v>
      </c>
      <c r="N401" t="str">
        <f>IFERROR(__xludf.DUMMYFUNCTION("""COMPUTED_VALUE"""),"Restricted for online resale")</f>
        <v>Restricted for online resale</v>
      </c>
      <c r="O401" t="str">
        <f>IFERROR(__xludf.DUMMYFUNCTION("""COMPUTED_VALUE"""),"N")</f>
        <v>N</v>
      </c>
      <c r="P401" s="1" t="str">
        <f>IFERROR(__xludf.DUMMYFUNCTION("""COMPUTED_VALUE"""),"ID 23534")</f>
        <v>ID 23534</v>
      </c>
      <c r="Q401" s="1" t="str">
        <f>IFERROR(__xludf.DUMMYFUNCTION("""COMPUTED_VALUE"""),"B008MHR5A6")</f>
        <v>B008MHR5A6</v>
      </c>
    </row>
    <row r="402">
      <c r="A402" s="6">
        <f>IFERROR(__xludf.DUMMYFUNCTION("""COMPUTED_VALUE"""),45376.0)</f>
        <v>45376</v>
      </c>
      <c r="B402">
        <f>IFERROR(__xludf.DUMMYFUNCTION("""COMPUTED_VALUE"""),25157.0)</f>
        <v>25157</v>
      </c>
      <c r="C402" t="str">
        <f>IFERROR(__xludf.DUMMYFUNCTION("""COMPUTED_VALUE"""),"Pacon SunWorks Construction Paper, 9-Inches by 12-Inches, 50-Count, Bright Green (9603)")</f>
        <v>Pacon SunWorks Construction Paper, 9-Inches by 12-Inches, 50-Count, Bright Green (9603)</v>
      </c>
      <c r="D402" t="str">
        <f>IFERROR(__xludf.DUMMYFUNCTION("""COMPUTED_VALUE"""),"B0017D9IQG")</f>
        <v>B0017D9IQG</v>
      </c>
      <c r="E402" t="str">
        <f>IFERROR(__xludf.DUMMYFUNCTION("""COMPUTED_VALUE"""),"045173096030")</f>
        <v>045173096030</v>
      </c>
      <c r="F402">
        <f>IFERROR(__xludf.DUMMYFUNCTION("""COMPUTED_VALUE"""),2750.0)</f>
        <v>2750</v>
      </c>
      <c r="G402">
        <f>IFERROR(__xludf.DUMMYFUNCTION("""COMPUTED_VALUE"""),10000.0)</f>
        <v>10000</v>
      </c>
      <c r="H402" s="2">
        <f>IFERROR(__xludf.DUMMYFUNCTION("""COMPUTED_VALUE"""),1.5)</f>
        <v>1.5</v>
      </c>
      <c r="I402" s="2">
        <f>IFERROR(__xludf.DUMMYFUNCTION("""COMPUTED_VALUE"""),3.65)</f>
        <v>3.65</v>
      </c>
      <c r="J402" s="2">
        <f>IFERROR(__xludf.DUMMYFUNCTION("""COMPUTED_VALUE"""),2.15)</f>
        <v>2.15</v>
      </c>
      <c r="K402" s="5">
        <f>IFERROR(__xludf.DUMMYFUNCTION("""COMPUTED_VALUE"""),1.4333333333333333)</f>
        <v>1.433333333</v>
      </c>
      <c r="L402">
        <f>IFERROR(__xludf.DUMMYFUNCTION("""COMPUTED_VALUE"""),1702.0)</f>
        <v>1702</v>
      </c>
      <c r="M402" t="str">
        <f>IFERROR(__xludf.DUMMYFUNCTION("""COMPUTED_VALUE"""),"Office Product")</f>
        <v>Office Product</v>
      </c>
      <c r="O402" t="str">
        <f>IFERROR(__xludf.DUMMYFUNCTION("""COMPUTED_VALUE"""),"Y")</f>
        <v>Y</v>
      </c>
      <c r="P402" s="1" t="str">
        <f>IFERROR(__xludf.DUMMYFUNCTION("""COMPUTED_VALUE"""),"ID 25157")</f>
        <v>ID 25157</v>
      </c>
      <c r="Q402" s="1" t="str">
        <f>IFERROR(__xludf.DUMMYFUNCTION("""COMPUTED_VALUE"""),"B0017D9IQG")</f>
        <v>B0017D9IQG</v>
      </c>
    </row>
    <row r="403">
      <c r="A403" s="6">
        <f>IFERROR(__xludf.DUMMYFUNCTION("""COMPUTED_VALUE"""),44755.0)</f>
        <v>44755</v>
      </c>
      <c r="B403">
        <f>IFERROR(__xludf.DUMMYFUNCTION("""COMPUTED_VALUE"""),12389.0)</f>
        <v>12389</v>
      </c>
      <c r="C403" t="str">
        <f>IFERROR(__xludf.DUMMYFUNCTION("""COMPUTED_VALUE"""),"Scotch Brand Felt Pads, Premium Quality, By 3M, Protectors, Round, 1/2 in. Diameter, Green, 24/Pack")</f>
        <v>Scotch Brand Felt Pads, Premium Quality, By 3M, Protectors, Round, 1/2 in. Diameter, Green, 24/Pack</v>
      </c>
      <c r="D403" t="str">
        <f>IFERROR(__xludf.DUMMYFUNCTION("""COMPUTED_VALUE"""),"B001CGTO1C")</f>
        <v>B001CGTO1C</v>
      </c>
      <c r="E403" t="str">
        <f>IFERROR(__xludf.DUMMYFUNCTION("""COMPUTED_VALUE"""),"51131778863")</f>
        <v>51131778863</v>
      </c>
      <c r="F403">
        <f>IFERROR(__xludf.DUMMYFUNCTION("""COMPUTED_VALUE"""),2160.0)</f>
        <v>2160</v>
      </c>
      <c r="G403">
        <f>IFERROR(__xludf.DUMMYFUNCTION("""COMPUTED_VALUE"""),3000.0)</f>
        <v>3000</v>
      </c>
      <c r="H403" s="2">
        <f>IFERROR(__xludf.DUMMYFUNCTION("""COMPUTED_VALUE"""),1.5)</f>
        <v>1.5</v>
      </c>
      <c r="I403" s="2">
        <f>IFERROR(__xludf.DUMMYFUNCTION("""COMPUTED_VALUE"""),3.64)</f>
        <v>3.64</v>
      </c>
      <c r="J403" s="2">
        <f>IFERROR(__xludf.DUMMYFUNCTION("""COMPUTED_VALUE"""),2.14)</f>
        <v>2.14</v>
      </c>
      <c r="K403" s="5">
        <f>IFERROR(__xludf.DUMMYFUNCTION("""COMPUTED_VALUE"""),1.4266666666666667)</f>
        <v>1.426666667</v>
      </c>
      <c r="L403">
        <f>IFERROR(__xludf.DUMMYFUNCTION("""COMPUTED_VALUE"""),26650.0)</f>
        <v>26650</v>
      </c>
      <c r="M403" t="str">
        <f>IFERROR(__xludf.DUMMYFUNCTION("""COMPUTED_VALUE"""),"Home Improvement")</f>
        <v>Home Improvement</v>
      </c>
      <c r="O403" t="str">
        <f>IFERROR(__xludf.DUMMYFUNCTION("""COMPUTED_VALUE"""),"Y")</f>
        <v>Y</v>
      </c>
      <c r="P403" s="1" t="str">
        <f>IFERROR(__xludf.DUMMYFUNCTION("""COMPUTED_VALUE"""),"ID 12389")</f>
        <v>ID 12389</v>
      </c>
      <c r="Q403" s="1" t="str">
        <f>IFERROR(__xludf.DUMMYFUNCTION("""COMPUTED_VALUE"""),"B001CGTO1C")</f>
        <v>B001CGTO1C</v>
      </c>
    </row>
    <row r="404">
      <c r="A404" s="6">
        <f>IFERROR(__xludf.DUMMYFUNCTION("""COMPUTED_VALUE"""),43756.0)</f>
        <v>43756</v>
      </c>
      <c r="B404">
        <f>IFERROR(__xludf.DUMMYFUNCTION("""COMPUTED_VALUE"""),10126.0)</f>
        <v>10126</v>
      </c>
      <c r="C404" t="str">
        <f>IFERROR(__xludf.DUMMYFUNCTION("""COMPUTED_VALUE"""),"Speck Products Compatible Phone Case for Samsung Galaxy Note 9, Presidio Grip Case, Eclipse Blue/Carbon Black")</f>
        <v>Speck Products Compatible Phone Case for Samsung Galaxy Note 9, Presidio Grip Case, Eclipse Blue/Carbon Black</v>
      </c>
      <c r="D404" t="str">
        <f>IFERROR(__xludf.DUMMYFUNCTION("""COMPUTED_VALUE"""),"B07GBFJWST")</f>
        <v>B07GBFJWST</v>
      </c>
      <c r="E404" t="str">
        <f>IFERROR(__xludf.DUMMYFUNCTION("""COMPUTED_VALUE"""),"848709060488")</f>
        <v>848709060488</v>
      </c>
      <c r="F404">
        <f>IFERROR(__xludf.DUMMYFUNCTION("""COMPUTED_VALUE"""),250.0)</f>
        <v>250</v>
      </c>
      <c r="G404">
        <f>IFERROR(__xludf.DUMMYFUNCTION("""COMPUTED_VALUE"""),1800.0)</f>
        <v>1800</v>
      </c>
      <c r="H404" s="2">
        <f>IFERROR(__xludf.DUMMYFUNCTION("""COMPUTED_VALUE"""),5.0)</f>
        <v>5</v>
      </c>
      <c r="I404" s="2">
        <f>IFERROR(__xludf.DUMMYFUNCTION("""COMPUTED_VALUE"""),7.12)</f>
        <v>7.12</v>
      </c>
      <c r="J404" s="2">
        <f>IFERROR(__xludf.DUMMYFUNCTION("""COMPUTED_VALUE"""),2.12)</f>
        <v>2.12</v>
      </c>
      <c r="K404" s="5">
        <f>IFERROR(__xludf.DUMMYFUNCTION("""COMPUTED_VALUE"""),0.42400000000000004)</f>
        <v>0.424</v>
      </c>
      <c r="L404">
        <f>IFERROR(__xludf.DUMMYFUNCTION("""COMPUTED_VALUE"""),40754.0)</f>
        <v>40754</v>
      </c>
      <c r="M404" t="str">
        <f>IFERROR(__xludf.DUMMYFUNCTION("""COMPUTED_VALUE"""),"Wireless")</f>
        <v>Wireless</v>
      </c>
      <c r="O404" t="str">
        <f>IFERROR(__xludf.DUMMYFUNCTION("""COMPUTED_VALUE"""),"N")</f>
        <v>N</v>
      </c>
      <c r="P404" s="1" t="str">
        <f>IFERROR(__xludf.DUMMYFUNCTION("""COMPUTED_VALUE"""),"ID 10126")</f>
        <v>ID 10126</v>
      </c>
      <c r="Q404" s="1" t="str">
        <f>IFERROR(__xludf.DUMMYFUNCTION("""COMPUTED_VALUE"""),"B07GBFJWST")</f>
        <v>B07GBFJWST</v>
      </c>
    </row>
    <row r="405">
      <c r="A405" s="6">
        <f>IFERROR(__xludf.DUMMYFUNCTION("""COMPUTED_VALUE"""),45273.0)</f>
        <v>45273</v>
      </c>
      <c r="B405">
        <f>IFERROR(__xludf.DUMMYFUNCTION("""COMPUTED_VALUE"""),15458.0)</f>
        <v>15458</v>
      </c>
      <c r="C405" t="str">
        <f>IFERROR(__xludf.DUMMYFUNCTION("""COMPUTED_VALUE"""),"ELMERS Glue Pen Board Mate Dual Tip 1 Oz (E140)")</f>
        <v>ELMERS Glue Pen Board Mate Dual Tip 1 Oz (E140)</v>
      </c>
      <c r="D405" t="str">
        <f>IFERROR(__xludf.DUMMYFUNCTION("""COMPUTED_VALUE"""),"B00LNHZZRC")</f>
        <v>B00LNHZZRC</v>
      </c>
      <c r="E405" t="str">
        <f>IFERROR(__xludf.DUMMYFUNCTION("""COMPUTED_VALUE"""),"026000001403")</f>
        <v>026000001403</v>
      </c>
      <c r="F405">
        <f>IFERROR(__xludf.DUMMYFUNCTION("""COMPUTED_VALUE"""),1968.0)</f>
        <v>1968</v>
      </c>
      <c r="G405">
        <f>IFERROR(__xludf.DUMMYFUNCTION("""COMPUTED_VALUE"""),10000.0)</f>
        <v>10000</v>
      </c>
      <c r="H405" s="2">
        <f>IFERROR(__xludf.DUMMYFUNCTION("""COMPUTED_VALUE"""),1.75)</f>
        <v>1.75</v>
      </c>
      <c r="I405" s="2">
        <f>IFERROR(__xludf.DUMMYFUNCTION("""COMPUTED_VALUE"""),3.87)</f>
        <v>3.87</v>
      </c>
      <c r="J405" s="2">
        <f>IFERROR(__xludf.DUMMYFUNCTION("""COMPUTED_VALUE"""),2.12)</f>
        <v>2.12</v>
      </c>
      <c r="K405" s="5">
        <f>IFERROR(__xludf.DUMMYFUNCTION("""COMPUTED_VALUE"""),1.2114285714285715)</f>
        <v>1.211428571</v>
      </c>
      <c r="L405">
        <f>IFERROR(__xludf.DUMMYFUNCTION("""COMPUTED_VALUE"""),71176.0)</f>
        <v>71176</v>
      </c>
      <c r="M405" t="str">
        <f>IFERROR(__xludf.DUMMYFUNCTION("""COMPUTED_VALUE"""),"Office Product")</f>
        <v>Office Product</v>
      </c>
      <c r="O405" t="str">
        <f>IFERROR(__xludf.DUMMYFUNCTION("""COMPUTED_VALUE"""),"N")</f>
        <v>N</v>
      </c>
      <c r="P405" s="1" t="str">
        <f>IFERROR(__xludf.DUMMYFUNCTION("""COMPUTED_VALUE"""),"ID 15458")</f>
        <v>ID 15458</v>
      </c>
      <c r="Q405" s="1" t="str">
        <f>IFERROR(__xludf.DUMMYFUNCTION("""COMPUTED_VALUE"""),"B00LNHZZRC")</f>
        <v>B00LNHZZRC</v>
      </c>
    </row>
    <row r="406">
      <c r="A406" s="6">
        <f>IFERROR(__xludf.DUMMYFUNCTION("""COMPUTED_VALUE"""),45362.0)</f>
        <v>45362</v>
      </c>
      <c r="B406">
        <f>IFERROR(__xludf.DUMMYFUNCTION("""COMPUTED_VALUE"""),19749.0)</f>
        <v>19749</v>
      </c>
      <c r="C406" t="str">
        <f>IFERROR(__xludf.DUMMYFUNCTION("""COMPUTED_VALUE"""),"Pentel Arts Water Colors, Assorted Colors, Pack of 18 (WFRS-18)")</f>
        <v>Pentel Arts Water Colors, Assorted Colors, Pack of 18 (WFRS-18)</v>
      </c>
      <c r="D406" t="str">
        <f>IFERROR(__xludf.DUMMYFUNCTION("""COMPUTED_VALUE"""),"B0091GAT3M")</f>
        <v>B0091GAT3M</v>
      </c>
      <c r="E406" t="str">
        <f>IFERROR(__xludf.DUMMYFUNCTION("""COMPUTED_VALUE"""),"072512245712")</f>
        <v>072512245712</v>
      </c>
      <c r="F406">
        <f>IFERROR(__xludf.DUMMYFUNCTION("""COMPUTED_VALUE"""),192.0)</f>
        <v>192</v>
      </c>
      <c r="G406">
        <f>IFERROR(__xludf.DUMMYFUNCTION("""COMPUTED_VALUE"""),10000.0)</f>
        <v>10000</v>
      </c>
      <c r="H406" s="2">
        <f>IFERROR(__xludf.DUMMYFUNCTION("""COMPUTED_VALUE"""),8.0)</f>
        <v>8</v>
      </c>
      <c r="I406" s="2">
        <f>IFERROR(__xludf.DUMMYFUNCTION("""COMPUTED_VALUE"""),10.11)</f>
        <v>10.11</v>
      </c>
      <c r="J406" s="2">
        <f>IFERROR(__xludf.DUMMYFUNCTION("""COMPUTED_VALUE"""),2.1099999999999994)</f>
        <v>2.11</v>
      </c>
      <c r="K406" s="5">
        <f>IFERROR(__xludf.DUMMYFUNCTION("""COMPUTED_VALUE"""),0.26374999999999993)</f>
        <v>0.26375</v>
      </c>
      <c r="L406">
        <f>IFERROR(__xludf.DUMMYFUNCTION("""COMPUTED_VALUE"""),36583.0)</f>
        <v>36583</v>
      </c>
      <c r="M406" t="str">
        <f>IFERROR(__xludf.DUMMYFUNCTION("""COMPUTED_VALUE"""),"Office Product")</f>
        <v>Office Product</v>
      </c>
      <c r="O406" t="str">
        <f>IFERROR(__xludf.DUMMYFUNCTION("""COMPUTED_VALUE"""),"Y")</f>
        <v>Y</v>
      </c>
      <c r="P406" s="1" t="str">
        <f>IFERROR(__xludf.DUMMYFUNCTION("""COMPUTED_VALUE"""),"ID 19749")</f>
        <v>ID 19749</v>
      </c>
      <c r="Q406" s="1" t="str">
        <f>IFERROR(__xludf.DUMMYFUNCTION("""COMPUTED_VALUE"""),"B0091GAT3M")</f>
        <v>B0091GAT3M</v>
      </c>
    </row>
    <row r="407">
      <c r="A407" s="6">
        <f>IFERROR(__xludf.DUMMYFUNCTION("""COMPUTED_VALUE"""),45166.0)</f>
        <v>45166</v>
      </c>
      <c r="B407">
        <f>IFERROR(__xludf.DUMMYFUNCTION("""COMPUTED_VALUE"""),19974.0)</f>
        <v>19974</v>
      </c>
      <c r="C407" t="str">
        <f>IFERROR(__xludf.DUMMYFUNCTION("""COMPUTED_VALUE"""),"Adams Auto Repair Estimate Book, 2-Part, Carbonless, White/Canary, 8-3/8 x 10-11/16 Inches, 50 Sets per Book (D8104)")</f>
        <v>Adams Auto Repair Estimate Book, 2-Part, Carbonless, White/Canary, 8-3/8 x 10-11/16 Inches, 50 Sets per Book (D8104)</v>
      </c>
      <c r="D407" t="str">
        <f>IFERROR(__xludf.DUMMYFUNCTION("""COMPUTED_VALUE"""),"B004ZKXMSS")</f>
        <v>B004ZKXMSS</v>
      </c>
      <c r="E407" t="str">
        <f>IFERROR(__xludf.DUMMYFUNCTION("""COMPUTED_VALUE"""),"087958281040")</f>
        <v>087958281040</v>
      </c>
      <c r="F407">
        <f>IFERROR(__xludf.DUMMYFUNCTION("""COMPUTED_VALUE"""),300.0)</f>
        <v>300</v>
      </c>
      <c r="G407">
        <f>IFERROR(__xludf.DUMMYFUNCTION("""COMPUTED_VALUE"""),10000.0)</f>
        <v>10000</v>
      </c>
      <c r="H407" s="2">
        <f>IFERROR(__xludf.DUMMYFUNCTION("""COMPUTED_VALUE"""),8.25)</f>
        <v>8.25</v>
      </c>
      <c r="I407" s="2">
        <f>IFERROR(__xludf.DUMMYFUNCTION("""COMPUTED_VALUE"""),10.35)</f>
        <v>10.35</v>
      </c>
      <c r="J407" s="2">
        <f>IFERROR(__xludf.DUMMYFUNCTION("""COMPUTED_VALUE"""),2.0999999999999996)</f>
        <v>2.1</v>
      </c>
      <c r="K407" s="5">
        <f>IFERROR(__xludf.DUMMYFUNCTION("""COMPUTED_VALUE"""),0.2545454545454545)</f>
        <v>0.2545454545</v>
      </c>
      <c r="L407">
        <f>IFERROR(__xludf.DUMMYFUNCTION("""COMPUTED_VALUE"""),30093.0)</f>
        <v>30093</v>
      </c>
      <c r="M407" t="str">
        <f>IFERROR(__xludf.DUMMYFUNCTION("""COMPUTED_VALUE"""),"Office Product")</f>
        <v>Office Product</v>
      </c>
      <c r="O407" t="str">
        <f>IFERROR(__xludf.DUMMYFUNCTION("""COMPUTED_VALUE"""),"Y")</f>
        <v>Y</v>
      </c>
      <c r="P407" s="1" t="str">
        <f>IFERROR(__xludf.DUMMYFUNCTION("""COMPUTED_VALUE"""),"ID 19974")</f>
        <v>ID 19974</v>
      </c>
      <c r="Q407" s="1" t="str">
        <f>IFERROR(__xludf.DUMMYFUNCTION("""COMPUTED_VALUE"""),"B004ZKXMSS")</f>
        <v>B004ZKXMSS</v>
      </c>
    </row>
    <row r="408">
      <c r="A408" s="6">
        <f>IFERROR(__xludf.DUMMYFUNCTION("""COMPUTED_VALUE"""),44417.0)</f>
        <v>44417</v>
      </c>
      <c r="B408">
        <f>IFERROR(__xludf.DUMMYFUNCTION("""COMPUTED_VALUE"""),6643.0)</f>
        <v>6643</v>
      </c>
      <c r="C408" t="str">
        <f>IFERROR(__xludf.DUMMYFUNCTION("""COMPUTED_VALUE"""),"Homefront: The Revolution - Xbox One")</f>
        <v>Homefront: The Revolution - Xbox One</v>
      </c>
      <c r="D408" t="str">
        <f>IFERROR(__xludf.DUMMYFUNCTION("""COMPUTED_VALUE"""),"B00KO97D8Y")</f>
        <v>B00KO97D8Y</v>
      </c>
      <c r="E408" t="str">
        <f>IFERROR(__xludf.DUMMYFUNCTION("""COMPUTED_VALUE"""),"816819011836")</f>
        <v>816819011836</v>
      </c>
      <c r="F408">
        <f>IFERROR(__xludf.DUMMYFUNCTION("""COMPUTED_VALUE"""),210.0)</f>
        <v>210</v>
      </c>
      <c r="G408">
        <f>IFERROR(__xludf.DUMMYFUNCTION("""COMPUTED_VALUE"""),3284.0)</f>
        <v>3284</v>
      </c>
      <c r="H408" s="2">
        <f>IFERROR(__xludf.DUMMYFUNCTION("""COMPUTED_VALUE"""),6.5)</f>
        <v>6.5</v>
      </c>
      <c r="I408" s="2">
        <f>IFERROR(__xludf.DUMMYFUNCTION("""COMPUTED_VALUE"""),8.6)</f>
        <v>8.6</v>
      </c>
      <c r="J408" s="2">
        <f>IFERROR(__xludf.DUMMYFUNCTION("""COMPUTED_VALUE"""),2.0999999999999996)</f>
        <v>2.1</v>
      </c>
      <c r="K408" s="5">
        <f>IFERROR(__xludf.DUMMYFUNCTION("""COMPUTED_VALUE"""),0.32307692307692304)</f>
        <v>0.3230769231</v>
      </c>
      <c r="L408">
        <f>IFERROR(__xludf.DUMMYFUNCTION("""COMPUTED_VALUE"""),31055.0)</f>
        <v>31055</v>
      </c>
      <c r="M408" t="str">
        <f>IFERROR(__xludf.DUMMYFUNCTION("""COMPUTED_VALUE"""),"Video Games")</f>
        <v>Video Games</v>
      </c>
      <c r="O408" t="str">
        <f>IFERROR(__xludf.DUMMYFUNCTION("""COMPUTED_VALUE"""),"N")</f>
        <v>N</v>
      </c>
      <c r="P408" s="1" t="str">
        <f>IFERROR(__xludf.DUMMYFUNCTION("""COMPUTED_VALUE"""),"ID 6643")</f>
        <v>ID 6643</v>
      </c>
      <c r="Q408" s="1" t="str">
        <f>IFERROR(__xludf.DUMMYFUNCTION("""COMPUTED_VALUE"""),"B00KO97D8Y")</f>
        <v>B00KO97D8Y</v>
      </c>
    </row>
    <row r="409">
      <c r="A409" s="6">
        <f>IFERROR(__xludf.DUMMYFUNCTION("""COMPUTED_VALUE"""),45351.0)</f>
        <v>45351</v>
      </c>
      <c r="B409">
        <f>IFERROR(__xludf.DUMMYFUNCTION("""COMPUTED_VALUE"""),22178.0)</f>
        <v>22178</v>
      </c>
      <c r="C409" t="str">
        <f>IFERROR(__xludf.DUMMYFUNCTION("""COMPUTED_VALUE"""),"Alliance Rubber 27405 Advantage Rubber Bands Size #117B, 1 lb Box Contains Approx. 200 Bands (7"" x 1/8"", Natural Crepe) , Beige")</f>
        <v>Alliance Rubber 27405 Advantage Rubber Bands Size #117B, 1 lb Box Contains Approx. 200 Bands (7" x 1/8", Natural Crepe) , Beige</v>
      </c>
      <c r="D409" t="str">
        <f>IFERROR(__xludf.DUMMYFUNCTION("""COMPUTED_VALUE"""),"B00006IBRX")</f>
        <v>B00006IBRX</v>
      </c>
      <c r="E409" t="str">
        <f>IFERROR(__xludf.DUMMYFUNCTION("""COMPUTED_VALUE"""),"071815274054")</f>
        <v>071815274054</v>
      </c>
      <c r="F409">
        <f>IFERROR(__xludf.DUMMYFUNCTION("""COMPUTED_VALUE"""),360.0)</f>
        <v>360</v>
      </c>
      <c r="G409">
        <f>IFERROR(__xludf.DUMMYFUNCTION("""COMPUTED_VALUE"""),10000.0)</f>
        <v>10000</v>
      </c>
      <c r="H409" s="2">
        <f>IFERROR(__xludf.DUMMYFUNCTION("""COMPUTED_VALUE"""),3.5)</f>
        <v>3.5</v>
      </c>
      <c r="I409" s="2">
        <f>IFERROR(__xludf.DUMMYFUNCTION("""COMPUTED_VALUE"""),5.6)</f>
        <v>5.6</v>
      </c>
      <c r="J409" s="2">
        <f>IFERROR(__xludf.DUMMYFUNCTION("""COMPUTED_VALUE"""),2.0999999999999996)</f>
        <v>2.1</v>
      </c>
      <c r="K409" s="5">
        <f>IFERROR(__xludf.DUMMYFUNCTION("""COMPUTED_VALUE"""),0.5999999999999999)</f>
        <v>0.6</v>
      </c>
      <c r="L409">
        <f>IFERROR(__xludf.DUMMYFUNCTION("""COMPUTED_VALUE"""),13671.0)</f>
        <v>13671</v>
      </c>
      <c r="M409" t="str">
        <f>IFERROR(__xludf.DUMMYFUNCTION("""COMPUTED_VALUE"""),"Office Product")</f>
        <v>Office Product</v>
      </c>
      <c r="O409" t="str">
        <f>IFERROR(__xludf.DUMMYFUNCTION("""COMPUTED_VALUE"""),"Y")</f>
        <v>Y</v>
      </c>
      <c r="P409" s="1" t="str">
        <f>IFERROR(__xludf.DUMMYFUNCTION("""COMPUTED_VALUE"""),"ID 22178")</f>
        <v>ID 22178</v>
      </c>
      <c r="Q409" s="1" t="str">
        <f>IFERROR(__xludf.DUMMYFUNCTION("""COMPUTED_VALUE"""),"B00006IBRX")</f>
        <v>B00006IBRX</v>
      </c>
    </row>
    <row r="410">
      <c r="A410" s="6">
        <f>IFERROR(__xludf.DUMMYFUNCTION("""COMPUTED_VALUE"""),45351.0)</f>
        <v>45351</v>
      </c>
      <c r="B410">
        <f>IFERROR(__xludf.DUMMYFUNCTION("""COMPUTED_VALUE"""),25950.0)</f>
        <v>25950</v>
      </c>
      <c r="C410" t="str">
        <f>IFERROR(__xludf.DUMMYFUNCTION("""COMPUTED_VALUE"""),"Hayes Pre-Kindergarten Diploma, Pack of 30, 8.5"" x 11""")</f>
        <v>Hayes Pre-Kindergarten Diploma, Pack of 30, 8.5" x 11"</v>
      </c>
      <c r="D410" t="str">
        <f>IFERROR(__xludf.DUMMYFUNCTION("""COMPUTED_VALUE"""),"B00207NJ7C")</f>
        <v>B00207NJ7C</v>
      </c>
      <c r="E410" t="str">
        <f>IFERROR(__xludf.DUMMYFUNCTION("""COMPUTED_VALUE"""),"734675131225")</f>
        <v>734675131225</v>
      </c>
      <c r="F410">
        <f>IFERROR(__xludf.DUMMYFUNCTION("""COMPUTED_VALUE"""),450.0)</f>
        <v>450</v>
      </c>
      <c r="G410">
        <f>IFERROR(__xludf.DUMMYFUNCTION("""COMPUTED_VALUE"""),10000.0)</f>
        <v>10000</v>
      </c>
      <c r="H410" s="2">
        <f>IFERROR(__xludf.DUMMYFUNCTION("""COMPUTED_VALUE"""),4.25)</f>
        <v>4.25</v>
      </c>
      <c r="I410" s="2">
        <f>IFERROR(__xludf.DUMMYFUNCTION("""COMPUTED_VALUE"""),6.35)</f>
        <v>6.35</v>
      </c>
      <c r="J410" s="2">
        <f>IFERROR(__xludf.DUMMYFUNCTION("""COMPUTED_VALUE"""),2.0999999999999996)</f>
        <v>2.1</v>
      </c>
      <c r="K410" s="5">
        <f>IFERROR(__xludf.DUMMYFUNCTION("""COMPUTED_VALUE"""),0.49411764705882344)</f>
        <v>0.4941176471</v>
      </c>
      <c r="L410">
        <f>IFERROR(__xludf.DUMMYFUNCTION("""COMPUTED_VALUE"""),68950.0)</f>
        <v>68950</v>
      </c>
      <c r="M410" t="str">
        <f>IFERROR(__xludf.DUMMYFUNCTION("""COMPUTED_VALUE"""),"BISS Basic")</f>
        <v>BISS Basic</v>
      </c>
      <c r="O410" t="str">
        <f>IFERROR(__xludf.DUMMYFUNCTION("""COMPUTED_VALUE"""),"N")</f>
        <v>N</v>
      </c>
      <c r="P410" s="1" t="str">
        <f>IFERROR(__xludf.DUMMYFUNCTION("""COMPUTED_VALUE"""),"ID 25950")</f>
        <v>ID 25950</v>
      </c>
      <c r="Q410" s="1" t="str">
        <f>IFERROR(__xludf.DUMMYFUNCTION("""COMPUTED_VALUE"""),"B00207NJ7C")</f>
        <v>B00207NJ7C</v>
      </c>
    </row>
    <row r="411">
      <c r="A411" s="6">
        <f>IFERROR(__xludf.DUMMYFUNCTION("""COMPUTED_VALUE"""),45259.0)</f>
        <v>45259</v>
      </c>
      <c r="B411">
        <f>IFERROR(__xludf.DUMMYFUNCTION("""COMPUTED_VALUE"""),20163.0)</f>
        <v>20163</v>
      </c>
      <c r="C411" t="str">
        <f>IFERROR(__xludf.DUMMYFUNCTION("""COMPUTED_VALUE"""),"Jetstream Elements Ballpoint Pens, Medium Point (1.0mm), Blue, 12 Count")</f>
        <v>Jetstream Elements Ballpoint Pens, Medium Point (1.0mm), Blue, 12 Count</v>
      </c>
      <c r="D411" t="str">
        <f>IFERROR(__xludf.DUMMYFUNCTION("""COMPUTED_VALUE"""),"B089QSTVVZ")</f>
        <v>B089QSTVVZ</v>
      </c>
      <c r="E411" t="str">
        <f>IFERROR(__xludf.DUMMYFUNCTION("""COMPUTED_VALUE"""),"030246701249")</f>
        <v>030246701249</v>
      </c>
      <c r="F411">
        <f>IFERROR(__xludf.DUMMYFUNCTION("""COMPUTED_VALUE"""),84.0)</f>
        <v>84</v>
      </c>
      <c r="G411">
        <f>IFERROR(__xludf.DUMMYFUNCTION("""COMPUTED_VALUE"""),10000.0)</f>
        <v>10000</v>
      </c>
      <c r="H411" s="2">
        <f>IFERROR(__xludf.DUMMYFUNCTION("""COMPUTED_VALUE"""),16.75)</f>
        <v>16.75</v>
      </c>
      <c r="I411" s="2">
        <f>IFERROR(__xludf.DUMMYFUNCTION("""COMPUTED_VALUE"""),18.84)</f>
        <v>18.84</v>
      </c>
      <c r="J411" s="2">
        <f>IFERROR(__xludf.DUMMYFUNCTION("""COMPUTED_VALUE"""),2.09)</f>
        <v>2.09</v>
      </c>
      <c r="K411" s="5">
        <f>IFERROR(__xludf.DUMMYFUNCTION("""COMPUTED_VALUE"""),0.12477611940298507)</f>
        <v>0.1247761194</v>
      </c>
      <c r="L411">
        <f>IFERROR(__xludf.DUMMYFUNCTION("""COMPUTED_VALUE"""),23008.0)</f>
        <v>23008</v>
      </c>
      <c r="M411" t="str">
        <f>IFERROR(__xludf.DUMMYFUNCTION("""COMPUTED_VALUE"""),"Office Product")</f>
        <v>Office Product</v>
      </c>
      <c r="O411" t="str">
        <f>IFERROR(__xludf.DUMMYFUNCTION("""COMPUTED_VALUE"""),"Y")</f>
        <v>Y</v>
      </c>
      <c r="P411" s="1" t="str">
        <f>IFERROR(__xludf.DUMMYFUNCTION("""COMPUTED_VALUE"""),"ID 20163")</f>
        <v>ID 20163</v>
      </c>
      <c r="Q411" s="1" t="str">
        <f>IFERROR(__xludf.DUMMYFUNCTION("""COMPUTED_VALUE"""),"B089QSTVVZ")</f>
        <v>B089QSTVVZ</v>
      </c>
    </row>
    <row r="412">
      <c r="A412" s="6">
        <f>IFERROR(__xludf.DUMMYFUNCTION("""COMPUTED_VALUE"""),45429.0)</f>
        <v>45429</v>
      </c>
      <c r="B412">
        <f>IFERROR(__xludf.DUMMYFUNCTION("""COMPUTED_VALUE"""),23420.0)</f>
        <v>23420</v>
      </c>
      <c r="C412" t="str">
        <f>IFERROR(__xludf.DUMMYFUNCTION("""COMPUTED_VALUE"""),"Elizabeth Taylor Diamonds and Sapphires for Women, Eau De Toilette Spray, 3.3 Fl Oz")</f>
        <v>Elizabeth Taylor Diamonds and Sapphires for Women, Eau De Toilette Spray, 3.3 Fl Oz</v>
      </c>
      <c r="D412" t="str">
        <f>IFERROR(__xludf.DUMMYFUNCTION("""COMPUTED_VALUE"""),"B000C1Z4WG")</f>
        <v>B000C1Z4WG</v>
      </c>
      <c r="E412" t="str">
        <f>IFERROR(__xludf.DUMMYFUNCTION("""COMPUTED_VALUE"""),"0719346265959")</f>
        <v>0719346265959</v>
      </c>
      <c r="F412">
        <f>IFERROR(__xludf.DUMMYFUNCTION("""COMPUTED_VALUE"""),160.0)</f>
        <v>160</v>
      </c>
      <c r="G412">
        <f>IFERROR(__xludf.DUMMYFUNCTION("""COMPUTED_VALUE"""),10000.0)</f>
        <v>10000</v>
      </c>
      <c r="H412" s="2">
        <f>IFERROR(__xludf.DUMMYFUNCTION("""COMPUTED_VALUE"""),7.75)</f>
        <v>7.75</v>
      </c>
      <c r="I412" s="2">
        <f>IFERROR(__xludf.DUMMYFUNCTION("""COMPUTED_VALUE"""),9.84)</f>
        <v>9.84</v>
      </c>
      <c r="J412" s="2">
        <f>IFERROR(__xludf.DUMMYFUNCTION("""COMPUTED_VALUE"""),2.09)</f>
        <v>2.09</v>
      </c>
      <c r="K412" s="5">
        <f>IFERROR(__xludf.DUMMYFUNCTION("""COMPUTED_VALUE"""),0.2696774193548387)</f>
        <v>0.2696774194</v>
      </c>
      <c r="L412">
        <f>IFERROR(__xludf.DUMMYFUNCTION("""COMPUTED_VALUE"""),34431.0)</f>
        <v>34431</v>
      </c>
      <c r="M412" t="str">
        <f>IFERROR(__xludf.DUMMYFUNCTION("""COMPUTED_VALUE"""),"Beauty")</f>
        <v>Beauty</v>
      </c>
      <c r="O412" t="str">
        <f>IFERROR(__xludf.DUMMYFUNCTION("""COMPUTED_VALUE"""),"Y")</f>
        <v>Y</v>
      </c>
      <c r="P412" s="1" t="str">
        <f>IFERROR(__xludf.DUMMYFUNCTION("""COMPUTED_VALUE"""),"ID 23420")</f>
        <v>ID 23420</v>
      </c>
      <c r="Q412" s="1" t="str">
        <f>IFERROR(__xludf.DUMMYFUNCTION("""COMPUTED_VALUE"""),"B000C1Z4WG")</f>
        <v>B000C1Z4WG</v>
      </c>
    </row>
    <row r="413">
      <c r="A413" s="6">
        <f>IFERROR(__xludf.DUMMYFUNCTION("""COMPUTED_VALUE"""),45390.0)</f>
        <v>45390</v>
      </c>
      <c r="B413">
        <f>IFERROR(__xludf.DUMMYFUNCTION("""COMPUTED_VALUE"""),21123.0)</f>
        <v>21123</v>
      </c>
      <c r="C413" t="str">
        <f>IFERROR(__xludf.DUMMYFUNCTION("""COMPUTED_VALUE"""),"Chef Craft Premium Silicone Basting Spoon, 11 inch, Black")</f>
        <v>Chef Craft Premium Silicone Basting Spoon, 11 inch, Black</v>
      </c>
      <c r="D413" t="str">
        <f>IFERROR(__xludf.DUMMYFUNCTION("""COMPUTED_VALUE"""),"B08SJ1MZYH")</f>
        <v>B08SJ1MZYH</v>
      </c>
      <c r="E413" t="str">
        <f>IFERROR(__xludf.DUMMYFUNCTION("""COMPUTED_VALUE"""),"085455136306")</f>
        <v>085455136306</v>
      </c>
      <c r="F413">
        <f>IFERROR(__xludf.DUMMYFUNCTION("""COMPUTED_VALUE"""),360.0)</f>
        <v>360</v>
      </c>
      <c r="G413">
        <f>IFERROR(__xludf.DUMMYFUNCTION("""COMPUTED_VALUE"""),10000.0)</f>
        <v>10000</v>
      </c>
      <c r="H413" s="2">
        <f>IFERROR(__xludf.DUMMYFUNCTION("""COMPUTED_VALUE"""),2.75)</f>
        <v>2.75</v>
      </c>
      <c r="I413" s="2">
        <f>IFERROR(__xludf.DUMMYFUNCTION("""COMPUTED_VALUE"""),4.82)</f>
        <v>4.82</v>
      </c>
      <c r="J413" s="2">
        <f>IFERROR(__xludf.DUMMYFUNCTION("""COMPUTED_VALUE"""),2.0700000000000003)</f>
        <v>2.07</v>
      </c>
      <c r="K413" s="5">
        <f>IFERROR(__xludf.DUMMYFUNCTION("""COMPUTED_VALUE"""),0.7527272727272728)</f>
        <v>0.7527272727</v>
      </c>
      <c r="L413">
        <f>IFERROR(__xludf.DUMMYFUNCTION("""COMPUTED_VALUE"""),43285.0)</f>
        <v>43285</v>
      </c>
      <c r="M413" t="str">
        <f>IFERROR(__xludf.DUMMYFUNCTION("""COMPUTED_VALUE"""),"Kitchen")</f>
        <v>Kitchen</v>
      </c>
      <c r="O413" t="str">
        <f>IFERROR(__xludf.DUMMYFUNCTION("""COMPUTED_VALUE"""),"Y")</f>
        <v>Y</v>
      </c>
      <c r="P413" s="1" t="str">
        <f>IFERROR(__xludf.DUMMYFUNCTION("""COMPUTED_VALUE"""),"ID 21123")</f>
        <v>ID 21123</v>
      </c>
      <c r="Q413" s="1" t="str">
        <f>IFERROR(__xludf.DUMMYFUNCTION("""COMPUTED_VALUE"""),"B08SJ1MZYH")</f>
        <v>B08SJ1MZYH</v>
      </c>
    </row>
    <row r="414">
      <c r="A414" s="6">
        <f>IFERROR(__xludf.DUMMYFUNCTION("""COMPUTED_VALUE"""),45250.0)</f>
        <v>45250</v>
      </c>
      <c r="B414">
        <f>IFERROR(__xludf.DUMMYFUNCTION("""COMPUTED_VALUE"""),6725.0)</f>
        <v>6725</v>
      </c>
      <c r="C414" t="str">
        <f>IFERROR(__xludf.DUMMYFUNCTION("""COMPUTED_VALUE"""),"Chef Craft Mini Pastry Brush, White, 2-Pack")</f>
        <v>Chef Craft Mini Pastry Brush, White, 2-Pack</v>
      </c>
      <c r="D414" t="str">
        <f>IFERROR(__xludf.DUMMYFUNCTION("""COMPUTED_VALUE"""),"B00E80IIMK")</f>
        <v>B00E80IIMK</v>
      </c>
      <c r="E414" t="str">
        <f>IFERROR(__xludf.DUMMYFUNCTION("""COMPUTED_VALUE"""),"085455207457")</f>
        <v>085455207457</v>
      </c>
      <c r="F414">
        <f>IFERROR(__xludf.DUMMYFUNCTION("""COMPUTED_VALUE"""),864.0)</f>
        <v>864</v>
      </c>
      <c r="G414">
        <f>IFERROR(__xludf.DUMMYFUNCTION("""COMPUTED_VALUE"""),12000.0)</f>
        <v>12000</v>
      </c>
      <c r="H414" s="2">
        <f>IFERROR(__xludf.DUMMYFUNCTION("""COMPUTED_VALUE"""),1.0)</f>
        <v>1</v>
      </c>
      <c r="I414" s="2">
        <f>IFERROR(__xludf.DUMMYFUNCTION("""COMPUTED_VALUE"""),3.06)</f>
        <v>3.06</v>
      </c>
      <c r="J414" s="2">
        <f>IFERROR(__xludf.DUMMYFUNCTION("""COMPUTED_VALUE"""),2.06)</f>
        <v>2.06</v>
      </c>
      <c r="K414" s="5">
        <f>IFERROR(__xludf.DUMMYFUNCTION("""COMPUTED_VALUE"""),2.06)</f>
        <v>2.06</v>
      </c>
      <c r="L414">
        <f>IFERROR(__xludf.DUMMYFUNCTION("""COMPUTED_VALUE"""),74585.0)</f>
        <v>74585</v>
      </c>
      <c r="M414" t="str">
        <f>IFERROR(__xludf.DUMMYFUNCTION("""COMPUTED_VALUE"""),"Kitchen")</f>
        <v>Kitchen</v>
      </c>
      <c r="O414" t="str">
        <f>IFERROR(__xludf.DUMMYFUNCTION("""COMPUTED_VALUE"""),"Y")</f>
        <v>Y</v>
      </c>
      <c r="P414" s="1" t="str">
        <f>IFERROR(__xludf.DUMMYFUNCTION("""COMPUTED_VALUE"""),"ID 6725")</f>
        <v>ID 6725</v>
      </c>
      <c r="Q414" s="1" t="str">
        <f>IFERROR(__xludf.DUMMYFUNCTION("""COMPUTED_VALUE"""),"B00E80IIMK")</f>
        <v>B00E80IIMK</v>
      </c>
    </row>
    <row r="415">
      <c r="A415" s="6">
        <f>IFERROR(__xludf.DUMMYFUNCTION("""COMPUTED_VALUE"""),45421.0)</f>
        <v>45421</v>
      </c>
      <c r="B415">
        <f>IFERROR(__xludf.DUMMYFUNCTION("""COMPUTED_VALUE"""),12755.0)</f>
        <v>12755</v>
      </c>
      <c r="C415" t="str">
        <f>IFERROR(__xludf.DUMMYFUNCTION("""COMPUTED_VALUE"""),"MACO Black File Folder Labels, 9/16 x 3-7/16 Inches, 248 Per Box (FF-L8)")</f>
        <v>MACO Black File Folder Labels, 9/16 x 3-7/16 Inches, 248 Per Box (FF-L8)</v>
      </c>
      <c r="D415" t="str">
        <f>IFERROR(__xludf.DUMMYFUNCTION("""COMPUTED_VALUE"""),"B00O7190JA")</f>
        <v>B00O7190JA</v>
      </c>
      <c r="E415" t="str">
        <f>IFERROR(__xludf.DUMMYFUNCTION("""COMPUTED_VALUE"""),"015965052117")</f>
        <v>015965052117</v>
      </c>
      <c r="F415">
        <f>IFERROR(__xludf.DUMMYFUNCTION("""COMPUTED_VALUE"""),1260.0)</f>
        <v>1260</v>
      </c>
      <c r="G415">
        <f>IFERROR(__xludf.DUMMYFUNCTION("""COMPUTED_VALUE"""),10000.0)</f>
        <v>10000</v>
      </c>
      <c r="H415" s="2">
        <f>IFERROR(__xludf.DUMMYFUNCTION("""COMPUTED_VALUE"""),1.75)</f>
        <v>1.75</v>
      </c>
      <c r="I415" s="2">
        <f>IFERROR(__xludf.DUMMYFUNCTION("""COMPUTED_VALUE"""),3.81)</f>
        <v>3.81</v>
      </c>
      <c r="J415" s="2">
        <f>IFERROR(__xludf.DUMMYFUNCTION("""COMPUTED_VALUE"""),2.06)</f>
        <v>2.06</v>
      </c>
      <c r="K415" s="5">
        <f>IFERROR(__xludf.DUMMYFUNCTION("""COMPUTED_VALUE"""),1.1771428571428573)</f>
        <v>1.177142857</v>
      </c>
      <c r="L415">
        <f>IFERROR(__xludf.DUMMYFUNCTION("""COMPUTED_VALUE"""),41765.0)</f>
        <v>41765</v>
      </c>
      <c r="M415" t="str">
        <f>IFERROR(__xludf.DUMMYFUNCTION("""COMPUTED_VALUE"""),"BISS Basic")</f>
        <v>BISS Basic</v>
      </c>
      <c r="O415" t="str">
        <f>IFERROR(__xludf.DUMMYFUNCTION("""COMPUTED_VALUE"""),"N")</f>
        <v>N</v>
      </c>
      <c r="P415" s="1" t="str">
        <f>IFERROR(__xludf.DUMMYFUNCTION("""COMPUTED_VALUE"""),"ID 12755")</f>
        <v>ID 12755</v>
      </c>
      <c r="Q415" s="1" t="str">
        <f>IFERROR(__xludf.DUMMYFUNCTION("""COMPUTED_VALUE"""),"B00O7190JA")</f>
        <v>B00O7190JA</v>
      </c>
    </row>
    <row r="416">
      <c r="A416" s="6">
        <f>IFERROR(__xludf.DUMMYFUNCTION("""COMPUTED_VALUE"""),44754.0)</f>
        <v>44754</v>
      </c>
      <c r="B416">
        <f>IFERROR(__xludf.DUMMYFUNCTION("""COMPUTED_VALUE"""),2962.0)</f>
        <v>2962</v>
      </c>
      <c r="C416" t="str">
        <f>IFERROR(__xludf.DUMMYFUNCTION("""COMPUTED_VALUE"""),"Beach Balls")</f>
        <v>Beach Balls</v>
      </c>
      <c r="D416" t="str">
        <f>IFERROR(__xludf.DUMMYFUNCTION("""COMPUTED_VALUE"""),"B000BRMMGW")</f>
        <v>B000BRMMGW</v>
      </c>
      <c r="E416" t="str">
        <f>IFERROR(__xludf.DUMMYFUNCTION("""COMPUTED_VALUE"""),"786936694802")</f>
        <v>786936694802</v>
      </c>
      <c r="F416">
        <f>IFERROR(__xludf.DUMMYFUNCTION("""COMPUTED_VALUE"""),210.0)</f>
        <v>210</v>
      </c>
      <c r="G416">
        <f>IFERROR(__xludf.DUMMYFUNCTION("""COMPUTED_VALUE"""),4244.0)</f>
        <v>4244</v>
      </c>
      <c r="H416" s="2">
        <f>IFERROR(__xludf.DUMMYFUNCTION("""COMPUTED_VALUE"""),2.25)</f>
        <v>2.25</v>
      </c>
      <c r="I416" s="2">
        <f>IFERROR(__xludf.DUMMYFUNCTION("""COMPUTED_VALUE"""),4.3)</f>
        <v>4.3</v>
      </c>
      <c r="J416" s="2">
        <f>IFERROR(__xludf.DUMMYFUNCTION("""COMPUTED_VALUE"""),2.05)</f>
        <v>2.05</v>
      </c>
      <c r="K416" s="5">
        <f>IFERROR(__xludf.DUMMYFUNCTION("""COMPUTED_VALUE"""),0.911111111111111)</f>
        <v>0.9111111111</v>
      </c>
      <c r="L416">
        <f>IFERROR(__xludf.DUMMYFUNCTION("""COMPUTED_VALUE"""),24296.0)</f>
        <v>24296</v>
      </c>
      <c r="M416" t="str">
        <f>IFERROR(__xludf.DUMMYFUNCTION("""COMPUTED_VALUE"""),"DVD")</f>
        <v>DVD</v>
      </c>
      <c r="O416" t="str">
        <f>IFERROR(__xludf.DUMMYFUNCTION("""COMPUTED_VALUE"""),"N")</f>
        <v>N</v>
      </c>
      <c r="P416" s="1" t="str">
        <f>IFERROR(__xludf.DUMMYFUNCTION("""COMPUTED_VALUE"""),"ID 2962")</f>
        <v>ID 2962</v>
      </c>
      <c r="Q416" s="1" t="str">
        <f>IFERROR(__xludf.DUMMYFUNCTION("""COMPUTED_VALUE"""),"B000BRMMGW")</f>
        <v>B000BRMMGW</v>
      </c>
    </row>
    <row r="417">
      <c r="A417" s="6">
        <f>IFERROR(__xludf.DUMMYFUNCTION("""COMPUTED_VALUE"""),45378.0)</f>
        <v>45378</v>
      </c>
      <c r="B417">
        <f>IFERROR(__xludf.DUMMYFUNCTION("""COMPUTED_VALUE"""),16072.0)</f>
        <v>16072</v>
      </c>
      <c r="C417" t="str">
        <f>IFERROR(__xludf.DUMMYFUNCTION("""COMPUTED_VALUE"""),"BANZAI Cyclone Splash Park, Multicolor")</f>
        <v>BANZAI Cyclone Splash Park, Multicolor</v>
      </c>
      <c r="D417" t="str">
        <f>IFERROR(__xludf.DUMMYFUNCTION("""COMPUTED_VALUE"""),"B071VL9HMM")</f>
        <v>B071VL9HMM</v>
      </c>
      <c r="E417" t="str">
        <f>IFERROR(__xludf.DUMMYFUNCTION("""COMPUTED_VALUE"""),"191124136369")</f>
        <v>191124136369</v>
      </c>
      <c r="F417">
        <f>IFERROR(__xludf.DUMMYFUNCTION("""COMPUTED_VALUE"""),48.0)</f>
        <v>48</v>
      </c>
      <c r="G417">
        <f>IFERROR(__xludf.DUMMYFUNCTION("""COMPUTED_VALUE"""),636.0)</f>
        <v>636</v>
      </c>
      <c r="H417" s="2">
        <f>IFERROR(__xludf.DUMMYFUNCTION("""COMPUTED_VALUE"""),29.5)</f>
        <v>29.5</v>
      </c>
      <c r="I417" s="2">
        <f>IFERROR(__xludf.DUMMYFUNCTION("""COMPUTED_VALUE"""),31.55)</f>
        <v>31.55</v>
      </c>
      <c r="J417" s="2">
        <f>IFERROR(__xludf.DUMMYFUNCTION("""COMPUTED_VALUE"""),2.0500000000000007)</f>
        <v>2.05</v>
      </c>
      <c r="K417" s="5">
        <f>IFERROR(__xludf.DUMMYFUNCTION("""COMPUTED_VALUE"""),0.06949152542372884)</f>
        <v>0.06949152542</v>
      </c>
      <c r="L417">
        <f>IFERROR(__xludf.DUMMYFUNCTION("""COMPUTED_VALUE"""),73334.0)</f>
        <v>73334</v>
      </c>
      <c r="M417" t="str">
        <f>IFERROR(__xludf.DUMMYFUNCTION("""COMPUTED_VALUE"""),"Toy")</f>
        <v>Toy</v>
      </c>
      <c r="O417" t="str">
        <f>IFERROR(__xludf.DUMMYFUNCTION("""COMPUTED_VALUE"""),"N")</f>
        <v>N</v>
      </c>
      <c r="P417" s="1" t="str">
        <f>IFERROR(__xludf.DUMMYFUNCTION("""COMPUTED_VALUE"""),"ID 16072")</f>
        <v>ID 16072</v>
      </c>
      <c r="Q417" s="1" t="str">
        <f>IFERROR(__xludf.DUMMYFUNCTION("""COMPUTED_VALUE"""),"B071VL9HMM")</f>
        <v>B071VL9HMM</v>
      </c>
    </row>
    <row r="418">
      <c r="A418" s="6">
        <f>IFERROR(__xludf.DUMMYFUNCTION("""COMPUTED_VALUE"""),45204.0)</f>
        <v>45204</v>
      </c>
      <c r="B418">
        <f>IFERROR(__xludf.DUMMYFUNCTION("""COMPUTED_VALUE"""),23318.0)</f>
        <v>23318</v>
      </c>
      <c r="C418" t="str">
        <f>IFERROR(__xludf.DUMMYFUNCTION("""COMPUTED_VALUE"""),"Farberware 5204035 Self-Sharpening All-Purpose and Utility Shear Set with Edgekeeper Sheaths, Cherry Red")</f>
        <v>Farberware 5204035 Self-Sharpening All-Purpose and Utility Shear Set with Edgekeeper Sheaths, Cherry Red</v>
      </c>
      <c r="D418" t="str">
        <f>IFERROR(__xludf.DUMMYFUNCTION("""COMPUTED_VALUE"""),"B01N22ZOUP")</f>
        <v>B01N22ZOUP</v>
      </c>
      <c r="E418" t="str">
        <f>IFERROR(__xludf.DUMMYFUNCTION("""COMPUTED_VALUE"""),"45908101329")</f>
        <v>45908101329</v>
      </c>
      <c r="F418">
        <f>IFERROR(__xludf.DUMMYFUNCTION("""COMPUTED_VALUE"""),216.0)</f>
        <v>216</v>
      </c>
      <c r="G418">
        <f>IFERROR(__xludf.DUMMYFUNCTION("""COMPUTED_VALUE"""),4488.0)</f>
        <v>4488</v>
      </c>
      <c r="H418" s="2">
        <f>IFERROR(__xludf.DUMMYFUNCTION("""COMPUTED_VALUE"""),6.5)</f>
        <v>6.5</v>
      </c>
      <c r="I418" s="2">
        <f>IFERROR(__xludf.DUMMYFUNCTION("""COMPUTED_VALUE"""),8.55)</f>
        <v>8.55</v>
      </c>
      <c r="J418" s="2">
        <f>IFERROR(__xludf.DUMMYFUNCTION("""COMPUTED_VALUE"""),2.0500000000000007)</f>
        <v>2.05</v>
      </c>
      <c r="K418" s="5">
        <f>IFERROR(__xludf.DUMMYFUNCTION("""COMPUTED_VALUE"""),0.3153846153846155)</f>
        <v>0.3153846154</v>
      </c>
      <c r="L418">
        <f>IFERROR(__xludf.DUMMYFUNCTION("""COMPUTED_VALUE"""),81652.0)</f>
        <v>81652</v>
      </c>
      <c r="M418" t="str">
        <f>IFERROR(__xludf.DUMMYFUNCTION("""COMPUTED_VALUE"""),"Kitchen")</f>
        <v>Kitchen</v>
      </c>
      <c r="N418" t="str">
        <f>IFERROR(__xludf.DUMMYFUNCTION("""COMPUTED_VALUE"""),"Restricted Online Sales")</f>
        <v>Restricted Online Sales</v>
      </c>
      <c r="O418" t="str">
        <f>IFERROR(__xludf.DUMMYFUNCTION("""COMPUTED_VALUE"""),"N")</f>
        <v>N</v>
      </c>
      <c r="P418" s="1" t="str">
        <f>IFERROR(__xludf.DUMMYFUNCTION("""COMPUTED_VALUE"""),"ID 23318")</f>
        <v>ID 23318</v>
      </c>
      <c r="Q418" s="1" t="str">
        <f>IFERROR(__xludf.DUMMYFUNCTION("""COMPUTED_VALUE"""),"B01N22ZOUP")</f>
        <v>B01N22ZOUP</v>
      </c>
    </row>
    <row r="419">
      <c r="A419" s="6">
        <f>IFERROR(__xludf.DUMMYFUNCTION("""COMPUTED_VALUE"""),45376.0)</f>
        <v>45376</v>
      </c>
      <c r="B419">
        <f>IFERROR(__xludf.DUMMYFUNCTION("""COMPUTED_VALUE"""),17044.0)</f>
        <v>17044</v>
      </c>
      <c r="C419" t="str">
        <f>IFERROR(__xludf.DUMMYFUNCTION("""COMPUTED_VALUE"""),"DIXON Industrial RediMark Permanent Markers, Chisel Point, Metal Barrel, Box of 12 Markers, Green (87140)")</f>
        <v>DIXON Industrial RediMark Permanent Markers, Chisel Point, Metal Barrel, Box of 12 Markers, Green (87140)</v>
      </c>
      <c r="D419" t="str">
        <f>IFERROR(__xludf.DUMMYFUNCTION("""COMPUTED_VALUE"""),"B0050A69BE")</f>
        <v>B0050A69BE</v>
      </c>
      <c r="E419" t="str">
        <f>IFERROR(__xludf.DUMMYFUNCTION("""COMPUTED_VALUE"""),"072067871404")</f>
        <v>072067871404</v>
      </c>
      <c r="F419">
        <f>IFERROR(__xludf.DUMMYFUNCTION("""COMPUTED_VALUE"""),264.0)</f>
        <v>264</v>
      </c>
      <c r="G419">
        <f>IFERROR(__xludf.DUMMYFUNCTION("""COMPUTED_VALUE"""),10000.0)</f>
        <v>10000</v>
      </c>
      <c r="H419" s="2">
        <f>IFERROR(__xludf.DUMMYFUNCTION("""COMPUTED_VALUE"""),14.0)</f>
        <v>14</v>
      </c>
      <c r="I419" s="2">
        <f>IFERROR(__xludf.DUMMYFUNCTION("""COMPUTED_VALUE"""),16.04)</f>
        <v>16.04</v>
      </c>
      <c r="J419" s="2">
        <f>IFERROR(__xludf.DUMMYFUNCTION("""COMPUTED_VALUE"""),2.039999999999999)</f>
        <v>2.04</v>
      </c>
      <c r="K419" s="5">
        <f>IFERROR(__xludf.DUMMYFUNCTION("""COMPUTED_VALUE"""),0.14571428571428566)</f>
        <v>0.1457142857</v>
      </c>
      <c r="L419">
        <f>IFERROR(__xludf.DUMMYFUNCTION("""COMPUTED_VALUE"""),54215.0)</f>
        <v>54215</v>
      </c>
      <c r="M419" t="str">
        <f>IFERROR(__xludf.DUMMYFUNCTION("""COMPUTED_VALUE"""),"Office Product")</f>
        <v>Office Product</v>
      </c>
      <c r="O419" t="str">
        <f>IFERROR(__xludf.DUMMYFUNCTION("""COMPUTED_VALUE"""),"N")</f>
        <v>N</v>
      </c>
      <c r="P419" s="1" t="str">
        <f>IFERROR(__xludf.DUMMYFUNCTION("""COMPUTED_VALUE"""),"ID 17044")</f>
        <v>ID 17044</v>
      </c>
      <c r="Q419" s="1" t="str">
        <f>IFERROR(__xludf.DUMMYFUNCTION("""COMPUTED_VALUE"""),"B0050A69BE")</f>
        <v>B0050A69BE</v>
      </c>
    </row>
    <row r="420">
      <c r="A420" s="6">
        <f>IFERROR(__xludf.DUMMYFUNCTION("""COMPUTED_VALUE"""),45113.0)</f>
        <v>45113</v>
      </c>
      <c r="B420">
        <f>IFERROR(__xludf.DUMMYFUNCTION("""COMPUTED_VALUE"""),15182.0)</f>
        <v>15182</v>
      </c>
      <c r="C420" t="str">
        <f>IFERROR(__xludf.DUMMYFUNCTION("""COMPUTED_VALUE"""),"Sanford Prismacolor Premier Colored Pencil Open Stock-Cobalt Turquoise (1800041)")</f>
        <v>Sanford Prismacolor Premier Colored Pencil Open Stock-Cobalt Turquoise (1800041)</v>
      </c>
      <c r="D420" t="str">
        <f>IFERROR(__xludf.DUMMYFUNCTION("""COMPUTED_VALUE"""),"B006H7JAAG")</f>
        <v>B006H7JAAG</v>
      </c>
      <c r="E420" t="str">
        <f>IFERROR(__xludf.DUMMYFUNCTION("""COMPUTED_VALUE"""),"70735003935")</f>
        <v>70735003935</v>
      </c>
      <c r="F420">
        <f>IFERROR(__xludf.DUMMYFUNCTION("""COMPUTED_VALUE"""),4320.0)</f>
        <v>4320</v>
      </c>
      <c r="G420">
        <f>IFERROR(__xludf.DUMMYFUNCTION("""COMPUTED_VALUE"""),10000.0)</f>
        <v>10000</v>
      </c>
      <c r="H420" s="2">
        <f>IFERROR(__xludf.DUMMYFUNCTION("""COMPUTED_VALUE"""),1.0)</f>
        <v>1</v>
      </c>
      <c r="I420" s="2">
        <f>IFERROR(__xludf.DUMMYFUNCTION("""COMPUTED_VALUE"""),3.03)</f>
        <v>3.03</v>
      </c>
      <c r="J420" s="2">
        <f>IFERROR(__xludf.DUMMYFUNCTION("""COMPUTED_VALUE"""),2.03)</f>
        <v>2.03</v>
      </c>
      <c r="K420" s="5">
        <f>IFERROR(__xludf.DUMMYFUNCTION("""COMPUTED_VALUE"""),2.03)</f>
        <v>2.03</v>
      </c>
      <c r="L420">
        <f>IFERROR(__xludf.DUMMYFUNCTION("""COMPUTED_VALUE"""),80176.0)</f>
        <v>80176</v>
      </c>
      <c r="M420" t="str">
        <f>IFERROR(__xludf.DUMMYFUNCTION("""COMPUTED_VALUE"""),"Office Product")</f>
        <v>Office Product</v>
      </c>
      <c r="O420" t="str">
        <f>IFERROR(__xludf.DUMMYFUNCTION("""COMPUTED_VALUE"""),"N")</f>
        <v>N</v>
      </c>
      <c r="P420" s="1" t="str">
        <f>IFERROR(__xludf.DUMMYFUNCTION("""COMPUTED_VALUE"""),"ID 15182")</f>
        <v>ID 15182</v>
      </c>
      <c r="Q420" s="1" t="str">
        <f>IFERROR(__xludf.DUMMYFUNCTION("""COMPUTED_VALUE"""),"B006H7JAAG")</f>
        <v>B006H7JAAG</v>
      </c>
    </row>
    <row r="421">
      <c r="A421" s="6">
        <f>IFERROR(__xludf.DUMMYFUNCTION("""COMPUTED_VALUE"""),45376.0)</f>
        <v>45376</v>
      </c>
      <c r="B421">
        <f>IFERROR(__xludf.DUMMYFUNCTION("""COMPUTED_VALUE"""),25160.0)</f>
        <v>25160</v>
      </c>
      <c r="C421" t="str">
        <f>IFERROR(__xludf.DUMMYFUNCTION("""COMPUTED_VALUE"""),"SunWorks Construction Paper P9103, Hot Pink, 9"" x 12"", 50 Sheets")</f>
        <v>SunWorks Construction Paper P9103, Hot Pink, 9" x 12", 50 Sheets</v>
      </c>
      <c r="D421" t="str">
        <f>IFERROR(__xludf.DUMMYFUNCTION("""COMPUTED_VALUE"""),"B003K62F22")</f>
        <v>B003K62F22</v>
      </c>
      <c r="E421" t="str">
        <f>IFERROR(__xludf.DUMMYFUNCTION("""COMPUTED_VALUE"""),"045173091035")</f>
        <v>045173091035</v>
      </c>
      <c r="F421">
        <f>IFERROR(__xludf.DUMMYFUNCTION("""COMPUTED_VALUE"""),2600.0)</f>
        <v>2600</v>
      </c>
      <c r="G421">
        <f>IFERROR(__xludf.DUMMYFUNCTION("""COMPUTED_VALUE"""),10000.0)</f>
        <v>10000</v>
      </c>
      <c r="H421" s="2">
        <f>IFERROR(__xludf.DUMMYFUNCTION("""COMPUTED_VALUE"""),1.5)</f>
        <v>1.5</v>
      </c>
      <c r="I421" s="2">
        <f>IFERROR(__xludf.DUMMYFUNCTION("""COMPUTED_VALUE"""),3.53)</f>
        <v>3.53</v>
      </c>
      <c r="J421" s="2">
        <f>IFERROR(__xludf.DUMMYFUNCTION("""COMPUTED_VALUE"""),2.03)</f>
        <v>2.03</v>
      </c>
      <c r="K421" s="5">
        <f>IFERROR(__xludf.DUMMYFUNCTION("""COMPUTED_VALUE"""),1.3533333333333333)</f>
        <v>1.353333333</v>
      </c>
      <c r="L421">
        <f>IFERROR(__xludf.DUMMYFUNCTION("""COMPUTED_VALUE"""),1789.0)</f>
        <v>1789</v>
      </c>
      <c r="M421" t="str">
        <f>IFERROR(__xludf.DUMMYFUNCTION("""COMPUTED_VALUE"""),"Home")</f>
        <v>Home</v>
      </c>
      <c r="N421" t="str">
        <f>IFERROR(__xludf.DUMMYFUNCTION("""COMPUTED_VALUE"""),"Packaging may vary")</f>
        <v>Packaging may vary</v>
      </c>
      <c r="O421" t="str">
        <f>IFERROR(__xludf.DUMMYFUNCTION("""COMPUTED_VALUE"""),"N")</f>
        <v>N</v>
      </c>
      <c r="P421" s="1" t="str">
        <f>IFERROR(__xludf.DUMMYFUNCTION("""COMPUTED_VALUE"""),"ID 25160")</f>
        <v>ID 25160</v>
      </c>
      <c r="Q421" s="1" t="str">
        <f>IFERROR(__xludf.DUMMYFUNCTION("""COMPUTED_VALUE"""),"B003K62F22")</f>
        <v>B003K62F22</v>
      </c>
    </row>
    <row r="422">
      <c r="A422" s="6">
        <f>IFERROR(__xludf.DUMMYFUNCTION("""COMPUTED_VALUE"""),45362.0)</f>
        <v>45362</v>
      </c>
      <c r="B422">
        <f>IFERROR(__xludf.DUMMYFUNCTION("""COMPUTED_VALUE"""),19601.0)</f>
        <v>19601</v>
      </c>
      <c r="C422" t="str">
        <f>IFERROR(__xludf.DUMMYFUNCTION("""COMPUTED_VALUE"""),"Pentel Refill Ink for BK91 Pentel R.S.V.P. Ballpoint Pen, Medium Line, Violet Ink, 2-Pack (BKL10-V)")</f>
        <v>Pentel Refill Ink for BK91 Pentel R.S.V.P. Ballpoint Pen, Medium Line, Violet Ink, 2-Pack (BKL10-V)</v>
      </c>
      <c r="D422" t="str">
        <f>IFERROR(__xludf.DUMMYFUNCTION("""COMPUTED_VALUE"""),"B005O6589I")</f>
        <v>B005O6589I</v>
      </c>
      <c r="E422" t="str">
        <f>IFERROR(__xludf.DUMMYFUNCTION("""COMPUTED_VALUE"""),"072512090770")</f>
        <v>072512090770</v>
      </c>
      <c r="F422">
        <f>IFERROR(__xludf.DUMMYFUNCTION("""COMPUTED_VALUE"""),1008.0)</f>
        <v>1008</v>
      </c>
      <c r="G422">
        <f>IFERROR(__xludf.DUMMYFUNCTION("""COMPUTED_VALUE"""),10000.0)</f>
        <v>10000</v>
      </c>
      <c r="H422" s="2">
        <f>IFERROR(__xludf.DUMMYFUNCTION("""COMPUTED_VALUE"""),1.0)</f>
        <v>1</v>
      </c>
      <c r="I422" s="2">
        <f>IFERROR(__xludf.DUMMYFUNCTION("""COMPUTED_VALUE"""),3.02)</f>
        <v>3.02</v>
      </c>
      <c r="J422" s="2">
        <f>IFERROR(__xludf.DUMMYFUNCTION("""COMPUTED_VALUE"""),2.02)</f>
        <v>2.02</v>
      </c>
      <c r="K422" s="5">
        <f>IFERROR(__xludf.DUMMYFUNCTION("""COMPUTED_VALUE"""),2.02)</f>
        <v>2.02</v>
      </c>
      <c r="L422">
        <f>IFERROR(__xludf.DUMMYFUNCTION("""COMPUTED_VALUE"""),80243.0)</f>
        <v>80243</v>
      </c>
      <c r="M422" t="str">
        <f>IFERROR(__xludf.DUMMYFUNCTION("""COMPUTED_VALUE"""),"Office Product")</f>
        <v>Office Product</v>
      </c>
      <c r="O422" t="str">
        <f>IFERROR(__xludf.DUMMYFUNCTION("""COMPUTED_VALUE"""),"N")</f>
        <v>N</v>
      </c>
      <c r="P422" s="1" t="str">
        <f>IFERROR(__xludf.DUMMYFUNCTION("""COMPUTED_VALUE"""),"ID 19601")</f>
        <v>ID 19601</v>
      </c>
      <c r="Q422" s="1" t="str">
        <f>IFERROR(__xludf.DUMMYFUNCTION("""COMPUTED_VALUE"""),"B005O6589I")</f>
        <v>B005O6589I</v>
      </c>
    </row>
    <row r="423">
      <c r="A423" s="6">
        <f>IFERROR(__xludf.DUMMYFUNCTION("""COMPUTED_VALUE"""),45376.0)</f>
        <v>45376</v>
      </c>
      <c r="B423">
        <f>IFERROR(__xludf.DUMMYFUNCTION("""COMPUTED_VALUE"""),21956.0)</f>
        <v>21956</v>
      </c>
      <c r="C423" t="str">
        <f>IFERROR(__xludf.DUMMYFUNCTION("""COMPUTED_VALUE"""),"Prang Ready-to-Use Liquid Tempera Paint, 16-Ounce Bottle, Yellow (21603)")</f>
        <v>Prang Ready-to-Use Liquid Tempera Paint, 16-Ounce Bottle, Yellow (21603)</v>
      </c>
      <c r="D423" t="str">
        <f>IFERROR(__xludf.DUMMYFUNCTION("""COMPUTED_VALUE"""),"B001AYYB6Y")</f>
        <v>B001AYYB6Y</v>
      </c>
      <c r="E423" t="str">
        <f>IFERROR(__xludf.DUMMYFUNCTION("""COMPUTED_VALUE"""),"072067216038")</f>
        <v>072067216038</v>
      </c>
      <c r="F423">
        <f>IFERROR(__xludf.DUMMYFUNCTION("""COMPUTED_VALUE"""),1380.0)</f>
        <v>1380</v>
      </c>
      <c r="G423">
        <f>IFERROR(__xludf.DUMMYFUNCTION("""COMPUTED_VALUE"""),10000.0)</f>
        <v>10000</v>
      </c>
      <c r="H423" s="2">
        <f>IFERROR(__xludf.DUMMYFUNCTION("""COMPUTED_VALUE"""),2.75)</f>
        <v>2.75</v>
      </c>
      <c r="I423" s="2">
        <f>IFERROR(__xludf.DUMMYFUNCTION("""COMPUTED_VALUE"""),4.76)</f>
        <v>4.76</v>
      </c>
      <c r="J423" s="2">
        <f>IFERROR(__xludf.DUMMYFUNCTION("""COMPUTED_VALUE"""),2.01)</f>
        <v>2.01</v>
      </c>
      <c r="K423" s="5">
        <f>IFERROR(__xludf.DUMMYFUNCTION("""COMPUTED_VALUE"""),0.7309090909090908)</f>
        <v>0.7309090909</v>
      </c>
      <c r="L423">
        <f>IFERROR(__xludf.DUMMYFUNCTION("""COMPUTED_VALUE"""),18448.0)</f>
        <v>18448</v>
      </c>
      <c r="M423" t="str">
        <f>IFERROR(__xludf.DUMMYFUNCTION("""COMPUTED_VALUE"""),"Office Product")</f>
        <v>Office Product</v>
      </c>
      <c r="O423" t="str">
        <f>IFERROR(__xludf.DUMMYFUNCTION("""COMPUTED_VALUE"""),"N")</f>
        <v>N</v>
      </c>
      <c r="P423" s="1" t="str">
        <f>IFERROR(__xludf.DUMMYFUNCTION("""COMPUTED_VALUE"""),"ID 21956")</f>
        <v>ID 21956</v>
      </c>
      <c r="Q423" s="1" t="str">
        <f>IFERROR(__xludf.DUMMYFUNCTION("""COMPUTED_VALUE"""),"B001AYYB6Y")</f>
        <v>B001AYYB6Y</v>
      </c>
    </row>
    <row r="424">
      <c r="A424" s="6">
        <f>IFERROR(__xludf.DUMMYFUNCTION("""COMPUTED_VALUE"""),44659.0)</f>
        <v>44659</v>
      </c>
      <c r="B424">
        <f>IFERROR(__xludf.DUMMYFUNCTION("""COMPUTED_VALUE"""),23037.0)</f>
        <v>23037</v>
      </c>
      <c r="C424" t="str">
        <f>IFERROR(__xludf.DUMMYFUNCTION("""COMPUTED_VALUE"""),"C-Line Clipboard Folder, Letter Size, Holds up to 75 Sheets, 1 Clipboard, Color May Vary (30600)")</f>
        <v>C-Line Clipboard Folder, Letter Size, Holds up to 75 Sheets, 1 Clipboard, Color May Vary (30600)</v>
      </c>
      <c r="D424" t="str">
        <f>IFERROR(__xludf.DUMMYFUNCTION("""COMPUTED_VALUE"""),"B004PJ2U6E")</f>
        <v>B004PJ2U6E</v>
      </c>
      <c r="E424" t="str">
        <f>IFERROR(__xludf.DUMMYFUNCTION("""COMPUTED_VALUE"""),"38944306001")</f>
        <v>38944306001</v>
      </c>
      <c r="F424">
        <f>IFERROR(__xludf.DUMMYFUNCTION("""COMPUTED_VALUE"""),610.0)</f>
        <v>610</v>
      </c>
      <c r="G424">
        <f>IFERROR(__xludf.DUMMYFUNCTION("""COMPUTED_VALUE"""),5000.0)</f>
        <v>5000</v>
      </c>
      <c r="H424" s="2">
        <f>IFERROR(__xludf.DUMMYFUNCTION("""COMPUTED_VALUE"""),2.25)</f>
        <v>2.25</v>
      </c>
      <c r="I424" s="2">
        <f>IFERROR(__xludf.DUMMYFUNCTION("""COMPUTED_VALUE"""),4.26)</f>
        <v>4.26</v>
      </c>
      <c r="J424" s="2">
        <f>IFERROR(__xludf.DUMMYFUNCTION("""COMPUTED_VALUE"""),2.01)</f>
        <v>2.01</v>
      </c>
      <c r="K424" s="5">
        <f>IFERROR(__xludf.DUMMYFUNCTION("""COMPUTED_VALUE"""),0.8933333333333332)</f>
        <v>0.8933333333</v>
      </c>
      <c r="L424">
        <f>IFERROR(__xludf.DUMMYFUNCTION("""COMPUTED_VALUE"""),44966.0)</f>
        <v>44966</v>
      </c>
      <c r="M424" t="str">
        <f>IFERROR(__xludf.DUMMYFUNCTION("""COMPUTED_VALUE"""),"Office Product")</f>
        <v>Office Product</v>
      </c>
      <c r="O424" t="str">
        <f>IFERROR(__xludf.DUMMYFUNCTION("""COMPUTED_VALUE"""),"Y")</f>
        <v>Y</v>
      </c>
      <c r="P424" s="1" t="str">
        <f>IFERROR(__xludf.DUMMYFUNCTION("""COMPUTED_VALUE"""),"ID 23037")</f>
        <v>ID 23037</v>
      </c>
      <c r="Q424" s="1" t="str">
        <f>IFERROR(__xludf.DUMMYFUNCTION("""COMPUTED_VALUE"""),"B004PJ2U6E")</f>
        <v>B004PJ2U6E</v>
      </c>
    </row>
    <row r="425">
      <c r="A425" s="6">
        <f>IFERROR(__xludf.DUMMYFUNCTION("""COMPUTED_VALUE"""),45397.0)</f>
        <v>45397</v>
      </c>
      <c r="B425">
        <f>IFERROR(__xludf.DUMMYFUNCTION("""COMPUTED_VALUE"""),20966.0)</f>
        <v>20966</v>
      </c>
      <c r="C425" t="str">
        <f>IFERROR(__xludf.DUMMYFUNCTION("""COMPUTED_VALUE"""),"It's Academic Mini Executive Leather Portfolio Folder, 1"" Ring Binder and 250-Sheet Capacity, Note Pads, and 5.5""""x 8.5"" Documents, 2 Pen Loops, Black Faux Leather (98294)")</f>
        <v>It's Academic Mini Executive Leather Portfolio Folder, 1" Ring Binder and 250-Sheet Capacity, Note Pads, and 5.5""x 8.5" Documents, 2 Pen Loops, Black Faux Leather (98294)</v>
      </c>
      <c r="D425" t="str">
        <f>IFERROR(__xludf.DUMMYFUNCTION("""COMPUTED_VALUE"""),"B08JHC3ZRF")</f>
        <v>B08JHC3ZRF</v>
      </c>
      <c r="E425" t="str">
        <f>IFERROR(__xludf.DUMMYFUNCTION("""COMPUTED_VALUE"""),"725150982944")</f>
        <v>725150982944</v>
      </c>
      <c r="F425">
        <f>IFERROR(__xludf.DUMMYFUNCTION("""COMPUTED_VALUE"""),228.0)</f>
        <v>228</v>
      </c>
      <c r="G425">
        <f>IFERROR(__xludf.DUMMYFUNCTION("""COMPUTED_VALUE"""),1259.0)</f>
        <v>1259</v>
      </c>
      <c r="H425" s="2">
        <f>IFERROR(__xludf.DUMMYFUNCTION("""COMPUTED_VALUE"""),6.0)</f>
        <v>6</v>
      </c>
      <c r="I425" s="2">
        <f>IFERROR(__xludf.DUMMYFUNCTION("""COMPUTED_VALUE"""),8.0)</f>
        <v>8</v>
      </c>
      <c r="J425" s="2">
        <f>IFERROR(__xludf.DUMMYFUNCTION("""COMPUTED_VALUE"""),2.0)</f>
        <v>2</v>
      </c>
      <c r="K425" s="5">
        <f>IFERROR(__xludf.DUMMYFUNCTION("""COMPUTED_VALUE"""),0.3333333333333333)</f>
        <v>0.3333333333</v>
      </c>
      <c r="L425">
        <f>IFERROR(__xludf.DUMMYFUNCTION("""COMPUTED_VALUE"""),50657.0)</f>
        <v>50657</v>
      </c>
      <c r="M425" t="str">
        <f>IFERROR(__xludf.DUMMYFUNCTION("""COMPUTED_VALUE"""),"BISS Basic")</f>
        <v>BISS Basic</v>
      </c>
      <c r="N425" t="str">
        <f>IFERROR(__xludf.DUMMYFUNCTION("""COMPUTED_VALUE"""),"Promo: Overstock")</f>
        <v>Promo: Overstock</v>
      </c>
      <c r="O425" t="str">
        <f>IFERROR(__xludf.DUMMYFUNCTION("""COMPUTED_VALUE"""),"Y")</f>
        <v>Y</v>
      </c>
      <c r="P425" s="1" t="str">
        <f>IFERROR(__xludf.DUMMYFUNCTION("""COMPUTED_VALUE"""),"ID 20966")</f>
        <v>ID 20966</v>
      </c>
      <c r="Q425" s="1" t="str">
        <f>IFERROR(__xludf.DUMMYFUNCTION("""COMPUTED_VALUE"""),"B08JHC3ZRF")</f>
        <v>B08JHC3ZRF</v>
      </c>
    </row>
    <row r="426">
      <c r="A426" s="6">
        <f>IFERROR(__xludf.DUMMYFUNCTION("""COMPUTED_VALUE"""),44439.0)</f>
        <v>44439</v>
      </c>
      <c r="B426">
        <f>IFERROR(__xludf.DUMMYFUNCTION("""COMPUTED_VALUE"""),18541.0)</f>
        <v>18541</v>
      </c>
      <c r="C426" t="str">
        <f>IFERROR(__xludf.DUMMYFUNCTION("""COMPUTED_VALUE"""),"Meadwestvaco Memo Pads, 2 7/16 inches x 4 1/4 inches, 2 memo pads per pack (45210)")</f>
        <v>Meadwestvaco Memo Pads, 2 7/16 inches x 4 1/4 inches, 2 memo pads per pack (45210)</v>
      </c>
      <c r="D426" t="str">
        <f>IFERROR(__xludf.DUMMYFUNCTION("""COMPUTED_VALUE"""),"B0078F6LXK")</f>
        <v>B0078F6LXK</v>
      </c>
      <c r="E426" t="str">
        <f>IFERROR(__xludf.DUMMYFUNCTION("""COMPUTED_VALUE"""),"43100452102")</f>
        <v>43100452102</v>
      </c>
      <c r="F426">
        <f>IFERROR(__xludf.DUMMYFUNCTION("""COMPUTED_VALUE"""),2160.0)</f>
        <v>2160</v>
      </c>
      <c r="G426">
        <f>IFERROR(__xludf.DUMMYFUNCTION("""COMPUTED_VALUE"""),5000.0)</f>
        <v>5000</v>
      </c>
      <c r="H426" s="2">
        <f>IFERROR(__xludf.DUMMYFUNCTION("""COMPUTED_VALUE"""),1.25)</f>
        <v>1.25</v>
      </c>
      <c r="I426" s="2">
        <f>IFERROR(__xludf.DUMMYFUNCTION("""COMPUTED_VALUE"""),3.23)</f>
        <v>3.23</v>
      </c>
      <c r="J426" s="2">
        <f>IFERROR(__xludf.DUMMYFUNCTION("""COMPUTED_VALUE"""),1.98)</f>
        <v>1.98</v>
      </c>
      <c r="K426" s="5">
        <f>IFERROR(__xludf.DUMMYFUNCTION("""COMPUTED_VALUE"""),1.584)</f>
        <v>1.584</v>
      </c>
      <c r="L426">
        <f>IFERROR(__xludf.DUMMYFUNCTION("""COMPUTED_VALUE"""),73822.0)</f>
        <v>73822</v>
      </c>
      <c r="M426" t="str">
        <f>IFERROR(__xludf.DUMMYFUNCTION("""COMPUTED_VALUE"""),"Office Product")</f>
        <v>Office Product</v>
      </c>
      <c r="O426" t="str">
        <f>IFERROR(__xludf.DUMMYFUNCTION("""COMPUTED_VALUE"""),"N")</f>
        <v>N</v>
      </c>
      <c r="P426" s="1" t="str">
        <f>IFERROR(__xludf.DUMMYFUNCTION("""COMPUTED_VALUE"""),"ID 18541")</f>
        <v>ID 18541</v>
      </c>
      <c r="Q426" s="1" t="str">
        <f>IFERROR(__xludf.DUMMYFUNCTION("""COMPUTED_VALUE"""),"B0078F6LXK")</f>
        <v>B0078F6LXK</v>
      </c>
    </row>
    <row r="427">
      <c r="A427" s="6">
        <f>IFERROR(__xludf.DUMMYFUNCTION("""COMPUTED_VALUE"""),45421.0)</f>
        <v>45421</v>
      </c>
      <c r="B427">
        <f>IFERROR(__xludf.DUMMYFUNCTION("""COMPUTED_VALUE"""),23635.0)</f>
        <v>23635</v>
      </c>
      <c r="C427" t="str">
        <f>IFERROR(__xludf.DUMMYFUNCTION("""COMPUTED_VALUE"""),"Worth Je Reviens For Women. Eau De Toilette Spray, 3.3 Ounces")</f>
        <v>Worth Je Reviens For Women. Eau De Toilette Spray, 3.3 Ounces</v>
      </c>
      <c r="D427" t="str">
        <f>IFERROR(__xludf.DUMMYFUNCTION("""COMPUTED_VALUE"""),"B000C1ZFFW")</f>
        <v>B000C1ZFFW</v>
      </c>
      <c r="E427" t="str">
        <f>IFERROR(__xludf.DUMMYFUNCTION("""COMPUTED_VALUE"""),"5023977030509")</f>
        <v>5023977030509</v>
      </c>
      <c r="F427">
        <f>IFERROR(__xludf.DUMMYFUNCTION("""COMPUTED_VALUE"""),100.0)</f>
        <v>100</v>
      </c>
      <c r="G427">
        <f>IFERROR(__xludf.DUMMYFUNCTION("""COMPUTED_VALUE"""),10000.0)</f>
        <v>10000</v>
      </c>
      <c r="H427" s="2">
        <f>IFERROR(__xludf.DUMMYFUNCTION("""COMPUTED_VALUE"""),12.5)</f>
        <v>12.5</v>
      </c>
      <c r="I427" s="2">
        <f>IFERROR(__xludf.DUMMYFUNCTION("""COMPUTED_VALUE"""),14.47)</f>
        <v>14.47</v>
      </c>
      <c r="J427" s="2">
        <f>IFERROR(__xludf.DUMMYFUNCTION("""COMPUTED_VALUE"""),1.9700000000000006)</f>
        <v>1.97</v>
      </c>
      <c r="K427" s="5">
        <f>IFERROR(__xludf.DUMMYFUNCTION("""COMPUTED_VALUE"""),0.15760000000000005)</f>
        <v>0.1576</v>
      </c>
      <c r="L427">
        <f>IFERROR(__xludf.DUMMYFUNCTION("""COMPUTED_VALUE"""),56833.0)</f>
        <v>56833</v>
      </c>
      <c r="M427" t="str">
        <f>IFERROR(__xludf.DUMMYFUNCTION("""COMPUTED_VALUE"""),"Beauty")</f>
        <v>Beauty</v>
      </c>
      <c r="N427" t="str">
        <f>IFERROR(__xludf.DUMMYFUNCTION("""COMPUTED_VALUE"""),"Styling/Packaging may vary")</f>
        <v>Styling/Packaging may vary</v>
      </c>
      <c r="O427" t="str">
        <f>IFERROR(__xludf.DUMMYFUNCTION("""COMPUTED_VALUE"""),"N")</f>
        <v>N</v>
      </c>
      <c r="P427" s="1" t="str">
        <f>IFERROR(__xludf.DUMMYFUNCTION("""COMPUTED_VALUE"""),"ID 23635")</f>
        <v>ID 23635</v>
      </c>
      <c r="Q427" s="1" t="str">
        <f>IFERROR(__xludf.DUMMYFUNCTION("""COMPUTED_VALUE"""),"B000C1ZFFW")</f>
        <v>B000C1ZFFW</v>
      </c>
    </row>
    <row r="428">
      <c r="A428" s="6">
        <f>IFERROR(__xludf.DUMMYFUNCTION("""COMPUTED_VALUE"""),44941.0)</f>
        <v>44941</v>
      </c>
      <c r="B428">
        <f>IFERROR(__xludf.DUMMYFUNCTION("""COMPUTED_VALUE"""),15452.0)</f>
        <v>15452</v>
      </c>
      <c r="C428" t="str">
        <f>IFERROR(__xludf.DUMMYFUNCTION("""COMPUTED_VALUE"""),"Elmer's Washable Color Glue, Purple, 5 Ounces, Great for Making Slime")</f>
        <v>Elmer's Washable Color Glue, Purple, 5 Ounces, Great for Making Slime</v>
      </c>
      <c r="D428" t="str">
        <f>IFERROR(__xludf.DUMMYFUNCTION("""COMPUTED_VALUE"""),"B078WDYPQ7")</f>
        <v>B078WDYPQ7</v>
      </c>
      <c r="E428" t="str">
        <f>IFERROR(__xludf.DUMMYFUNCTION("""COMPUTED_VALUE"""),"26000182270")</f>
        <v>26000182270</v>
      </c>
      <c r="F428">
        <f>IFERROR(__xludf.DUMMYFUNCTION("""COMPUTED_VALUE"""),1314.0)</f>
        <v>1314</v>
      </c>
      <c r="G428">
        <f>IFERROR(__xludf.DUMMYFUNCTION("""COMPUTED_VALUE"""),84515.0)</f>
        <v>84515</v>
      </c>
      <c r="H428" s="2">
        <f>IFERROR(__xludf.DUMMYFUNCTION("""COMPUTED_VALUE"""),2.25)</f>
        <v>2.25</v>
      </c>
      <c r="I428" s="2">
        <f>IFERROR(__xludf.DUMMYFUNCTION("""COMPUTED_VALUE"""),4.21)</f>
        <v>4.21</v>
      </c>
      <c r="J428" s="2">
        <f>IFERROR(__xludf.DUMMYFUNCTION("""COMPUTED_VALUE"""),1.96)</f>
        <v>1.96</v>
      </c>
      <c r="K428" s="5">
        <f>IFERROR(__xludf.DUMMYFUNCTION("""COMPUTED_VALUE"""),0.8711111111111111)</f>
        <v>0.8711111111</v>
      </c>
      <c r="L428">
        <f>IFERROR(__xludf.DUMMYFUNCTION("""COMPUTED_VALUE"""),78070.0)</f>
        <v>78070</v>
      </c>
      <c r="M428" t="str">
        <f>IFERROR(__xludf.DUMMYFUNCTION("""COMPUTED_VALUE"""),"Office Product")</f>
        <v>Office Product</v>
      </c>
      <c r="O428" t="str">
        <f>IFERROR(__xludf.DUMMYFUNCTION("""COMPUTED_VALUE"""),"N")</f>
        <v>N</v>
      </c>
      <c r="P428" s="1" t="str">
        <f>IFERROR(__xludf.DUMMYFUNCTION("""COMPUTED_VALUE"""),"ID 15452")</f>
        <v>ID 15452</v>
      </c>
      <c r="Q428" s="1" t="str">
        <f>IFERROR(__xludf.DUMMYFUNCTION("""COMPUTED_VALUE"""),"B078WDYPQ7")</f>
        <v>B078WDYPQ7</v>
      </c>
    </row>
    <row r="429">
      <c r="A429" s="6">
        <f>IFERROR(__xludf.DUMMYFUNCTION("""COMPUTED_VALUE"""),45273.0)</f>
        <v>45273</v>
      </c>
      <c r="B429">
        <f>IFERROR(__xludf.DUMMYFUNCTION("""COMPUTED_VALUE"""),24975.0)</f>
        <v>24975</v>
      </c>
      <c r="C429" t="str">
        <f>IFERROR(__xludf.DUMMYFUNCTION("""COMPUTED_VALUE"""),"Filofax Clipbook, Classic Refillable Notebook, Rose Personal (6.75 x 3.75"") Ruled, Plain and Quadrille Notes Pages, Undated Planner, Yearly, Monthly and Weekly Calendar (B023632)")</f>
        <v>Filofax Clipbook, Classic Refillable Notebook, Rose Personal (6.75 x 3.75") Ruled, Plain and Quadrille Notes Pages, Undated Planner, Yearly, Monthly and Weekly Calendar (B023632)</v>
      </c>
      <c r="D429" t="str">
        <f>IFERROR(__xludf.DUMMYFUNCTION("""COMPUTED_VALUE"""),"B076JS1HYD")</f>
        <v>B076JS1HYD</v>
      </c>
      <c r="E429" t="str">
        <f>IFERROR(__xludf.DUMMYFUNCTION("""COMPUTED_VALUE"""),"757286603134")</f>
        <v>757286603134</v>
      </c>
      <c r="F429">
        <f>IFERROR(__xludf.DUMMYFUNCTION("""COMPUTED_VALUE"""),100.0)</f>
        <v>100</v>
      </c>
      <c r="G429">
        <f>IFERROR(__xludf.DUMMYFUNCTION("""COMPUTED_VALUE"""),10000.0)</f>
        <v>10000</v>
      </c>
      <c r="H429" s="2">
        <f>IFERROR(__xludf.DUMMYFUNCTION("""COMPUTED_VALUE"""),15.0)</f>
        <v>15</v>
      </c>
      <c r="I429" s="2">
        <f>IFERROR(__xludf.DUMMYFUNCTION("""COMPUTED_VALUE"""),16.96)</f>
        <v>16.96</v>
      </c>
      <c r="J429" s="2">
        <f>IFERROR(__xludf.DUMMYFUNCTION("""COMPUTED_VALUE"""),1.9600000000000009)</f>
        <v>1.96</v>
      </c>
      <c r="K429" s="5">
        <f>IFERROR(__xludf.DUMMYFUNCTION("""COMPUTED_VALUE"""),0.13066666666666674)</f>
        <v>0.1306666667</v>
      </c>
      <c r="L429">
        <f>IFERROR(__xludf.DUMMYFUNCTION("""COMPUTED_VALUE"""),90449.0)</f>
        <v>90449</v>
      </c>
      <c r="M429" t="str">
        <f>IFERROR(__xludf.DUMMYFUNCTION("""COMPUTED_VALUE"""),"Office Product")</f>
        <v>Office Product</v>
      </c>
      <c r="O429" t="str">
        <f>IFERROR(__xludf.DUMMYFUNCTION("""COMPUTED_VALUE"""),"Y")</f>
        <v>Y</v>
      </c>
      <c r="P429" s="1" t="str">
        <f>IFERROR(__xludf.DUMMYFUNCTION("""COMPUTED_VALUE"""),"ID 24975")</f>
        <v>ID 24975</v>
      </c>
      <c r="Q429" s="1" t="str">
        <f>IFERROR(__xludf.DUMMYFUNCTION("""COMPUTED_VALUE"""),"B076JS1HYD")</f>
        <v>B076JS1HYD</v>
      </c>
    </row>
    <row r="430">
      <c r="A430" s="6">
        <f>IFERROR(__xludf.DUMMYFUNCTION("""COMPUTED_VALUE"""),45390.0)</f>
        <v>45390</v>
      </c>
      <c r="B430">
        <f>IFERROR(__xludf.DUMMYFUNCTION("""COMPUTED_VALUE"""),15409.0)</f>
        <v>15409</v>
      </c>
      <c r="C430" t="str">
        <f>IFERROR(__xludf.DUMMYFUNCTION("""COMPUTED_VALUE"""),"Chef Craft Premium Silicone Basting Brush, 10.25"", Yellow")</f>
        <v>Chef Craft Premium Silicone Basting Brush, 10.25", Yellow</v>
      </c>
      <c r="D430" t="str">
        <f>IFERROR(__xludf.DUMMYFUNCTION("""COMPUTED_VALUE"""),"B01BKAUNQE")</f>
        <v>B01BKAUNQE</v>
      </c>
      <c r="E430" t="str">
        <f>IFERROR(__xludf.DUMMYFUNCTION("""COMPUTED_VALUE"""),"085455132704")</f>
        <v>085455132704</v>
      </c>
      <c r="F430">
        <f>IFERROR(__xludf.DUMMYFUNCTION("""COMPUTED_VALUE"""),504.0)</f>
        <v>504</v>
      </c>
      <c r="G430">
        <f>IFERROR(__xludf.DUMMYFUNCTION("""COMPUTED_VALUE"""),10000.0)</f>
        <v>10000</v>
      </c>
      <c r="H430" s="2">
        <f>IFERROR(__xludf.DUMMYFUNCTION("""COMPUTED_VALUE"""),2.5)</f>
        <v>2.5</v>
      </c>
      <c r="I430" s="2">
        <f>IFERROR(__xludf.DUMMYFUNCTION("""COMPUTED_VALUE"""),4.45)</f>
        <v>4.45</v>
      </c>
      <c r="J430" s="2">
        <f>IFERROR(__xludf.DUMMYFUNCTION("""COMPUTED_VALUE"""),1.9500000000000002)</f>
        <v>1.95</v>
      </c>
      <c r="K430" s="5">
        <f>IFERROR(__xludf.DUMMYFUNCTION("""COMPUTED_VALUE"""),0.78)</f>
        <v>0.78</v>
      </c>
      <c r="L430">
        <f>IFERROR(__xludf.DUMMYFUNCTION("""COMPUTED_VALUE"""),96419.0)</f>
        <v>96419</v>
      </c>
      <c r="M430" t="str">
        <f>IFERROR(__xludf.DUMMYFUNCTION("""COMPUTED_VALUE"""),"Kitchen")</f>
        <v>Kitchen</v>
      </c>
      <c r="O430" t="str">
        <f>IFERROR(__xludf.DUMMYFUNCTION("""COMPUTED_VALUE"""),"Y")</f>
        <v>Y</v>
      </c>
      <c r="P430" s="1" t="str">
        <f>IFERROR(__xludf.DUMMYFUNCTION("""COMPUTED_VALUE"""),"ID 15409")</f>
        <v>ID 15409</v>
      </c>
      <c r="Q430" s="1" t="str">
        <f>IFERROR(__xludf.DUMMYFUNCTION("""COMPUTED_VALUE"""),"B01BKAUNQE")</f>
        <v>B01BKAUNQE</v>
      </c>
    </row>
    <row r="431">
      <c r="A431" s="6">
        <f>IFERROR(__xludf.DUMMYFUNCTION("""COMPUTED_VALUE"""),45169.0)</f>
        <v>45169</v>
      </c>
      <c r="B431">
        <f>IFERROR(__xludf.DUMMYFUNCTION("""COMPUTED_VALUE"""),21366.0)</f>
        <v>21366</v>
      </c>
      <c r="C431" t="str">
        <f>IFERROR(__xludf.DUMMYFUNCTION("""COMPUTED_VALUE"""),"Revlon Nail Enamel, Uninhibited")</f>
        <v>Revlon Nail Enamel, Uninhibited</v>
      </c>
      <c r="D431" t="str">
        <f>IFERROR(__xludf.DUMMYFUNCTION("""COMPUTED_VALUE"""),"B0105Z4K6O")</f>
        <v>B0105Z4K6O</v>
      </c>
      <c r="E431" t="str">
        <f>IFERROR(__xludf.DUMMYFUNCTION("""COMPUTED_VALUE"""),"309978435990")</f>
        <v>309978435990</v>
      </c>
      <c r="F431">
        <f>IFERROR(__xludf.DUMMYFUNCTION("""COMPUTED_VALUE"""),1368.0)</f>
        <v>1368</v>
      </c>
      <c r="G431">
        <f>IFERROR(__xludf.DUMMYFUNCTION("""COMPUTED_VALUE"""),1440.0)</f>
        <v>1440</v>
      </c>
      <c r="H431" s="2">
        <f>IFERROR(__xludf.DUMMYFUNCTION("""COMPUTED_VALUE"""),1.0)</f>
        <v>1</v>
      </c>
      <c r="I431" s="2">
        <f>IFERROR(__xludf.DUMMYFUNCTION("""COMPUTED_VALUE"""),2.95)</f>
        <v>2.95</v>
      </c>
      <c r="J431" s="2">
        <f>IFERROR(__xludf.DUMMYFUNCTION("""COMPUTED_VALUE"""),1.9500000000000002)</f>
        <v>1.95</v>
      </c>
      <c r="K431" s="5">
        <f>IFERROR(__xludf.DUMMYFUNCTION("""COMPUTED_VALUE"""),1.9500000000000002)</f>
        <v>1.95</v>
      </c>
      <c r="L431">
        <f>IFERROR(__xludf.DUMMYFUNCTION("""COMPUTED_VALUE"""),16759.0)</f>
        <v>16759</v>
      </c>
      <c r="M431" t="str">
        <f>IFERROR(__xludf.DUMMYFUNCTION("""COMPUTED_VALUE"""),"Beauty")</f>
        <v>Beauty</v>
      </c>
      <c r="O431" t="str">
        <f>IFERROR(__xludf.DUMMYFUNCTION("""COMPUTED_VALUE"""),"N")</f>
        <v>N</v>
      </c>
      <c r="P431" s="1" t="str">
        <f>IFERROR(__xludf.DUMMYFUNCTION("""COMPUTED_VALUE"""),"ID 21366")</f>
        <v>ID 21366</v>
      </c>
      <c r="Q431" s="1" t="str">
        <f>IFERROR(__xludf.DUMMYFUNCTION("""COMPUTED_VALUE"""),"B0105Z4K6O")</f>
        <v>B0105Z4K6O</v>
      </c>
    </row>
    <row r="432">
      <c r="A432" s="6">
        <f>IFERROR(__xludf.DUMMYFUNCTION("""COMPUTED_VALUE"""),45390.0)</f>
        <v>45390</v>
      </c>
      <c r="B432">
        <f>IFERROR(__xludf.DUMMYFUNCTION("""COMPUTED_VALUE"""),9006.0)</f>
        <v>9006</v>
      </c>
      <c r="C432" t="str">
        <f>IFERROR(__xludf.DUMMYFUNCTION("""COMPUTED_VALUE"""),"Chef Craft 21806 Mini Bag Clip, Blue/Green")</f>
        <v>Chef Craft 21806 Mini Bag Clip, Blue/Green</v>
      </c>
      <c r="D432" t="str">
        <f>IFERROR(__xludf.DUMMYFUNCTION("""COMPUTED_VALUE"""),"B00KPENT9K")</f>
        <v>B00KPENT9K</v>
      </c>
      <c r="E432" t="str">
        <f>IFERROR(__xludf.DUMMYFUNCTION("""COMPUTED_VALUE"""),"085455218064")</f>
        <v>085455218064</v>
      </c>
      <c r="F432">
        <f>IFERROR(__xludf.DUMMYFUNCTION("""COMPUTED_VALUE"""),864.0)</f>
        <v>864</v>
      </c>
      <c r="G432">
        <f>IFERROR(__xludf.DUMMYFUNCTION("""COMPUTED_VALUE"""),10000.0)</f>
        <v>10000</v>
      </c>
      <c r="H432" s="2">
        <f>IFERROR(__xludf.DUMMYFUNCTION("""COMPUTED_VALUE"""),1.25)</f>
        <v>1.25</v>
      </c>
      <c r="I432" s="2">
        <f>IFERROR(__xludf.DUMMYFUNCTION("""COMPUTED_VALUE"""),3.19)</f>
        <v>3.19</v>
      </c>
      <c r="J432" s="2">
        <f>IFERROR(__xludf.DUMMYFUNCTION("""COMPUTED_VALUE"""),1.94)</f>
        <v>1.94</v>
      </c>
      <c r="K432" s="5">
        <f>IFERROR(__xludf.DUMMYFUNCTION("""COMPUTED_VALUE"""),1.552)</f>
        <v>1.552</v>
      </c>
      <c r="L432">
        <f>IFERROR(__xludf.DUMMYFUNCTION("""COMPUTED_VALUE"""),45116.0)</f>
        <v>45116</v>
      </c>
      <c r="M432" t="str">
        <f>IFERROR(__xludf.DUMMYFUNCTION("""COMPUTED_VALUE"""),"Home")</f>
        <v>Home</v>
      </c>
      <c r="O432" t="str">
        <f>IFERROR(__xludf.DUMMYFUNCTION("""COMPUTED_VALUE"""),"Y")</f>
        <v>Y</v>
      </c>
      <c r="P432" s="1" t="str">
        <f>IFERROR(__xludf.DUMMYFUNCTION("""COMPUTED_VALUE"""),"ID 9006")</f>
        <v>ID 9006</v>
      </c>
      <c r="Q432" s="1" t="str">
        <f>IFERROR(__xludf.DUMMYFUNCTION("""COMPUTED_VALUE"""),"B00KPENT9K")</f>
        <v>B00KPENT9K</v>
      </c>
    </row>
    <row r="433">
      <c r="A433" s="6">
        <f>IFERROR(__xludf.DUMMYFUNCTION("""COMPUTED_VALUE"""),44458.0)</f>
        <v>44458</v>
      </c>
      <c r="B433">
        <f>IFERROR(__xludf.DUMMYFUNCTION("""COMPUTED_VALUE"""),18430.0)</f>
        <v>18430</v>
      </c>
      <c r="C433" t="str">
        <f>IFERROR(__xludf.DUMMYFUNCTION("""COMPUTED_VALUE"""),"Adams Last Will &amp; Testament Premium Collection, Forms and Instructions [CD and Downloadable] (LF235), White, 11x""8.5""x0.13""")</f>
        <v>Adams Last Will &amp; Testament Premium Collection, Forms and Instructions [CD and Downloadable] (LF235), White, 11x"8.5"x0.13"</v>
      </c>
      <c r="D433" t="str">
        <f>IFERROR(__xludf.DUMMYFUNCTION("""COMPUTED_VALUE"""),"B00290F0M2")</f>
        <v>B00290F0M2</v>
      </c>
      <c r="E433" t="str">
        <f>IFERROR(__xludf.DUMMYFUNCTION("""COMPUTED_VALUE"""),"053926601219")</f>
        <v>053926601219</v>
      </c>
      <c r="F433">
        <f>IFERROR(__xludf.DUMMYFUNCTION("""COMPUTED_VALUE"""),384.0)</f>
        <v>384</v>
      </c>
      <c r="G433">
        <f>IFERROR(__xludf.DUMMYFUNCTION("""COMPUTED_VALUE"""),5000.0)</f>
        <v>5000</v>
      </c>
      <c r="H433" s="2">
        <f>IFERROR(__xludf.DUMMYFUNCTION("""COMPUTED_VALUE"""),6.75)</f>
        <v>6.75</v>
      </c>
      <c r="I433" s="2">
        <f>IFERROR(__xludf.DUMMYFUNCTION("""COMPUTED_VALUE"""),8.69)</f>
        <v>8.69</v>
      </c>
      <c r="J433" s="2">
        <f>IFERROR(__xludf.DUMMYFUNCTION("""COMPUTED_VALUE"""),1.9399999999999995)</f>
        <v>1.94</v>
      </c>
      <c r="K433" s="5">
        <f>IFERROR(__xludf.DUMMYFUNCTION("""COMPUTED_VALUE"""),0.28740740740740733)</f>
        <v>0.2874074074</v>
      </c>
      <c r="L433">
        <f>IFERROR(__xludf.DUMMYFUNCTION("""COMPUTED_VALUE"""),78399.0)</f>
        <v>78399</v>
      </c>
      <c r="M433" t="str">
        <f>IFERROR(__xludf.DUMMYFUNCTION("""COMPUTED_VALUE"""),"Office Product")</f>
        <v>Office Product</v>
      </c>
      <c r="O433" t="str">
        <f>IFERROR(__xludf.DUMMYFUNCTION("""COMPUTED_VALUE"""),"Y")</f>
        <v>Y</v>
      </c>
      <c r="P433" s="1" t="str">
        <f>IFERROR(__xludf.DUMMYFUNCTION("""COMPUTED_VALUE"""),"ID 18430")</f>
        <v>ID 18430</v>
      </c>
      <c r="Q433" s="1" t="str">
        <f>IFERROR(__xludf.DUMMYFUNCTION("""COMPUTED_VALUE"""),"B00290F0M2")</f>
        <v>B00290F0M2</v>
      </c>
    </row>
    <row r="434">
      <c r="A434" s="6">
        <f>IFERROR(__xludf.DUMMYFUNCTION("""COMPUTED_VALUE"""),44781.0)</f>
        <v>44781</v>
      </c>
      <c r="B434">
        <f>IFERROR(__xludf.DUMMYFUNCTION("""COMPUTED_VALUE"""),7416.0)</f>
        <v>7416</v>
      </c>
      <c r="C434" t="str">
        <f>IFERROR(__xludf.DUMMYFUNCTION("""COMPUTED_VALUE"""),"Ziploc Containers Variety Pack, 24 Count")</f>
        <v>Ziploc Containers Variety Pack, 24 Count</v>
      </c>
      <c r="D434" t="str">
        <f>IFERROR(__xludf.DUMMYFUNCTION("""COMPUTED_VALUE"""),"B01IH2TRI8")</f>
        <v>B01IH2TRI8</v>
      </c>
      <c r="E434" t="str">
        <f>IFERROR(__xludf.DUMMYFUNCTION("""COMPUTED_VALUE"""),"025700706366")</f>
        <v>025700706366</v>
      </c>
      <c r="F434">
        <f>IFERROR(__xludf.DUMMYFUNCTION("""COMPUTED_VALUE"""),300.0)</f>
        <v>300</v>
      </c>
      <c r="G434">
        <f>IFERROR(__xludf.DUMMYFUNCTION("""COMPUTED_VALUE"""),23972.0)</f>
        <v>23972</v>
      </c>
      <c r="H434" s="2">
        <f>IFERROR(__xludf.DUMMYFUNCTION("""COMPUTED_VALUE"""),6.0)</f>
        <v>6</v>
      </c>
      <c r="I434" s="2">
        <f>IFERROR(__xludf.DUMMYFUNCTION("""COMPUTED_VALUE"""),7.94)</f>
        <v>7.94</v>
      </c>
      <c r="J434" s="2">
        <f>IFERROR(__xludf.DUMMYFUNCTION("""COMPUTED_VALUE"""),1.9400000000000004)</f>
        <v>1.94</v>
      </c>
      <c r="K434" s="5">
        <f>IFERROR(__xludf.DUMMYFUNCTION("""COMPUTED_VALUE"""),0.3233333333333334)</f>
        <v>0.3233333333</v>
      </c>
      <c r="L434">
        <f>IFERROR(__xludf.DUMMYFUNCTION("""COMPUTED_VALUE"""),14764.0)</f>
        <v>14764</v>
      </c>
      <c r="M434" t="str">
        <f>IFERROR(__xludf.DUMMYFUNCTION("""COMPUTED_VALUE"""),"Health and Beauty")</f>
        <v>Health and Beauty</v>
      </c>
      <c r="O434" t="str">
        <f>IFERROR(__xludf.DUMMYFUNCTION("""COMPUTED_VALUE"""),"N")</f>
        <v>N</v>
      </c>
      <c r="P434" s="1" t="str">
        <f>IFERROR(__xludf.DUMMYFUNCTION("""COMPUTED_VALUE"""),"ID 7416")</f>
        <v>ID 7416</v>
      </c>
      <c r="Q434" s="1" t="str">
        <f>IFERROR(__xludf.DUMMYFUNCTION("""COMPUTED_VALUE"""),"B01IH2TRI8")</f>
        <v>B01IH2TRI8</v>
      </c>
    </row>
    <row r="435">
      <c r="A435" s="6">
        <f>IFERROR(__xludf.DUMMYFUNCTION("""COMPUTED_VALUE"""),45118.0)</f>
        <v>45118</v>
      </c>
      <c r="B435">
        <f>IFERROR(__xludf.DUMMYFUNCTION("""COMPUTED_VALUE"""),17855.0)</f>
        <v>17855</v>
      </c>
      <c r="C435" t="str">
        <f>IFERROR(__xludf.DUMMYFUNCTION("""COMPUTED_VALUE"""),"Prismacolor Premier Colored Pencil, 924 Crimson Red (3353)")</f>
        <v>Prismacolor Premier Colored Pencil, 924 Crimson Red (3353)</v>
      </c>
      <c r="D435" t="str">
        <f>IFERROR(__xludf.DUMMYFUNCTION("""COMPUTED_VALUE"""),"B0038D3MSI")</f>
        <v>B0038D3MSI</v>
      </c>
      <c r="E435" t="str">
        <f>IFERROR(__xludf.DUMMYFUNCTION("""COMPUTED_VALUE"""),"070735033536")</f>
        <v>070735033536</v>
      </c>
      <c r="F435">
        <f>IFERROR(__xludf.DUMMYFUNCTION("""COMPUTED_VALUE"""),4320.0)</f>
        <v>4320</v>
      </c>
      <c r="G435">
        <f>IFERROR(__xludf.DUMMYFUNCTION("""COMPUTED_VALUE"""),10000.0)</f>
        <v>10000</v>
      </c>
      <c r="H435" s="2">
        <f>IFERROR(__xludf.DUMMYFUNCTION("""COMPUTED_VALUE"""),1.25)</f>
        <v>1.25</v>
      </c>
      <c r="I435" s="2">
        <f>IFERROR(__xludf.DUMMYFUNCTION("""COMPUTED_VALUE"""),3.17)</f>
        <v>3.17</v>
      </c>
      <c r="J435" s="2">
        <f>IFERROR(__xludf.DUMMYFUNCTION("""COMPUTED_VALUE"""),1.92)</f>
        <v>1.92</v>
      </c>
      <c r="K435" s="5">
        <f>IFERROR(__xludf.DUMMYFUNCTION("""COMPUTED_VALUE"""),1.536)</f>
        <v>1.536</v>
      </c>
      <c r="L435">
        <f>IFERROR(__xludf.DUMMYFUNCTION("""COMPUTED_VALUE"""),40834.0)</f>
        <v>40834</v>
      </c>
      <c r="M435" t="str">
        <f>IFERROR(__xludf.DUMMYFUNCTION("""COMPUTED_VALUE"""),"Office Product")</f>
        <v>Office Product</v>
      </c>
      <c r="N435" t="str">
        <f>IFERROR(__xludf.DUMMYFUNCTION("""COMPUTED_VALUE"""),"Open stock with indvidual UPC")</f>
        <v>Open stock with indvidual UPC</v>
      </c>
      <c r="O435" t="str">
        <f>IFERROR(__xludf.DUMMYFUNCTION("""COMPUTED_VALUE"""),"N")</f>
        <v>N</v>
      </c>
      <c r="P435" s="1" t="str">
        <f>IFERROR(__xludf.DUMMYFUNCTION("""COMPUTED_VALUE"""),"ID 17855")</f>
        <v>ID 17855</v>
      </c>
      <c r="Q435" s="1" t="str">
        <f>IFERROR(__xludf.DUMMYFUNCTION("""COMPUTED_VALUE"""),"B0038D3MSI")</f>
        <v>B0038D3MSI</v>
      </c>
    </row>
    <row r="436">
      <c r="A436" s="6">
        <f>IFERROR(__xludf.DUMMYFUNCTION("""COMPUTED_VALUE"""),45251.0)</f>
        <v>45251</v>
      </c>
      <c r="B436">
        <f>IFERROR(__xludf.DUMMYFUNCTION("""COMPUTED_VALUE"""),24971.0)</f>
        <v>24971</v>
      </c>
      <c r="C436" t="str">
        <f>IFERROR(__xludf.DUMMYFUNCTION("""COMPUTED_VALUE"""),"FILOFAX Refillable Pastel Notebook, A5 (8.25"" x 5"") Vista Blue - 112 Cream moveable pages - Index, pocket and page marker (B115051U)")</f>
        <v>FILOFAX Refillable Pastel Notebook, A5 (8.25" x 5") Vista Blue - 112 Cream moveable pages - Index, pocket and page marker (B115051U)</v>
      </c>
      <c r="D436" t="str">
        <f>IFERROR(__xludf.DUMMYFUNCTION("""COMPUTED_VALUE"""),"B074JM726Q")</f>
        <v>B074JM726Q</v>
      </c>
      <c r="E436" t="str">
        <f>IFERROR(__xludf.DUMMYFUNCTION("""COMPUTED_VALUE"""),"757286603219")</f>
        <v>757286603219</v>
      </c>
      <c r="F436">
        <f>IFERROR(__xludf.DUMMYFUNCTION("""COMPUTED_VALUE"""),120.0)</f>
        <v>120</v>
      </c>
      <c r="G436">
        <f>IFERROR(__xludf.DUMMYFUNCTION("""COMPUTED_VALUE"""),10000.0)</f>
        <v>10000</v>
      </c>
      <c r="H436" s="2">
        <f>IFERROR(__xludf.DUMMYFUNCTION("""COMPUTED_VALUE"""),11.0)</f>
        <v>11</v>
      </c>
      <c r="I436" s="2">
        <f>IFERROR(__xludf.DUMMYFUNCTION("""COMPUTED_VALUE"""),12.92)</f>
        <v>12.92</v>
      </c>
      <c r="J436" s="2">
        <f>IFERROR(__xludf.DUMMYFUNCTION("""COMPUTED_VALUE"""),1.92)</f>
        <v>1.92</v>
      </c>
      <c r="K436" s="5">
        <f>IFERROR(__xludf.DUMMYFUNCTION("""COMPUTED_VALUE"""),0.17454545454545453)</f>
        <v>0.1745454545</v>
      </c>
      <c r="L436">
        <f>IFERROR(__xludf.DUMMYFUNCTION("""COMPUTED_VALUE"""),76025.0)</f>
        <v>76025</v>
      </c>
      <c r="M436" t="str">
        <f>IFERROR(__xludf.DUMMYFUNCTION("""COMPUTED_VALUE"""),"Office Product")</f>
        <v>Office Product</v>
      </c>
      <c r="O436" t="str">
        <f>IFERROR(__xludf.DUMMYFUNCTION("""COMPUTED_VALUE"""),"Y")</f>
        <v>Y</v>
      </c>
      <c r="P436" s="1" t="str">
        <f>IFERROR(__xludf.DUMMYFUNCTION("""COMPUTED_VALUE"""),"ID 24971")</f>
        <v>ID 24971</v>
      </c>
      <c r="Q436" s="1" t="str">
        <f>IFERROR(__xludf.DUMMYFUNCTION("""COMPUTED_VALUE"""),"B074JM726Q")</f>
        <v>B074JM726Q</v>
      </c>
    </row>
    <row r="437">
      <c r="A437" s="6">
        <f>IFERROR(__xludf.DUMMYFUNCTION("""COMPUTED_VALUE"""),45278.0)</f>
        <v>45278</v>
      </c>
      <c r="B437">
        <f>IFERROR(__xludf.DUMMYFUNCTION("""COMPUTED_VALUE"""),25368.0)</f>
        <v>25368</v>
      </c>
      <c r="C437" t="str">
        <f>IFERROR(__xludf.DUMMYFUNCTION("""COMPUTED_VALUE"""),"3M Disc Pad Holder 917, 7 in x 5/16 in x 3/8 in 5/8-11 Internal, 1 per case")</f>
        <v>3M Disc Pad Holder 917, 7 in x 5/16 in x 3/8 in 5/8-11 Internal, 1 per case</v>
      </c>
      <c r="D437" t="str">
        <f>IFERROR(__xludf.DUMMYFUNCTION("""COMPUTED_VALUE"""),"B0002FU6KM")</f>
        <v>B0002FU6KM</v>
      </c>
      <c r="E437" t="str">
        <f>IFERROR(__xludf.DUMMYFUNCTION("""COMPUTED_VALUE"""),"048011094502")</f>
        <v>048011094502</v>
      </c>
      <c r="F437">
        <f>IFERROR(__xludf.DUMMYFUNCTION("""COMPUTED_VALUE"""),87.0)</f>
        <v>87</v>
      </c>
      <c r="G437">
        <f>IFERROR(__xludf.DUMMYFUNCTION("""COMPUTED_VALUE"""),10000.0)</f>
        <v>10000</v>
      </c>
      <c r="H437" s="2">
        <f>IFERROR(__xludf.DUMMYFUNCTION("""COMPUTED_VALUE"""),34.0)</f>
        <v>34</v>
      </c>
      <c r="I437" s="2">
        <f>IFERROR(__xludf.DUMMYFUNCTION("""COMPUTED_VALUE"""),35.92)</f>
        <v>35.92</v>
      </c>
      <c r="J437" s="2">
        <f>IFERROR(__xludf.DUMMYFUNCTION("""COMPUTED_VALUE"""),1.9200000000000017)</f>
        <v>1.92</v>
      </c>
      <c r="K437" s="5">
        <f>IFERROR(__xludf.DUMMYFUNCTION("""COMPUTED_VALUE"""),0.05647058823529417)</f>
        <v>0.05647058824</v>
      </c>
      <c r="L437">
        <f>IFERROR(__xludf.DUMMYFUNCTION("""COMPUTED_VALUE"""),94472.0)</f>
        <v>94472</v>
      </c>
      <c r="M437" t="str">
        <f>IFERROR(__xludf.DUMMYFUNCTION("""COMPUTED_VALUE"""),"BISS Basic")</f>
        <v>BISS Basic</v>
      </c>
      <c r="O437" t="str">
        <f>IFERROR(__xludf.DUMMYFUNCTION("""COMPUTED_VALUE"""),"N")</f>
        <v>N</v>
      </c>
      <c r="P437" s="1" t="str">
        <f>IFERROR(__xludf.DUMMYFUNCTION("""COMPUTED_VALUE"""),"ID 25368")</f>
        <v>ID 25368</v>
      </c>
      <c r="Q437" s="1" t="str">
        <f>IFERROR(__xludf.DUMMYFUNCTION("""COMPUTED_VALUE"""),"B0002FU6KM")</f>
        <v>B0002FU6KM</v>
      </c>
    </row>
    <row r="438">
      <c r="A438" s="6">
        <f>IFERROR(__xludf.DUMMYFUNCTION("""COMPUTED_VALUE"""),44249.0)</f>
        <v>44249</v>
      </c>
      <c r="B438">
        <f>IFERROR(__xludf.DUMMYFUNCTION("""COMPUTED_VALUE"""),19306.0)</f>
        <v>19306</v>
      </c>
      <c r="C438" t="str">
        <f>IFERROR(__xludf.DUMMYFUNCTION("""COMPUTED_VALUE"""),"Plantronics BackBeat FIT 6100 Wireless Bluetooth Headphones, Sport, Sweatproof and Water-Resistant, Black")</f>
        <v>Plantronics BackBeat FIT 6100 Wireless Bluetooth Headphones, Sport, Sweatproof and Water-Resistant, Black</v>
      </c>
      <c r="D438" t="str">
        <f>IFERROR(__xludf.DUMMYFUNCTION("""COMPUTED_VALUE"""),"B07WHF6LLG")</f>
        <v>B07WHF6LLG</v>
      </c>
      <c r="F438">
        <f>IFERROR(__xludf.DUMMYFUNCTION("""COMPUTED_VALUE"""),1000.0)</f>
        <v>1000</v>
      </c>
      <c r="G438">
        <f>IFERROR(__xludf.DUMMYFUNCTION("""COMPUTED_VALUE"""),3500.0)</f>
        <v>3500</v>
      </c>
      <c r="H438" s="2">
        <f>IFERROR(__xludf.DUMMYFUNCTION("""COMPUTED_VALUE"""),52.0)</f>
        <v>52</v>
      </c>
      <c r="I438" s="2">
        <f>IFERROR(__xludf.DUMMYFUNCTION("""COMPUTED_VALUE"""),53.9)</f>
        <v>53.9</v>
      </c>
      <c r="J438" s="2">
        <f>IFERROR(__xludf.DUMMYFUNCTION("""COMPUTED_VALUE"""),1.8999999999999986)</f>
        <v>1.9</v>
      </c>
      <c r="K438" s="5">
        <f>IFERROR(__xludf.DUMMYFUNCTION("""COMPUTED_VALUE"""),0.03653846153846151)</f>
        <v>0.03653846154</v>
      </c>
      <c r="L438">
        <f>IFERROR(__xludf.DUMMYFUNCTION("""COMPUTED_VALUE"""),27124.0)</f>
        <v>27124</v>
      </c>
      <c r="M438" t="str">
        <f>IFERROR(__xludf.DUMMYFUNCTION("""COMPUTED_VALUE"""),"Wireless")</f>
        <v>Wireless</v>
      </c>
      <c r="O438" t="str">
        <f>IFERROR(__xludf.DUMMYFUNCTION("""COMPUTED_VALUE"""),"N")</f>
        <v>N</v>
      </c>
      <c r="P438" s="1" t="str">
        <f>IFERROR(__xludf.DUMMYFUNCTION("""COMPUTED_VALUE"""),"ID 19306")</f>
        <v>ID 19306</v>
      </c>
      <c r="Q438" s="1" t="str">
        <f>IFERROR(__xludf.DUMMYFUNCTION("""COMPUTED_VALUE"""),"B07WHF6LLG")</f>
        <v>B07WHF6LLG</v>
      </c>
    </row>
    <row r="439">
      <c r="A439" s="6">
        <f>IFERROR(__xludf.DUMMYFUNCTION("""COMPUTED_VALUE"""),45429.0)</f>
        <v>45429</v>
      </c>
      <c r="B439">
        <f>IFERROR(__xludf.DUMMYFUNCTION("""COMPUTED_VALUE"""),22114.0)</f>
        <v>22114</v>
      </c>
      <c r="C439" t="str">
        <f>IFERROR(__xludf.DUMMYFUNCTION("""COMPUTED_VALUE"""),"Cuba Royal by Cuba for Men Eau De Toilette Spray, gold, 3.3 Ounce")</f>
        <v>Cuba Royal by Cuba for Men Eau De Toilette Spray, gold, 3.3 Ounce</v>
      </c>
      <c r="D439" t="str">
        <f>IFERROR(__xludf.DUMMYFUNCTION("""COMPUTED_VALUE"""),"B004DIJLHI")</f>
        <v>B004DIJLHI</v>
      </c>
      <c r="E439" t="str">
        <f>IFERROR(__xludf.DUMMYFUNCTION("""COMPUTED_VALUE"""),"5425017736363")</f>
        <v>5425017736363</v>
      </c>
      <c r="F439">
        <f>IFERROR(__xludf.DUMMYFUNCTION("""COMPUTED_VALUE"""),200.0)</f>
        <v>200</v>
      </c>
      <c r="G439">
        <f>IFERROR(__xludf.DUMMYFUNCTION("""COMPUTED_VALUE"""),10000.0)</f>
        <v>10000</v>
      </c>
      <c r="H439" s="2">
        <f>IFERROR(__xludf.DUMMYFUNCTION("""COMPUTED_VALUE"""),6.5)</f>
        <v>6.5</v>
      </c>
      <c r="I439" s="2">
        <f>IFERROR(__xludf.DUMMYFUNCTION("""COMPUTED_VALUE"""),8.4)</f>
        <v>8.4</v>
      </c>
      <c r="J439" s="2">
        <f>IFERROR(__xludf.DUMMYFUNCTION("""COMPUTED_VALUE"""),1.9000000000000004)</f>
        <v>1.9</v>
      </c>
      <c r="K439" s="5">
        <f>IFERROR(__xludf.DUMMYFUNCTION("""COMPUTED_VALUE"""),0.2923076923076924)</f>
        <v>0.2923076923</v>
      </c>
      <c r="L439">
        <f>IFERROR(__xludf.DUMMYFUNCTION("""COMPUTED_VALUE"""),57918.0)</f>
        <v>57918</v>
      </c>
      <c r="M439" t="str">
        <f>IFERROR(__xludf.DUMMYFUNCTION("""COMPUTED_VALUE"""),"Beauty")</f>
        <v>Beauty</v>
      </c>
      <c r="O439" t="str">
        <f>IFERROR(__xludf.DUMMYFUNCTION("""COMPUTED_VALUE"""),"N")</f>
        <v>N</v>
      </c>
      <c r="P439" s="1" t="str">
        <f>IFERROR(__xludf.DUMMYFUNCTION("""COMPUTED_VALUE"""),"ID 22114")</f>
        <v>ID 22114</v>
      </c>
      <c r="Q439" s="1" t="str">
        <f>IFERROR(__xludf.DUMMYFUNCTION("""COMPUTED_VALUE"""),"B004DIJLHI")</f>
        <v>B004DIJLHI</v>
      </c>
    </row>
    <row r="440">
      <c r="A440" s="6">
        <f>IFERROR(__xludf.DUMMYFUNCTION("""COMPUTED_VALUE"""),44454.0)</f>
        <v>44454</v>
      </c>
      <c r="B440">
        <f>IFERROR(__xludf.DUMMYFUNCTION("""COMPUTED_VALUE"""),22121.0)</f>
        <v>22121</v>
      </c>
      <c r="C440" t="str">
        <f>IFERROR(__xludf.DUMMYFUNCTION("""COMPUTED_VALUE"""),"Cribmates 2 Piece Wide Bottle Elephant Zigzag, Grey/Yellow")</f>
        <v>Cribmates 2 Piece Wide Bottle Elephant Zigzag, Grey/Yellow</v>
      </c>
      <c r="D440" t="str">
        <f>IFERROR(__xludf.DUMMYFUNCTION("""COMPUTED_VALUE"""),"B06XQ4FLY8")</f>
        <v>B06XQ4FLY8</v>
      </c>
      <c r="E440" t="str">
        <f>IFERROR(__xludf.DUMMYFUNCTION("""COMPUTED_VALUE"""),"094606492024")</f>
        <v>094606492024</v>
      </c>
      <c r="F440">
        <f>IFERROR(__xludf.DUMMYFUNCTION("""COMPUTED_VALUE"""),432.0)</f>
        <v>432</v>
      </c>
      <c r="G440">
        <f>IFERROR(__xludf.DUMMYFUNCTION("""COMPUTED_VALUE"""),5000.0)</f>
        <v>5000</v>
      </c>
      <c r="H440" s="2">
        <f>IFERROR(__xludf.DUMMYFUNCTION("""COMPUTED_VALUE"""),3.0)</f>
        <v>3</v>
      </c>
      <c r="I440" s="2">
        <f>IFERROR(__xludf.DUMMYFUNCTION("""COMPUTED_VALUE"""),4.9)</f>
        <v>4.9</v>
      </c>
      <c r="J440" s="2">
        <f>IFERROR(__xludf.DUMMYFUNCTION("""COMPUTED_VALUE"""),1.9000000000000004)</f>
        <v>1.9</v>
      </c>
      <c r="K440" s="5">
        <f>IFERROR(__xludf.DUMMYFUNCTION("""COMPUTED_VALUE"""),0.6333333333333334)</f>
        <v>0.6333333333</v>
      </c>
      <c r="L440">
        <f>IFERROR(__xludf.DUMMYFUNCTION("""COMPUTED_VALUE"""),41471.0)</f>
        <v>41471</v>
      </c>
      <c r="M440" t="str">
        <f>IFERROR(__xludf.DUMMYFUNCTION("""COMPUTED_VALUE"""),"Baby Product")</f>
        <v>Baby Product</v>
      </c>
      <c r="O440" t="str">
        <f>IFERROR(__xludf.DUMMYFUNCTION("""COMPUTED_VALUE"""),"Y")</f>
        <v>Y</v>
      </c>
      <c r="P440" s="1" t="str">
        <f>IFERROR(__xludf.DUMMYFUNCTION("""COMPUTED_VALUE"""),"ID 22121")</f>
        <v>ID 22121</v>
      </c>
      <c r="Q440" s="1" t="str">
        <f>IFERROR(__xludf.DUMMYFUNCTION("""COMPUTED_VALUE"""),"B06XQ4FLY8")</f>
        <v>B06XQ4FLY8</v>
      </c>
    </row>
    <row r="441">
      <c r="A441" s="6">
        <f>IFERROR(__xludf.DUMMYFUNCTION("""COMPUTED_VALUE"""),44657.0)</f>
        <v>44657</v>
      </c>
      <c r="B441">
        <f>IFERROR(__xludf.DUMMYFUNCTION("""COMPUTED_VALUE"""),13915.0)</f>
        <v>13915</v>
      </c>
      <c r="C441" t="str">
        <f>IFERROR(__xludf.DUMMYFUNCTION("""COMPUTED_VALUE"""),"NFL Super Bowl XLIV: New Orleans Saints Champions")</f>
        <v>NFL Super Bowl XLIV: New Orleans Saints Champions</v>
      </c>
      <c r="D441" t="str">
        <f>IFERROR(__xludf.DUMMYFUNCTION("""COMPUTED_VALUE"""),"B002VXEBYA")</f>
        <v>B002VXEBYA</v>
      </c>
      <c r="E441" t="str">
        <f>IFERROR(__xludf.DUMMYFUNCTION("""COMPUTED_VALUE"""),"883929106240")</f>
        <v>883929106240</v>
      </c>
      <c r="F441">
        <f>IFERROR(__xludf.DUMMYFUNCTION("""COMPUTED_VALUE"""),1020.0)</f>
        <v>1020</v>
      </c>
      <c r="G441">
        <f>IFERROR(__xludf.DUMMYFUNCTION("""COMPUTED_VALUE"""),36900.0)</f>
        <v>36900</v>
      </c>
      <c r="H441" s="2">
        <f>IFERROR(__xludf.DUMMYFUNCTION("""COMPUTED_VALUE"""),1.5)</f>
        <v>1.5</v>
      </c>
      <c r="I441" s="2">
        <f>IFERROR(__xludf.DUMMYFUNCTION("""COMPUTED_VALUE"""),3.39)</f>
        <v>3.39</v>
      </c>
      <c r="J441" s="2">
        <f>IFERROR(__xludf.DUMMYFUNCTION("""COMPUTED_VALUE"""),1.8900000000000001)</f>
        <v>1.89</v>
      </c>
      <c r="K441" s="5">
        <f>IFERROR(__xludf.DUMMYFUNCTION("""COMPUTED_VALUE"""),1.26)</f>
        <v>1.26</v>
      </c>
      <c r="L441">
        <f>IFERROR(__xludf.DUMMYFUNCTION("""COMPUTED_VALUE"""),82558.0)</f>
        <v>82558</v>
      </c>
      <c r="M441" t="str">
        <f>IFERROR(__xludf.DUMMYFUNCTION("""COMPUTED_VALUE"""),"DVD")</f>
        <v>DVD</v>
      </c>
      <c r="O441" t="str">
        <f>IFERROR(__xludf.DUMMYFUNCTION("""COMPUTED_VALUE"""),"N")</f>
        <v>N</v>
      </c>
      <c r="P441" s="1" t="str">
        <f>IFERROR(__xludf.DUMMYFUNCTION("""COMPUTED_VALUE"""),"ID 13915")</f>
        <v>ID 13915</v>
      </c>
      <c r="Q441" s="1" t="str">
        <f>IFERROR(__xludf.DUMMYFUNCTION("""COMPUTED_VALUE"""),"B002VXEBYA")</f>
        <v>B002VXEBYA</v>
      </c>
    </row>
    <row r="442">
      <c r="A442" s="6">
        <f>IFERROR(__xludf.DUMMYFUNCTION("""COMPUTED_VALUE"""),45113.0)</f>
        <v>45113</v>
      </c>
      <c r="B442">
        <f>IFERROR(__xludf.DUMMYFUNCTION("""COMPUTED_VALUE"""),20310.0)</f>
        <v>20310</v>
      </c>
      <c r="C442" t="str">
        <f>IFERROR(__xludf.DUMMYFUNCTION("""COMPUTED_VALUE"""),"Garnier Nutrisse Nourishing Hair Color Creme, 111 Extra-Light Ash Blonde (White Chocolate) (Packaging May Vary)")</f>
        <v>Garnier Nutrisse Nourishing Hair Color Creme, 111 Extra-Light Ash Blonde (White Chocolate) (Packaging May Vary)</v>
      </c>
      <c r="D442" t="str">
        <f>IFERROR(__xludf.DUMMYFUNCTION("""COMPUTED_VALUE"""),"B000KOI53A")</f>
        <v>B000KOI53A</v>
      </c>
      <c r="E442" t="str">
        <f>IFERROR(__xludf.DUMMYFUNCTION("""COMPUTED_VALUE"""),"603084244751")</f>
        <v>603084244751</v>
      </c>
      <c r="F442">
        <f>IFERROR(__xludf.DUMMYFUNCTION("""COMPUTED_VALUE"""),612.0)</f>
        <v>612</v>
      </c>
      <c r="G442">
        <f>IFERROR(__xludf.DUMMYFUNCTION("""COMPUTED_VALUE"""),10000.0)</f>
        <v>10000</v>
      </c>
      <c r="H442" s="2">
        <f>IFERROR(__xludf.DUMMYFUNCTION("""COMPUTED_VALUE"""),4.0)</f>
        <v>4</v>
      </c>
      <c r="I442" s="2">
        <f>IFERROR(__xludf.DUMMYFUNCTION("""COMPUTED_VALUE"""),5.89)</f>
        <v>5.89</v>
      </c>
      <c r="J442" s="2">
        <f>IFERROR(__xludf.DUMMYFUNCTION("""COMPUTED_VALUE"""),1.8899999999999997)</f>
        <v>1.89</v>
      </c>
      <c r="K442" s="5">
        <f>IFERROR(__xludf.DUMMYFUNCTION("""COMPUTED_VALUE"""),0.4724999999999999)</f>
        <v>0.4725</v>
      </c>
      <c r="L442">
        <f>IFERROR(__xludf.DUMMYFUNCTION("""COMPUTED_VALUE"""),7716.0)</f>
        <v>7716</v>
      </c>
      <c r="M442" t="str">
        <f>IFERROR(__xludf.DUMMYFUNCTION("""COMPUTED_VALUE"""),"BISS Basic")</f>
        <v>BISS Basic</v>
      </c>
      <c r="O442" t="str">
        <f>IFERROR(__xludf.DUMMYFUNCTION("""COMPUTED_VALUE"""),"N")</f>
        <v>N</v>
      </c>
      <c r="P442" s="1" t="str">
        <f>IFERROR(__xludf.DUMMYFUNCTION("""COMPUTED_VALUE"""),"ID 20310")</f>
        <v>ID 20310</v>
      </c>
      <c r="Q442" s="1" t="str">
        <f>IFERROR(__xludf.DUMMYFUNCTION("""COMPUTED_VALUE"""),"B000KOI53A")</f>
        <v>B000KOI53A</v>
      </c>
    </row>
    <row r="443">
      <c r="A443" s="6">
        <f>IFERROR(__xludf.DUMMYFUNCTION("""COMPUTED_VALUE"""),45250.0)</f>
        <v>45250</v>
      </c>
      <c r="B443">
        <f>IFERROR(__xludf.DUMMYFUNCTION("""COMPUTED_VALUE"""),14765.0)</f>
        <v>14765</v>
      </c>
      <c r="C443" t="str">
        <f>IFERROR(__xludf.DUMMYFUNCTION("""COMPUTED_VALUE"""),"Chef Craft Select Nylon Meat Fork, 13"", Grey")</f>
        <v>Chef Craft Select Nylon Meat Fork, 13", Grey</v>
      </c>
      <c r="D443" t="str">
        <f>IFERROR(__xludf.DUMMYFUNCTION("""COMPUTED_VALUE"""),"B07HNLD9MW")</f>
        <v>B07HNLD9MW</v>
      </c>
      <c r="E443" t="str">
        <f>IFERROR(__xludf.DUMMYFUNCTION("""COMPUTED_VALUE"""),"085455120404")</f>
        <v>085455120404</v>
      </c>
      <c r="F443">
        <f>IFERROR(__xludf.DUMMYFUNCTION("""COMPUTED_VALUE"""),864.0)</f>
        <v>864</v>
      </c>
      <c r="G443">
        <f>IFERROR(__xludf.DUMMYFUNCTION("""COMPUTED_VALUE"""),4960.0)</f>
        <v>4960</v>
      </c>
      <c r="H443" s="2">
        <f>IFERROR(__xludf.DUMMYFUNCTION("""COMPUTED_VALUE"""),1.25)</f>
        <v>1.25</v>
      </c>
      <c r="I443" s="2">
        <f>IFERROR(__xludf.DUMMYFUNCTION("""COMPUTED_VALUE"""),3.13)</f>
        <v>3.13</v>
      </c>
      <c r="J443" s="2">
        <f>IFERROR(__xludf.DUMMYFUNCTION("""COMPUTED_VALUE"""),1.88)</f>
        <v>1.88</v>
      </c>
      <c r="K443" s="5">
        <f>IFERROR(__xludf.DUMMYFUNCTION("""COMPUTED_VALUE"""),1.504)</f>
        <v>1.504</v>
      </c>
      <c r="L443">
        <f>IFERROR(__xludf.DUMMYFUNCTION("""COMPUTED_VALUE"""),31471.0)</f>
        <v>31471</v>
      </c>
      <c r="M443" t="str">
        <f>IFERROR(__xludf.DUMMYFUNCTION("""COMPUTED_VALUE"""),"Kitchen")</f>
        <v>Kitchen</v>
      </c>
      <c r="O443" t="str">
        <f>IFERROR(__xludf.DUMMYFUNCTION("""COMPUTED_VALUE"""),"Y")</f>
        <v>Y</v>
      </c>
      <c r="P443" s="1" t="str">
        <f>IFERROR(__xludf.DUMMYFUNCTION("""COMPUTED_VALUE"""),"ID 14765")</f>
        <v>ID 14765</v>
      </c>
      <c r="Q443" s="1" t="str">
        <f>IFERROR(__xludf.DUMMYFUNCTION("""COMPUTED_VALUE"""),"B07HNLD9MW")</f>
        <v>B07HNLD9MW</v>
      </c>
    </row>
    <row r="444">
      <c r="A444" s="6">
        <f>IFERROR(__xludf.DUMMYFUNCTION("""COMPUTED_VALUE"""),44580.0)</f>
        <v>44580</v>
      </c>
      <c r="B444">
        <f>IFERROR(__xludf.DUMMYFUNCTION("""COMPUTED_VALUE"""),18239.0)</f>
        <v>18239</v>
      </c>
      <c r="C444" t="str">
        <f>IFERROR(__xludf.DUMMYFUNCTION("""COMPUTED_VALUE"""),"Schneider Xpress Fineliner .8mm, Black (190001)")</f>
        <v>Schneider Xpress Fineliner .8mm, Black (190001)</v>
      </c>
      <c r="D444" t="str">
        <f>IFERROR(__xludf.DUMMYFUNCTION("""COMPUTED_VALUE"""),"B001R9RXT4")</f>
        <v>B001R9RXT4</v>
      </c>
      <c r="E444" t="str">
        <f>IFERROR(__xludf.DUMMYFUNCTION("""COMPUTED_VALUE"""),"4004675059789")</f>
        <v>4004675059789</v>
      </c>
      <c r="F444">
        <f>IFERROR(__xludf.DUMMYFUNCTION("""COMPUTED_VALUE"""),800.0)</f>
        <v>800</v>
      </c>
      <c r="G444">
        <f>IFERROR(__xludf.DUMMYFUNCTION("""COMPUTED_VALUE"""),1000.0)</f>
        <v>1000</v>
      </c>
      <c r="H444" s="2">
        <f>IFERROR(__xludf.DUMMYFUNCTION("""COMPUTED_VALUE"""),1.75)</f>
        <v>1.75</v>
      </c>
      <c r="I444" s="2">
        <f>IFERROR(__xludf.DUMMYFUNCTION("""COMPUTED_VALUE"""),3.63)</f>
        <v>3.63</v>
      </c>
      <c r="J444" s="2">
        <f>IFERROR(__xludf.DUMMYFUNCTION("""COMPUTED_VALUE"""),1.88)</f>
        <v>1.88</v>
      </c>
      <c r="K444" s="5">
        <f>IFERROR(__xludf.DUMMYFUNCTION("""COMPUTED_VALUE"""),1.0742857142857143)</f>
        <v>1.074285714</v>
      </c>
      <c r="L444">
        <f>IFERROR(__xludf.DUMMYFUNCTION("""COMPUTED_VALUE"""),97818.0)</f>
        <v>97818</v>
      </c>
      <c r="M444" t="str">
        <f>IFERROR(__xludf.DUMMYFUNCTION("""COMPUTED_VALUE"""),"Office Product")</f>
        <v>Office Product</v>
      </c>
      <c r="O444" t="str">
        <f>IFERROR(__xludf.DUMMYFUNCTION("""COMPUTED_VALUE"""),"N")</f>
        <v>N</v>
      </c>
      <c r="P444" s="1" t="str">
        <f>IFERROR(__xludf.DUMMYFUNCTION("""COMPUTED_VALUE"""),"ID 18239")</f>
        <v>ID 18239</v>
      </c>
      <c r="Q444" s="1" t="str">
        <f>IFERROR(__xludf.DUMMYFUNCTION("""COMPUTED_VALUE"""),"B001R9RXT4")</f>
        <v>B001R9RXT4</v>
      </c>
    </row>
    <row r="445">
      <c r="A445" s="6">
        <f>IFERROR(__xludf.DUMMYFUNCTION("""COMPUTED_VALUE"""),45118.0)</f>
        <v>45118</v>
      </c>
      <c r="B445">
        <f>IFERROR(__xludf.DUMMYFUNCTION("""COMPUTED_VALUE"""),17839.0)</f>
        <v>17839</v>
      </c>
      <c r="C445" t="str">
        <f>IFERROR(__xludf.DUMMYFUNCTION("""COMPUTED_VALUE"""),"Rotring Tikky Mechanical Pencil, 0.7 mm, Black, Single (1904696)")</f>
        <v>Rotring Tikky Mechanical Pencil, 0.7 mm, Black, Single (1904696)</v>
      </c>
      <c r="D445" t="str">
        <f>IFERROR(__xludf.DUMMYFUNCTION("""COMPUTED_VALUE"""),"B016OVONW4")</f>
        <v>B016OVONW4</v>
      </c>
      <c r="E445" t="str">
        <f>IFERROR(__xludf.DUMMYFUNCTION("""COMPUTED_VALUE"""),"3501170770511")</f>
        <v>3501170770511</v>
      </c>
      <c r="F445">
        <f>IFERROR(__xludf.DUMMYFUNCTION("""COMPUTED_VALUE"""),720.0)</f>
        <v>720</v>
      </c>
      <c r="G445">
        <f>IFERROR(__xludf.DUMMYFUNCTION("""COMPUTED_VALUE"""),10000.0)</f>
        <v>10000</v>
      </c>
      <c r="H445" s="2">
        <f>IFERROR(__xludf.DUMMYFUNCTION("""COMPUTED_VALUE"""),4.25)</f>
        <v>4.25</v>
      </c>
      <c r="I445" s="2">
        <f>IFERROR(__xludf.DUMMYFUNCTION("""COMPUTED_VALUE"""),6.12)</f>
        <v>6.12</v>
      </c>
      <c r="J445" s="2">
        <f>IFERROR(__xludf.DUMMYFUNCTION("""COMPUTED_VALUE"""),1.87)</f>
        <v>1.87</v>
      </c>
      <c r="K445" s="5">
        <f>IFERROR(__xludf.DUMMYFUNCTION("""COMPUTED_VALUE"""),0.44)</f>
        <v>0.44</v>
      </c>
      <c r="L445">
        <f>IFERROR(__xludf.DUMMYFUNCTION("""COMPUTED_VALUE"""),30102.0)</f>
        <v>30102</v>
      </c>
      <c r="M445" t="str">
        <f>IFERROR(__xludf.DUMMYFUNCTION("""COMPUTED_VALUE"""),"Office Product")</f>
        <v>Office Product</v>
      </c>
      <c r="O445" t="str">
        <f>IFERROR(__xludf.DUMMYFUNCTION("""COMPUTED_VALUE"""),"N")</f>
        <v>N</v>
      </c>
      <c r="P445" s="1" t="str">
        <f>IFERROR(__xludf.DUMMYFUNCTION("""COMPUTED_VALUE"""),"ID 17839")</f>
        <v>ID 17839</v>
      </c>
      <c r="Q445" s="1" t="str">
        <f>IFERROR(__xludf.DUMMYFUNCTION("""COMPUTED_VALUE"""),"B016OVONW4")</f>
        <v>B016OVONW4</v>
      </c>
    </row>
    <row r="446">
      <c r="A446" s="6">
        <f>IFERROR(__xludf.DUMMYFUNCTION("""COMPUTED_VALUE"""),44458.0)</f>
        <v>44458</v>
      </c>
      <c r="B446">
        <f>IFERROR(__xludf.DUMMYFUNCTION("""COMPUTED_VALUE"""),18484.0)</f>
        <v>18484</v>
      </c>
      <c r="C446" t="str">
        <f>IFERROR(__xludf.DUMMYFUNCTION("""COMPUTED_VALUE"""),"Adams Job Work Order Book, 3-Part Carbonless, White/Canary/White, 5-9/16 x 8-7/16 Inches, 33 Sets (T5868)")</f>
        <v>Adams Job Work Order Book, 3-Part Carbonless, White/Canary/White, 5-9/16 x 8-7/16 Inches, 33 Sets (T5868)</v>
      </c>
      <c r="D446" t="str">
        <f>IFERROR(__xludf.DUMMYFUNCTION("""COMPUTED_VALUE"""),"B00006ICT7")</f>
        <v>B00006ICT7</v>
      </c>
      <c r="E446" t="str">
        <f>IFERROR(__xludf.DUMMYFUNCTION("""COMPUTED_VALUE"""),"87958358681")</f>
        <v>87958358681</v>
      </c>
      <c r="F446">
        <f>IFERROR(__xludf.DUMMYFUNCTION("""COMPUTED_VALUE"""),570.0)</f>
        <v>570</v>
      </c>
      <c r="G446">
        <f>IFERROR(__xludf.DUMMYFUNCTION("""COMPUTED_VALUE"""),5000.0)</f>
        <v>5000</v>
      </c>
      <c r="H446" s="2">
        <f>IFERROR(__xludf.DUMMYFUNCTION("""COMPUTED_VALUE"""),4.25)</f>
        <v>4.25</v>
      </c>
      <c r="I446" s="2">
        <f>IFERROR(__xludf.DUMMYFUNCTION("""COMPUTED_VALUE"""),6.12)</f>
        <v>6.12</v>
      </c>
      <c r="J446" s="2">
        <f>IFERROR(__xludf.DUMMYFUNCTION("""COMPUTED_VALUE"""),1.87)</f>
        <v>1.87</v>
      </c>
      <c r="K446" s="5">
        <f>IFERROR(__xludf.DUMMYFUNCTION("""COMPUTED_VALUE"""),0.44)</f>
        <v>0.44</v>
      </c>
      <c r="L446">
        <f>IFERROR(__xludf.DUMMYFUNCTION("""COMPUTED_VALUE"""),36640.0)</f>
        <v>36640</v>
      </c>
      <c r="M446" t="str">
        <f>IFERROR(__xludf.DUMMYFUNCTION("""COMPUTED_VALUE"""),"Office Product")</f>
        <v>Office Product</v>
      </c>
      <c r="O446" t="str">
        <f>IFERROR(__xludf.DUMMYFUNCTION("""COMPUTED_VALUE"""),"Y")</f>
        <v>Y</v>
      </c>
      <c r="P446" s="1" t="str">
        <f>IFERROR(__xludf.DUMMYFUNCTION("""COMPUTED_VALUE"""),"ID 18484")</f>
        <v>ID 18484</v>
      </c>
      <c r="Q446" s="1" t="str">
        <f>IFERROR(__xludf.DUMMYFUNCTION("""COMPUTED_VALUE"""),"B00006ICT7")</f>
        <v>B00006ICT7</v>
      </c>
    </row>
    <row r="447">
      <c r="A447" s="6">
        <f>IFERROR(__xludf.DUMMYFUNCTION("""COMPUTED_VALUE"""),44825.0)</f>
        <v>44825</v>
      </c>
      <c r="B447">
        <f>IFERROR(__xludf.DUMMYFUNCTION("""COMPUTED_VALUE"""),15652.0)</f>
        <v>15652</v>
      </c>
      <c r="C447" t="str">
        <f>IFERROR(__xludf.DUMMYFUNCTION("""COMPUTED_VALUE"""),"SHI by Alfred Sung Eau De Perfume Spray, Perfume for Women 3.4oz")</f>
        <v>SHI by Alfred Sung Eau De Perfume Spray, Perfume for Women 3.4oz</v>
      </c>
      <c r="D447" t="str">
        <f>IFERROR(__xludf.DUMMYFUNCTION("""COMPUTED_VALUE"""),"B000C1Z19M")</f>
        <v>B000C1Z19M</v>
      </c>
      <c r="E447" t="str">
        <f>IFERROR(__xludf.DUMMYFUNCTION("""COMPUTED_VALUE"""),"067724277095")</f>
        <v>067724277095</v>
      </c>
      <c r="F447">
        <f>IFERROR(__xludf.DUMMYFUNCTION("""COMPUTED_VALUE"""),110.0)</f>
        <v>110</v>
      </c>
      <c r="G447">
        <f>IFERROR(__xludf.DUMMYFUNCTION("""COMPUTED_VALUE"""),1000.0)</f>
        <v>1000</v>
      </c>
      <c r="H447" s="2">
        <f>IFERROR(__xludf.DUMMYFUNCTION("""COMPUTED_VALUE"""),13.0)</f>
        <v>13</v>
      </c>
      <c r="I447" s="2">
        <f>IFERROR(__xludf.DUMMYFUNCTION("""COMPUTED_VALUE"""),14.86)</f>
        <v>14.86</v>
      </c>
      <c r="J447" s="2">
        <f>IFERROR(__xludf.DUMMYFUNCTION("""COMPUTED_VALUE"""),1.8599999999999994)</f>
        <v>1.86</v>
      </c>
      <c r="K447" s="5">
        <f>IFERROR(__xludf.DUMMYFUNCTION("""COMPUTED_VALUE"""),0.14307692307692305)</f>
        <v>0.1430769231</v>
      </c>
      <c r="L447">
        <f>IFERROR(__xludf.DUMMYFUNCTION("""COMPUTED_VALUE"""),14185.0)</f>
        <v>14185</v>
      </c>
      <c r="M447" t="str">
        <f>IFERROR(__xludf.DUMMYFUNCTION("""COMPUTED_VALUE"""),"Beauty")</f>
        <v>Beauty</v>
      </c>
      <c r="N447" t="str">
        <f>IFERROR(__xludf.DUMMYFUNCTION("""COMPUTED_VALUE"""),"Tester. Packaging may be a white box with no cap")</f>
        <v>Tester. Packaging may be a white box with no cap</v>
      </c>
      <c r="O447" t="str">
        <f>IFERROR(__xludf.DUMMYFUNCTION("""COMPUTED_VALUE"""),"Y")</f>
        <v>Y</v>
      </c>
      <c r="P447" s="1" t="str">
        <f>IFERROR(__xludf.DUMMYFUNCTION("""COMPUTED_VALUE"""),"ID 15652")</f>
        <v>ID 15652</v>
      </c>
      <c r="Q447" s="1" t="str">
        <f>IFERROR(__xludf.DUMMYFUNCTION("""COMPUTED_VALUE"""),"B000C1Z19M")</f>
        <v>B000C1Z19M</v>
      </c>
    </row>
    <row r="448">
      <c r="A448" s="6">
        <f>IFERROR(__xludf.DUMMYFUNCTION("""COMPUTED_VALUE"""),45390.0)</f>
        <v>45390</v>
      </c>
      <c r="B448">
        <f>IFERROR(__xludf.DUMMYFUNCTION("""COMPUTED_VALUE"""),21572.0)</f>
        <v>21572</v>
      </c>
      <c r="C448" t="str">
        <f>IFERROR(__xludf.DUMMYFUNCTION("""COMPUTED_VALUE"""),"Chef Craft Premium Silicone Spoon Spatula, 11.5 inch, Pink")</f>
        <v>Chef Craft Premium Silicone Spoon Spatula, 11.5 inch, Pink</v>
      </c>
      <c r="D448" t="str">
        <f>IFERROR(__xludf.DUMMYFUNCTION("""COMPUTED_VALUE"""),"B08SJ2JJGN")</f>
        <v>B08SJ2JJGN</v>
      </c>
      <c r="E448" t="str">
        <f>IFERROR(__xludf.DUMMYFUNCTION("""COMPUTED_VALUE"""),"085455137679")</f>
        <v>085455137679</v>
      </c>
      <c r="F448">
        <f>IFERROR(__xludf.DUMMYFUNCTION("""COMPUTED_VALUE"""),360.0)</f>
        <v>360</v>
      </c>
      <c r="G448">
        <f>IFERROR(__xludf.DUMMYFUNCTION("""COMPUTED_VALUE"""),10000.0)</f>
        <v>10000</v>
      </c>
      <c r="H448" s="2">
        <f>IFERROR(__xludf.DUMMYFUNCTION("""COMPUTED_VALUE"""),2.75)</f>
        <v>2.75</v>
      </c>
      <c r="I448" s="2">
        <f>IFERROR(__xludf.DUMMYFUNCTION("""COMPUTED_VALUE"""),4.61)</f>
        <v>4.61</v>
      </c>
      <c r="J448" s="2">
        <f>IFERROR(__xludf.DUMMYFUNCTION("""COMPUTED_VALUE"""),1.8600000000000003)</f>
        <v>1.86</v>
      </c>
      <c r="K448" s="5">
        <f>IFERROR(__xludf.DUMMYFUNCTION("""COMPUTED_VALUE"""),0.6763636363636365)</f>
        <v>0.6763636364</v>
      </c>
      <c r="L448">
        <f>IFERROR(__xludf.DUMMYFUNCTION("""COMPUTED_VALUE"""),43052.0)</f>
        <v>43052</v>
      </c>
      <c r="M448" t="str">
        <f>IFERROR(__xludf.DUMMYFUNCTION("""COMPUTED_VALUE"""),"Kitchen")</f>
        <v>Kitchen</v>
      </c>
      <c r="O448" t="str">
        <f>IFERROR(__xludf.DUMMYFUNCTION("""COMPUTED_VALUE"""),"Y")</f>
        <v>Y</v>
      </c>
      <c r="P448" s="1" t="str">
        <f>IFERROR(__xludf.DUMMYFUNCTION("""COMPUTED_VALUE"""),"ID 21572")</f>
        <v>ID 21572</v>
      </c>
      <c r="Q448" s="1" t="str">
        <f>IFERROR(__xludf.DUMMYFUNCTION("""COMPUTED_VALUE"""),"B08SJ2JJGN")</f>
        <v>B08SJ2JJGN</v>
      </c>
    </row>
    <row r="449">
      <c r="A449" s="6">
        <f>IFERROR(__xludf.DUMMYFUNCTION("""COMPUTED_VALUE"""),45390.0)</f>
        <v>45390</v>
      </c>
      <c r="B449">
        <f>IFERROR(__xludf.DUMMYFUNCTION("""COMPUTED_VALUE"""),5556.0)</f>
        <v>5556</v>
      </c>
      <c r="C449" t="str">
        <f>IFERROR(__xludf.DUMMYFUNCTION("""COMPUTED_VALUE"""),"Chef Craft 50 Count Cupcake Liners, Snowman")</f>
        <v>Chef Craft 50 Count Cupcake Liners, Snowman</v>
      </c>
      <c r="D449" t="str">
        <f>IFERROR(__xludf.DUMMYFUNCTION("""COMPUTED_VALUE"""),"B00KS9H9TI")</f>
        <v>B00KS9H9TI</v>
      </c>
      <c r="E449" t="str">
        <f>IFERROR(__xludf.DUMMYFUNCTION("""COMPUTED_VALUE"""),"085455218217")</f>
        <v>085455218217</v>
      </c>
      <c r="F449">
        <f>IFERROR(__xludf.DUMMYFUNCTION("""COMPUTED_VALUE"""),576.0)</f>
        <v>576</v>
      </c>
      <c r="G449">
        <f>IFERROR(__xludf.DUMMYFUNCTION("""COMPUTED_VALUE"""),10000.0)</f>
        <v>10000</v>
      </c>
      <c r="H449" s="2">
        <f>IFERROR(__xludf.DUMMYFUNCTION("""COMPUTED_VALUE"""),1.25)</f>
        <v>1.25</v>
      </c>
      <c r="I449" s="2">
        <f>IFERROR(__xludf.DUMMYFUNCTION("""COMPUTED_VALUE"""),3.09)</f>
        <v>3.09</v>
      </c>
      <c r="J449" s="2">
        <f>IFERROR(__xludf.DUMMYFUNCTION("""COMPUTED_VALUE"""),1.8399999999999999)</f>
        <v>1.84</v>
      </c>
      <c r="K449" s="5">
        <f>IFERROR(__xludf.DUMMYFUNCTION("""COMPUTED_VALUE"""),1.472)</f>
        <v>1.472</v>
      </c>
      <c r="L449">
        <f>IFERROR(__xludf.DUMMYFUNCTION("""COMPUTED_VALUE"""),31887.0)</f>
        <v>31887</v>
      </c>
      <c r="M449" t="str">
        <f>IFERROR(__xludf.DUMMYFUNCTION("""COMPUTED_VALUE"""),"Kitchen")</f>
        <v>Kitchen</v>
      </c>
      <c r="O449" t="str">
        <f>IFERROR(__xludf.DUMMYFUNCTION("""COMPUTED_VALUE"""),"N")</f>
        <v>N</v>
      </c>
      <c r="P449" s="1" t="str">
        <f>IFERROR(__xludf.DUMMYFUNCTION("""COMPUTED_VALUE"""),"ID 5556")</f>
        <v>ID 5556</v>
      </c>
      <c r="Q449" s="1" t="str">
        <f>IFERROR(__xludf.DUMMYFUNCTION("""COMPUTED_VALUE"""),"B00KS9H9TI")</f>
        <v>B00KS9H9TI</v>
      </c>
    </row>
    <row r="450">
      <c r="A450" s="6">
        <f>IFERROR(__xludf.DUMMYFUNCTION("""COMPUTED_VALUE"""),45273.0)</f>
        <v>45273</v>
      </c>
      <c r="B450">
        <f>IFERROR(__xludf.DUMMYFUNCTION("""COMPUTED_VALUE"""),17901.0)</f>
        <v>17901</v>
      </c>
      <c r="C450" t="str">
        <f>IFERROR(__xludf.DUMMYFUNCTION("""COMPUTED_VALUE"""),"Elmer's Products, Inc Elmer's E7300 Carpenter's Wood Glue Max, 8 Ounces, 8 oz, Tan")</f>
        <v>Elmer's Products, Inc Elmer's E7300 Carpenter's Wood Glue Max, 8 Ounces, 8 oz, Tan</v>
      </c>
      <c r="D450" t="str">
        <f>IFERROR(__xludf.DUMMYFUNCTION("""COMPUTED_VALUE"""),"B0045PVKDW")</f>
        <v>B0045PVKDW</v>
      </c>
      <c r="E450" t="str">
        <f>IFERROR(__xludf.DUMMYFUNCTION("""COMPUTED_VALUE"""),"026000073004")</f>
        <v>026000073004</v>
      </c>
      <c r="F450">
        <f>IFERROR(__xludf.DUMMYFUNCTION("""COMPUTED_VALUE"""),948.0)</f>
        <v>948</v>
      </c>
      <c r="G450">
        <f>IFERROR(__xludf.DUMMYFUNCTION("""COMPUTED_VALUE"""),10000.0)</f>
        <v>10000</v>
      </c>
      <c r="H450" s="2">
        <f>IFERROR(__xludf.DUMMYFUNCTION("""COMPUTED_VALUE"""),3.25)</f>
        <v>3.25</v>
      </c>
      <c r="I450" s="2">
        <f>IFERROR(__xludf.DUMMYFUNCTION("""COMPUTED_VALUE"""),5.09)</f>
        <v>5.09</v>
      </c>
      <c r="J450" s="2">
        <f>IFERROR(__xludf.DUMMYFUNCTION("""COMPUTED_VALUE"""),1.8399999999999999)</f>
        <v>1.84</v>
      </c>
      <c r="K450" s="5">
        <f>IFERROR(__xludf.DUMMYFUNCTION("""COMPUTED_VALUE"""),0.5661538461538461)</f>
        <v>0.5661538462</v>
      </c>
      <c r="L450">
        <f>IFERROR(__xludf.DUMMYFUNCTION("""COMPUTED_VALUE"""),17585.0)</f>
        <v>17585</v>
      </c>
      <c r="M450" t="str">
        <f>IFERROR(__xludf.DUMMYFUNCTION("""COMPUTED_VALUE"""),"Home Improvement")</f>
        <v>Home Improvement</v>
      </c>
      <c r="O450" t="str">
        <f>IFERROR(__xludf.DUMMYFUNCTION("""COMPUTED_VALUE"""),"N")</f>
        <v>N</v>
      </c>
      <c r="P450" s="1" t="str">
        <f>IFERROR(__xludf.DUMMYFUNCTION("""COMPUTED_VALUE"""),"ID 17901")</f>
        <v>ID 17901</v>
      </c>
      <c r="Q450" s="1" t="str">
        <f>IFERROR(__xludf.DUMMYFUNCTION("""COMPUTED_VALUE"""),"B0045PVKDW")</f>
        <v>B0045PVKDW</v>
      </c>
    </row>
    <row r="451">
      <c r="A451" s="6">
        <f>IFERROR(__xludf.DUMMYFUNCTION("""COMPUTED_VALUE"""),45113.0)</f>
        <v>45113</v>
      </c>
      <c r="B451">
        <f>IFERROR(__xludf.DUMMYFUNCTION("""COMPUTED_VALUE"""),20318.0)</f>
        <v>20318</v>
      </c>
      <c r="C451" t="str">
        <f>IFERROR(__xludf.DUMMYFUNCTION("""COMPUTED_VALUE"""),"Garnier Nutrisse Nourishing Hair Color Creme, 20 Soft Black (Black Tea) (Packaging May Vary)")</f>
        <v>Garnier Nutrisse Nourishing Hair Color Creme, 20 Soft Black (Black Tea) (Packaging May Vary)</v>
      </c>
      <c r="D451" t="str">
        <f>IFERROR(__xludf.DUMMYFUNCTION("""COMPUTED_VALUE"""),"B0024GTIKQ")</f>
        <v>B0024GTIKQ</v>
      </c>
      <c r="E451" t="str">
        <f>IFERROR(__xludf.DUMMYFUNCTION("""COMPUTED_VALUE"""),"603084055937")</f>
        <v>603084055937</v>
      </c>
      <c r="F451">
        <f>IFERROR(__xludf.DUMMYFUNCTION("""COMPUTED_VALUE"""),600.0)</f>
        <v>600</v>
      </c>
      <c r="G451">
        <f>IFERROR(__xludf.DUMMYFUNCTION("""COMPUTED_VALUE"""),10000.0)</f>
        <v>10000</v>
      </c>
      <c r="H451" s="2">
        <f>IFERROR(__xludf.DUMMYFUNCTION("""COMPUTED_VALUE"""),4.0)</f>
        <v>4</v>
      </c>
      <c r="I451" s="2">
        <f>IFERROR(__xludf.DUMMYFUNCTION("""COMPUTED_VALUE"""),5.83)</f>
        <v>5.83</v>
      </c>
      <c r="J451" s="2">
        <f>IFERROR(__xludf.DUMMYFUNCTION("""COMPUTED_VALUE"""),1.83)</f>
        <v>1.83</v>
      </c>
      <c r="K451" s="5">
        <f>IFERROR(__xludf.DUMMYFUNCTION("""COMPUTED_VALUE"""),0.4575)</f>
        <v>0.4575</v>
      </c>
      <c r="L451">
        <f>IFERROR(__xludf.DUMMYFUNCTION("""COMPUTED_VALUE"""),8136.0)</f>
        <v>8136</v>
      </c>
      <c r="M451" t="str">
        <f>IFERROR(__xludf.DUMMYFUNCTION("""COMPUTED_VALUE"""),"BISS Basic")</f>
        <v>BISS Basic</v>
      </c>
      <c r="O451" t="str">
        <f>IFERROR(__xludf.DUMMYFUNCTION("""COMPUTED_VALUE"""),"N")</f>
        <v>N</v>
      </c>
      <c r="P451" s="1" t="str">
        <f>IFERROR(__xludf.DUMMYFUNCTION("""COMPUTED_VALUE"""),"ID 20318")</f>
        <v>ID 20318</v>
      </c>
      <c r="Q451" s="1" t="str">
        <f>IFERROR(__xludf.DUMMYFUNCTION("""COMPUTED_VALUE"""),"B0024GTIKQ")</f>
        <v>B0024GTIKQ</v>
      </c>
    </row>
    <row r="452">
      <c r="A452" s="6">
        <f>IFERROR(__xludf.DUMMYFUNCTION("""COMPUTED_VALUE"""),45362.0)</f>
        <v>45362</v>
      </c>
      <c r="B452">
        <f>IFERROR(__xludf.DUMMYFUNCTION("""COMPUTED_VALUE"""),19686.0)</f>
        <v>19686</v>
      </c>
      <c r="C452" t="str">
        <f>IFERROR(__xludf.DUMMYFUNCTION("""COMPUTED_VALUE"""),"Pentel Arts Slicci 0.25 mm Extra Fine Gel Pen, Black Ink, 1 Pack (BG202BPA)")</f>
        <v>Pentel Arts Slicci 0.25 mm Extra Fine Gel Pen, Black Ink, 1 Pack (BG202BPA)</v>
      </c>
      <c r="D452" t="str">
        <f>IFERROR(__xludf.DUMMYFUNCTION("""COMPUTED_VALUE"""),"B002LG6UQY")</f>
        <v>B002LG6UQY</v>
      </c>
      <c r="E452" t="str">
        <f>IFERROR(__xludf.DUMMYFUNCTION("""COMPUTED_VALUE"""),"072512235089")</f>
        <v>072512235089</v>
      </c>
      <c r="F452">
        <f>IFERROR(__xludf.DUMMYFUNCTION("""COMPUTED_VALUE"""),576.0)</f>
        <v>576</v>
      </c>
      <c r="G452">
        <f>IFERROR(__xludf.DUMMYFUNCTION("""COMPUTED_VALUE"""),10000.0)</f>
        <v>10000</v>
      </c>
      <c r="H452" s="2">
        <f>IFERROR(__xludf.DUMMYFUNCTION("""COMPUTED_VALUE"""),1.75)</f>
        <v>1.75</v>
      </c>
      <c r="I452" s="2">
        <f>IFERROR(__xludf.DUMMYFUNCTION("""COMPUTED_VALUE"""),3.57)</f>
        <v>3.57</v>
      </c>
      <c r="J452" s="2">
        <f>IFERROR(__xludf.DUMMYFUNCTION("""COMPUTED_VALUE"""),1.8199999999999998)</f>
        <v>1.82</v>
      </c>
      <c r="K452" s="5">
        <f>IFERROR(__xludf.DUMMYFUNCTION("""COMPUTED_VALUE"""),1.0399999999999998)</f>
        <v>1.04</v>
      </c>
      <c r="L452">
        <f>IFERROR(__xludf.DUMMYFUNCTION("""COMPUTED_VALUE"""),14297.0)</f>
        <v>14297</v>
      </c>
      <c r="M452" t="str">
        <f>IFERROR(__xludf.DUMMYFUNCTION("""COMPUTED_VALUE"""),"Office Product")</f>
        <v>Office Product</v>
      </c>
      <c r="O452" t="str">
        <f>IFERROR(__xludf.DUMMYFUNCTION("""COMPUTED_VALUE"""),"Y")</f>
        <v>Y</v>
      </c>
      <c r="P452" s="1" t="str">
        <f>IFERROR(__xludf.DUMMYFUNCTION("""COMPUTED_VALUE"""),"ID 19686")</f>
        <v>ID 19686</v>
      </c>
      <c r="Q452" s="1" t="str">
        <f>IFERROR(__xludf.DUMMYFUNCTION("""COMPUTED_VALUE"""),"B002LG6UQY")</f>
        <v>B002LG6UQY</v>
      </c>
    </row>
    <row r="453">
      <c r="A453" s="6">
        <f>IFERROR(__xludf.DUMMYFUNCTION("""COMPUTED_VALUE"""),45351.0)</f>
        <v>45351</v>
      </c>
      <c r="B453">
        <f>IFERROR(__xludf.DUMMYFUNCTION("""COMPUTED_VALUE"""),23533.0)</f>
        <v>23533</v>
      </c>
      <c r="C453" t="str">
        <f>IFERROR(__xludf.DUMMYFUNCTION("""COMPUTED_VALUE"""),"Alliance Rubber 08995 SuperSize Bands, 17"" Blue Large Heavy Duty Latex Rubber Bands (4 ounce resealable bag contains approx. 12 bands)")</f>
        <v>Alliance Rubber 08995 SuperSize Bands, 17" Blue Large Heavy Duty Latex Rubber Bands (4 ounce resealable bag contains approx. 12 bands)</v>
      </c>
      <c r="D453" t="str">
        <f>IFERROR(__xludf.DUMMYFUNCTION("""COMPUTED_VALUE"""),"B00ICLGPOE")</f>
        <v>B00ICLGPOE</v>
      </c>
      <c r="E453" t="str">
        <f>IFERROR(__xludf.DUMMYFUNCTION("""COMPUTED_VALUE"""),"071815089955")</f>
        <v>071815089955</v>
      </c>
      <c r="F453">
        <f>IFERROR(__xludf.DUMMYFUNCTION("""COMPUTED_VALUE"""),390.0)</f>
        <v>390</v>
      </c>
      <c r="G453">
        <f>IFERROR(__xludf.DUMMYFUNCTION("""COMPUTED_VALUE"""),10000.0)</f>
        <v>10000</v>
      </c>
      <c r="H453" s="2">
        <f>IFERROR(__xludf.DUMMYFUNCTION("""COMPUTED_VALUE"""),3.25)</f>
        <v>3.25</v>
      </c>
      <c r="I453" s="2">
        <f>IFERROR(__xludf.DUMMYFUNCTION("""COMPUTED_VALUE"""),5.07)</f>
        <v>5.07</v>
      </c>
      <c r="J453" s="2">
        <f>IFERROR(__xludf.DUMMYFUNCTION("""COMPUTED_VALUE"""),1.8200000000000003)</f>
        <v>1.82</v>
      </c>
      <c r="K453" s="5">
        <f>IFERROR(__xludf.DUMMYFUNCTION("""COMPUTED_VALUE"""),0.56)</f>
        <v>0.56</v>
      </c>
      <c r="L453">
        <f>IFERROR(__xludf.DUMMYFUNCTION("""COMPUTED_VALUE"""),17564.0)</f>
        <v>17564</v>
      </c>
      <c r="M453" t="str">
        <f>IFERROR(__xludf.DUMMYFUNCTION("""COMPUTED_VALUE"""),"Office Product")</f>
        <v>Office Product</v>
      </c>
      <c r="O453" t="str">
        <f>IFERROR(__xludf.DUMMYFUNCTION("""COMPUTED_VALUE"""),"Y")</f>
        <v>Y</v>
      </c>
      <c r="P453" s="1" t="str">
        <f>IFERROR(__xludf.DUMMYFUNCTION("""COMPUTED_VALUE"""),"ID 23533")</f>
        <v>ID 23533</v>
      </c>
      <c r="Q453" s="1" t="str">
        <f>IFERROR(__xludf.DUMMYFUNCTION("""COMPUTED_VALUE"""),"B00ICLGPOE")</f>
        <v>B00ICLGPOE</v>
      </c>
    </row>
    <row r="454">
      <c r="A454" s="6">
        <f>IFERROR(__xludf.DUMMYFUNCTION("""COMPUTED_VALUE"""),45142.0)</f>
        <v>45142</v>
      </c>
      <c r="B454">
        <f>IFERROR(__xludf.DUMMYFUNCTION("""COMPUTED_VALUE"""),23982.0)</f>
        <v>23982</v>
      </c>
      <c r="C454" t="str">
        <f>IFERROR(__xludf.DUMMYFUNCTION("""COMPUTED_VALUE"""),"Alyssa Ashley - MUSK hand &amp; body lotion 750 ml limited edition")</f>
        <v>Alyssa Ashley - MUSK hand &amp; body lotion 750 ml limited edition</v>
      </c>
      <c r="D454" t="str">
        <f>IFERROR(__xludf.DUMMYFUNCTION("""COMPUTED_VALUE"""),"B000UU8GBU")</f>
        <v>B000UU8GBU</v>
      </c>
      <c r="E454" t="str">
        <f>IFERROR(__xludf.DUMMYFUNCTION("""COMPUTED_VALUE"""),"0652685735274")</f>
        <v>0652685735274</v>
      </c>
      <c r="F454">
        <f>IFERROR(__xludf.DUMMYFUNCTION("""COMPUTED_VALUE"""),150.0)</f>
        <v>150</v>
      </c>
      <c r="G454">
        <f>IFERROR(__xludf.DUMMYFUNCTION("""COMPUTED_VALUE"""),10000.0)</f>
        <v>10000</v>
      </c>
      <c r="H454" s="2">
        <f>IFERROR(__xludf.DUMMYFUNCTION("""COMPUTED_VALUE"""),10.0)</f>
        <v>10</v>
      </c>
      <c r="I454" s="2">
        <f>IFERROR(__xludf.DUMMYFUNCTION("""COMPUTED_VALUE"""),11.82)</f>
        <v>11.82</v>
      </c>
      <c r="J454" s="2">
        <f>IFERROR(__xludf.DUMMYFUNCTION("""COMPUTED_VALUE"""),1.8200000000000003)</f>
        <v>1.82</v>
      </c>
      <c r="K454" s="5">
        <f>IFERROR(__xludf.DUMMYFUNCTION("""COMPUTED_VALUE"""),0.18200000000000002)</f>
        <v>0.182</v>
      </c>
      <c r="L454">
        <f>IFERROR(__xludf.DUMMYFUNCTION("""COMPUTED_VALUE"""),90743.0)</f>
        <v>90743</v>
      </c>
      <c r="M454" t="str">
        <f>IFERROR(__xludf.DUMMYFUNCTION("""COMPUTED_VALUE"""),"BISS Basic")</f>
        <v>BISS Basic</v>
      </c>
      <c r="O454" t="str">
        <f>IFERROR(__xludf.DUMMYFUNCTION("""COMPUTED_VALUE"""),"N")</f>
        <v>N</v>
      </c>
      <c r="P454" s="1" t="str">
        <f>IFERROR(__xludf.DUMMYFUNCTION("""COMPUTED_VALUE"""),"ID 23982")</f>
        <v>ID 23982</v>
      </c>
      <c r="Q454" s="1" t="str">
        <f>IFERROR(__xludf.DUMMYFUNCTION("""COMPUTED_VALUE"""),"B000UU8GBU")</f>
        <v>B000UU8GBU</v>
      </c>
    </row>
    <row r="455">
      <c r="A455" s="6">
        <f>IFERROR(__xludf.DUMMYFUNCTION("""COMPUTED_VALUE"""),45348.0)</f>
        <v>45348</v>
      </c>
      <c r="B455">
        <f>IFERROR(__xludf.DUMMYFUNCTION("""COMPUTED_VALUE"""),21853.0)</f>
        <v>21853</v>
      </c>
      <c r="C455" t="str">
        <f>IFERROR(__xludf.DUMMYFUNCTION("""COMPUTED_VALUE"""),"ACCO Paper Clips, Jumbo, Smooth, Gold, 50 Clips/Box (72532)")</f>
        <v>ACCO Paper Clips, Jumbo, Smooth, Gold, 50 Clips/Box (72532)</v>
      </c>
      <c r="D455" t="str">
        <f>IFERROR(__xludf.DUMMYFUNCTION("""COMPUTED_VALUE"""),"B003XOXUK2")</f>
        <v>B003XOXUK2</v>
      </c>
      <c r="E455" t="str">
        <f>IFERROR(__xludf.DUMMYFUNCTION("""COMPUTED_VALUE"""),"050505725328")</f>
        <v>050505725328</v>
      </c>
      <c r="F455">
        <f>IFERROR(__xludf.DUMMYFUNCTION("""COMPUTED_VALUE"""),1248.0)</f>
        <v>1248</v>
      </c>
      <c r="G455">
        <f>IFERROR(__xludf.DUMMYFUNCTION("""COMPUTED_VALUE"""),10000.0)</f>
        <v>10000</v>
      </c>
      <c r="H455" s="2">
        <f>IFERROR(__xludf.DUMMYFUNCTION("""COMPUTED_VALUE"""),2.0)</f>
        <v>2</v>
      </c>
      <c r="I455" s="2">
        <f>IFERROR(__xludf.DUMMYFUNCTION("""COMPUTED_VALUE"""),3.81)</f>
        <v>3.81</v>
      </c>
      <c r="J455" s="2">
        <f>IFERROR(__xludf.DUMMYFUNCTION("""COMPUTED_VALUE"""),1.81)</f>
        <v>1.81</v>
      </c>
      <c r="K455" s="5">
        <f>IFERROR(__xludf.DUMMYFUNCTION("""COMPUTED_VALUE"""),0.905)</f>
        <v>0.905</v>
      </c>
      <c r="L455">
        <f>IFERROR(__xludf.DUMMYFUNCTION("""COMPUTED_VALUE"""),23688.0)</f>
        <v>23688</v>
      </c>
      <c r="M455" t="str">
        <f>IFERROR(__xludf.DUMMYFUNCTION("""COMPUTED_VALUE"""),"Office Product")</f>
        <v>Office Product</v>
      </c>
      <c r="O455" t="str">
        <f>IFERROR(__xludf.DUMMYFUNCTION("""COMPUTED_VALUE"""),"Y")</f>
        <v>Y</v>
      </c>
      <c r="P455" s="1" t="str">
        <f>IFERROR(__xludf.DUMMYFUNCTION("""COMPUTED_VALUE"""),"ID 21853")</f>
        <v>ID 21853</v>
      </c>
      <c r="Q455" s="1" t="str">
        <f>IFERROR(__xludf.DUMMYFUNCTION("""COMPUTED_VALUE"""),"B003XOXUK2")</f>
        <v>B003XOXUK2</v>
      </c>
    </row>
    <row r="456">
      <c r="A456" s="6">
        <f>IFERROR(__xludf.DUMMYFUNCTION("""COMPUTED_VALUE"""),45250.0)</f>
        <v>45250</v>
      </c>
      <c r="B456">
        <f>IFERROR(__xludf.DUMMYFUNCTION("""COMPUTED_VALUE"""),4201.0)</f>
        <v>4201</v>
      </c>
      <c r="C456" t="str">
        <f>IFERROR(__xludf.DUMMYFUNCTION("""COMPUTED_VALUE"""),"Chef Craft Corn Cob Dishes | 9.25-Inches Long | 2-Pack")</f>
        <v>Chef Craft Corn Cob Dishes | 9.25-Inches Long | 2-Pack</v>
      </c>
      <c r="D456" t="str">
        <f>IFERROR(__xludf.DUMMYFUNCTION("""COMPUTED_VALUE"""),"B00E80I0F0")</f>
        <v>B00E80I0F0</v>
      </c>
      <c r="E456" t="str">
        <f>IFERROR(__xludf.DUMMYFUNCTION("""COMPUTED_VALUE"""),"085455207181")</f>
        <v>085455207181</v>
      </c>
      <c r="F456">
        <f>IFERROR(__xludf.DUMMYFUNCTION("""COMPUTED_VALUE"""),1296.0)</f>
        <v>1296</v>
      </c>
      <c r="G456">
        <f>IFERROR(__xludf.DUMMYFUNCTION("""COMPUTED_VALUE"""),7484.0)</f>
        <v>7484</v>
      </c>
      <c r="H456" s="2">
        <f>IFERROR(__xludf.DUMMYFUNCTION("""COMPUTED_VALUE"""),0.75)</f>
        <v>0.75</v>
      </c>
      <c r="I456" s="2">
        <f>IFERROR(__xludf.DUMMYFUNCTION("""COMPUTED_VALUE"""),2.55)</f>
        <v>2.55</v>
      </c>
      <c r="J456" s="2">
        <f>IFERROR(__xludf.DUMMYFUNCTION("""COMPUTED_VALUE"""),1.7999999999999998)</f>
        <v>1.8</v>
      </c>
      <c r="K456" s="5">
        <f>IFERROR(__xludf.DUMMYFUNCTION("""COMPUTED_VALUE"""),2.4)</f>
        <v>2.4</v>
      </c>
      <c r="L456">
        <f>IFERROR(__xludf.DUMMYFUNCTION("""COMPUTED_VALUE"""),83084.0)</f>
        <v>83084</v>
      </c>
      <c r="M456" t="str">
        <f>IFERROR(__xludf.DUMMYFUNCTION("""COMPUTED_VALUE"""),"Kitchen")</f>
        <v>Kitchen</v>
      </c>
      <c r="O456" t="str">
        <f>IFERROR(__xludf.DUMMYFUNCTION("""COMPUTED_VALUE"""),"Y")</f>
        <v>Y</v>
      </c>
      <c r="P456" s="1" t="str">
        <f>IFERROR(__xludf.DUMMYFUNCTION("""COMPUTED_VALUE"""),"ID 4201")</f>
        <v>ID 4201</v>
      </c>
      <c r="Q456" s="1" t="str">
        <f>IFERROR(__xludf.DUMMYFUNCTION("""COMPUTED_VALUE"""),"B00E80I0F0")</f>
        <v>B00E80I0F0</v>
      </c>
    </row>
    <row r="457">
      <c r="A457" s="6">
        <f>IFERROR(__xludf.DUMMYFUNCTION("""COMPUTED_VALUE"""),45369.0)</f>
        <v>45369</v>
      </c>
      <c r="B457">
        <f>IFERROR(__xludf.DUMMYFUNCTION("""COMPUTED_VALUE"""),21929.0)</f>
        <v>21929</v>
      </c>
      <c r="C457" t="str">
        <f>IFERROR(__xludf.DUMMYFUNCTION("""COMPUTED_VALUE"""),"PRANG be-be Jumbo Crayons for Small Children, Washable, Includes Sharpener, Assorted Colors, 10-Pack (73010),Large")</f>
        <v>PRANG be-be Jumbo Crayons for Small Children, Washable, Includes Sharpener, Assorted Colors, 10-Pack (73010),Large</v>
      </c>
      <c r="D457" t="str">
        <f>IFERROR(__xludf.DUMMYFUNCTION("""COMPUTED_VALUE"""),"B01717RK8O")</f>
        <v>B01717RK8O</v>
      </c>
      <c r="E457" t="str">
        <f>IFERROR(__xludf.DUMMYFUNCTION("""COMPUTED_VALUE"""),"072067730107")</f>
        <v>072067730107</v>
      </c>
      <c r="F457">
        <f>IFERROR(__xludf.DUMMYFUNCTION("""COMPUTED_VALUE"""),1440.0)</f>
        <v>1440</v>
      </c>
      <c r="G457">
        <f>IFERROR(__xludf.DUMMYFUNCTION("""COMPUTED_VALUE"""),10000.0)</f>
        <v>10000</v>
      </c>
      <c r="H457" s="2">
        <f>IFERROR(__xludf.DUMMYFUNCTION("""COMPUTED_VALUE"""),2.75)</f>
        <v>2.75</v>
      </c>
      <c r="I457" s="2">
        <f>IFERROR(__xludf.DUMMYFUNCTION("""COMPUTED_VALUE"""),4.55)</f>
        <v>4.55</v>
      </c>
      <c r="J457" s="2">
        <f>IFERROR(__xludf.DUMMYFUNCTION("""COMPUTED_VALUE"""),1.7999999999999998)</f>
        <v>1.8</v>
      </c>
      <c r="K457" s="5">
        <f>IFERROR(__xludf.DUMMYFUNCTION("""COMPUTED_VALUE"""),0.6545454545454544)</f>
        <v>0.6545454545</v>
      </c>
      <c r="L457">
        <f>IFERROR(__xludf.DUMMYFUNCTION("""COMPUTED_VALUE"""),89201.0)</f>
        <v>89201</v>
      </c>
      <c r="M457" t="str">
        <f>IFERROR(__xludf.DUMMYFUNCTION("""COMPUTED_VALUE"""),"BISS")</f>
        <v>BISS</v>
      </c>
      <c r="N457" t="str">
        <f>IFERROR(__xludf.DUMMYFUNCTION("""COMPUTED_VALUE"""),"2023 Close-out Pricing")</f>
        <v>2023 Close-out Pricing</v>
      </c>
      <c r="O457" t="str">
        <f>IFERROR(__xludf.DUMMYFUNCTION("""COMPUTED_VALUE"""),"Y")</f>
        <v>Y</v>
      </c>
      <c r="P457" s="1" t="str">
        <f>IFERROR(__xludf.DUMMYFUNCTION("""COMPUTED_VALUE"""),"ID 21929")</f>
        <v>ID 21929</v>
      </c>
      <c r="Q457" s="1" t="str">
        <f>IFERROR(__xludf.DUMMYFUNCTION("""COMPUTED_VALUE"""),"B01717RK8O")</f>
        <v>B01717RK8O</v>
      </c>
    </row>
    <row r="458">
      <c r="A458" s="6">
        <f>IFERROR(__xludf.DUMMYFUNCTION("""COMPUTED_VALUE"""),45376.0)</f>
        <v>45376</v>
      </c>
      <c r="B458">
        <f>IFERROR(__xludf.DUMMYFUNCTION("""COMPUTED_VALUE"""),25864.0)</f>
        <v>25864</v>
      </c>
      <c r="C458" t="str">
        <f>IFERROR(__xludf.DUMMYFUNCTION("""COMPUTED_VALUE"""),"PRANG Refill Pans for Oval Watercolor Paint Set, 12 Pans per Box, Blue Violet (00816)")</f>
        <v>PRANG Refill Pans for Oval Watercolor Paint Set, 12 Pans per Box, Blue Violet (00816)</v>
      </c>
      <c r="D458" t="str">
        <f>IFERROR(__xludf.DUMMYFUNCTION("""COMPUTED_VALUE"""),"B0050A60J0")</f>
        <v>B0050A60J0</v>
      </c>
      <c r="E458" t="str">
        <f>IFERROR(__xludf.DUMMYFUNCTION("""COMPUTED_VALUE"""),"072067008169")</f>
        <v>072067008169</v>
      </c>
      <c r="F458">
        <f>IFERROR(__xludf.DUMMYFUNCTION("""COMPUTED_VALUE"""),816.0)</f>
        <v>816</v>
      </c>
      <c r="G458">
        <f>IFERROR(__xludf.DUMMYFUNCTION("""COMPUTED_VALUE"""),10000.0)</f>
        <v>10000</v>
      </c>
      <c r="H458" s="2">
        <f>IFERROR(__xludf.DUMMYFUNCTION("""COMPUTED_VALUE"""),4.5)</f>
        <v>4.5</v>
      </c>
      <c r="I458" s="2">
        <f>IFERROR(__xludf.DUMMYFUNCTION("""COMPUTED_VALUE"""),6.3)</f>
        <v>6.3</v>
      </c>
      <c r="J458" s="2">
        <f>IFERROR(__xludf.DUMMYFUNCTION("""COMPUTED_VALUE"""),1.7999999999999998)</f>
        <v>1.8</v>
      </c>
      <c r="K458" s="5">
        <f>IFERROR(__xludf.DUMMYFUNCTION("""COMPUTED_VALUE"""),0.39999999999999997)</f>
        <v>0.4</v>
      </c>
      <c r="L458">
        <f>IFERROR(__xludf.DUMMYFUNCTION("""COMPUTED_VALUE"""),19115.0)</f>
        <v>19115</v>
      </c>
      <c r="M458" t="str">
        <f>IFERROR(__xludf.DUMMYFUNCTION("""COMPUTED_VALUE"""),"Office Product")</f>
        <v>Office Product</v>
      </c>
      <c r="O458" t="str">
        <f>IFERROR(__xludf.DUMMYFUNCTION("""COMPUTED_VALUE"""),"N")</f>
        <v>N</v>
      </c>
      <c r="P458" s="1" t="str">
        <f>IFERROR(__xludf.DUMMYFUNCTION("""COMPUTED_VALUE"""),"ID 25864")</f>
        <v>ID 25864</v>
      </c>
      <c r="Q458" s="1" t="str">
        <f>IFERROR(__xludf.DUMMYFUNCTION("""COMPUTED_VALUE"""),"B0050A60J0")</f>
        <v>B0050A60J0</v>
      </c>
    </row>
    <row r="459">
      <c r="A459" s="6">
        <f>IFERROR(__xludf.DUMMYFUNCTION("""COMPUTED_VALUE"""),44937.0)</f>
        <v>44937</v>
      </c>
      <c r="B459">
        <f>IFERROR(__xludf.DUMMYFUNCTION("""COMPUTED_VALUE"""),23994.0)</f>
        <v>23994</v>
      </c>
      <c r="C459" t="str">
        <f>IFERROR(__xludf.DUMMYFUNCTION("""COMPUTED_VALUE"""),"Milky Way Mini 1pk 6 Ct 3.36 Oz")</f>
        <v>Milky Way Mini 1pk 6 Ct 3.36 Oz</v>
      </c>
      <c r="D459" t="str">
        <f>IFERROR(__xludf.DUMMYFUNCTION("""COMPUTED_VALUE"""),"B0157F5AIY")</f>
        <v>B0157F5AIY</v>
      </c>
      <c r="E459" t="str">
        <f>IFERROR(__xludf.DUMMYFUNCTION("""COMPUTED_VALUE"""),"040000464266")</f>
        <v>040000464266</v>
      </c>
      <c r="F459">
        <f>IFERROR(__xludf.DUMMYFUNCTION("""COMPUTED_VALUE"""),936.0)</f>
        <v>936</v>
      </c>
      <c r="G459">
        <f>IFERROR(__xludf.DUMMYFUNCTION("""COMPUTED_VALUE"""),10000.0)</f>
        <v>10000</v>
      </c>
      <c r="H459" s="2">
        <f>IFERROR(__xludf.DUMMYFUNCTION("""COMPUTED_VALUE"""),1.5)</f>
        <v>1.5</v>
      </c>
      <c r="I459" s="2">
        <f>IFERROR(__xludf.DUMMYFUNCTION("""COMPUTED_VALUE"""),3.29)</f>
        <v>3.29</v>
      </c>
      <c r="J459" s="2">
        <f>IFERROR(__xludf.DUMMYFUNCTION("""COMPUTED_VALUE"""),1.79)</f>
        <v>1.79</v>
      </c>
      <c r="K459" s="5">
        <f>IFERROR(__xludf.DUMMYFUNCTION("""COMPUTED_VALUE"""),1.1933333333333334)</f>
        <v>1.193333333</v>
      </c>
      <c r="L459">
        <f>IFERROR(__xludf.DUMMYFUNCTION("""COMPUTED_VALUE"""),30715.0)</f>
        <v>30715</v>
      </c>
      <c r="M459" t="str">
        <f>IFERROR(__xludf.DUMMYFUNCTION("""COMPUTED_VALUE"""),"Grocery")</f>
        <v>Grocery</v>
      </c>
      <c r="O459" t="str">
        <f>IFERROR(__xludf.DUMMYFUNCTION("""COMPUTED_VALUE"""),"N")</f>
        <v>N</v>
      </c>
      <c r="P459" s="1" t="str">
        <f>IFERROR(__xludf.DUMMYFUNCTION("""COMPUTED_VALUE"""),"ID 23994")</f>
        <v>ID 23994</v>
      </c>
      <c r="Q459" s="1" t="str">
        <f>IFERROR(__xludf.DUMMYFUNCTION("""COMPUTED_VALUE"""),"B0157F5AIY")</f>
        <v>B0157F5AIY</v>
      </c>
    </row>
    <row r="460">
      <c r="A460" s="6">
        <f>IFERROR(__xludf.DUMMYFUNCTION("""COMPUTED_VALUE"""),45376.0)</f>
        <v>45376</v>
      </c>
      <c r="B460">
        <f>IFERROR(__xludf.DUMMYFUNCTION("""COMPUTED_VALUE"""),2739.0)</f>
        <v>2739</v>
      </c>
      <c r="C460" t="str">
        <f>IFERROR(__xludf.DUMMYFUNCTION("""COMPUTED_VALUE"""),"Treasure Chest/Red-Black")</f>
        <v>Treasure Chest/Red-Black</v>
      </c>
      <c r="D460" t="str">
        <f>IFERROR(__xludf.DUMMYFUNCTION("""COMPUTED_VALUE"""),"B005L4J9T8")</f>
        <v>B005L4J9T8</v>
      </c>
      <c r="E460" t="str">
        <f>IFERROR(__xludf.DUMMYFUNCTION("""COMPUTED_VALUE"""),"049392277751")</f>
        <v>049392277751</v>
      </c>
      <c r="F460">
        <f>IFERROR(__xludf.DUMMYFUNCTION("""COMPUTED_VALUE"""),156.0)</f>
        <v>156</v>
      </c>
      <c r="G460">
        <f>IFERROR(__xludf.DUMMYFUNCTION("""COMPUTED_VALUE"""),1748.0)</f>
        <v>1748</v>
      </c>
      <c r="H460" s="2">
        <f>IFERROR(__xludf.DUMMYFUNCTION("""COMPUTED_VALUE"""),8.0)</f>
        <v>8</v>
      </c>
      <c r="I460" s="2">
        <f>IFERROR(__xludf.DUMMYFUNCTION("""COMPUTED_VALUE"""),9.78)</f>
        <v>9.78</v>
      </c>
      <c r="J460" s="2">
        <f>IFERROR(__xludf.DUMMYFUNCTION("""COMPUTED_VALUE"""),1.7799999999999994)</f>
        <v>1.78</v>
      </c>
      <c r="K460" s="5">
        <f>IFERROR(__xludf.DUMMYFUNCTION("""COMPUTED_VALUE"""),0.22249999999999992)</f>
        <v>0.2225</v>
      </c>
      <c r="L460">
        <f>IFERROR(__xludf.DUMMYFUNCTION("""COMPUTED_VALUE"""),54573.0)</f>
        <v>54573</v>
      </c>
      <c r="M460" t="str">
        <f>IFERROR(__xludf.DUMMYFUNCTION("""COMPUTED_VALUE"""),"Toy")</f>
        <v>Toy</v>
      </c>
      <c r="N460" t="str">
        <f>IFERROR(__xludf.DUMMYFUNCTION("""COMPUTED_VALUE"""),"MAP: $18.99. If you violate the MAP pricing, the brand will remove you and require you to return the merchandise at a 50% restocking fee.")</f>
        <v>MAP: $18.99. If you violate the MAP pricing, the brand will remove you and require you to return the merchandise at a 50% restocking fee.</v>
      </c>
      <c r="O460" t="str">
        <f>IFERROR(__xludf.DUMMYFUNCTION("""COMPUTED_VALUE"""),"Y")</f>
        <v>Y</v>
      </c>
      <c r="P460" s="1" t="str">
        <f>IFERROR(__xludf.DUMMYFUNCTION("""COMPUTED_VALUE"""),"ID 2739")</f>
        <v>ID 2739</v>
      </c>
      <c r="Q460" s="1" t="str">
        <f>IFERROR(__xludf.DUMMYFUNCTION("""COMPUTED_VALUE"""),"B005L4J9T8")</f>
        <v>B005L4J9T8</v>
      </c>
    </row>
    <row r="461">
      <c r="A461" s="6">
        <f>IFERROR(__xludf.DUMMYFUNCTION("""COMPUTED_VALUE"""),45364.0)</f>
        <v>45364</v>
      </c>
      <c r="B461">
        <f>IFERROR(__xludf.DUMMYFUNCTION("""COMPUTED_VALUE"""),24148.0)</f>
        <v>24148</v>
      </c>
      <c r="C461" t="str">
        <f>IFERROR(__xludf.DUMMYFUNCTION("""COMPUTED_VALUE"""),"REDIFORM Job Work Order Book, 5 1/2 x 9 1/8, Two Part, 50/Book")</f>
        <v>REDIFORM Job Work Order Book, 5 1/2 x 9 1/8, Two Part, 50/Book</v>
      </c>
      <c r="D461" t="str">
        <f>IFERROR(__xludf.DUMMYFUNCTION("""COMPUTED_VALUE"""),"B0006OKJJ2")</f>
        <v>B0006OKJJ2</v>
      </c>
      <c r="E461" t="str">
        <f>IFERROR(__xludf.DUMMYFUNCTION("""COMPUTED_VALUE"""),"077925014566")</f>
        <v>077925014566</v>
      </c>
      <c r="F461">
        <f>IFERROR(__xludf.DUMMYFUNCTION("""COMPUTED_VALUE"""),240.0)</f>
        <v>240</v>
      </c>
      <c r="G461">
        <f>IFERROR(__xludf.DUMMYFUNCTION("""COMPUTED_VALUE"""),10000.0)</f>
        <v>10000</v>
      </c>
      <c r="H461" s="2">
        <f>IFERROR(__xludf.DUMMYFUNCTION("""COMPUTED_VALUE"""),5.5)</f>
        <v>5.5</v>
      </c>
      <c r="I461" s="2">
        <f>IFERROR(__xludf.DUMMYFUNCTION("""COMPUTED_VALUE"""),7.28)</f>
        <v>7.28</v>
      </c>
      <c r="J461" s="2">
        <f>IFERROR(__xludf.DUMMYFUNCTION("""COMPUTED_VALUE"""),1.7800000000000002)</f>
        <v>1.78</v>
      </c>
      <c r="K461" s="5">
        <f>IFERROR(__xludf.DUMMYFUNCTION("""COMPUTED_VALUE"""),0.32363636363636367)</f>
        <v>0.3236363636</v>
      </c>
      <c r="L461">
        <f>IFERROR(__xludf.DUMMYFUNCTION("""COMPUTED_VALUE"""),85689.0)</f>
        <v>85689</v>
      </c>
      <c r="M461" t="str">
        <f>IFERROR(__xludf.DUMMYFUNCTION("""COMPUTED_VALUE"""),"Office Product")</f>
        <v>Office Product</v>
      </c>
      <c r="O461" t="str">
        <f>IFERROR(__xludf.DUMMYFUNCTION("""COMPUTED_VALUE"""),"N")</f>
        <v>N</v>
      </c>
      <c r="P461" s="1" t="str">
        <f>IFERROR(__xludf.DUMMYFUNCTION("""COMPUTED_VALUE"""),"ID 24148")</f>
        <v>ID 24148</v>
      </c>
      <c r="Q461" s="1" t="str">
        <f>IFERROR(__xludf.DUMMYFUNCTION("""COMPUTED_VALUE"""),"B0006OKJJ2")</f>
        <v>B0006OKJJ2</v>
      </c>
    </row>
    <row r="462">
      <c r="A462" s="6">
        <f>IFERROR(__xludf.DUMMYFUNCTION("""COMPUTED_VALUE"""),45344.0)</f>
        <v>45344</v>
      </c>
      <c r="B462">
        <f>IFERROR(__xludf.DUMMYFUNCTION("""COMPUTED_VALUE"""),8463.0)</f>
        <v>8463</v>
      </c>
      <c r="C462" t="str">
        <f>IFERROR(__xludf.DUMMYFUNCTION("""COMPUTED_VALUE"""),"Etna 3-Panel Leaf Design Metal Pet Gate - Decorative Tri Fold Dog Fence")</f>
        <v>Etna 3-Panel Leaf Design Metal Pet Gate - Decorative Tri Fold Dog Fence</v>
      </c>
      <c r="D462" t="str">
        <f>IFERROR(__xludf.DUMMYFUNCTION("""COMPUTED_VALUE"""),"B07D2JCTZQ")</f>
        <v>B07D2JCTZQ</v>
      </c>
      <c r="E462" t="str">
        <f>IFERROR(__xludf.DUMMYFUNCTION("""COMPUTED_VALUE"""),"084358050948")</f>
        <v>084358050948</v>
      </c>
      <c r="F462">
        <f>IFERROR(__xludf.DUMMYFUNCTION("""COMPUTED_VALUE"""),66.0)</f>
        <v>66</v>
      </c>
      <c r="G462">
        <f>IFERROR(__xludf.DUMMYFUNCTION("""COMPUTED_VALUE"""),342.0)</f>
        <v>342</v>
      </c>
      <c r="H462" s="2">
        <f>IFERROR(__xludf.DUMMYFUNCTION("""COMPUTED_VALUE"""),21.25)</f>
        <v>21.25</v>
      </c>
      <c r="I462" s="2">
        <f>IFERROR(__xludf.DUMMYFUNCTION("""COMPUTED_VALUE"""),23.02)</f>
        <v>23.02</v>
      </c>
      <c r="J462" s="2">
        <f>IFERROR(__xludf.DUMMYFUNCTION("""COMPUTED_VALUE"""),1.7699999999999996)</f>
        <v>1.77</v>
      </c>
      <c r="K462" s="5">
        <f>IFERROR(__xludf.DUMMYFUNCTION("""COMPUTED_VALUE"""),0.08329411764705881)</f>
        <v>0.08329411765</v>
      </c>
      <c r="L462">
        <f>IFERROR(__xludf.DUMMYFUNCTION("""COMPUTED_VALUE"""),34535.0)</f>
        <v>34535</v>
      </c>
      <c r="M462" t="str">
        <f>IFERROR(__xludf.DUMMYFUNCTION("""COMPUTED_VALUE"""),"Pet Products")</f>
        <v>Pet Products</v>
      </c>
      <c r="N462" t="str">
        <f>IFERROR(__xludf.DUMMYFUNCTION("""COMPUTED_VALUE"""),"MAP $38.44. If you violate the MAP pricing the brand may choose to remove you from the listing")</f>
        <v>MAP $38.44. If you violate the MAP pricing the brand may choose to remove you from the listing</v>
      </c>
      <c r="O462" t="str">
        <f>IFERROR(__xludf.DUMMYFUNCTION("""COMPUTED_VALUE"""),"N")</f>
        <v>N</v>
      </c>
      <c r="P462" s="1" t="str">
        <f>IFERROR(__xludf.DUMMYFUNCTION("""COMPUTED_VALUE"""),"ID 8463")</f>
        <v>ID 8463</v>
      </c>
      <c r="Q462" s="1" t="str">
        <f>IFERROR(__xludf.DUMMYFUNCTION("""COMPUTED_VALUE"""),"B07D2JCTZQ")</f>
        <v>B07D2JCTZQ</v>
      </c>
    </row>
    <row r="463">
      <c r="A463" s="6">
        <f>IFERROR(__xludf.DUMMYFUNCTION("""COMPUTED_VALUE"""),45383.0)</f>
        <v>45383</v>
      </c>
      <c r="B463">
        <f>IFERROR(__xludf.DUMMYFUNCTION("""COMPUTED_VALUE"""),23184.0)</f>
        <v>23184</v>
      </c>
      <c r="C463" t="str">
        <f>IFERROR(__xludf.DUMMYFUNCTION("""COMPUTED_VALUE"""),"Zebra F-301 Ballpoint Stainless Steel Retractable Pen, Fine Point, 0.7mm, Black Ink, 4-Count (Packaging May Vary)")</f>
        <v>Zebra F-301 Ballpoint Stainless Steel Retractable Pen, Fine Point, 0.7mm, Black Ink, 4-Count (Packaging May Vary)</v>
      </c>
      <c r="D463" t="str">
        <f>IFERROR(__xludf.DUMMYFUNCTION("""COMPUTED_VALUE"""),"B01N6VIUPS")</f>
        <v>B01N6VIUPS</v>
      </c>
      <c r="E463" t="str">
        <f>IFERROR(__xludf.DUMMYFUNCTION("""COMPUTED_VALUE"""),"045888271142")</f>
        <v>045888271142</v>
      </c>
      <c r="F463">
        <f>IFERROR(__xludf.DUMMYFUNCTION("""COMPUTED_VALUE"""),240.0)</f>
        <v>240</v>
      </c>
      <c r="G463">
        <f>IFERROR(__xludf.DUMMYFUNCTION("""COMPUTED_VALUE"""),10000.0)</f>
        <v>10000</v>
      </c>
      <c r="H463" s="2">
        <f>IFERROR(__xludf.DUMMYFUNCTION("""COMPUTED_VALUE"""),6.25)</f>
        <v>6.25</v>
      </c>
      <c r="I463" s="2">
        <f>IFERROR(__xludf.DUMMYFUNCTION("""COMPUTED_VALUE"""),8.01)</f>
        <v>8.01</v>
      </c>
      <c r="J463" s="2">
        <f>IFERROR(__xludf.DUMMYFUNCTION("""COMPUTED_VALUE"""),1.7599999999999998)</f>
        <v>1.76</v>
      </c>
      <c r="K463" s="5">
        <f>IFERROR(__xludf.DUMMYFUNCTION("""COMPUTED_VALUE"""),0.28159999999999996)</f>
        <v>0.2816</v>
      </c>
      <c r="L463">
        <f>IFERROR(__xludf.DUMMYFUNCTION("""COMPUTED_VALUE"""),486.0)</f>
        <v>486</v>
      </c>
      <c r="M463" t="str">
        <f>IFERROR(__xludf.DUMMYFUNCTION("""COMPUTED_VALUE"""),"Office Product")</f>
        <v>Office Product</v>
      </c>
      <c r="O463" t="str">
        <f>IFERROR(__xludf.DUMMYFUNCTION("""COMPUTED_VALUE"""),"Y")</f>
        <v>Y</v>
      </c>
      <c r="P463" s="1" t="str">
        <f>IFERROR(__xludf.DUMMYFUNCTION("""COMPUTED_VALUE"""),"ID 23184")</f>
        <v>ID 23184</v>
      </c>
      <c r="Q463" s="1" t="str">
        <f>IFERROR(__xludf.DUMMYFUNCTION("""COMPUTED_VALUE"""),"B01N6VIUPS")</f>
        <v>B01N6VIUPS</v>
      </c>
    </row>
    <row r="464">
      <c r="A464" s="6">
        <f>IFERROR(__xludf.DUMMYFUNCTION("""COMPUTED_VALUE"""),45383.0)</f>
        <v>45383</v>
      </c>
      <c r="B464">
        <f>IFERROR(__xludf.DUMMYFUNCTION("""COMPUTED_VALUE"""),23573.0)</f>
        <v>23573</v>
      </c>
      <c r="C464" t="str">
        <f>IFERROR(__xludf.DUMMYFUNCTION("""COMPUTED_VALUE"""),"Zebra Pen Doodler'z Gel Stick Pens")</f>
        <v>Zebra Pen Doodler'z Gel Stick Pens</v>
      </c>
      <c r="D464" t="str">
        <f>IFERROR(__xludf.DUMMYFUNCTION("""COMPUTED_VALUE"""),"B083X6DJXB")</f>
        <v>B083X6DJXB</v>
      </c>
      <c r="E464" t="str">
        <f>IFERROR(__xludf.DUMMYFUNCTION("""COMPUTED_VALUE"""),"045888419704")</f>
        <v>045888419704</v>
      </c>
      <c r="F464">
        <f>IFERROR(__xludf.DUMMYFUNCTION("""COMPUTED_VALUE"""),288.0)</f>
        <v>288</v>
      </c>
      <c r="G464">
        <f>IFERROR(__xludf.DUMMYFUNCTION("""COMPUTED_VALUE"""),10000.0)</f>
        <v>10000</v>
      </c>
      <c r="H464" s="2">
        <f>IFERROR(__xludf.DUMMYFUNCTION("""COMPUTED_VALUE"""),4.25)</f>
        <v>4.25</v>
      </c>
      <c r="I464" s="2">
        <f>IFERROR(__xludf.DUMMYFUNCTION("""COMPUTED_VALUE"""),6.01)</f>
        <v>6.01</v>
      </c>
      <c r="J464" s="2">
        <f>IFERROR(__xludf.DUMMYFUNCTION("""COMPUTED_VALUE"""),1.7599999999999998)</f>
        <v>1.76</v>
      </c>
      <c r="K464" s="5">
        <f>IFERROR(__xludf.DUMMYFUNCTION("""COMPUTED_VALUE"""),0.4141176470588235)</f>
        <v>0.4141176471</v>
      </c>
      <c r="L464">
        <f>IFERROR(__xludf.DUMMYFUNCTION("""COMPUTED_VALUE"""),14875.0)</f>
        <v>14875</v>
      </c>
      <c r="M464" t="str">
        <f>IFERROR(__xludf.DUMMYFUNCTION("""COMPUTED_VALUE"""),"Office Product")</f>
        <v>Office Product</v>
      </c>
      <c r="O464" t="str">
        <f>IFERROR(__xludf.DUMMYFUNCTION("""COMPUTED_VALUE"""),"Y")</f>
        <v>Y</v>
      </c>
      <c r="P464" s="1" t="str">
        <f>IFERROR(__xludf.DUMMYFUNCTION("""COMPUTED_VALUE"""),"ID 23573")</f>
        <v>ID 23573</v>
      </c>
      <c r="Q464" s="1" t="str">
        <f>IFERROR(__xludf.DUMMYFUNCTION("""COMPUTED_VALUE"""),"B083X6DJXB")</f>
        <v>B083X6DJXB</v>
      </c>
    </row>
    <row r="465">
      <c r="A465" s="6">
        <f>IFERROR(__xludf.DUMMYFUNCTION("""COMPUTED_VALUE"""),45113.0)</f>
        <v>45113</v>
      </c>
      <c r="B465">
        <f>IFERROR(__xludf.DUMMYFUNCTION("""COMPUTED_VALUE"""),24668.0)</f>
        <v>24668</v>
      </c>
      <c r="C465" t="str">
        <f>IFERROR(__xludf.DUMMYFUNCTION("""COMPUTED_VALUE"""),"Sharpie Metallic Fine Point Permanent Marker, Assorted Colors, 2-Pack - 1829202")</f>
        <v>Sharpie Metallic Fine Point Permanent Marker, Assorted Colors, 2-Pack - 1829202</v>
      </c>
      <c r="D465" t="str">
        <f>IFERROR(__xludf.DUMMYFUNCTION("""COMPUTED_VALUE"""),"B007SYVP50")</f>
        <v>B007SYVP50</v>
      </c>
      <c r="E465" t="str">
        <f>IFERROR(__xludf.DUMMYFUNCTION("""COMPUTED_VALUE"""),"71641055001")</f>
        <v>71641055001</v>
      </c>
      <c r="F465">
        <f>IFERROR(__xludf.DUMMYFUNCTION("""COMPUTED_VALUE"""),1152.0)</f>
        <v>1152</v>
      </c>
      <c r="G465">
        <f>IFERROR(__xludf.DUMMYFUNCTION("""COMPUTED_VALUE"""),10000.0)</f>
        <v>10000</v>
      </c>
      <c r="H465" s="2">
        <f>IFERROR(__xludf.DUMMYFUNCTION("""COMPUTED_VALUE"""),2.5)</f>
        <v>2.5</v>
      </c>
      <c r="I465" s="2">
        <f>IFERROR(__xludf.DUMMYFUNCTION("""COMPUTED_VALUE"""),4.26)</f>
        <v>4.26</v>
      </c>
      <c r="J465" s="2">
        <f>IFERROR(__xludf.DUMMYFUNCTION("""COMPUTED_VALUE"""),1.7599999999999998)</f>
        <v>1.76</v>
      </c>
      <c r="K465" s="5">
        <f>IFERROR(__xludf.DUMMYFUNCTION("""COMPUTED_VALUE"""),0.704)</f>
        <v>0.704</v>
      </c>
      <c r="L465">
        <f>IFERROR(__xludf.DUMMYFUNCTION("""COMPUTED_VALUE"""),9721.0)</f>
        <v>9721</v>
      </c>
      <c r="M465" t="str">
        <f>IFERROR(__xludf.DUMMYFUNCTION("""COMPUTED_VALUE"""),"Office Product")</f>
        <v>Office Product</v>
      </c>
      <c r="N465"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465" t="str">
        <f>IFERROR(__xludf.DUMMYFUNCTION("""COMPUTED_VALUE"""),"Y")</f>
        <v>Y</v>
      </c>
      <c r="P465" s="1" t="str">
        <f>IFERROR(__xludf.DUMMYFUNCTION("""COMPUTED_VALUE"""),"ID 24668")</f>
        <v>ID 24668</v>
      </c>
      <c r="Q465" s="1" t="str">
        <f>IFERROR(__xludf.DUMMYFUNCTION("""COMPUTED_VALUE"""),"B007SYVP50")</f>
        <v>B007SYVP50</v>
      </c>
    </row>
    <row r="466">
      <c r="A466" s="6">
        <f>IFERROR(__xludf.DUMMYFUNCTION("""COMPUTED_VALUE"""),44739.0)</f>
        <v>44739</v>
      </c>
      <c r="B466">
        <f>IFERROR(__xludf.DUMMYFUNCTION("""COMPUTED_VALUE"""),22849.0)</f>
        <v>22849</v>
      </c>
      <c r="C466" t="str">
        <f>IFERROR(__xludf.DUMMYFUNCTION("""COMPUTED_VALUE"""),"AT-A-GLANCE Telephone &amp; Address Book, 400+ Entries, 2-3/4"" x 4-1/4"", Designer, Color May Vary (8040105)")</f>
        <v>AT-A-GLANCE Telephone &amp; Address Book, 400+ Entries, 2-3/4" x 4-1/4", Designer, Color May Vary (8040105)</v>
      </c>
      <c r="D466" t="str">
        <f>IFERROR(__xludf.DUMMYFUNCTION("""COMPUTED_VALUE"""),"B0876FX3P2")</f>
        <v>B0876FX3P2</v>
      </c>
      <c r="E466" t="str">
        <f>IFERROR(__xludf.DUMMYFUNCTION("""COMPUTED_VALUE"""),"038576446854")</f>
        <v>038576446854</v>
      </c>
      <c r="F466">
        <f>IFERROR(__xludf.DUMMYFUNCTION("""COMPUTED_VALUE"""),384.0)</f>
        <v>384</v>
      </c>
      <c r="G466">
        <f>IFERROR(__xludf.DUMMYFUNCTION("""COMPUTED_VALUE"""),5000.0)</f>
        <v>5000</v>
      </c>
      <c r="H466" s="2">
        <f>IFERROR(__xludf.DUMMYFUNCTION("""COMPUTED_VALUE"""),7.0)</f>
        <v>7</v>
      </c>
      <c r="I466" s="2">
        <f>IFERROR(__xludf.DUMMYFUNCTION("""COMPUTED_VALUE"""),8.75)</f>
        <v>8.75</v>
      </c>
      <c r="J466" s="2">
        <f>IFERROR(__xludf.DUMMYFUNCTION("""COMPUTED_VALUE"""),1.75)</f>
        <v>1.75</v>
      </c>
      <c r="K466" s="5">
        <f>IFERROR(__xludf.DUMMYFUNCTION("""COMPUTED_VALUE"""),0.25)</f>
        <v>0.25</v>
      </c>
      <c r="L466">
        <f>IFERROR(__xludf.DUMMYFUNCTION("""COMPUTED_VALUE"""),57442.0)</f>
        <v>57442</v>
      </c>
      <c r="M466" t="str">
        <f>IFERROR(__xludf.DUMMYFUNCTION("""COMPUTED_VALUE"""),"Office Product")</f>
        <v>Office Product</v>
      </c>
      <c r="O466" t="str">
        <f>IFERROR(__xludf.DUMMYFUNCTION("""COMPUTED_VALUE"""),"N")</f>
        <v>N</v>
      </c>
      <c r="P466" s="1" t="str">
        <f>IFERROR(__xludf.DUMMYFUNCTION("""COMPUTED_VALUE"""),"ID 22849")</f>
        <v>ID 22849</v>
      </c>
      <c r="Q466" s="1" t="str">
        <f>IFERROR(__xludf.DUMMYFUNCTION("""COMPUTED_VALUE"""),"B0876FX3P2")</f>
        <v>B0876FX3P2</v>
      </c>
    </row>
    <row r="467">
      <c r="A467" s="6">
        <f>IFERROR(__xludf.DUMMYFUNCTION("""COMPUTED_VALUE"""),45113.0)</f>
        <v>45113</v>
      </c>
      <c r="B467">
        <f>IFERROR(__xludf.DUMMYFUNCTION("""COMPUTED_VALUE"""),24637.0)</f>
        <v>24637</v>
      </c>
      <c r="C467" t="str">
        <f>IFERROR(__xludf.DUMMYFUNCTION("""COMPUTED_VALUE"""),"Sharpie Metallic Permanent Markers, Fine Point, Gold, 2 Count")</f>
        <v>Sharpie Metallic Permanent Markers, Fine Point, Gold, 2 Count</v>
      </c>
      <c r="D467" t="str">
        <f>IFERROR(__xludf.DUMMYFUNCTION("""COMPUTED_VALUE"""),"B007SYUQ4Q")</f>
        <v>B007SYUQ4Q</v>
      </c>
      <c r="E467" t="str">
        <f>IFERROR(__xludf.DUMMYFUNCTION("""COMPUTED_VALUE"""),"071641052666")</f>
        <v>071641052666</v>
      </c>
      <c r="F467">
        <f>IFERROR(__xludf.DUMMYFUNCTION("""COMPUTED_VALUE"""),1152.0)</f>
        <v>1152</v>
      </c>
      <c r="G467">
        <f>IFERROR(__xludf.DUMMYFUNCTION("""COMPUTED_VALUE"""),10000.0)</f>
        <v>10000</v>
      </c>
      <c r="H467" s="2">
        <f>IFERROR(__xludf.DUMMYFUNCTION("""COMPUTED_VALUE"""),2.5)</f>
        <v>2.5</v>
      </c>
      <c r="I467" s="2">
        <f>IFERROR(__xludf.DUMMYFUNCTION("""COMPUTED_VALUE"""),4.25)</f>
        <v>4.25</v>
      </c>
      <c r="J467" s="2">
        <f>IFERROR(__xludf.DUMMYFUNCTION("""COMPUTED_VALUE"""),1.75)</f>
        <v>1.75</v>
      </c>
      <c r="K467" s="5">
        <f>IFERROR(__xludf.DUMMYFUNCTION("""COMPUTED_VALUE"""),0.7)</f>
        <v>0.7</v>
      </c>
      <c r="L467">
        <f>IFERROR(__xludf.DUMMYFUNCTION("""COMPUTED_VALUE"""),4056.0)</f>
        <v>4056</v>
      </c>
      <c r="M467" t="str">
        <f>IFERROR(__xludf.DUMMYFUNCTION("""COMPUTED_VALUE"""),"Office Product")</f>
        <v>Office Product</v>
      </c>
      <c r="N467"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467" t="str">
        <f>IFERROR(__xludf.DUMMYFUNCTION("""COMPUTED_VALUE"""),"Y")</f>
        <v>Y</v>
      </c>
      <c r="P467" s="1" t="str">
        <f>IFERROR(__xludf.DUMMYFUNCTION("""COMPUTED_VALUE"""),"ID 24637")</f>
        <v>ID 24637</v>
      </c>
      <c r="Q467" s="1" t="str">
        <f>IFERROR(__xludf.DUMMYFUNCTION("""COMPUTED_VALUE"""),"B007SYUQ4Q")</f>
        <v>B007SYUQ4Q</v>
      </c>
    </row>
    <row r="468">
      <c r="A468" s="6">
        <f>IFERROR(__xludf.DUMMYFUNCTION("""COMPUTED_VALUE"""),44627.0)</f>
        <v>44627</v>
      </c>
      <c r="B468">
        <f>IFERROR(__xludf.DUMMYFUNCTION("""COMPUTED_VALUE"""),12745.0)</f>
        <v>12745</v>
      </c>
      <c r="C468" t="str">
        <f>IFERROR(__xludf.DUMMYFUNCTION("""COMPUTED_VALUE"""),"Zippo High Polish Rose Gold Pocket Lighter")</f>
        <v>Zippo High Polish Rose Gold Pocket Lighter</v>
      </c>
      <c r="D468" t="str">
        <f>IFERROR(__xludf.DUMMYFUNCTION("""COMPUTED_VALUE"""),"B084PRP4RC")</f>
        <v>B084PRP4RC</v>
      </c>
      <c r="E468" t="str">
        <f>IFERROR(__xludf.DUMMYFUNCTION("""COMPUTED_VALUE"""),"191693148183")</f>
        <v>191693148183</v>
      </c>
      <c r="F468">
        <f>IFERROR(__xludf.DUMMYFUNCTION("""COMPUTED_VALUE"""),180.0)</f>
        <v>180</v>
      </c>
      <c r="G468">
        <f>IFERROR(__xludf.DUMMYFUNCTION("""COMPUTED_VALUE"""),5000.0)</f>
        <v>5000</v>
      </c>
      <c r="H468" s="2">
        <f>IFERROR(__xludf.DUMMYFUNCTION("""COMPUTED_VALUE"""),13.75)</f>
        <v>13.75</v>
      </c>
      <c r="I468" s="2">
        <f>IFERROR(__xludf.DUMMYFUNCTION("""COMPUTED_VALUE"""),15.49)</f>
        <v>15.49</v>
      </c>
      <c r="J468" s="2">
        <f>IFERROR(__xludf.DUMMYFUNCTION("""COMPUTED_VALUE"""),1.7400000000000002)</f>
        <v>1.74</v>
      </c>
      <c r="K468" s="5">
        <f>IFERROR(__xludf.DUMMYFUNCTION("""COMPUTED_VALUE"""),0.12654545454545457)</f>
        <v>0.1265454545</v>
      </c>
      <c r="L468">
        <f>IFERROR(__xludf.DUMMYFUNCTION("""COMPUTED_VALUE"""),34518.0)</f>
        <v>34518</v>
      </c>
      <c r="M468" t="str">
        <f>IFERROR(__xludf.DUMMYFUNCTION("""COMPUTED_VALUE"""),"Sports")</f>
        <v>Sports</v>
      </c>
      <c r="O468" t="str">
        <f>IFERROR(__xludf.DUMMYFUNCTION("""COMPUTED_VALUE"""),"Y")</f>
        <v>Y</v>
      </c>
      <c r="P468" s="1" t="str">
        <f>IFERROR(__xludf.DUMMYFUNCTION("""COMPUTED_VALUE"""),"ID 12745")</f>
        <v>ID 12745</v>
      </c>
      <c r="Q468" s="1" t="str">
        <f>IFERROR(__xludf.DUMMYFUNCTION("""COMPUTED_VALUE"""),"B084PRP4RC")</f>
        <v>B084PRP4RC</v>
      </c>
    </row>
    <row r="469">
      <c r="A469" s="6">
        <f>IFERROR(__xludf.DUMMYFUNCTION("""COMPUTED_VALUE"""),45348.0)</f>
        <v>45348</v>
      </c>
      <c r="B469">
        <f>IFERROR(__xludf.DUMMYFUNCTION("""COMPUTED_VALUE"""),19464.0)</f>
        <v>19464</v>
      </c>
      <c r="C469" t="str">
        <f>IFERROR(__xludf.DUMMYFUNCTION("""COMPUTED_VALUE"""),"Ariana Grande Ari Eau de Parfum Spray for Women, 3.4 Fl Oz (Pack of 1)")</f>
        <v>Ariana Grande Ari Eau de Parfum Spray for Women, 3.4 Fl Oz (Pack of 1)</v>
      </c>
      <c r="D469" t="str">
        <f>IFERROR(__xludf.DUMMYFUNCTION("""COMPUTED_VALUE"""),"B015GEQQFW")</f>
        <v>B015GEQQFW</v>
      </c>
      <c r="E469" t="str">
        <f>IFERROR(__xludf.DUMMYFUNCTION("""COMPUTED_VALUE"""),"0812256020301")</f>
        <v>0812256020301</v>
      </c>
      <c r="F469">
        <f>IFERROR(__xludf.DUMMYFUNCTION("""COMPUTED_VALUE"""),40.0)</f>
        <v>40</v>
      </c>
      <c r="G469">
        <f>IFERROR(__xludf.DUMMYFUNCTION("""COMPUTED_VALUE"""),996.0)</f>
        <v>996</v>
      </c>
      <c r="H469" s="2">
        <f>IFERROR(__xludf.DUMMYFUNCTION("""COMPUTED_VALUE"""),33.0)</f>
        <v>33</v>
      </c>
      <c r="I469" s="2">
        <f>IFERROR(__xludf.DUMMYFUNCTION("""COMPUTED_VALUE"""),34.74)</f>
        <v>34.74</v>
      </c>
      <c r="J469" s="2">
        <f>IFERROR(__xludf.DUMMYFUNCTION("""COMPUTED_VALUE"""),1.740000000000002)</f>
        <v>1.74</v>
      </c>
      <c r="K469" s="5">
        <f>IFERROR(__xludf.DUMMYFUNCTION("""COMPUTED_VALUE"""),0.05272727272727279)</f>
        <v>0.05272727273</v>
      </c>
      <c r="L469">
        <f>IFERROR(__xludf.DUMMYFUNCTION("""COMPUTED_VALUE"""),79796.0)</f>
        <v>79796</v>
      </c>
      <c r="M469" t="str">
        <f>IFERROR(__xludf.DUMMYFUNCTION("""COMPUTED_VALUE"""),"Beauty")</f>
        <v>Beauty</v>
      </c>
      <c r="O469" t="str">
        <f>IFERROR(__xludf.DUMMYFUNCTION("""COMPUTED_VALUE"""),"N")</f>
        <v>N</v>
      </c>
      <c r="P469" s="1" t="str">
        <f>IFERROR(__xludf.DUMMYFUNCTION("""COMPUTED_VALUE"""),"ID 19464")</f>
        <v>ID 19464</v>
      </c>
      <c r="Q469" s="1" t="str">
        <f>IFERROR(__xludf.DUMMYFUNCTION("""COMPUTED_VALUE"""),"B015GEQQFW")</f>
        <v>B015GEQQFW</v>
      </c>
    </row>
    <row r="470">
      <c r="A470" s="6">
        <f>IFERROR(__xludf.DUMMYFUNCTION("""COMPUTED_VALUE"""),44522.0)</f>
        <v>44522</v>
      </c>
      <c r="B470">
        <f>IFERROR(__xludf.DUMMYFUNCTION("""COMPUTED_VALUE"""),21474.0)</f>
        <v>21474</v>
      </c>
      <c r="C470" t="str">
        <f>IFERROR(__xludf.DUMMYFUNCTION("""COMPUTED_VALUE"""),"Garnier Nutrisse Nourishing Hair Color Creme, 80 Medium Natural Blonde (Butternut) (Packaging May Vary)")</f>
        <v>Garnier Nutrisse Nourishing Hair Color Creme, 80 Medium Natural Blonde (Butternut) (Packaging May Vary)</v>
      </c>
      <c r="D470" t="str">
        <f>IFERROR(__xludf.DUMMYFUNCTION("""COMPUTED_VALUE"""),"B000OHLWRY")</f>
        <v>B000OHLWRY</v>
      </c>
      <c r="E470" t="str">
        <f>IFERROR(__xludf.DUMMYFUNCTION("""COMPUTED_VALUE"""),"603084242573")</f>
        <v>603084242573</v>
      </c>
      <c r="F470">
        <f>IFERROR(__xludf.DUMMYFUNCTION("""COMPUTED_VALUE"""),588.0)</f>
        <v>588</v>
      </c>
      <c r="G470">
        <f>IFERROR(__xludf.DUMMYFUNCTION("""COMPUTED_VALUE"""),1000.0)</f>
        <v>1000</v>
      </c>
      <c r="H470" s="2">
        <f>IFERROR(__xludf.DUMMYFUNCTION("""COMPUTED_VALUE"""),4.25)</f>
        <v>4.25</v>
      </c>
      <c r="I470" s="2">
        <f>IFERROR(__xludf.DUMMYFUNCTION("""COMPUTED_VALUE"""),5.99)</f>
        <v>5.99</v>
      </c>
      <c r="J470" s="2">
        <f>IFERROR(__xludf.DUMMYFUNCTION("""COMPUTED_VALUE"""),1.7400000000000002)</f>
        <v>1.74</v>
      </c>
      <c r="K470" s="5">
        <f>IFERROR(__xludf.DUMMYFUNCTION("""COMPUTED_VALUE"""),0.4094117647058824)</f>
        <v>0.4094117647</v>
      </c>
      <c r="L470">
        <f>IFERROR(__xludf.DUMMYFUNCTION("""COMPUTED_VALUE"""),8136.0)</f>
        <v>8136</v>
      </c>
      <c r="M470" t="str">
        <f>IFERROR(__xludf.DUMMYFUNCTION("""COMPUTED_VALUE"""),"BISS Basic")</f>
        <v>BISS Basic</v>
      </c>
      <c r="O470" t="str">
        <f>IFERROR(__xludf.DUMMYFUNCTION("""COMPUTED_VALUE"""),"N")</f>
        <v>N</v>
      </c>
      <c r="P470" s="1" t="str">
        <f>IFERROR(__xludf.DUMMYFUNCTION("""COMPUTED_VALUE"""),"ID 21474")</f>
        <v>ID 21474</v>
      </c>
      <c r="Q470" s="1" t="str">
        <f>IFERROR(__xludf.DUMMYFUNCTION("""COMPUTED_VALUE"""),"B000OHLWRY")</f>
        <v>B000OHLWRY</v>
      </c>
    </row>
    <row r="471">
      <c r="A471" s="6">
        <f>IFERROR(__xludf.DUMMYFUNCTION("""COMPUTED_VALUE"""),44494.0)</f>
        <v>44494</v>
      </c>
      <c r="B471">
        <f>IFERROR(__xludf.DUMMYFUNCTION("""COMPUTED_VALUE"""),22768.0)</f>
        <v>22768</v>
      </c>
      <c r="C471" t="str">
        <f>IFERROR(__xludf.DUMMYFUNCTION("""COMPUTED_VALUE"""),"BIC Atlantis Bold Ballpoint Pen, Bold Point (1.6mm), Assorted Colors, 3-Count")</f>
        <v>BIC Atlantis Bold Ballpoint Pen, Bold Point (1.6mm), Assorted Colors, 3-Count</v>
      </c>
      <c r="D471" t="str">
        <f>IFERROR(__xludf.DUMMYFUNCTION("""COMPUTED_VALUE"""),"B01F6B64GQ")</f>
        <v>B01F6B64GQ</v>
      </c>
      <c r="E471" t="str">
        <f>IFERROR(__xludf.DUMMYFUNCTION("""COMPUTED_VALUE"""),"70330518735")</f>
        <v>70330518735</v>
      </c>
      <c r="F471">
        <f>IFERROR(__xludf.DUMMYFUNCTION("""COMPUTED_VALUE"""),460.0)</f>
        <v>460</v>
      </c>
      <c r="G471">
        <f>IFERROR(__xludf.DUMMYFUNCTION("""COMPUTED_VALUE"""),5000.0)</f>
        <v>5000</v>
      </c>
      <c r="H471" s="2">
        <f>IFERROR(__xludf.DUMMYFUNCTION("""COMPUTED_VALUE"""),2.75)</f>
        <v>2.75</v>
      </c>
      <c r="I471" s="2">
        <f>IFERROR(__xludf.DUMMYFUNCTION("""COMPUTED_VALUE"""),4.49)</f>
        <v>4.49</v>
      </c>
      <c r="J471" s="2">
        <f>IFERROR(__xludf.DUMMYFUNCTION("""COMPUTED_VALUE"""),1.7400000000000002)</f>
        <v>1.74</v>
      </c>
      <c r="K471" s="5">
        <f>IFERROR(__xludf.DUMMYFUNCTION("""COMPUTED_VALUE"""),0.6327272727272728)</f>
        <v>0.6327272727</v>
      </c>
      <c r="L471">
        <f>IFERROR(__xludf.DUMMYFUNCTION("""COMPUTED_VALUE"""),54104.0)</f>
        <v>54104</v>
      </c>
      <c r="M471" t="str">
        <f>IFERROR(__xludf.DUMMYFUNCTION("""COMPUTED_VALUE"""),"Office Product")</f>
        <v>Office Product</v>
      </c>
      <c r="O471" t="str">
        <f>IFERROR(__xludf.DUMMYFUNCTION("""COMPUTED_VALUE"""),"N")</f>
        <v>N</v>
      </c>
      <c r="P471" s="1" t="str">
        <f>IFERROR(__xludf.DUMMYFUNCTION("""COMPUTED_VALUE"""),"ID 22768")</f>
        <v>ID 22768</v>
      </c>
      <c r="Q471" s="1" t="str">
        <f>IFERROR(__xludf.DUMMYFUNCTION("""COMPUTED_VALUE"""),"B01F6B64GQ")</f>
        <v>B01F6B64GQ</v>
      </c>
    </row>
    <row r="472">
      <c r="A472" s="6">
        <f>IFERROR(__xludf.DUMMYFUNCTION("""COMPUTED_VALUE"""),45390.0)</f>
        <v>45390</v>
      </c>
      <c r="B472">
        <f>IFERROR(__xludf.DUMMYFUNCTION("""COMPUTED_VALUE"""),10997.0)</f>
        <v>10997</v>
      </c>
      <c r="C472" t="str">
        <f>IFERROR(__xludf.DUMMYFUNCTION("""COMPUTED_VALUE"""),"Chef Craft 13065 Premium Silicone Spatula, 11, Red")</f>
        <v>Chef Craft 13065 Premium Silicone Spatula, 11, Red</v>
      </c>
      <c r="D472" t="str">
        <f>IFERROR(__xludf.DUMMYFUNCTION("""COMPUTED_VALUE"""),"B01BKAUGSE")</f>
        <v>B01BKAUGSE</v>
      </c>
      <c r="E472" t="str">
        <f>IFERROR(__xludf.DUMMYFUNCTION("""COMPUTED_VALUE"""),"085455130656")</f>
        <v>085455130656</v>
      </c>
      <c r="F472">
        <f>IFERROR(__xludf.DUMMYFUNCTION("""COMPUTED_VALUE"""),360.0)</f>
        <v>360</v>
      </c>
      <c r="G472">
        <f>IFERROR(__xludf.DUMMYFUNCTION("""COMPUTED_VALUE"""),10000.0)</f>
        <v>10000</v>
      </c>
      <c r="H472" s="2">
        <f>IFERROR(__xludf.DUMMYFUNCTION("""COMPUTED_VALUE"""),2.75)</f>
        <v>2.75</v>
      </c>
      <c r="I472" s="2">
        <f>IFERROR(__xludf.DUMMYFUNCTION("""COMPUTED_VALUE"""),4.47)</f>
        <v>4.47</v>
      </c>
      <c r="J472" s="2">
        <f>IFERROR(__xludf.DUMMYFUNCTION("""COMPUTED_VALUE"""),1.7199999999999998)</f>
        <v>1.72</v>
      </c>
      <c r="K472" s="5">
        <f>IFERROR(__xludf.DUMMYFUNCTION("""COMPUTED_VALUE"""),0.6254545454545454)</f>
        <v>0.6254545455</v>
      </c>
      <c r="L472">
        <f>IFERROR(__xludf.DUMMYFUNCTION("""COMPUTED_VALUE"""),79647.0)</f>
        <v>79647</v>
      </c>
      <c r="M472" t="str">
        <f>IFERROR(__xludf.DUMMYFUNCTION("""COMPUTED_VALUE"""),"Kitchen")</f>
        <v>Kitchen</v>
      </c>
      <c r="O472" t="str">
        <f>IFERROR(__xludf.DUMMYFUNCTION("""COMPUTED_VALUE"""),"Y")</f>
        <v>Y</v>
      </c>
      <c r="P472" s="1" t="str">
        <f>IFERROR(__xludf.DUMMYFUNCTION("""COMPUTED_VALUE"""),"ID 10997")</f>
        <v>ID 10997</v>
      </c>
      <c r="Q472" s="1" t="str">
        <f>IFERROR(__xludf.DUMMYFUNCTION("""COMPUTED_VALUE"""),"B01BKAUGSE")</f>
        <v>B01BKAUGSE</v>
      </c>
    </row>
    <row r="473">
      <c r="A473" s="6">
        <f>IFERROR(__xludf.DUMMYFUNCTION("""COMPUTED_VALUE"""),45376.0)</f>
        <v>45376</v>
      </c>
      <c r="B473">
        <f>IFERROR(__xludf.DUMMYFUNCTION("""COMPUTED_VALUE"""),17042.0)</f>
        <v>17042</v>
      </c>
      <c r="C473" t="str">
        <f>IFERROR(__xludf.DUMMYFUNCTION("""COMPUTED_VALUE"""),"DIXON Industrial Phano Peel-Off China Markers Pencils, Black, 2-Pack (30771)")</f>
        <v>DIXON Industrial Phano Peel-Off China Markers Pencils, Black, 2-Pack (30771)</v>
      </c>
      <c r="D473" t="str">
        <f>IFERROR(__xludf.DUMMYFUNCTION("""COMPUTED_VALUE"""),"B004LWPJI6")</f>
        <v>B004LWPJI6</v>
      </c>
      <c r="E473" t="str">
        <f>IFERROR(__xludf.DUMMYFUNCTION("""COMPUTED_VALUE"""),"072067307712")</f>
        <v>072067307712</v>
      </c>
      <c r="F473">
        <f>IFERROR(__xludf.DUMMYFUNCTION("""COMPUTED_VALUE"""),2880.0)</f>
        <v>2880</v>
      </c>
      <c r="G473">
        <f>IFERROR(__xludf.DUMMYFUNCTION("""COMPUTED_VALUE"""),10000.0)</f>
        <v>10000</v>
      </c>
      <c r="H473" s="2">
        <f>IFERROR(__xludf.DUMMYFUNCTION("""COMPUTED_VALUE"""),1.5)</f>
        <v>1.5</v>
      </c>
      <c r="I473" s="2">
        <f>IFERROR(__xludf.DUMMYFUNCTION("""COMPUTED_VALUE"""),3.22)</f>
        <v>3.22</v>
      </c>
      <c r="J473" s="2">
        <f>IFERROR(__xludf.DUMMYFUNCTION("""COMPUTED_VALUE"""),1.7200000000000002)</f>
        <v>1.72</v>
      </c>
      <c r="K473" s="5">
        <f>IFERROR(__xludf.DUMMYFUNCTION("""COMPUTED_VALUE"""),1.1466666666666667)</f>
        <v>1.146666667</v>
      </c>
      <c r="L473">
        <f>IFERROR(__xludf.DUMMYFUNCTION("""COMPUTED_VALUE"""),14954.0)</f>
        <v>14954</v>
      </c>
      <c r="M473" t="str">
        <f>IFERROR(__xludf.DUMMYFUNCTION("""COMPUTED_VALUE"""),"Office Product")</f>
        <v>Office Product</v>
      </c>
      <c r="O473" t="str">
        <f>IFERROR(__xludf.DUMMYFUNCTION("""COMPUTED_VALUE"""),"Y")</f>
        <v>Y</v>
      </c>
      <c r="P473" s="1" t="str">
        <f>IFERROR(__xludf.DUMMYFUNCTION("""COMPUTED_VALUE"""),"ID 17042")</f>
        <v>ID 17042</v>
      </c>
      <c r="Q473" s="1" t="str">
        <f>IFERROR(__xludf.DUMMYFUNCTION("""COMPUTED_VALUE"""),"B004LWPJI6")</f>
        <v>B004LWPJI6</v>
      </c>
    </row>
    <row r="474">
      <c r="A474" s="6">
        <f>IFERROR(__xludf.DUMMYFUNCTION("""COMPUTED_VALUE"""),45364.0)</f>
        <v>45364</v>
      </c>
      <c r="B474">
        <f>IFERROR(__xludf.DUMMYFUNCTION("""COMPUTED_VALUE"""),22373.0)</f>
        <v>22373</v>
      </c>
      <c r="C474" t="str">
        <f>IFERROR(__xludf.DUMMYFUNCTION("""COMPUTED_VALUE"""),"National Engingeering and Science Notebook, 10 x 10 Quad and College Ruling, Gray Cover, 11"" x 8.5"", 60 Sheets (33610)")</f>
        <v>National Engingeering and Science Notebook, 10 x 10 Quad and College Ruling, Gray Cover, 11" x 8.5", 60 Sheets (33610)</v>
      </c>
      <c r="D474" t="str">
        <f>IFERROR(__xludf.DUMMYFUNCTION("""COMPUTED_VALUE"""),"B001E69X52")</f>
        <v>B001E69X52</v>
      </c>
      <c r="E474" t="str">
        <f>IFERROR(__xludf.DUMMYFUNCTION("""COMPUTED_VALUE"""),"073333336108")</f>
        <v>073333336108</v>
      </c>
      <c r="F474">
        <f>IFERROR(__xludf.DUMMYFUNCTION("""COMPUTED_VALUE"""),216.0)</f>
        <v>216</v>
      </c>
      <c r="G474">
        <f>IFERROR(__xludf.DUMMYFUNCTION("""COMPUTED_VALUE"""),10000.0)</f>
        <v>10000</v>
      </c>
      <c r="H474" s="2">
        <f>IFERROR(__xludf.DUMMYFUNCTION("""COMPUTED_VALUE"""),6.25)</f>
        <v>6.25</v>
      </c>
      <c r="I474" s="2">
        <f>IFERROR(__xludf.DUMMYFUNCTION("""COMPUTED_VALUE"""),7.97)</f>
        <v>7.97</v>
      </c>
      <c r="J474" s="2">
        <f>IFERROR(__xludf.DUMMYFUNCTION("""COMPUTED_VALUE"""),1.7199999999999998)</f>
        <v>1.72</v>
      </c>
      <c r="K474" s="5">
        <f>IFERROR(__xludf.DUMMYFUNCTION("""COMPUTED_VALUE"""),0.27519999999999994)</f>
        <v>0.2752</v>
      </c>
      <c r="L474">
        <f>IFERROR(__xludf.DUMMYFUNCTION("""COMPUTED_VALUE"""),44371.0)</f>
        <v>44371</v>
      </c>
      <c r="M474" t="str">
        <f>IFERROR(__xludf.DUMMYFUNCTION("""COMPUTED_VALUE"""),"Office Product")</f>
        <v>Office Product</v>
      </c>
      <c r="O474" t="str">
        <f>IFERROR(__xludf.DUMMYFUNCTION("""COMPUTED_VALUE"""),"Y")</f>
        <v>Y</v>
      </c>
      <c r="P474" s="1" t="str">
        <f>IFERROR(__xludf.DUMMYFUNCTION("""COMPUTED_VALUE"""),"ID 22373")</f>
        <v>ID 22373</v>
      </c>
      <c r="Q474" s="1" t="str">
        <f>IFERROR(__xludf.DUMMYFUNCTION("""COMPUTED_VALUE"""),"B001E69X52")</f>
        <v>B001E69X52</v>
      </c>
    </row>
    <row r="475">
      <c r="A475" s="6">
        <f>IFERROR(__xludf.DUMMYFUNCTION("""COMPUTED_VALUE"""),45070.0)</f>
        <v>45070</v>
      </c>
      <c r="B475">
        <f>IFERROR(__xludf.DUMMYFUNCTION("""COMPUTED_VALUE"""),23276.0)</f>
        <v>23276</v>
      </c>
      <c r="C475" t="str">
        <f>IFERROR(__xludf.DUMMYFUNCTION("""COMPUTED_VALUE"""),"TICONDEROGA RediMark+ Plus Low Odor Permanent Markers, Chisel Tip, Assorted Colors, 4 Count, (X95040)")</f>
        <v>TICONDEROGA RediMark+ Plus Low Odor Permanent Markers, Chisel Tip, Assorted Colors, 4 Count, (X95040)</v>
      </c>
      <c r="D475" t="str">
        <f>IFERROR(__xludf.DUMMYFUNCTION("""COMPUTED_VALUE"""),"B004SYZFIG")</f>
        <v>B004SYZFIG</v>
      </c>
      <c r="E475" t="str">
        <f>IFERROR(__xludf.DUMMYFUNCTION("""COMPUTED_VALUE"""),"072067950406")</f>
        <v>072067950406</v>
      </c>
      <c r="F475">
        <f>IFERROR(__xludf.DUMMYFUNCTION("""COMPUTED_VALUE"""),936.0)</f>
        <v>936</v>
      </c>
      <c r="G475">
        <f>IFERROR(__xludf.DUMMYFUNCTION("""COMPUTED_VALUE"""),8780.0)</f>
        <v>8780</v>
      </c>
      <c r="H475" s="2">
        <f>IFERROR(__xludf.DUMMYFUNCTION("""COMPUTED_VALUE"""),3.5)</f>
        <v>3.5</v>
      </c>
      <c r="I475" s="2">
        <f>IFERROR(__xludf.DUMMYFUNCTION("""COMPUTED_VALUE"""),5.22)</f>
        <v>5.22</v>
      </c>
      <c r="J475" s="2">
        <f>IFERROR(__xludf.DUMMYFUNCTION("""COMPUTED_VALUE"""),1.7199999999999998)</f>
        <v>1.72</v>
      </c>
      <c r="K475" s="5">
        <f>IFERROR(__xludf.DUMMYFUNCTION("""COMPUTED_VALUE"""),0.4914285714285714)</f>
        <v>0.4914285714</v>
      </c>
      <c r="L475">
        <f>IFERROR(__xludf.DUMMYFUNCTION("""COMPUTED_VALUE"""),86553.0)</f>
        <v>86553</v>
      </c>
      <c r="M475" t="str">
        <f>IFERROR(__xludf.DUMMYFUNCTION("""COMPUTED_VALUE"""),"Office Product")</f>
        <v>Office Product</v>
      </c>
      <c r="N475" t="str">
        <f>IFERROR(__xludf.DUMMYFUNCTION("""COMPUTED_VALUE"""),"2022 Close-out Pricing")</f>
        <v>2022 Close-out Pricing</v>
      </c>
      <c r="O475" t="str">
        <f>IFERROR(__xludf.DUMMYFUNCTION("""COMPUTED_VALUE"""),"N")</f>
        <v>N</v>
      </c>
      <c r="P475" s="1" t="str">
        <f>IFERROR(__xludf.DUMMYFUNCTION("""COMPUTED_VALUE"""),"ID 23276")</f>
        <v>ID 23276</v>
      </c>
      <c r="Q475" s="1" t="str">
        <f>IFERROR(__xludf.DUMMYFUNCTION("""COMPUTED_VALUE"""),"B004SYZFIG")</f>
        <v>B004SYZFIG</v>
      </c>
    </row>
    <row r="476">
      <c r="A476" s="6">
        <f>IFERROR(__xludf.DUMMYFUNCTION("""COMPUTED_VALUE"""),45357.0)</f>
        <v>45357</v>
      </c>
      <c r="B476">
        <f>IFERROR(__xludf.DUMMYFUNCTION("""COMPUTED_VALUE"""),22335.0)</f>
        <v>22335</v>
      </c>
      <c r="C476" t="str">
        <f>IFERROR(__xludf.DUMMYFUNCTION("""COMPUTED_VALUE"""),"PILOT Acroball Colors Advanced Ink Refillable &amp; Retractable Ball Point Pens, Medium Point, Black/Blue/Red/Green/Purple Inks, 5-Pack (31820)")</f>
        <v>PILOT Acroball Colors Advanced Ink Refillable &amp; Retractable Ball Point Pens, Medium Point, Black/Blue/Red/Green/Purple Inks, 5-Pack (31820)</v>
      </c>
      <c r="D476" t="str">
        <f>IFERROR(__xludf.DUMMYFUNCTION("""COMPUTED_VALUE"""),"B00B7QW9TG")</f>
        <v>B00B7QW9TG</v>
      </c>
      <c r="E476" t="str">
        <f>IFERROR(__xludf.DUMMYFUNCTION("""COMPUTED_VALUE"""),"072838318206")</f>
        <v>072838318206</v>
      </c>
      <c r="F476">
        <f>IFERROR(__xludf.DUMMYFUNCTION("""COMPUTED_VALUE"""),240.0)</f>
        <v>240</v>
      </c>
      <c r="G476">
        <f>IFERROR(__xludf.DUMMYFUNCTION("""COMPUTED_VALUE"""),10000.0)</f>
        <v>10000</v>
      </c>
      <c r="H476" s="2">
        <f>IFERROR(__xludf.DUMMYFUNCTION("""COMPUTED_VALUE"""),5.5)</f>
        <v>5.5</v>
      </c>
      <c r="I476" s="2">
        <f>IFERROR(__xludf.DUMMYFUNCTION("""COMPUTED_VALUE"""),7.21)</f>
        <v>7.21</v>
      </c>
      <c r="J476" s="2">
        <f>IFERROR(__xludf.DUMMYFUNCTION("""COMPUTED_VALUE"""),1.71)</f>
        <v>1.71</v>
      </c>
      <c r="K476" s="5">
        <f>IFERROR(__xludf.DUMMYFUNCTION("""COMPUTED_VALUE"""),0.3109090909090909)</f>
        <v>0.3109090909</v>
      </c>
      <c r="L476">
        <f>IFERROR(__xludf.DUMMYFUNCTION("""COMPUTED_VALUE"""),9726.0)</f>
        <v>9726</v>
      </c>
      <c r="M476" t="str">
        <f>IFERROR(__xludf.DUMMYFUNCTION("""COMPUTED_VALUE"""),"Office Product")</f>
        <v>Office Product</v>
      </c>
      <c r="N476" t="str">
        <f>IFERROR(__xludf.DUMMYFUNCTION("""COMPUTED_VALUE"""),"Styling/Packaging may vary")</f>
        <v>Styling/Packaging may vary</v>
      </c>
      <c r="O476" t="str">
        <f>IFERROR(__xludf.DUMMYFUNCTION("""COMPUTED_VALUE"""),"Y")</f>
        <v>Y</v>
      </c>
      <c r="P476" s="1" t="str">
        <f>IFERROR(__xludf.DUMMYFUNCTION("""COMPUTED_VALUE"""),"ID 22335")</f>
        <v>ID 22335</v>
      </c>
      <c r="Q476" s="1" t="str">
        <f>IFERROR(__xludf.DUMMYFUNCTION("""COMPUTED_VALUE"""),"B00B7QW9TG")</f>
        <v>B00B7QW9TG</v>
      </c>
    </row>
    <row r="477">
      <c r="A477" s="6">
        <f>IFERROR(__xludf.DUMMYFUNCTION("""COMPUTED_VALUE"""),45425.0)</f>
        <v>45425</v>
      </c>
      <c r="B477">
        <f>IFERROR(__xludf.DUMMYFUNCTION("""COMPUTED_VALUE"""),5141.0)</f>
        <v>5141</v>
      </c>
      <c r="C477" t="str">
        <f>IFERROR(__xludf.DUMMYFUNCTION("""COMPUTED_VALUE"""),"Playtex Angled Nipple, Fast Flow, 2-Count")</f>
        <v>Playtex Angled Nipple, Fast Flow, 2-Count</v>
      </c>
      <c r="D477" t="str">
        <f>IFERROR(__xludf.DUMMYFUNCTION("""COMPUTED_VALUE"""),"B00FZGLV4I")</f>
        <v>B00FZGLV4I</v>
      </c>
      <c r="E477" t="str">
        <f>IFERROR(__xludf.DUMMYFUNCTION("""COMPUTED_VALUE"""),"078300040897")</f>
        <v>078300040897</v>
      </c>
      <c r="F477">
        <f>IFERROR(__xludf.DUMMYFUNCTION("""COMPUTED_VALUE"""),2784.0)</f>
        <v>2784</v>
      </c>
      <c r="G477">
        <f>IFERROR(__xludf.DUMMYFUNCTION("""COMPUTED_VALUE"""),12000.0)</f>
        <v>12000</v>
      </c>
      <c r="H477" s="2">
        <f>IFERROR(__xludf.DUMMYFUNCTION("""COMPUTED_VALUE"""),0.5)</f>
        <v>0.5</v>
      </c>
      <c r="I477" s="2">
        <f>IFERROR(__xludf.DUMMYFUNCTION("""COMPUTED_VALUE"""),2.21)</f>
        <v>2.21</v>
      </c>
      <c r="J477" s="2">
        <f>IFERROR(__xludf.DUMMYFUNCTION("""COMPUTED_VALUE"""),1.71)</f>
        <v>1.71</v>
      </c>
      <c r="K477" s="5">
        <f>IFERROR(__xludf.DUMMYFUNCTION("""COMPUTED_VALUE"""),3.42)</f>
        <v>3.42</v>
      </c>
      <c r="L477">
        <f>IFERROR(__xludf.DUMMYFUNCTION("""COMPUTED_VALUE"""),53896.0)</f>
        <v>53896</v>
      </c>
      <c r="M477" t="str">
        <f>IFERROR(__xludf.DUMMYFUNCTION("""COMPUTED_VALUE"""),"Baby Product")</f>
        <v>Baby Product</v>
      </c>
      <c r="O477" t="str">
        <f>IFERROR(__xludf.DUMMYFUNCTION("""COMPUTED_VALUE"""),"N")</f>
        <v>N</v>
      </c>
      <c r="P477" s="1" t="str">
        <f>IFERROR(__xludf.DUMMYFUNCTION("""COMPUTED_VALUE"""),"ID 5141")</f>
        <v>ID 5141</v>
      </c>
      <c r="Q477" s="1" t="str">
        <f>IFERROR(__xludf.DUMMYFUNCTION("""COMPUTED_VALUE"""),"B00FZGLV4I")</f>
        <v>B00FZGLV4I</v>
      </c>
    </row>
    <row r="478">
      <c r="A478" s="6">
        <f>IFERROR(__xludf.DUMMYFUNCTION("""COMPUTED_VALUE"""),44941.0)</f>
        <v>44941</v>
      </c>
      <c r="B478">
        <f>IFERROR(__xludf.DUMMYFUNCTION("""COMPUTED_VALUE"""),24622.0)</f>
        <v>24622</v>
      </c>
      <c r="C478" t="str">
        <f>IFERROR(__xludf.DUMMYFUNCTION("""COMPUTED_VALUE"""),"Parker Jotter Originals Ballpoint Pen, Classic White Finish, Medium Point, Blue Ink, 1 Count")</f>
        <v>Parker Jotter Originals Ballpoint Pen, Classic White Finish, Medium Point, Blue Ink, 1 Count</v>
      </c>
      <c r="D478" t="str">
        <f>IFERROR(__xludf.DUMMYFUNCTION("""COMPUTED_VALUE"""),"B07RXG6PTX")</f>
        <v>B07RXG6PTX</v>
      </c>
      <c r="E478" t="str">
        <f>IFERROR(__xludf.DUMMYFUNCTION("""COMPUTED_VALUE"""),"3026980968748")</f>
        <v>3026980968748</v>
      </c>
      <c r="F478">
        <f>IFERROR(__xludf.DUMMYFUNCTION("""COMPUTED_VALUE"""),618.0)</f>
        <v>618</v>
      </c>
      <c r="G478">
        <f>IFERROR(__xludf.DUMMYFUNCTION("""COMPUTED_VALUE"""),1000.0)</f>
        <v>1000</v>
      </c>
      <c r="H478" s="2">
        <f>IFERROR(__xludf.DUMMYFUNCTION("""COMPUTED_VALUE"""),5.0)</f>
        <v>5</v>
      </c>
      <c r="I478" s="2">
        <f>IFERROR(__xludf.DUMMYFUNCTION("""COMPUTED_VALUE"""),6.71)</f>
        <v>6.71</v>
      </c>
      <c r="J478" s="2">
        <f>IFERROR(__xludf.DUMMYFUNCTION("""COMPUTED_VALUE"""),1.71)</f>
        <v>1.71</v>
      </c>
      <c r="K478" s="5">
        <f>IFERROR(__xludf.DUMMYFUNCTION("""COMPUTED_VALUE"""),0.34199999999999997)</f>
        <v>0.342</v>
      </c>
      <c r="L478">
        <f>IFERROR(__xludf.DUMMYFUNCTION("""COMPUTED_VALUE"""),5439.0)</f>
        <v>5439</v>
      </c>
      <c r="M478" t="str">
        <f>IFERROR(__xludf.DUMMYFUNCTION("""COMPUTED_VALUE"""),"Office Product")</f>
        <v>Office Product</v>
      </c>
      <c r="O478" t="str">
        <f>IFERROR(__xludf.DUMMYFUNCTION("""COMPUTED_VALUE"""),"Y")</f>
        <v>Y</v>
      </c>
      <c r="P478" s="1" t="str">
        <f>IFERROR(__xludf.DUMMYFUNCTION("""COMPUTED_VALUE"""),"ID 24622")</f>
        <v>ID 24622</v>
      </c>
      <c r="Q478" s="1" t="str">
        <f>IFERROR(__xludf.DUMMYFUNCTION("""COMPUTED_VALUE"""),"B07RXG6PTX")</f>
        <v>B07RXG6PTX</v>
      </c>
    </row>
    <row r="479">
      <c r="A479" s="6">
        <f>IFERROR(__xludf.DUMMYFUNCTION("""COMPUTED_VALUE"""),45390.0)</f>
        <v>45390</v>
      </c>
      <c r="B479">
        <f>IFERROR(__xludf.DUMMYFUNCTION("""COMPUTED_VALUE"""),4137.0)</f>
        <v>4137</v>
      </c>
      <c r="C479" t="str">
        <f>IFERROR(__xludf.DUMMYFUNCTION("""COMPUTED_VALUE"""),"Chef Craft Stainless Steel Slotted Turner, 9-1/2-Inch")</f>
        <v>Chef Craft Stainless Steel Slotted Turner, 9-1/2-Inch</v>
      </c>
      <c r="D479" t="str">
        <f>IFERROR(__xludf.DUMMYFUNCTION("""COMPUTED_VALUE"""),"B001C26PUY")</f>
        <v>B001C26PUY</v>
      </c>
      <c r="E479" t="str">
        <f>IFERROR(__xludf.DUMMYFUNCTION("""COMPUTED_VALUE"""),"085455101106")</f>
        <v>085455101106</v>
      </c>
      <c r="F479">
        <f>IFERROR(__xludf.DUMMYFUNCTION("""COMPUTED_VALUE"""),864.0)</f>
        <v>864</v>
      </c>
      <c r="G479">
        <f>IFERROR(__xludf.DUMMYFUNCTION("""COMPUTED_VALUE"""),10000.0)</f>
        <v>10000</v>
      </c>
      <c r="H479" s="2">
        <f>IFERROR(__xludf.DUMMYFUNCTION("""COMPUTED_VALUE"""),1.25)</f>
        <v>1.25</v>
      </c>
      <c r="I479" s="2">
        <f>IFERROR(__xludf.DUMMYFUNCTION("""COMPUTED_VALUE"""),2.95)</f>
        <v>2.95</v>
      </c>
      <c r="J479" s="2">
        <f>IFERROR(__xludf.DUMMYFUNCTION("""COMPUTED_VALUE"""),1.7000000000000002)</f>
        <v>1.7</v>
      </c>
      <c r="K479" s="5">
        <f>IFERROR(__xludf.DUMMYFUNCTION("""COMPUTED_VALUE"""),1.36)</f>
        <v>1.36</v>
      </c>
      <c r="L479">
        <f>IFERROR(__xludf.DUMMYFUNCTION("""COMPUTED_VALUE"""),5697.0)</f>
        <v>5697</v>
      </c>
      <c r="M479" t="str">
        <f>IFERROR(__xludf.DUMMYFUNCTION("""COMPUTED_VALUE"""),"Kitchen")</f>
        <v>Kitchen</v>
      </c>
      <c r="O479" t="str">
        <f>IFERROR(__xludf.DUMMYFUNCTION("""COMPUTED_VALUE"""),"Y")</f>
        <v>Y</v>
      </c>
      <c r="P479" s="1" t="str">
        <f>IFERROR(__xludf.DUMMYFUNCTION("""COMPUTED_VALUE"""),"ID 4137")</f>
        <v>ID 4137</v>
      </c>
      <c r="Q479" s="1" t="str">
        <f>IFERROR(__xludf.DUMMYFUNCTION("""COMPUTED_VALUE"""),"B001C26PUY")</f>
        <v>B001C26PUY</v>
      </c>
    </row>
    <row r="480">
      <c r="A480" s="6">
        <f>IFERROR(__xludf.DUMMYFUNCTION("""COMPUTED_VALUE"""),44628.0)</f>
        <v>44628</v>
      </c>
      <c r="B480">
        <f>IFERROR(__xludf.DUMMYFUNCTION("""COMPUTED_VALUE"""),19307.0)</f>
        <v>19307</v>
      </c>
      <c r="C480" t="str">
        <f>IFERROR(__xludf.DUMMYFUNCTION("""COMPUTED_VALUE"""),"Cinco Linko, A Strategy Board Game You Can Learn in 30 Seconds or Less")</f>
        <v>Cinco Linko, A Strategy Board Game You Can Learn in 30 Seconds or Less</v>
      </c>
      <c r="D480" t="str">
        <f>IFERROR(__xludf.DUMMYFUNCTION("""COMPUTED_VALUE"""),"B07HFPFBQ9")</f>
        <v>B07HFPFBQ9</v>
      </c>
      <c r="F480">
        <f>IFERROR(__xludf.DUMMYFUNCTION("""COMPUTED_VALUE"""),720.0)</f>
        <v>720</v>
      </c>
      <c r="G480">
        <f>IFERROR(__xludf.DUMMYFUNCTION("""COMPUTED_VALUE"""),1443.0)</f>
        <v>1443</v>
      </c>
      <c r="H480" s="2">
        <f>IFERROR(__xludf.DUMMYFUNCTION("""COMPUTED_VALUE"""),6.0)</f>
        <v>6</v>
      </c>
      <c r="I480" s="2">
        <f>IFERROR(__xludf.DUMMYFUNCTION("""COMPUTED_VALUE"""),7.7)</f>
        <v>7.7</v>
      </c>
      <c r="J480" s="2">
        <f>IFERROR(__xludf.DUMMYFUNCTION("""COMPUTED_VALUE"""),1.7000000000000002)</f>
        <v>1.7</v>
      </c>
      <c r="K480" s="5">
        <f>IFERROR(__xludf.DUMMYFUNCTION("""COMPUTED_VALUE"""),0.2833333333333334)</f>
        <v>0.2833333333</v>
      </c>
      <c r="L480">
        <f>IFERROR(__xludf.DUMMYFUNCTION("""COMPUTED_VALUE"""),19534.0)</f>
        <v>19534</v>
      </c>
      <c r="M480" t="str">
        <f>IFERROR(__xludf.DUMMYFUNCTION("""COMPUTED_VALUE"""),"Toy")</f>
        <v>Toy</v>
      </c>
      <c r="O480" t="str">
        <f>IFERROR(__xludf.DUMMYFUNCTION("""COMPUTED_VALUE"""),"N")</f>
        <v>N</v>
      </c>
      <c r="P480" s="1" t="str">
        <f>IFERROR(__xludf.DUMMYFUNCTION("""COMPUTED_VALUE"""),"ID 19307")</f>
        <v>ID 19307</v>
      </c>
      <c r="Q480" s="1" t="str">
        <f>IFERROR(__xludf.DUMMYFUNCTION("""COMPUTED_VALUE"""),"B07HFPFBQ9")</f>
        <v>B07HFPFBQ9</v>
      </c>
    </row>
    <row r="481">
      <c r="A481" s="6">
        <f>IFERROR(__xludf.DUMMYFUNCTION("""COMPUTED_VALUE"""),45001.0)</f>
        <v>45001</v>
      </c>
      <c r="B481">
        <f>IFERROR(__xludf.DUMMYFUNCTION("""COMPUTED_VALUE"""),22754.0)</f>
        <v>22754</v>
      </c>
      <c r="C481" t="str">
        <f>IFERROR(__xludf.DUMMYFUNCTION("""COMPUTED_VALUE"""),"Alliance Rubber 96335 Advantage Rubber Bands Size #33, 1 lb Box Contains Approx. 600 Bands (3 1/2"" x 1/8"", Red)")</f>
        <v>Alliance Rubber 96335 Advantage Rubber Bands Size #33, 1 lb Box Contains Approx. 600 Bands (3 1/2" x 1/8", Red)</v>
      </c>
      <c r="D481" t="str">
        <f>IFERROR(__xludf.DUMMYFUNCTION("""COMPUTED_VALUE"""),"B008X09RY4")</f>
        <v>B008X09RY4</v>
      </c>
      <c r="E481" t="str">
        <f>IFERROR(__xludf.DUMMYFUNCTION("""COMPUTED_VALUE"""),"71815963354")</f>
        <v>71815963354</v>
      </c>
      <c r="F481">
        <f>IFERROR(__xludf.DUMMYFUNCTION("""COMPUTED_VALUE"""),270.0)</f>
        <v>270</v>
      </c>
      <c r="G481">
        <f>IFERROR(__xludf.DUMMYFUNCTION("""COMPUTED_VALUE"""),10000.0)</f>
        <v>10000</v>
      </c>
      <c r="H481" s="2">
        <f>IFERROR(__xludf.DUMMYFUNCTION("""COMPUTED_VALUE"""),4.5)</f>
        <v>4.5</v>
      </c>
      <c r="I481" s="2">
        <f>IFERROR(__xludf.DUMMYFUNCTION("""COMPUTED_VALUE"""),6.2)</f>
        <v>6.2</v>
      </c>
      <c r="J481" s="2">
        <f>IFERROR(__xludf.DUMMYFUNCTION("""COMPUTED_VALUE"""),1.7000000000000002)</f>
        <v>1.7</v>
      </c>
      <c r="K481" s="5">
        <f>IFERROR(__xludf.DUMMYFUNCTION("""COMPUTED_VALUE"""),0.3777777777777778)</f>
        <v>0.3777777778</v>
      </c>
      <c r="L481">
        <f>IFERROR(__xludf.DUMMYFUNCTION("""COMPUTED_VALUE"""),1056.0)</f>
        <v>1056</v>
      </c>
      <c r="M481" t="str">
        <f>IFERROR(__xludf.DUMMYFUNCTION("""COMPUTED_VALUE"""),"Office Product")</f>
        <v>Office Product</v>
      </c>
      <c r="O481" t="str">
        <f>IFERROR(__xludf.DUMMYFUNCTION("""COMPUTED_VALUE"""),"Y")</f>
        <v>Y</v>
      </c>
      <c r="P481" s="1" t="str">
        <f>IFERROR(__xludf.DUMMYFUNCTION("""COMPUTED_VALUE"""),"ID 22754")</f>
        <v>ID 22754</v>
      </c>
      <c r="Q481" s="1" t="str">
        <f>IFERROR(__xludf.DUMMYFUNCTION("""COMPUTED_VALUE"""),"B008X09RY4")</f>
        <v>B008X09RY4</v>
      </c>
    </row>
    <row r="482">
      <c r="A482" s="6">
        <f>IFERROR(__xludf.DUMMYFUNCTION("""COMPUTED_VALUE"""),45399.0)</f>
        <v>45399</v>
      </c>
      <c r="B482">
        <f>IFERROR(__xludf.DUMMYFUNCTION("""COMPUTED_VALUE"""),9081.0)</f>
        <v>9081</v>
      </c>
      <c r="C482" t="str">
        <f>IFERROR(__xludf.DUMMYFUNCTION("""COMPUTED_VALUE"""),"Disney Frozen Learn The Alphabet Workbook")</f>
        <v>Disney Frozen Learn The Alphabet Workbook</v>
      </c>
      <c r="D482" t="str">
        <f>IFERROR(__xludf.DUMMYFUNCTION("""COMPUTED_VALUE"""),"B017QHB8E6")</f>
        <v>B017QHB8E6</v>
      </c>
      <c r="E482" t="str">
        <f>IFERROR(__xludf.DUMMYFUNCTION("""COMPUTED_VALUE"""),"805219551028")</f>
        <v>805219551028</v>
      </c>
      <c r="F482">
        <f>IFERROR(__xludf.DUMMYFUNCTION("""COMPUTED_VALUE"""),1476.0)</f>
        <v>1476</v>
      </c>
      <c r="G482">
        <f>IFERROR(__xludf.DUMMYFUNCTION("""COMPUTED_VALUE"""),5674.0)</f>
        <v>5674</v>
      </c>
      <c r="H482" s="2">
        <f>IFERROR(__xludf.DUMMYFUNCTION("""COMPUTED_VALUE"""),1.0)</f>
        <v>1</v>
      </c>
      <c r="I482" s="2">
        <f>IFERROR(__xludf.DUMMYFUNCTION("""COMPUTED_VALUE"""),2.7)</f>
        <v>2.7</v>
      </c>
      <c r="J482" s="2">
        <f>IFERROR(__xludf.DUMMYFUNCTION("""COMPUTED_VALUE"""),1.7000000000000002)</f>
        <v>1.7</v>
      </c>
      <c r="K482" s="5">
        <f>IFERROR(__xludf.DUMMYFUNCTION("""COMPUTED_VALUE"""),1.7000000000000002)</f>
        <v>1.7</v>
      </c>
      <c r="L482">
        <f>IFERROR(__xludf.DUMMYFUNCTION("""COMPUTED_VALUE"""),69307.0)</f>
        <v>69307</v>
      </c>
      <c r="M482" t="str">
        <f>IFERROR(__xludf.DUMMYFUNCTION("""COMPUTED_VALUE"""),"Office Product")</f>
        <v>Office Product</v>
      </c>
      <c r="O482" t="str">
        <f>IFERROR(__xludf.DUMMYFUNCTION("""COMPUTED_VALUE"""),"N")</f>
        <v>N</v>
      </c>
      <c r="P482" s="1" t="str">
        <f>IFERROR(__xludf.DUMMYFUNCTION("""COMPUTED_VALUE"""),"ID 9081")</f>
        <v>ID 9081</v>
      </c>
      <c r="Q482" s="1" t="str">
        <f>IFERROR(__xludf.DUMMYFUNCTION("""COMPUTED_VALUE"""),"B017QHB8E6")</f>
        <v>B017QHB8E6</v>
      </c>
    </row>
    <row r="483">
      <c r="A483" s="6">
        <f>IFERROR(__xludf.DUMMYFUNCTION("""COMPUTED_VALUE"""),45421.0)</f>
        <v>45421</v>
      </c>
      <c r="B483">
        <f>IFERROR(__xludf.DUMMYFUNCTION("""COMPUTED_VALUE"""),25652.0)</f>
        <v>25652</v>
      </c>
      <c r="C483" t="str">
        <f>IFERROR(__xludf.DUMMYFUNCTION("""COMPUTED_VALUE"""),"Grumbacher Pre-Tested Oil Paint, 37ml/1.25 oz., Perylene Red (P315G)")</f>
        <v>Grumbacher Pre-Tested Oil Paint, 37ml/1.25 oz., Perylene Red (P315G)</v>
      </c>
      <c r="D483" t="str">
        <f>IFERROR(__xludf.DUMMYFUNCTION("""COMPUTED_VALUE"""),"B00NG0IDN2")</f>
        <v>B00NG0IDN2</v>
      </c>
      <c r="E483" t="str">
        <f>IFERROR(__xludf.DUMMYFUNCTION("""COMPUTED_VALUE"""),"014173399410")</f>
        <v>014173399410</v>
      </c>
      <c r="F483">
        <f>IFERROR(__xludf.DUMMYFUNCTION("""COMPUTED_VALUE"""),180.0)</f>
        <v>180</v>
      </c>
      <c r="G483">
        <f>IFERROR(__xludf.DUMMYFUNCTION("""COMPUTED_VALUE"""),10000.0)</f>
        <v>10000</v>
      </c>
      <c r="H483" s="2">
        <f>IFERROR(__xludf.DUMMYFUNCTION("""COMPUTED_VALUE"""),12.25)</f>
        <v>12.25</v>
      </c>
      <c r="I483" s="2">
        <f>IFERROR(__xludf.DUMMYFUNCTION("""COMPUTED_VALUE"""),13.95)</f>
        <v>13.95</v>
      </c>
      <c r="J483" s="2">
        <f>IFERROR(__xludf.DUMMYFUNCTION("""COMPUTED_VALUE"""),1.6999999999999993)</f>
        <v>1.7</v>
      </c>
      <c r="K483" s="5">
        <f>IFERROR(__xludf.DUMMYFUNCTION("""COMPUTED_VALUE"""),0.13877551020408158)</f>
        <v>0.1387755102</v>
      </c>
      <c r="L483">
        <f>IFERROR(__xludf.DUMMYFUNCTION("""COMPUTED_VALUE"""),66822.0)</f>
        <v>66822</v>
      </c>
      <c r="M483" t="str">
        <f>IFERROR(__xludf.DUMMYFUNCTION("""COMPUTED_VALUE"""),"Office Product")</f>
        <v>Office Product</v>
      </c>
      <c r="O483" t="str">
        <f>IFERROR(__xludf.DUMMYFUNCTION("""COMPUTED_VALUE"""),"Y")</f>
        <v>Y</v>
      </c>
      <c r="P483" s="1" t="str">
        <f>IFERROR(__xludf.DUMMYFUNCTION("""COMPUTED_VALUE"""),"ID 25652")</f>
        <v>ID 25652</v>
      </c>
      <c r="Q483" s="1" t="str">
        <f>IFERROR(__xludf.DUMMYFUNCTION("""COMPUTED_VALUE"""),"B00NG0IDN2")</f>
        <v>B00NG0IDN2</v>
      </c>
    </row>
    <row r="484">
      <c r="A484" s="6">
        <f>IFERROR(__xludf.DUMMYFUNCTION("""COMPUTED_VALUE"""),45429.0)</f>
        <v>45429</v>
      </c>
      <c r="B484">
        <f>IFERROR(__xludf.DUMMYFUNCTION("""COMPUTED_VALUE"""),13122.0)</f>
        <v>13122</v>
      </c>
      <c r="C484" t="str">
        <f>IFERROR(__xludf.DUMMYFUNCTION("""COMPUTED_VALUE"""),"First Aid Only 7-600 6 Piece Eye Wash Kit")</f>
        <v>First Aid Only 7-600 6 Piece Eye Wash Kit</v>
      </c>
      <c r="D484" t="str">
        <f>IFERROR(__xludf.DUMMYFUNCTION("""COMPUTED_VALUE"""),"B002A64SI2")</f>
        <v>B002A64SI2</v>
      </c>
      <c r="E484" t="str">
        <f>IFERROR(__xludf.DUMMYFUNCTION("""COMPUTED_VALUE"""),"738743076005")</f>
        <v>738743076005</v>
      </c>
      <c r="F484">
        <f>IFERROR(__xludf.DUMMYFUNCTION("""COMPUTED_VALUE"""),216.0)</f>
        <v>216</v>
      </c>
      <c r="G484">
        <f>IFERROR(__xludf.DUMMYFUNCTION("""COMPUTED_VALUE"""),10000.0)</f>
        <v>10000</v>
      </c>
      <c r="H484" s="2">
        <f>IFERROR(__xludf.DUMMYFUNCTION("""COMPUTED_VALUE"""),6.25)</f>
        <v>6.25</v>
      </c>
      <c r="I484" s="2">
        <f>IFERROR(__xludf.DUMMYFUNCTION("""COMPUTED_VALUE"""),7.94)</f>
        <v>7.94</v>
      </c>
      <c r="J484" s="2">
        <f>IFERROR(__xludf.DUMMYFUNCTION("""COMPUTED_VALUE"""),1.6900000000000004)</f>
        <v>1.69</v>
      </c>
      <c r="K484" s="5">
        <f>IFERROR(__xludf.DUMMYFUNCTION("""COMPUTED_VALUE"""),0.2704000000000001)</f>
        <v>0.2704</v>
      </c>
      <c r="L484">
        <f>IFERROR(__xludf.DUMMYFUNCTION("""COMPUTED_VALUE"""),4836.0)</f>
        <v>4836</v>
      </c>
      <c r="M484" t="str">
        <f>IFERROR(__xludf.DUMMYFUNCTION("""COMPUTED_VALUE"""),"Health and Beauty")</f>
        <v>Health and Beauty</v>
      </c>
      <c r="O484" t="str">
        <f>IFERROR(__xludf.DUMMYFUNCTION("""COMPUTED_VALUE"""),"Y")</f>
        <v>Y</v>
      </c>
      <c r="P484" s="1" t="str">
        <f>IFERROR(__xludf.DUMMYFUNCTION("""COMPUTED_VALUE"""),"ID 13122")</f>
        <v>ID 13122</v>
      </c>
      <c r="Q484" s="1" t="str">
        <f>IFERROR(__xludf.DUMMYFUNCTION("""COMPUTED_VALUE"""),"B002A64SI2")</f>
        <v>B002A64SI2</v>
      </c>
    </row>
    <row r="485">
      <c r="A485" s="6">
        <f>IFERROR(__xludf.DUMMYFUNCTION("""COMPUTED_VALUE"""),45232.0)</f>
        <v>45232</v>
      </c>
      <c r="B485">
        <f>IFERROR(__xludf.DUMMYFUNCTION("""COMPUTED_VALUE"""),14013.0)</f>
        <v>14013</v>
      </c>
      <c r="C485" t="str">
        <f>IFERROR(__xludf.DUMMYFUNCTION("""COMPUTED_VALUE"""),"BIC 4-Color 3+1 Ballpoint Pen and Pencil, Medium Point (1.0 mm), 0.7mm Lead, Assorted Inks, 1-Count")</f>
        <v>BIC 4-Color 3+1 Ballpoint Pen and Pencil, Medium Point (1.0 mm), 0.7mm Lead, Assorted Inks, 1-Count</v>
      </c>
      <c r="D485" t="str">
        <f>IFERROR(__xludf.DUMMYFUNCTION("""COMPUTED_VALUE"""),"B01N7W7KU8")</f>
        <v>B01N7W7KU8</v>
      </c>
      <c r="E485" t="str">
        <f>IFERROR(__xludf.DUMMYFUNCTION("""COMPUTED_VALUE"""),"070330522749")</f>
        <v>070330522749</v>
      </c>
      <c r="F485">
        <f>IFERROR(__xludf.DUMMYFUNCTION("""COMPUTED_VALUE"""),360.0)</f>
        <v>360</v>
      </c>
      <c r="G485">
        <f>IFERROR(__xludf.DUMMYFUNCTION("""COMPUTED_VALUE"""),10000.0)</f>
        <v>10000</v>
      </c>
      <c r="H485" s="2">
        <f>IFERROR(__xludf.DUMMYFUNCTION("""COMPUTED_VALUE"""),3.75)</f>
        <v>3.75</v>
      </c>
      <c r="I485" s="2">
        <f>IFERROR(__xludf.DUMMYFUNCTION("""COMPUTED_VALUE"""),5.44)</f>
        <v>5.44</v>
      </c>
      <c r="J485" s="2">
        <f>IFERROR(__xludf.DUMMYFUNCTION("""COMPUTED_VALUE"""),1.6900000000000004)</f>
        <v>1.69</v>
      </c>
      <c r="K485" s="5">
        <f>IFERROR(__xludf.DUMMYFUNCTION("""COMPUTED_VALUE"""),0.45066666666666677)</f>
        <v>0.4506666667</v>
      </c>
      <c r="L485">
        <f>IFERROR(__xludf.DUMMYFUNCTION("""COMPUTED_VALUE"""),587.0)</f>
        <v>587</v>
      </c>
      <c r="M485" t="str">
        <f>IFERROR(__xludf.DUMMYFUNCTION("""COMPUTED_VALUE"""),"Office Product")</f>
        <v>Office Product</v>
      </c>
      <c r="O485" t="str">
        <f>IFERROR(__xludf.DUMMYFUNCTION("""COMPUTED_VALUE"""),"Y")</f>
        <v>Y</v>
      </c>
      <c r="P485" s="1" t="str">
        <f>IFERROR(__xludf.DUMMYFUNCTION("""COMPUTED_VALUE"""),"ID 14013")</f>
        <v>ID 14013</v>
      </c>
      <c r="Q485" s="1" t="str">
        <f>IFERROR(__xludf.DUMMYFUNCTION("""COMPUTED_VALUE"""),"B01N7W7KU8")</f>
        <v>B01N7W7KU8</v>
      </c>
    </row>
    <row r="486">
      <c r="A486" s="6">
        <f>IFERROR(__xludf.DUMMYFUNCTION("""COMPUTED_VALUE"""),45390.0)</f>
        <v>45390</v>
      </c>
      <c r="B486">
        <f>IFERROR(__xludf.DUMMYFUNCTION("""COMPUTED_VALUE"""),18390.0)</f>
        <v>18390</v>
      </c>
      <c r="C486" t="str">
        <f>IFERROR(__xludf.DUMMYFUNCTION("""COMPUTED_VALUE"""),"Chef Craft 4 Piece Paring Knife Set")</f>
        <v>Chef Craft 4 Piece Paring Knife Set</v>
      </c>
      <c r="D486" t="str">
        <f>IFERROR(__xludf.DUMMYFUNCTION("""COMPUTED_VALUE"""),"B000LLZPTY")</f>
        <v>B000LLZPTY</v>
      </c>
      <c r="E486" t="str">
        <f>IFERROR(__xludf.DUMMYFUNCTION("""COMPUTED_VALUE"""),"085455209802")</f>
        <v>085455209802</v>
      </c>
      <c r="F486">
        <f>IFERROR(__xludf.DUMMYFUNCTION("""COMPUTED_VALUE"""),864.0)</f>
        <v>864</v>
      </c>
      <c r="G486">
        <f>IFERROR(__xludf.DUMMYFUNCTION("""COMPUTED_VALUE"""),10000.0)</f>
        <v>10000</v>
      </c>
      <c r="H486" s="2">
        <f>IFERROR(__xludf.DUMMYFUNCTION("""COMPUTED_VALUE"""),1.25)</f>
        <v>1.25</v>
      </c>
      <c r="I486" s="2">
        <f>IFERROR(__xludf.DUMMYFUNCTION("""COMPUTED_VALUE"""),2.94)</f>
        <v>2.94</v>
      </c>
      <c r="J486" s="2">
        <f>IFERROR(__xludf.DUMMYFUNCTION("""COMPUTED_VALUE"""),1.69)</f>
        <v>1.69</v>
      </c>
      <c r="K486" s="5">
        <f>IFERROR(__xludf.DUMMYFUNCTION("""COMPUTED_VALUE"""),1.3519999999999999)</f>
        <v>1.352</v>
      </c>
      <c r="L486">
        <f>IFERROR(__xludf.DUMMYFUNCTION("""COMPUTED_VALUE"""),58435.0)</f>
        <v>58435</v>
      </c>
      <c r="M486" t="str">
        <f>IFERROR(__xludf.DUMMYFUNCTION("""COMPUTED_VALUE"""),"Kitchen")</f>
        <v>Kitchen</v>
      </c>
      <c r="O486" t="str">
        <f>IFERROR(__xludf.DUMMYFUNCTION("""COMPUTED_VALUE"""),"Y")</f>
        <v>Y</v>
      </c>
      <c r="P486" s="1" t="str">
        <f>IFERROR(__xludf.DUMMYFUNCTION("""COMPUTED_VALUE"""),"ID 18390")</f>
        <v>ID 18390</v>
      </c>
      <c r="Q486" s="1" t="str">
        <f>IFERROR(__xludf.DUMMYFUNCTION("""COMPUTED_VALUE"""),"B000LLZPTY")</f>
        <v>B000LLZPTY</v>
      </c>
    </row>
    <row r="487">
      <c r="A487" s="6">
        <f>IFERROR(__xludf.DUMMYFUNCTION("""COMPUTED_VALUE"""),45153.0)</f>
        <v>45153</v>
      </c>
      <c r="B487">
        <f>IFERROR(__xludf.DUMMYFUNCTION("""COMPUTED_VALUE"""),16952.0)</f>
        <v>16952</v>
      </c>
      <c r="C487" t="str">
        <f>IFERROR(__xludf.DUMMYFUNCTION("""COMPUTED_VALUE"""),"Revlon Fire and Ice for Women Cologne Spray, 0.5 Fl Oz")</f>
        <v>Revlon Fire and Ice for Women Cologne Spray, 0.5 Fl Oz</v>
      </c>
      <c r="D487" t="str">
        <f>IFERROR(__xludf.DUMMYFUNCTION("""COMPUTED_VALUE"""),"B004K0L0NC")</f>
        <v>B004K0L0NC</v>
      </c>
      <c r="E487" t="str">
        <f>IFERROR(__xludf.DUMMYFUNCTION("""COMPUTED_VALUE"""),"309973112056")</f>
        <v>309973112056</v>
      </c>
      <c r="F487">
        <f>IFERROR(__xludf.DUMMYFUNCTION("""COMPUTED_VALUE"""),336.0)</f>
        <v>336</v>
      </c>
      <c r="G487">
        <f>IFERROR(__xludf.DUMMYFUNCTION("""COMPUTED_VALUE"""),10000.0)</f>
        <v>10000</v>
      </c>
      <c r="H487" s="2">
        <f>IFERROR(__xludf.DUMMYFUNCTION("""COMPUTED_VALUE"""),3.75)</f>
        <v>3.75</v>
      </c>
      <c r="I487" s="2">
        <f>IFERROR(__xludf.DUMMYFUNCTION("""COMPUTED_VALUE"""),5.44)</f>
        <v>5.44</v>
      </c>
      <c r="J487" s="2">
        <f>IFERROR(__xludf.DUMMYFUNCTION("""COMPUTED_VALUE"""),1.6900000000000004)</f>
        <v>1.69</v>
      </c>
      <c r="K487" s="5">
        <f>IFERROR(__xludf.DUMMYFUNCTION("""COMPUTED_VALUE"""),0.45066666666666677)</f>
        <v>0.4506666667</v>
      </c>
      <c r="L487">
        <f>IFERROR(__xludf.DUMMYFUNCTION("""COMPUTED_VALUE"""),90375.0)</f>
        <v>90375</v>
      </c>
      <c r="M487" t="str">
        <f>IFERROR(__xludf.DUMMYFUNCTION("""COMPUTED_VALUE"""),"Beauty")</f>
        <v>Beauty</v>
      </c>
      <c r="O487" t="str">
        <f>IFERROR(__xludf.DUMMYFUNCTION("""COMPUTED_VALUE"""),"Y")</f>
        <v>Y</v>
      </c>
      <c r="P487" s="1" t="str">
        <f>IFERROR(__xludf.DUMMYFUNCTION("""COMPUTED_VALUE"""),"ID 16952")</f>
        <v>ID 16952</v>
      </c>
      <c r="Q487" s="1" t="str">
        <f>IFERROR(__xludf.DUMMYFUNCTION("""COMPUTED_VALUE"""),"B004K0L0NC")</f>
        <v>B004K0L0NC</v>
      </c>
    </row>
    <row r="488">
      <c r="A488" s="6">
        <f>IFERROR(__xludf.DUMMYFUNCTION("""COMPUTED_VALUE"""),43993.0)</f>
        <v>43993</v>
      </c>
      <c r="B488">
        <f>IFERROR(__xludf.DUMMYFUNCTION("""COMPUTED_VALUE"""),11232.0)</f>
        <v>11232</v>
      </c>
      <c r="C488" t="str">
        <f>IFERROR(__xludf.DUMMYFUNCTION("""COMPUTED_VALUE"""),"Revlon Super Lustrous Lipstick, Smoked Peach")</f>
        <v>Revlon Super Lustrous Lipstick, Smoked Peach</v>
      </c>
      <c r="D488" t="str">
        <f>IFERROR(__xludf.DUMMYFUNCTION("""COMPUTED_VALUE"""),"B01LPRV8WA")</f>
        <v>B01LPRV8WA</v>
      </c>
      <c r="E488" t="str">
        <f>IFERROR(__xludf.DUMMYFUNCTION("""COMPUTED_VALUE"""),"309971415135")</f>
        <v>309971415135</v>
      </c>
      <c r="F488">
        <f>IFERROR(__xludf.DUMMYFUNCTION("""COMPUTED_VALUE"""),864.0)</f>
        <v>864</v>
      </c>
      <c r="G488">
        <f>IFERROR(__xludf.DUMMYFUNCTION("""COMPUTED_VALUE"""),1440.0)</f>
        <v>1440</v>
      </c>
      <c r="H488" s="2">
        <f>IFERROR(__xludf.DUMMYFUNCTION("""COMPUTED_VALUE"""),1.5)</f>
        <v>1.5</v>
      </c>
      <c r="I488" s="2">
        <f>IFERROR(__xludf.DUMMYFUNCTION("""COMPUTED_VALUE"""),3.18)</f>
        <v>3.18</v>
      </c>
      <c r="J488" s="2">
        <f>IFERROR(__xludf.DUMMYFUNCTION("""COMPUTED_VALUE"""),1.6800000000000002)</f>
        <v>1.68</v>
      </c>
      <c r="K488" s="5">
        <f>IFERROR(__xludf.DUMMYFUNCTION("""COMPUTED_VALUE"""),1.12)</f>
        <v>1.12</v>
      </c>
      <c r="L488">
        <f>IFERROR(__xludf.DUMMYFUNCTION("""COMPUTED_VALUE"""),263.0)</f>
        <v>263</v>
      </c>
      <c r="M488" t="str">
        <f>IFERROR(__xludf.DUMMYFUNCTION("""COMPUTED_VALUE"""),"Beauty")</f>
        <v>Beauty</v>
      </c>
      <c r="O488" t="str">
        <f>IFERROR(__xludf.DUMMYFUNCTION("""COMPUTED_VALUE"""),"N")</f>
        <v>N</v>
      </c>
      <c r="P488" s="1" t="str">
        <f>IFERROR(__xludf.DUMMYFUNCTION("""COMPUTED_VALUE"""),"ID 11232")</f>
        <v>ID 11232</v>
      </c>
      <c r="Q488" s="1" t="str">
        <f>IFERROR(__xludf.DUMMYFUNCTION("""COMPUTED_VALUE"""),"B01LPRV8WA")</f>
        <v>B01LPRV8WA</v>
      </c>
    </row>
    <row r="489">
      <c r="A489" s="6">
        <f>IFERROR(__xludf.DUMMYFUNCTION("""COMPUTED_VALUE"""),44657.0)</f>
        <v>44657</v>
      </c>
      <c r="B489">
        <f>IFERROR(__xludf.DUMMYFUNCTION("""COMPUTED_VALUE"""),14029.0)</f>
        <v>14029</v>
      </c>
      <c r="C489" t="str">
        <f>IFERROR(__xludf.DUMMYFUNCTION("""COMPUTED_VALUE"""),"Scrubs: The Complete Ninth and Final Season")</f>
        <v>Scrubs: The Complete Ninth and Final Season</v>
      </c>
      <c r="D489" t="str">
        <f>IFERROR(__xludf.DUMMYFUNCTION("""COMPUTED_VALUE"""),"B002WC89WK")</f>
        <v>B002WC89WK</v>
      </c>
      <c r="E489" t="str">
        <f>IFERROR(__xludf.DUMMYFUNCTION("""COMPUTED_VALUE"""),"786936803297")</f>
        <v>786936803297</v>
      </c>
      <c r="F489">
        <f>IFERROR(__xludf.DUMMYFUNCTION("""COMPUTED_VALUE"""),210.0)</f>
        <v>210</v>
      </c>
      <c r="G489">
        <f>IFERROR(__xludf.DUMMYFUNCTION("""COMPUTED_VALUE"""),1490.0)</f>
        <v>1490</v>
      </c>
      <c r="H489" s="2">
        <f>IFERROR(__xludf.DUMMYFUNCTION("""COMPUTED_VALUE"""),6.0)</f>
        <v>6</v>
      </c>
      <c r="I489" s="2">
        <f>IFERROR(__xludf.DUMMYFUNCTION("""COMPUTED_VALUE"""),7.68)</f>
        <v>7.68</v>
      </c>
      <c r="J489" s="2">
        <f>IFERROR(__xludf.DUMMYFUNCTION("""COMPUTED_VALUE"""),1.6799999999999997)</f>
        <v>1.68</v>
      </c>
      <c r="K489" s="5">
        <f>IFERROR(__xludf.DUMMYFUNCTION("""COMPUTED_VALUE"""),0.27999999999999997)</f>
        <v>0.28</v>
      </c>
      <c r="L489">
        <f>IFERROR(__xludf.DUMMYFUNCTION("""COMPUTED_VALUE"""),36759.0)</f>
        <v>36759</v>
      </c>
      <c r="M489" t="str">
        <f>IFERROR(__xludf.DUMMYFUNCTION("""COMPUTED_VALUE"""),"DVD")</f>
        <v>DVD</v>
      </c>
      <c r="O489" t="str">
        <f>IFERROR(__xludf.DUMMYFUNCTION("""COMPUTED_VALUE"""),"N")</f>
        <v>N</v>
      </c>
      <c r="P489" s="1" t="str">
        <f>IFERROR(__xludf.DUMMYFUNCTION("""COMPUTED_VALUE"""),"ID 14029")</f>
        <v>ID 14029</v>
      </c>
      <c r="Q489" s="1" t="str">
        <f>IFERROR(__xludf.DUMMYFUNCTION("""COMPUTED_VALUE"""),"B002WC89WK")</f>
        <v>B002WC89WK</v>
      </c>
    </row>
    <row r="490">
      <c r="A490" s="6">
        <f>IFERROR(__xludf.DUMMYFUNCTION("""COMPUTED_VALUE"""),44414.0)</f>
        <v>44414</v>
      </c>
      <c r="B490">
        <f>IFERROR(__xludf.DUMMYFUNCTION("""COMPUTED_VALUE"""),14941.0)</f>
        <v>14941</v>
      </c>
      <c r="C490" t="str">
        <f>IFERROR(__xludf.DUMMYFUNCTION("""COMPUTED_VALUE"""),"Maybelline New York Volum' Express The Rocket Waterproof Mascara, Very Black, 0.3 fl. oz.")</f>
        <v>Maybelline New York Volum' Express The Rocket Waterproof Mascara, Very Black, 0.3 fl. oz.</v>
      </c>
      <c r="D490" t="str">
        <f>IFERROR(__xludf.DUMMYFUNCTION("""COMPUTED_VALUE"""),"B00AQ9QMQG")</f>
        <v>B00AQ9QMQG</v>
      </c>
      <c r="E490" t="str">
        <f>IFERROR(__xludf.DUMMYFUNCTION("""COMPUTED_VALUE"""),"41554288452")</f>
        <v>41554288452</v>
      </c>
      <c r="F490">
        <f>IFERROR(__xludf.DUMMYFUNCTION("""COMPUTED_VALUE"""),924.0)</f>
        <v>924</v>
      </c>
      <c r="G490">
        <f>IFERROR(__xludf.DUMMYFUNCTION("""COMPUTED_VALUE"""),3528.0)</f>
        <v>3528</v>
      </c>
      <c r="H490" s="2">
        <f>IFERROR(__xludf.DUMMYFUNCTION("""COMPUTED_VALUE"""),2.75)</f>
        <v>2.75</v>
      </c>
      <c r="I490" s="2">
        <f>IFERROR(__xludf.DUMMYFUNCTION("""COMPUTED_VALUE"""),4.43)</f>
        <v>4.43</v>
      </c>
      <c r="J490" s="2">
        <f>IFERROR(__xludf.DUMMYFUNCTION("""COMPUTED_VALUE"""),1.6799999999999997)</f>
        <v>1.68</v>
      </c>
      <c r="K490" s="5">
        <f>IFERROR(__xludf.DUMMYFUNCTION("""COMPUTED_VALUE"""),0.6109090909090908)</f>
        <v>0.6109090909</v>
      </c>
      <c r="L490">
        <f>IFERROR(__xludf.DUMMYFUNCTION("""COMPUTED_VALUE"""),21982.0)</f>
        <v>21982</v>
      </c>
      <c r="M490" t="str">
        <f>IFERROR(__xludf.DUMMYFUNCTION("""COMPUTED_VALUE"""),"Beauty")</f>
        <v>Beauty</v>
      </c>
      <c r="O490" t="str">
        <f>IFERROR(__xludf.DUMMYFUNCTION("""COMPUTED_VALUE"""),"N")</f>
        <v>N</v>
      </c>
      <c r="P490" s="1" t="str">
        <f>IFERROR(__xludf.DUMMYFUNCTION("""COMPUTED_VALUE"""),"ID 14941")</f>
        <v>ID 14941</v>
      </c>
      <c r="Q490" s="1" t="str">
        <f>IFERROR(__xludf.DUMMYFUNCTION("""COMPUTED_VALUE"""),"B00AQ9QMQG")</f>
        <v>B00AQ9QMQG</v>
      </c>
    </row>
    <row r="491">
      <c r="A491" s="6">
        <f>IFERROR(__xludf.DUMMYFUNCTION("""COMPUTED_VALUE"""),44497.0)</f>
        <v>44497</v>
      </c>
      <c r="B491">
        <f>IFERROR(__xludf.DUMMYFUNCTION("""COMPUTED_VALUE"""),23015.0)</f>
        <v>23015</v>
      </c>
      <c r="C491" t="str">
        <f>IFERROR(__xludf.DUMMYFUNCTION("""COMPUTED_VALUE"""),"BAZIC Metal Tip Correction Pen &amp; Correction Fluid (2/Pack)")</f>
        <v>BAZIC Metal Tip Correction Pen &amp; Correction Fluid (2/Pack)</v>
      </c>
      <c r="D491" t="str">
        <f>IFERROR(__xludf.DUMMYFUNCTION("""COMPUTED_VALUE"""),"B003BT3MXO")</f>
        <v>B003BT3MXO</v>
      </c>
      <c r="E491" t="str">
        <f>IFERROR(__xludf.DUMMYFUNCTION("""COMPUTED_VALUE"""),"764608016145")</f>
        <v>764608016145</v>
      </c>
      <c r="F491">
        <f>IFERROR(__xludf.DUMMYFUNCTION("""COMPUTED_VALUE"""),2736.0)</f>
        <v>2736</v>
      </c>
      <c r="G491">
        <f>IFERROR(__xludf.DUMMYFUNCTION("""COMPUTED_VALUE"""),5000.0)</f>
        <v>5000</v>
      </c>
      <c r="H491" s="2">
        <f>IFERROR(__xludf.DUMMYFUNCTION("""COMPUTED_VALUE"""),1.0)</f>
        <v>1</v>
      </c>
      <c r="I491" s="2">
        <f>IFERROR(__xludf.DUMMYFUNCTION("""COMPUTED_VALUE"""),2.68)</f>
        <v>2.68</v>
      </c>
      <c r="J491" s="2">
        <f>IFERROR(__xludf.DUMMYFUNCTION("""COMPUTED_VALUE"""),1.6800000000000002)</f>
        <v>1.68</v>
      </c>
      <c r="K491" s="5">
        <f>IFERROR(__xludf.DUMMYFUNCTION("""COMPUTED_VALUE"""),1.6800000000000002)</f>
        <v>1.68</v>
      </c>
      <c r="L491">
        <f>IFERROR(__xludf.DUMMYFUNCTION("""COMPUTED_VALUE"""),88027.0)</f>
        <v>88027</v>
      </c>
      <c r="M491" t="str">
        <f>IFERROR(__xludf.DUMMYFUNCTION("""COMPUTED_VALUE"""),"Office Product")</f>
        <v>Office Product</v>
      </c>
      <c r="O491" t="str">
        <f>IFERROR(__xludf.DUMMYFUNCTION("""COMPUTED_VALUE"""),"N")</f>
        <v>N</v>
      </c>
      <c r="P491" s="1" t="str">
        <f>IFERROR(__xludf.DUMMYFUNCTION("""COMPUTED_VALUE"""),"ID 23015")</f>
        <v>ID 23015</v>
      </c>
      <c r="Q491" s="1" t="str">
        <f>IFERROR(__xludf.DUMMYFUNCTION("""COMPUTED_VALUE"""),"B003BT3MXO")</f>
        <v>B003BT3MXO</v>
      </c>
    </row>
    <row r="492">
      <c r="A492" s="6">
        <f>IFERROR(__xludf.DUMMYFUNCTION("""COMPUTED_VALUE"""),45429.0)</f>
        <v>45429</v>
      </c>
      <c r="B492">
        <f>IFERROR(__xludf.DUMMYFUNCTION("""COMPUTED_VALUE"""),25300.0)</f>
        <v>25300</v>
      </c>
      <c r="C492" t="str">
        <f>IFERROR(__xludf.DUMMYFUNCTION("""COMPUTED_VALUE"""),"Maybelline Expert Wear Eyeshadow, Acid Rain, 0.08 oz.")</f>
        <v>Maybelline Expert Wear Eyeshadow, Acid Rain, 0.08 oz.</v>
      </c>
      <c r="D492" t="str">
        <f>IFERROR(__xludf.DUMMYFUNCTION("""COMPUTED_VALUE"""),"B01LZPP2K9")</f>
        <v>B01LZPP2K9</v>
      </c>
      <c r="E492" t="str">
        <f>IFERROR(__xludf.DUMMYFUNCTION("""COMPUTED_VALUE"""),"041554492668")</f>
        <v>041554492668</v>
      </c>
      <c r="F492">
        <f>IFERROR(__xludf.DUMMYFUNCTION("""COMPUTED_VALUE"""),325.0)</f>
        <v>325</v>
      </c>
      <c r="G492">
        <f>IFERROR(__xludf.DUMMYFUNCTION("""COMPUTED_VALUE"""),325.0)</f>
        <v>325</v>
      </c>
      <c r="H492" s="2">
        <f>IFERROR(__xludf.DUMMYFUNCTION("""COMPUTED_VALUE"""),1.75)</f>
        <v>1.75</v>
      </c>
      <c r="I492" s="2">
        <f>IFERROR(__xludf.DUMMYFUNCTION("""COMPUTED_VALUE"""),3.43)</f>
        <v>3.43</v>
      </c>
      <c r="J492" s="2">
        <f>IFERROR(__xludf.DUMMYFUNCTION("""COMPUTED_VALUE"""),1.6800000000000002)</f>
        <v>1.68</v>
      </c>
      <c r="K492" s="5">
        <f>IFERROR(__xludf.DUMMYFUNCTION("""COMPUTED_VALUE"""),0.9600000000000001)</f>
        <v>0.96</v>
      </c>
      <c r="L492">
        <f>IFERROR(__xludf.DUMMYFUNCTION("""COMPUTED_VALUE"""),18645.0)</f>
        <v>18645</v>
      </c>
      <c r="M492" t="str">
        <f>IFERROR(__xludf.DUMMYFUNCTION("""COMPUTED_VALUE"""),"Beauty")</f>
        <v>Beauty</v>
      </c>
      <c r="O492" t="str">
        <f>IFERROR(__xludf.DUMMYFUNCTION("""COMPUTED_VALUE"""),"N")</f>
        <v>N</v>
      </c>
      <c r="P492" s="1" t="str">
        <f>IFERROR(__xludf.DUMMYFUNCTION("""COMPUTED_VALUE"""),"ID 25300")</f>
        <v>ID 25300</v>
      </c>
      <c r="Q492" s="1" t="str">
        <f>IFERROR(__xludf.DUMMYFUNCTION("""COMPUTED_VALUE"""),"B01LZPP2K9")</f>
        <v>B01LZPP2K9</v>
      </c>
    </row>
    <row r="493">
      <c r="A493" s="6">
        <f>IFERROR(__xludf.DUMMYFUNCTION("""COMPUTED_VALUE"""),44998.0)</f>
        <v>44998</v>
      </c>
      <c r="B493">
        <f>IFERROR(__xludf.DUMMYFUNCTION("""COMPUTED_VALUE"""),18294.0)</f>
        <v>18294</v>
      </c>
      <c r="C493" t="str">
        <f>IFERROR(__xludf.DUMMYFUNCTION("""COMPUTED_VALUE"""),"Quartet Combination Magnetic Whiteboard Calendar &amp; Corkboard, 17"" x 23"" Combo Dry Erase White Board &amp; Cork Bulletin Board, Perfect for Office, Home School Message Board, Black Frame (79275)")</f>
        <v>Quartet Combination Magnetic Whiteboard Calendar &amp; Corkboard, 17" x 23" Combo Dry Erase White Board &amp; Cork Bulletin Board, Perfect for Office, Home School Message Board, Black Frame (79275)</v>
      </c>
      <c r="D493" t="str">
        <f>IFERROR(__xludf.DUMMYFUNCTION("""COMPUTED_VALUE"""),"B00PI04T8G")</f>
        <v>B00PI04T8G</v>
      </c>
      <c r="E493" t="str">
        <f>IFERROR(__xludf.DUMMYFUNCTION("""COMPUTED_VALUE"""),"34138792759")</f>
        <v>34138792759</v>
      </c>
      <c r="F493">
        <f>IFERROR(__xludf.DUMMYFUNCTION("""COMPUTED_VALUE"""),68.0)</f>
        <v>68</v>
      </c>
      <c r="G493">
        <f>IFERROR(__xludf.DUMMYFUNCTION("""COMPUTED_VALUE"""),10000.0)</f>
        <v>10000</v>
      </c>
      <c r="H493" s="2">
        <f>IFERROR(__xludf.DUMMYFUNCTION("""COMPUTED_VALUE"""),35.5)</f>
        <v>35.5</v>
      </c>
      <c r="I493" s="2">
        <f>IFERROR(__xludf.DUMMYFUNCTION("""COMPUTED_VALUE"""),37.17)</f>
        <v>37.17</v>
      </c>
      <c r="J493" s="2">
        <f>IFERROR(__xludf.DUMMYFUNCTION("""COMPUTED_VALUE"""),1.6700000000000017)</f>
        <v>1.67</v>
      </c>
      <c r="K493" s="5">
        <f>IFERROR(__xludf.DUMMYFUNCTION("""COMPUTED_VALUE"""),0.04704225352112681)</f>
        <v>0.04704225352</v>
      </c>
      <c r="L493">
        <f>IFERROR(__xludf.DUMMYFUNCTION("""COMPUTED_VALUE"""),17010.0)</f>
        <v>17010</v>
      </c>
      <c r="M493" t="str">
        <f>IFERROR(__xludf.DUMMYFUNCTION("""COMPUTED_VALUE"""),"Office Product")</f>
        <v>Office Product</v>
      </c>
      <c r="O493" t="str">
        <f>IFERROR(__xludf.DUMMYFUNCTION("""COMPUTED_VALUE"""),"N")</f>
        <v>N</v>
      </c>
      <c r="P493" s="1" t="str">
        <f>IFERROR(__xludf.DUMMYFUNCTION("""COMPUTED_VALUE"""),"ID 18294")</f>
        <v>ID 18294</v>
      </c>
      <c r="Q493" s="1" t="str">
        <f>IFERROR(__xludf.DUMMYFUNCTION("""COMPUTED_VALUE"""),"B00PI04T8G")</f>
        <v>B00PI04T8G</v>
      </c>
    </row>
    <row r="494">
      <c r="A494" s="6">
        <f>IFERROR(__xludf.DUMMYFUNCTION("""COMPUTED_VALUE"""),45421.0)</f>
        <v>45421</v>
      </c>
      <c r="B494">
        <f>IFERROR(__xludf.DUMMYFUNCTION("""COMPUTED_VALUE"""),23071.0)</f>
        <v>23071</v>
      </c>
      <c r="C494" t="str">
        <f>IFERROR(__xludf.DUMMYFUNCTION("""COMPUTED_VALUE"""),"Clearprint Vellum Sheets with Engineer Title Block, 11x17 Inches, 16 lb, 60 GSM, 1000H 100% Cotton, 10 Sheets/Pack, Translucent White (10221216)")</f>
        <v>Clearprint Vellum Sheets with Engineer Title Block, 11x17 Inches, 16 lb, 60 GSM, 1000H 100% Cotton, 10 Sheets/Pack, Translucent White (10221216)</v>
      </c>
      <c r="D494" t="str">
        <f>IFERROR(__xludf.DUMMYFUNCTION("""COMPUTED_VALUE"""),"B000KNPFGQ")</f>
        <v>B000KNPFGQ</v>
      </c>
      <c r="E494" t="str">
        <f>IFERROR(__xludf.DUMMYFUNCTION("""COMPUTED_VALUE"""),"720362028480")</f>
        <v>720362028480</v>
      </c>
      <c r="F494">
        <f>IFERROR(__xludf.DUMMYFUNCTION("""COMPUTED_VALUE"""),230.0)</f>
        <v>230</v>
      </c>
      <c r="G494">
        <f>IFERROR(__xludf.DUMMYFUNCTION("""COMPUTED_VALUE"""),10000.0)</f>
        <v>10000</v>
      </c>
      <c r="H494" s="2">
        <f>IFERROR(__xludf.DUMMYFUNCTION("""COMPUTED_VALUE"""),9.25)</f>
        <v>9.25</v>
      </c>
      <c r="I494" s="2">
        <f>IFERROR(__xludf.DUMMYFUNCTION("""COMPUTED_VALUE"""),10.92)</f>
        <v>10.92</v>
      </c>
      <c r="J494" s="2">
        <f>IFERROR(__xludf.DUMMYFUNCTION("""COMPUTED_VALUE"""),1.67)</f>
        <v>1.67</v>
      </c>
      <c r="K494" s="5">
        <f>IFERROR(__xludf.DUMMYFUNCTION("""COMPUTED_VALUE"""),0.18054054054054053)</f>
        <v>0.1805405405</v>
      </c>
      <c r="L494">
        <f>IFERROR(__xludf.DUMMYFUNCTION("""COMPUTED_VALUE"""),65160.0)</f>
        <v>65160</v>
      </c>
      <c r="M494" t="str">
        <f>IFERROR(__xludf.DUMMYFUNCTION("""COMPUTED_VALUE"""),"BISS Basic")</f>
        <v>BISS Basic</v>
      </c>
      <c r="O494" t="str">
        <f>IFERROR(__xludf.DUMMYFUNCTION("""COMPUTED_VALUE"""),"Y")</f>
        <v>Y</v>
      </c>
      <c r="P494" s="1" t="str">
        <f>IFERROR(__xludf.DUMMYFUNCTION("""COMPUTED_VALUE"""),"ID 23071")</f>
        <v>ID 23071</v>
      </c>
      <c r="Q494" s="1" t="str">
        <f>IFERROR(__xludf.DUMMYFUNCTION("""COMPUTED_VALUE"""),"B000KNPFGQ")</f>
        <v>B000KNPFGQ</v>
      </c>
    </row>
    <row r="495">
      <c r="A495" s="6">
        <f>IFERROR(__xludf.DUMMYFUNCTION("""COMPUTED_VALUE"""),45351.0)</f>
        <v>45351</v>
      </c>
      <c r="B495">
        <f>IFERROR(__xludf.DUMMYFUNCTION("""COMPUTED_VALUE"""),25380.0)</f>
        <v>25380</v>
      </c>
      <c r="C495" t="str">
        <f>IFERROR(__xludf.DUMMYFUNCTION("""COMPUTED_VALUE"""),"Hayes School PUBLISHINGH-VA536 Hayes Music Achievement Certificate, 8.5"" x 11"", Pack of 30")</f>
        <v>Hayes School PUBLISHINGH-VA536 Hayes Music Achievement Certificate, 8.5" x 11", Pack of 30</v>
      </c>
      <c r="D495" t="str">
        <f>IFERROR(__xludf.DUMMYFUNCTION("""COMPUTED_VALUE"""),"B000FA3O3K")</f>
        <v>B000FA3O3K</v>
      </c>
      <c r="E495" t="str">
        <f>IFERROR(__xludf.DUMMYFUNCTION("""COMPUTED_VALUE"""),"734675130419")</f>
        <v>734675130419</v>
      </c>
      <c r="F495">
        <f>IFERROR(__xludf.DUMMYFUNCTION("""COMPUTED_VALUE"""),450.0)</f>
        <v>450</v>
      </c>
      <c r="G495">
        <f>IFERROR(__xludf.DUMMYFUNCTION("""COMPUTED_VALUE"""),10000.0)</f>
        <v>10000</v>
      </c>
      <c r="H495" s="2">
        <f>IFERROR(__xludf.DUMMYFUNCTION("""COMPUTED_VALUE"""),4.25)</f>
        <v>4.25</v>
      </c>
      <c r="I495" s="2">
        <f>IFERROR(__xludf.DUMMYFUNCTION("""COMPUTED_VALUE"""),5.92)</f>
        <v>5.92</v>
      </c>
      <c r="J495" s="2">
        <f>IFERROR(__xludf.DUMMYFUNCTION("""COMPUTED_VALUE"""),1.67)</f>
        <v>1.67</v>
      </c>
      <c r="K495" s="5">
        <f>IFERROR(__xludf.DUMMYFUNCTION("""COMPUTED_VALUE"""),0.39294117647058824)</f>
        <v>0.3929411765</v>
      </c>
      <c r="L495">
        <f>IFERROR(__xludf.DUMMYFUNCTION("""COMPUTED_VALUE"""),20606.0)</f>
        <v>20606</v>
      </c>
      <c r="M495" t="str">
        <f>IFERROR(__xludf.DUMMYFUNCTION("""COMPUTED_VALUE"""),"BISS Basic")</f>
        <v>BISS Basic</v>
      </c>
      <c r="O495" t="str">
        <f>IFERROR(__xludf.DUMMYFUNCTION("""COMPUTED_VALUE"""),"Y")</f>
        <v>Y</v>
      </c>
      <c r="P495" s="1" t="str">
        <f>IFERROR(__xludf.DUMMYFUNCTION("""COMPUTED_VALUE"""),"ID 25380")</f>
        <v>ID 25380</v>
      </c>
      <c r="Q495" s="1" t="str">
        <f>IFERROR(__xludf.DUMMYFUNCTION("""COMPUTED_VALUE"""),"B000FA3O3K")</f>
        <v>B000FA3O3K</v>
      </c>
    </row>
    <row r="496">
      <c r="A496" s="6">
        <f>IFERROR(__xludf.DUMMYFUNCTION("""COMPUTED_VALUE"""),45376.0)</f>
        <v>45376</v>
      </c>
      <c r="B496">
        <f>IFERROR(__xludf.DUMMYFUNCTION("""COMPUTED_VALUE"""),7972.0)</f>
        <v>7972</v>
      </c>
      <c r="C496" t="str">
        <f>IFERROR(__xludf.DUMMYFUNCTION("""COMPUTED_VALUE"""),"Creolina Rex")</f>
        <v>Creolina Rex</v>
      </c>
      <c r="D496" t="str">
        <f>IFERROR(__xludf.DUMMYFUNCTION("""COMPUTED_VALUE"""),"B008G003NU")</f>
        <v>B008G003NU</v>
      </c>
      <c r="E496" t="str">
        <f>IFERROR(__xludf.DUMMYFUNCTION("""COMPUTED_VALUE"""),"014882060014")</f>
        <v>014882060014</v>
      </c>
      <c r="F496">
        <f>IFERROR(__xludf.DUMMYFUNCTION("""COMPUTED_VALUE"""),528.0)</f>
        <v>528</v>
      </c>
      <c r="G496">
        <f>IFERROR(__xludf.DUMMYFUNCTION("""COMPUTED_VALUE"""),10000.0)</f>
        <v>10000</v>
      </c>
      <c r="H496" s="2">
        <f>IFERROR(__xludf.DUMMYFUNCTION("""COMPUTED_VALUE"""),2.5)</f>
        <v>2.5</v>
      </c>
      <c r="I496" s="2">
        <f>IFERROR(__xludf.DUMMYFUNCTION("""COMPUTED_VALUE"""),4.16)</f>
        <v>4.16</v>
      </c>
      <c r="J496" s="2">
        <f>IFERROR(__xludf.DUMMYFUNCTION("""COMPUTED_VALUE"""),1.6600000000000001)</f>
        <v>1.66</v>
      </c>
      <c r="K496" s="5">
        <f>IFERROR(__xludf.DUMMYFUNCTION("""COMPUTED_VALUE"""),0.664)</f>
        <v>0.664</v>
      </c>
      <c r="L496">
        <f>IFERROR(__xludf.DUMMYFUNCTION("""COMPUTED_VALUE"""),54252.0)</f>
        <v>54252</v>
      </c>
      <c r="M496" t="str">
        <f>IFERROR(__xludf.DUMMYFUNCTION("""COMPUTED_VALUE"""),"BISS Basic")</f>
        <v>BISS Basic</v>
      </c>
      <c r="O496" t="str">
        <f>IFERROR(__xludf.DUMMYFUNCTION("""COMPUTED_VALUE"""),"N")</f>
        <v>N</v>
      </c>
      <c r="P496" s="1" t="str">
        <f>IFERROR(__xludf.DUMMYFUNCTION("""COMPUTED_VALUE"""),"ID 7972")</f>
        <v>ID 7972</v>
      </c>
      <c r="Q496" s="1" t="str">
        <f>IFERROR(__xludf.DUMMYFUNCTION("""COMPUTED_VALUE"""),"B008G003NU")</f>
        <v>B008G003NU</v>
      </c>
    </row>
    <row r="497">
      <c r="A497" s="6">
        <f>IFERROR(__xludf.DUMMYFUNCTION("""COMPUTED_VALUE"""),45376.0)</f>
        <v>45376</v>
      </c>
      <c r="B497">
        <f>IFERROR(__xludf.DUMMYFUNCTION("""COMPUTED_VALUE"""),17048.0)</f>
        <v>17048</v>
      </c>
      <c r="C497" t="str">
        <f>IFERROR(__xludf.DUMMYFUNCTION("""COMPUTED_VALUE"""),"Dixon 52600 Lumber Marking Crayons, Fluorescent Pink, 12-Pack")</f>
        <v>Dixon 52600 Lumber Marking Crayons, Fluorescent Pink, 12-Pack</v>
      </c>
      <c r="D497" t="str">
        <f>IFERROR(__xludf.DUMMYFUNCTION("""COMPUTED_VALUE"""),"B004SP4Y64")</f>
        <v>B004SP4Y64</v>
      </c>
      <c r="E497" t="str">
        <f>IFERROR(__xludf.DUMMYFUNCTION("""COMPUTED_VALUE"""),"072067526007")</f>
        <v>072067526007</v>
      </c>
      <c r="F497">
        <f>IFERROR(__xludf.DUMMYFUNCTION("""COMPUTED_VALUE"""),552.0)</f>
        <v>552</v>
      </c>
      <c r="G497">
        <f>IFERROR(__xludf.DUMMYFUNCTION("""COMPUTED_VALUE"""),10000.0)</f>
        <v>10000</v>
      </c>
      <c r="H497" s="2">
        <f>IFERROR(__xludf.DUMMYFUNCTION("""COMPUTED_VALUE"""),6.5)</f>
        <v>6.5</v>
      </c>
      <c r="I497" s="2">
        <f>IFERROR(__xludf.DUMMYFUNCTION("""COMPUTED_VALUE"""),8.16)</f>
        <v>8.16</v>
      </c>
      <c r="J497" s="2">
        <f>IFERROR(__xludf.DUMMYFUNCTION("""COMPUTED_VALUE"""),1.6600000000000001)</f>
        <v>1.66</v>
      </c>
      <c r="K497" s="5">
        <f>IFERROR(__xludf.DUMMYFUNCTION("""COMPUTED_VALUE"""),0.25538461538461543)</f>
        <v>0.2553846154</v>
      </c>
      <c r="L497">
        <f>IFERROR(__xludf.DUMMYFUNCTION("""COMPUTED_VALUE"""),36564.0)</f>
        <v>36564</v>
      </c>
      <c r="M497" t="str">
        <f>IFERROR(__xludf.DUMMYFUNCTION("""COMPUTED_VALUE"""),"Home Improvement")</f>
        <v>Home Improvement</v>
      </c>
      <c r="O497" t="str">
        <f>IFERROR(__xludf.DUMMYFUNCTION("""COMPUTED_VALUE"""),"N")</f>
        <v>N</v>
      </c>
      <c r="P497" s="1" t="str">
        <f>IFERROR(__xludf.DUMMYFUNCTION("""COMPUTED_VALUE"""),"ID 17048")</f>
        <v>ID 17048</v>
      </c>
      <c r="Q497" s="1" t="str">
        <f>IFERROR(__xludf.DUMMYFUNCTION("""COMPUTED_VALUE"""),"B004SP4Y64")</f>
        <v>B004SP4Y64</v>
      </c>
    </row>
    <row r="498">
      <c r="A498" s="6">
        <f>IFERROR(__xludf.DUMMYFUNCTION("""COMPUTED_VALUE"""),45383.0)</f>
        <v>45383</v>
      </c>
      <c r="B498">
        <f>IFERROR(__xludf.DUMMYFUNCTION("""COMPUTED_VALUE"""),25887.0)</f>
        <v>25887</v>
      </c>
      <c r="C498" t="str">
        <f>IFERROR(__xludf.DUMMYFUNCTION("""COMPUTED_VALUE"""),"uni-ball 207 Retractable Gel Pens, Medium Point (0.7mm), Blue, 2 Count")</f>
        <v>uni-ball 207 Retractable Gel Pens, Medium Point (0.7mm), Blue, 2 Count</v>
      </c>
      <c r="D498" t="str">
        <f>IFERROR(__xludf.DUMMYFUNCTION("""COMPUTED_VALUE"""),"B002BA5WKU")</f>
        <v>B002BA5WKU</v>
      </c>
      <c r="E498" t="str">
        <f>IFERROR(__xludf.DUMMYFUNCTION("""COMPUTED_VALUE"""),"030246743140")</f>
        <v>030246743140</v>
      </c>
      <c r="F498">
        <f>IFERROR(__xludf.DUMMYFUNCTION("""COMPUTED_VALUE"""),528.0)</f>
        <v>528</v>
      </c>
      <c r="G498">
        <f>IFERROR(__xludf.DUMMYFUNCTION("""COMPUTED_VALUE"""),10000.0)</f>
        <v>10000</v>
      </c>
      <c r="H498" s="2">
        <f>IFERROR(__xludf.DUMMYFUNCTION("""COMPUTED_VALUE"""),2.5)</f>
        <v>2.5</v>
      </c>
      <c r="I498" s="2">
        <f>IFERROR(__xludf.DUMMYFUNCTION("""COMPUTED_VALUE"""),4.16)</f>
        <v>4.16</v>
      </c>
      <c r="J498" s="2">
        <f>IFERROR(__xludf.DUMMYFUNCTION("""COMPUTED_VALUE"""),1.6600000000000001)</f>
        <v>1.66</v>
      </c>
      <c r="K498" s="5">
        <f>IFERROR(__xludf.DUMMYFUNCTION("""COMPUTED_VALUE"""),0.664)</f>
        <v>0.664</v>
      </c>
      <c r="L498">
        <f>IFERROR(__xludf.DUMMYFUNCTION("""COMPUTED_VALUE"""),5668.0)</f>
        <v>5668</v>
      </c>
      <c r="M498" t="str">
        <f>IFERROR(__xludf.DUMMYFUNCTION("""COMPUTED_VALUE"""),"BISS Basic")</f>
        <v>BISS Basic</v>
      </c>
      <c r="O498" t="str">
        <f>IFERROR(__xludf.DUMMYFUNCTION("""COMPUTED_VALUE"""),"Y")</f>
        <v>Y</v>
      </c>
      <c r="P498" s="1" t="str">
        <f>IFERROR(__xludf.DUMMYFUNCTION("""COMPUTED_VALUE"""),"ID 25887")</f>
        <v>ID 25887</v>
      </c>
      <c r="Q498" s="1" t="str">
        <f>IFERROR(__xludf.DUMMYFUNCTION("""COMPUTED_VALUE"""),"B002BA5WKU")</f>
        <v>B002BA5WKU</v>
      </c>
    </row>
    <row r="499">
      <c r="A499" s="6">
        <f>IFERROR(__xludf.DUMMYFUNCTION("""COMPUTED_VALUE"""),45376.0)</f>
        <v>45376</v>
      </c>
      <c r="B499">
        <f>IFERROR(__xludf.DUMMYFUNCTION("""COMPUTED_VALUE"""),5538.0)</f>
        <v>5538</v>
      </c>
      <c r="C499" t="str">
        <f>IFERROR(__xludf.DUMMYFUNCTION("""COMPUTED_VALUE"""),"US Toy Siren Whistle (12 Pack)")</f>
        <v>US Toy Siren Whistle (12 Pack)</v>
      </c>
      <c r="D499" t="str">
        <f>IFERROR(__xludf.DUMMYFUNCTION("""COMPUTED_VALUE"""),"B001R5N7HK")</f>
        <v>B001R5N7HK</v>
      </c>
      <c r="E499" t="str">
        <f>IFERROR(__xludf.DUMMYFUNCTION("""COMPUTED_VALUE"""),"049392016435")</f>
        <v>049392016435</v>
      </c>
      <c r="F499">
        <f>IFERROR(__xludf.DUMMYFUNCTION("""COMPUTED_VALUE"""),576.0)</f>
        <v>576</v>
      </c>
      <c r="G499">
        <f>IFERROR(__xludf.DUMMYFUNCTION("""COMPUTED_VALUE"""),1653.0)</f>
        <v>1653</v>
      </c>
      <c r="H499" s="2">
        <f>IFERROR(__xludf.DUMMYFUNCTION("""COMPUTED_VALUE"""),1.75)</f>
        <v>1.75</v>
      </c>
      <c r="I499" s="2">
        <f>IFERROR(__xludf.DUMMYFUNCTION("""COMPUTED_VALUE"""),3.4)</f>
        <v>3.4</v>
      </c>
      <c r="J499" s="2">
        <f>IFERROR(__xludf.DUMMYFUNCTION("""COMPUTED_VALUE"""),1.65)</f>
        <v>1.65</v>
      </c>
      <c r="K499" s="5">
        <f>IFERROR(__xludf.DUMMYFUNCTION("""COMPUTED_VALUE"""),0.9428571428571428)</f>
        <v>0.9428571429</v>
      </c>
      <c r="L499">
        <f>IFERROR(__xludf.DUMMYFUNCTION("""COMPUTED_VALUE"""),34542.0)</f>
        <v>34542</v>
      </c>
      <c r="M499" t="str">
        <f>IFERROR(__xludf.DUMMYFUNCTION("""COMPUTED_VALUE"""),"BISS Basic")</f>
        <v>BISS Basic</v>
      </c>
      <c r="N499" t="str">
        <f>IFERROR(__xludf.DUMMYFUNCTION("""COMPUTED_VALUE"""),"MAP: 3.29. If you violate the MAP pricing, the brand will remove you and require you to return the merchandise at a 50% restocking fee. ETA 2/1/2024")</f>
        <v>MAP: 3.29. If you violate the MAP pricing, the brand will remove you and require you to return the merchandise at a 50% restocking fee. ETA 2/1/2024</v>
      </c>
      <c r="O499" t="str">
        <f>IFERROR(__xludf.DUMMYFUNCTION("""COMPUTED_VALUE"""),"N")</f>
        <v>N</v>
      </c>
      <c r="P499" s="1" t="str">
        <f>IFERROR(__xludf.DUMMYFUNCTION("""COMPUTED_VALUE"""),"ID 5538")</f>
        <v>ID 5538</v>
      </c>
      <c r="Q499" s="1" t="str">
        <f>IFERROR(__xludf.DUMMYFUNCTION("""COMPUTED_VALUE"""),"B001R5N7HK")</f>
        <v>B001R5N7HK</v>
      </c>
    </row>
    <row r="500">
      <c r="A500" s="6">
        <f>IFERROR(__xludf.DUMMYFUNCTION("""COMPUTED_VALUE"""),45425.0)</f>
        <v>45425</v>
      </c>
      <c r="B500">
        <f>IFERROR(__xludf.DUMMYFUNCTION("""COMPUTED_VALUE"""),5152.0)</f>
        <v>5152</v>
      </c>
      <c r="C500" t="str">
        <f>IFERROR(__xludf.DUMMYFUNCTION("""COMPUTED_VALUE"""),"Anchor Hocking Oven Basics Casserole with Cover")</f>
        <v>Anchor Hocking Oven Basics Casserole with Cover</v>
      </c>
      <c r="D500" t="str">
        <f>IFERROR(__xludf.DUMMYFUNCTION("""COMPUTED_VALUE"""),"B000LNQPIW")</f>
        <v>B000LNQPIW</v>
      </c>
      <c r="E500" t="str">
        <f>IFERROR(__xludf.DUMMYFUNCTION("""COMPUTED_VALUE"""),"076440819328")</f>
        <v>076440819328</v>
      </c>
      <c r="F500">
        <f>IFERROR(__xludf.DUMMYFUNCTION("""COMPUTED_VALUE"""),138.0)</f>
        <v>138</v>
      </c>
      <c r="G500">
        <f>IFERROR(__xludf.DUMMYFUNCTION("""COMPUTED_VALUE"""),10000.0)</f>
        <v>10000</v>
      </c>
      <c r="H500" s="2">
        <f>IFERROR(__xludf.DUMMYFUNCTION("""COMPUTED_VALUE"""),9.5)</f>
        <v>9.5</v>
      </c>
      <c r="I500" s="2">
        <f>IFERROR(__xludf.DUMMYFUNCTION("""COMPUTED_VALUE"""),11.15)</f>
        <v>11.15</v>
      </c>
      <c r="J500" s="2">
        <f>IFERROR(__xludf.DUMMYFUNCTION("""COMPUTED_VALUE"""),1.6500000000000004)</f>
        <v>1.65</v>
      </c>
      <c r="K500" s="5">
        <f>IFERROR(__xludf.DUMMYFUNCTION("""COMPUTED_VALUE"""),0.17368421052631583)</f>
        <v>0.1736842105</v>
      </c>
      <c r="L500">
        <f>IFERROR(__xludf.DUMMYFUNCTION("""COMPUTED_VALUE"""),48663.0)</f>
        <v>48663</v>
      </c>
      <c r="M500" t="str">
        <f>IFERROR(__xludf.DUMMYFUNCTION("""COMPUTED_VALUE"""),"Kitchen")</f>
        <v>Kitchen</v>
      </c>
      <c r="O500" t="str">
        <f>IFERROR(__xludf.DUMMYFUNCTION("""COMPUTED_VALUE"""),"Y")</f>
        <v>Y</v>
      </c>
      <c r="P500" s="1" t="str">
        <f>IFERROR(__xludf.DUMMYFUNCTION("""COMPUTED_VALUE"""),"ID 5152")</f>
        <v>ID 5152</v>
      </c>
      <c r="Q500" s="1" t="str">
        <f>IFERROR(__xludf.DUMMYFUNCTION("""COMPUTED_VALUE"""),"B000LNQPIW")</f>
        <v>B000LNQPIW</v>
      </c>
    </row>
    <row r="501">
      <c r="A501" s="6">
        <f>IFERROR(__xludf.DUMMYFUNCTION("""COMPUTED_VALUE"""),45429.0)</f>
        <v>45429</v>
      </c>
      <c r="B501">
        <f>IFERROR(__xludf.DUMMYFUNCTION("""COMPUTED_VALUE"""),15653.0)</f>
        <v>15653</v>
      </c>
      <c r="C501" t="str">
        <f>IFERROR(__xludf.DUMMYFUNCTION("""COMPUTED_VALUE"""),"Halston by Halston for Women, Cologne Spray, 1-Ounce")</f>
        <v>Halston by Halston for Women, Cologne Spray, 1-Ounce</v>
      </c>
      <c r="D501" t="str">
        <f>IFERROR(__xludf.DUMMYFUNCTION("""COMPUTED_VALUE"""),"B0012RT1IM")</f>
        <v>B0012RT1IM</v>
      </c>
      <c r="E501" t="str">
        <f>IFERROR(__xludf.DUMMYFUNCTION("""COMPUTED_VALUE"""),"0719346020473")</f>
        <v>0719346020473</v>
      </c>
      <c r="F501">
        <f>IFERROR(__xludf.DUMMYFUNCTION("""COMPUTED_VALUE"""),144.0)</f>
        <v>144</v>
      </c>
      <c r="G501">
        <f>IFERROR(__xludf.DUMMYFUNCTION("""COMPUTED_VALUE"""),10000.0)</f>
        <v>10000</v>
      </c>
      <c r="H501" s="2">
        <f>IFERROR(__xludf.DUMMYFUNCTION("""COMPUTED_VALUE"""),9.0)</f>
        <v>9</v>
      </c>
      <c r="I501" s="2">
        <f>IFERROR(__xludf.DUMMYFUNCTION("""COMPUTED_VALUE"""),10.65)</f>
        <v>10.65</v>
      </c>
      <c r="J501" s="2">
        <f>IFERROR(__xludf.DUMMYFUNCTION("""COMPUTED_VALUE"""),1.6500000000000004)</f>
        <v>1.65</v>
      </c>
      <c r="K501" s="5">
        <f>IFERROR(__xludf.DUMMYFUNCTION("""COMPUTED_VALUE"""),0.18333333333333338)</f>
        <v>0.1833333333</v>
      </c>
      <c r="L501">
        <f>IFERROR(__xludf.DUMMYFUNCTION("""COMPUTED_VALUE"""),36991.0)</f>
        <v>36991</v>
      </c>
      <c r="M501" t="str">
        <f>IFERROR(__xludf.DUMMYFUNCTION("""COMPUTED_VALUE"""),"Beauty")</f>
        <v>Beauty</v>
      </c>
      <c r="O501" t="str">
        <f>IFERROR(__xludf.DUMMYFUNCTION("""COMPUTED_VALUE"""),"N")</f>
        <v>N</v>
      </c>
      <c r="P501" s="1" t="str">
        <f>IFERROR(__xludf.DUMMYFUNCTION("""COMPUTED_VALUE"""),"ID 15653")</f>
        <v>ID 15653</v>
      </c>
      <c r="Q501" s="1" t="str">
        <f>IFERROR(__xludf.DUMMYFUNCTION("""COMPUTED_VALUE"""),"B0012RT1IM")</f>
        <v>B0012RT1IM</v>
      </c>
    </row>
    <row r="502">
      <c r="A502" s="6">
        <f>IFERROR(__xludf.DUMMYFUNCTION("""COMPUTED_VALUE"""),45390.0)</f>
        <v>45390</v>
      </c>
      <c r="B502">
        <f>IFERROR(__xludf.DUMMYFUNCTION("""COMPUTED_VALUE"""),4181.0)</f>
        <v>4181</v>
      </c>
      <c r="C502" t="str">
        <f>IFERROR(__xludf.DUMMYFUNCTION("""COMPUTED_VALUE"""),"Chef Craft 50 Count Cupcake Liners, Multicolored Hearts")</f>
        <v>Chef Craft 50 Count Cupcake Liners, Multicolored Hearts</v>
      </c>
      <c r="D502" t="str">
        <f>IFERROR(__xludf.DUMMYFUNCTION("""COMPUTED_VALUE"""),"B00KS9HEL6")</f>
        <v>B00KS9HEL6</v>
      </c>
      <c r="E502" t="str">
        <f>IFERROR(__xludf.DUMMYFUNCTION("""COMPUTED_VALUE"""),"085455218132")</f>
        <v>085455218132</v>
      </c>
      <c r="F502">
        <f>IFERROR(__xludf.DUMMYFUNCTION("""COMPUTED_VALUE"""),576.0)</f>
        <v>576</v>
      </c>
      <c r="G502">
        <f>IFERROR(__xludf.DUMMYFUNCTION("""COMPUTED_VALUE"""),10000.0)</f>
        <v>10000</v>
      </c>
      <c r="H502" s="2">
        <f>IFERROR(__xludf.DUMMYFUNCTION("""COMPUTED_VALUE"""),1.25)</f>
        <v>1.25</v>
      </c>
      <c r="I502" s="2">
        <f>IFERROR(__xludf.DUMMYFUNCTION("""COMPUTED_VALUE"""),2.89)</f>
        <v>2.89</v>
      </c>
      <c r="J502" s="2">
        <f>IFERROR(__xludf.DUMMYFUNCTION("""COMPUTED_VALUE"""),1.6400000000000001)</f>
        <v>1.64</v>
      </c>
      <c r="K502" s="5">
        <f>IFERROR(__xludf.DUMMYFUNCTION("""COMPUTED_VALUE"""),1.312)</f>
        <v>1.312</v>
      </c>
      <c r="L502">
        <f>IFERROR(__xludf.DUMMYFUNCTION("""COMPUTED_VALUE"""),29091.0)</f>
        <v>29091</v>
      </c>
      <c r="M502" t="str">
        <f>IFERROR(__xludf.DUMMYFUNCTION("""COMPUTED_VALUE"""),"Kitchen")</f>
        <v>Kitchen</v>
      </c>
      <c r="O502" t="str">
        <f>IFERROR(__xludf.DUMMYFUNCTION("""COMPUTED_VALUE"""),"Y")</f>
        <v>Y</v>
      </c>
      <c r="P502" s="1" t="str">
        <f>IFERROR(__xludf.DUMMYFUNCTION("""COMPUTED_VALUE"""),"ID 4181")</f>
        <v>ID 4181</v>
      </c>
      <c r="Q502" s="1" t="str">
        <f>IFERROR(__xludf.DUMMYFUNCTION("""COMPUTED_VALUE"""),"B00KS9HEL6")</f>
        <v>B00KS9HEL6</v>
      </c>
    </row>
    <row r="503">
      <c r="A503" s="6">
        <f>IFERROR(__xludf.DUMMYFUNCTION("""COMPUTED_VALUE"""),44763.0)</f>
        <v>44763</v>
      </c>
      <c r="B503">
        <f>IFERROR(__xludf.DUMMYFUNCTION("""COMPUTED_VALUE"""),20787.0)</f>
        <v>20787</v>
      </c>
      <c r="C503" t="str">
        <f>IFERROR(__xludf.DUMMYFUNCTION("""COMPUTED_VALUE"""),"Paris Hilton Women Eau De Parfum Spray, 1 Fl. Oz")</f>
        <v>Paris Hilton Women Eau De Parfum Spray, 1 Fl. Oz</v>
      </c>
      <c r="D503" t="str">
        <f>IFERROR(__xludf.DUMMYFUNCTION("""COMPUTED_VALUE"""),"B002RRULBM")</f>
        <v>B002RRULBM</v>
      </c>
      <c r="E503" t="str">
        <f>IFERROR(__xludf.DUMMYFUNCTION("""COMPUTED_VALUE"""),"608940522738")</f>
        <v>608940522738</v>
      </c>
      <c r="F503">
        <f>IFERROR(__xludf.DUMMYFUNCTION("""COMPUTED_VALUE"""),150.0)</f>
        <v>150</v>
      </c>
      <c r="G503">
        <f>IFERROR(__xludf.DUMMYFUNCTION("""COMPUTED_VALUE"""),1000.0)</f>
        <v>1000</v>
      </c>
      <c r="H503" s="2">
        <f>IFERROR(__xludf.DUMMYFUNCTION("""COMPUTED_VALUE"""),10.0)</f>
        <v>10</v>
      </c>
      <c r="I503" s="2">
        <f>IFERROR(__xludf.DUMMYFUNCTION("""COMPUTED_VALUE"""),11.63)</f>
        <v>11.63</v>
      </c>
      <c r="J503" s="2">
        <f>IFERROR(__xludf.DUMMYFUNCTION("""COMPUTED_VALUE"""),1.6300000000000008)</f>
        <v>1.63</v>
      </c>
      <c r="K503" s="5">
        <f>IFERROR(__xludf.DUMMYFUNCTION("""COMPUTED_VALUE"""),0.1630000000000001)</f>
        <v>0.163</v>
      </c>
      <c r="L503">
        <f>IFERROR(__xludf.DUMMYFUNCTION("""COMPUTED_VALUE"""),34324.0)</f>
        <v>34324</v>
      </c>
      <c r="M503" t="str">
        <f>IFERROR(__xludf.DUMMYFUNCTION("""COMPUTED_VALUE"""),"Beauty")</f>
        <v>Beauty</v>
      </c>
      <c r="O503" t="str">
        <f>IFERROR(__xludf.DUMMYFUNCTION("""COMPUTED_VALUE"""),"Y")</f>
        <v>Y</v>
      </c>
      <c r="P503" s="1" t="str">
        <f>IFERROR(__xludf.DUMMYFUNCTION("""COMPUTED_VALUE"""),"ID 20787")</f>
        <v>ID 20787</v>
      </c>
      <c r="Q503" s="1" t="str">
        <f>IFERROR(__xludf.DUMMYFUNCTION("""COMPUTED_VALUE"""),"B002RRULBM")</f>
        <v>B002RRULBM</v>
      </c>
    </row>
    <row r="504">
      <c r="A504" s="6">
        <f>IFERROR(__xludf.DUMMYFUNCTION("""COMPUTED_VALUE"""),44941.0)</f>
        <v>44941</v>
      </c>
      <c r="B504">
        <f>IFERROR(__xludf.DUMMYFUNCTION("""COMPUTED_VALUE"""),24959.0)</f>
        <v>24959</v>
      </c>
      <c r="C504" t="str">
        <f>IFERROR(__xludf.DUMMYFUNCTION("""COMPUTED_VALUE"""),"Elmer's E892 Stainable Wood Filler 32 oz")</f>
        <v>Elmer's E892 Stainable Wood Filler 32 oz</v>
      </c>
      <c r="D504" t="str">
        <f>IFERROR(__xludf.DUMMYFUNCTION("""COMPUTED_VALUE"""),"B000GUF950")</f>
        <v>B000GUF950</v>
      </c>
      <c r="E504" t="str">
        <f>IFERROR(__xludf.DUMMYFUNCTION("""COMPUTED_VALUE"""),"026000008921")</f>
        <v>026000008921</v>
      </c>
      <c r="F504">
        <f>IFERROR(__xludf.DUMMYFUNCTION("""COMPUTED_VALUE"""),488.0)</f>
        <v>488</v>
      </c>
      <c r="G504">
        <f>IFERROR(__xludf.DUMMYFUNCTION("""COMPUTED_VALUE"""),1000.0)</f>
        <v>1000</v>
      </c>
      <c r="H504" s="2">
        <f>IFERROR(__xludf.DUMMYFUNCTION("""COMPUTED_VALUE"""),6.25)</f>
        <v>6.25</v>
      </c>
      <c r="I504" s="2">
        <f>IFERROR(__xludf.DUMMYFUNCTION("""COMPUTED_VALUE"""),7.88)</f>
        <v>7.88</v>
      </c>
      <c r="J504" s="2">
        <f>IFERROR(__xludf.DUMMYFUNCTION("""COMPUTED_VALUE"""),1.63)</f>
        <v>1.63</v>
      </c>
      <c r="K504" s="5">
        <f>IFERROR(__xludf.DUMMYFUNCTION("""COMPUTED_VALUE"""),0.2608)</f>
        <v>0.2608</v>
      </c>
      <c r="L504">
        <f>IFERROR(__xludf.DUMMYFUNCTION("""COMPUTED_VALUE"""),58515.0)</f>
        <v>58515</v>
      </c>
      <c r="M504" t="str">
        <f>IFERROR(__xludf.DUMMYFUNCTION("""COMPUTED_VALUE"""),"Home Improvement")</f>
        <v>Home Improvement</v>
      </c>
      <c r="O504" t="str">
        <f>IFERROR(__xludf.DUMMYFUNCTION("""COMPUTED_VALUE"""),"N")</f>
        <v>N</v>
      </c>
      <c r="P504" s="1" t="str">
        <f>IFERROR(__xludf.DUMMYFUNCTION("""COMPUTED_VALUE"""),"ID 24959")</f>
        <v>ID 24959</v>
      </c>
      <c r="Q504" s="1" t="str">
        <f>IFERROR(__xludf.DUMMYFUNCTION("""COMPUTED_VALUE"""),"B000GUF950")</f>
        <v>B000GUF950</v>
      </c>
    </row>
    <row r="505">
      <c r="A505" s="6">
        <f>IFERROR(__xludf.DUMMYFUNCTION("""COMPUTED_VALUE"""),44941.0)</f>
        <v>44941</v>
      </c>
      <c r="B505">
        <f>IFERROR(__xludf.DUMMYFUNCTION("""COMPUTED_VALUE"""),24918.0)</f>
        <v>24918</v>
      </c>
      <c r="C505" t="str">
        <f>IFERROR(__xludf.DUMMYFUNCTION("""COMPUTED_VALUE"""),"Waterman Allure Fountain Pen | Baby Blue Matte Lacquer with Chrome Trim | Fine Stainless Steel Nib | Blue Ink | With Gift Box")</f>
        <v>Waterman Allure Fountain Pen | Baby Blue Matte Lacquer with Chrome Trim | Fine Stainless Steel Nib | Blue Ink | With Gift Box</v>
      </c>
      <c r="D505" t="str">
        <f>IFERROR(__xludf.DUMMYFUNCTION("""COMPUTED_VALUE"""),"B08564DHVW")</f>
        <v>B08564DHVW</v>
      </c>
      <c r="E505" t="str">
        <f>IFERROR(__xludf.DUMMYFUNCTION("""COMPUTED_VALUE"""),"3026981052224")</f>
        <v>3026981052224</v>
      </c>
      <c r="F505">
        <f>IFERROR(__xludf.DUMMYFUNCTION("""COMPUTED_VALUE"""),200.0)</f>
        <v>200</v>
      </c>
      <c r="G505">
        <f>IFERROR(__xludf.DUMMYFUNCTION("""COMPUTED_VALUE"""),10000.0)</f>
        <v>10000</v>
      </c>
      <c r="H505" s="2">
        <f>IFERROR(__xludf.DUMMYFUNCTION("""COMPUTED_VALUE"""),15.0)</f>
        <v>15</v>
      </c>
      <c r="I505" s="2">
        <f>IFERROR(__xludf.DUMMYFUNCTION("""COMPUTED_VALUE"""),16.62)</f>
        <v>16.62</v>
      </c>
      <c r="J505" s="2">
        <f>IFERROR(__xludf.DUMMYFUNCTION("""COMPUTED_VALUE"""),1.620000000000001)</f>
        <v>1.62</v>
      </c>
      <c r="K505" s="5">
        <f>IFERROR(__xludf.DUMMYFUNCTION("""COMPUTED_VALUE"""),0.10800000000000007)</f>
        <v>0.108</v>
      </c>
      <c r="L505">
        <f>IFERROR(__xludf.DUMMYFUNCTION("""COMPUTED_VALUE"""),23177.0)</f>
        <v>23177</v>
      </c>
      <c r="M505" t="str">
        <f>IFERROR(__xludf.DUMMYFUNCTION("""COMPUTED_VALUE"""),"Office Product")</f>
        <v>Office Product</v>
      </c>
      <c r="O505" t="str">
        <f>IFERROR(__xludf.DUMMYFUNCTION("""COMPUTED_VALUE"""),"Y")</f>
        <v>Y</v>
      </c>
      <c r="P505" s="1" t="str">
        <f>IFERROR(__xludf.DUMMYFUNCTION("""COMPUTED_VALUE"""),"ID 24918")</f>
        <v>ID 24918</v>
      </c>
      <c r="Q505" s="1" t="str">
        <f>IFERROR(__xludf.DUMMYFUNCTION("""COMPUTED_VALUE"""),"B08564DHVW")</f>
        <v>B08564DHVW</v>
      </c>
    </row>
    <row r="506">
      <c r="A506" s="6">
        <f>IFERROR(__xludf.DUMMYFUNCTION("""COMPUTED_VALUE"""),44439.0)</f>
        <v>44439</v>
      </c>
      <c r="B506">
        <f>IFERROR(__xludf.DUMMYFUNCTION("""COMPUTED_VALUE"""),12320.0)</f>
        <v>12320</v>
      </c>
      <c r="C506" t="str">
        <f>IFERROR(__xludf.DUMMYFUNCTION("""COMPUTED_VALUE"""),"Derwent Watersoluble Sketching Pencils, Metal Tin, 6 Count (0700837)")</f>
        <v>Derwent Watersoluble Sketching Pencils, Metal Tin, 6 Count (0700837)</v>
      </c>
      <c r="D506" t="str">
        <f>IFERROR(__xludf.DUMMYFUNCTION("""COMPUTED_VALUE"""),"B000PKUVO0")</f>
        <v>B000PKUVO0</v>
      </c>
      <c r="E506" t="str">
        <f>IFERROR(__xludf.DUMMYFUNCTION("""COMPUTED_VALUE"""),"5028252170291")</f>
        <v>5028252170291</v>
      </c>
      <c r="F506">
        <f>IFERROR(__xludf.DUMMYFUNCTION("""COMPUTED_VALUE"""),334.0)</f>
        <v>334</v>
      </c>
      <c r="G506">
        <f>IFERROR(__xludf.DUMMYFUNCTION("""COMPUTED_VALUE"""),5000.0)</f>
        <v>5000</v>
      </c>
      <c r="H506" s="2">
        <f>IFERROR(__xludf.DUMMYFUNCTION("""COMPUTED_VALUE"""),7.25)</f>
        <v>7.25</v>
      </c>
      <c r="I506" s="2">
        <f>IFERROR(__xludf.DUMMYFUNCTION("""COMPUTED_VALUE"""),8.86)</f>
        <v>8.86</v>
      </c>
      <c r="J506" s="2">
        <f>IFERROR(__xludf.DUMMYFUNCTION("""COMPUTED_VALUE"""),1.6099999999999994)</f>
        <v>1.61</v>
      </c>
      <c r="K506" s="5">
        <f>IFERROR(__xludf.DUMMYFUNCTION("""COMPUTED_VALUE"""),0.2220689655172413)</f>
        <v>0.2220689655</v>
      </c>
      <c r="L506">
        <f>IFERROR(__xludf.DUMMYFUNCTION("""COMPUTED_VALUE"""),16947.0)</f>
        <v>16947</v>
      </c>
      <c r="M506" t="str">
        <f>IFERROR(__xludf.DUMMYFUNCTION("""COMPUTED_VALUE"""),"Office Product")</f>
        <v>Office Product</v>
      </c>
      <c r="O506" t="str">
        <f>IFERROR(__xludf.DUMMYFUNCTION("""COMPUTED_VALUE"""),"Y")</f>
        <v>Y</v>
      </c>
      <c r="P506" s="1" t="str">
        <f>IFERROR(__xludf.DUMMYFUNCTION("""COMPUTED_VALUE"""),"ID 12320")</f>
        <v>ID 12320</v>
      </c>
      <c r="Q506" s="1" t="str">
        <f>IFERROR(__xludf.DUMMYFUNCTION("""COMPUTED_VALUE"""),"B000PKUVO0")</f>
        <v>B000PKUVO0</v>
      </c>
    </row>
    <row r="507">
      <c r="A507" s="6">
        <f>IFERROR(__xludf.DUMMYFUNCTION("""COMPUTED_VALUE"""),44543.0)</f>
        <v>44543</v>
      </c>
      <c r="B507">
        <f>IFERROR(__xludf.DUMMYFUNCTION("""COMPUTED_VALUE"""),18425.0)</f>
        <v>18425</v>
      </c>
      <c r="C507" t="str">
        <f>IFERROR(__xludf.DUMMYFUNCTION("""COMPUTED_VALUE"""),"Adams Employee Payroll Record Book, 4.19 x 7.19 Inches, White and Canary, 2-Part, 55 Sets (D4743)")</f>
        <v>Adams Employee Payroll Record Book, 4.19 x 7.19 Inches, White and Canary, 2-Part, 55 Sets (D4743)</v>
      </c>
      <c r="D507" t="str">
        <f>IFERROR(__xludf.DUMMYFUNCTION("""COMPUTED_VALUE"""),"B0038JUBRW")</f>
        <v>B0038JUBRW</v>
      </c>
      <c r="E507" t="str">
        <f>IFERROR(__xludf.DUMMYFUNCTION("""COMPUTED_VALUE"""),"087958247435")</f>
        <v>087958247435</v>
      </c>
      <c r="F507">
        <f>IFERROR(__xludf.DUMMYFUNCTION("""COMPUTED_VALUE"""),1175.0)</f>
        <v>1175</v>
      </c>
      <c r="G507">
        <f>IFERROR(__xludf.DUMMYFUNCTION("""COMPUTED_VALUE"""),5000.0)</f>
        <v>5000</v>
      </c>
      <c r="H507" s="2">
        <f>IFERROR(__xludf.DUMMYFUNCTION("""COMPUTED_VALUE"""),2.25)</f>
        <v>2.25</v>
      </c>
      <c r="I507" s="2">
        <f>IFERROR(__xludf.DUMMYFUNCTION("""COMPUTED_VALUE"""),3.86)</f>
        <v>3.86</v>
      </c>
      <c r="J507" s="2">
        <f>IFERROR(__xludf.DUMMYFUNCTION("""COMPUTED_VALUE"""),1.6099999999999999)</f>
        <v>1.61</v>
      </c>
      <c r="K507" s="5">
        <f>IFERROR(__xludf.DUMMYFUNCTION("""COMPUTED_VALUE"""),0.7155555555555555)</f>
        <v>0.7155555556</v>
      </c>
      <c r="L507">
        <f>IFERROR(__xludf.DUMMYFUNCTION("""COMPUTED_VALUE"""),28511.0)</f>
        <v>28511</v>
      </c>
      <c r="M507" t="str">
        <f>IFERROR(__xludf.DUMMYFUNCTION("""COMPUTED_VALUE"""),"Office Product")</f>
        <v>Office Product</v>
      </c>
      <c r="O507" t="str">
        <f>IFERROR(__xludf.DUMMYFUNCTION("""COMPUTED_VALUE"""),"Y")</f>
        <v>Y</v>
      </c>
      <c r="P507" s="1" t="str">
        <f>IFERROR(__xludf.DUMMYFUNCTION("""COMPUTED_VALUE"""),"ID 18425")</f>
        <v>ID 18425</v>
      </c>
      <c r="Q507" s="1" t="str">
        <f>IFERROR(__xludf.DUMMYFUNCTION("""COMPUTED_VALUE"""),"B0038JUBRW")</f>
        <v>B0038JUBRW</v>
      </c>
    </row>
    <row r="508">
      <c r="A508" s="6">
        <f>IFERROR(__xludf.DUMMYFUNCTION("""COMPUTED_VALUE"""),45351.0)</f>
        <v>45351</v>
      </c>
      <c r="B508">
        <f>IFERROR(__xludf.DUMMYFUNCTION("""COMPUTED_VALUE"""),22187.0)</f>
        <v>22187</v>
      </c>
      <c r="C508" t="str">
        <f>IFERROR(__xludf.DUMMYFUNCTION("""COMPUTED_VALUE"""),"Alliance Rubber Company Inc. Antimicrobial Rubber Bands, Size 33, 3-1/2 x 1/8 Inches, Cyan Blue, 1/4 Pound Box (42339)")</f>
        <v>Alliance Rubber Company Inc. Antimicrobial Rubber Bands, Size 33, 3-1/2 x 1/8 Inches, Cyan Blue, 1/4 Pound Box (42339)</v>
      </c>
      <c r="D508" t="str">
        <f>IFERROR(__xludf.DUMMYFUNCTION("""COMPUTED_VALUE"""),"B0017TNUZU")</f>
        <v>B0017TNUZU</v>
      </c>
      <c r="E508" t="str">
        <f>IFERROR(__xludf.DUMMYFUNCTION("""COMPUTED_VALUE"""),"071815423391")</f>
        <v>071815423391</v>
      </c>
      <c r="F508">
        <f>IFERROR(__xludf.DUMMYFUNCTION("""COMPUTED_VALUE"""),720.0)</f>
        <v>720</v>
      </c>
      <c r="G508">
        <f>IFERROR(__xludf.DUMMYFUNCTION("""COMPUTED_VALUE"""),10000.0)</f>
        <v>10000</v>
      </c>
      <c r="H508" s="2">
        <f>IFERROR(__xludf.DUMMYFUNCTION("""COMPUTED_VALUE"""),1.75)</f>
        <v>1.75</v>
      </c>
      <c r="I508" s="2">
        <f>IFERROR(__xludf.DUMMYFUNCTION("""COMPUTED_VALUE"""),3.36)</f>
        <v>3.36</v>
      </c>
      <c r="J508" s="2">
        <f>IFERROR(__xludf.DUMMYFUNCTION("""COMPUTED_VALUE"""),1.6099999999999999)</f>
        <v>1.61</v>
      </c>
      <c r="K508" s="5">
        <f>IFERROR(__xludf.DUMMYFUNCTION("""COMPUTED_VALUE"""),0.9199999999999999)</f>
        <v>0.92</v>
      </c>
      <c r="L508">
        <f>IFERROR(__xludf.DUMMYFUNCTION("""COMPUTED_VALUE"""),82003.0)</f>
        <v>82003</v>
      </c>
      <c r="M508" t="str">
        <f>IFERROR(__xludf.DUMMYFUNCTION("""COMPUTED_VALUE"""),"Office Product")</f>
        <v>Office Product</v>
      </c>
      <c r="O508" t="str">
        <f>IFERROR(__xludf.DUMMYFUNCTION("""COMPUTED_VALUE"""),"N")</f>
        <v>N</v>
      </c>
      <c r="P508" s="1" t="str">
        <f>IFERROR(__xludf.DUMMYFUNCTION("""COMPUTED_VALUE"""),"ID 22187")</f>
        <v>ID 22187</v>
      </c>
      <c r="Q508" s="1" t="str">
        <f>IFERROR(__xludf.DUMMYFUNCTION("""COMPUTED_VALUE"""),"B0017TNUZU")</f>
        <v>B0017TNUZU</v>
      </c>
    </row>
    <row r="509">
      <c r="A509" s="6">
        <f>IFERROR(__xludf.DUMMYFUNCTION("""COMPUTED_VALUE"""),45376.0)</f>
        <v>45376</v>
      </c>
      <c r="B509">
        <f>IFERROR(__xludf.DUMMYFUNCTION("""COMPUTED_VALUE"""),9466.0)</f>
        <v>9466</v>
      </c>
      <c r="C509" t="str">
        <f>IFERROR(__xludf.DUMMYFUNCTION("""COMPUTED_VALUE"""),"UPD Disney Princess Sticker Pad 200 + Stickers")</f>
        <v>UPD Disney Princess Sticker Pad 200 + Stickers</v>
      </c>
      <c r="D509" t="str">
        <f>IFERROR(__xludf.DUMMYFUNCTION("""COMPUTED_VALUE"""),"B07K9156GB")</f>
        <v>B07K9156GB</v>
      </c>
      <c r="E509" t="str">
        <f>IFERROR(__xludf.DUMMYFUNCTION("""COMPUTED_VALUE"""),"724328147697")</f>
        <v>724328147697</v>
      </c>
      <c r="F509">
        <f>IFERROR(__xludf.DUMMYFUNCTION("""COMPUTED_VALUE"""),1728.0)</f>
        <v>1728</v>
      </c>
      <c r="G509">
        <f>IFERROR(__xludf.DUMMYFUNCTION("""COMPUTED_VALUE"""),11764.0)</f>
        <v>11764</v>
      </c>
      <c r="H509" s="2">
        <f>IFERROR(__xludf.DUMMYFUNCTION("""COMPUTED_VALUE"""),0.75)</f>
        <v>0.75</v>
      </c>
      <c r="I509" s="2">
        <f>IFERROR(__xludf.DUMMYFUNCTION("""COMPUTED_VALUE"""),2.36)</f>
        <v>2.36</v>
      </c>
      <c r="J509" s="2">
        <f>IFERROR(__xludf.DUMMYFUNCTION("""COMPUTED_VALUE"""),1.6099999999999999)</f>
        <v>1.61</v>
      </c>
      <c r="K509" s="5">
        <f>IFERROR(__xludf.DUMMYFUNCTION("""COMPUTED_VALUE"""),2.1466666666666665)</f>
        <v>2.146666667</v>
      </c>
      <c r="L509">
        <f>IFERROR(__xludf.DUMMYFUNCTION("""COMPUTED_VALUE"""),25075.0)</f>
        <v>25075</v>
      </c>
      <c r="M509" t="str">
        <f>IFERROR(__xludf.DUMMYFUNCTION("""COMPUTED_VALUE"""),"Toy")</f>
        <v>Toy</v>
      </c>
      <c r="O509" t="str">
        <f>IFERROR(__xludf.DUMMYFUNCTION("""COMPUTED_VALUE"""),"Y")</f>
        <v>Y</v>
      </c>
      <c r="P509" s="1" t="str">
        <f>IFERROR(__xludf.DUMMYFUNCTION("""COMPUTED_VALUE"""),"ID 9466")</f>
        <v>ID 9466</v>
      </c>
      <c r="Q509" s="1" t="str">
        <f>IFERROR(__xludf.DUMMYFUNCTION("""COMPUTED_VALUE"""),"B07K9156GB")</f>
        <v>B07K9156GB</v>
      </c>
    </row>
    <row r="510">
      <c r="A510" s="6">
        <f>IFERROR(__xludf.DUMMYFUNCTION("""COMPUTED_VALUE"""),44941.0)</f>
        <v>44941</v>
      </c>
      <c r="B510">
        <f>IFERROR(__xludf.DUMMYFUNCTION("""COMPUTED_VALUE"""),24896.0)</f>
        <v>24896</v>
      </c>
      <c r="C510" t="str">
        <f>IFERROR(__xludf.DUMMYFUNCTION("""COMPUTED_VALUE"""),"Sharpie 35532 Gold Paint Marker, Oil Based Ink, Extra Fine Point")</f>
        <v>Sharpie 35532 Gold Paint Marker, Oil Based Ink, Extra Fine Point</v>
      </c>
      <c r="D510" t="str">
        <f>IFERROR(__xludf.DUMMYFUNCTION("""COMPUTED_VALUE"""),"B004Y9QODA")</f>
        <v>B004Y9QODA</v>
      </c>
      <c r="E510" t="str">
        <f>IFERROR(__xludf.DUMMYFUNCTION("""COMPUTED_VALUE"""),"071641355323")</f>
        <v>071641355323</v>
      </c>
      <c r="F510">
        <f>IFERROR(__xludf.DUMMYFUNCTION("""COMPUTED_VALUE"""),1728.0)</f>
        <v>1728</v>
      </c>
      <c r="G510">
        <f>IFERROR(__xludf.DUMMYFUNCTION("""COMPUTED_VALUE"""),10000.0)</f>
        <v>10000</v>
      </c>
      <c r="H510" s="2">
        <f>IFERROR(__xludf.DUMMYFUNCTION("""COMPUTED_VALUE"""),1.75)</f>
        <v>1.75</v>
      </c>
      <c r="I510" s="2">
        <f>IFERROR(__xludf.DUMMYFUNCTION("""COMPUTED_VALUE"""),3.36)</f>
        <v>3.36</v>
      </c>
      <c r="J510" s="2">
        <f>IFERROR(__xludf.DUMMYFUNCTION("""COMPUTED_VALUE"""),1.6099999999999999)</f>
        <v>1.61</v>
      </c>
      <c r="K510" s="5">
        <f>IFERROR(__xludf.DUMMYFUNCTION("""COMPUTED_VALUE"""),0.9199999999999999)</f>
        <v>0.92</v>
      </c>
      <c r="L510">
        <f>IFERROR(__xludf.DUMMYFUNCTION("""COMPUTED_VALUE"""),66250.0)</f>
        <v>66250</v>
      </c>
      <c r="M510" t="str">
        <f>IFERROR(__xludf.DUMMYFUNCTION("""COMPUTED_VALUE"""),"Office Product")</f>
        <v>Office Product</v>
      </c>
      <c r="N510" t="str">
        <f>IFERROR(__xludf.DUMMYFUNCTION("""COMPUTED_VALUE"""),"UOM: 1 single unit. Prep buyers responsibility")</f>
        <v>UOM: 1 single unit. Prep buyers responsibility</v>
      </c>
      <c r="O510" t="str">
        <f>IFERROR(__xludf.DUMMYFUNCTION("""COMPUTED_VALUE"""),"N")</f>
        <v>N</v>
      </c>
      <c r="P510" s="1" t="str">
        <f>IFERROR(__xludf.DUMMYFUNCTION("""COMPUTED_VALUE"""),"ID 24896")</f>
        <v>ID 24896</v>
      </c>
      <c r="Q510" s="1" t="str">
        <f>IFERROR(__xludf.DUMMYFUNCTION("""COMPUTED_VALUE"""),"B004Y9QODA")</f>
        <v>B004Y9QODA</v>
      </c>
    </row>
    <row r="511">
      <c r="A511" s="6">
        <f>IFERROR(__xludf.DUMMYFUNCTION("""COMPUTED_VALUE"""),44458.0)</f>
        <v>44458</v>
      </c>
      <c r="B511">
        <f>IFERROR(__xludf.DUMMYFUNCTION("""COMPUTED_VALUE"""),18501.0)</f>
        <v>18501</v>
      </c>
      <c r="C511" t="str">
        <f>IFERROR(__xludf.DUMMYFUNCTION("""COMPUTED_VALUE"""),"Adams Spiral Bound Phone Message Book, Carbonless Duplicate, 4 Messages per Page, 200 Sets per Book (SC1184D)")</f>
        <v>Adams Spiral Bound Phone Message Book, Carbonless Duplicate, 4 Messages per Page, 200 Sets per Book (SC1184D)</v>
      </c>
      <c r="D511" t="str">
        <f>IFERROR(__xludf.DUMMYFUNCTION("""COMPUTED_VALUE"""),"B00006ICTF")</f>
        <v>B00006ICTF</v>
      </c>
      <c r="E511" t="str">
        <f>IFERROR(__xludf.DUMMYFUNCTION("""COMPUTED_VALUE"""),"87958411843")</f>
        <v>87958411843</v>
      </c>
      <c r="F511">
        <f>IFERROR(__xludf.DUMMYFUNCTION("""COMPUTED_VALUE"""),450.0)</f>
        <v>450</v>
      </c>
      <c r="G511">
        <f>IFERROR(__xludf.DUMMYFUNCTION("""COMPUTED_VALUE"""),5000.0)</f>
        <v>5000</v>
      </c>
      <c r="H511" s="2">
        <f>IFERROR(__xludf.DUMMYFUNCTION("""COMPUTED_VALUE"""),5.75)</f>
        <v>5.75</v>
      </c>
      <c r="I511" s="2">
        <f>IFERROR(__xludf.DUMMYFUNCTION("""COMPUTED_VALUE"""),7.35)</f>
        <v>7.35</v>
      </c>
      <c r="J511" s="2">
        <f>IFERROR(__xludf.DUMMYFUNCTION("""COMPUTED_VALUE"""),1.5999999999999996)</f>
        <v>1.6</v>
      </c>
      <c r="K511" s="5">
        <f>IFERROR(__xludf.DUMMYFUNCTION("""COMPUTED_VALUE"""),0.27826086956521734)</f>
        <v>0.2782608696</v>
      </c>
      <c r="L511">
        <f>IFERROR(__xludf.DUMMYFUNCTION("""COMPUTED_VALUE"""),47566.0)</f>
        <v>47566</v>
      </c>
      <c r="M511" t="str">
        <f>IFERROR(__xludf.DUMMYFUNCTION("""COMPUTED_VALUE"""),"Office Product")</f>
        <v>Office Product</v>
      </c>
      <c r="O511" t="str">
        <f>IFERROR(__xludf.DUMMYFUNCTION("""COMPUTED_VALUE"""),"Y")</f>
        <v>Y</v>
      </c>
      <c r="P511" s="1" t="str">
        <f>IFERROR(__xludf.DUMMYFUNCTION("""COMPUTED_VALUE"""),"ID 18501")</f>
        <v>ID 18501</v>
      </c>
      <c r="Q511" s="1" t="str">
        <f>IFERROR(__xludf.DUMMYFUNCTION("""COMPUTED_VALUE"""),"B00006ICTF")</f>
        <v>B00006ICTF</v>
      </c>
    </row>
    <row r="512">
      <c r="A512" s="6">
        <f>IFERROR(__xludf.DUMMYFUNCTION("""COMPUTED_VALUE"""),45265.0)</f>
        <v>45265</v>
      </c>
      <c r="B512">
        <f>IFERROR(__xludf.DUMMYFUNCTION("""COMPUTED_VALUE"""),24797.0)</f>
        <v>24797</v>
      </c>
      <c r="C512" t="str">
        <f>IFERROR(__xludf.DUMMYFUNCTION("""COMPUTED_VALUE"""),"Duck Brand Insulating Foam Pipe Covers, 0.75-Inch by 3-Feet, Pack of 4 Sticks, 1285241")</f>
        <v>Duck Brand Insulating Foam Pipe Covers, 0.75-Inch by 3-Feet, Pack of 4 Sticks, 1285241</v>
      </c>
      <c r="D512" t="str">
        <f>IFERROR(__xludf.DUMMYFUNCTION("""COMPUTED_VALUE"""),"B002GKC2VM")</f>
        <v>B002GKC2VM</v>
      </c>
      <c r="E512" t="str">
        <f>IFERROR(__xludf.DUMMYFUNCTION("""COMPUTED_VALUE"""),"075353012963")</f>
        <v>075353012963</v>
      </c>
      <c r="F512">
        <f>IFERROR(__xludf.DUMMYFUNCTION("""COMPUTED_VALUE"""),258.0)</f>
        <v>258</v>
      </c>
      <c r="G512">
        <f>IFERROR(__xludf.DUMMYFUNCTION("""COMPUTED_VALUE"""),10000.0)</f>
        <v>10000</v>
      </c>
      <c r="H512" s="2">
        <f>IFERROR(__xludf.DUMMYFUNCTION("""COMPUTED_VALUE"""),4.75)</f>
        <v>4.75</v>
      </c>
      <c r="I512" s="2">
        <f>IFERROR(__xludf.DUMMYFUNCTION("""COMPUTED_VALUE"""),6.34)</f>
        <v>6.34</v>
      </c>
      <c r="J512" s="2">
        <f>IFERROR(__xludf.DUMMYFUNCTION("""COMPUTED_VALUE"""),1.5899999999999999)</f>
        <v>1.59</v>
      </c>
      <c r="K512" s="5">
        <f>IFERROR(__xludf.DUMMYFUNCTION("""COMPUTED_VALUE"""),0.3347368421052631)</f>
        <v>0.3347368421</v>
      </c>
      <c r="L512">
        <f>IFERROR(__xludf.DUMMYFUNCTION("""COMPUTED_VALUE"""),70525.0)</f>
        <v>70525</v>
      </c>
      <c r="M512" t="str">
        <f>IFERROR(__xludf.DUMMYFUNCTION("""COMPUTED_VALUE"""),"Home Improvement")</f>
        <v>Home Improvement</v>
      </c>
      <c r="O512" t="str">
        <f>IFERROR(__xludf.DUMMYFUNCTION("""COMPUTED_VALUE"""),"N")</f>
        <v>N</v>
      </c>
      <c r="P512" s="1" t="str">
        <f>IFERROR(__xludf.DUMMYFUNCTION("""COMPUTED_VALUE"""),"ID 24797")</f>
        <v>ID 24797</v>
      </c>
      <c r="Q512" s="1" t="str">
        <f>IFERROR(__xludf.DUMMYFUNCTION("""COMPUTED_VALUE"""),"B002GKC2VM")</f>
        <v>B002GKC2VM</v>
      </c>
    </row>
    <row r="513">
      <c r="A513" s="6">
        <f>IFERROR(__xludf.DUMMYFUNCTION("""COMPUTED_VALUE"""),45390.0)</f>
        <v>45390</v>
      </c>
      <c r="B513">
        <f>IFERROR(__xludf.DUMMYFUNCTION("""COMPUTED_VALUE"""),13759.0)</f>
        <v>13759</v>
      </c>
      <c r="C513" t="str">
        <f>IFERROR(__xludf.DUMMYFUNCTION("""COMPUTED_VALUE"""),"Chef Craft 21488 1-Piece Stainless Steel Mesh Strainer, 7"", White")</f>
        <v>Chef Craft 21488 1-Piece Stainless Steel Mesh Strainer, 7", White</v>
      </c>
      <c r="D513" t="str">
        <f>IFERROR(__xludf.DUMMYFUNCTION("""COMPUTED_VALUE"""),"B0021ZGTVQ")</f>
        <v>B0021ZGTVQ</v>
      </c>
      <c r="E513" t="str">
        <f>IFERROR(__xludf.DUMMYFUNCTION("""COMPUTED_VALUE"""),"085455214882")</f>
        <v>085455214882</v>
      </c>
      <c r="F513">
        <f>IFERROR(__xludf.DUMMYFUNCTION("""COMPUTED_VALUE"""),1008.0)</f>
        <v>1008</v>
      </c>
      <c r="G513">
        <f>IFERROR(__xludf.DUMMYFUNCTION("""COMPUTED_VALUE"""),10000.0)</f>
        <v>10000</v>
      </c>
      <c r="H513" s="2">
        <f>IFERROR(__xludf.DUMMYFUNCTION("""COMPUTED_VALUE"""),1.0)</f>
        <v>1</v>
      </c>
      <c r="I513" s="2">
        <f>IFERROR(__xludf.DUMMYFUNCTION("""COMPUTED_VALUE"""),2.58)</f>
        <v>2.58</v>
      </c>
      <c r="J513" s="2">
        <f>IFERROR(__xludf.DUMMYFUNCTION("""COMPUTED_VALUE"""),1.58)</f>
        <v>1.58</v>
      </c>
      <c r="K513" s="5">
        <f>IFERROR(__xludf.DUMMYFUNCTION("""COMPUTED_VALUE"""),1.58)</f>
        <v>1.58</v>
      </c>
      <c r="L513">
        <f>IFERROR(__xludf.DUMMYFUNCTION("""COMPUTED_VALUE"""),46041.0)</f>
        <v>46041</v>
      </c>
      <c r="M513" t="str">
        <f>IFERROR(__xludf.DUMMYFUNCTION("""COMPUTED_VALUE"""),"Kitchen")</f>
        <v>Kitchen</v>
      </c>
      <c r="O513" t="str">
        <f>IFERROR(__xludf.DUMMYFUNCTION("""COMPUTED_VALUE"""),"Y")</f>
        <v>Y</v>
      </c>
      <c r="P513" s="1" t="str">
        <f>IFERROR(__xludf.DUMMYFUNCTION("""COMPUTED_VALUE"""),"ID 13759")</f>
        <v>ID 13759</v>
      </c>
      <c r="Q513" s="1" t="str">
        <f>IFERROR(__xludf.DUMMYFUNCTION("""COMPUTED_VALUE"""),"B0021ZGTVQ")</f>
        <v>B0021ZGTVQ</v>
      </c>
    </row>
    <row r="514">
      <c r="A514" s="6">
        <f>IFERROR(__xludf.DUMMYFUNCTION("""COMPUTED_VALUE"""),44544.0)</f>
        <v>44544</v>
      </c>
      <c r="B514">
        <f>IFERROR(__xludf.DUMMYFUNCTION("""COMPUTED_VALUE"""),23992.0)</f>
        <v>23992</v>
      </c>
      <c r="C514" t="str">
        <f>IFERROR(__xludf.DUMMYFUNCTION("""COMPUTED_VALUE"""),"DAVID Roasted and Salted Ranch Jumbo Sunflower Seeds, Keto Friendly, 5.25 oz")</f>
        <v>DAVID Roasted and Salted Ranch Jumbo Sunflower Seeds, Keto Friendly, 5.25 oz</v>
      </c>
      <c r="D514" t="str">
        <f>IFERROR(__xludf.DUMMYFUNCTION("""COMPUTED_VALUE"""),"B000RPVX0Y")</f>
        <v>B000RPVX0Y</v>
      </c>
      <c r="E514" t="str">
        <f>IFERROR(__xludf.DUMMYFUNCTION("""COMPUTED_VALUE"""),"26200467726")</f>
        <v>26200467726</v>
      </c>
      <c r="F514">
        <f>IFERROR(__xludf.DUMMYFUNCTION("""COMPUTED_VALUE"""),360.0)</f>
        <v>360</v>
      </c>
      <c r="G514">
        <f>IFERROR(__xludf.DUMMYFUNCTION("""COMPUTED_VALUE"""),360.0)</f>
        <v>360</v>
      </c>
      <c r="H514" s="2">
        <f>IFERROR(__xludf.DUMMYFUNCTION("""COMPUTED_VALUE"""),2.0)</f>
        <v>2</v>
      </c>
      <c r="I514" s="2">
        <f>IFERROR(__xludf.DUMMYFUNCTION("""COMPUTED_VALUE"""),3.56)</f>
        <v>3.56</v>
      </c>
      <c r="J514" s="2">
        <f>IFERROR(__xludf.DUMMYFUNCTION("""COMPUTED_VALUE"""),1.56)</f>
        <v>1.56</v>
      </c>
      <c r="K514" s="5">
        <f>IFERROR(__xludf.DUMMYFUNCTION("""COMPUTED_VALUE"""),0.78)</f>
        <v>0.78</v>
      </c>
      <c r="L514">
        <f>IFERROR(__xludf.DUMMYFUNCTION("""COMPUTED_VALUE"""),7173.0)</f>
        <v>7173</v>
      </c>
      <c r="M514" t="str">
        <f>IFERROR(__xludf.DUMMYFUNCTION("""COMPUTED_VALUE"""),"Grocery")</f>
        <v>Grocery</v>
      </c>
      <c r="O514" t="str">
        <f>IFERROR(__xludf.DUMMYFUNCTION("""COMPUTED_VALUE"""),"N")</f>
        <v>N</v>
      </c>
      <c r="P514" s="1" t="str">
        <f>IFERROR(__xludf.DUMMYFUNCTION("""COMPUTED_VALUE"""),"ID 23992")</f>
        <v>ID 23992</v>
      </c>
      <c r="Q514" s="1" t="str">
        <f>IFERROR(__xludf.DUMMYFUNCTION("""COMPUTED_VALUE"""),"B000RPVX0Y")</f>
        <v>B000RPVX0Y</v>
      </c>
    </row>
    <row r="515">
      <c r="A515" s="6">
        <f>IFERROR(__xludf.DUMMYFUNCTION("""COMPUTED_VALUE"""),44769.0)</f>
        <v>44769</v>
      </c>
      <c r="B515">
        <f>IFERROR(__xludf.DUMMYFUNCTION("""COMPUTED_VALUE"""),8458.0)</f>
        <v>8458</v>
      </c>
      <c r="C515" t="str">
        <f>IFERROR(__xludf.DUMMYFUNCTION("""COMPUTED_VALUE"""),"Evo Check Case for iPhone X - Rose Tint/White")</f>
        <v>Evo Check Case for iPhone X - Rose Tint/White</v>
      </c>
      <c r="D515" t="str">
        <f>IFERROR(__xludf.DUMMYFUNCTION("""COMPUTED_VALUE"""),"B0749N1W25")</f>
        <v>B0749N1W25</v>
      </c>
      <c r="F515">
        <f>IFERROR(__xludf.DUMMYFUNCTION("""COMPUTED_VALUE"""),500.0)</f>
        <v>500</v>
      </c>
      <c r="G515">
        <f>IFERROR(__xludf.DUMMYFUNCTION("""COMPUTED_VALUE"""),2000.0)</f>
        <v>2000</v>
      </c>
      <c r="H515" s="2">
        <f>IFERROR(__xludf.DUMMYFUNCTION("""COMPUTED_VALUE"""),4.5)</f>
        <v>4.5</v>
      </c>
      <c r="I515" s="2">
        <f>IFERROR(__xludf.DUMMYFUNCTION("""COMPUTED_VALUE"""),6.05)</f>
        <v>6.05</v>
      </c>
      <c r="J515" s="2">
        <f>IFERROR(__xludf.DUMMYFUNCTION("""COMPUTED_VALUE"""),1.5499999999999998)</f>
        <v>1.55</v>
      </c>
      <c r="K515" s="5">
        <f>IFERROR(__xludf.DUMMYFUNCTION("""COMPUTED_VALUE"""),0.3444444444444444)</f>
        <v>0.3444444444</v>
      </c>
      <c r="L515">
        <f>IFERROR(__xludf.DUMMYFUNCTION("""COMPUTED_VALUE"""),46545.0)</f>
        <v>46545</v>
      </c>
      <c r="M515" t="str">
        <f>IFERROR(__xludf.DUMMYFUNCTION("""COMPUTED_VALUE"""),"Wireless")</f>
        <v>Wireless</v>
      </c>
      <c r="O515" t="str">
        <f>IFERROR(__xludf.DUMMYFUNCTION("""COMPUTED_VALUE"""),"Y")</f>
        <v>Y</v>
      </c>
      <c r="P515" s="1" t="str">
        <f>IFERROR(__xludf.DUMMYFUNCTION("""COMPUTED_VALUE"""),"ID 8458")</f>
        <v>ID 8458</v>
      </c>
      <c r="Q515" s="1" t="str">
        <f>IFERROR(__xludf.DUMMYFUNCTION("""COMPUTED_VALUE"""),"B0749N1W25")</f>
        <v>B0749N1W25</v>
      </c>
    </row>
    <row r="516">
      <c r="A516" s="6">
        <f>IFERROR(__xludf.DUMMYFUNCTION("""COMPUTED_VALUE"""),45118.0)</f>
        <v>45118</v>
      </c>
      <c r="B516">
        <f>IFERROR(__xludf.DUMMYFUNCTION("""COMPUTED_VALUE"""),15186.0)</f>
        <v>15186</v>
      </c>
      <c r="C516" t="str">
        <f>IFERROR(__xludf.DUMMYFUNCTION("""COMPUTED_VALUE"""),"Prismacolor Premier Soft Core Colored Pencil, Single, Neon Orange (Open Stock)")</f>
        <v>Prismacolor Premier Soft Core Colored Pencil, Single, Neon Orange (Open Stock)</v>
      </c>
      <c r="D516" t="str">
        <f>IFERROR(__xludf.DUMMYFUNCTION("""COMPUTED_VALUE"""),"B00652FGZ6")</f>
        <v>B00652FGZ6</v>
      </c>
      <c r="E516" t="str">
        <f>IFERROR(__xludf.DUMMYFUNCTION("""COMPUTED_VALUE"""),"070735004000")</f>
        <v>070735004000</v>
      </c>
      <c r="F516">
        <f>IFERROR(__xludf.DUMMYFUNCTION("""COMPUTED_VALUE"""),4320.0)</f>
        <v>4320</v>
      </c>
      <c r="G516">
        <f>IFERROR(__xludf.DUMMYFUNCTION("""COMPUTED_VALUE"""),10000.0)</f>
        <v>10000</v>
      </c>
      <c r="H516" s="2">
        <f>IFERROR(__xludf.DUMMYFUNCTION("""COMPUTED_VALUE"""),1.25)</f>
        <v>1.25</v>
      </c>
      <c r="I516" s="2">
        <f>IFERROR(__xludf.DUMMYFUNCTION("""COMPUTED_VALUE"""),2.8)</f>
        <v>2.8</v>
      </c>
      <c r="J516" s="2">
        <f>IFERROR(__xludf.DUMMYFUNCTION("""COMPUTED_VALUE"""),1.5499999999999998)</f>
        <v>1.55</v>
      </c>
      <c r="K516" s="5">
        <f>IFERROR(__xludf.DUMMYFUNCTION("""COMPUTED_VALUE"""),1.2399999999999998)</f>
        <v>1.24</v>
      </c>
      <c r="L516">
        <f>IFERROR(__xludf.DUMMYFUNCTION("""COMPUTED_VALUE"""),68108.0)</f>
        <v>68108</v>
      </c>
      <c r="M516" t="str">
        <f>IFERROR(__xludf.DUMMYFUNCTION("""COMPUTED_VALUE"""),"Office Product")</f>
        <v>Office Product</v>
      </c>
      <c r="O516" t="str">
        <f>IFERROR(__xludf.DUMMYFUNCTION("""COMPUTED_VALUE"""),"N")</f>
        <v>N</v>
      </c>
      <c r="P516" s="1" t="str">
        <f>IFERROR(__xludf.DUMMYFUNCTION("""COMPUTED_VALUE"""),"ID 15186")</f>
        <v>ID 15186</v>
      </c>
      <c r="Q516" s="1" t="str">
        <f>IFERROR(__xludf.DUMMYFUNCTION("""COMPUTED_VALUE"""),"B00652FGZ6")</f>
        <v>B00652FGZ6</v>
      </c>
    </row>
    <row r="517">
      <c r="A517" s="6">
        <f>IFERROR(__xludf.DUMMYFUNCTION("""COMPUTED_VALUE"""),45383.0)</f>
        <v>45383</v>
      </c>
      <c r="B517">
        <f>IFERROR(__xludf.DUMMYFUNCTION("""COMPUTED_VALUE"""),21235.0)</f>
        <v>21235</v>
      </c>
      <c r="C517" t="str">
        <f>IFERROR(__xludf.DUMMYFUNCTION("""COMPUTED_VALUE"""),"Skylanders Giants - Lightcore Character Pack - Jet-vac (wii/ps3/xbox")</f>
        <v>Skylanders Giants - Lightcore Character Pack - Jet-vac (wii/ps3/xbox</v>
      </c>
      <c r="D517" t="str">
        <f>IFERROR(__xludf.DUMMYFUNCTION("""COMPUTED_VALUE"""),"B008HG1QWA")</f>
        <v>B008HG1QWA</v>
      </c>
      <c r="E517" t="str">
        <f>IFERROR(__xludf.DUMMYFUNCTION("""COMPUTED_VALUE"""),"5030917116391")</f>
        <v>5030917116391</v>
      </c>
      <c r="F517">
        <f>IFERROR(__xludf.DUMMYFUNCTION("""COMPUTED_VALUE"""),150.0)</f>
        <v>150</v>
      </c>
      <c r="G517">
        <f>IFERROR(__xludf.DUMMYFUNCTION("""COMPUTED_VALUE"""),10000.0)</f>
        <v>10000</v>
      </c>
      <c r="H517" s="2">
        <f>IFERROR(__xludf.DUMMYFUNCTION("""COMPUTED_VALUE"""),7.0)</f>
        <v>7</v>
      </c>
      <c r="I517" s="2">
        <f>IFERROR(__xludf.DUMMYFUNCTION("""COMPUTED_VALUE"""),8.55)</f>
        <v>8.55</v>
      </c>
      <c r="J517" s="2">
        <f>IFERROR(__xludf.DUMMYFUNCTION("""COMPUTED_VALUE"""),1.5500000000000007)</f>
        <v>1.55</v>
      </c>
      <c r="K517" s="5">
        <f>IFERROR(__xludf.DUMMYFUNCTION("""COMPUTED_VALUE"""),0.22142857142857153)</f>
        <v>0.2214285714</v>
      </c>
      <c r="L517">
        <f>IFERROR(__xludf.DUMMYFUNCTION("""COMPUTED_VALUE"""),68295.0)</f>
        <v>68295</v>
      </c>
      <c r="M517" t="str">
        <f>IFERROR(__xludf.DUMMYFUNCTION("""COMPUTED_VALUE"""),"Toy")</f>
        <v>Toy</v>
      </c>
      <c r="O517" t="str">
        <f>IFERROR(__xludf.DUMMYFUNCTION("""COMPUTED_VALUE"""),"N")</f>
        <v>N</v>
      </c>
      <c r="P517" s="1" t="str">
        <f>IFERROR(__xludf.DUMMYFUNCTION("""COMPUTED_VALUE"""),"ID 21235")</f>
        <v>ID 21235</v>
      </c>
      <c r="Q517" s="1" t="str">
        <f>IFERROR(__xludf.DUMMYFUNCTION("""COMPUTED_VALUE"""),"B008HG1QWA")</f>
        <v>B008HG1QWA</v>
      </c>
    </row>
    <row r="518">
      <c r="A518" s="6">
        <f>IFERROR(__xludf.DUMMYFUNCTION("""COMPUTED_VALUE"""),45348.0)</f>
        <v>45348</v>
      </c>
      <c r="B518">
        <f>IFERROR(__xludf.DUMMYFUNCTION("""COMPUTED_VALUE"""),22814.0)</f>
        <v>22814</v>
      </c>
      <c r="C518" t="str">
        <f>IFERROR(__xludf.DUMMYFUNCTION("""COMPUTED_VALUE"""),"ACCO PRESSTEX Report Cover, Side Bound, Tyvek Reinforced Hinge, 8.5 Inch Centers, 3 Inch Capacity, Letter Size, Executive Red (A7025079A)")</f>
        <v>ACCO PRESSTEX Report Cover, Side Bound, Tyvek Reinforced Hinge, 8.5 Inch Centers, 3 Inch Capacity, Letter Size, Executive Red (A7025079A)</v>
      </c>
      <c r="D518" t="str">
        <f>IFERROR(__xludf.DUMMYFUNCTION("""COMPUTED_VALUE"""),"B00006IERT")</f>
        <v>B00006IERT</v>
      </c>
      <c r="E518" t="str">
        <f>IFERROR(__xludf.DUMMYFUNCTION("""COMPUTED_VALUE"""),"050505250790")</f>
        <v>050505250790</v>
      </c>
      <c r="F518">
        <f>IFERROR(__xludf.DUMMYFUNCTION("""COMPUTED_VALUE"""),800.0)</f>
        <v>800</v>
      </c>
      <c r="G518">
        <f>IFERROR(__xludf.DUMMYFUNCTION("""COMPUTED_VALUE"""),10000.0)</f>
        <v>10000</v>
      </c>
      <c r="H518" s="2">
        <f>IFERROR(__xludf.DUMMYFUNCTION("""COMPUTED_VALUE"""),3.0)</f>
        <v>3</v>
      </c>
      <c r="I518" s="2">
        <f>IFERROR(__xludf.DUMMYFUNCTION("""COMPUTED_VALUE"""),4.55)</f>
        <v>4.55</v>
      </c>
      <c r="J518" s="2">
        <f>IFERROR(__xludf.DUMMYFUNCTION("""COMPUTED_VALUE"""),1.5499999999999998)</f>
        <v>1.55</v>
      </c>
      <c r="K518" s="5">
        <f>IFERROR(__xludf.DUMMYFUNCTION("""COMPUTED_VALUE"""),0.5166666666666666)</f>
        <v>0.5166666667</v>
      </c>
      <c r="L518">
        <f>IFERROR(__xludf.DUMMYFUNCTION("""COMPUTED_VALUE"""),33797.0)</f>
        <v>33797</v>
      </c>
      <c r="M518" t="str">
        <f>IFERROR(__xludf.DUMMYFUNCTION("""COMPUTED_VALUE"""),"Office Product")</f>
        <v>Office Product</v>
      </c>
      <c r="N518"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518" t="str">
        <f>IFERROR(__xludf.DUMMYFUNCTION("""COMPUTED_VALUE"""),"Y")</f>
        <v>Y</v>
      </c>
      <c r="P518" s="1" t="str">
        <f>IFERROR(__xludf.DUMMYFUNCTION("""COMPUTED_VALUE"""),"ID 22814")</f>
        <v>ID 22814</v>
      </c>
      <c r="Q518" s="1" t="str">
        <f>IFERROR(__xludf.DUMMYFUNCTION("""COMPUTED_VALUE"""),"B00006IERT")</f>
        <v>B00006IERT</v>
      </c>
    </row>
    <row r="519">
      <c r="A519" s="6">
        <f>IFERROR(__xludf.DUMMYFUNCTION("""COMPUTED_VALUE"""),44627.0)</f>
        <v>44627</v>
      </c>
      <c r="B519">
        <f>IFERROR(__xludf.DUMMYFUNCTION("""COMPUTED_VALUE"""),16278.0)</f>
        <v>16278</v>
      </c>
      <c r="C519" t="str">
        <f>IFERROR(__xludf.DUMMYFUNCTION("""COMPUTED_VALUE"""),"Zippo Cross, Queen and Skull Design Brushed Chrome Pocket Lighter, One Size")</f>
        <v>Zippo Cross, Queen and Skull Design Brushed Chrome Pocket Lighter, One Size</v>
      </c>
      <c r="D519" t="str">
        <f>IFERROR(__xludf.DUMMYFUNCTION("""COMPUTED_VALUE"""),"B0892RB9PN")</f>
        <v>B0892RB9PN</v>
      </c>
      <c r="E519" t="str">
        <f>IFERROR(__xludf.DUMMYFUNCTION("""COMPUTED_VALUE"""),"191693166330")</f>
        <v>191693166330</v>
      </c>
      <c r="F519">
        <f>IFERROR(__xludf.DUMMYFUNCTION("""COMPUTED_VALUE"""),200.0)</f>
        <v>200</v>
      </c>
      <c r="G519">
        <f>IFERROR(__xludf.DUMMYFUNCTION("""COMPUTED_VALUE"""),1000.0)</f>
        <v>1000</v>
      </c>
      <c r="H519" s="2">
        <f>IFERROR(__xludf.DUMMYFUNCTION("""COMPUTED_VALUE"""),12.75)</f>
        <v>12.75</v>
      </c>
      <c r="I519" s="2">
        <f>IFERROR(__xludf.DUMMYFUNCTION("""COMPUTED_VALUE"""),14.29)</f>
        <v>14.29</v>
      </c>
      <c r="J519" s="2">
        <f>IFERROR(__xludf.DUMMYFUNCTION("""COMPUTED_VALUE"""),1.5399999999999991)</f>
        <v>1.54</v>
      </c>
      <c r="K519" s="5">
        <f>IFERROR(__xludf.DUMMYFUNCTION("""COMPUTED_VALUE"""),0.12078431372549013)</f>
        <v>0.1207843137</v>
      </c>
      <c r="L519">
        <f>IFERROR(__xludf.DUMMYFUNCTION("""COMPUTED_VALUE"""),41130.0)</f>
        <v>41130</v>
      </c>
      <c r="M519" t="str">
        <f>IFERROR(__xludf.DUMMYFUNCTION("""COMPUTED_VALUE"""),"Sports")</f>
        <v>Sports</v>
      </c>
      <c r="O519" t="str">
        <f>IFERROR(__xludf.DUMMYFUNCTION("""COMPUTED_VALUE"""),"N")</f>
        <v>N</v>
      </c>
      <c r="P519" s="1" t="str">
        <f>IFERROR(__xludf.DUMMYFUNCTION("""COMPUTED_VALUE"""),"ID 16278")</f>
        <v>ID 16278</v>
      </c>
      <c r="Q519" s="1" t="str">
        <f>IFERROR(__xludf.DUMMYFUNCTION("""COMPUTED_VALUE"""),"B0892RB9PN")</f>
        <v>B0892RB9PN</v>
      </c>
    </row>
    <row r="520">
      <c r="A520" s="6">
        <f>IFERROR(__xludf.DUMMYFUNCTION("""COMPUTED_VALUE"""),44811.0)</f>
        <v>44811</v>
      </c>
      <c r="B520">
        <f>IFERROR(__xludf.DUMMYFUNCTION("""COMPUTED_VALUE"""),18265.0)</f>
        <v>18265</v>
      </c>
      <c r="C520" t="str">
        <f>IFERROR(__xludf.DUMMYFUNCTION("""COMPUTED_VALUE"""),"Clear Pineapple Glass Shade - 3-1/4-Inch Fitter Opening")</f>
        <v>Clear Pineapple Glass Shade - 3-1/4-Inch Fitter Opening</v>
      </c>
      <c r="D520" t="str">
        <f>IFERROR(__xludf.DUMMYFUNCTION("""COMPUTED_VALUE"""),"B0018A9KWK")</f>
        <v>B0018A9KWK</v>
      </c>
      <c r="E520" t="str">
        <f>IFERROR(__xludf.DUMMYFUNCTION("""COMPUTED_VALUE"""),"045923501128")</f>
        <v>045923501128</v>
      </c>
      <c r="F520">
        <f>IFERROR(__xludf.DUMMYFUNCTION("""COMPUTED_VALUE"""),228.0)</f>
        <v>228</v>
      </c>
      <c r="G520">
        <f>IFERROR(__xludf.DUMMYFUNCTION("""COMPUTED_VALUE"""),1000.0)</f>
        <v>1000</v>
      </c>
      <c r="H520" s="2">
        <f>IFERROR(__xludf.DUMMYFUNCTION("""COMPUTED_VALUE"""),5.75)</f>
        <v>5.75</v>
      </c>
      <c r="I520" s="2">
        <f>IFERROR(__xludf.DUMMYFUNCTION("""COMPUTED_VALUE"""),7.29)</f>
        <v>7.29</v>
      </c>
      <c r="J520" s="2">
        <f>IFERROR(__xludf.DUMMYFUNCTION("""COMPUTED_VALUE"""),1.54)</f>
        <v>1.54</v>
      </c>
      <c r="K520" s="5">
        <f>IFERROR(__xludf.DUMMYFUNCTION("""COMPUTED_VALUE"""),0.26782608695652177)</f>
        <v>0.267826087</v>
      </c>
      <c r="L520">
        <f>IFERROR(__xludf.DUMMYFUNCTION("""COMPUTED_VALUE"""),58532.0)</f>
        <v>58532</v>
      </c>
      <c r="M520" t="str">
        <f>IFERROR(__xludf.DUMMYFUNCTION("""COMPUTED_VALUE"""),"Lighting")</f>
        <v>Lighting</v>
      </c>
      <c r="O520" t="str">
        <f>IFERROR(__xludf.DUMMYFUNCTION("""COMPUTED_VALUE"""),"N")</f>
        <v>N</v>
      </c>
      <c r="P520" s="1" t="str">
        <f>IFERROR(__xludf.DUMMYFUNCTION("""COMPUTED_VALUE"""),"ID 18265")</f>
        <v>ID 18265</v>
      </c>
      <c r="Q520" s="1" t="str">
        <f>IFERROR(__xludf.DUMMYFUNCTION("""COMPUTED_VALUE"""),"B0018A9KWK")</f>
        <v>B0018A9KWK</v>
      </c>
    </row>
    <row r="521">
      <c r="A521" s="6">
        <f>IFERROR(__xludf.DUMMYFUNCTION("""COMPUTED_VALUE"""),45376.0)</f>
        <v>45376</v>
      </c>
      <c r="B521">
        <f>IFERROR(__xludf.DUMMYFUNCTION("""COMPUTED_VALUE"""),21949.0)</f>
        <v>21949</v>
      </c>
      <c r="C521" t="str">
        <f>IFERROR(__xludf.DUMMYFUNCTION("""COMPUTED_VALUE"""),"Ticonderoga Woodcase Pencils, #4 2H Extra Hard, Yellow, 12 Count (Pack of 1)")</f>
        <v>Ticonderoga Woodcase Pencils, #4 2H Extra Hard, Yellow, 12 Count (Pack of 1)</v>
      </c>
      <c r="D521" t="str">
        <f>IFERROR(__xludf.DUMMYFUNCTION("""COMPUTED_VALUE"""),"B000Y4A1H4")</f>
        <v>B000Y4A1H4</v>
      </c>
      <c r="E521" t="str">
        <f>IFERROR(__xludf.DUMMYFUNCTION("""COMPUTED_VALUE"""),"072067138842")</f>
        <v>072067138842</v>
      </c>
      <c r="F521">
        <f>IFERROR(__xludf.DUMMYFUNCTION("""COMPUTED_VALUE"""),1680.0)</f>
        <v>1680</v>
      </c>
      <c r="G521">
        <f>IFERROR(__xludf.DUMMYFUNCTION("""COMPUTED_VALUE"""),10000.0)</f>
        <v>10000</v>
      </c>
      <c r="H521" s="2">
        <f>IFERROR(__xludf.DUMMYFUNCTION("""COMPUTED_VALUE"""),2.25)</f>
        <v>2.25</v>
      </c>
      <c r="I521" s="2">
        <f>IFERROR(__xludf.DUMMYFUNCTION("""COMPUTED_VALUE"""),3.79)</f>
        <v>3.79</v>
      </c>
      <c r="J521" s="2">
        <f>IFERROR(__xludf.DUMMYFUNCTION("""COMPUTED_VALUE"""),1.54)</f>
        <v>1.54</v>
      </c>
      <c r="K521" s="5">
        <f>IFERROR(__xludf.DUMMYFUNCTION("""COMPUTED_VALUE"""),0.6844444444444444)</f>
        <v>0.6844444444</v>
      </c>
      <c r="L521">
        <f>IFERROR(__xludf.DUMMYFUNCTION("""COMPUTED_VALUE"""),4447.0)</f>
        <v>4447</v>
      </c>
      <c r="M521" t="str">
        <f>IFERROR(__xludf.DUMMYFUNCTION("""COMPUTED_VALUE"""),"Office Product")</f>
        <v>Office Product</v>
      </c>
      <c r="O521" t="str">
        <f>IFERROR(__xludf.DUMMYFUNCTION("""COMPUTED_VALUE"""),"N")</f>
        <v>N</v>
      </c>
      <c r="P521" s="1" t="str">
        <f>IFERROR(__xludf.DUMMYFUNCTION("""COMPUTED_VALUE"""),"ID 21949")</f>
        <v>ID 21949</v>
      </c>
      <c r="Q521" s="1" t="str">
        <f>IFERROR(__xludf.DUMMYFUNCTION("""COMPUTED_VALUE"""),"B000Y4A1H4")</f>
        <v>B000Y4A1H4</v>
      </c>
    </row>
    <row r="522">
      <c r="A522" s="6">
        <f>IFERROR(__xludf.DUMMYFUNCTION("""COMPUTED_VALUE"""),45391.0)</f>
        <v>45391</v>
      </c>
      <c r="B522">
        <f>IFERROR(__xludf.DUMMYFUNCTION("""COMPUTED_VALUE"""),11071.0)</f>
        <v>11071</v>
      </c>
      <c r="C522" t="str">
        <f>IFERROR(__xludf.DUMMYFUNCTION("""COMPUTED_VALUE"""),"Katy Perry Mad Potion Eau De Parfum Spray for Women, 3.4 Fl Oz (Packaging May Vary)")</f>
        <v>Katy Perry Mad Potion Eau De Parfum Spray for Women, 3.4 Fl Oz (Packaging May Vary)</v>
      </c>
      <c r="D522" t="str">
        <f>IFERROR(__xludf.DUMMYFUNCTION("""COMPUTED_VALUE"""),"B010SABDMA")</f>
        <v>B010SABDMA</v>
      </c>
      <c r="E522" t="str">
        <f>IFERROR(__xludf.DUMMYFUNCTION("""COMPUTED_VALUE"""),"3607349312459")</f>
        <v>3607349312459</v>
      </c>
      <c r="F522">
        <f>IFERROR(__xludf.DUMMYFUNCTION("""COMPUTED_VALUE"""),80.0)</f>
        <v>80</v>
      </c>
      <c r="G522">
        <f>IFERROR(__xludf.DUMMYFUNCTION("""COMPUTED_VALUE"""),10000.0)</f>
        <v>10000</v>
      </c>
      <c r="H522" s="2">
        <f>IFERROR(__xludf.DUMMYFUNCTION("""COMPUTED_VALUE"""),16.5)</f>
        <v>16.5</v>
      </c>
      <c r="I522" s="2">
        <f>IFERROR(__xludf.DUMMYFUNCTION("""COMPUTED_VALUE"""),18.04)</f>
        <v>18.04</v>
      </c>
      <c r="J522" s="2">
        <f>IFERROR(__xludf.DUMMYFUNCTION("""COMPUTED_VALUE"""),1.5399999999999991)</f>
        <v>1.54</v>
      </c>
      <c r="K522" s="5">
        <f>IFERROR(__xludf.DUMMYFUNCTION("""COMPUTED_VALUE"""),0.09333333333333328)</f>
        <v>0.09333333333</v>
      </c>
      <c r="L522">
        <f>IFERROR(__xludf.DUMMYFUNCTION("""COMPUTED_VALUE"""),85094.0)</f>
        <v>85094</v>
      </c>
      <c r="M522" t="str">
        <f>IFERROR(__xludf.DUMMYFUNCTION("""COMPUTED_VALUE"""),"Beauty")</f>
        <v>Beauty</v>
      </c>
      <c r="O522" t="str">
        <f>IFERROR(__xludf.DUMMYFUNCTION("""COMPUTED_VALUE"""),"N")</f>
        <v>N</v>
      </c>
      <c r="P522" s="1" t="str">
        <f>IFERROR(__xludf.DUMMYFUNCTION("""COMPUTED_VALUE"""),"ID 11071")</f>
        <v>ID 11071</v>
      </c>
      <c r="Q522" s="1" t="str">
        <f>IFERROR(__xludf.DUMMYFUNCTION("""COMPUTED_VALUE"""),"B010SABDMA")</f>
        <v>B010SABDMA</v>
      </c>
    </row>
    <row r="523">
      <c r="A523" s="6">
        <f>IFERROR(__xludf.DUMMYFUNCTION("""COMPUTED_VALUE"""),45429.0)</f>
        <v>45429</v>
      </c>
      <c r="B523">
        <f>IFERROR(__xludf.DUMMYFUNCTION("""COMPUTED_VALUE"""),7852.0)</f>
        <v>7852</v>
      </c>
      <c r="C523" t="str">
        <f>IFERROR(__xludf.DUMMYFUNCTION("""COMPUTED_VALUE"""),"La's Totally Awesome FBA_22429640222 ALL PURPOSE CLEANER")</f>
        <v>La's Totally Awesome FBA_22429640222 ALL PURPOSE CLEANER</v>
      </c>
      <c r="D523" t="str">
        <f>IFERROR(__xludf.DUMMYFUNCTION("""COMPUTED_VALUE"""),"B007F19O8G")</f>
        <v>B007F19O8G</v>
      </c>
      <c r="E523" t="str">
        <f>IFERROR(__xludf.DUMMYFUNCTION("""COMPUTED_VALUE"""),"722429640222")</f>
        <v>722429640222</v>
      </c>
      <c r="F523">
        <f>IFERROR(__xludf.DUMMYFUNCTION("""COMPUTED_VALUE"""),90.0)</f>
        <v>90</v>
      </c>
      <c r="G523">
        <f>IFERROR(__xludf.DUMMYFUNCTION("""COMPUTED_VALUE"""),90.0)</f>
        <v>90</v>
      </c>
      <c r="H523" s="2">
        <f>IFERROR(__xludf.DUMMYFUNCTION("""COMPUTED_VALUE"""),5.25)</f>
        <v>5.25</v>
      </c>
      <c r="I523" s="2">
        <f>IFERROR(__xludf.DUMMYFUNCTION("""COMPUTED_VALUE"""),6.78)</f>
        <v>6.78</v>
      </c>
      <c r="J523" s="2">
        <f>IFERROR(__xludf.DUMMYFUNCTION("""COMPUTED_VALUE"""),1.5300000000000002)</f>
        <v>1.53</v>
      </c>
      <c r="K523" s="5">
        <f>IFERROR(__xludf.DUMMYFUNCTION("""COMPUTED_VALUE"""),0.2914285714285715)</f>
        <v>0.2914285714</v>
      </c>
      <c r="L523">
        <f>IFERROR(__xludf.DUMMYFUNCTION("""COMPUTED_VALUE"""),11928.0)</f>
        <v>11928</v>
      </c>
      <c r="M523" t="str">
        <f>IFERROR(__xludf.DUMMYFUNCTION("""COMPUTED_VALUE"""),"Health and Beauty")</f>
        <v>Health and Beauty</v>
      </c>
      <c r="N523" t="str">
        <f>IFERROR(__xludf.DUMMYFUNCTION("""COMPUTED_VALUE"""),"IN STOCK")</f>
        <v>IN STOCK</v>
      </c>
      <c r="O523" t="str">
        <f>IFERROR(__xludf.DUMMYFUNCTION("""COMPUTED_VALUE"""),"Y")</f>
        <v>Y</v>
      </c>
      <c r="P523" s="1" t="str">
        <f>IFERROR(__xludf.DUMMYFUNCTION("""COMPUTED_VALUE"""),"ID 7852")</f>
        <v>ID 7852</v>
      </c>
      <c r="Q523" s="1" t="str">
        <f>IFERROR(__xludf.DUMMYFUNCTION("""COMPUTED_VALUE"""),"B007F19O8G")</f>
        <v>B007F19O8G</v>
      </c>
    </row>
    <row r="524">
      <c r="A524" s="6">
        <f>IFERROR(__xludf.DUMMYFUNCTION("""COMPUTED_VALUE"""),45390.0)</f>
        <v>45390</v>
      </c>
      <c r="B524">
        <f>IFERROR(__xludf.DUMMYFUNCTION("""COMPUTED_VALUE"""),21902.0)</f>
        <v>21902</v>
      </c>
      <c r="C524" t="str">
        <f>IFERROR(__xludf.DUMMYFUNCTION("""COMPUTED_VALUE"""),"Chef Craft Select Stainless Steel Curved Fine Grater/Zester, 9.5 Inch, White")</f>
        <v>Chef Craft Select Stainless Steel Curved Fine Grater/Zester, 9.5 Inch, White</v>
      </c>
      <c r="D524" t="str">
        <f>IFERROR(__xludf.DUMMYFUNCTION("""COMPUTED_VALUE"""),"B007AVPTL2")</f>
        <v>B007AVPTL2</v>
      </c>
      <c r="E524" t="str">
        <f>IFERROR(__xludf.DUMMYFUNCTION("""COMPUTED_VALUE"""),"085455212093")</f>
        <v>085455212093</v>
      </c>
      <c r="F524">
        <f>IFERROR(__xludf.DUMMYFUNCTION("""COMPUTED_VALUE"""),864.0)</f>
        <v>864</v>
      </c>
      <c r="G524">
        <f>IFERROR(__xludf.DUMMYFUNCTION("""COMPUTED_VALUE"""),10000.0)</f>
        <v>10000</v>
      </c>
      <c r="H524" s="2">
        <f>IFERROR(__xludf.DUMMYFUNCTION("""COMPUTED_VALUE"""),1.25)</f>
        <v>1.25</v>
      </c>
      <c r="I524" s="2">
        <f>IFERROR(__xludf.DUMMYFUNCTION("""COMPUTED_VALUE"""),2.78)</f>
        <v>2.78</v>
      </c>
      <c r="J524" s="2">
        <f>IFERROR(__xludf.DUMMYFUNCTION("""COMPUTED_VALUE"""),1.5299999999999998)</f>
        <v>1.53</v>
      </c>
      <c r="K524" s="5">
        <f>IFERROR(__xludf.DUMMYFUNCTION("""COMPUTED_VALUE"""),1.2239999999999998)</f>
        <v>1.224</v>
      </c>
      <c r="L524">
        <f>IFERROR(__xludf.DUMMYFUNCTION("""COMPUTED_VALUE"""),61909.0)</f>
        <v>61909</v>
      </c>
      <c r="M524" t="str">
        <f>IFERROR(__xludf.DUMMYFUNCTION("""COMPUTED_VALUE"""),"Kitchen")</f>
        <v>Kitchen</v>
      </c>
      <c r="O524" t="str">
        <f>IFERROR(__xludf.DUMMYFUNCTION("""COMPUTED_VALUE"""),"Y")</f>
        <v>Y</v>
      </c>
      <c r="P524" s="1" t="str">
        <f>IFERROR(__xludf.DUMMYFUNCTION("""COMPUTED_VALUE"""),"ID 21902")</f>
        <v>ID 21902</v>
      </c>
      <c r="Q524" s="1" t="str">
        <f>IFERROR(__xludf.DUMMYFUNCTION("""COMPUTED_VALUE"""),"B007AVPTL2")</f>
        <v>B007AVPTL2</v>
      </c>
    </row>
    <row r="525">
      <c r="A525" s="6">
        <f>IFERROR(__xludf.DUMMYFUNCTION("""COMPUTED_VALUE"""),45421.0)</f>
        <v>45421</v>
      </c>
      <c r="B525">
        <f>IFERROR(__xludf.DUMMYFUNCTION("""COMPUTED_VALUE"""),25579.0)</f>
        <v>25579</v>
      </c>
      <c r="C525" t="str">
        <f>IFERROR(__xludf.DUMMYFUNCTION("""COMPUTED_VALUE"""),"Molotow Blackliner Pen.05mm Tip, Black Permanent Ink, 1 Each (703.201)")</f>
        <v>Molotow Blackliner Pen.05mm Tip, Black Permanent Ink, 1 Each (703.201)</v>
      </c>
      <c r="D525" t="str">
        <f>IFERROR(__xludf.DUMMYFUNCTION("""COMPUTED_VALUE"""),"B078G2D14Q")</f>
        <v>B078G2D14Q</v>
      </c>
      <c r="E525" t="str">
        <f>IFERROR(__xludf.DUMMYFUNCTION("""COMPUTED_VALUE"""),"4250397639253")</f>
        <v>4250397639253</v>
      </c>
      <c r="F525">
        <f>IFERROR(__xludf.DUMMYFUNCTION("""COMPUTED_VALUE"""),1080.0)</f>
        <v>1080</v>
      </c>
      <c r="G525">
        <f>IFERROR(__xludf.DUMMYFUNCTION("""COMPUTED_VALUE"""),10000.0)</f>
        <v>10000</v>
      </c>
      <c r="H525" s="2">
        <f>IFERROR(__xludf.DUMMYFUNCTION("""COMPUTED_VALUE"""),2.5)</f>
        <v>2.5</v>
      </c>
      <c r="I525" s="2">
        <f>IFERROR(__xludf.DUMMYFUNCTION("""COMPUTED_VALUE"""),4.03)</f>
        <v>4.03</v>
      </c>
      <c r="J525" s="2">
        <f>IFERROR(__xludf.DUMMYFUNCTION("""COMPUTED_VALUE"""),1.5300000000000002)</f>
        <v>1.53</v>
      </c>
      <c r="K525" s="5">
        <f>IFERROR(__xludf.DUMMYFUNCTION("""COMPUTED_VALUE"""),0.6120000000000001)</f>
        <v>0.612</v>
      </c>
      <c r="L525">
        <f>IFERROR(__xludf.DUMMYFUNCTION("""COMPUTED_VALUE"""),55105.0)</f>
        <v>55105</v>
      </c>
      <c r="M525" t="str">
        <f>IFERROR(__xludf.DUMMYFUNCTION("""COMPUTED_VALUE"""),"Office Product")</f>
        <v>Office Product</v>
      </c>
      <c r="O525" t="str">
        <f>IFERROR(__xludf.DUMMYFUNCTION("""COMPUTED_VALUE"""),"N")</f>
        <v>N</v>
      </c>
      <c r="P525" s="1" t="str">
        <f>IFERROR(__xludf.DUMMYFUNCTION("""COMPUTED_VALUE"""),"ID 25579")</f>
        <v>ID 25579</v>
      </c>
      <c r="Q525" s="1" t="str">
        <f>IFERROR(__xludf.DUMMYFUNCTION("""COMPUTED_VALUE"""),"B078G2D14Q")</f>
        <v>B078G2D14Q</v>
      </c>
    </row>
    <row r="526">
      <c r="A526" s="6">
        <f>IFERROR(__xludf.DUMMYFUNCTION("""COMPUTED_VALUE"""),45342.0)</f>
        <v>45342</v>
      </c>
      <c r="B526">
        <f>IFERROR(__xludf.DUMMYFUNCTION("""COMPUTED_VALUE"""),18013.0)</f>
        <v>18013</v>
      </c>
      <c r="C526" t="str">
        <f>IFERROR(__xludf.DUMMYFUNCTION("""COMPUTED_VALUE"""),"Palmolive Essential Clean Liquid Dish Soap, Original - 28 Fluid Ounce, Green (146303)")</f>
        <v>Palmolive Essential Clean Liquid Dish Soap, Original - 28 Fluid Ounce, Green (146303)</v>
      </c>
      <c r="D526" t="str">
        <f>IFERROR(__xludf.DUMMYFUNCTION("""COMPUTED_VALUE"""),"B00IOE86WI")</f>
        <v>B00IOE86WI</v>
      </c>
      <c r="E526" t="str">
        <f>IFERROR(__xludf.DUMMYFUNCTION("""COMPUTED_VALUE"""),"035000463036")</f>
        <v>035000463036</v>
      </c>
      <c r="F526">
        <f>IFERROR(__xludf.DUMMYFUNCTION("""COMPUTED_VALUE"""),567.0)</f>
        <v>567</v>
      </c>
      <c r="G526">
        <f>IFERROR(__xludf.DUMMYFUNCTION("""COMPUTED_VALUE"""),1350.0)</f>
        <v>1350</v>
      </c>
      <c r="H526" s="2">
        <f>IFERROR(__xludf.DUMMYFUNCTION("""COMPUTED_VALUE"""),2.5)</f>
        <v>2.5</v>
      </c>
      <c r="I526" s="2">
        <f>IFERROR(__xludf.DUMMYFUNCTION("""COMPUTED_VALUE"""),4.02)</f>
        <v>4.02</v>
      </c>
      <c r="J526" s="2">
        <f>IFERROR(__xludf.DUMMYFUNCTION("""COMPUTED_VALUE"""),1.5199999999999996)</f>
        <v>1.52</v>
      </c>
      <c r="K526" s="5">
        <f>IFERROR(__xludf.DUMMYFUNCTION("""COMPUTED_VALUE"""),0.6079999999999999)</f>
        <v>0.608</v>
      </c>
      <c r="L526">
        <f>IFERROR(__xludf.DUMMYFUNCTION("""COMPUTED_VALUE"""),56612.0)</f>
        <v>56612</v>
      </c>
      <c r="M526" t="str">
        <f>IFERROR(__xludf.DUMMYFUNCTION("""COMPUTED_VALUE"""),"Health and Beauty")</f>
        <v>Health and Beauty</v>
      </c>
      <c r="O526" t="str">
        <f>IFERROR(__xludf.DUMMYFUNCTION("""COMPUTED_VALUE"""),"N")</f>
        <v>N</v>
      </c>
      <c r="P526" s="1" t="str">
        <f>IFERROR(__xludf.DUMMYFUNCTION("""COMPUTED_VALUE"""),"ID 18013")</f>
        <v>ID 18013</v>
      </c>
      <c r="Q526" s="1" t="str">
        <f>IFERROR(__xludf.DUMMYFUNCTION("""COMPUTED_VALUE"""),"B00IOE86WI")</f>
        <v>B00IOE86WI</v>
      </c>
    </row>
    <row r="527">
      <c r="A527" s="6">
        <f>IFERROR(__xludf.DUMMYFUNCTION("""COMPUTED_VALUE"""),44676.0)</f>
        <v>44676</v>
      </c>
      <c r="B527">
        <f>IFERROR(__xludf.DUMMYFUNCTION("""COMPUTED_VALUE"""),21182.0)</f>
        <v>21182</v>
      </c>
      <c r="C527" t="str">
        <f>IFERROR(__xludf.DUMMYFUNCTION("""COMPUTED_VALUE"""),"Five Star Pencil Pouch, Pen Case, Fits 3 Ring Binder, Stand 'N Store, Color Selected For You (50516)")</f>
        <v>Five Star Pencil Pouch, Pen Case, Fits 3 Ring Binder, Stand 'N Store, Color Selected For You (50516)</v>
      </c>
      <c r="D527" t="str">
        <f>IFERROR(__xludf.DUMMYFUNCTION("""COMPUTED_VALUE"""),"B06Y1PW1C1")</f>
        <v>B06Y1PW1C1</v>
      </c>
      <c r="E527" t="str">
        <f>IFERROR(__xludf.DUMMYFUNCTION("""COMPUTED_VALUE"""),"043100505167")</f>
        <v>043100505167</v>
      </c>
      <c r="F527">
        <f>IFERROR(__xludf.DUMMYFUNCTION("""COMPUTED_VALUE"""),2412.0)</f>
        <v>2412</v>
      </c>
      <c r="G527">
        <f>IFERROR(__xludf.DUMMYFUNCTION("""COMPUTED_VALUE"""),5000.0)</f>
        <v>5000</v>
      </c>
      <c r="H527" s="2">
        <f>IFERROR(__xludf.DUMMYFUNCTION("""COMPUTED_VALUE"""),1.25)</f>
        <v>1.25</v>
      </c>
      <c r="I527" s="2">
        <f>IFERROR(__xludf.DUMMYFUNCTION("""COMPUTED_VALUE"""),2.77)</f>
        <v>2.77</v>
      </c>
      <c r="J527" s="2">
        <f>IFERROR(__xludf.DUMMYFUNCTION("""COMPUTED_VALUE"""),1.52)</f>
        <v>1.52</v>
      </c>
      <c r="K527" s="5">
        <f>IFERROR(__xludf.DUMMYFUNCTION("""COMPUTED_VALUE"""),1.216)</f>
        <v>1.216</v>
      </c>
      <c r="L527">
        <f>IFERROR(__xludf.DUMMYFUNCTION("""COMPUTED_VALUE"""),25357.0)</f>
        <v>25357</v>
      </c>
      <c r="M527" t="str">
        <f>IFERROR(__xludf.DUMMYFUNCTION("""COMPUTED_VALUE"""),"Office Product")</f>
        <v>Office Product</v>
      </c>
      <c r="N527" t="str">
        <f>IFERROR(__xludf.DUMMYFUNCTION("""COMPUTED_VALUE"""),"PROMO: OSMI")</f>
        <v>PROMO: OSMI</v>
      </c>
      <c r="O527" t="str">
        <f>IFERROR(__xludf.DUMMYFUNCTION("""COMPUTED_VALUE"""),"Y")</f>
        <v>Y</v>
      </c>
      <c r="P527" s="1" t="str">
        <f>IFERROR(__xludf.DUMMYFUNCTION("""COMPUTED_VALUE"""),"ID 21182")</f>
        <v>ID 21182</v>
      </c>
      <c r="Q527" s="1" t="str">
        <f>IFERROR(__xludf.DUMMYFUNCTION("""COMPUTED_VALUE"""),"B06Y1PW1C1")</f>
        <v>B06Y1PW1C1</v>
      </c>
    </row>
    <row r="528">
      <c r="A528" s="6">
        <f>IFERROR(__xludf.DUMMYFUNCTION("""COMPUTED_VALUE"""),44454.0)</f>
        <v>44454</v>
      </c>
      <c r="B528">
        <f>IFERROR(__xludf.DUMMYFUNCTION("""COMPUTED_VALUE"""),22153.0)</f>
        <v>22153</v>
      </c>
      <c r="C528" t="str">
        <f>IFERROR(__xludf.DUMMYFUNCTION("""COMPUTED_VALUE"""),"Maybelline New York Color Sensational Shine Compulsion Lipstick Makeup, Magenta Affair, 0.1 Ounce")</f>
        <v>Maybelline New York Color Sensational Shine Compulsion Lipstick Makeup, Magenta Affair, 0.1 Ounce</v>
      </c>
      <c r="D528" t="str">
        <f>IFERROR(__xludf.DUMMYFUNCTION("""COMPUTED_VALUE"""),"B07C8SPSMB")</f>
        <v>B07C8SPSMB</v>
      </c>
      <c r="E528" t="str">
        <f>IFERROR(__xludf.DUMMYFUNCTION("""COMPUTED_VALUE"""),"041554549164")</f>
        <v>041554549164</v>
      </c>
      <c r="F528">
        <f>IFERROR(__xludf.DUMMYFUNCTION("""COMPUTED_VALUE"""),1500.0)</f>
        <v>1500</v>
      </c>
      <c r="G528">
        <f>IFERROR(__xludf.DUMMYFUNCTION("""COMPUTED_VALUE"""),8000.0)</f>
        <v>8000</v>
      </c>
      <c r="H528" s="2">
        <f>IFERROR(__xludf.DUMMYFUNCTION("""COMPUTED_VALUE"""),1.25)</f>
        <v>1.25</v>
      </c>
      <c r="I528" s="2">
        <f>IFERROR(__xludf.DUMMYFUNCTION("""COMPUTED_VALUE"""),2.76)</f>
        <v>2.76</v>
      </c>
      <c r="J528" s="2">
        <f>IFERROR(__xludf.DUMMYFUNCTION("""COMPUTED_VALUE"""),1.5099999999999998)</f>
        <v>1.51</v>
      </c>
      <c r="K528" s="5">
        <f>IFERROR(__xludf.DUMMYFUNCTION("""COMPUTED_VALUE"""),1.2079999999999997)</f>
        <v>1.208</v>
      </c>
      <c r="L528">
        <f>IFERROR(__xludf.DUMMYFUNCTION("""COMPUTED_VALUE"""),22007.0)</f>
        <v>22007</v>
      </c>
      <c r="M528" t="str">
        <f>IFERROR(__xludf.DUMMYFUNCTION("""COMPUTED_VALUE"""),"Beauty")</f>
        <v>Beauty</v>
      </c>
      <c r="O528" t="str">
        <f>IFERROR(__xludf.DUMMYFUNCTION("""COMPUTED_VALUE"""),"Y")</f>
        <v>Y</v>
      </c>
      <c r="P528" s="1" t="str">
        <f>IFERROR(__xludf.DUMMYFUNCTION("""COMPUTED_VALUE"""),"ID 22153")</f>
        <v>ID 22153</v>
      </c>
      <c r="Q528" s="1" t="str">
        <f>IFERROR(__xludf.DUMMYFUNCTION("""COMPUTED_VALUE"""),"B07C8SPSMB")</f>
        <v>B07C8SPSMB</v>
      </c>
    </row>
    <row r="529">
      <c r="A529" s="6">
        <f>IFERROR(__xludf.DUMMYFUNCTION("""COMPUTED_VALUE"""),45362.0)</f>
        <v>45362</v>
      </c>
      <c r="B529">
        <f>IFERROR(__xludf.DUMMYFUNCTION("""COMPUTED_VALUE"""),19682.0)</f>
        <v>19682</v>
      </c>
      <c r="C529" t="str">
        <f>IFERROR(__xludf.DUMMYFUNCTION("""COMPUTED_VALUE"""),"PENPD277TBP2PBC - Pentel Twist-Erase Click Breast Cancer Awareness Mechanical Pencil")</f>
        <v>PENPD277TBP2PBC - Pentel Twist-Erase Click Breast Cancer Awareness Mechanical Pencil</v>
      </c>
      <c r="D529" t="str">
        <f>IFERROR(__xludf.DUMMYFUNCTION("""COMPUTED_VALUE"""),"B004E3IIIK")</f>
        <v>B004E3IIIK</v>
      </c>
      <c r="E529" t="str">
        <f>IFERROR(__xludf.DUMMYFUNCTION("""COMPUTED_VALUE"""),"072512237915")</f>
        <v>072512237915</v>
      </c>
      <c r="F529">
        <f>IFERROR(__xludf.DUMMYFUNCTION("""COMPUTED_VALUE"""),432.0)</f>
        <v>432</v>
      </c>
      <c r="G529">
        <f>IFERROR(__xludf.DUMMYFUNCTION("""COMPUTED_VALUE"""),10000.0)</f>
        <v>10000</v>
      </c>
      <c r="H529" s="2">
        <f>IFERROR(__xludf.DUMMYFUNCTION("""COMPUTED_VALUE"""),3.0)</f>
        <v>3</v>
      </c>
      <c r="I529" s="2">
        <f>IFERROR(__xludf.DUMMYFUNCTION("""COMPUTED_VALUE"""),4.5)</f>
        <v>4.5</v>
      </c>
      <c r="J529" s="2">
        <f>IFERROR(__xludf.DUMMYFUNCTION("""COMPUTED_VALUE"""),1.5)</f>
        <v>1.5</v>
      </c>
      <c r="K529" s="5">
        <f>IFERROR(__xludf.DUMMYFUNCTION("""COMPUTED_VALUE"""),0.5)</f>
        <v>0.5</v>
      </c>
      <c r="L529">
        <f>IFERROR(__xludf.DUMMYFUNCTION("""COMPUTED_VALUE"""),75897.0)</f>
        <v>75897</v>
      </c>
      <c r="M529" t="str">
        <f>IFERROR(__xludf.DUMMYFUNCTION("""COMPUTED_VALUE"""),"Office Product")</f>
        <v>Office Product</v>
      </c>
      <c r="O529" t="str">
        <f>IFERROR(__xludf.DUMMYFUNCTION("""COMPUTED_VALUE"""),"N")</f>
        <v>N</v>
      </c>
      <c r="P529" s="1" t="str">
        <f>IFERROR(__xludf.DUMMYFUNCTION("""COMPUTED_VALUE"""),"ID 19682")</f>
        <v>ID 19682</v>
      </c>
      <c r="Q529" s="1" t="str">
        <f>IFERROR(__xludf.DUMMYFUNCTION("""COMPUTED_VALUE"""),"B004E3IIIK")</f>
        <v>B004E3IIIK</v>
      </c>
    </row>
    <row r="530">
      <c r="A530" s="6">
        <f>IFERROR(__xludf.DUMMYFUNCTION("""COMPUTED_VALUE"""),45362.0)</f>
        <v>45362</v>
      </c>
      <c r="B530">
        <f>IFERROR(__xludf.DUMMYFUNCTION("""COMPUTED_VALUE"""),19737.0)</f>
        <v>19737</v>
      </c>
      <c r="C530" t="str">
        <f>IFERROR(__xludf.DUMMYFUNCTION("""COMPUTED_VALUE"""),"Pentel Arts Color Brush, Sepia, 1-Pack (GFLBP141)")</f>
        <v>Pentel Arts Color Brush, Sepia, 1-Pack (GFLBP141)</v>
      </c>
      <c r="D530" t="str">
        <f>IFERROR(__xludf.DUMMYFUNCTION("""COMPUTED_VALUE"""),"B001ASDDHI")</f>
        <v>B001ASDDHI</v>
      </c>
      <c r="E530" t="str">
        <f>IFERROR(__xludf.DUMMYFUNCTION("""COMPUTED_VALUE"""),"072512226896")</f>
        <v>072512226896</v>
      </c>
      <c r="F530">
        <f>IFERROR(__xludf.DUMMYFUNCTION("""COMPUTED_VALUE"""),360.0)</f>
        <v>360</v>
      </c>
      <c r="G530">
        <f>IFERROR(__xludf.DUMMYFUNCTION("""COMPUTED_VALUE"""),10000.0)</f>
        <v>10000</v>
      </c>
      <c r="H530" s="2">
        <f>IFERROR(__xludf.DUMMYFUNCTION("""COMPUTED_VALUE"""),4.25)</f>
        <v>4.25</v>
      </c>
      <c r="I530" s="2">
        <f>IFERROR(__xludf.DUMMYFUNCTION("""COMPUTED_VALUE"""),5.75)</f>
        <v>5.75</v>
      </c>
      <c r="J530" s="2">
        <f>IFERROR(__xludf.DUMMYFUNCTION("""COMPUTED_VALUE"""),1.5)</f>
        <v>1.5</v>
      </c>
      <c r="K530" s="5">
        <f>IFERROR(__xludf.DUMMYFUNCTION("""COMPUTED_VALUE"""),0.35294117647058826)</f>
        <v>0.3529411765</v>
      </c>
      <c r="L530">
        <f>IFERROR(__xludf.DUMMYFUNCTION("""COMPUTED_VALUE"""),24952.0)</f>
        <v>24952</v>
      </c>
      <c r="M530" t="str">
        <f>IFERROR(__xludf.DUMMYFUNCTION("""COMPUTED_VALUE"""),"Office Product")</f>
        <v>Office Product</v>
      </c>
      <c r="O530" t="str">
        <f>IFERROR(__xludf.DUMMYFUNCTION("""COMPUTED_VALUE"""),"Y")</f>
        <v>Y</v>
      </c>
      <c r="P530" s="1" t="str">
        <f>IFERROR(__xludf.DUMMYFUNCTION("""COMPUTED_VALUE"""),"ID 19737")</f>
        <v>ID 19737</v>
      </c>
      <c r="Q530" s="1" t="str">
        <f>IFERROR(__xludf.DUMMYFUNCTION("""COMPUTED_VALUE"""),"B001ASDDHI")</f>
        <v>B001ASDDHI</v>
      </c>
    </row>
    <row r="531">
      <c r="A531" s="6">
        <f>IFERROR(__xludf.DUMMYFUNCTION("""COMPUTED_VALUE"""),45335.0)</f>
        <v>45335</v>
      </c>
      <c r="B531">
        <f>IFERROR(__xludf.DUMMYFUNCTION("""COMPUTED_VALUE"""),17080.0)</f>
        <v>17080</v>
      </c>
      <c r="C531" t="str">
        <f>IFERROR(__xludf.DUMMYFUNCTION("""COMPUTED_VALUE"""),"Dixon Industrial REACH- Deep Hole Permanent Marker, Green, 1-Count (14204)")</f>
        <v>Dixon Industrial REACH- Deep Hole Permanent Marker, Green, 1-Count (14204)</v>
      </c>
      <c r="D531" t="str">
        <f>IFERROR(__xludf.DUMMYFUNCTION("""COMPUTED_VALUE"""),"B00WRMVZ5S")</f>
        <v>B00WRMVZ5S</v>
      </c>
      <c r="E531" t="str">
        <f>IFERROR(__xludf.DUMMYFUNCTION("""COMPUTED_VALUE"""),"072067142047")</f>
        <v>072067142047</v>
      </c>
      <c r="F531">
        <f>IFERROR(__xludf.DUMMYFUNCTION("""COMPUTED_VALUE"""),4176.0)</f>
        <v>4176</v>
      </c>
      <c r="G531">
        <f>IFERROR(__xludf.DUMMYFUNCTION("""COMPUTED_VALUE"""),10000.0)</f>
        <v>10000</v>
      </c>
      <c r="H531" s="2">
        <f>IFERROR(__xludf.DUMMYFUNCTION("""COMPUTED_VALUE"""),1.0)</f>
        <v>1</v>
      </c>
      <c r="I531" s="2">
        <f>IFERROR(__xludf.DUMMYFUNCTION("""COMPUTED_VALUE"""),2.49)</f>
        <v>2.49</v>
      </c>
      <c r="J531" s="2">
        <f>IFERROR(__xludf.DUMMYFUNCTION("""COMPUTED_VALUE"""),1.4900000000000002)</f>
        <v>1.49</v>
      </c>
      <c r="K531" s="5">
        <f>IFERROR(__xludf.DUMMYFUNCTION("""COMPUTED_VALUE"""),1.4900000000000002)</f>
        <v>1.49</v>
      </c>
      <c r="L531">
        <f>IFERROR(__xludf.DUMMYFUNCTION("""COMPUTED_VALUE"""),28743.0)</f>
        <v>28743</v>
      </c>
      <c r="M531" t="str">
        <f>IFERROR(__xludf.DUMMYFUNCTION("""COMPUTED_VALUE"""),"Office Product")</f>
        <v>Office Product</v>
      </c>
      <c r="N531" t="str">
        <f>IFERROR(__xludf.DUMMYFUNCTION("""COMPUTED_VALUE"""),"2023 Close-out Pricing")</f>
        <v>2023 Close-out Pricing</v>
      </c>
      <c r="O531" t="str">
        <f>IFERROR(__xludf.DUMMYFUNCTION("""COMPUTED_VALUE"""),"Y")</f>
        <v>Y</v>
      </c>
      <c r="P531" s="1" t="str">
        <f>IFERROR(__xludf.DUMMYFUNCTION("""COMPUTED_VALUE"""),"ID 17080")</f>
        <v>ID 17080</v>
      </c>
      <c r="Q531" s="1" t="str">
        <f>IFERROR(__xludf.DUMMYFUNCTION("""COMPUTED_VALUE"""),"B00WRMVZ5S")</f>
        <v>B00WRMVZ5S</v>
      </c>
    </row>
    <row r="532">
      <c r="A532" s="6">
        <f>IFERROR(__xludf.DUMMYFUNCTION("""COMPUTED_VALUE"""),45348.0)</f>
        <v>45348</v>
      </c>
      <c r="B532">
        <f>IFERROR(__xludf.DUMMYFUNCTION("""COMPUTED_VALUE"""),18343.0)</f>
        <v>18343</v>
      </c>
      <c r="C532" t="str">
        <f>IFERROR(__xludf.DUMMYFUNCTION("""COMPUTED_VALUE"""),"Glass Board Dry Erase Markers by Quartet, Premium, Bullet Tip, Assorted Colors, 6 Pack (79556)")</f>
        <v>Glass Board Dry Erase Markers by Quartet, Premium, Bullet Tip, Assorted Colors, 6 Pack (79556)</v>
      </c>
      <c r="D532" t="str">
        <f>IFERROR(__xludf.DUMMYFUNCTION("""COMPUTED_VALUE"""),"B084CPGRP2")</f>
        <v>B084CPGRP2</v>
      </c>
      <c r="E532" t="str">
        <f>IFERROR(__xludf.DUMMYFUNCTION("""COMPUTED_VALUE"""),"034138795569")</f>
        <v>034138795569</v>
      </c>
      <c r="F532">
        <f>IFERROR(__xludf.DUMMYFUNCTION("""COMPUTED_VALUE"""),288.0)</f>
        <v>288</v>
      </c>
      <c r="G532">
        <f>IFERROR(__xludf.DUMMYFUNCTION("""COMPUTED_VALUE"""),10000.0)</f>
        <v>10000</v>
      </c>
      <c r="H532" s="2">
        <f>IFERROR(__xludf.DUMMYFUNCTION("""COMPUTED_VALUE"""),9.0)</f>
        <v>9</v>
      </c>
      <c r="I532" s="2">
        <f>IFERROR(__xludf.DUMMYFUNCTION("""COMPUTED_VALUE"""),10.49)</f>
        <v>10.49</v>
      </c>
      <c r="J532" s="2">
        <f>IFERROR(__xludf.DUMMYFUNCTION("""COMPUTED_VALUE"""),1.4900000000000002)</f>
        <v>1.49</v>
      </c>
      <c r="K532" s="5">
        <f>IFERROR(__xludf.DUMMYFUNCTION("""COMPUTED_VALUE"""),0.16555555555555557)</f>
        <v>0.1655555556</v>
      </c>
      <c r="L532">
        <f>IFERROR(__xludf.DUMMYFUNCTION("""COMPUTED_VALUE"""),20377.0)</f>
        <v>20377</v>
      </c>
      <c r="M532" t="str">
        <f>IFERROR(__xludf.DUMMYFUNCTION("""COMPUTED_VALUE"""),"Office Product")</f>
        <v>Office Product</v>
      </c>
      <c r="O532" t="str">
        <f>IFERROR(__xludf.DUMMYFUNCTION("""COMPUTED_VALUE"""),"Y")</f>
        <v>Y</v>
      </c>
      <c r="P532" s="1" t="str">
        <f>IFERROR(__xludf.DUMMYFUNCTION("""COMPUTED_VALUE"""),"ID 18343")</f>
        <v>ID 18343</v>
      </c>
      <c r="Q532" s="1" t="str">
        <f>IFERROR(__xludf.DUMMYFUNCTION("""COMPUTED_VALUE"""),"B084CPGRP2")</f>
        <v>B084CPGRP2</v>
      </c>
    </row>
    <row r="533">
      <c r="A533" s="6">
        <f>IFERROR(__xludf.DUMMYFUNCTION("""COMPUTED_VALUE"""),44573.0)</f>
        <v>44573</v>
      </c>
      <c r="B533">
        <f>IFERROR(__xludf.DUMMYFUNCTION("""COMPUTED_VALUE"""),24412.0)</f>
        <v>24412</v>
      </c>
      <c r="C533" t="str">
        <f>IFERROR(__xludf.DUMMYFUNCTION("""COMPUTED_VALUE"""),"Scotch Vinyl Color Coding Electrical Tape 35, 3/4 in x 66 ft, Pink")</f>
        <v>Scotch Vinyl Color Coding Electrical Tape 35, 3/4 in x 66 ft, Pink</v>
      </c>
      <c r="D533" t="str">
        <f>IFERROR(__xludf.DUMMYFUNCTION("""COMPUTED_VALUE"""),"B07ZL218X7")</f>
        <v>B07ZL218X7</v>
      </c>
      <c r="E533" t="str">
        <f>IFERROR(__xludf.DUMMYFUNCTION("""COMPUTED_VALUE"""),"51128613337")</f>
        <v>51128613337</v>
      </c>
      <c r="F533">
        <f>IFERROR(__xludf.DUMMYFUNCTION("""COMPUTED_VALUE"""),600.0)</f>
        <v>600</v>
      </c>
      <c r="G533">
        <f>IFERROR(__xludf.DUMMYFUNCTION("""COMPUTED_VALUE"""),1000.0)</f>
        <v>1000</v>
      </c>
      <c r="H533" s="2">
        <f>IFERROR(__xludf.DUMMYFUNCTION("""COMPUTED_VALUE"""),5.75)</f>
        <v>5.75</v>
      </c>
      <c r="I533" s="2">
        <f>IFERROR(__xludf.DUMMYFUNCTION("""COMPUTED_VALUE"""),7.24)</f>
        <v>7.24</v>
      </c>
      <c r="J533" s="2">
        <f>IFERROR(__xludf.DUMMYFUNCTION("""COMPUTED_VALUE"""),1.4900000000000002)</f>
        <v>1.49</v>
      </c>
      <c r="K533" s="5">
        <f>IFERROR(__xludf.DUMMYFUNCTION("""COMPUTED_VALUE"""),0.2591304347826087)</f>
        <v>0.2591304348</v>
      </c>
      <c r="L533">
        <f>IFERROR(__xludf.DUMMYFUNCTION("""COMPUTED_VALUE"""),2983.0)</f>
        <v>2983</v>
      </c>
      <c r="M533" t="str">
        <f>IFERROR(__xludf.DUMMYFUNCTION("""COMPUTED_VALUE"""),"BISS Basic")</f>
        <v>BISS Basic</v>
      </c>
      <c r="O533" t="str">
        <f>IFERROR(__xludf.DUMMYFUNCTION("""COMPUTED_VALUE"""),"Y")</f>
        <v>Y</v>
      </c>
      <c r="P533" s="1" t="str">
        <f>IFERROR(__xludf.DUMMYFUNCTION("""COMPUTED_VALUE"""),"ID 24412")</f>
        <v>ID 24412</v>
      </c>
      <c r="Q533" s="1" t="str">
        <f>IFERROR(__xludf.DUMMYFUNCTION("""COMPUTED_VALUE"""),"B07ZL218X7")</f>
        <v>B07ZL218X7</v>
      </c>
    </row>
    <row r="534">
      <c r="A534" s="6">
        <f>IFERROR(__xludf.DUMMYFUNCTION("""COMPUTED_VALUE"""),44769.0)</f>
        <v>44769</v>
      </c>
      <c r="B534">
        <f>IFERROR(__xludf.DUMMYFUNCTION("""COMPUTED_VALUE"""),3415.0)</f>
        <v>3415</v>
      </c>
      <c r="C534" t="str">
        <f>IFERROR(__xludf.DUMMYFUNCTION("""COMPUTED_VALUE"""),"Herbie Goes to Monte Carlo Blu-ray")</f>
        <v>Herbie Goes to Monte Carlo Blu-ray</v>
      </c>
      <c r="D534" t="str">
        <f>IFERROR(__xludf.DUMMYFUNCTION("""COMPUTED_VALUE"""),"B012C0X45S")</f>
        <v>B012C0X45S</v>
      </c>
      <c r="E534" t="str">
        <f>IFERROR(__xludf.DUMMYFUNCTION("""COMPUTED_VALUE"""),"786936846355")</f>
        <v>786936846355</v>
      </c>
      <c r="F534">
        <f>IFERROR(__xludf.DUMMYFUNCTION("""COMPUTED_VALUE"""),144.0)</f>
        <v>144</v>
      </c>
      <c r="G534">
        <f>IFERROR(__xludf.DUMMYFUNCTION("""COMPUTED_VALUE"""),621.0)</f>
        <v>621</v>
      </c>
      <c r="H534" s="2">
        <f>IFERROR(__xludf.DUMMYFUNCTION("""COMPUTED_VALUE"""),8.0)</f>
        <v>8</v>
      </c>
      <c r="I534" s="2">
        <f>IFERROR(__xludf.DUMMYFUNCTION("""COMPUTED_VALUE"""),9.47)</f>
        <v>9.47</v>
      </c>
      <c r="J534" s="2">
        <f>IFERROR(__xludf.DUMMYFUNCTION("""COMPUTED_VALUE"""),1.4700000000000006)</f>
        <v>1.47</v>
      </c>
      <c r="K534" s="5">
        <f>IFERROR(__xludf.DUMMYFUNCTION("""COMPUTED_VALUE"""),0.18375000000000008)</f>
        <v>0.18375</v>
      </c>
      <c r="L534">
        <f>IFERROR(__xludf.DUMMYFUNCTION("""COMPUTED_VALUE"""),8879.0)</f>
        <v>8879</v>
      </c>
      <c r="M534" t="str">
        <f>IFERROR(__xludf.DUMMYFUNCTION("""COMPUTED_VALUE"""),"DVD")</f>
        <v>DVD</v>
      </c>
      <c r="O534" t="str">
        <f>IFERROR(__xludf.DUMMYFUNCTION("""COMPUTED_VALUE"""),"N")</f>
        <v>N</v>
      </c>
      <c r="P534" s="1" t="str">
        <f>IFERROR(__xludf.DUMMYFUNCTION("""COMPUTED_VALUE"""),"ID 3415")</f>
        <v>ID 3415</v>
      </c>
      <c r="Q534" s="1" t="str">
        <f>IFERROR(__xludf.DUMMYFUNCTION("""COMPUTED_VALUE"""),"B012C0X45S")</f>
        <v>B012C0X45S</v>
      </c>
    </row>
    <row r="535">
      <c r="A535" s="6">
        <f>IFERROR(__xludf.DUMMYFUNCTION("""COMPUTED_VALUE"""),45390.0)</f>
        <v>45390</v>
      </c>
      <c r="B535">
        <f>IFERROR(__xludf.DUMMYFUNCTION("""COMPUTED_VALUE"""),5569.0)</f>
        <v>5569</v>
      </c>
      <c r="C535" t="str">
        <f>IFERROR(__xludf.DUMMYFUNCTION("""COMPUTED_VALUE"""),"Chef Craft 13572 Premium Silicone Wire Whisk, 10.75, Purple")</f>
        <v>Chef Craft 13572 Premium Silicone Wire Whisk, 10.75, Purple</v>
      </c>
      <c r="D535" t="str">
        <f>IFERROR(__xludf.DUMMYFUNCTION("""COMPUTED_VALUE"""),"B01BKAUQFM")</f>
        <v>B01BKAUQFM</v>
      </c>
      <c r="E535" t="str">
        <f>IFERROR(__xludf.DUMMYFUNCTION("""COMPUTED_VALUE"""),"085455135729")</f>
        <v>085455135729</v>
      </c>
      <c r="F535">
        <f>IFERROR(__xludf.DUMMYFUNCTION("""COMPUTED_VALUE"""),504.0)</f>
        <v>504</v>
      </c>
      <c r="G535">
        <f>IFERROR(__xludf.DUMMYFUNCTION("""COMPUTED_VALUE"""),10000.0)</f>
        <v>10000</v>
      </c>
      <c r="H535" s="2">
        <f>IFERROR(__xludf.DUMMYFUNCTION("""COMPUTED_VALUE"""),2.5)</f>
        <v>2.5</v>
      </c>
      <c r="I535" s="2">
        <f>IFERROR(__xludf.DUMMYFUNCTION("""COMPUTED_VALUE"""),3.97)</f>
        <v>3.97</v>
      </c>
      <c r="J535" s="2">
        <f>IFERROR(__xludf.DUMMYFUNCTION("""COMPUTED_VALUE"""),1.4700000000000002)</f>
        <v>1.47</v>
      </c>
      <c r="K535" s="5">
        <f>IFERROR(__xludf.DUMMYFUNCTION("""COMPUTED_VALUE"""),0.5880000000000001)</f>
        <v>0.588</v>
      </c>
      <c r="L535">
        <f>IFERROR(__xludf.DUMMYFUNCTION("""COMPUTED_VALUE"""),7042.0)</f>
        <v>7042</v>
      </c>
      <c r="M535" t="str">
        <f>IFERROR(__xludf.DUMMYFUNCTION("""COMPUTED_VALUE"""),"Kitchen")</f>
        <v>Kitchen</v>
      </c>
      <c r="O535" t="str">
        <f>IFERROR(__xludf.DUMMYFUNCTION("""COMPUTED_VALUE"""),"Y")</f>
        <v>Y</v>
      </c>
      <c r="P535" s="1" t="str">
        <f>IFERROR(__xludf.DUMMYFUNCTION("""COMPUTED_VALUE"""),"ID 5569")</f>
        <v>ID 5569</v>
      </c>
      <c r="Q535" s="1" t="str">
        <f>IFERROR(__xludf.DUMMYFUNCTION("""COMPUTED_VALUE"""),"B01BKAUQFM")</f>
        <v>B01BKAUQFM</v>
      </c>
    </row>
    <row r="536">
      <c r="A536" s="6">
        <f>IFERROR(__xludf.DUMMYFUNCTION("""COMPUTED_VALUE"""),43769.0)</f>
        <v>43769</v>
      </c>
      <c r="B536">
        <f>IFERROR(__xludf.DUMMYFUNCTION("""COMPUTED_VALUE"""),10347.0)</f>
        <v>10347</v>
      </c>
      <c r="C536" t="str">
        <f>IFERROR(__xludf.DUMMYFUNCTION("""COMPUTED_VALUE"""),"NYX Cosmetics Soft Matte Lip Cream, Moscow")</f>
        <v>NYX Cosmetics Soft Matte Lip Cream, Moscow</v>
      </c>
      <c r="D536" t="str">
        <f>IFERROR(__xludf.DUMMYFUNCTION("""COMPUTED_VALUE"""),"B01C6VRCS8")</f>
        <v>B01C6VRCS8</v>
      </c>
      <c r="E536" t="str">
        <f>IFERROR(__xludf.DUMMYFUNCTION("""COMPUTED_VALUE"""),"800897849016")</f>
        <v>800897849016</v>
      </c>
      <c r="F536">
        <f>IFERROR(__xludf.DUMMYFUNCTION("""COMPUTED_VALUE"""),1080.0)</f>
        <v>1080</v>
      </c>
      <c r="G536">
        <f>IFERROR(__xludf.DUMMYFUNCTION("""COMPUTED_VALUE"""),24000.0)</f>
        <v>24000</v>
      </c>
      <c r="H536" s="2">
        <f>IFERROR(__xludf.DUMMYFUNCTION("""COMPUTED_VALUE"""),1.25)</f>
        <v>1.25</v>
      </c>
      <c r="I536" s="2">
        <f>IFERROR(__xludf.DUMMYFUNCTION("""COMPUTED_VALUE"""),2.72)</f>
        <v>2.72</v>
      </c>
      <c r="J536" s="2">
        <f>IFERROR(__xludf.DUMMYFUNCTION("""COMPUTED_VALUE"""),1.4700000000000002)</f>
        <v>1.47</v>
      </c>
      <c r="K536" s="5">
        <f>IFERROR(__xludf.DUMMYFUNCTION("""COMPUTED_VALUE"""),1.1760000000000002)</f>
        <v>1.176</v>
      </c>
      <c r="L536">
        <f>IFERROR(__xludf.DUMMYFUNCTION("""COMPUTED_VALUE"""),64920.0)</f>
        <v>64920</v>
      </c>
      <c r="M536" t="str">
        <f>IFERROR(__xludf.DUMMYFUNCTION("""COMPUTED_VALUE"""),"Beauty")</f>
        <v>Beauty</v>
      </c>
      <c r="O536" t="str">
        <f>IFERROR(__xludf.DUMMYFUNCTION("""COMPUTED_VALUE"""),"N")</f>
        <v>N</v>
      </c>
      <c r="P536" s="1" t="str">
        <f>IFERROR(__xludf.DUMMYFUNCTION("""COMPUTED_VALUE"""),"ID 10347")</f>
        <v>ID 10347</v>
      </c>
      <c r="Q536" s="1" t="str">
        <f>IFERROR(__xludf.DUMMYFUNCTION("""COMPUTED_VALUE"""),"B01C6VRCS8")</f>
        <v>B01C6VRCS8</v>
      </c>
    </row>
    <row r="537">
      <c r="A537" s="6">
        <f>IFERROR(__xludf.DUMMYFUNCTION("""COMPUTED_VALUE"""),45273.0)</f>
        <v>45273</v>
      </c>
      <c r="B537">
        <f>IFERROR(__xludf.DUMMYFUNCTION("""COMPUTED_VALUE"""),16130.0)</f>
        <v>16130</v>
      </c>
      <c r="C537" t="str">
        <f>IFERROR(__xludf.DUMMYFUNCTION("""COMPUTED_VALUE"""),"Elmer's E914 Carpenter's Color Change Wood Filler, 16-Ounce, Natural")</f>
        <v>Elmer's E914 Carpenter's Color Change Wood Filler, 16-Ounce, Natural</v>
      </c>
      <c r="D537" t="str">
        <f>IFERROR(__xludf.DUMMYFUNCTION("""COMPUTED_VALUE"""),"B00K25F1UW")</f>
        <v>B00K25F1UW</v>
      </c>
      <c r="E537" t="str">
        <f>IFERROR(__xludf.DUMMYFUNCTION("""COMPUTED_VALUE"""),"026000009140")</f>
        <v>026000009140</v>
      </c>
      <c r="F537">
        <f>IFERROR(__xludf.DUMMYFUNCTION("""COMPUTED_VALUE"""),608.0)</f>
        <v>608</v>
      </c>
      <c r="G537">
        <f>IFERROR(__xludf.DUMMYFUNCTION("""COMPUTED_VALUE"""),10000.0)</f>
        <v>10000</v>
      </c>
      <c r="H537" s="2">
        <f>IFERROR(__xludf.DUMMYFUNCTION("""COMPUTED_VALUE"""),6.25)</f>
        <v>6.25</v>
      </c>
      <c r="I537" s="2">
        <f>IFERROR(__xludf.DUMMYFUNCTION("""COMPUTED_VALUE"""),7.72)</f>
        <v>7.72</v>
      </c>
      <c r="J537" s="2">
        <f>IFERROR(__xludf.DUMMYFUNCTION("""COMPUTED_VALUE"""),1.4699999999999998)</f>
        <v>1.47</v>
      </c>
      <c r="K537" s="5">
        <f>IFERROR(__xludf.DUMMYFUNCTION("""COMPUTED_VALUE"""),0.23519999999999996)</f>
        <v>0.2352</v>
      </c>
      <c r="L537">
        <f>IFERROR(__xludf.DUMMYFUNCTION("""COMPUTED_VALUE"""),21457.0)</f>
        <v>21457</v>
      </c>
      <c r="M537" t="str">
        <f>IFERROR(__xludf.DUMMYFUNCTION("""COMPUTED_VALUE"""),"Office Product")</f>
        <v>Office Product</v>
      </c>
      <c r="O537" t="str">
        <f>IFERROR(__xludf.DUMMYFUNCTION("""COMPUTED_VALUE"""),"N")</f>
        <v>N</v>
      </c>
      <c r="P537" s="1" t="str">
        <f>IFERROR(__xludf.DUMMYFUNCTION("""COMPUTED_VALUE"""),"ID 16130")</f>
        <v>ID 16130</v>
      </c>
      <c r="Q537" s="1" t="str">
        <f>IFERROR(__xludf.DUMMYFUNCTION("""COMPUTED_VALUE"""),"B00K25F1UW")</f>
        <v>B00K25F1UW</v>
      </c>
    </row>
    <row r="538">
      <c r="A538" s="6">
        <f>IFERROR(__xludf.DUMMYFUNCTION("""COMPUTED_VALUE"""),44763.0)</f>
        <v>44763</v>
      </c>
      <c r="B538">
        <f>IFERROR(__xludf.DUMMYFUNCTION("""COMPUTED_VALUE"""),23763.0)</f>
        <v>23763</v>
      </c>
      <c r="C538" t="str">
        <f>IFERROR(__xludf.DUMMYFUNCTION("""COMPUTED_VALUE"""),"Satco S7363 9-Watt Candelabra Base T2 Mini Spiral, 5000K, 120V, Equivalent to 40-Watt Incandescent Lamp for Enclosed Fixtures")</f>
        <v>Satco S7363 9-Watt Candelabra Base T2 Mini Spiral, 5000K, 120V, Equivalent to 40-Watt Incandescent Lamp for Enclosed Fixtures</v>
      </c>
      <c r="D538" t="str">
        <f>IFERROR(__xludf.DUMMYFUNCTION("""COMPUTED_VALUE"""),"B003RGLMXI")</f>
        <v>B003RGLMXI</v>
      </c>
      <c r="E538" t="str">
        <f>IFERROR(__xludf.DUMMYFUNCTION("""COMPUTED_VALUE"""),"045923073632")</f>
        <v>045923073632</v>
      </c>
      <c r="F538">
        <f>IFERROR(__xludf.DUMMYFUNCTION("""COMPUTED_VALUE"""),384.0)</f>
        <v>384</v>
      </c>
      <c r="G538">
        <f>IFERROR(__xludf.DUMMYFUNCTION("""COMPUTED_VALUE"""),1000.0)</f>
        <v>1000</v>
      </c>
      <c r="H538" s="2">
        <f>IFERROR(__xludf.DUMMYFUNCTION("""COMPUTED_VALUE"""),3.75)</f>
        <v>3.75</v>
      </c>
      <c r="I538" s="2">
        <f>IFERROR(__xludf.DUMMYFUNCTION("""COMPUTED_VALUE"""),5.22)</f>
        <v>5.22</v>
      </c>
      <c r="J538" s="2">
        <f>IFERROR(__xludf.DUMMYFUNCTION("""COMPUTED_VALUE"""),1.4699999999999998)</f>
        <v>1.47</v>
      </c>
      <c r="K538" s="5">
        <f>IFERROR(__xludf.DUMMYFUNCTION("""COMPUTED_VALUE"""),0.39199999999999996)</f>
        <v>0.392</v>
      </c>
      <c r="L538">
        <f>IFERROR(__xludf.DUMMYFUNCTION("""COMPUTED_VALUE"""),27752.0)</f>
        <v>27752</v>
      </c>
      <c r="M538" t="str">
        <f>IFERROR(__xludf.DUMMYFUNCTION("""COMPUTED_VALUE"""),"Home Improvement")</f>
        <v>Home Improvement</v>
      </c>
      <c r="O538" t="str">
        <f>IFERROR(__xludf.DUMMYFUNCTION("""COMPUTED_VALUE"""),"N")</f>
        <v>N</v>
      </c>
      <c r="P538" s="1" t="str">
        <f>IFERROR(__xludf.DUMMYFUNCTION("""COMPUTED_VALUE"""),"ID 23763")</f>
        <v>ID 23763</v>
      </c>
      <c r="Q538" s="1" t="str">
        <f>IFERROR(__xludf.DUMMYFUNCTION("""COMPUTED_VALUE"""),"B003RGLMXI")</f>
        <v>B003RGLMXI</v>
      </c>
    </row>
    <row r="539">
      <c r="A539" s="6">
        <f>IFERROR(__xludf.DUMMYFUNCTION("""COMPUTED_VALUE"""),45413.0)</f>
        <v>45413</v>
      </c>
      <c r="B539">
        <f>IFERROR(__xludf.DUMMYFUNCTION("""COMPUTED_VALUE"""),3687.0)</f>
        <v>3687</v>
      </c>
      <c r="C539" t="str">
        <f>IFERROR(__xludf.DUMMYFUNCTION("""COMPUTED_VALUE"""),"Sony MDR-ZX110 Overhead Headphones - White")</f>
        <v>Sony MDR-ZX110 Overhead Headphones - White</v>
      </c>
      <c r="D539" t="str">
        <f>IFERROR(__xludf.DUMMYFUNCTION("""COMPUTED_VALUE"""),"B00NBR7962")</f>
        <v>B00NBR7962</v>
      </c>
      <c r="F539">
        <f>IFERROR(__xludf.DUMMYFUNCTION("""COMPUTED_VALUE"""),160.0)</f>
        <v>160</v>
      </c>
      <c r="G539">
        <f>IFERROR(__xludf.DUMMYFUNCTION("""COMPUTED_VALUE"""),3193.0)</f>
        <v>3193</v>
      </c>
      <c r="H539" s="2">
        <f>IFERROR(__xludf.DUMMYFUNCTION("""COMPUTED_VALUE"""),11.25)</f>
        <v>11.25</v>
      </c>
      <c r="I539" s="2">
        <f>IFERROR(__xludf.DUMMYFUNCTION("""COMPUTED_VALUE"""),12.72)</f>
        <v>12.72</v>
      </c>
      <c r="J539" s="2">
        <f>IFERROR(__xludf.DUMMYFUNCTION("""COMPUTED_VALUE"""),1.4700000000000006)</f>
        <v>1.47</v>
      </c>
      <c r="K539" s="5">
        <f>IFERROR(__xludf.DUMMYFUNCTION("""COMPUTED_VALUE"""),0.13066666666666674)</f>
        <v>0.1306666667</v>
      </c>
      <c r="L539">
        <f>IFERROR(__xludf.DUMMYFUNCTION("""COMPUTED_VALUE"""),58067.0)</f>
        <v>58067</v>
      </c>
      <c r="M539" t="str">
        <f>IFERROR(__xludf.DUMMYFUNCTION("""COMPUTED_VALUE"""),"CE")</f>
        <v>CE</v>
      </c>
      <c r="O539" t="str">
        <f>IFERROR(__xludf.DUMMYFUNCTION("""COMPUTED_VALUE"""),"N")</f>
        <v>N</v>
      </c>
      <c r="P539" s="1" t="str">
        <f>IFERROR(__xludf.DUMMYFUNCTION("""COMPUTED_VALUE"""),"ID 3687")</f>
        <v>ID 3687</v>
      </c>
      <c r="Q539" s="1" t="str">
        <f>IFERROR(__xludf.DUMMYFUNCTION("""COMPUTED_VALUE"""),"B00NBR7962")</f>
        <v>B00NBR7962</v>
      </c>
    </row>
    <row r="540">
      <c r="A540" s="6">
        <f>IFERROR(__xludf.DUMMYFUNCTION("""COMPUTED_VALUE"""),45113.0)</f>
        <v>45113</v>
      </c>
      <c r="B540">
        <f>IFERROR(__xludf.DUMMYFUNCTION("""COMPUTED_VALUE"""),24634.0)</f>
        <v>24634</v>
      </c>
      <c r="C540" t="str">
        <f>IFERROR(__xludf.DUMMYFUNCTION("""COMPUTED_VALUE"""),"Sharpie Oil-Based Paint Markers, Fine Point, Assorted Metallic, 2 Count - Great for Rock Painting")</f>
        <v>Sharpie Oil-Based Paint Markers, Fine Point, Assorted Metallic, 2 Count - Great for Rock Painting</v>
      </c>
      <c r="D540" t="str">
        <f>IFERROR(__xludf.DUMMYFUNCTION("""COMPUTED_VALUE"""),"B000I0VMJU")</f>
        <v>B000I0VMJU</v>
      </c>
      <c r="E540" t="str">
        <f>IFERROR(__xludf.DUMMYFUNCTION("""COMPUTED_VALUE"""),"071641373686")</f>
        <v>071641373686</v>
      </c>
      <c r="F540">
        <f>IFERROR(__xludf.DUMMYFUNCTION("""COMPUTED_VALUE"""),816.0)</f>
        <v>816</v>
      </c>
      <c r="G540">
        <f>IFERROR(__xludf.DUMMYFUNCTION("""COMPUTED_VALUE"""),10000.0)</f>
        <v>10000</v>
      </c>
      <c r="H540" s="2">
        <f>IFERROR(__xludf.DUMMYFUNCTION("""COMPUTED_VALUE"""),3.5)</f>
        <v>3.5</v>
      </c>
      <c r="I540" s="2">
        <f>IFERROR(__xludf.DUMMYFUNCTION("""COMPUTED_VALUE"""),4.97)</f>
        <v>4.97</v>
      </c>
      <c r="J540" s="2">
        <f>IFERROR(__xludf.DUMMYFUNCTION("""COMPUTED_VALUE"""),1.4699999999999998)</f>
        <v>1.47</v>
      </c>
      <c r="K540" s="5">
        <f>IFERROR(__xludf.DUMMYFUNCTION("""COMPUTED_VALUE"""),0.41999999999999993)</f>
        <v>0.42</v>
      </c>
      <c r="L540">
        <f>IFERROR(__xludf.DUMMYFUNCTION("""COMPUTED_VALUE"""),53461.0)</f>
        <v>53461</v>
      </c>
      <c r="M540" t="str">
        <f>IFERROR(__xludf.DUMMYFUNCTION("""COMPUTED_VALUE"""),"Office Product")</f>
        <v>Office Product</v>
      </c>
      <c r="O540" t="str">
        <f>IFERROR(__xludf.DUMMYFUNCTION("""COMPUTED_VALUE"""),"Y")</f>
        <v>Y</v>
      </c>
      <c r="P540" s="1" t="str">
        <f>IFERROR(__xludf.DUMMYFUNCTION("""COMPUTED_VALUE"""),"ID 24634")</f>
        <v>ID 24634</v>
      </c>
      <c r="Q540" s="1" t="str">
        <f>IFERROR(__xludf.DUMMYFUNCTION("""COMPUTED_VALUE"""),"B000I0VMJU")</f>
        <v>B000I0VMJU</v>
      </c>
    </row>
    <row r="541">
      <c r="A541" s="6">
        <f>IFERROR(__xludf.DUMMYFUNCTION("""COMPUTED_VALUE"""),44439.0)</f>
        <v>44439</v>
      </c>
      <c r="B541">
        <f>IFERROR(__xludf.DUMMYFUNCTION("""COMPUTED_VALUE"""),11553.0)</f>
        <v>11553</v>
      </c>
      <c r="C541" t="str">
        <f>IFERROR(__xludf.DUMMYFUNCTION("""COMPUTED_VALUE"""),"Mead Press-It Seal-It 6X9 Envelopes, Office Pack 30 Count (76084)")</f>
        <v>Mead Press-It Seal-It 6X9 Envelopes, Office Pack 30 Count (76084)</v>
      </c>
      <c r="D541" t="str">
        <f>IFERROR(__xludf.DUMMYFUNCTION("""COMPUTED_VALUE"""),"B002R5ARD6")</f>
        <v>B002R5ARD6</v>
      </c>
      <c r="E541" t="str">
        <f>IFERROR(__xludf.DUMMYFUNCTION("""COMPUTED_VALUE"""),"43100760849")</f>
        <v>43100760849</v>
      </c>
      <c r="F541">
        <f>IFERROR(__xludf.DUMMYFUNCTION("""COMPUTED_VALUE"""),924.0)</f>
        <v>924</v>
      </c>
      <c r="G541">
        <f>IFERROR(__xludf.DUMMYFUNCTION("""COMPUTED_VALUE"""),5000.0)</f>
        <v>5000</v>
      </c>
      <c r="H541" s="2">
        <f>IFERROR(__xludf.DUMMYFUNCTION("""COMPUTED_VALUE"""),2.75)</f>
        <v>2.75</v>
      </c>
      <c r="I541" s="2">
        <f>IFERROR(__xludf.DUMMYFUNCTION("""COMPUTED_VALUE"""),4.21)</f>
        <v>4.21</v>
      </c>
      <c r="J541" s="2">
        <f>IFERROR(__xludf.DUMMYFUNCTION("""COMPUTED_VALUE"""),1.46)</f>
        <v>1.46</v>
      </c>
      <c r="K541" s="5">
        <f>IFERROR(__xludf.DUMMYFUNCTION("""COMPUTED_VALUE"""),0.5309090909090909)</f>
        <v>0.5309090909</v>
      </c>
      <c r="L541">
        <f>IFERROR(__xludf.DUMMYFUNCTION("""COMPUTED_VALUE"""),1540.0)</f>
        <v>1540</v>
      </c>
      <c r="M541" t="str">
        <f>IFERROR(__xludf.DUMMYFUNCTION("""COMPUTED_VALUE"""),"Office Product")</f>
        <v>Office Product</v>
      </c>
      <c r="O541" t="str">
        <f>IFERROR(__xludf.DUMMYFUNCTION("""COMPUTED_VALUE"""),"Y")</f>
        <v>Y</v>
      </c>
      <c r="P541" s="1" t="str">
        <f>IFERROR(__xludf.DUMMYFUNCTION("""COMPUTED_VALUE"""),"ID 11553")</f>
        <v>ID 11553</v>
      </c>
      <c r="Q541" s="1" t="str">
        <f>IFERROR(__xludf.DUMMYFUNCTION("""COMPUTED_VALUE"""),"B002R5ARD6")</f>
        <v>B002R5ARD6</v>
      </c>
    </row>
    <row r="542">
      <c r="A542" s="6">
        <f>IFERROR(__xludf.DUMMYFUNCTION("""COMPUTED_VALUE"""),45390.0)</f>
        <v>45390</v>
      </c>
      <c r="B542">
        <f>IFERROR(__xludf.DUMMYFUNCTION("""COMPUTED_VALUE"""),15418.0)</f>
        <v>15418</v>
      </c>
      <c r="C542" t="str">
        <f>IFERROR(__xludf.DUMMYFUNCTION("""COMPUTED_VALUE"""),"Chef Craft Premium Silicone Turner, 11.75"", Green")</f>
        <v>Chef Craft Premium Silicone Turner, 11.75", Green</v>
      </c>
      <c r="D542" t="str">
        <f>IFERROR(__xludf.DUMMYFUNCTION("""COMPUTED_VALUE"""),"B01BKAU652")</f>
        <v>B01BKAU652</v>
      </c>
      <c r="E542" t="str">
        <f>IFERROR(__xludf.DUMMYFUNCTION("""COMPUTED_VALUE"""),"085455133107")</f>
        <v>085455133107</v>
      </c>
      <c r="F542">
        <f>IFERROR(__xludf.DUMMYFUNCTION("""COMPUTED_VALUE"""),360.0)</f>
        <v>360</v>
      </c>
      <c r="G542">
        <f>IFERROR(__xludf.DUMMYFUNCTION("""COMPUTED_VALUE"""),10000.0)</f>
        <v>10000</v>
      </c>
      <c r="H542" s="2">
        <f>IFERROR(__xludf.DUMMYFUNCTION("""COMPUTED_VALUE"""),2.75)</f>
        <v>2.75</v>
      </c>
      <c r="I542" s="2">
        <f>IFERROR(__xludf.DUMMYFUNCTION("""COMPUTED_VALUE"""),4.21)</f>
        <v>4.21</v>
      </c>
      <c r="J542" s="2">
        <f>IFERROR(__xludf.DUMMYFUNCTION("""COMPUTED_VALUE"""),1.46)</f>
        <v>1.46</v>
      </c>
      <c r="K542" s="5">
        <f>IFERROR(__xludf.DUMMYFUNCTION("""COMPUTED_VALUE"""),0.5309090909090909)</f>
        <v>0.5309090909</v>
      </c>
      <c r="L542">
        <f>IFERROR(__xludf.DUMMYFUNCTION("""COMPUTED_VALUE"""),96628.0)</f>
        <v>96628</v>
      </c>
      <c r="M542" t="str">
        <f>IFERROR(__xludf.DUMMYFUNCTION("""COMPUTED_VALUE"""),"Kitchen")</f>
        <v>Kitchen</v>
      </c>
      <c r="O542" t="str">
        <f>IFERROR(__xludf.DUMMYFUNCTION("""COMPUTED_VALUE"""),"Y")</f>
        <v>Y</v>
      </c>
      <c r="P542" s="1" t="str">
        <f>IFERROR(__xludf.DUMMYFUNCTION("""COMPUTED_VALUE"""),"ID 15418")</f>
        <v>ID 15418</v>
      </c>
      <c r="Q542" s="1" t="str">
        <f>IFERROR(__xludf.DUMMYFUNCTION("""COMPUTED_VALUE"""),"B01BKAU652")</f>
        <v>B01BKAU652</v>
      </c>
    </row>
    <row r="543">
      <c r="A543" s="6">
        <f>IFERROR(__xludf.DUMMYFUNCTION("""COMPUTED_VALUE"""),45335.0)</f>
        <v>45335</v>
      </c>
      <c r="B543">
        <f>IFERROR(__xludf.DUMMYFUNCTION("""COMPUTED_VALUE"""),21912.0)</f>
        <v>21912</v>
      </c>
      <c r="C543" t="str">
        <f>IFERROR(__xludf.DUMMYFUNCTION("""COMPUTED_VALUE"""),"DIXON Industrial Carpenter Pencils, Medium Graphite Core, Red/Black, 7"", 12-Pack (19972)")</f>
        <v>DIXON Industrial Carpenter Pencils, Medium Graphite Core, Red/Black, 7", 12-Pack (19972)</v>
      </c>
      <c r="D543" t="str">
        <f>IFERROR(__xludf.DUMMYFUNCTION("""COMPUTED_VALUE"""),"B00B749R7K")</f>
        <v>B00B749R7K</v>
      </c>
      <c r="E543" t="str">
        <f>IFERROR(__xludf.DUMMYFUNCTION("""COMPUTED_VALUE"""),"072067199720")</f>
        <v>072067199720</v>
      </c>
      <c r="F543">
        <f>IFERROR(__xludf.DUMMYFUNCTION("""COMPUTED_VALUE"""),720.0)</f>
        <v>720</v>
      </c>
      <c r="G543">
        <f>IFERROR(__xludf.DUMMYFUNCTION("""COMPUTED_VALUE"""),10000.0)</f>
        <v>10000</v>
      </c>
      <c r="H543" s="2">
        <f>IFERROR(__xludf.DUMMYFUNCTION("""COMPUTED_VALUE"""),5.25)</f>
        <v>5.25</v>
      </c>
      <c r="I543" s="2">
        <f>IFERROR(__xludf.DUMMYFUNCTION("""COMPUTED_VALUE"""),6.71)</f>
        <v>6.71</v>
      </c>
      <c r="J543" s="2">
        <f>IFERROR(__xludf.DUMMYFUNCTION("""COMPUTED_VALUE"""),1.46)</f>
        <v>1.46</v>
      </c>
      <c r="K543" s="5">
        <f>IFERROR(__xludf.DUMMYFUNCTION("""COMPUTED_VALUE"""),0.27809523809523806)</f>
        <v>0.2780952381</v>
      </c>
      <c r="L543">
        <f>IFERROR(__xludf.DUMMYFUNCTION("""COMPUTED_VALUE"""),41356.0)</f>
        <v>41356</v>
      </c>
      <c r="M543" t="str">
        <f>IFERROR(__xludf.DUMMYFUNCTION("""COMPUTED_VALUE"""),"Office Product")</f>
        <v>Office Product</v>
      </c>
      <c r="O543" t="str">
        <f>IFERROR(__xludf.DUMMYFUNCTION("""COMPUTED_VALUE"""),"N")</f>
        <v>N</v>
      </c>
      <c r="P543" s="1" t="str">
        <f>IFERROR(__xludf.DUMMYFUNCTION("""COMPUTED_VALUE"""),"ID 21912")</f>
        <v>ID 21912</v>
      </c>
      <c r="Q543" s="1" t="str">
        <f>IFERROR(__xludf.DUMMYFUNCTION("""COMPUTED_VALUE"""),"B00B749R7K")</f>
        <v>B00B749R7K</v>
      </c>
    </row>
    <row r="544">
      <c r="A544" s="6">
        <f>IFERROR(__xludf.DUMMYFUNCTION("""COMPUTED_VALUE"""),44214.0)</f>
        <v>44214</v>
      </c>
      <c r="B544">
        <f>IFERROR(__xludf.DUMMYFUNCTION("""COMPUTED_VALUE"""),15661.0)</f>
        <v>15661</v>
      </c>
      <c r="C544" t="str">
        <f>IFERROR(__xludf.DUMMYFUNCTION("""COMPUTED_VALUE"""),"Nude By Bill Blass For Women. Cologne Spray 3.4 Ounces")</f>
        <v>Nude By Bill Blass For Women. Cologne Spray 3.4 Ounces</v>
      </c>
      <c r="D544" t="str">
        <f>IFERROR(__xludf.DUMMYFUNCTION("""COMPUTED_VALUE"""),"B000C1VSXU")</f>
        <v>B000C1VSXU</v>
      </c>
      <c r="E544" t="str">
        <f>IFERROR(__xludf.DUMMYFUNCTION("""COMPUTED_VALUE"""),"827669019361")</f>
        <v>827669019361</v>
      </c>
      <c r="F544">
        <f>IFERROR(__xludf.DUMMYFUNCTION("""COMPUTED_VALUE"""),120.0)</f>
        <v>120</v>
      </c>
      <c r="G544">
        <f>IFERROR(__xludf.DUMMYFUNCTION("""COMPUTED_VALUE"""),774.0)</f>
        <v>774</v>
      </c>
      <c r="H544" s="2">
        <f>IFERROR(__xludf.DUMMYFUNCTION("""COMPUTED_VALUE"""),11.0)</f>
        <v>11</v>
      </c>
      <c r="I544" s="2">
        <f>IFERROR(__xludf.DUMMYFUNCTION("""COMPUTED_VALUE"""),12.45)</f>
        <v>12.45</v>
      </c>
      <c r="J544" s="2">
        <f>IFERROR(__xludf.DUMMYFUNCTION("""COMPUTED_VALUE"""),1.4499999999999993)</f>
        <v>1.45</v>
      </c>
      <c r="K544" s="5">
        <f>IFERROR(__xludf.DUMMYFUNCTION("""COMPUTED_VALUE"""),0.13181818181818175)</f>
        <v>0.1318181818</v>
      </c>
      <c r="L544">
        <f>IFERROR(__xludf.DUMMYFUNCTION("""COMPUTED_VALUE"""),57791.0)</f>
        <v>57791</v>
      </c>
      <c r="M544" t="str">
        <f>IFERROR(__xludf.DUMMYFUNCTION("""COMPUTED_VALUE"""),"Beauty")</f>
        <v>Beauty</v>
      </c>
      <c r="O544" t="str">
        <f>IFERROR(__xludf.DUMMYFUNCTION("""COMPUTED_VALUE"""),"Y")</f>
        <v>Y</v>
      </c>
      <c r="P544" s="1" t="str">
        <f>IFERROR(__xludf.DUMMYFUNCTION("""COMPUTED_VALUE"""),"ID 15661")</f>
        <v>ID 15661</v>
      </c>
      <c r="Q544" s="1" t="str">
        <f>IFERROR(__xludf.DUMMYFUNCTION("""COMPUTED_VALUE"""),"B000C1VSXU")</f>
        <v>B000C1VSXU</v>
      </c>
    </row>
    <row r="545">
      <c r="A545" s="6">
        <f>IFERROR(__xludf.DUMMYFUNCTION("""COMPUTED_VALUE"""),45429.0)</f>
        <v>45429</v>
      </c>
      <c r="B545">
        <f>IFERROR(__xludf.DUMMYFUNCTION("""COMPUTED_VALUE"""),22050.0)</f>
        <v>22050</v>
      </c>
      <c r="C545" t="str">
        <f>IFERROR(__xludf.DUMMYFUNCTION("""COMPUTED_VALUE"""),"Revlon Photoready Perfecting Primer, 0.91 Fluid Ounce")</f>
        <v>Revlon Photoready Perfecting Primer, 0.91 Fluid Ounce</v>
      </c>
      <c r="D545" t="str">
        <f>IFERROR(__xludf.DUMMYFUNCTION("""COMPUTED_VALUE"""),"B006OZF4KG")</f>
        <v>B006OZF4KG</v>
      </c>
      <c r="E545" t="str">
        <f>IFERROR(__xludf.DUMMYFUNCTION("""COMPUTED_VALUE"""),"309974104012")</f>
        <v>309974104012</v>
      </c>
      <c r="F545">
        <f>IFERROR(__xludf.DUMMYFUNCTION("""COMPUTED_VALUE"""),162.0)</f>
        <v>162</v>
      </c>
      <c r="G545">
        <f>IFERROR(__xludf.DUMMYFUNCTION("""COMPUTED_VALUE"""),162.0)</f>
        <v>162</v>
      </c>
      <c r="H545" s="2">
        <f>IFERROR(__xludf.DUMMYFUNCTION("""COMPUTED_VALUE"""),4.25)</f>
        <v>4.25</v>
      </c>
      <c r="I545" s="2">
        <f>IFERROR(__xludf.DUMMYFUNCTION("""COMPUTED_VALUE"""),5.7)</f>
        <v>5.7</v>
      </c>
      <c r="J545" s="2">
        <f>IFERROR(__xludf.DUMMYFUNCTION("""COMPUTED_VALUE"""),1.4500000000000002)</f>
        <v>1.45</v>
      </c>
      <c r="K545" s="5">
        <f>IFERROR(__xludf.DUMMYFUNCTION("""COMPUTED_VALUE"""),0.34117647058823536)</f>
        <v>0.3411764706</v>
      </c>
      <c r="L545">
        <f>IFERROR(__xludf.DUMMYFUNCTION("""COMPUTED_VALUE"""),12427.0)</f>
        <v>12427</v>
      </c>
      <c r="M545" t="str">
        <f>IFERROR(__xludf.DUMMYFUNCTION("""COMPUTED_VALUE"""),"Beauty")</f>
        <v>Beauty</v>
      </c>
      <c r="O545" t="str">
        <f>IFERROR(__xludf.DUMMYFUNCTION("""COMPUTED_VALUE"""),"N")</f>
        <v>N</v>
      </c>
      <c r="P545" s="1" t="str">
        <f>IFERROR(__xludf.DUMMYFUNCTION("""COMPUTED_VALUE"""),"ID 22050")</f>
        <v>ID 22050</v>
      </c>
      <c r="Q545" s="1" t="str">
        <f>IFERROR(__xludf.DUMMYFUNCTION("""COMPUTED_VALUE"""),"B006OZF4KG")</f>
        <v>B006OZF4KG</v>
      </c>
    </row>
    <row r="546">
      <c r="A546" s="6">
        <f>IFERROR(__xludf.DUMMYFUNCTION("""COMPUTED_VALUE"""),45376.0)</f>
        <v>45376</v>
      </c>
      <c r="B546">
        <f>IFERROR(__xludf.DUMMYFUNCTION("""COMPUTED_VALUE"""),17064.0)</f>
        <v>17064</v>
      </c>
      <c r="C546" t="str">
        <f>IFERROR(__xludf.DUMMYFUNCTION("""COMPUTED_VALUE"""),"PRANG Refill Pans for Half Pan Watercolor Paint Sets, 12 Pans per Box, Violet (08006)")</f>
        <v>PRANG Refill Pans for Half Pan Watercolor Paint Sets, 12 Pans per Box, Violet (08006)</v>
      </c>
      <c r="D546" t="str">
        <f>IFERROR(__xludf.DUMMYFUNCTION("""COMPUTED_VALUE"""),"B0044SGW9C")</f>
        <v>B0044SGW9C</v>
      </c>
      <c r="E546" t="str">
        <f>IFERROR(__xludf.DUMMYFUNCTION("""COMPUTED_VALUE"""),"072067080066")</f>
        <v>072067080066</v>
      </c>
      <c r="F546">
        <f>IFERROR(__xludf.DUMMYFUNCTION("""COMPUTED_VALUE"""),888.0)</f>
        <v>888</v>
      </c>
      <c r="G546">
        <f>IFERROR(__xludf.DUMMYFUNCTION("""COMPUTED_VALUE"""),10000.0)</f>
        <v>10000</v>
      </c>
      <c r="H546" s="2">
        <f>IFERROR(__xludf.DUMMYFUNCTION("""COMPUTED_VALUE"""),4.25)</f>
        <v>4.25</v>
      </c>
      <c r="I546" s="2">
        <f>IFERROR(__xludf.DUMMYFUNCTION("""COMPUTED_VALUE"""),5.69)</f>
        <v>5.69</v>
      </c>
      <c r="J546" s="2">
        <f>IFERROR(__xludf.DUMMYFUNCTION("""COMPUTED_VALUE"""),1.4400000000000004)</f>
        <v>1.44</v>
      </c>
      <c r="K546" s="5">
        <f>IFERROR(__xludf.DUMMYFUNCTION("""COMPUTED_VALUE"""),0.3388235294117648)</f>
        <v>0.3388235294</v>
      </c>
      <c r="L546">
        <f>IFERROR(__xludf.DUMMYFUNCTION("""COMPUTED_VALUE"""),16357.0)</f>
        <v>16357</v>
      </c>
      <c r="M546" t="str">
        <f>IFERROR(__xludf.DUMMYFUNCTION("""COMPUTED_VALUE"""),"Home Improvement")</f>
        <v>Home Improvement</v>
      </c>
      <c r="O546" t="str">
        <f>IFERROR(__xludf.DUMMYFUNCTION("""COMPUTED_VALUE"""),"N")</f>
        <v>N</v>
      </c>
      <c r="P546" s="1" t="str">
        <f>IFERROR(__xludf.DUMMYFUNCTION("""COMPUTED_VALUE"""),"ID 17064")</f>
        <v>ID 17064</v>
      </c>
      <c r="Q546" s="1" t="str">
        <f>IFERROR(__xludf.DUMMYFUNCTION("""COMPUTED_VALUE"""),"B0044SGW9C")</f>
        <v>B0044SGW9C</v>
      </c>
    </row>
    <row r="547">
      <c r="A547" s="6">
        <f>IFERROR(__xludf.DUMMYFUNCTION("""COMPUTED_VALUE"""),45421.0)</f>
        <v>45421</v>
      </c>
      <c r="B547">
        <f>IFERROR(__xludf.DUMMYFUNCTION("""COMPUTED_VALUE"""),23062.0)</f>
        <v>23062</v>
      </c>
      <c r="C547" t="str">
        <f>IFERROR(__xludf.DUMMYFUNCTION("""COMPUTED_VALUE"""),"Molotow ONE4ALL Acrylic Paint Marker, 2mm, Neon Pink Fluorescent, 1 Each (127.231)")</f>
        <v>Molotow ONE4ALL Acrylic Paint Marker, 2mm, Neon Pink Fluorescent, 1 Each (127.231)</v>
      </c>
      <c r="D547" t="str">
        <f>IFERROR(__xludf.DUMMYFUNCTION("""COMPUTED_VALUE"""),"B0044D2NOK")</f>
        <v>B0044D2NOK</v>
      </c>
      <c r="E547" t="str">
        <f>IFERROR(__xludf.DUMMYFUNCTION("""COMPUTED_VALUE"""),"4250397600345")</f>
        <v>4250397600345</v>
      </c>
      <c r="F547">
        <f>IFERROR(__xludf.DUMMYFUNCTION("""COMPUTED_VALUE"""),600.0)</f>
        <v>600</v>
      </c>
      <c r="G547">
        <f>IFERROR(__xludf.DUMMYFUNCTION("""COMPUTED_VALUE"""),10000.0)</f>
        <v>10000</v>
      </c>
      <c r="H547" s="2">
        <f>IFERROR(__xludf.DUMMYFUNCTION("""COMPUTED_VALUE"""),5.5)</f>
        <v>5.5</v>
      </c>
      <c r="I547" s="2">
        <f>IFERROR(__xludf.DUMMYFUNCTION("""COMPUTED_VALUE"""),6.94)</f>
        <v>6.94</v>
      </c>
      <c r="J547" s="2">
        <f>IFERROR(__xludf.DUMMYFUNCTION("""COMPUTED_VALUE"""),1.4400000000000004)</f>
        <v>1.44</v>
      </c>
      <c r="K547" s="5">
        <f>IFERROR(__xludf.DUMMYFUNCTION("""COMPUTED_VALUE"""),0.2618181818181819)</f>
        <v>0.2618181818</v>
      </c>
      <c r="L547">
        <f>IFERROR(__xludf.DUMMYFUNCTION("""COMPUTED_VALUE"""),91419.0)</f>
        <v>91419</v>
      </c>
      <c r="M547" t="str">
        <f>IFERROR(__xludf.DUMMYFUNCTION("""COMPUTED_VALUE"""),"Office Product")</f>
        <v>Office Product</v>
      </c>
      <c r="O547" t="str">
        <f>IFERROR(__xludf.DUMMYFUNCTION("""COMPUTED_VALUE"""),"Y")</f>
        <v>Y</v>
      </c>
      <c r="P547" s="1" t="str">
        <f>IFERROR(__xludf.DUMMYFUNCTION("""COMPUTED_VALUE"""),"ID 23062")</f>
        <v>ID 23062</v>
      </c>
      <c r="Q547" s="1" t="str">
        <f>IFERROR(__xludf.DUMMYFUNCTION("""COMPUTED_VALUE"""),"B0044D2NOK")</f>
        <v>B0044D2NOK</v>
      </c>
    </row>
    <row r="548">
      <c r="A548" s="6">
        <f>IFERROR(__xludf.DUMMYFUNCTION("""COMPUTED_VALUE"""),45376.0)</f>
        <v>45376</v>
      </c>
      <c r="B548">
        <f>IFERROR(__xludf.DUMMYFUNCTION("""COMPUTED_VALUE"""),24072.0)</f>
        <v>24072</v>
      </c>
      <c r="C548" t="str">
        <f>IFERROR(__xludf.DUMMYFUNCTION("""COMPUTED_VALUE"""),"Pacon PAC91880 Spectra Glitter Sparkling Crystals, 1 lb., Black")</f>
        <v>Pacon PAC91880 Spectra Glitter Sparkling Crystals, 1 lb., Black</v>
      </c>
      <c r="D548" t="str">
        <f>IFERROR(__xludf.DUMMYFUNCTION("""COMPUTED_VALUE"""),"B000J07O0U")</f>
        <v>B000J07O0U</v>
      </c>
      <c r="E548" t="str">
        <f>IFERROR(__xludf.DUMMYFUNCTION("""COMPUTED_VALUE"""),"029444918801")</f>
        <v>029444918801</v>
      </c>
      <c r="F548">
        <f>IFERROR(__xludf.DUMMYFUNCTION("""COMPUTED_VALUE"""),540.0)</f>
        <v>540</v>
      </c>
      <c r="G548">
        <f>IFERROR(__xludf.DUMMYFUNCTION("""COMPUTED_VALUE"""),10000.0)</f>
        <v>10000</v>
      </c>
      <c r="H548" s="2">
        <f>IFERROR(__xludf.DUMMYFUNCTION("""COMPUTED_VALUE"""),6.75)</f>
        <v>6.75</v>
      </c>
      <c r="I548" s="2">
        <f>IFERROR(__xludf.DUMMYFUNCTION("""COMPUTED_VALUE"""),8.19)</f>
        <v>8.19</v>
      </c>
      <c r="J548" s="2">
        <f>IFERROR(__xludf.DUMMYFUNCTION("""COMPUTED_VALUE"""),1.4399999999999995)</f>
        <v>1.44</v>
      </c>
      <c r="K548" s="5">
        <f>IFERROR(__xludf.DUMMYFUNCTION("""COMPUTED_VALUE"""),0.21333333333333326)</f>
        <v>0.2133333333</v>
      </c>
      <c r="L548">
        <f>IFERROR(__xludf.DUMMYFUNCTION("""COMPUTED_VALUE"""),45409.0)</f>
        <v>45409</v>
      </c>
      <c r="M548" t="str">
        <f>IFERROR(__xludf.DUMMYFUNCTION("""COMPUTED_VALUE"""),"Home")</f>
        <v>Home</v>
      </c>
      <c r="O548" t="str">
        <f>IFERROR(__xludf.DUMMYFUNCTION("""COMPUTED_VALUE"""),"Y")</f>
        <v>Y</v>
      </c>
      <c r="P548" s="1" t="str">
        <f>IFERROR(__xludf.DUMMYFUNCTION("""COMPUTED_VALUE"""),"ID 24072")</f>
        <v>ID 24072</v>
      </c>
      <c r="Q548" s="1" t="str">
        <f>IFERROR(__xludf.DUMMYFUNCTION("""COMPUTED_VALUE"""),"B000J07O0U")</f>
        <v>B000J07O0U</v>
      </c>
    </row>
    <row r="549">
      <c r="A549" s="6">
        <f>IFERROR(__xludf.DUMMYFUNCTION("""COMPUTED_VALUE"""),44798.0)</f>
        <v>44798</v>
      </c>
      <c r="B549">
        <f>IFERROR(__xludf.DUMMYFUNCTION("""COMPUTED_VALUE"""),22874.0)</f>
        <v>22874</v>
      </c>
      <c r="C549" t="str">
        <f>IFERROR(__xludf.DUMMYFUNCTION("""COMPUTED_VALUE"""),"Officemate Paper Fasteners (OIC99817), Brass, 2 Inch Shank")</f>
        <v>Officemate Paper Fasteners (OIC99817), Brass, 2 Inch Shank</v>
      </c>
      <c r="D549" t="str">
        <f>IFERROR(__xludf.DUMMYFUNCTION("""COMPUTED_VALUE"""),"B003DYZR6M")</f>
        <v>B003DYZR6M</v>
      </c>
      <c r="E549" t="str">
        <f>IFERROR(__xludf.DUMMYFUNCTION("""COMPUTED_VALUE"""),"042491998176")</f>
        <v>042491998176</v>
      </c>
      <c r="F549">
        <f>IFERROR(__xludf.DUMMYFUNCTION("""COMPUTED_VALUE"""),400.0)</f>
        <v>400</v>
      </c>
      <c r="G549">
        <f>IFERROR(__xludf.DUMMYFUNCTION("""COMPUTED_VALUE"""),1000.0)</f>
        <v>1000</v>
      </c>
      <c r="H549" s="2">
        <f>IFERROR(__xludf.DUMMYFUNCTION("""COMPUTED_VALUE"""),3.75)</f>
        <v>3.75</v>
      </c>
      <c r="I549" s="2">
        <f>IFERROR(__xludf.DUMMYFUNCTION("""COMPUTED_VALUE"""),5.18)</f>
        <v>5.18</v>
      </c>
      <c r="J549" s="2">
        <f>IFERROR(__xludf.DUMMYFUNCTION("""COMPUTED_VALUE"""),1.4299999999999997)</f>
        <v>1.43</v>
      </c>
      <c r="K549" s="5">
        <f>IFERROR(__xludf.DUMMYFUNCTION("""COMPUTED_VALUE"""),0.38133333333333325)</f>
        <v>0.3813333333</v>
      </c>
      <c r="L549">
        <f>IFERROR(__xludf.DUMMYFUNCTION("""COMPUTED_VALUE"""),29950.0)</f>
        <v>29950</v>
      </c>
      <c r="M549" t="str">
        <f>IFERROR(__xludf.DUMMYFUNCTION("""COMPUTED_VALUE"""),"Office Product")</f>
        <v>Office Product</v>
      </c>
      <c r="O549" t="str">
        <f>IFERROR(__xludf.DUMMYFUNCTION("""COMPUTED_VALUE"""),"Y")</f>
        <v>Y</v>
      </c>
      <c r="P549" s="1" t="str">
        <f>IFERROR(__xludf.DUMMYFUNCTION("""COMPUTED_VALUE"""),"ID 22874")</f>
        <v>ID 22874</v>
      </c>
      <c r="Q549" s="1" t="str">
        <f>IFERROR(__xludf.DUMMYFUNCTION("""COMPUTED_VALUE"""),"B003DYZR6M")</f>
        <v>B003DYZR6M</v>
      </c>
    </row>
    <row r="550">
      <c r="A550" s="6">
        <f>IFERROR(__xludf.DUMMYFUNCTION("""COMPUTED_VALUE"""),45351.0)</f>
        <v>45351</v>
      </c>
      <c r="B550">
        <f>IFERROR(__xludf.DUMMYFUNCTION("""COMPUTED_VALUE"""),25381.0)</f>
        <v>25381</v>
      </c>
      <c r="C550" t="str">
        <f>IFERROR(__xludf.DUMMYFUNCTION("""COMPUTED_VALUE"""),"Hayes Mathematic Achievement Certificate, 8.5"" x 11"", Pack of 30")</f>
        <v>Hayes Mathematic Achievement Certificate, 8.5" x 11", Pack of 30</v>
      </c>
      <c r="D550" t="str">
        <f>IFERROR(__xludf.DUMMYFUNCTION("""COMPUTED_VALUE"""),"B000FA3O44")</f>
        <v>B000FA3O44</v>
      </c>
      <c r="E550" t="str">
        <f>IFERROR(__xludf.DUMMYFUNCTION("""COMPUTED_VALUE"""),"734675130860")</f>
        <v>734675130860</v>
      </c>
      <c r="F550">
        <f>IFERROR(__xludf.DUMMYFUNCTION("""COMPUTED_VALUE"""),450.0)</f>
        <v>450</v>
      </c>
      <c r="G550">
        <f>IFERROR(__xludf.DUMMYFUNCTION("""COMPUTED_VALUE"""),10000.0)</f>
        <v>10000</v>
      </c>
      <c r="H550" s="2">
        <f>IFERROR(__xludf.DUMMYFUNCTION("""COMPUTED_VALUE"""),4.25)</f>
        <v>4.25</v>
      </c>
      <c r="I550" s="2">
        <f>IFERROR(__xludf.DUMMYFUNCTION("""COMPUTED_VALUE"""),5.68)</f>
        <v>5.68</v>
      </c>
      <c r="J550" s="2">
        <f>IFERROR(__xludf.DUMMYFUNCTION("""COMPUTED_VALUE"""),1.4299999999999997)</f>
        <v>1.43</v>
      </c>
      <c r="K550" s="5">
        <f>IFERROR(__xludf.DUMMYFUNCTION("""COMPUTED_VALUE"""),0.3364705882352941)</f>
        <v>0.3364705882</v>
      </c>
      <c r="L550">
        <f>IFERROR(__xludf.DUMMYFUNCTION("""COMPUTED_VALUE"""),13249.0)</f>
        <v>13249</v>
      </c>
      <c r="M550" t="str">
        <f>IFERROR(__xludf.DUMMYFUNCTION("""COMPUTED_VALUE"""),"Toy")</f>
        <v>Toy</v>
      </c>
      <c r="O550" t="str">
        <f>IFERROR(__xludf.DUMMYFUNCTION("""COMPUTED_VALUE"""),"Y")</f>
        <v>Y</v>
      </c>
      <c r="P550" s="1" t="str">
        <f>IFERROR(__xludf.DUMMYFUNCTION("""COMPUTED_VALUE"""),"ID 25381")</f>
        <v>ID 25381</v>
      </c>
      <c r="Q550" s="1" t="str">
        <f>IFERROR(__xludf.DUMMYFUNCTION("""COMPUTED_VALUE"""),"B000FA3O44")</f>
        <v>B000FA3O44</v>
      </c>
    </row>
    <row r="551">
      <c r="A551" s="6">
        <f>IFERROR(__xludf.DUMMYFUNCTION("""COMPUTED_VALUE"""),45421.0)</f>
        <v>45421</v>
      </c>
      <c r="B551">
        <f>IFERROR(__xludf.DUMMYFUNCTION("""COMPUTED_VALUE"""),25582.0)</f>
        <v>25582</v>
      </c>
      <c r="C551" t="str">
        <f>IFERROR(__xludf.DUMMYFUNCTION("""COMPUTED_VALUE"""),"Chartpak Self-Adhesive Vinyl Capital Letters and Numbers, 1/2 Inches High, Silver, 201 per Pack (01019)")</f>
        <v>Chartpak Self-Adhesive Vinyl Capital Letters and Numbers, 1/2 Inches High, Silver, 201 per Pack (01019)</v>
      </c>
      <c r="D551" t="str">
        <f>IFERROR(__xludf.DUMMYFUNCTION("""COMPUTED_VALUE"""),"B0023B5HNO")</f>
        <v>B0023B5HNO</v>
      </c>
      <c r="E551" t="str">
        <f>IFERROR(__xludf.DUMMYFUNCTION("""COMPUTED_VALUE"""),"014173118622")</f>
        <v>014173118622</v>
      </c>
      <c r="F551">
        <f>IFERROR(__xludf.DUMMYFUNCTION("""COMPUTED_VALUE"""),792.0)</f>
        <v>792</v>
      </c>
      <c r="G551">
        <f>IFERROR(__xludf.DUMMYFUNCTION("""COMPUTED_VALUE"""),10000.0)</f>
        <v>10000</v>
      </c>
      <c r="H551" s="2">
        <f>IFERROR(__xludf.DUMMYFUNCTION("""COMPUTED_VALUE"""),2.75)</f>
        <v>2.75</v>
      </c>
      <c r="I551" s="2">
        <f>IFERROR(__xludf.DUMMYFUNCTION("""COMPUTED_VALUE"""),4.18)</f>
        <v>4.18</v>
      </c>
      <c r="J551" s="2">
        <f>IFERROR(__xludf.DUMMYFUNCTION("""COMPUTED_VALUE"""),1.4299999999999997)</f>
        <v>1.43</v>
      </c>
      <c r="K551" s="5">
        <f>IFERROR(__xludf.DUMMYFUNCTION("""COMPUTED_VALUE"""),0.5199999999999999)</f>
        <v>0.52</v>
      </c>
      <c r="L551">
        <f>IFERROR(__xludf.DUMMYFUNCTION("""COMPUTED_VALUE"""),2440.0)</f>
        <v>2440</v>
      </c>
      <c r="M551" t="str">
        <f>IFERROR(__xludf.DUMMYFUNCTION("""COMPUTED_VALUE"""),"Office Product")</f>
        <v>Office Product</v>
      </c>
      <c r="O551" t="str">
        <f>IFERROR(__xludf.DUMMYFUNCTION("""COMPUTED_VALUE"""),"N")</f>
        <v>N</v>
      </c>
      <c r="P551" s="1" t="str">
        <f>IFERROR(__xludf.DUMMYFUNCTION("""COMPUTED_VALUE"""),"ID 25582")</f>
        <v>ID 25582</v>
      </c>
      <c r="Q551" s="1" t="str">
        <f>IFERROR(__xludf.DUMMYFUNCTION("""COMPUTED_VALUE"""),"B0023B5HNO")</f>
        <v>B0023B5HNO</v>
      </c>
    </row>
    <row r="552">
      <c r="A552" s="6">
        <f>IFERROR(__xludf.DUMMYFUNCTION("""COMPUTED_VALUE"""),45383.0)</f>
        <v>45383</v>
      </c>
      <c r="B552">
        <f>IFERROR(__xludf.DUMMYFUNCTION("""COMPUTED_VALUE"""),25886.0)</f>
        <v>25886</v>
      </c>
      <c r="C552" t="str">
        <f>IFERROR(__xludf.DUMMYFUNCTION("""COMPUTED_VALUE"""),"uni-ball 207 BLX Infusion Retractable Gel Pens, Medium Point (0.7mm), Assorted Colors, 4 Count")</f>
        <v>uni-ball 207 BLX Infusion Retractable Gel Pens, Medium Point (0.7mm), Assorted Colors, 4 Count</v>
      </c>
      <c r="D552" t="str">
        <f>IFERROR(__xludf.DUMMYFUNCTION("""COMPUTED_VALUE"""),"B00AXX0S42")</f>
        <v>B00AXX0S42</v>
      </c>
      <c r="E552" t="str">
        <f>IFERROR(__xludf.DUMMYFUNCTION("""COMPUTED_VALUE"""),"030246005033")</f>
        <v>030246005033</v>
      </c>
      <c r="F552">
        <f>IFERROR(__xludf.DUMMYFUNCTION("""COMPUTED_VALUE"""),336.0)</f>
        <v>336</v>
      </c>
      <c r="G552">
        <f>IFERROR(__xludf.DUMMYFUNCTION("""COMPUTED_VALUE"""),10000.0)</f>
        <v>10000</v>
      </c>
      <c r="H552" s="2">
        <f>IFERROR(__xludf.DUMMYFUNCTION("""COMPUTED_VALUE"""),4.5)</f>
        <v>4.5</v>
      </c>
      <c r="I552" s="2">
        <f>IFERROR(__xludf.DUMMYFUNCTION("""COMPUTED_VALUE"""),5.93)</f>
        <v>5.93</v>
      </c>
      <c r="J552" s="2">
        <f>IFERROR(__xludf.DUMMYFUNCTION("""COMPUTED_VALUE"""),1.4299999999999997)</f>
        <v>1.43</v>
      </c>
      <c r="K552" s="5">
        <f>IFERROR(__xludf.DUMMYFUNCTION("""COMPUTED_VALUE"""),0.3177777777777777)</f>
        <v>0.3177777778</v>
      </c>
      <c r="L552">
        <f>IFERROR(__xludf.DUMMYFUNCTION("""COMPUTED_VALUE"""),52808.0)</f>
        <v>52808</v>
      </c>
      <c r="M552" t="str">
        <f>IFERROR(__xludf.DUMMYFUNCTION("""COMPUTED_VALUE"""),"BISS Basic")</f>
        <v>BISS Basic</v>
      </c>
      <c r="O552" t="str">
        <f>IFERROR(__xludf.DUMMYFUNCTION("""COMPUTED_VALUE"""),"Y")</f>
        <v>Y</v>
      </c>
      <c r="P552" s="1" t="str">
        <f>IFERROR(__xludf.DUMMYFUNCTION("""COMPUTED_VALUE"""),"ID 25886")</f>
        <v>ID 25886</v>
      </c>
      <c r="Q552" s="1" t="str">
        <f>IFERROR(__xludf.DUMMYFUNCTION("""COMPUTED_VALUE"""),"B00AXX0S42")</f>
        <v>B00AXX0S42</v>
      </c>
    </row>
    <row r="553">
      <c r="A553" s="6">
        <f>IFERROR(__xludf.DUMMYFUNCTION("""COMPUTED_VALUE"""),45383.0)</f>
        <v>45383</v>
      </c>
      <c r="B553">
        <f>IFERROR(__xludf.DUMMYFUNCTION("""COMPUTED_VALUE"""),20160.0)</f>
        <v>20160</v>
      </c>
      <c r="C553" t="str">
        <f>IFERROR(__xludf.DUMMYFUNCTION("""COMPUTED_VALUE"""),"uni-ball Vision Elite BLX Infusion Rollerball Pens, Bold Point (0.8mm), Blue/Black, 3 Count")</f>
        <v>uni-ball Vision Elite BLX Infusion Rollerball Pens, Bold Point (0.8mm), Blue/Black, 3 Count</v>
      </c>
      <c r="D553" t="str">
        <f>IFERROR(__xludf.DUMMYFUNCTION("""COMPUTED_VALUE"""),"B000JKTGEW")</f>
        <v>B000JKTGEW</v>
      </c>
      <c r="E553" t="str">
        <f>IFERROR(__xludf.DUMMYFUNCTION("""COMPUTED_VALUE"""),"030246671870")</f>
        <v>030246671870</v>
      </c>
      <c r="F553">
        <f>IFERROR(__xludf.DUMMYFUNCTION("""COMPUTED_VALUE"""),192.0)</f>
        <v>192</v>
      </c>
      <c r="G553">
        <f>IFERROR(__xludf.DUMMYFUNCTION("""COMPUTED_VALUE"""),10000.0)</f>
        <v>10000</v>
      </c>
      <c r="H553" s="2">
        <f>IFERROR(__xludf.DUMMYFUNCTION("""COMPUTED_VALUE"""),6.0)</f>
        <v>6</v>
      </c>
      <c r="I553" s="2">
        <f>IFERROR(__xludf.DUMMYFUNCTION("""COMPUTED_VALUE"""),7.42)</f>
        <v>7.42</v>
      </c>
      <c r="J553" s="2">
        <f>IFERROR(__xludf.DUMMYFUNCTION("""COMPUTED_VALUE"""),1.42)</f>
        <v>1.42</v>
      </c>
      <c r="K553" s="5">
        <f>IFERROR(__xludf.DUMMYFUNCTION("""COMPUTED_VALUE"""),0.23666666666666666)</f>
        <v>0.2366666667</v>
      </c>
      <c r="L553">
        <f>IFERROR(__xludf.DUMMYFUNCTION("""COMPUTED_VALUE"""),35269.0)</f>
        <v>35269</v>
      </c>
      <c r="M553" t="str">
        <f>IFERROR(__xludf.DUMMYFUNCTION("""COMPUTED_VALUE"""),"Office Product")</f>
        <v>Office Product</v>
      </c>
      <c r="O553" t="str">
        <f>IFERROR(__xludf.DUMMYFUNCTION("""COMPUTED_VALUE"""),"Y")</f>
        <v>Y</v>
      </c>
      <c r="P553" s="1" t="str">
        <f>IFERROR(__xludf.DUMMYFUNCTION("""COMPUTED_VALUE"""),"ID 20160")</f>
        <v>ID 20160</v>
      </c>
      <c r="Q553" s="1" t="str">
        <f>IFERROR(__xludf.DUMMYFUNCTION("""COMPUTED_VALUE"""),"B000JKTGEW")</f>
        <v>B000JKTGEW</v>
      </c>
    </row>
    <row r="554">
      <c r="A554" s="6">
        <f>IFERROR(__xludf.DUMMYFUNCTION("""COMPUTED_VALUE"""),44998.0)</f>
        <v>44998</v>
      </c>
      <c r="B554">
        <f>IFERROR(__xludf.DUMMYFUNCTION("""COMPUTED_VALUE"""),22830.0)</f>
        <v>22830</v>
      </c>
      <c r="C554" t="str">
        <f>IFERROR(__xludf.DUMMYFUNCTION("""COMPUTED_VALUE"""),"Rapid 23391500 5/16-Inch 19 Series Fine Wire Staples with R19E and R23, 5000 Per Box")</f>
        <v>Rapid 23391500 5/16-Inch 19 Series Fine Wire Staples with R19E and R23, 5000 Per Box</v>
      </c>
      <c r="D554" t="str">
        <f>IFERROR(__xludf.DUMMYFUNCTION("""COMPUTED_VALUE"""),"B0080CCN46")</f>
        <v>B0080CCN46</v>
      </c>
      <c r="E554" t="str">
        <f>IFERROR(__xludf.DUMMYFUNCTION("""COMPUTED_VALUE"""),"7313463915006")</f>
        <v>7313463915006</v>
      </c>
      <c r="F554">
        <f>IFERROR(__xludf.DUMMYFUNCTION("""COMPUTED_VALUE"""),756.0)</f>
        <v>756</v>
      </c>
      <c r="G554">
        <f>IFERROR(__xludf.DUMMYFUNCTION("""COMPUTED_VALUE"""),10000.0)</f>
        <v>10000</v>
      </c>
      <c r="H554" s="2">
        <f>IFERROR(__xludf.DUMMYFUNCTION("""COMPUTED_VALUE"""),3.25)</f>
        <v>3.25</v>
      </c>
      <c r="I554" s="2">
        <f>IFERROR(__xludf.DUMMYFUNCTION("""COMPUTED_VALUE"""),4.67)</f>
        <v>4.67</v>
      </c>
      <c r="J554" s="2">
        <f>IFERROR(__xludf.DUMMYFUNCTION("""COMPUTED_VALUE"""),1.42)</f>
        <v>1.42</v>
      </c>
      <c r="K554" s="5">
        <f>IFERROR(__xludf.DUMMYFUNCTION("""COMPUTED_VALUE"""),0.4369230769230769)</f>
        <v>0.4369230769</v>
      </c>
      <c r="L554">
        <f>IFERROR(__xludf.DUMMYFUNCTION("""COMPUTED_VALUE"""),26317.0)</f>
        <v>26317</v>
      </c>
      <c r="M554" t="str">
        <f>IFERROR(__xludf.DUMMYFUNCTION("""COMPUTED_VALUE"""),"Office Product")</f>
        <v>Office Product</v>
      </c>
      <c r="O554" t="str">
        <f>IFERROR(__xludf.DUMMYFUNCTION("""COMPUTED_VALUE"""),"Y")</f>
        <v>Y</v>
      </c>
      <c r="P554" s="1" t="str">
        <f>IFERROR(__xludf.DUMMYFUNCTION("""COMPUTED_VALUE"""),"ID 22830")</f>
        <v>ID 22830</v>
      </c>
      <c r="Q554" s="1" t="str">
        <f>IFERROR(__xludf.DUMMYFUNCTION("""COMPUTED_VALUE"""),"B0080CCN46")</f>
        <v>B0080CCN46</v>
      </c>
    </row>
    <row r="555">
      <c r="A555" s="6">
        <f>IFERROR(__xludf.DUMMYFUNCTION("""COMPUTED_VALUE"""),45376.0)</f>
        <v>45376</v>
      </c>
      <c r="B555">
        <f>IFERROR(__xludf.DUMMYFUNCTION("""COMPUTED_VALUE"""),21942.0)</f>
        <v>21942</v>
      </c>
      <c r="C555" t="str">
        <f>IFERROR(__xludf.DUMMYFUNCTION("""COMPUTED_VALUE"""),"Dixon - 464-52300 Industrial Lumber Marking Crayons, 4.5"" x 1/2"" Hex, White, 12-Pack (52300)")</f>
        <v>Dixon - 464-52300 Industrial Lumber Marking Crayons, 4.5" x 1/2" Hex, White, 12-Pack (52300)</v>
      </c>
      <c r="D555" t="str">
        <f>IFERROR(__xludf.DUMMYFUNCTION("""COMPUTED_VALUE"""),"B0037QFZLS")</f>
        <v>B0037QFZLS</v>
      </c>
      <c r="E555" t="str">
        <f>IFERROR(__xludf.DUMMYFUNCTION("""COMPUTED_VALUE"""),"072067523006")</f>
        <v>072067523006</v>
      </c>
      <c r="F555">
        <f>IFERROR(__xludf.DUMMYFUNCTION("""COMPUTED_VALUE"""),552.0)</f>
        <v>552</v>
      </c>
      <c r="G555">
        <f>IFERROR(__xludf.DUMMYFUNCTION("""COMPUTED_VALUE"""),10000.0)</f>
        <v>10000</v>
      </c>
      <c r="H555" s="2">
        <f>IFERROR(__xludf.DUMMYFUNCTION("""COMPUTED_VALUE"""),6.5)</f>
        <v>6.5</v>
      </c>
      <c r="I555" s="2">
        <f>IFERROR(__xludf.DUMMYFUNCTION("""COMPUTED_VALUE"""),7.91)</f>
        <v>7.91</v>
      </c>
      <c r="J555" s="2">
        <f>IFERROR(__xludf.DUMMYFUNCTION("""COMPUTED_VALUE"""),1.4100000000000001)</f>
        <v>1.41</v>
      </c>
      <c r="K555" s="5">
        <f>IFERROR(__xludf.DUMMYFUNCTION("""COMPUTED_VALUE"""),0.21692307692307694)</f>
        <v>0.2169230769</v>
      </c>
      <c r="L555">
        <f>IFERROR(__xludf.DUMMYFUNCTION("""COMPUTED_VALUE"""),3447.0)</f>
        <v>3447</v>
      </c>
      <c r="M555" t="str">
        <f>IFERROR(__xludf.DUMMYFUNCTION("""COMPUTED_VALUE"""),"Home Improvement")</f>
        <v>Home Improvement</v>
      </c>
      <c r="O555" t="str">
        <f>IFERROR(__xludf.DUMMYFUNCTION("""COMPUTED_VALUE"""),"N")</f>
        <v>N</v>
      </c>
      <c r="P555" s="1" t="str">
        <f>IFERROR(__xludf.DUMMYFUNCTION("""COMPUTED_VALUE"""),"ID 21942")</f>
        <v>ID 21942</v>
      </c>
      <c r="Q555" s="1" t="str">
        <f>IFERROR(__xludf.DUMMYFUNCTION("""COMPUTED_VALUE"""),"B0037QFZLS")</f>
        <v>B0037QFZLS</v>
      </c>
    </row>
    <row r="556">
      <c r="A556" s="6">
        <f>IFERROR(__xludf.DUMMYFUNCTION("""COMPUTED_VALUE"""),45421.0)</f>
        <v>45421</v>
      </c>
      <c r="B556">
        <f>IFERROR(__xludf.DUMMYFUNCTION("""COMPUTED_VALUE"""),23104.0)</f>
        <v>23104</v>
      </c>
      <c r="C556" t="str">
        <f>IFERROR(__xludf.DUMMYFUNCTION("""COMPUTED_VALUE"""),"Rapidesign Pipe Fittings Template, 1 Each (R49)")</f>
        <v>Rapidesign Pipe Fittings Template, 1 Each (R49)</v>
      </c>
      <c r="D556" t="str">
        <f>IFERROR(__xludf.DUMMYFUNCTION("""COMPUTED_VALUE"""),"B004IV5AR0")</f>
        <v>B004IV5AR0</v>
      </c>
      <c r="E556" t="str">
        <f>IFERROR(__xludf.DUMMYFUNCTION("""COMPUTED_VALUE"""),"014173253668")</f>
        <v>014173253668</v>
      </c>
      <c r="F556">
        <f>IFERROR(__xludf.DUMMYFUNCTION("""COMPUTED_VALUE"""),288.0)</f>
        <v>288</v>
      </c>
      <c r="G556">
        <f>IFERROR(__xludf.DUMMYFUNCTION("""COMPUTED_VALUE"""),10000.0)</f>
        <v>10000</v>
      </c>
      <c r="H556" s="2">
        <f>IFERROR(__xludf.DUMMYFUNCTION("""COMPUTED_VALUE"""),11.5)</f>
        <v>11.5</v>
      </c>
      <c r="I556" s="2">
        <f>IFERROR(__xludf.DUMMYFUNCTION("""COMPUTED_VALUE"""),12.91)</f>
        <v>12.91</v>
      </c>
      <c r="J556" s="2">
        <f>IFERROR(__xludf.DUMMYFUNCTION("""COMPUTED_VALUE"""),1.4100000000000001)</f>
        <v>1.41</v>
      </c>
      <c r="K556" s="5">
        <f>IFERROR(__xludf.DUMMYFUNCTION("""COMPUTED_VALUE"""),0.12260869565217393)</f>
        <v>0.1226086957</v>
      </c>
      <c r="L556">
        <f>IFERROR(__xludf.DUMMYFUNCTION("""COMPUTED_VALUE"""),28305.0)</f>
        <v>28305</v>
      </c>
      <c r="M556" t="str">
        <f>IFERROR(__xludf.DUMMYFUNCTION("""COMPUTED_VALUE"""),"Office Product")</f>
        <v>Office Product</v>
      </c>
      <c r="O556" t="str">
        <f>IFERROR(__xludf.DUMMYFUNCTION("""COMPUTED_VALUE"""),"Y")</f>
        <v>Y</v>
      </c>
      <c r="P556" s="1" t="str">
        <f>IFERROR(__xludf.DUMMYFUNCTION("""COMPUTED_VALUE"""),"ID 23104")</f>
        <v>ID 23104</v>
      </c>
      <c r="Q556" s="1" t="str">
        <f>IFERROR(__xludf.DUMMYFUNCTION("""COMPUTED_VALUE"""),"B004IV5AR0")</f>
        <v>B004IV5AR0</v>
      </c>
    </row>
    <row r="557">
      <c r="A557" s="6">
        <f>IFERROR(__xludf.DUMMYFUNCTION("""COMPUTED_VALUE"""),44510.0)</f>
        <v>44510</v>
      </c>
      <c r="B557">
        <f>IFERROR(__xludf.DUMMYFUNCTION("""COMPUTED_VALUE"""),23320.0)</f>
        <v>23320</v>
      </c>
      <c r="C557" t="str">
        <f>IFERROR(__xludf.DUMMYFUNCTION("""COMPUTED_VALUE"""),"Farberware Professional Stainless Steel Whisk, 10-Inch")</f>
        <v>Farberware Professional Stainless Steel Whisk, 10-Inch</v>
      </c>
      <c r="D557" t="str">
        <f>IFERROR(__xludf.DUMMYFUNCTION("""COMPUTED_VALUE"""),"B07D186CW8")</f>
        <v>B07D186CW8</v>
      </c>
      <c r="E557" t="str">
        <f>IFERROR(__xludf.DUMMYFUNCTION("""COMPUTED_VALUE"""),"24131385591")</f>
        <v>24131385591</v>
      </c>
      <c r="F557">
        <f>IFERROR(__xludf.DUMMYFUNCTION("""COMPUTED_VALUE"""),408.0)</f>
        <v>408</v>
      </c>
      <c r="G557">
        <f>IFERROR(__xludf.DUMMYFUNCTION("""COMPUTED_VALUE"""),3144.0)</f>
        <v>3144</v>
      </c>
      <c r="H557" s="2">
        <f>IFERROR(__xludf.DUMMYFUNCTION("""COMPUTED_VALUE"""),3.25)</f>
        <v>3.25</v>
      </c>
      <c r="I557" s="2">
        <f>IFERROR(__xludf.DUMMYFUNCTION("""COMPUTED_VALUE"""),4.65)</f>
        <v>4.65</v>
      </c>
      <c r="J557" s="2">
        <f>IFERROR(__xludf.DUMMYFUNCTION("""COMPUTED_VALUE"""),1.4000000000000004)</f>
        <v>1.4</v>
      </c>
      <c r="K557" s="5">
        <f>IFERROR(__xludf.DUMMYFUNCTION("""COMPUTED_VALUE"""),0.4307692307692309)</f>
        <v>0.4307692308</v>
      </c>
      <c r="L557">
        <f>IFERROR(__xludf.DUMMYFUNCTION("""COMPUTED_VALUE"""),60178.0)</f>
        <v>60178</v>
      </c>
      <c r="M557" t="str">
        <f>IFERROR(__xludf.DUMMYFUNCTION("""COMPUTED_VALUE"""),"Kitchen")</f>
        <v>Kitchen</v>
      </c>
      <c r="N557" t="str">
        <f>IFERROR(__xludf.DUMMYFUNCTION("""COMPUTED_VALUE"""),"Restricted online")</f>
        <v>Restricted online</v>
      </c>
      <c r="O557" t="str">
        <f>IFERROR(__xludf.DUMMYFUNCTION("""COMPUTED_VALUE"""),"Y")</f>
        <v>Y</v>
      </c>
      <c r="P557" s="1" t="str">
        <f>IFERROR(__xludf.DUMMYFUNCTION("""COMPUTED_VALUE"""),"ID 23320")</f>
        <v>ID 23320</v>
      </c>
      <c r="Q557" s="1" t="str">
        <f>IFERROR(__xludf.DUMMYFUNCTION("""COMPUTED_VALUE"""),"B07D186CW8")</f>
        <v>B07D186CW8</v>
      </c>
    </row>
    <row r="558">
      <c r="A558" s="6">
        <f>IFERROR(__xludf.DUMMYFUNCTION("""COMPUTED_VALUE"""),45376.0)</f>
        <v>45376</v>
      </c>
      <c r="B558">
        <f>IFERROR(__xludf.DUMMYFUNCTION("""COMPUTED_VALUE"""),25207.0)</f>
        <v>25207</v>
      </c>
      <c r="C558" t="str">
        <f>IFERROR(__xludf.DUMMYFUNCTION("""COMPUTED_VALUE"""),"Cudlie Disney Baby Girl Minnie Mouse Bottle, Rattle &amp; Pacifer Set")</f>
        <v>Cudlie Disney Baby Girl Minnie Mouse Bottle, Rattle &amp; Pacifer Set</v>
      </c>
      <c r="D558" t="str">
        <f>IFERROR(__xludf.DUMMYFUNCTION("""COMPUTED_VALUE"""),"B08K14MWMF")</f>
        <v>B08K14MWMF</v>
      </c>
      <c r="E558" t="str">
        <f>IFERROR(__xludf.DUMMYFUNCTION("""COMPUTED_VALUE"""),"632878723257")</f>
        <v>632878723257</v>
      </c>
      <c r="F558">
        <f>IFERROR(__xludf.DUMMYFUNCTION("""COMPUTED_VALUE"""),432.0)</f>
        <v>432</v>
      </c>
      <c r="G558">
        <f>IFERROR(__xludf.DUMMYFUNCTION("""COMPUTED_VALUE"""),3146.0)</f>
        <v>3146</v>
      </c>
      <c r="H558" s="2">
        <f>IFERROR(__xludf.DUMMYFUNCTION("""COMPUTED_VALUE"""),3.0)</f>
        <v>3</v>
      </c>
      <c r="I558" s="2">
        <f>IFERROR(__xludf.DUMMYFUNCTION("""COMPUTED_VALUE"""),4.4)</f>
        <v>4.4</v>
      </c>
      <c r="J558" s="2">
        <f>IFERROR(__xludf.DUMMYFUNCTION("""COMPUTED_VALUE"""),1.4000000000000004)</f>
        <v>1.4</v>
      </c>
      <c r="K558" s="5">
        <f>IFERROR(__xludf.DUMMYFUNCTION("""COMPUTED_VALUE"""),0.4666666666666668)</f>
        <v>0.4666666667</v>
      </c>
      <c r="L558">
        <f>IFERROR(__xludf.DUMMYFUNCTION("""COMPUTED_VALUE"""),50268.0)</f>
        <v>50268</v>
      </c>
      <c r="M558" t="str">
        <f>IFERROR(__xludf.DUMMYFUNCTION("""COMPUTED_VALUE"""),"Baby Product")</f>
        <v>Baby Product</v>
      </c>
      <c r="O558" t="str">
        <f>IFERROR(__xludf.DUMMYFUNCTION("""COMPUTED_VALUE"""),"N")</f>
        <v>N</v>
      </c>
      <c r="P558" s="1" t="str">
        <f>IFERROR(__xludf.DUMMYFUNCTION("""COMPUTED_VALUE"""),"ID 25207")</f>
        <v>ID 25207</v>
      </c>
      <c r="Q558" s="1" t="str">
        <f>IFERROR(__xludf.DUMMYFUNCTION("""COMPUTED_VALUE"""),"B08K14MWMF")</f>
        <v>B08K14MWMF</v>
      </c>
    </row>
    <row r="559">
      <c r="A559" s="6">
        <f>IFERROR(__xludf.DUMMYFUNCTION("""COMPUTED_VALUE"""),44147.0)</f>
        <v>44147</v>
      </c>
      <c r="B559">
        <f>IFERROR(__xludf.DUMMYFUNCTION("""COMPUTED_VALUE"""),16977.0)</f>
        <v>16977</v>
      </c>
      <c r="C559" t="str">
        <f>IFERROR(__xludf.DUMMYFUNCTION("""COMPUTED_VALUE"""),"Revlon Super Lustrous Lipstick, High Impact Lipcolor with Moisturizing Creamy Formula, Infused with Vitamin E and Avocado Oil in Red / Coral Pearl, Apricot Fantasy (120)")</f>
        <v>Revlon Super Lustrous Lipstick, High Impact Lipcolor with Moisturizing Creamy Formula, Infused with Vitamin E and Avocado Oil in Red / Coral Pearl, Apricot Fantasy (120)</v>
      </c>
      <c r="D559" t="str">
        <f>IFERROR(__xludf.DUMMYFUNCTION("""COMPUTED_VALUE"""),"B000RIBDQK")</f>
        <v>B000RIBDQK</v>
      </c>
      <c r="E559" t="str">
        <f>IFERROR(__xludf.DUMMYFUNCTION("""COMPUTED_VALUE"""),"80100005167")</f>
        <v>80100005167</v>
      </c>
      <c r="F559">
        <f>IFERROR(__xludf.DUMMYFUNCTION("""COMPUTED_VALUE"""),864.0)</f>
        <v>864</v>
      </c>
      <c r="G559">
        <f>IFERROR(__xludf.DUMMYFUNCTION("""COMPUTED_VALUE"""),144.0)</f>
        <v>144</v>
      </c>
      <c r="H559" s="2">
        <f>IFERROR(__xludf.DUMMYFUNCTION("""COMPUTED_VALUE"""),1.5)</f>
        <v>1.5</v>
      </c>
      <c r="I559" s="2">
        <f>IFERROR(__xludf.DUMMYFUNCTION("""COMPUTED_VALUE"""),2.89)</f>
        <v>2.89</v>
      </c>
      <c r="J559" s="2">
        <f>IFERROR(__xludf.DUMMYFUNCTION("""COMPUTED_VALUE"""),1.3900000000000001)</f>
        <v>1.39</v>
      </c>
      <c r="K559" s="5">
        <f>IFERROR(__xludf.DUMMYFUNCTION("""COMPUTED_VALUE"""),0.9266666666666667)</f>
        <v>0.9266666667</v>
      </c>
      <c r="L559">
        <f>IFERROR(__xludf.DUMMYFUNCTION("""COMPUTED_VALUE"""),272.0)</f>
        <v>272</v>
      </c>
      <c r="M559" t="str">
        <f>IFERROR(__xludf.DUMMYFUNCTION("""COMPUTED_VALUE"""),"Beauty")</f>
        <v>Beauty</v>
      </c>
      <c r="O559" t="str">
        <f>IFERROR(__xludf.DUMMYFUNCTION("""COMPUTED_VALUE"""),"N")</f>
        <v>N</v>
      </c>
      <c r="P559" s="1" t="str">
        <f>IFERROR(__xludf.DUMMYFUNCTION("""COMPUTED_VALUE"""),"ID 16977")</f>
        <v>ID 16977</v>
      </c>
      <c r="Q559" s="1" t="str">
        <f>IFERROR(__xludf.DUMMYFUNCTION("""COMPUTED_VALUE"""),"B000RIBDQK")</f>
        <v>B000RIBDQK</v>
      </c>
    </row>
    <row r="560">
      <c r="A560" s="6">
        <f>IFERROR(__xludf.DUMMYFUNCTION("""COMPUTED_VALUE"""),45383.0)</f>
        <v>45383</v>
      </c>
      <c r="B560">
        <f>IFERROR(__xludf.DUMMYFUNCTION("""COMPUTED_VALUE"""),20150.0)</f>
        <v>20150</v>
      </c>
      <c r="C560" t="str">
        <f>IFERROR(__xludf.DUMMYFUNCTION("""COMPUTED_VALUE"""),"uni-ball Vision Elite Rollerball Pen, Micro Point (0.5mm), Black, 1 Count")</f>
        <v>uni-ball Vision Elite Rollerball Pen, Micro Point (0.5mm), Black, 1 Count</v>
      </c>
      <c r="D560" t="str">
        <f>IFERROR(__xludf.DUMMYFUNCTION("""COMPUTED_VALUE"""),"B000BQK57G")</f>
        <v>B000BQK57G</v>
      </c>
      <c r="E560" t="str">
        <f>IFERROR(__xludf.DUMMYFUNCTION("""COMPUTED_VALUE"""),"030246691106")</f>
        <v>030246691106</v>
      </c>
      <c r="F560">
        <f>IFERROR(__xludf.DUMMYFUNCTION("""COMPUTED_VALUE"""),432.0)</f>
        <v>432</v>
      </c>
      <c r="G560">
        <f>IFERROR(__xludf.DUMMYFUNCTION("""COMPUTED_VALUE"""),10000.0)</f>
        <v>10000</v>
      </c>
      <c r="H560" s="2">
        <f>IFERROR(__xludf.DUMMYFUNCTION("""COMPUTED_VALUE"""),2.25)</f>
        <v>2.25</v>
      </c>
      <c r="I560" s="2">
        <f>IFERROR(__xludf.DUMMYFUNCTION("""COMPUTED_VALUE"""),3.64)</f>
        <v>3.64</v>
      </c>
      <c r="J560" s="2">
        <f>IFERROR(__xludf.DUMMYFUNCTION("""COMPUTED_VALUE"""),1.3900000000000001)</f>
        <v>1.39</v>
      </c>
      <c r="K560" s="5">
        <f>IFERROR(__xludf.DUMMYFUNCTION("""COMPUTED_VALUE"""),0.6177777777777779)</f>
        <v>0.6177777778</v>
      </c>
      <c r="L560">
        <f>IFERROR(__xludf.DUMMYFUNCTION("""COMPUTED_VALUE"""),69507.0)</f>
        <v>69507</v>
      </c>
      <c r="M560" t="str">
        <f>IFERROR(__xludf.DUMMYFUNCTION("""COMPUTED_VALUE"""),"Office Product")</f>
        <v>Office Product</v>
      </c>
      <c r="O560" t="str">
        <f>IFERROR(__xludf.DUMMYFUNCTION("""COMPUTED_VALUE"""),"Y")</f>
        <v>Y</v>
      </c>
      <c r="P560" s="1" t="str">
        <f>IFERROR(__xludf.DUMMYFUNCTION("""COMPUTED_VALUE"""),"ID 20150")</f>
        <v>ID 20150</v>
      </c>
      <c r="Q560" s="1" t="str">
        <f>IFERROR(__xludf.DUMMYFUNCTION("""COMPUTED_VALUE"""),"B000BQK57G")</f>
        <v>B000BQK57G</v>
      </c>
    </row>
    <row r="561">
      <c r="A561" s="6">
        <f>IFERROR(__xludf.DUMMYFUNCTION("""COMPUTED_VALUE"""),45421.0)</f>
        <v>45421</v>
      </c>
      <c r="B561">
        <f>IFERROR(__xludf.DUMMYFUNCTION("""COMPUTED_VALUE"""),25815.0)</f>
        <v>25815</v>
      </c>
      <c r="C561" t="str">
        <f>IFERROR(__xludf.DUMMYFUNCTION("""COMPUTED_VALUE"""),"BIC BU3 Retractable Ball Pen, Medium Point (1.0 mm), Assorted Colors, 5-Count")</f>
        <v>BIC BU3 Retractable Ball Pen, Medium Point (1.0 mm), Assorted Colors, 5-Count</v>
      </c>
      <c r="D561" t="str">
        <f>IFERROR(__xludf.DUMMYFUNCTION("""COMPUTED_VALUE"""),"B00EQDIZ1I")</f>
        <v>B00EQDIZ1I</v>
      </c>
      <c r="E561" t="str">
        <f>IFERROR(__xludf.DUMMYFUNCTION("""COMPUTED_VALUE"""),"070330189881")</f>
        <v>070330189881</v>
      </c>
      <c r="F561">
        <f>IFERROR(__xludf.DUMMYFUNCTION("""COMPUTED_VALUE"""),756.0)</f>
        <v>756</v>
      </c>
      <c r="G561">
        <f>IFERROR(__xludf.DUMMYFUNCTION("""COMPUTED_VALUE"""),10000.0)</f>
        <v>10000</v>
      </c>
      <c r="H561" s="2">
        <f>IFERROR(__xludf.DUMMYFUNCTION("""COMPUTED_VALUE"""),1.75)</f>
        <v>1.75</v>
      </c>
      <c r="I561" s="2">
        <f>IFERROR(__xludf.DUMMYFUNCTION("""COMPUTED_VALUE"""),3.14)</f>
        <v>3.14</v>
      </c>
      <c r="J561" s="2">
        <f>IFERROR(__xludf.DUMMYFUNCTION("""COMPUTED_VALUE"""),1.3900000000000001)</f>
        <v>1.39</v>
      </c>
      <c r="K561" s="5">
        <f>IFERROR(__xludf.DUMMYFUNCTION("""COMPUTED_VALUE"""),0.7942857142857144)</f>
        <v>0.7942857143</v>
      </c>
      <c r="L561">
        <f>IFERROR(__xludf.DUMMYFUNCTION("""COMPUTED_VALUE"""),41345.0)</f>
        <v>41345</v>
      </c>
      <c r="M561" t="str">
        <f>IFERROR(__xludf.DUMMYFUNCTION("""COMPUTED_VALUE"""),"Office Product")</f>
        <v>Office Product</v>
      </c>
      <c r="O561" t="str">
        <f>IFERROR(__xludf.DUMMYFUNCTION("""COMPUTED_VALUE"""),"Y")</f>
        <v>Y</v>
      </c>
      <c r="P561" s="1" t="str">
        <f>IFERROR(__xludf.DUMMYFUNCTION("""COMPUTED_VALUE"""),"ID 25815")</f>
        <v>ID 25815</v>
      </c>
      <c r="Q561" s="1" t="str">
        <f>IFERROR(__xludf.DUMMYFUNCTION("""COMPUTED_VALUE"""),"B00EQDIZ1I")</f>
        <v>B00EQDIZ1I</v>
      </c>
    </row>
    <row r="562">
      <c r="A562" s="6">
        <f>IFERROR(__xludf.DUMMYFUNCTION("""COMPUTED_VALUE"""),45390.0)</f>
        <v>45390</v>
      </c>
      <c r="B562">
        <f>IFERROR(__xludf.DUMMYFUNCTION("""COMPUTED_VALUE"""),14117.0)</f>
        <v>14117</v>
      </c>
      <c r="C562" t="str">
        <f>IFERROR(__xludf.DUMMYFUNCTION("""COMPUTED_VALUE"""),"Chef Craft 21017 Select Short Grill Brush, Black")</f>
        <v>Chef Craft 21017 Select Short Grill Brush, Black</v>
      </c>
      <c r="D562" t="str">
        <f>IFERROR(__xludf.DUMMYFUNCTION("""COMPUTED_VALUE"""),"B00B0W1OUC")</f>
        <v>B00B0W1OUC</v>
      </c>
      <c r="E562" t="str">
        <f>IFERROR(__xludf.DUMMYFUNCTION("""COMPUTED_VALUE"""),"085455210174")</f>
        <v>085455210174</v>
      </c>
      <c r="F562">
        <f>IFERROR(__xludf.DUMMYFUNCTION("""COMPUTED_VALUE"""),720.0)</f>
        <v>720</v>
      </c>
      <c r="G562">
        <f>IFERROR(__xludf.DUMMYFUNCTION("""COMPUTED_VALUE"""),10000.0)</f>
        <v>10000</v>
      </c>
      <c r="H562" s="2">
        <f>IFERROR(__xludf.DUMMYFUNCTION("""COMPUTED_VALUE"""),1.5)</f>
        <v>1.5</v>
      </c>
      <c r="I562" s="2">
        <f>IFERROR(__xludf.DUMMYFUNCTION("""COMPUTED_VALUE"""),2.88)</f>
        <v>2.88</v>
      </c>
      <c r="J562" s="2">
        <f>IFERROR(__xludf.DUMMYFUNCTION("""COMPUTED_VALUE"""),1.38)</f>
        <v>1.38</v>
      </c>
      <c r="K562" s="5">
        <f>IFERROR(__xludf.DUMMYFUNCTION("""COMPUTED_VALUE"""),0.9199999999999999)</f>
        <v>0.92</v>
      </c>
      <c r="L562">
        <f>IFERROR(__xludf.DUMMYFUNCTION("""COMPUTED_VALUE"""),17808.0)</f>
        <v>17808</v>
      </c>
      <c r="M562" t="str">
        <f>IFERROR(__xludf.DUMMYFUNCTION("""COMPUTED_VALUE"""),"Home")</f>
        <v>Home</v>
      </c>
      <c r="O562" t="str">
        <f>IFERROR(__xludf.DUMMYFUNCTION("""COMPUTED_VALUE"""),"Y")</f>
        <v>Y</v>
      </c>
      <c r="P562" s="1" t="str">
        <f>IFERROR(__xludf.DUMMYFUNCTION("""COMPUTED_VALUE"""),"ID 14117")</f>
        <v>ID 14117</v>
      </c>
      <c r="Q562" s="1" t="str">
        <f>IFERROR(__xludf.DUMMYFUNCTION("""COMPUTED_VALUE"""),"B00B0W1OUC")</f>
        <v>B00B0W1OUC</v>
      </c>
    </row>
    <row r="563">
      <c r="A563" s="6">
        <f>IFERROR(__xludf.DUMMYFUNCTION("""COMPUTED_VALUE"""),45118.0)</f>
        <v>45118</v>
      </c>
      <c r="B563">
        <f>IFERROR(__xludf.DUMMYFUNCTION("""COMPUTED_VALUE"""),17866.0)</f>
        <v>17866</v>
      </c>
      <c r="C563" t="str">
        <f>IFERROR(__xludf.DUMMYFUNCTION("""COMPUTED_VALUE"""),"Sharpie - Fine Upc Slate Grey, Style Name Classic, Pack of 1 (1768783)")</f>
        <v>Sharpie - Fine Upc Slate Grey, Style Name Classic, Pack of 1 (1768783)</v>
      </c>
      <c r="D563" t="str">
        <f>IFERROR(__xludf.DUMMYFUNCTION("""COMPUTED_VALUE"""),"B009ORGEKU")</f>
        <v>B009ORGEKU</v>
      </c>
      <c r="E563" t="str">
        <f>IFERROR(__xludf.DUMMYFUNCTION("""COMPUTED_VALUE"""),"71641022218")</f>
        <v>71641022218</v>
      </c>
      <c r="F563">
        <f>IFERROR(__xludf.DUMMYFUNCTION("""COMPUTED_VALUE"""),3600.0)</f>
        <v>3600</v>
      </c>
      <c r="G563">
        <f>IFERROR(__xludf.DUMMYFUNCTION("""COMPUTED_VALUE"""),10000.0)</f>
        <v>10000</v>
      </c>
      <c r="H563" s="2">
        <f>IFERROR(__xludf.DUMMYFUNCTION("""COMPUTED_VALUE"""),1.0)</f>
        <v>1</v>
      </c>
      <c r="I563" s="2">
        <f>IFERROR(__xludf.DUMMYFUNCTION("""COMPUTED_VALUE"""),2.38)</f>
        <v>2.38</v>
      </c>
      <c r="J563" s="2">
        <f>IFERROR(__xludf.DUMMYFUNCTION("""COMPUTED_VALUE"""),1.38)</f>
        <v>1.38</v>
      </c>
      <c r="K563" s="5">
        <f>IFERROR(__xludf.DUMMYFUNCTION("""COMPUTED_VALUE"""),1.38)</f>
        <v>1.38</v>
      </c>
      <c r="L563">
        <f>IFERROR(__xludf.DUMMYFUNCTION("""COMPUTED_VALUE"""),45301.0)</f>
        <v>45301</v>
      </c>
      <c r="M563" t="str">
        <f>IFERROR(__xludf.DUMMYFUNCTION("""COMPUTED_VALUE"""),"Office Product")</f>
        <v>Office Product</v>
      </c>
      <c r="N563" t="str">
        <f>IFERROR(__xludf.DUMMYFUNCTION("""COMPUTED_VALUE"""),"Open stock with indvidual UPC")</f>
        <v>Open stock with indvidual UPC</v>
      </c>
      <c r="O563" t="str">
        <f>IFERROR(__xludf.DUMMYFUNCTION("""COMPUTED_VALUE"""),"N")</f>
        <v>N</v>
      </c>
      <c r="P563" s="1" t="str">
        <f>IFERROR(__xludf.DUMMYFUNCTION("""COMPUTED_VALUE"""),"ID 17866")</f>
        <v>ID 17866</v>
      </c>
      <c r="Q563" s="1" t="str">
        <f>IFERROR(__xludf.DUMMYFUNCTION("""COMPUTED_VALUE"""),"B009ORGEKU")</f>
        <v>B009ORGEKU</v>
      </c>
    </row>
    <row r="564">
      <c r="A564" s="6">
        <f>IFERROR(__xludf.DUMMYFUNCTION("""COMPUTED_VALUE"""),45362.0)</f>
        <v>45362</v>
      </c>
      <c r="B564">
        <f>IFERROR(__xludf.DUMMYFUNCTION("""COMPUTED_VALUE"""),19695.0)</f>
        <v>19695</v>
      </c>
      <c r="C564" t="str">
        <f>IFERROR(__xludf.DUMMYFUNCTION("""COMPUTED_VALUE"""),"Pentel EnerGel RTX Retractable Liquid Gel Pen, (0.3mm) Needle Tip, Extra Fine Line, Assorted Ink, 3-Pk (BLN73BP3M)")</f>
        <v>Pentel EnerGel RTX Retractable Liquid Gel Pen, (0.3mm) Needle Tip, Extra Fine Line, Assorted Ink, 3-Pk (BLN73BP3M)</v>
      </c>
      <c r="D564" t="str">
        <f>IFERROR(__xludf.DUMMYFUNCTION("""COMPUTED_VALUE"""),"B01N6V5BPA")</f>
        <v>B01N6V5BPA</v>
      </c>
      <c r="E564" t="str">
        <f>IFERROR(__xludf.DUMMYFUNCTION("""COMPUTED_VALUE"""),"072512265932")</f>
        <v>072512265932</v>
      </c>
      <c r="F564">
        <f>IFERROR(__xludf.DUMMYFUNCTION("""COMPUTED_VALUE"""),288.0)</f>
        <v>288</v>
      </c>
      <c r="G564">
        <f>IFERROR(__xludf.DUMMYFUNCTION("""COMPUTED_VALUE"""),10000.0)</f>
        <v>10000</v>
      </c>
      <c r="H564" s="2">
        <f>IFERROR(__xludf.DUMMYFUNCTION("""COMPUTED_VALUE"""),4.75)</f>
        <v>4.75</v>
      </c>
      <c r="I564" s="2">
        <f>IFERROR(__xludf.DUMMYFUNCTION("""COMPUTED_VALUE"""),6.13)</f>
        <v>6.13</v>
      </c>
      <c r="J564" s="2">
        <f>IFERROR(__xludf.DUMMYFUNCTION("""COMPUTED_VALUE"""),1.38)</f>
        <v>1.38</v>
      </c>
      <c r="K564" s="5">
        <f>IFERROR(__xludf.DUMMYFUNCTION("""COMPUTED_VALUE"""),0.2905263157894737)</f>
        <v>0.2905263158</v>
      </c>
      <c r="L564">
        <f>IFERROR(__xludf.DUMMYFUNCTION("""COMPUTED_VALUE"""),327.0)</f>
        <v>327</v>
      </c>
      <c r="M564" t="str">
        <f>IFERROR(__xludf.DUMMYFUNCTION("""COMPUTED_VALUE"""),"Office Product")</f>
        <v>Office Product</v>
      </c>
      <c r="O564" t="str">
        <f>IFERROR(__xludf.DUMMYFUNCTION("""COMPUTED_VALUE"""),"Y")</f>
        <v>Y</v>
      </c>
      <c r="P564" s="1" t="str">
        <f>IFERROR(__xludf.DUMMYFUNCTION("""COMPUTED_VALUE"""),"ID 19695")</f>
        <v>ID 19695</v>
      </c>
      <c r="Q564" s="1" t="str">
        <f>IFERROR(__xludf.DUMMYFUNCTION("""COMPUTED_VALUE"""),"B01N6V5BPA")</f>
        <v>B01N6V5BPA</v>
      </c>
    </row>
    <row r="565">
      <c r="A565" s="6">
        <f>IFERROR(__xludf.DUMMYFUNCTION("""COMPUTED_VALUE"""),44705.0)</f>
        <v>44705</v>
      </c>
      <c r="B565">
        <f>IFERROR(__xludf.DUMMYFUNCTION("""COMPUTED_VALUE"""),9042.0)</f>
        <v>9042</v>
      </c>
      <c r="C565" t="str">
        <f>IFERROR(__xludf.DUMMYFUNCTION("""COMPUTED_VALUE"""),"Circleware 68255 Cafe Contempo Elegant Glass Salt and Pepper Shakers Dispenser, Clear Bottom Jar Bottle Container with Stainless Steel Top, Perfect for Himalayan Seasoning Herbs Spices, 4.4 oz, Silver")</f>
        <v>Circleware 68255 Cafe Contempo Elegant Glass Salt and Pepper Shakers Dispenser, Clear Bottom Jar Bottle Container with Stainless Steel Top, Perfect for Himalayan Seasoning Herbs Spices, 4.4 oz, Silver</v>
      </c>
      <c r="D565" t="str">
        <f>IFERROR(__xludf.DUMMYFUNCTION("""COMPUTED_VALUE"""),"B077QLFTQ4")</f>
        <v>B077QLFTQ4</v>
      </c>
      <c r="E565" t="str">
        <f>IFERROR(__xludf.DUMMYFUNCTION("""COMPUTED_VALUE"""),"704572682557")</f>
        <v>704572682557</v>
      </c>
      <c r="F565">
        <f>IFERROR(__xludf.DUMMYFUNCTION("""COMPUTED_VALUE"""),230.0)</f>
        <v>230</v>
      </c>
      <c r="G565">
        <f>IFERROR(__xludf.DUMMYFUNCTION("""COMPUTED_VALUE"""),422.0)</f>
        <v>422</v>
      </c>
      <c r="H565" s="2">
        <f>IFERROR(__xludf.DUMMYFUNCTION("""COMPUTED_VALUE"""),5.5)</f>
        <v>5.5</v>
      </c>
      <c r="I565" s="2">
        <f>IFERROR(__xludf.DUMMYFUNCTION("""COMPUTED_VALUE"""),6.88)</f>
        <v>6.88</v>
      </c>
      <c r="J565" s="2">
        <f>IFERROR(__xludf.DUMMYFUNCTION("""COMPUTED_VALUE"""),1.38)</f>
        <v>1.38</v>
      </c>
      <c r="K565" s="5">
        <f>IFERROR(__xludf.DUMMYFUNCTION("""COMPUTED_VALUE"""),0.2509090909090909)</f>
        <v>0.2509090909</v>
      </c>
      <c r="L565">
        <f>IFERROR(__xludf.DUMMYFUNCTION("""COMPUTED_VALUE"""),85439.0)</f>
        <v>85439</v>
      </c>
      <c r="M565" t="str">
        <f>IFERROR(__xludf.DUMMYFUNCTION("""COMPUTED_VALUE"""),"Kitchen")</f>
        <v>Kitchen</v>
      </c>
      <c r="O565" t="str">
        <f>IFERROR(__xludf.DUMMYFUNCTION("""COMPUTED_VALUE"""),"Y")</f>
        <v>Y</v>
      </c>
      <c r="P565" s="1" t="str">
        <f>IFERROR(__xludf.DUMMYFUNCTION("""COMPUTED_VALUE"""),"ID 9042")</f>
        <v>ID 9042</v>
      </c>
      <c r="Q565" s="1" t="str">
        <f>IFERROR(__xludf.DUMMYFUNCTION("""COMPUTED_VALUE"""),"B077QLFTQ4")</f>
        <v>B077QLFTQ4</v>
      </c>
    </row>
    <row r="566">
      <c r="A566" s="6">
        <f>IFERROR(__xludf.DUMMYFUNCTION("""COMPUTED_VALUE"""),45420.0)</f>
        <v>45420</v>
      </c>
      <c r="B566">
        <f>IFERROR(__xludf.DUMMYFUNCTION("""COMPUTED_VALUE"""),22189.0)</f>
        <v>22189</v>
      </c>
      <c r="C566" t="str">
        <f>IFERROR(__xludf.DUMMYFUNCTION("""COMPUTED_VALUE"""),"Alliance Rubber 27409 Advantage Rubber Bands Size #117B, 1/4 lb Box Contains Approx. 50 Bands (7"" x 1/8"", Natural Crepe)")</f>
        <v>Alliance Rubber 27409 Advantage Rubber Bands Size #117B, 1/4 lb Box Contains Approx. 50 Bands (7" x 1/8", Natural Crepe)</v>
      </c>
      <c r="D566" t="str">
        <f>IFERROR(__xludf.DUMMYFUNCTION("""COMPUTED_VALUE"""),"B008X09MC6")</f>
        <v>B008X09MC6</v>
      </c>
      <c r="E566" t="str">
        <f>IFERROR(__xludf.DUMMYFUNCTION("""COMPUTED_VALUE"""),"071815274092")</f>
        <v>071815274092</v>
      </c>
      <c r="F566">
        <f>IFERROR(__xludf.DUMMYFUNCTION("""COMPUTED_VALUE"""),1040.0)</f>
        <v>1040</v>
      </c>
      <c r="G566">
        <f>IFERROR(__xludf.DUMMYFUNCTION("""COMPUTED_VALUE"""),10000.0)</f>
        <v>10000</v>
      </c>
      <c r="H566" s="2">
        <f>IFERROR(__xludf.DUMMYFUNCTION("""COMPUTED_VALUE"""),1.25)</f>
        <v>1.25</v>
      </c>
      <c r="I566" s="2">
        <f>IFERROR(__xludf.DUMMYFUNCTION("""COMPUTED_VALUE"""),2.63)</f>
        <v>2.63</v>
      </c>
      <c r="J566" s="2">
        <f>IFERROR(__xludf.DUMMYFUNCTION("""COMPUTED_VALUE"""),1.38)</f>
        <v>1.38</v>
      </c>
      <c r="K566" s="5">
        <f>IFERROR(__xludf.DUMMYFUNCTION("""COMPUTED_VALUE"""),1.1039999999999999)</f>
        <v>1.104</v>
      </c>
      <c r="L566">
        <f>IFERROR(__xludf.DUMMYFUNCTION("""COMPUTED_VALUE"""),1082.0)</f>
        <v>1082</v>
      </c>
      <c r="M566" t="str">
        <f>IFERROR(__xludf.DUMMYFUNCTION("""COMPUTED_VALUE"""),"Office Product")</f>
        <v>Office Product</v>
      </c>
      <c r="O566" t="str">
        <f>IFERROR(__xludf.DUMMYFUNCTION("""COMPUTED_VALUE"""),"Y")</f>
        <v>Y</v>
      </c>
      <c r="P566" s="1" t="str">
        <f>IFERROR(__xludf.DUMMYFUNCTION("""COMPUTED_VALUE"""),"ID 22189")</f>
        <v>ID 22189</v>
      </c>
      <c r="Q566" s="1" t="str">
        <f>IFERROR(__xludf.DUMMYFUNCTION("""COMPUTED_VALUE"""),"B008X09MC6")</f>
        <v>B008X09MC6</v>
      </c>
    </row>
    <row r="567">
      <c r="A567" s="6">
        <f>IFERROR(__xludf.DUMMYFUNCTION("""COMPUTED_VALUE"""),44497.0)</f>
        <v>44497</v>
      </c>
      <c r="B567">
        <f>IFERROR(__xludf.DUMMYFUNCTION("""COMPUTED_VALUE"""),23014.0)</f>
        <v>23014</v>
      </c>
      <c r="C567" t="str">
        <f>IFERROR(__xludf.DUMMYFUNCTION("""COMPUTED_VALUE"""),"BAZIC Black Color Rubber Bands 2 Oz./ 56.70 g Assorted Sizes, Made in USA Elastic Bands for Bank Bills Money Dollars File Folders, 1-Pack")</f>
        <v>BAZIC Black Color Rubber Bands 2 Oz./ 56.70 g Assorted Sizes, Made in USA Elastic Bands for Bank Bills Money Dollars File Folders, 1-Pack</v>
      </c>
      <c r="D567" t="str">
        <f>IFERROR(__xludf.DUMMYFUNCTION("""COMPUTED_VALUE"""),"B09DJVP3DS")</f>
        <v>B09DJVP3DS</v>
      </c>
      <c r="E567" t="str">
        <f>IFERROR(__xludf.DUMMYFUNCTION("""COMPUTED_VALUE"""),"764608061206")</f>
        <v>764608061206</v>
      </c>
      <c r="F567">
        <f>IFERROR(__xludf.DUMMYFUNCTION("""COMPUTED_VALUE"""),2916.0)</f>
        <v>2916</v>
      </c>
      <c r="G567">
        <f>IFERROR(__xludf.DUMMYFUNCTION("""COMPUTED_VALUE"""),5000.0)</f>
        <v>5000</v>
      </c>
      <c r="H567" s="2">
        <f>IFERROR(__xludf.DUMMYFUNCTION("""COMPUTED_VALUE"""),1.0)</f>
        <v>1</v>
      </c>
      <c r="I567" s="2">
        <f>IFERROR(__xludf.DUMMYFUNCTION("""COMPUTED_VALUE"""),2.38)</f>
        <v>2.38</v>
      </c>
      <c r="J567" s="2">
        <f>IFERROR(__xludf.DUMMYFUNCTION("""COMPUTED_VALUE"""),1.38)</f>
        <v>1.38</v>
      </c>
      <c r="K567" s="5">
        <f>IFERROR(__xludf.DUMMYFUNCTION("""COMPUTED_VALUE"""),1.38)</f>
        <v>1.38</v>
      </c>
      <c r="L567">
        <f>IFERROR(__xludf.DUMMYFUNCTION("""COMPUTED_VALUE"""),23530.0)</f>
        <v>23530</v>
      </c>
      <c r="M567" t="str">
        <f>IFERROR(__xludf.DUMMYFUNCTION("""COMPUTED_VALUE"""),"Office Product")</f>
        <v>Office Product</v>
      </c>
      <c r="O567" t="str">
        <f>IFERROR(__xludf.DUMMYFUNCTION("""COMPUTED_VALUE"""),"N")</f>
        <v>N</v>
      </c>
      <c r="P567" s="1" t="str">
        <f>IFERROR(__xludf.DUMMYFUNCTION("""COMPUTED_VALUE"""),"ID 23014")</f>
        <v>ID 23014</v>
      </c>
      <c r="Q567" s="1" t="str">
        <f>IFERROR(__xludf.DUMMYFUNCTION("""COMPUTED_VALUE"""),"B09DJVP3DS")</f>
        <v>B09DJVP3DS</v>
      </c>
    </row>
    <row r="568">
      <c r="A568" s="6">
        <f>IFERROR(__xludf.DUMMYFUNCTION("""COMPUTED_VALUE"""),45390.0)</f>
        <v>45390</v>
      </c>
      <c r="B568">
        <f>IFERROR(__xludf.DUMMYFUNCTION("""COMPUTED_VALUE"""),23292.0)</f>
        <v>23292</v>
      </c>
      <c r="C568" t="str">
        <f>IFERROR(__xludf.DUMMYFUNCTION("""COMPUTED_VALUE"""),"Chef Craft Christmas Holiday Cupcake Liner Set, 50 count, Green/red/White")</f>
        <v>Chef Craft Christmas Holiday Cupcake Liner Set, 50 count, Green/red/White</v>
      </c>
      <c r="D568" t="str">
        <f>IFERROR(__xludf.DUMMYFUNCTION("""COMPUTED_VALUE"""),"B08SQB4Z8R")</f>
        <v>B08SQB4Z8R</v>
      </c>
      <c r="E568" t="str">
        <f>IFERROR(__xludf.DUMMYFUNCTION("""COMPUTED_VALUE"""),"085455220623")</f>
        <v>085455220623</v>
      </c>
      <c r="F568">
        <f>IFERROR(__xludf.DUMMYFUNCTION("""COMPUTED_VALUE"""),576.0)</f>
        <v>576</v>
      </c>
      <c r="G568">
        <f>IFERROR(__xludf.DUMMYFUNCTION("""COMPUTED_VALUE"""),10000.0)</f>
        <v>10000</v>
      </c>
      <c r="H568" s="2">
        <f>IFERROR(__xludf.DUMMYFUNCTION("""COMPUTED_VALUE"""),1.25)</f>
        <v>1.25</v>
      </c>
      <c r="I568" s="2">
        <f>IFERROR(__xludf.DUMMYFUNCTION("""COMPUTED_VALUE"""),2.63)</f>
        <v>2.63</v>
      </c>
      <c r="J568" s="2">
        <f>IFERROR(__xludf.DUMMYFUNCTION("""COMPUTED_VALUE"""),1.38)</f>
        <v>1.38</v>
      </c>
      <c r="K568" s="5">
        <f>IFERROR(__xludf.DUMMYFUNCTION("""COMPUTED_VALUE"""),1.1039999999999999)</f>
        <v>1.104</v>
      </c>
      <c r="L568">
        <f>IFERROR(__xludf.DUMMYFUNCTION("""COMPUTED_VALUE"""),31887.0)</f>
        <v>31887</v>
      </c>
      <c r="M568" t="str">
        <f>IFERROR(__xludf.DUMMYFUNCTION("""COMPUTED_VALUE"""),"Kitchen")</f>
        <v>Kitchen</v>
      </c>
      <c r="O568" t="str">
        <f>IFERROR(__xludf.DUMMYFUNCTION("""COMPUTED_VALUE"""),"Y")</f>
        <v>Y</v>
      </c>
      <c r="P568" s="1" t="str">
        <f>IFERROR(__xludf.DUMMYFUNCTION("""COMPUTED_VALUE"""),"ID 23292")</f>
        <v>ID 23292</v>
      </c>
      <c r="Q568" s="1" t="str">
        <f>IFERROR(__xludf.DUMMYFUNCTION("""COMPUTED_VALUE"""),"B08SQB4Z8R")</f>
        <v>B08SQB4Z8R</v>
      </c>
    </row>
    <row r="569">
      <c r="A569" s="6">
        <f>IFERROR(__xludf.DUMMYFUNCTION("""COMPUTED_VALUE"""),44627.0)</f>
        <v>44627</v>
      </c>
      <c r="B569">
        <f>IFERROR(__xludf.DUMMYFUNCTION("""COMPUTED_VALUE"""),16268.0)</f>
        <v>16268</v>
      </c>
      <c r="C569" t="str">
        <f>IFERROR(__xludf.DUMMYFUNCTION("""COMPUTED_VALUE"""),"Zippo Leaf Skull Pineapple Design High Polish Chrome Pocket Lighter")</f>
        <v>Zippo Leaf Skull Pineapple Design High Polish Chrome Pocket Lighter</v>
      </c>
      <c r="D569" t="str">
        <f>IFERROR(__xludf.DUMMYFUNCTION("""COMPUTED_VALUE"""),"B08B69KVT4")</f>
        <v>B08B69KVT4</v>
      </c>
      <c r="E569" t="str">
        <f>IFERROR(__xludf.DUMMYFUNCTION("""COMPUTED_VALUE"""),"191693165579")</f>
        <v>191693165579</v>
      </c>
      <c r="F569">
        <f>IFERROR(__xludf.DUMMYFUNCTION("""COMPUTED_VALUE"""),200.0)</f>
        <v>200</v>
      </c>
      <c r="G569">
        <f>IFERROR(__xludf.DUMMYFUNCTION("""COMPUTED_VALUE"""),1000.0)</f>
        <v>1000</v>
      </c>
      <c r="H569" s="2">
        <f>IFERROR(__xludf.DUMMYFUNCTION("""COMPUTED_VALUE"""),14.0)</f>
        <v>14</v>
      </c>
      <c r="I569" s="2">
        <f>IFERROR(__xludf.DUMMYFUNCTION("""COMPUTED_VALUE"""),15.37)</f>
        <v>15.37</v>
      </c>
      <c r="J569" s="2">
        <f>IFERROR(__xludf.DUMMYFUNCTION("""COMPUTED_VALUE"""),1.3699999999999992)</f>
        <v>1.37</v>
      </c>
      <c r="K569" s="5">
        <f>IFERROR(__xludf.DUMMYFUNCTION("""COMPUTED_VALUE"""),0.0978571428571428)</f>
        <v>0.09785714286</v>
      </c>
      <c r="L569">
        <f>IFERROR(__xludf.DUMMYFUNCTION("""COMPUTED_VALUE"""),41130.0)</f>
        <v>41130</v>
      </c>
      <c r="M569" t="str">
        <f>IFERROR(__xludf.DUMMYFUNCTION("""COMPUTED_VALUE"""),"Sports")</f>
        <v>Sports</v>
      </c>
      <c r="O569" t="str">
        <f>IFERROR(__xludf.DUMMYFUNCTION("""COMPUTED_VALUE"""),"Y")</f>
        <v>Y</v>
      </c>
      <c r="P569" s="1" t="str">
        <f>IFERROR(__xludf.DUMMYFUNCTION("""COMPUTED_VALUE"""),"ID 16268")</f>
        <v>ID 16268</v>
      </c>
      <c r="Q569" s="1" t="str">
        <f>IFERROR(__xludf.DUMMYFUNCTION("""COMPUTED_VALUE"""),"B08B69KVT4")</f>
        <v>B08B69KVT4</v>
      </c>
    </row>
    <row r="570">
      <c r="A570" s="6">
        <f>IFERROR(__xludf.DUMMYFUNCTION("""COMPUTED_VALUE"""),44496.0)</f>
        <v>44496</v>
      </c>
      <c r="B570">
        <f>IFERROR(__xludf.DUMMYFUNCTION("""COMPUTED_VALUE"""),22986.0)</f>
        <v>22986</v>
      </c>
      <c r="C570" t="str">
        <f>IFERROR(__xludf.DUMMYFUNCTION("""COMPUTED_VALUE"""),"VELCRO Brand - Thin Clear Fasteners | General Purpose/ Low Profile | Perfect for Home, Classroom or Office | 5/8"" Dots Circles, 15 Count - Clear")</f>
        <v>VELCRO Brand - Thin Clear Fasteners | General Purpose/ Low Profile | Perfect for Home, Classroom or Office | 5/8" Dots Circles, 15 Count - Clear</v>
      </c>
      <c r="D570" t="str">
        <f>IFERROR(__xludf.DUMMYFUNCTION("""COMPUTED_VALUE"""),"B00168A18Q")</f>
        <v>B00168A18Q</v>
      </c>
      <c r="E570" t="str">
        <f>IFERROR(__xludf.DUMMYFUNCTION("""COMPUTED_VALUE"""),"75967913281")</f>
        <v>75967913281</v>
      </c>
      <c r="F570">
        <f>IFERROR(__xludf.DUMMYFUNCTION("""COMPUTED_VALUE"""),864.0)</f>
        <v>864</v>
      </c>
      <c r="G570">
        <f>IFERROR(__xludf.DUMMYFUNCTION("""COMPUTED_VALUE"""),5000.0)</f>
        <v>5000</v>
      </c>
      <c r="H570" s="2">
        <f>IFERROR(__xludf.DUMMYFUNCTION("""COMPUTED_VALUE"""),1.5)</f>
        <v>1.5</v>
      </c>
      <c r="I570" s="2">
        <f>IFERROR(__xludf.DUMMYFUNCTION("""COMPUTED_VALUE"""),2.87)</f>
        <v>2.87</v>
      </c>
      <c r="J570" s="2">
        <f>IFERROR(__xludf.DUMMYFUNCTION("""COMPUTED_VALUE"""),1.37)</f>
        <v>1.37</v>
      </c>
      <c r="K570" s="5">
        <f>IFERROR(__xludf.DUMMYFUNCTION("""COMPUTED_VALUE"""),0.9133333333333334)</f>
        <v>0.9133333333</v>
      </c>
      <c r="L570">
        <f>IFERROR(__xludf.DUMMYFUNCTION("""COMPUTED_VALUE"""),28819.0)</f>
        <v>28819</v>
      </c>
      <c r="M570" t="str">
        <f>IFERROR(__xludf.DUMMYFUNCTION("""COMPUTED_VALUE"""),"Art and Craft Supply")</f>
        <v>Art and Craft Supply</v>
      </c>
      <c r="N570"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570" t="str">
        <f>IFERROR(__xludf.DUMMYFUNCTION("""COMPUTED_VALUE"""),"Y")</f>
        <v>Y</v>
      </c>
      <c r="P570" s="1" t="str">
        <f>IFERROR(__xludf.DUMMYFUNCTION("""COMPUTED_VALUE"""),"ID 22986")</f>
        <v>ID 22986</v>
      </c>
      <c r="Q570" s="1" t="str">
        <f>IFERROR(__xludf.DUMMYFUNCTION("""COMPUTED_VALUE"""),"B00168A18Q")</f>
        <v>B00168A18Q</v>
      </c>
    </row>
    <row r="571">
      <c r="A571" s="6">
        <f>IFERROR(__xludf.DUMMYFUNCTION("""COMPUTED_VALUE"""),45390.0)</f>
        <v>45390</v>
      </c>
      <c r="B571">
        <f>IFERROR(__xludf.DUMMYFUNCTION("""COMPUTED_VALUE"""),6718.0)</f>
        <v>6718</v>
      </c>
      <c r="C571" t="str">
        <f>IFERROR(__xludf.DUMMYFUNCTION("""COMPUTED_VALUE"""),"Chef Craft 13330 Premium Silicone Basting Spoon 11 Green")</f>
        <v>Chef Craft 13330 Premium Silicone Basting Spoon 11 Green</v>
      </c>
      <c r="D571" t="str">
        <f>IFERROR(__xludf.DUMMYFUNCTION("""COMPUTED_VALUE"""),"B01BKAUAHQ")</f>
        <v>B01BKAUAHQ</v>
      </c>
      <c r="E571" t="str">
        <f>IFERROR(__xludf.DUMMYFUNCTION("""COMPUTED_VALUE"""),"085455133305")</f>
        <v>085455133305</v>
      </c>
      <c r="F571">
        <f>IFERROR(__xludf.DUMMYFUNCTION("""COMPUTED_VALUE"""),360.0)</f>
        <v>360</v>
      </c>
      <c r="G571">
        <f>IFERROR(__xludf.DUMMYFUNCTION("""COMPUTED_VALUE"""),10000.0)</f>
        <v>10000</v>
      </c>
      <c r="H571" s="2">
        <f>IFERROR(__xludf.DUMMYFUNCTION("""COMPUTED_VALUE"""),2.75)</f>
        <v>2.75</v>
      </c>
      <c r="I571" s="2">
        <f>IFERROR(__xludf.DUMMYFUNCTION("""COMPUTED_VALUE"""),4.11)</f>
        <v>4.11</v>
      </c>
      <c r="J571" s="2">
        <f>IFERROR(__xludf.DUMMYFUNCTION("""COMPUTED_VALUE"""),1.3600000000000003)</f>
        <v>1.36</v>
      </c>
      <c r="K571" s="5">
        <f>IFERROR(__xludf.DUMMYFUNCTION("""COMPUTED_VALUE"""),0.4945454545454547)</f>
        <v>0.4945454545</v>
      </c>
      <c r="L571">
        <f>IFERROR(__xludf.DUMMYFUNCTION("""COMPUTED_VALUE"""),51597.0)</f>
        <v>51597</v>
      </c>
      <c r="M571" t="str">
        <f>IFERROR(__xludf.DUMMYFUNCTION("""COMPUTED_VALUE"""),"Kitchen")</f>
        <v>Kitchen</v>
      </c>
      <c r="O571" t="str">
        <f>IFERROR(__xludf.DUMMYFUNCTION("""COMPUTED_VALUE"""),"Y")</f>
        <v>Y</v>
      </c>
      <c r="P571" s="1" t="str">
        <f>IFERROR(__xludf.DUMMYFUNCTION("""COMPUTED_VALUE"""),"ID 6718")</f>
        <v>ID 6718</v>
      </c>
      <c r="Q571" s="1" t="str">
        <f>IFERROR(__xludf.DUMMYFUNCTION("""COMPUTED_VALUE"""),"B01BKAUAHQ")</f>
        <v>B01BKAUAHQ</v>
      </c>
    </row>
    <row r="572">
      <c r="A572" s="6">
        <f>IFERROR(__xludf.DUMMYFUNCTION("""COMPUTED_VALUE"""),45390.0)</f>
        <v>45390</v>
      </c>
      <c r="B572">
        <f>IFERROR(__xludf.DUMMYFUNCTION("""COMPUTED_VALUE"""),9005.0)</f>
        <v>9005</v>
      </c>
      <c r="C572" t="str">
        <f>IFERROR(__xludf.DUMMYFUNCTION("""COMPUTED_VALUE"""),"Chef Craft EZ Store Corn Holders")</f>
        <v>Chef Craft EZ Store Corn Holders</v>
      </c>
      <c r="D572" t="str">
        <f>IFERROR(__xludf.DUMMYFUNCTION("""COMPUTED_VALUE"""),"B00AZMFBD4")</f>
        <v>B00AZMFBD4</v>
      </c>
      <c r="E572" t="str">
        <f>IFERROR(__xludf.DUMMYFUNCTION("""COMPUTED_VALUE"""),"085455216800")</f>
        <v>085455216800</v>
      </c>
      <c r="F572">
        <f>IFERROR(__xludf.DUMMYFUNCTION("""COMPUTED_VALUE"""),576.0)</f>
        <v>576</v>
      </c>
      <c r="G572">
        <f>IFERROR(__xludf.DUMMYFUNCTION("""COMPUTED_VALUE"""),10000.0)</f>
        <v>10000</v>
      </c>
      <c r="H572" s="2">
        <f>IFERROR(__xludf.DUMMYFUNCTION("""COMPUTED_VALUE"""),2.25)</f>
        <v>2.25</v>
      </c>
      <c r="I572" s="2">
        <f>IFERROR(__xludf.DUMMYFUNCTION("""COMPUTED_VALUE"""),3.61)</f>
        <v>3.61</v>
      </c>
      <c r="J572" s="2">
        <f>IFERROR(__xludf.DUMMYFUNCTION("""COMPUTED_VALUE"""),1.3599999999999999)</f>
        <v>1.36</v>
      </c>
      <c r="K572" s="5">
        <f>IFERROR(__xludf.DUMMYFUNCTION("""COMPUTED_VALUE"""),0.6044444444444443)</f>
        <v>0.6044444444</v>
      </c>
      <c r="L572">
        <f>IFERROR(__xludf.DUMMYFUNCTION("""COMPUTED_VALUE"""),30157.0)</f>
        <v>30157</v>
      </c>
      <c r="M572" t="str">
        <f>IFERROR(__xludf.DUMMYFUNCTION("""COMPUTED_VALUE"""),"Kitchen")</f>
        <v>Kitchen</v>
      </c>
      <c r="O572" t="str">
        <f>IFERROR(__xludf.DUMMYFUNCTION("""COMPUTED_VALUE"""),"Y")</f>
        <v>Y</v>
      </c>
      <c r="P572" s="1" t="str">
        <f>IFERROR(__xludf.DUMMYFUNCTION("""COMPUTED_VALUE"""),"ID 9005")</f>
        <v>ID 9005</v>
      </c>
      <c r="Q572" s="1" t="str">
        <f>IFERROR(__xludf.DUMMYFUNCTION("""COMPUTED_VALUE"""),"B00AZMFBD4")</f>
        <v>B00AZMFBD4</v>
      </c>
    </row>
    <row r="573">
      <c r="A573" s="6">
        <f>IFERROR(__xludf.DUMMYFUNCTION("""COMPUTED_VALUE"""),45390.0)</f>
        <v>45390</v>
      </c>
      <c r="B573">
        <f>IFERROR(__xludf.DUMMYFUNCTION("""COMPUTED_VALUE"""),14768.0)</f>
        <v>14768</v>
      </c>
      <c r="C573" t="str">
        <f>IFERROR(__xludf.DUMMYFUNCTION("""COMPUTED_VALUE"""),"Chef Craft Premium Silicone Spoon Spatula, 11"", Yellow")</f>
        <v>Chef Craft Premium Silicone Spoon Spatula, 11", Yellow</v>
      </c>
      <c r="D573" t="str">
        <f>IFERROR(__xludf.DUMMYFUNCTION("""COMPUTED_VALUE"""),"B01BKAUGWK")</f>
        <v>B01BKAUGWK</v>
      </c>
      <c r="E573" t="str">
        <f>IFERROR(__xludf.DUMMYFUNCTION("""COMPUTED_VALUE"""),"085455132650")</f>
        <v>085455132650</v>
      </c>
      <c r="F573">
        <f>IFERROR(__xludf.DUMMYFUNCTION("""COMPUTED_VALUE"""),360.0)</f>
        <v>360</v>
      </c>
      <c r="G573">
        <f>IFERROR(__xludf.DUMMYFUNCTION("""COMPUTED_VALUE"""),10000.0)</f>
        <v>10000</v>
      </c>
      <c r="H573" s="2">
        <f>IFERROR(__xludf.DUMMYFUNCTION("""COMPUTED_VALUE"""),2.75)</f>
        <v>2.75</v>
      </c>
      <c r="I573" s="2">
        <f>IFERROR(__xludf.DUMMYFUNCTION("""COMPUTED_VALUE"""),4.11)</f>
        <v>4.11</v>
      </c>
      <c r="J573" s="2">
        <f>IFERROR(__xludf.DUMMYFUNCTION("""COMPUTED_VALUE"""),1.3600000000000003)</f>
        <v>1.36</v>
      </c>
      <c r="K573" s="5">
        <f>IFERROR(__xludf.DUMMYFUNCTION("""COMPUTED_VALUE"""),0.4945454545454547)</f>
        <v>0.4945454545</v>
      </c>
      <c r="L573">
        <f>IFERROR(__xludf.DUMMYFUNCTION("""COMPUTED_VALUE"""),79647.0)</f>
        <v>79647</v>
      </c>
      <c r="M573" t="str">
        <f>IFERROR(__xludf.DUMMYFUNCTION("""COMPUTED_VALUE"""),"Kitchen")</f>
        <v>Kitchen</v>
      </c>
      <c r="O573" t="str">
        <f>IFERROR(__xludf.DUMMYFUNCTION("""COMPUTED_VALUE"""),"Y")</f>
        <v>Y</v>
      </c>
      <c r="P573" s="1" t="str">
        <f>IFERROR(__xludf.DUMMYFUNCTION("""COMPUTED_VALUE"""),"ID 14768")</f>
        <v>ID 14768</v>
      </c>
      <c r="Q573" s="1" t="str">
        <f>IFERROR(__xludf.DUMMYFUNCTION("""COMPUTED_VALUE"""),"B01BKAUGWK")</f>
        <v>B01BKAUGWK</v>
      </c>
    </row>
    <row r="574">
      <c r="A574" s="6">
        <f>IFERROR(__xludf.DUMMYFUNCTION("""COMPUTED_VALUE"""),45113.0)</f>
        <v>45113</v>
      </c>
      <c r="B574">
        <f>IFERROR(__xludf.DUMMYFUNCTION("""COMPUTED_VALUE"""),17789.0)</f>
        <v>17789</v>
      </c>
      <c r="C574" t="str">
        <f>IFERROR(__xludf.DUMMYFUNCTION("""COMPUTED_VALUE"""),"Sharpie Water Based Poster Paint Markers Medium Assorted 2 Pack")</f>
        <v>Sharpie Water Based Poster Paint Markers Medium Assorted 2 Pack</v>
      </c>
      <c r="D574" t="str">
        <f>IFERROR(__xludf.DUMMYFUNCTION("""COMPUTED_VALUE"""),"B000I0XNLA")</f>
        <v>B000I0XNLA</v>
      </c>
      <c r="E574" t="str">
        <f>IFERROR(__xludf.DUMMYFUNCTION("""COMPUTED_VALUE"""),"71641369689")</f>
        <v>71641369689</v>
      </c>
      <c r="F574">
        <f>IFERROR(__xludf.DUMMYFUNCTION("""COMPUTED_VALUE"""),768.0)</f>
        <v>768</v>
      </c>
      <c r="G574">
        <f>IFERROR(__xludf.DUMMYFUNCTION("""COMPUTED_VALUE"""),10000.0)</f>
        <v>10000</v>
      </c>
      <c r="H574" s="2">
        <f>IFERROR(__xludf.DUMMYFUNCTION("""COMPUTED_VALUE"""),3.75)</f>
        <v>3.75</v>
      </c>
      <c r="I574" s="2">
        <f>IFERROR(__xludf.DUMMYFUNCTION("""COMPUTED_VALUE"""),5.11)</f>
        <v>5.11</v>
      </c>
      <c r="J574" s="2">
        <f>IFERROR(__xludf.DUMMYFUNCTION("""COMPUTED_VALUE"""),1.3600000000000003)</f>
        <v>1.36</v>
      </c>
      <c r="K574" s="5">
        <f>IFERROR(__xludf.DUMMYFUNCTION("""COMPUTED_VALUE"""),0.36266666666666675)</f>
        <v>0.3626666667</v>
      </c>
      <c r="L574">
        <f>IFERROR(__xludf.DUMMYFUNCTION("""COMPUTED_VALUE"""),78344.0)</f>
        <v>78344</v>
      </c>
      <c r="M574" t="str">
        <f>IFERROR(__xludf.DUMMYFUNCTION("""COMPUTED_VALUE"""),"Office Product")</f>
        <v>Office Product</v>
      </c>
      <c r="O574" t="str">
        <f>IFERROR(__xludf.DUMMYFUNCTION("""COMPUTED_VALUE"""),"N")</f>
        <v>N</v>
      </c>
      <c r="P574" s="1" t="str">
        <f>IFERROR(__xludf.DUMMYFUNCTION("""COMPUTED_VALUE"""),"ID 17789")</f>
        <v>ID 17789</v>
      </c>
      <c r="Q574" s="1" t="str">
        <f>IFERROR(__xludf.DUMMYFUNCTION("""COMPUTED_VALUE"""),"B000I0XNLA")</f>
        <v>B000I0XNLA</v>
      </c>
    </row>
    <row r="575">
      <c r="A575" s="6">
        <f>IFERROR(__xludf.DUMMYFUNCTION("""COMPUTED_VALUE"""),44594.0)</f>
        <v>44594</v>
      </c>
      <c r="B575">
        <f>IFERROR(__xludf.DUMMYFUNCTION("""COMPUTED_VALUE"""),15525.0)</f>
        <v>15525</v>
      </c>
      <c r="C575" t="str">
        <f>IFERROR(__xludf.DUMMYFUNCTION("""COMPUTED_VALUE"""),"Duck Brand 300879 Professional Grade Electrical Tape, 3/4-Inch by 66 Feet, Single Roll, Blue")</f>
        <v>Duck Brand 300879 Professional Grade Electrical Tape, 3/4-Inch by 66 Feet, Single Roll, Blue</v>
      </c>
      <c r="D575" t="str">
        <f>IFERROR(__xludf.DUMMYFUNCTION("""COMPUTED_VALUE"""),"B000H5ZV8E")</f>
        <v>B000H5ZV8E</v>
      </c>
      <c r="E575" t="str">
        <f>IFERROR(__xludf.DUMMYFUNCTION("""COMPUTED_VALUE"""),"075353041444")</f>
        <v>075353041444</v>
      </c>
      <c r="F575">
        <f>IFERROR(__xludf.DUMMYFUNCTION("""COMPUTED_VALUE"""),528.0)</f>
        <v>528</v>
      </c>
      <c r="G575">
        <f>IFERROR(__xludf.DUMMYFUNCTION("""COMPUTED_VALUE"""),1000.0)</f>
        <v>1000</v>
      </c>
      <c r="H575" s="2">
        <f>IFERROR(__xludf.DUMMYFUNCTION("""COMPUTED_VALUE"""),2.5)</f>
        <v>2.5</v>
      </c>
      <c r="I575" s="2">
        <f>IFERROR(__xludf.DUMMYFUNCTION("""COMPUTED_VALUE"""),3.85)</f>
        <v>3.85</v>
      </c>
      <c r="J575" s="2">
        <f>IFERROR(__xludf.DUMMYFUNCTION("""COMPUTED_VALUE"""),1.35)</f>
        <v>1.35</v>
      </c>
      <c r="K575" s="5">
        <f>IFERROR(__xludf.DUMMYFUNCTION("""COMPUTED_VALUE"""),0.54)</f>
        <v>0.54</v>
      </c>
      <c r="L575">
        <f>IFERROR(__xludf.DUMMYFUNCTION("""COMPUTED_VALUE"""),20929.0)</f>
        <v>20929</v>
      </c>
      <c r="M575" t="str">
        <f>IFERROR(__xludf.DUMMYFUNCTION("""COMPUTED_VALUE"""),"Home Improvement")</f>
        <v>Home Improvement</v>
      </c>
      <c r="O575" t="str">
        <f>IFERROR(__xludf.DUMMYFUNCTION("""COMPUTED_VALUE"""),"Y")</f>
        <v>Y</v>
      </c>
      <c r="P575" s="1" t="str">
        <f>IFERROR(__xludf.DUMMYFUNCTION("""COMPUTED_VALUE"""),"ID 15525")</f>
        <v>ID 15525</v>
      </c>
      <c r="Q575" s="1" t="str">
        <f>IFERROR(__xludf.DUMMYFUNCTION("""COMPUTED_VALUE"""),"B000H5ZV8E")</f>
        <v>B000H5ZV8E</v>
      </c>
    </row>
    <row r="576">
      <c r="A576" s="6">
        <f>IFERROR(__xludf.DUMMYFUNCTION("""COMPUTED_VALUE"""),45362.0)</f>
        <v>45362</v>
      </c>
      <c r="B576">
        <f>IFERROR(__xludf.DUMMYFUNCTION("""COMPUTED_VALUE"""),19600.0)</f>
        <v>19600</v>
      </c>
      <c r="C576" t="str">
        <f>IFERROR(__xludf.DUMMYFUNCTION("""COMPUTED_VALUE"""),"Pentel Refill Ink for BK90 Pentel R.S.V.P. Ballpoint Pen, Fine Line, Violet Ink, 2-Pack (BKL7-V)")</f>
        <v>Pentel Refill Ink for BK90 Pentel R.S.V.P. Ballpoint Pen, Fine Line, Violet Ink, 2-Pack (BKL7-V)</v>
      </c>
      <c r="D576" t="str">
        <f>IFERROR(__xludf.DUMMYFUNCTION("""COMPUTED_VALUE"""),"B0006HXOCI")</f>
        <v>B0006HXOCI</v>
      </c>
      <c r="E576" t="str">
        <f>IFERROR(__xludf.DUMMYFUNCTION("""COMPUTED_VALUE"""),"072512058190")</f>
        <v>072512058190</v>
      </c>
      <c r="F576">
        <f>IFERROR(__xludf.DUMMYFUNCTION("""COMPUTED_VALUE"""),1008.0)</f>
        <v>1008</v>
      </c>
      <c r="G576">
        <f>IFERROR(__xludf.DUMMYFUNCTION("""COMPUTED_VALUE"""),10000.0)</f>
        <v>10000</v>
      </c>
      <c r="H576" s="2">
        <f>IFERROR(__xludf.DUMMYFUNCTION("""COMPUTED_VALUE"""),1.0)</f>
        <v>1</v>
      </c>
      <c r="I576" s="2">
        <f>IFERROR(__xludf.DUMMYFUNCTION("""COMPUTED_VALUE"""),2.35)</f>
        <v>2.35</v>
      </c>
      <c r="J576" s="2">
        <f>IFERROR(__xludf.DUMMYFUNCTION("""COMPUTED_VALUE"""),1.35)</f>
        <v>1.35</v>
      </c>
      <c r="K576" s="5">
        <f>IFERROR(__xludf.DUMMYFUNCTION("""COMPUTED_VALUE"""),1.35)</f>
        <v>1.35</v>
      </c>
      <c r="L576">
        <f>IFERROR(__xludf.DUMMYFUNCTION("""COMPUTED_VALUE"""),91719.0)</f>
        <v>91719</v>
      </c>
      <c r="M576" t="str">
        <f>IFERROR(__xludf.DUMMYFUNCTION("""COMPUTED_VALUE"""),"Office Product")</f>
        <v>Office Product</v>
      </c>
      <c r="O576" t="str">
        <f>IFERROR(__xludf.DUMMYFUNCTION("""COMPUTED_VALUE"""),"Y")</f>
        <v>Y</v>
      </c>
      <c r="P576" s="1" t="str">
        <f>IFERROR(__xludf.DUMMYFUNCTION("""COMPUTED_VALUE"""),"ID 19600")</f>
        <v>ID 19600</v>
      </c>
      <c r="Q576" s="1" t="str">
        <f>IFERROR(__xludf.DUMMYFUNCTION("""COMPUTED_VALUE"""),"B0006HXOCI")</f>
        <v>B0006HXOCI</v>
      </c>
    </row>
    <row r="577">
      <c r="A577" s="6">
        <f>IFERROR(__xludf.DUMMYFUNCTION("""COMPUTED_VALUE"""),45362.0)</f>
        <v>45362</v>
      </c>
      <c r="B577">
        <f>IFERROR(__xludf.DUMMYFUNCTION("""COMPUTED_VALUE"""),19657.0)</f>
        <v>19657</v>
      </c>
      <c r="C577" t="str">
        <f>IFERROR(__xludf.DUMMYFUNCTION("""COMPUTED_VALUE"""),"Pentel Pearl RTX Gel Pen, 0.5mm, Fine Point, Needle Tip (BLN75WBP2A), Black")</f>
        <v>Pentel Pearl RTX Gel Pen, 0.5mm, Fine Point, Needle Tip (BLN75WBP2A), Black</v>
      </c>
      <c r="D577" t="str">
        <f>IFERROR(__xludf.DUMMYFUNCTION("""COMPUTED_VALUE"""),"B00CMO1G8W")</f>
        <v>B00CMO1G8W</v>
      </c>
      <c r="E577" t="str">
        <f>IFERROR(__xludf.DUMMYFUNCTION("""COMPUTED_VALUE"""),"072512251294")</f>
        <v>072512251294</v>
      </c>
      <c r="F577">
        <f>IFERROR(__xludf.DUMMYFUNCTION("""COMPUTED_VALUE"""),432.0)</f>
        <v>432</v>
      </c>
      <c r="G577">
        <f>IFERROR(__xludf.DUMMYFUNCTION("""COMPUTED_VALUE"""),10000.0)</f>
        <v>10000</v>
      </c>
      <c r="H577" s="2">
        <f>IFERROR(__xludf.DUMMYFUNCTION("""COMPUTED_VALUE"""),3.25)</f>
        <v>3.25</v>
      </c>
      <c r="I577" s="2">
        <f>IFERROR(__xludf.DUMMYFUNCTION("""COMPUTED_VALUE"""),4.6)</f>
        <v>4.6</v>
      </c>
      <c r="J577" s="2">
        <f>IFERROR(__xludf.DUMMYFUNCTION("""COMPUTED_VALUE"""),1.3499999999999996)</f>
        <v>1.35</v>
      </c>
      <c r="K577" s="5">
        <f>IFERROR(__xludf.DUMMYFUNCTION("""COMPUTED_VALUE"""),0.4153846153846153)</f>
        <v>0.4153846154</v>
      </c>
      <c r="L577">
        <f>IFERROR(__xludf.DUMMYFUNCTION("""COMPUTED_VALUE"""),64710.0)</f>
        <v>64710</v>
      </c>
      <c r="M577" t="str">
        <f>IFERROR(__xludf.DUMMYFUNCTION("""COMPUTED_VALUE"""),"Office Product")</f>
        <v>Office Product</v>
      </c>
      <c r="O577" t="str">
        <f>IFERROR(__xludf.DUMMYFUNCTION("""COMPUTED_VALUE"""),"Y")</f>
        <v>Y</v>
      </c>
      <c r="P577" s="1" t="str">
        <f>IFERROR(__xludf.DUMMYFUNCTION("""COMPUTED_VALUE"""),"ID 19657")</f>
        <v>ID 19657</v>
      </c>
      <c r="Q577" s="1" t="str">
        <f>IFERROR(__xludf.DUMMYFUNCTION("""COMPUTED_VALUE"""),"B00CMO1G8W")</f>
        <v>B00CMO1G8W</v>
      </c>
    </row>
    <row r="578">
      <c r="A578" s="6">
        <f>IFERROR(__xludf.DUMMYFUNCTION("""COMPUTED_VALUE"""),43844.0)</f>
        <v>43844</v>
      </c>
      <c r="B578">
        <f>IFERROR(__xludf.DUMMYFUNCTION("""COMPUTED_VALUE"""),11577.0)</f>
        <v>11577</v>
      </c>
      <c r="C578" t="str">
        <f>IFERROR(__xludf.DUMMYFUNCTION("""COMPUTED_VALUE"""),"Helping Hand FQ50214 Cable Ties 8 Quick Release 15")</f>
        <v>Helping Hand FQ50214 Cable Ties 8 Quick Release 15</v>
      </c>
      <c r="D578" t="str">
        <f>IFERROR(__xludf.DUMMYFUNCTION("""COMPUTED_VALUE"""),"B000QOE18W")</f>
        <v>B000QOE18W</v>
      </c>
      <c r="E578" t="str">
        <f>IFERROR(__xludf.DUMMYFUNCTION("""COMPUTED_VALUE"""),"70792502143")</f>
        <v>70792502143</v>
      </c>
      <c r="F578">
        <f>IFERROR(__xludf.DUMMYFUNCTION("""COMPUTED_VALUE"""),1305.0)</f>
        <v>1305</v>
      </c>
      <c r="G578">
        <f>IFERROR(__xludf.DUMMYFUNCTION("""COMPUTED_VALUE"""),4000.0)</f>
        <v>4000</v>
      </c>
      <c r="H578" s="2">
        <f>IFERROR(__xludf.DUMMYFUNCTION("""COMPUTED_VALUE"""),1.5)</f>
        <v>1.5</v>
      </c>
      <c r="I578" s="2">
        <f>IFERROR(__xludf.DUMMYFUNCTION("""COMPUTED_VALUE"""),2.84)</f>
        <v>2.84</v>
      </c>
      <c r="J578" s="2">
        <f>IFERROR(__xludf.DUMMYFUNCTION("""COMPUTED_VALUE"""),1.3399999999999999)</f>
        <v>1.34</v>
      </c>
      <c r="K578" s="5">
        <f>IFERROR(__xludf.DUMMYFUNCTION("""COMPUTED_VALUE"""),0.8933333333333332)</f>
        <v>0.8933333333</v>
      </c>
      <c r="L578">
        <f>IFERROR(__xludf.DUMMYFUNCTION("""COMPUTED_VALUE"""),51409.0)</f>
        <v>51409</v>
      </c>
      <c r="M578" t="str">
        <f>IFERROR(__xludf.DUMMYFUNCTION("""COMPUTED_VALUE"""),"Health and Beauty")</f>
        <v>Health and Beauty</v>
      </c>
      <c r="O578" t="str">
        <f>IFERROR(__xludf.DUMMYFUNCTION("""COMPUTED_VALUE"""),"N")</f>
        <v>N</v>
      </c>
      <c r="P578" s="1" t="str">
        <f>IFERROR(__xludf.DUMMYFUNCTION("""COMPUTED_VALUE"""),"ID 11577")</f>
        <v>ID 11577</v>
      </c>
      <c r="Q578" s="1" t="str">
        <f>IFERROR(__xludf.DUMMYFUNCTION("""COMPUTED_VALUE"""),"B000QOE18W")</f>
        <v>B000QOE18W</v>
      </c>
    </row>
    <row r="579">
      <c r="A579" s="6">
        <f>IFERROR(__xludf.DUMMYFUNCTION("""COMPUTED_VALUE"""),44629.0)</f>
        <v>44629</v>
      </c>
      <c r="B579">
        <f>IFERROR(__xludf.DUMMYFUNCTION("""COMPUTED_VALUE"""),18193.0)</f>
        <v>18193</v>
      </c>
      <c r="C579" t="str">
        <f>IFERROR(__xludf.DUMMYFUNCTION("""COMPUTED_VALUE"""),"TRESemmé Touchable Softness Anti Frizz Shampoo for Shiny Hair Smooth and Silky, Moroccan Argan Oil Dry Hair Shampoo Formula 28 oz")</f>
        <v>TRESemmé Touchable Softness Anti Frizz Shampoo for Shiny Hair Smooth and Silky, Moroccan Argan Oil Dry Hair Shampoo Formula 28 oz</v>
      </c>
      <c r="D579" t="str">
        <f>IFERROR(__xludf.DUMMYFUNCTION("""COMPUTED_VALUE"""),"B00TBJSJM2")</f>
        <v>B00TBJSJM2</v>
      </c>
      <c r="E579" t="str">
        <f>IFERROR(__xludf.DUMMYFUNCTION("""COMPUTED_VALUE"""),"22400393681")</f>
        <v>22400393681</v>
      </c>
      <c r="F579">
        <f>IFERROR(__xludf.DUMMYFUNCTION("""COMPUTED_VALUE"""),402.0)</f>
        <v>402</v>
      </c>
      <c r="G579">
        <f>IFERROR(__xludf.DUMMYFUNCTION("""COMPUTED_VALUE"""),270.0)</f>
        <v>270</v>
      </c>
      <c r="H579" s="2">
        <f>IFERROR(__xludf.DUMMYFUNCTION("""COMPUTED_VALUE"""),3.0)</f>
        <v>3</v>
      </c>
      <c r="I579" s="2">
        <f>IFERROR(__xludf.DUMMYFUNCTION("""COMPUTED_VALUE"""),4.34)</f>
        <v>4.34</v>
      </c>
      <c r="J579" s="2">
        <f>IFERROR(__xludf.DUMMYFUNCTION("""COMPUTED_VALUE"""),1.3399999999999999)</f>
        <v>1.34</v>
      </c>
      <c r="K579" s="5">
        <f>IFERROR(__xludf.DUMMYFUNCTION("""COMPUTED_VALUE"""),0.4466666666666666)</f>
        <v>0.4466666667</v>
      </c>
      <c r="L579">
        <f>IFERROR(__xludf.DUMMYFUNCTION("""COMPUTED_VALUE"""),4040.0)</f>
        <v>4040</v>
      </c>
      <c r="M579" t="str">
        <f>IFERROR(__xludf.DUMMYFUNCTION("""COMPUTED_VALUE"""),"Beauty")</f>
        <v>Beauty</v>
      </c>
      <c r="O579" t="str">
        <f>IFERROR(__xludf.DUMMYFUNCTION("""COMPUTED_VALUE"""),"N")</f>
        <v>N</v>
      </c>
      <c r="P579" s="1" t="str">
        <f>IFERROR(__xludf.DUMMYFUNCTION("""COMPUTED_VALUE"""),"ID 18193")</f>
        <v>ID 18193</v>
      </c>
      <c r="Q579" s="1" t="str">
        <f>IFERROR(__xludf.DUMMYFUNCTION("""COMPUTED_VALUE"""),"B00TBJSJM2")</f>
        <v>B00TBJSJM2</v>
      </c>
    </row>
    <row r="580">
      <c r="A580" s="6">
        <f>IFERROR(__xludf.DUMMYFUNCTION("""COMPUTED_VALUE"""),44784.0)</f>
        <v>44784</v>
      </c>
      <c r="B580">
        <f>IFERROR(__xludf.DUMMYFUNCTION("""COMPUTED_VALUE"""),20495.0)</f>
        <v>20495</v>
      </c>
      <c r="C580" t="str">
        <f>IFERROR(__xludf.DUMMYFUNCTION("""COMPUTED_VALUE"""),"Sheaffer Pop Glossy Lime Green Ballpoint Pen with Chrome Trim")</f>
        <v>Sheaffer Pop Glossy Lime Green Ballpoint Pen with Chrome Trim</v>
      </c>
      <c r="D580" t="str">
        <f>IFERROR(__xludf.DUMMYFUNCTION("""COMPUTED_VALUE"""),"B071YSXY9B")</f>
        <v>B071YSXY9B</v>
      </c>
      <c r="E580" t="str">
        <f>IFERROR(__xludf.DUMMYFUNCTION("""COMPUTED_VALUE"""),"074040004717")</f>
        <v>074040004717</v>
      </c>
      <c r="F580">
        <f>IFERROR(__xludf.DUMMYFUNCTION("""COMPUTED_VALUE"""),500.0)</f>
        <v>500</v>
      </c>
      <c r="G580">
        <f>IFERROR(__xludf.DUMMYFUNCTION("""COMPUTED_VALUE"""),3384.0)</f>
        <v>3384</v>
      </c>
      <c r="H580" s="2">
        <f>IFERROR(__xludf.DUMMYFUNCTION("""COMPUTED_VALUE"""),2.5)</f>
        <v>2.5</v>
      </c>
      <c r="I580" s="2">
        <f>IFERROR(__xludf.DUMMYFUNCTION("""COMPUTED_VALUE"""),3.84)</f>
        <v>3.84</v>
      </c>
      <c r="J580" s="2">
        <f>IFERROR(__xludf.DUMMYFUNCTION("""COMPUTED_VALUE"""),1.3399999999999999)</f>
        <v>1.34</v>
      </c>
      <c r="K580" s="5">
        <f>IFERROR(__xludf.DUMMYFUNCTION("""COMPUTED_VALUE"""),0.5359999999999999)</f>
        <v>0.536</v>
      </c>
      <c r="L580">
        <f>IFERROR(__xludf.DUMMYFUNCTION("""COMPUTED_VALUE"""),53618.0)</f>
        <v>53618</v>
      </c>
      <c r="M580" t="str">
        <f>IFERROR(__xludf.DUMMYFUNCTION("""COMPUTED_VALUE"""),"Office Product")</f>
        <v>Office Product</v>
      </c>
      <c r="N580" t="str">
        <f>IFERROR(__xludf.DUMMYFUNCTION("""COMPUTED_VALUE"""),"Brand permission to resell on amazon unknown")</f>
        <v>Brand permission to resell on amazon unknown</v>
      </c>
      <c r="O580" t="str">
        <f>IFERROR(__xludf.DUMMYFUNCTION("""COMPUTED_VALUE"""),"N")</f>
        <v>N</v>
      </c>
      <c r="P580" s="1" t="str">
        <f>IFERROR(__xludf.DUMMYFUNCTION("""COMPUTED_VALUE"""),"ID 20495")</f>
        <v>ID 20495</v>
      </c>
      <c r="Q580" s="1" t="str">
        <f>IFERROR(__xludf.DUMMYFUNCTION("""COMPUTED_VALUE"""),"B071YSXY9B")</f>
        <v>B071YSXY9B</v>
      </c>
    </row>
    <row r="581">
      <c r="A581" s="6">
        <f>IFERROR(__xludf.DUMMYFUNCTION("""COMPUTED_VALUE"""),44784.0)</f>
        <v>44784</v>
      </c>
      <c r="B581">
        <f>IFERROR(__xludf.DUMMYFUNCTION("""COMPUTED_VALUE"""),20499.0)</f>
        <v>20499</v>
      </c>
      <c r="C581" t="str">
        <f>IFERROR(__xludf.DUMMYFUNCTION("""COMPUTED_VALUE"""),"Sheaffer Pop Glossy Lime Green Gel Rollerball Pen with Chrome Trim")</f>
        <v>Sheaffer Pop Glossy Lime Green Gel Rollerball Pen with Chrome Trim</v>
      </c>
      <c r="D581" t="str">
        <f>IFERROR(__xludf.DUMMYFUNCTION("""COMPUTED_VALUE"""),"B071NLWTY3")</f>
        <v>B071NLWTY3</v>
      </c>
      <c r="E581" t="str">
        <f>IFERROR(__xludf.DUMMYFUNCTION("""COMPUTED_VALUE"""),"074040004724")</f>
        <v>074040004724</v>
      </c>
      <c r="F581">
        <f>IFERROR(__xludf.DUMMYFUNCTION("""COMPUTED_VALUE"""),500.0)</f>
        <v>500</v>
      </c>
      <c r="G581">
        <f>IFERROR(__xludf.DUMMYFUNCTION("""COMPUTED_VALUE"""),3406.0)</f>
        <v>3406</v>
      </c>
      <c r="H581" s="2">
        <f>IFERROR(__xludf.DUMMYFUNCTION("""COMPUTED_VALUE"""),2.5)</f>
        <v>2.5</v>
      </c>
      <c r="I581" s="2">
        <f>IFERROR(__xludf.DUMMYFUNCTION("""COMPUTED_VALUE"""),3.84)</f>
        <v>3.84</v>
      </c>
      <c r="J581" s="2">
        <f>IFERROR(__xludf.DUMMYFUNCTION("""COMPUTED_VALUE"""),1.3399999999999999)</f>
        <v>1.34</v>
      </c>
      <c r="K581" s="5">
        <f>IFERROR(__xludf.DUMMYFUNCTION("""COMPUTED_VALUE"""),0.5359999999999999)</f>
        <v>0.536</v>
      </c>
      <c r="L581">
        <f>IFERROR(__xludf.DUMMYFUNCTION("""COMPUTED_VALUE"""),57435.0)</f>
        <v>57435</v>
      </c>
      <c r="M581" t="str">
        <f>IFERROR(__xludf.DUMMYFUNCTION("""COMPUTED_VALUE"""),"Office Product")</f>
        <v>Office Product</v>
      </c>
      <c r="N581" t="str">
        <f>IFERROR(__xludf.DUMMYFUNCTION("""COMPUTED_VALUE"""),"Brand permission to resell on amazon unknown")</f>
        <v>Brand permission to resell on amazon unknown</v>
      </c>
      <c r="O581" t="str">
        <f>IFERROR(__xludf.DUMMYFUNCTION("""COMPUTED_VALUE"""),"Y")</f>
        <v>Y</v>
      </c>
      <c r="P581" s="1" t="str">
        <f>IFERROR(__xludf.DUMMYFUNCTION("""COMPUTED_VALUE"""),"ID 20499")</f>
        <v>ID 20499</v>
      </c>
      <c r="Q581" s="1" t="str">
        <f>IFERROR(__xludf.DUMMYFUNCTION("""COMPUTED_VALUE"""),"B071NLWTY3")</f>
        <v>B071NLWTY3</v>
      </c>
    </row>
    <row r="582">
      <c r="A582" s="6">
        <f>IFERROR(__xludf.DUMMYFUNCTION("""COMPUTED_VALUE"""),45118.0)</f>
        <v>45118</v>
      </c>
      <c r="B582">
        <f>IFERROR(__xludf.DUMMYFUNCTION("""COMPUTED_VALUE"""),24667.0)</f>
        <v>24667</v>
      </c>
      <c r="C582" t="str">
        <f>IFERROR(__xludf.DUMMYFUNCTION("""COMPUTED_VALUE"""),"Sharpie Permanent Markers, One, (30035)")</f>
        <v>Sharpie Permanent Markers, One, (30035)</v>
      </c>
      <c r="D582" t="str">
        <f>IFERROR(__xludf.DUMMYFUNCTION("""COMPUTED_VALUE"""),"B000KNJO86")</f>
        <v>B000KNJO86</v>
      </c>
      <c r="E582" t="str">
        <f>IFERROR(__xludf.DUMMYFUNCTION("""COMPUTED_VALUE"""),"071641300354")</f>
        <v>071641300354</v>
      </c>
      <c r="F582">
        <f>IFERROR(__xludf.DUMMYFUNCTION("""COMPUTED_VALUE"""),3600.0)</f>
        <v>3600</v>
      </c>
      <c r="G582">
        <f>IFERROR(__xludf.DUMMYFUNCTION("""COMPUTED_VALUE"""),10000.0)</f>
        <v>10000</v>
      </c>
      <c r="H582" s="2">
        <f>IFERROR(__xludf.DUMMYFUNCTION("""COMPUTED_VALUE"""),1.0)</f>
        <v>1</v>
      </c>
      <c r="I582" s="2">
        <f>IFERROR(__xludf.DUMMYFUNCTION("""COMPUTED_VALUE"""),2.34)</f>
        <v>2.34</v>
      </c>
      <c r="J582" s="2">
        <f>IFERROR(__xludf.DUMMYFUNCTION("""COMPUTED_VALUE"""),1.3399999999999999)</f>
        <v>1.34</v>
      </c>
      <c r="K582" s="5">
        <f>IFERROR(__xludf.DUMMYFUNCTION("""COMPUTED_VALUE"""),1.3399999999999999)</f>
        <v>1.34</v>
      </c>
      <c r="L582">
        <f>IFERROR(__xludf.DUMMYFUNCTION("""COMPUTED_VALUE"""),4259.0)</f>
        <v>4259</v>
      </c>
      <c r="M582" t="str">
        <f>IFERROR(__xludf.DUMMYFUNCTION("""COMPUTED_VALUE"""),"Office Product")</f>
        <v>Office Product</v>
      </c>
      <c r="N582" t="str">
        <f>IFERROR(__xludf.DUMMYFUNCTION("""COMPUTED_VALUE"""),"UOM: 1 single unit. Prep buyers responsibility")</f>
        <v>UOM: 1 single unit. Prep buyers responsibility</v>
      </c>
      <c r="O582" t="str">
        <f>IFERROR(__xludf.DUMMYFUNCTION("""COMPUTED_VALUE"""),"N")</f>
        <v>N</v>
      </c>
      <c r="P582" s="1" t="str">
        <f>IFERROR(__xludf.DUMMYFUNCTION("""COMPUTED_VALUE"""),"ID 24667")</f>
        <v>ID 24667</v>
      </c>
      <c r="Q582" s="1" t="str">
        <f>IFERROR(__xludf.DUMMYFUNCTION("""COMPUTED_VALUE"""),"B000KNJO86")</f>
        <v>B000KNJO86</v>
      </c>
    </row>
    <row r="583">
      <c r="A583" s="6">
        <f>IFERROR(__xludf.DUMMYFUNCTION("""COMPUTED_VALUE"""),45390.0)</f>
        <v>45390</v>
      </c>
      <c r="B583">
        <f>IFERROR(__xludf.DUMMYFUNCTION("""COMPUTED_VALUE"""),10418.0)</f>
        <v>10418</v>
      </c>
      <c r="C583" t="str">
        <f>IFERROR(__xludf.DUMMYFUNCTION("""COMPUTED_VALUE"""),"Chef Craft 21005 Non-Skid Bottom Flat Grater, Stainless Steel Plastic")</f>
        <v>Chef Craft 21005 Non-Skid Bottom Flat Grater, Stainless Steel Plastic</v>
      </c>
      <c r="D583" t="str">
        <f>IFERROR(__xludf.DUMMYFUNCTION("""COMPUTED_VALUE"""),"B000KKM27E")</f>
        <v>B000KKM27E</v>
      </c>
      <c r="E583" t="str">
        <f>IFERROR(__xludf.DUMMYFUNCTION("""COMPUTED_VALUE"""),"085455210051")</f>
        <v>085455210051</v>
      </c>
      <c r="F583">
        <f>IFERROR(__xludf.DUMMYFUNCTION("""COMPUTED_VALUE"""),432.0)</f>
        <v>432</v>
      </c>
      <c r="G583">
        <f>IFERROR(__xludf.DUMMYFUNCTION("""COMPUTED_VALUE"""),10000.0)</f>
        <v>10000</v>
      </c>
      <c r="H583" s="2">
        <f>IFERROR(__xludf.DUMMYFUNCTION("""COMPUTED_VALUE"""),2.25)</f>
        <v>2.25</v>
      </c>
      <c r="I583" s="2">
        <f>IFERROR(__xludf.DUMMYFUNCTION("""COMPUTED_VALUE"""),3.58)</f>
        <v>3.58</v>
      </c>
      <c r="J583" s="2">
        <f>IFERROR(__xludf.DUMMYFUNCTION("""COMPUTED_VALUE"""),1.33)</f>
        <v>1.33</v>
      </c>
      <c r="K583" s="5">
        <f>IFERROR(__xludf.DUMMYFUNCTION("""COMPUTED_VALUE"""),0.5911111111111111)</f>
        <v>0.5911111111</v>
      </c>
      <c r="L583">
        <f>IFERROR(__xludf.DUMMYFUNCTION("""COMPUTED_VALUE"""),92094.0)</f>
        <v>92094</v>
      </c>
      <c r="M583" t="str">
        <f>IFERROR(__xludf.DUMMYFUNCTION("""COMPUTED_VALUE"""),"Kitchen")</f>
        <v>Kitchen</v>
      </c>
      <c r="O583" t="str">
        <f>IFERROR(__xludf.DUMMYFUNCTION("""COMPUTED_VALUE"""),"Y")</f>
        <v>Y</v>
      </c>
      <c r="P583" s="1" t="str">
        <f>IFERROR(__xludf.DUMMYFUNCTION("""COMPUTED_VALUE"""),"ID 10418")</f>
        <v>ID 10418</v>
      </c>
      <c r="Q583" s="1" t="str">
        <f>IFERROR(__xludf.DUMMYFUNCTION("""COMPUTED_VALUE"""),"B000KKM27E")</f>
        <v>B000KKM27E</v>
      </c>
    </row>
    <row r="584">
      <c r="A584" s="6">
        <f>IFERROR(__xludf.DUMMYFUNCTION("""COMPUTED_VALUE"""),45429.0)</f>
        <v>45429</v>
      </c>
      <c r="B584">
        <f>IFERROR(__xludf.DUMMYFUNCTION("""COMPUTED_VALUE"""),15959.0)</f>
        <v>15959</v>
      </c>
      <c r="C584" t="str">
        <f>IFERROR(__xludf.DUMMYFUNCTION("""COMPUTED_VALUE"""),"OFF! Botanicals Mosquito and Insect Repellent IV, Plant-Based* Bug Spray, Deet-Free**, 4 oz.")</f>
        <v>OFF! Botanicals Mosquito and Insect Repellent IV, Plant-Based* Bug Spray, Deet-Free**, 4 oz.</v>
      </c>
      <c r="D584" t="str">
        <f>IFERROR(__xludf.DUMMYFUNCTION("""COMPUTED_VALUE"""),"B078LBCBR5")</f>
        <v>B078LBCBR5</v>
      </c>
      <c r="E584" t="str">
        <f>IFERROR(__xludf.DUMMYFUNCTION("""COMPUTED_VALUE"""),"046500002380")</f>
        <v>046500002380</v>
      </c>
      <c r="F584">
        <f>IFERROR(__xludf.DUMMYFUNCTION("""COMPUTED_VALUE"""),1256.0)</f>
        <v>1256</v>
      </c>
      <c r="G584">
        <f>IFERROR(__xludf.DUMMYFUNCTION("""COMPUTED_VALUE"""),2800.0)</f>
        <v>2800</v>
      </c>
      <c r="H584" s="2">
        <f>IFERROR(__xludf.DUMMYFUNCTION("""COMPUTED_VALUE"""),1.5)</f>
        <v>1.5</v>
      </c>
      <c r="I584" s="2">
        <f>IFERROR(__xludf.DUMMYFUNCTION("""COMPUTED_VALUE"""),2.83)</f>
        <v>2.83</v>
      </c>
      <c r="J584" s="2">
        <f>IFERROR(__xludf.DUMMYFUNCTION("""COMPUTED_VALUE"""),1.33)</f>
        <v>1.33</v>
      </c>
      <c r="K584" s="5">
        <f>IFERROR(__xludf.DUMMYFUNCTION("""COMPUTED_VALUE"""),0.8866666666666667)</f>
        <v>0.8866666667</v>
      </c>
      <c r="L584">
        <f>IFERROR(__xludf.DUMMYFUNCTION("""COMPUTED_VALUE"""),5540.0)</f>
        <v>5540</v>
      </c>
      <c r="M584" t="str">
        <f>IFERROR(__xludf.DUMMYFUNCTION("""COMPUTED_VALUE"""),"Health and Beauty")</f>
        <v>Health and Beauty</v>
      </c>
      <c r="O584" t="str">
        <f>IFERROR(__xludf.DUMMYFUNCTION("""COMPUTED_VALUE"""),"Y")</f>
        <v>Y</v>
      </c>
      <c r="P584" s="1" t="str">
        <f>IFERROR(__xludf.DUMMYFUNCTION("""COMPUTED_VALUE"""),"ID 15959")</f>
        <v>ID 15959</v>
      </c>
      <c r="Q584" s="1" t="str">
        <f>IFERROR(__xludf.DUMMYFUNCTION("""COMPUTED_VALUE"""),"B078LBCBR5")</f>
        <v>B078LBCBR5</v>
      </c>
    </row>
    <row r="585">
      <c r="A585" s="6">
        <f>IFERROR(__xludf.DUMMYFUNCTION("""COMPUTED_VALUE"""),44941.0)</f>
        <v>44941</v>
      </c>
      <c r="B585">
        <f>IFERROR(__xludf.DUMMYFUNCTION("""COMPUTED_VALUE"""),24602.0)</f>
        <v>24602</v>
      </c>
      <c r="C585" t="str">
        <f>IFERROR(__xludf.DUMMYFUNCTION("""COMPUTED_VALUE"""),"Parker Jotter Royal Blue CT Ballpoint Pen, Blister pack")</f>
        <v>Parker Jotter Royal Blue CT Ballpoint Pen, Blister pack</v>
      </c>
      <c r="D585" t="str">
        <f>IFERROR(__xludf.DUMMYFUNCTION("""COMPUTED_VALUE"""),"B01DJBH8GU")</f>
        <v>B01DJBH8GU</v>
      </c>
      <c r="E585" t="str">
        <f>IFERROR(__xludf.DUMMYFUNCTION("""COMPUTED_VALUE"""),"3501179532097")</f>
        <v>3501179532097</v>
      </c>
      <c r="F585">
        <f>IFERROR(__xludf.DUMMYFUNCTION("""COMPUTED_VALUE"""),288.0)</f>
        <v>288</v>
      </c>
      <c r="G585">
        <f>IFERROR(__xludf.DUMMYFUNCTION("""COMPUTED_VALUE"""),1000.0)</f>
        <v>1000</v>
      </c>
      <c r="H585" s="2">
        <f>IFERROR(__xludf.DUMMYFUNCTION("""COMPUTED_VALUE"""),10.25)</f>
        <v>10.25</v>
      </c>
      <c r="I585" s="2">
        <f>IFERROR(__xludf.DUMMYFUNCTION("""COMPUTED_VALUE"""),11.58)</f>
        <v>11.58</v>
      </c>
      <c r="J585" s="2">
        <f>IFERROR(__xludf.DUMMYFUNCTION("""COMPUTED_VALUE"""),1.33)</f>
        <v>1.33</v>
      </c>
      <c r="K585" s="5">
        <f>IFERROR(__xludf.DUMMYFUNCTION("""COMPUTED_VALUE"""),0.12975609756097561)</f>
        <v>0.1297560976</v>
      </c>
      <c r="L585">
        <f>IFERROR(__xludf.DUMMYFUNCTION("""COMPUTED_VALUE"""),28809.0)</f>
        <v>28809</v>
      </c>
      <c r="M585" t="str">
        <f>IFERROR(__xludf.DUMMYFUNCTION("""COMPUTED_VALUE"""),"Office Product")</f>
        <v>Office Product</v>
      </c>
      <c r="O585" t="str">
        <f>IFERROR(__xludf.DUMMYFUNCTION("""COMPUTED_VALUE"""),"N")</f>
        <v>N</v>
      </c>
      <c r="P585" s="1" t="str">
        <f>IFERROR(__xludf.DUMMYFUNCTION("""COMPUTED_VALUE"""),"ID 24602")</f>
        <v>ID 24602</v>
      </c>
      <c r="Q585" s="1" t="str">
        <f>IFERROR(__xludf.DUMMYFUNCTION("""COMPUTED_VALUE"""),"B01DJBH8GU")</f>
        <v>B01DJBH8GU</v>
      </c>
    </row>
    <row r="586">
      <c r="A586" s="6">
        <f>IFERROR(__xludf.DUMMYFUNCTION("""COMPUTED_VALUE"""),45421.0)</f>
        <v>45421</v>
      </c>
      <c r="B586">
        <f>IFERROR(__xludf.DUMMYFUNCTION("""COMPUTED_VALUE"""),25548.0)</f>
        <v>25548</v>
      </c>
      <c r="C586" t="str">
        <f>IFERROR(__xludf.DUMMYFUNCTION("""COMPUTED_VALUE"""),"Grumbacher Goldenedge Golden Toray Round Watercolor Brush, Synthetic Bristles, Size ZZZ (4620.ZZZ)")</f>
        <v>Grumbacher Goldenedge Golden Toray Round Watercolor Brush, Synthetic Bristles, Size ZZZ (4620.ZZZ)</v>
      </c>
      <c r="D586" t="str">
        <f>IFERROR(__xludf.DUMMYFUNCTION("""COMPUTED_VALUE"""),"B0027A5H1S")</f>
        <v>B0027A5H1S</v>
      </c>
      <c r="E586" t="str">
        <f>IFERROR(__xludf.DUMMYFUNCTION("""COMPUTED_VALUE"""),"014173355294")</f>
        <v>014173355294</v>
      </c>
      <c r="F586">
        <f>IFERROR(__xludf.DUMMYFUNCTION("""COMPUTED_VALUE"""),1008.0)</f>
        <v>1008</v>
      </c>
      <c r="G586">
        <f>IFERROR(__xludf.DUMMYFUNCTION("""COMPUTED_VALUE"""),10000.0)</f>
        <v>10000</v>
      </c>
      <c r="H586" s="2">
        <f>IFERROR(__xludf.DUMMYFUNCTION("""COMPUTED_VALUE"""),2.5)</f>
        <v>2.5</v>
      </c>
      <c r="I586" s="2">
        <f>IFERROR(__xludf.DUMMYFUNCTION("""COMPUTED_VALUE"""),3.83)</f>
        <v>3.83</v>
      </c>
      <c r="J586" s="2">
        <f>IFERROR(__xludf.DUMMYFUNCTION("""COMPUTED_VALUE"""),1.33)</f>
        <v>1.33</v>
      </c>
      <c r="K586" s="5">
        <f>IFERROR(__xludf.DUMMYFUNCTION("""COMPUTED_VALUE"""),0.532)</f>
        <v>0.532</v>
      </c>
      <c r="L586">
        <f>IFERROR(__xludf.DUMMYFUNCTION("""COMPUTED_VALUE"""),16511.0)</f>
        <v>16511</v>
      </c>
      <c r="M586" t="str">
        <f>IFERROR(__xludf.DUMMYFUNCTION("""COMPUTED_VALUE"""),"Office Product")</f>
        <v>Office Product</v>
      </c>
      <c r="O586" t="str">
        <f>IFERROR(__xludf.DUMMYFUNCTION("""COMPUTED_VALUE"""),"Y")</f>
        <v>Y</v>
      </c>
      <c r="P586" s="1" t="str">
        <f>IFERROR(__xludf.DUMMYFUNCTION("""COMPUTED_VALUE"""),"ID 25548")</f>
        <v>ID 25548</v>
      </c>
      <c r="Q586" s="1" t="str">
        <f>IFERROR(__xludf.DUMMYFUNCTION("""COMPUTED_VALUE"""),"B0027A5H1S")</f>
        <v>B0027A5H1S</v>
      </c>
    </row>
    <row r="587">
      <c r="A587" s="6">
        <f>IFERROR(__xludf.DUMMYFUNCTION("""COMPUTED_VALUE"""),45390.0)</f>
        <v>45390</v>
      </c>
      <c r="B587">
        <f>IFERROR(__xludf.DUMMYFUNCTION("""COMPUTED_VALUE"""),15411.0)</f>
        <v>15411</v>
      </c>
      <c r="C587" t="str">
        <f>IFERROR(__xludf.DUMMYFUNCTION("""COMPUTED_VALUE"""),"Chef Craft Select Stainless Steel Turner/Spatula, 14.5"", Black")</f>
        <v>Chef Craft Select Stainless Steel Turner/Spatula, 14.5", Black</v>
      </c>
      <c r="D587" t="str">
        <f>IFERROR(__xludf.DUMMYFUNCTION("""COMPUTED_VALUE"""),"B002KJ18T6")</f>
        <v>B002KJ18T6</v>
      </c>
      <c r="E587" t="str">
        <f>IFERROR(__xludf.DUMMYFUNCTION("""COMPUTED_VALUE"""),"085455129100")</f>
        <v>085455129100</v>
      </c>
      <c r="F587">
        <f>IFERROR(__xludf.DUMMYFUNCTION("""COMPUTED_VALUE"""),576.0)</f>
        <v>576</v>
      </c>
      <c r="G587">
        <f>IFERROR(__xludf.DUMMYFUNCTION("""COMPUTED_VALUE"""),10000.0)</f>
        <v>10000</v>
      </c>
      <c r="H587" s="2">
        <f>IFERROR(__xludf.DUMMYFUNCTION("""COMPUTED_VALUE"""),1.75)</f>
        <v>1.75</v>
      </c>
      <c r="I587" s="2">
        <f>IFERROR(__xludf.DUMMYFUNCTION("""COMPUTED_VALUE"""),3.07)</f>
        <v>3.07</v>
      </c>
      <c r="J587" s="2">
        <f>IFERROR(__xludf.DUMMYFUNCTION("""COMPUTED_VALUE"""),1.3199999999999998)</f>
        <v>1.32</v>
      </c>
      <c r="K587" s="5">
        <f>IFERROR(__xludf.DUMMYFUNCTION("""COMPUTED_VALUE"""),0.7542857142857142)</f>
        <v>0.7542857143</v>
      </c>
      <c r="L587">
        <f>IFERROR(__xludf.DUMMYFUNCTION("""COMPUTED_VALUE"""),5154.0)</f>
        <v>5154</v>
      </c>
      <c r="M587" t="str">
        <f>IFERROR(__xludf.DUMMYFUNCTION("""COMPUTED_VALUE"""),"Kitchen")</f>
        <v>Kitchen</v>
      </c>
      <c r="O587" t="str">
        <f>IFERROR(__xludf.DUMMYFUNCTION("""COMPUTED_VALUE"""),"Y")</f>
        <v>Y</v>
      </c>
      <c r="P587" s="1" t="str">
        <f>IFERROR(__xludf.DUMMYFUNCTION("""COMPUTED_VALUE"""),"ID 15411")</f>
        <v>ID 15411</v>
      </c>
      <c r="Q587" s="1" t="str">
        <f>IFERROR(__xludf.DUMMYFUNCTION("""COMPUTED_VALUE"""),"B002KJ18T6")</f>
        <v>B002KJ18T6</v>
      </c>
    </row>
    <row r="588">
      <c r="A588" s="6">
        <f>IFERROR(__xludf.DUMMYFUNCTION("""COMPUTED_VALUE"""),45113.0)</f>
        <v>45113</v>
      </c>
      <c r="B588">
        <f>IFERROR(__xludf.DUMMYFUNCTION("""COMPUTED_VALUE"""),17863.0)</f>
        <v>17863</v>
      </c>
      <c r="C588" t="str">
        <f>IFERROR(__xludf.DUMMYFUNCTION("""COMPUTED_VALUE"""),"Prismacolor Premier Soft Core Colored Pencil, Single, Cadmium Orange (Open Stock)")</f>
        <v>Prismacolor Premier Soft Core Colored Pencil, Single, Cadmium Orange (Open Stock)</v>
      </c>
      <c r="D588" t="str">
        <f>IFERROR(__xludf.DUMMYFUNCTION("""COMPUTED_VALUE"""),"B00769GPVQ")</f>
        <v>B00769GPVQ</v>
      </c>
      <c r="E588" t="str">
        <f>IFERROR(__xludf.DUMMYFUNCTION("""COMPUTED_VALUE"""),"70735003898")</f>
        <v>70735003898</v>
      </c>
      <c r="F588">
        <f>IFERROR(__xludf.DUMMYFUNCTION("""COMPUTED_VALUE"""),4320.0)</f>
        <v>4320</v>
      </c>
      <c r="G588">
        <f>IFERROR(__xludf.DUMMYFUNCTION("""COMPUTED_VALUE"""),10000.0)</f>
        <v>10000</v>
      </c>
      <c r="H588" s="2">
        <f>IFERROR(__xludf.DUMMYFUNCTION("""COMPUTED_VALUE"""),1.0)</f>
        <v>1</v>
      </c>
      <c r="I588" s="2">
        <f>IFERROR(__xludf.DUMMYFUNCTION("""COMPUTED_VALUE"""),2.32)</f>
        <v>2.32</v>
      </c>
      <c r="J588" s="2">
        <f>IFERROR(__xludf.DUMMYFUNCTION("""COMPUTED_VALUE"""),1.3199999999999998)</f>
        <v>1.32</v>
      </c>
      <c r="K588" s="5">
        <f>IFERROR(__xludf.DUMMYFUNCTION("""COMPUTED_VALUE"""),1.3199999999999998)</f>
        <v>1.32</v>
      </c>
      <c r="L588">
        <f>IFERROR(__xludf.DUMMYFUNCTION("""COMPUTED_VALUE"""),71127.0)</f>
        <v>71127</v>
      </c>
      <c r="M588" t="str">
        <f>IFERROR(__xludf.DUMMYFUNCTION("""COMPUTED_VALUE"""),"Office Product")</f>
        <v>Office Product</v>
      </c>
      <c r="N588" t="str">
        <f>IFERROR(__xludf.DUMMYFUNCTION("""COMPUTED_VALUE"""),"Open stock with indvidual UPC")</f>
        <v>Open stock with indvidual UPC</v>
      </c>
      <c r="O588" t="str">
        <f>IFERROR(__xludf.DUMMYFUNCTION("""COMPUTED_VALUE"""),"N")</f>
        <v>N</v>
      </c>
      <c r="P588" s="1" t="str">
        <f>IFERROR(__xludf.DUMMYFUNCTION("""COMPUTED_VALUE"""),"ID 17863")</f>
        <v>ID 17863</v>
      </c>
      <c r="Q588" s="1" t="str">
        <f>IFERROR(__xludf.DUMMYFUNCTION("""COMPUTED_VALUE"""),"B00769GPVQ")</f>
        <v>B00769GPVQ</v>
      </c>
    </row>
    <row r="589">
      <c r="A589" s="6">
        <f>IFERROR(__xludf.DUMMYFUNCTION("""COMPUTED_VALUE"""),45229.0)</f>
        <v>45229</v>
      </c>
      <c r="B589">
        <f>IFERROR(__xludf.DUMMYFUNCTION("""COMPUTED_VALUE"""),21204.0)</f>
        <v>21204</v>
      </c>
      <c r="C589" t="str">
        <f>IFERROR(__xludf.DUMMYFUNCTION("""COMPUTED_VALUE"""),"Quartet Portable Glass Dry-Erase Pad, 5"" x 8"", Closeable Cover, Kickstand, Desktop, White Board, Notepad, Travel, Blue (Q090GDPN03)")</f>
        <v>Quartet Portable Glass Dry-Erase Pad, 5" x 8", Closeable Cover, Kickstand, Desktop, White Board, Notepad, Travel, Blue (Q090GDPN03)</v>
      </c>
      <c r="D589" t="str">
        <f>IFERROR(__xludf.DUMMYFUNCTION("""COMPUTED_VALUE"""),"B08PC47L9T")</f>
        <v>B08PC47L9T</v>
      </c>
      <c r="E589" t="str">
        <f>IFERROR(__xludf.DUMMYFUNCTION("""COMPUTED_VALUE"""),"034138090305")</f>
        <v>034138090305</v>
      </c>
      <c r="F589">
        <f>IFERROR(__xludf.DUMMYFUNCTION("""COMPUTED_VALUE"""),97.0)</f>
        <v>97</v>
      </c>
      <c r="G589">
        <f>IFERROR(__xludf.DUMMYFUNCTION("""COMPUTED_VALUE"""),10000.0)</f>
        <v>10000</v>
      </c>
      <c r="H589" s="2">
        <f>IFERROR(__xludf.DUMMYFUNCTION("""COMPUTED_VALUE"""),24.5)</f>
        <v>24.5</v>
      </c>
      <c r="I589" s="2">
        <f>IFERROR(__xludf.DUMMYFUNCTION("""COMPUTED_VALUE"""),25.82)</f>
        <v>25.82</v>
      </c>
      <c r="J589" s="2">
        <f>IFERROR(__xludf.DUMMYFUNCTION("""COMPUTED_VALUE"""),1.3200000000000003)</f>
        <v>1.32</v>
      </c>
      <c r="K589" s="5">
        <f>IFERROR(__xludf.DUMMYFUNCTION("""COMPUTED_VALUE"""),0.05387755102040818)</f>
        <v>0.05387755102</v>
      </c>
      <c r="L589">
        <f>IFERROR(__xludf.DUMMYFUNCTION("""COMPUTED_VALUE"""),64690.0)</f>
        <v>64690</v>
      </c>
      <c r="M589" t="str">
        <f>IFERROR(__xludf.DUMMYFUNCTION("""COMPUTED_VALUE"""),"Office Product")</f>
        <v>Office Product</v>
      </c>
      <c r="N589" t="str">
        <f>IFERROR(__xludf.DUMMYFUNCTION("""COMPUTED_VALUE"""),"Promo: OSMI")</f>
        <v>Promo: OSMI</v>
      </c>
      <c r="O589" t="str">
        <f>IFERROR(__xludf.DUMMYFUNCTION("""COMPUTED_VALUE"""),"Y")</f>
        <v>Y</v>
      </c>
      <c r="P589" s="1" t="str">
        <f>IFERROR(__xludf.DUMMYFUNCTION("""COMPUTED_VALUE"""),"ID 21204")</f>
        <v>ID 21204</v>
      </c>
      <c r="Q589" s="1" t="str">
        <f>IFERROR(__xludf.DUMMYFUNCTION("""COMPUTED_VALUE"""),"B08PC47L9T")</f>
        <v>B08PC47L9T</v>
      </c>
    </row>
    <row r="590">
      <c r="A590" s="6">
        <f>IFERROR(__xludf.DUMMYFUNCTION("""COMPUTED_VALUE"""),45376.0)</f>
        <v>45376</v>
      </c>
      <c r="B590">
        <f>IFERROR(__xludf.DUMMYFUNCTION("""COMPUTED_VALUE"""),25129.0)</f>
        <v>25129</v>
      </c>
      <c r="C590" t="str">
        <f>IFERROR(__xludf.DUMMYFUNCTION("""COMPUTED_VALUE"""),"Chenille Kraft CK-364502 People Shaped Wood Craft Sticks, 6.1"" Wide, 5.7"" Length, 1.4"" Height (36 count)")</f>
        <v>Chenille Kraft CK-364502 People Shaped Wood Craft Sticks, 6.1" Wide, 5.7" Length, 1.4" Height (36 count)</v>
      </c>
      <c r="D590" t="str">
        <f>IFERROR(__xludf.DUMMYFUNCTION("""COMPUTED_VALUE"""),"B01IV3FZ3O")</f>
        <v>B01IV3FZ3O</v>
      </c>
      <c r="E590" t="str">
        <f>IFERROR(__xludf.DUMMYFUNCTION("""COMPUTED_VALUE"""),"021196364523")</f>
        <v>021196364523</v>
      </c>
      <c r="F590">
        <f>IFERROR(__xludf.DUMMYFUNCTION("""COMPUTED_VALUE"""),600.0)</f>
        <v>600</v>
      </c>
      <c r="G590">
        <f>IFERROR(__xludf.DUMMYFUNCTION("""COMPUTED_VALUE"""),10000.0)</f>
        <v>10000</v>
      </c>
      <c r="H590" s="2">
        <f>IFERROR(__xludf.DUMMYFUNCTION("""COMPUTED_VALUE"""),6.0)</f>
        <v>6</v>
      </c>
      <c r="I590" s="2">
        <f>IFERROR(__xludf.DUMMYFUNCTION("""COMPUTED_VALUE"""),7.32)</f>
        <v>7.32</v>
      </c>
      <c r="J590" s="2">
        <f>IFERROR(__xludf.DUMMYFUNCTION("""COMPUTED_VALUE"""),1.3200000000000003)</f>
        <v>1.32</v>
      </c>
      <c r="K590" s="5">
        <f>IFERROR(__xludf.DUMMYFUNCTION("""COMPUTED_VALUE"""),0.22000000000000006)</f>
        <v>0.22</v>
      </c>
      <c r="L590">
        <f>IFERROR(__xludf.DUMMYFUNCTION("""COMPUTED_VALUE"""),95885.0)</f>
        <v>95885</v>
      </c>
      <c r="M590" t="str">
        <f>IFERROR(__xludf.DUMMYFUNCTION("""COMPUTED_VALUE"""),"BISS")</f>
        <v>BISS</v>
      </c>
      <c r="O590" t="str">
        <f>IFERROR(__xludf.DUMMYFUNCTION("""COMPUTED_VALUE"""),"Y")</f>
        <v>Y</v>
      </c>
      <c r="P590" s="1" t="str">
        <f>IFERROR(__xludf.DUMMYFUNCTION("""COMPUTED_VALUE"""),"ID 25129")</f>
        <v>ID 25129</v>
      </c>
      <c r="Q590" s="1" t="str">
        <f>IFERROR(__xludf.DUMMYFUNCTION("""COMPUTED_VALUE"""),"B01IV3FZ3O")</f>
        <v>B01IV3FZ3O</v>
      </c>
    </row>
    <row r="591">
      <c r="A591" s="6">
        <f>IFERROR(__xludf.DUMMYFUNCTION("""COMPUTED_VALUE"""),45397.0)</f>
        <v>45397</v>
      </c>
      <c r="B591">
        <f>IFERROR(__xludf.DUMMYFUNCTION("""COMPUTED_VALUE"""),14936.0)</f>
        <v>14936</v>
      </c>
      <c r="C591" t="str">
        <f>IFERROR(__xludf.DUMMYFUNCTION("""COMPUTED_VALUE"""),"Maybelline New York Volum' Express The Colossal Big Shot Waterproof Mascara, Very Black, 0.32 fl. oz.")</f>
        <v>Maybelline New York Volum' Express The Colossal Big Shot Waterproof Mascara, Very Black, 0.32 fl. oz.</v>
      </c>
      <c r="D591" t="str">
        <f>IFERROR(__xludf.DUMMYFUNCTION("""COMPUTED_VALUE"""),"B01LZDWLMU")</f>
        <v>B01LZDWLMU</v>
      </c>
      <c r="E591" t="str">
        <f>IFERROR(__xludf.DUMMYFUNCTION("""COMPUTED_VALUE"""),"041554493856")</f>
        <v>041554493856</v>
      </c>
      <c r="F591">
        <f>IFERROR(__xludf.DUMMYFUNCTION("""COMPUTED_VALUE"""),500.0)</f>
        <v>500</v>
      </c>
      <c r="G591">
        <f>IFERROR(__xludf.DUMMYFUNCTION("""COMPUTED_VALUE"""),1200.0)</f>
        <v>1200</v>
      </c>
      <c r="H591" s="2">
        <f>IFERROR(__xludf.DUMMYFUNCTION("""COMPUTED_VALUE"""),3.75)</f>
        <v>3.75</v>
      </c>
      <c r="I591" s="2">
        <f>IFERROR(__xludf.DUMMYFUNCTION("""COMPUTED_VALUE"""),5.06)</f>
        <v>5.06</v>
      </c>
      <c r="J591" s="2">
        <f>IFERROR(__xludf.DUMMYFUNCTION("""COMPUTED_VALUE"""),1.3099999999999996)</f>
        <v>1.31</v>
      </c>
      <c r="K591" s="5">
        <f>IFERROR(__xludf.DUMMYFUNCTION("""COMPUTED_VALUE"""),0.3493333333333332)</f>
        <v>0.3493333333</v>
      </c>
      <c r="L591">
        <f>IFERROR(__xludf.DUMMYFUNCTION("""COMPUTED_VALUE"""),66145.0)</f>
        <v>66145</v>
      </c>
      <c r="M591" t="str">
        <f>IFERROR(__xludf.DUMMYFUNCTION("""COMPUTED_VALUE"""),"Beauty")</f>
        <v>Beauty</v>
      </c>
      <c r="O591" t="str">
        <f>IFERROR(__xludf.DUMMYFUNCTION("""COMPUTED_VALUE"""),"N")</f>
        <v>N</v>
      </c>
      <c r="P591" s="1" t="str">
        <f>IFERROR(__xludf.DUMMYFUNCTION("""COMPUTED_VALUE"""),"ID 14936")</f>
        <v>ID 14936</v>
      </c>
      <c r="Q591" s="1" t="str">
        <f>IFERROR(__xludf.DUMMYFUNCTION("""COMPUTED_VALUE"""),"B01LZDWLMU")</f>
        <v>B01LZDWLMU</v>
      </c>
    </row>
    <row r="592">
      <c r="A592" s="6">
        <f>IFERROR(__xludf.DUMMYFUNCTION("""COMPUTED_VALUE"""),44769.0)</f>
        <v>44769</v>
      </c>
      <c r="B592">
        <f>IFERROR(__xludf.DUMMYFUNCTION("""COMPUTED_VALUE"""),7883.0)</f>
        <v>7883</v>
      </c>
      <c r="C592" t="str">
        <f>IFERROR(__xludf.DUMMYFUNCTION("""COMPUTED_VALUE"""),"Dance with Lisa: Red Hot Salsa Made Simple")</f>
        <v>Dance with Lisa: Red Hot Salsa Made Simple</v>
      </c>
      <c r="D592" t="str">
        <f>IFERROR(__xludf.DUMMYFUNCTION("""COMPUTED_VALUE"""),"B000BYW6XY")</f>
        <v>B000BYW6XY</v>
      </c>
      <c r="E592" t="str">
        <f>IFERROR(__xludf.DUMMYFUNCTION("""COMPUTED_VALUE"""),"881573007081")</f>
        <v>881573007081</v>
      </c>
      <c r="F592">
        <f>IFERROR(__xludf.DUMMYFUNCTION("""COMPUTED_VALUE"""),690.0)</f>
        <v>690</v>
      </c>
      <c r="G592">
        <f>IFERROR(__xludf.DUMMYFUNCTION("""COMPUTED_VALUE"""),679.0)</f>
        <v>679</v>
      </c>
      <c r="H592" s="2">
        <f>IFERROR(__xludf.DUMMYFUNCTION("""COMPUTED_VALUE"""),3.0)</f>
        <v>3</v>
      </c>
      <c r="I592" s="2">
        <f>IFERROR(__xludf.DUMMYFUNCTION("""COMPUTED_VALUE"""),4.3)</f>
        <v>4.3</v>
      </c>
      <c r="J592" s="2">
        <f>IFERROR(__xludf.DUMMYFUNCTION("""COMPUTED_VALUE"""),1.2999999999999998)</f>
        <v>1.3</v>
      </c>
      <c r="K592" s="5">
        <f>IFERROR(__xludf.DUMMYFUNCTION("""COMPUTED_VALUE"""),0.4333333333333333)</f>
        <v>0.4333333333</v>
      </c>
      <c r="L592">
        <f>IFERROR(__xludf.DUMMYFUNCTION("""COMPUTED_VALUE"""),27892.0)</f>
        <v>27892</v>
      </c>
      <c r="M592" t="str">
        <f>IFERROR(__xludf.DUMMYFUNCTION("""COMPUTED_VALUE"""),"DVD")</f>
        <v>DVD</v>
      </c>
      <c r="O592" t="str">
        <f>IFERROR(__xludf.DUMMYFUNCTION("""COMPUTED_VALUE"""),"N")</f>
        <v>N</v>
      </c>
      <c r="P592" s="1" t="str">
        <f>IFERROR(__xludf.DUMMYFUNCTION("""COMPUTED_VALUE"""),"ID 7883")</f>
        <v>ID 7883</v>
      </c>
      <c r="Q592" s="1" t="str">
        <f>IFERROR(__xludf.DUMMYFUNCTION("""COMPUTED_VALUE"""),"B000BYW6XY")</f>
        <v>B000BYW6XY</v>
      </c>
    </row>
    <row r="593">
      <c r="A593" s="6">
        <f>IFERROR(__xludf.DUMMYFUNCTION("""COMPUTED_VALUE"""),44657.0)</f>
        <v>44657</v>
      </c>
      <c r="B593">
        <f>IFERROR(__xludf.DUMMYFUNCTION("""COMPUTED_VALUE"""),14032.0)</f>
        <v>14032</v>
      </c>
      <c r="C593" t="str">
        <f>IFERROR(__xludf.DUMMYFUNCTION("""COMPUTED_VALUE"""),"Bear in the Big Blue House - Potty Time With Bear")</f>
        <v>Bear in the Big Blue House - Potty Time With Bear</v>
      </c>
      <c r="D593" t="str">
        <f>IFERROR(__xludf.DUMMYFUNCTION("""COMPUTED_VALUE"""),"B0002J4ZKK")</f>
        <v>B0002J4ZKK</v>
      </c>
      <c r="E593" t="str">
        <f>IFERROR(__xludf.DUMMYFUNCTION("""COMPUTED_VALUE"""),"786936250787")</f>
        <v>786936250787</v>
      </c>
      <c r="F593">
        <f>IFERROR(__xludf.DUMMYFUNCTION("""COMPUTED_VALUE"""),420.0)</f>
        <v>420</v>
      </c>
      <c r="G593">
        <f>IFERROR(__xludf.DUMMYFUNCTION("""COMPUTED_VALUE"""),150.0)</f>
        <v>150</v>
      </c>
      <c r="H593" s="2">
        <f>IFERROR(__xludf.DUMMYFUNCTION("""COMPUTED_VALUE"""),3.0)</f>
        <v>3</v>
      </c>
      <c r="I593" s="2">
        <f>IFERROR(__xludf.DUMMYFUNCTION("""COMPUTED_VALUE"""),4.3)</f>
        <v>4.3</v>
      </c>
      <c r="J593" s="2">
        <f>IFERROR(__xludf.DUMMYFUNCTION("""COMPUTED_VALUE"""),1.2999999999999998)</f>
        <v>1.3</v>
      </c>
      <c r="K593" s="5">
        <f>IFERROR(__xludf.DUMMYFUNCTION("""COMPUTED_VALUE"""),0.4333333333333333)</f>
        <v>0.4333333333</v>
      </c>
      <c r="L593">
        <f>IFERROR(__xludf.DUMMYFUNCTION("""COMPUTED_VALUE"""),25578.0)</f>
        <v>25578</v>
      </c>
      <c r="M593" t="str">
        <f>IFERROR(__xludf.DUMMYFUNCTION("""COMPUTED_VALUE"""),"DVD")</f>
        <v>DVD</v>
      </c>
      <c r="O593" t="str">
        <f>IFERROR(__xludf.DUMMYFUNCTION("""COMPUTED_VALUE"""),"Y")</f>
        <v>Y</v>
      </c>
      <c r="P593" s="1" t="str">
        <f>IFERROR(__xludf.DUMMYFUNCTION("""COMPUTED_VALUE"""),"ID 14032")</f>
        <v>ID 14032</v>
      </c>
      <c r="Q593" s="1" t="str">
        <f>IFERROR(__xludf.DUMMYFUNCTION("""COMPUTED_VALUE"""),"B0002J4ZKK")</f>
        <v>B0002J4ZKK</v>
      </c>
    </row>
    <row r="594">
      <c r="A594" s="6">
        <f>IFERROR(__xludf.DUMMYFUNCTION("""COMPUTED_VALUE"""),45376.0)</f>
        <v>45376</v>
      </c>
      <c r="B594">
        <f>IFERROR(__xludf.DUMMYFUNCTION("""COMPUTED_VALUE"""),17071.0)</f>
        <v>17071</v>
      </c>
      <c r="C594" t="str">
        <f>IFERROR(__xludf.DUMMYFUNCTION("""COMPUTED_VALUE"""),"PRANG Refill Pans for Oval Watercolor Paint Set, 12 Pans per Box, Black (00808)")</f>
        <v>PRANG Refill Pans for Oval Watercolor Paint Set, 12 Pans per Box, Black (00808)</v>
      </c>
      <c r="D594" t="str">
        <f>IFERROR(__xludf.DUMMYFUNCTION("""COMPUTED_VALUE"""),"B0044SERU8")</f>
        <v>B0044SERU8</v>
      </c>
      <c r="E594" t="str">
        <f>IFERROR(__xludf.DUMMYFUNCTION("""COMPUTED_VALUE"""),"072067008084")</f>
        <v>072067008084</v>
      </c>
      <c r="F594">
        <f>IFERROR(__xludf.DUMMYFUNCTION("""COMPUTED_VALUE"""),816.0)</f>
        <v>816</v>
      </c>
      <c r="G594">
        <f>IFERROR(__xludf.DUMMYFUNCTION("""COMPUTED_VALUE"""),10000.0)</f>
        <v>10000</v>
      </c>
      <c r="H594" s="2">
        <f>IFERROR(__xludf.DUMMYFUNCTION("""COMPUTED_VALUE"""),4.5)</f>
        <v>4.5</v>
      </c>
      <c r="I594" s="2">
        <f>IFERROR(__xludf.DUMMYFUNCTION("""COMPUTED_VALUE"""),5.8)</f>
        <v>5.8</v>
      </c>
      <c r="J594" s="2">
        <f>IFERROR(__xludf.DUMMYFUNCTION("""COMPUTED_VALUE"""),1.2999999999999998)</f>
        <v>1.3</v>
      </c>
      <c r="K594" s="5">
        <f>IFERROR(__xludf.DUMMYFUNCTION("""COMPUTED_VALUE"""),0.28888888888888886)</f>
        <v>0.2888888889</v>
      </c>
      <c r="L594">
        <f>IFERROR(__xludf.DUMMYFUNCTION("""COMPUTED_VALUE"""),13771.0)</f>
        <v>13771</v>
      </c>
      <c r="M594" t="str">
        <f>IFERROR(__xludf.DUMMYFUNCTION("""COMPUTED_VALUE"""),"Office Product")</f>
        <v>Office Product</v>
      </c>
      <c r="O594" t="str">
        <f>IFERROR(__xludf.DUMMYFUNCTION("""COMPUTED_VALUE"""),"Y")</f>
        <v>Y</v>
      </c>
      <c r="P594" s="1" t="str">
        <f>IFERROR(__xludf.DUMMYFUNCTION("""COMPUTED_VALUE"""),"ID 17071")</f>
        <v>ID 17071</v>
      </c>
      <c r="Q594" s="1" t="str">
        <f>IFERROR(__xludf.DUMMYFUNCTION("""COMPUTED_VALUE"""),"B0044SERU8")</f>
        <v>B0044SERU8</v>
      </c>
    </row>
    <row r="595">
      <c r="A595" s="6">
        <f>IFERROR(__xludf.DUMMYFUNCTION("""COMPUTED_VALUE"""),44811.0)</f>
        <v>44811</v>
      </c>
      <c r="B595">
        <f>IFERROR(__xludf.DUMMYFUNCTION("""COMPUTED_VALUE"""),22125.0)</f>
        <v>22125</v>
      </c>
      <c r="C595" t="str">
        <f>IFERROR(__xludf.DUMMYFUNCTION("""COMPUTED_VALUE"""),"BABY KING Nail Clipper")</f>
        <v>BABY KING Nail Clipper</v>
      </c>
      <c r="D595" t="str">
        <f>IFERROR(__xludf.DUMMYFUNCTION("""COMPUTED_VALUE"""),"B000UVZVXA")</f>
        <v>B000UVZVXA</v>
      </c>
      <c r="E595" t="str">
        <f>IFERROR(__xludf.DUMMYFUNCTION("""COMPUTED_VALUE"""),"015000760717")</f>
        <v>015000760717</v>
      </c>
      <c r="F595">
        <f>IFERROR(__xludf.DUMMYFUNCTION("""COMPUTED_VALUE"""),1584.0)</f>
        <v>1584</v>
      </c>
      <c r="G595">
        <f>IFERROR(__xludf.DUMMYFUNCTION("""COMPUTED_VALUE"""),5000.0)</f>
        <v>5000</v>
      </c>
      <c r="H595" s="2">
        <f>IFERROR(__xludf.DUMMYFUNCTION("""COMPUTED_VALUE"""),1.0)</f>
        <v>1</v>
      </c>
      <c r="I595" s="2">
        <f>IFERROR(__xludf.DUMMYFUNCTION("""COMPUTED_VALUE"""),2.3)</f>
        <v>2.3</v>
      </c>
      <c r="J595" s="2">
        <f>IFERROR(__xludf.DUMMYFUNCTION("""COMPUTED_VALUE"""),1.2999999999999998)</f>
        <v>1.3</v>
      </c>
      <c r="K595" s="5">
        <f>IFERROR(__xludf.DUMMYFUNCTION("""COMPUTED_VALUE"""),1.2999999999999998)</f>
        <v>1.3</v>
      </c>
      <c r="L595">
        <f>IFERROR(__xludf.DUMMYFUNCTION("""COMPUTED_VALUE"""),12685.0)</f>
        <v>12685</v>
      </c>
      <c r="M595" t="str">
        <f>IFERROR(__xludf.DUMMYFUNCTION("""COMPUTED_VALUE"""),"Baby Product")</f>
        <v>Baby Product</v>
      </c>
      <c r="N595" t="str">
        <f>IFERROR(__xludf.DUMMYFUNCTION("""COMPUTED_VALUE"""),"5000")</f>
        <v>5000</v>
      </c>
      <c r="O595" t="str">
        <f>IFERROR(__xludf.DUMMYFUNCTION("""COMPUTED_VALUE"""),"Y")</f>
        <v>Y</v>
      </c>
      <c r="P595" s="1" t="str">
        <f>IFERROR(__xludf.DUMMYFUNCTION("""COMPUTED_VALUE"""),"ID 22125")</f>
        <v>ID 22125</v>
      </c>
      <c r="Q595" s="1" t="str">
        <f>IFERROR(__xludf.DUMMYFUNCTION("""COMPUTED_VALUE"""),"B000UVZVXA")</f>
        <v>B000UVZVXA</v>
      </c>
    </row>
    <row r="596">
      <c r="A596" s="6">
        <f>IFERROR(__xludf.DUMMYFUNCTION("""COMPUTED_VALUE"""),45351.0)</f>
        <v>45351</v>
      </c>
      <c r="B596">
        <f>IFERROR(__xludf.DUMMYFUNCTION("""COMPUTED_VALUE"""),22176.0)</f>
        <v>22176</v>
      </c>
      <c r="C596" t="str">
        <f>IFERROR(__xludf.DUMMYFUNCTION("""COMPUTED_VALUE"""),"Alliance Rubber 26545 Advantage Rubber Bands Size #54, 1 lb Box, Assorted Sizes (Natural Crepe)")</f>
        <v>Alliance Rubber 26545 Advantage Rubber Bands Size #54, 1 lb Box, Assorted Sizes (Natural Crepe)</v>
      </c>
      <c r="D596" t="str">
        <f>IFERROR(__xludf.DUMMYFUNCTION("""COMPUTED_VALUE"""),"B00006IBRV")</f>
        <v>B00006IBRV</v>
      </c>
      <c r="E596" t="str">
        <f>IFERROR(__xludf.DUMMYFUNCTION("""COMPUTED_VALUE"""),"071815265458")</f>
        <v>071815265458</v>
      </c>
      <c r="F596">
        <f>IFERROR(__xludf.DUMMYFUNCTION("""COMPUTED_VALUE"""),360.0)</f>
        <v>360</v>
      </c>
      <c r="G596">
        <f>IFERROR(__xludf.DUMMYFUNCTION("""COMPUTED_VALUE"""),10000.0)</f>
        <v>10000</v>
      </c>
      <c r="H596" s="2">
        <f>IFERROR(__xludf.DUMMYFUNCTION("""COMPUTED_VALUE"""),3.5)</f>
        <v>3.5</v>
      </c>
      <c r="I596" s="2">
        <f>IFERROR(__xludf.DUMMYFUNCTION("""COMPUTED_VALUE"""),4.8)</f>
        <v>4.8</v>
      </c>
      <c r="J596" s="2">
        <f>IFERROR(__xludf.DUMMYFUNCTION("""COMPUTED_VALUE"""),1.2999999999999998)</f>
        <v>1.3</v>
      </c>
      <c r="K596" s="5">
        <f>IFERROR(__xludf.DUMMYFUNCTION("""COMPUTED_VALUE"""),0.3714285714285714)</f>
        <v>0.3714285714</v>
      </c>
      <c r="L596">
        <f>IFERROR(__xludf.DUMMYFUNCTION("""COMPUTED_VALUE"""),1142.0)</f>
        <v>1142</v>
      </c>
      <c r="M596" t="str">
        <f>IFERROR(__xludf.DUMMYFUNCTION("""COMPUTED_VALUE"""),"Office Product")</f>
        <v>Office Product</v>
      </c>
      <c r="O596" t="str">
        <f>IFERROR(__xludf.DUMMYFUNCTION("""COMPUTED_VALUE"""),"Y")</f>
        <v>Y</v>
      </c>
      <c r="P596" s="1" t="str">
        <f>IFERROR(__xludf.DUMMYFUNCTION("""COMPUTED_VALUE"""),"ID 22176")</f>
        <v>ID 22176</v>
      </c>
      <c r="Q596" s="1" t="str">
        <f>IFERROR(__xludf.DUMMYFUNCTION("""COMPUTED_VALUE"""),"B00006IBRV")</f>
        <v>B00006IBRV</v>
      </c>
    </row>
    <row r="597">
      <c r="A597" s="6">
        <f>IFERROR(__xludf.DUMMYFUNCTION("""COMPUTED_VALUE"""),44781.0)</f>
        <v>44781</v>
      </c>
      <c r="B597">
        <f>IFERROR(__xludf.DUMMYFUNCTION("""COMPUTED_VALUE"""),22200.0)</f>
        <v>22200</v>
      </c>
      <c r="C597" t="str">
        <f>IFERROR(__xludf.DUMMYFUNCTION("""COMPUTED_VALUE"""),"Transformers Authentics Optimus Prime")</f>
        <v>Transformers Authentics Optimus Prime</v>
      </c>
      <c r="D597" t="str">
        <f>IFERROR(__xludf.DUMMYFUNCTION("""COMPUTED_VALUE"""),"B077QDYNDH")</f>
        <v>B077QDYNDH</v>
      </c>
      <c r="E597" t="str">
        <f>IFERROR(__xludf.DUMMYFUNCTION("""COMPUTED_VALUE"""),"630509635108")</f>
        <v>630509635108</v>
      </c>
      <c r="F597">
        <f>IFERROR(__xludf.DUMMYFUNCTION("""COMPUTED_VALUE"""),124.0)</f>
        <v>124</v>
      </c>
      <c r="G597">
        <f>IFERROR(__xludf.DUMMYFUNCTION("""COMPUTED_VALUE"""),658.0)</f>
        <v>658</v>
      </c>
      <c r="H597" s="2">
        <f>IFERROR(__xludf.DUMMYFUNCTION("""COMPUTED_VALUE"""),9.75)</f>
        <v>9.75</v>
      </c>
      <c r="I597" s="2">
        <f>IFERROR(__xludf.DUMMYFUNCTION("""COMPUTED_VALUE"""),11.05)</f>
        <v>11.05</v>
      </c>
      <c r="J597" s="2">
        <f>IFERROR(__xludf.DUMMYFUNCTION("""COMPUTED_VALUE"""),1.3000000000000007)</f>
        <v>1.3</v>
      </c>
      <c r="K597" s="5">
        <f>IFERROR(__xludf.DUMMYFUNCTION("""COMPUTED_VALUE"""),0.13333333333333341)</f>
        <v>0.1333333333</v>
      </c>
      <c r="L597">
        <f>IFERROR(__xludf.DUMMYFUNCTION("""COMPUTED_VALUE"""),90835.0)</f>
        <v>90835</v>
      </c>
      <c r="M597" t="str">
        <f>IFERROR(__xludf.DUMMYFUNCTION("""COMPUTED_VALUE"""),"Toy")</f>
        <v>Toy</v>
      </c>
      <c r="O597" t="str">
        <f>IFERROR(__xludf.DUMMYFUNCTION("""COMPUTED_VALUE"""),"N")</f>
        <v>N</v>
      </c>
      <c r="P597" s="1" t="str">
        <f>IFERROR(__xludf.DUMMYFUNCTION("""COMPUTED_VALUE"""),"ID 22200")</f>
        <v>ID 22200</v>
      </c>
      <c r="Q597" s="1" t="str">
        <f>IFERROR(__xludf.DUMMYFUNCTION("""COMPUTED_VALUE"""),"B077QDYNDH")</f>
        <v>B077QDYNDH</v>
      </c>
    </row>
    <row r="598">
      <c r="A598" s="6">
        <f>IFERROR(__xludf.DUMMYFUNCTION("""COMPUTED_VALUE"""),45169.0)</f>
        <v>45169</v>
      </c>
      <c r="B598">
        <f>IFERROR(__xludf.DUMMYFUNCTION("""COMPUTED_VALUE"""),23724.0)</f>
        <v>23724</v>
      </c>
      <c r="C598" t="str">
        <f>IFERROR(__xludf.DUMMYFUNCTION("""COMPUTED_VALUE"""),"Almay Lip Vibes, Believe, 0.14 Ounce, cream lipstick")</f>
        <v>Almay Lip Vibes, Believe, 0.14 Ounce, cream lipstick</v>
      </c>
      <c r="D598" t="str">
        <f>IFERROR(__xludf.DUMMYFUNCTION("""COMPUTED_VALUE"""),"B07H49G7PC")</f>
        <v>B07H49G7PC</v>
      </c>
      <c r="E598" t="str">
        <f>IFERROR(__xludf.DUMMYFUNCTION("""COMPUTED_VALUE"""),"309978337195")</f>
        <v>309978337195</v>
      </c>
      <c r="F598">
        <f>IFERROR(__xludf.DUMMYFUNCTION("""COMPUTED_VALUE"""),648.0)</f>
        <v>648</v>
      </c>
      <c r="G598">
        <f>IFERROR(__xludf.DUMMYFUNCTION("""COMPUTED_VALUE"""),2592.0)</f>
        <v>2592</v>
      </c>
      <c r="H598" s="2">
        <f>IFERROR(__xludf.DUMMYFUNCTION("""COMPUTED_VALUE"""),2.0)</f>
        <v>2</v>
      </c>
      <c r="I598" s="2">
        <f>IFERROR(__xludf.DUMMYFUNCTION("""COMPUTED_VALUE"""),3.3)</f>
        <v>3.3</v>
      </c>
      <c r="J598" s="2">
        <f>IFERROR(__xludf.DUMMYFUNCTION("""COMPUTED_VALUE"""),1.2999999999999998)</f>
        <v>1.3</v>
      </c>
      <c r="K598" s="5">
        <f>IFERROR(__xludf.DUMMYFUNCTION("""COMPUTED_VALUE"""),0.6499999999999999)</f>
        <v>0.65</v>
      </c>
      <c r="L598">
        <f>IFERROR(__xludf.DUMMYFUNCTION("""COMPUTED_VALUE"""),12288.0)</f>
        <v>12288</v>
      </c>
      <c r="M598" t="str">
        <f>IFERROR(__xludf.DUMMYFUNCTION("""COMPUTED_VALUE"""),"Beauty")</f>
        <v>Beauty</v>
      </c>
      <c r="O598" t="str">
        <f>IFERROR(__xludf.DUMMYFUNCTION("""COMPUTED_VALUE"""),"N")</f>
        <v>N</v>
      </c>
      <c r="P598" s="1" t="str">
        <f>IFERROR(__xludf.DUMMYFUNCTION("""COMPUTED_VALUE"""),"ID 23724")</f>
        <v>ID 23724</v>
      </c>
      <c r="Q598" s="1" t="str">
        <f>IFERROR(__xludf.DUMMYFUNCTION("""COMPUTED_VALUE"""),"B07H49G7PC")</f>
        <v>B07H49G7PC</v>
      </c>
    </row>
    <row r="599">
      <c r="A599" s="6">
        <f>IFERROR(__xludf.DUMMYFUNCTION("""COMPUTED_VALUE"""),45376.0)</f>
        <v>45376</v>
      </c>
      <c r="B599">
        <f>IFERROR(__xludf.DUMMYFUNCTION("""COMPUTED_VALUE"""),25863.0)</f>
        <v>25863</v>
      </c>
      <c r="C599" t="str">
        <f>IFERROR(__xludf.DUMMYFUNCTION("""COMPUTED_VALUE"""),"Prang Ready-to-Use Liquid Tempera Paint, 16-Ounce Bottle, Red (21601)")</f>
        <v>Prang Ready-to-Use Liquid Tempera Paint, 16-Ounce Bottle, Red (21601)</v>
      </c>
      <c r="D599" t="str">
        <f>IFERROR(__xludf.DUMMYFUNCTION("""COMPUTED_VALUE"""),"B001E668K0")</f>
        <v>B001E668K0</v>
      </c>
      <c r="E599" t="str">
        <f>IFERROR(__xludf.DUMMYFUNCTION("""COMPUTED_VALUE"""),"072067216014")</f>
        <v>072067216014</v>
      </c>
      <c r="F599">
        <f>IFERROR(__xludf.DUMMYFUNCTION("""COMPUTED_VALUE"""),1380.0)</f>
        <v>1380</v>
      </c>
      <c r="G599">
        <f>IFERROR(__xludf.DUMMYFUNCTION("""COMPUTED_VALUE"""),10000.0)</f>
        <v>10000</v>
      </c>
      <c r="H599" s="2">
        <f>IFERROR(__xludf.DUMMYFUNCTION("""COMPUTED_VALUE"""),2.75)</f>
        <v>2.75</v>
      </c>
      <c r="I599" s="2">
        <f>IFERROR(__xludf.DUMMYFUNCTION("""COMPUTED_VALUE"""),4.05)</f>
        <v>4.05</v>
      </c>
      <c r="J599" s="2">
        <f>IFERROR(__xludf.DUMMYFUNCTION("""COMPUTED_VALUE"""),1.2999999999999998)</f>
        <v>1.3</v>
      </c>
      <c r="K599" s="5">
        <f>IFERROR(__xludf.DUMMYFUNCTION("""COMPUTED_VALUE"""),0.47272727272727266)</f>
        <v>0.4727272727</v>
      </c>
      <c r="L599">
        <f>IFERROR(__xludf.DUMMYFUNCTION("""COMPUTED_VALUE"""),18448.0)</f>
        <v>18448</v>
      </c>
      <c r="M599" t="str">
        <f>IFERROR(__xludf.DUMMYFUNCTION("""COMPUTED_VALUE"""),"Office Product")</f>
        <v>Office Product</v>
      </c>
      <c r="O599" t="str">
        <f>IFERROR(__xludf.DUMMYFUNCTION("""COMPUTED_VALUE"""),"N")</f>
        <v>N</v>
      </c>
      <c r="P599" s="1" t="str">
        <f>IFERROR(__xludf.DUMMYFUNCTION("""COMPUTED_VALUE"""),"ID 25863")</f>
        <v>ID 25863</v>
      </c>
      <c r="Q599" s="1" t="str">
        <f>IFERROR(__xludf.DUMMYFUNCTION("""COMPUTED_VALUE"""),"B001E668K0")</f>
        <v>B001E668K0</v>
      </c>
    </row>
    <row r="600">
      <c r="A600" s="6">
        <f>IFERROR(__xludf.DUMMYFUNCTION("""COMPUTED_VALUE"""),45362.0)</f>
        <v>45362</v>
      </c>
      <c r="B600">
        <f>IFERROR(__xludf.DUMMYFUNCTION("""COMPUTED_VALUE"""),19701.0)</f>
        <v>19701</v>
      </c>
      <c r="C600" t="str">
        <f>IFERROR(__xludf.DUMMYFUNCTION("""COMPUTED_VALUE"""),"Pentel Arts Aquash Fine Point Water Brush, Large (FRHBBP)")</f>
        <v>Pentel Arts Aquash Fine Point Water Brush, Large (FRHBBP)</v>
      </c>
      <c r="D600" t="str">
        <f>IFERROR(__xludf.DUMMYFUNCTION("""COMPUTED_VALUE"""),"B002LG0YSO")</f>
        <v>B002LG0YSO</v>
      </c>
      <c r="E600" t="str">
        <f>IFERROR(__xludf.DUMMYFUNCTION("""COMPUTED_VALUE"""),"072512236376")</f>
        <v>072512236376</v>
      </c>
      <c r="F600">
        <f>IFERROR(__xludf.DUMMYFUNCTION("""COMPUTED_VALUE"""),432.0)</f>
        <v>432</v>
      </c>
      <c r="G600">
        <f>IFERROR(__xludf.DUMMYFUNCTION("""COMPUTED_VALUE"""),10000.0)</f>
        <v>10000</v>
      </c>
      <c r="H600" s="2">
        <f>IFERROR(__xludf.DUMMYFUNCTION("""COMPUTED_VALUE"""),4.25)</f>
        <v>4.25</v>
      </c>
      <c r="I600" s="2">
        <f>IFERROR(__xludf.DUMMYFUNCTION("""COMPUTED_VALUE"""),5.54)</f>
        <v>5.54</v>
      </c>
      <c r="J600" s="2">
        <f>IFERROR(__xludf.DUMMYFUNCTION("""COMPUTED_VALUE"""),1.29)</f>
        <v>1.29</v>
      </c>
      <c r="K600" s="5">
        <f>IFERROR(__xludf.DUMMYFUNCTION("""COMPUTED_VALUE"""),0.3035294117647059)</f>
        <v>0.3035294118</v>
      </c>
      <c r="L600">
        <f>IFERROR(__xludf.DUMMYFUNCTION("""COMPUTED_VALUE"""),8841.0)</f>
        <v>8841</v>
      </c>
      <c r="M600" t="str">
        <f>IFERROR(__xludf.DUMMYFUNCTION("""COMPUTED_VALUE"""),"Office Product")</f>
        <v>Office Product</v>
      </c>
      <c r="O600" t="str">
        <f>IFERROR(__xludf.DUMMYFUNCTION("""COMPUTED_VALUE"""),"Y")</f>
        <v>Y</v>
      </c>
      <c r="P600" s="1" t="str">
        <f>IFERROR(__xludf.DUMMYFUNCTION("""COMPUTED_VALUE"""),"ID 19701")</f>
        <v>ID 19701</v>
      </c>
      <c r="Q600" s="1" t="str">
        <f>IFERROR(__xludf.DUMMYFUNCTION("""COMPUTED_VALUE"""),"B002LG0YSO")</f>
        <v>B002LG0YSO</v>
      </c>
    </row>
    <row r="601">
      <c r="A601" s="6">
        <f>IFERROR(__xludf.DUMMYFUNCTION("""COMPUTED_VALUE"""),45113.0)</f>
        <v>45113</v>
      </c>
      <c r="B601">
        <f>IFERROR(__xludf.DUMMYFUNCTION("""COMPUTED_VALUE"""),24663.0)</f>
        <v>24663</v>
      </c>
      <c r="C601" t="str">
        <f>IFERROR(__xludf.DUMMYFUNCTION("""COMPUTED_VALUE"""),"Sharpie Twin Tip Fine Point and Ultra Fine Point Permanent Markers")</f>
        <v>Sharpie Twin Tip Fine Point and Ultra Fine Point Permanent Markers</v>
      </c>
      <c r="D601" t="str">
        <f>IFERROR(__xludf.DUMMYFUNCTION("""COMPUTED_VALUE"""),"B0017YP1DY")</f>
        <v>B0017YP1DY</v>
      </c>
      <c r="E601" t="str">
        <f>IFERROR(__xludf.DUMMYFUNCTION("""COMPUTED_VALUE"""),"71641320017")</f>
        <v>71641320017</v>
      </c>
      <c r="F601">
        <f>IFERROR(__xludf.DUMMYFUNCTION("""COMPUTED_VALUE"""),2016.0)</f>
        <v>2016</v>
      </c>
      <c r="G601">
        <f>IFERROR(__xludf.DUMMYFUNCTION("""COMPUTED_VALUE"""),10000.0)</f>
        <v>10000</v>
      </c>
      <c r="H601" s="2">
        <f>IFERROR(__xludf.DUMMYFUNCTION("""COMPUTED_VALUE"""),1.5)</f>
        <v>1.5</v>
      </c>
      <c r="I601" s="2">
        <f>IFERROR(__xludf.DUMMYFUNCTION("""COMPUTED_VALUE"""),2.79)</f>
        <v>2.79</v>
      </c>
      <c r="J601" s="2">
        <f>IFERROR(__xludf.DUMMYFUNCTION("""COMPUTED_VALUE"""),1.29)</f>
        <v>1.29</v>
      </c>
      <c r="K601" s="5">
        <f>IFERROR(__xludf.DUMMYFUNCTION("""COMPUTED_VALUE"""),0.86)</f>
        <v>0.86</v>
      </c>
      <c r="L601">
        <f>IFERROR(__xludf.DUMMYFUNCTION("""COMPUTED_VALUE"""),22594.0)</f>
        <v>22594</v>
      </c>
      <c r="M601" t="str">
        <f>IFERROR(__xludf.DUMMYFUNCTION("""COMPUTED_VALUE"""),"Office Product")</f>
        <v>Office Product</v>
      </c>
      <c r="O601" t="str">
        <f>IFERROR(__xludf.DUMMYFUNCTION("""COMPUTED_VALUE"""),"N")</f>
        <v>N</v>
      </c>
      <c r="P601" s="1" t="str">
        <f>IFERROR(__xludf.DUMMYFUNCTION("""COMPUTED_VALUE"""),"ID 24663")</f>
        <v>ID 24663</v>
      </c>
      <c r="Q601" s="1" t="str">
        <f>IFERROR(__xludf.DUMMYFUNCTION("""COMPUTED_VALUE"""),"B0017YP1DY")</f>
        <v>B0017YP1DY</v>
      </c>
    </row>
    <row r="602">
      <c r="A602" s="6">
        <f>IFERROR(__xludf.DUMMYFUNCTION("""COMPUTED_VALUE"""),44769.0)</f>
        <v>44769</v>
      </c>
      <c r="B602">
        <f>IFERROR(__xludf.DUMMYFUNCTION("""COMPUTED_VALUE"""),7893.0)</f>
        <v>7893</v>
      </c>
      <c r="C602" t="str">
        <f>IFERROR(__xludf.DUMMYFUNCTION("""COMPUTED_VALUE"""),"Mancora")</f>
        <v>Mancora</v>
      </c>
      <c r="D602" t="str">
        <f>IFERROR(__xludf.DUMMYFUNCTION("""COMPUTED_VALUE"""),"B001R4XRLC")</f>
        <v>B001R4XRLC</v>
      </c>
      <c r="E602" t="str">
        <f>IFERROR(__xludf.DUMMYFUNCTION("""COMPUTED_VALUE"""),"812034010814")</f>
        <v>812034010814</v>
      </c>
      <c r="F602">
        <f>IFERROR(__xludf.DUMMYFUNCTION("""COMPUTED_VALUE"""),660.0)</f>
        <v>660</v>
      </c>
      <c r="G602">
        <f>IFERROR(__xludf.DUMMYFUNCTION("""COMPUTED_VALUE"""),622.0)</f>
        <v>622</v>
      </c>
      <c r="H602" s="2">
        <f>IFERROR(__xludf.DUMMYFUNCTION("""COMPUTED_VALUE"""),3.0)</f>
        <v>3</v>
      </c>
      <c r="I602" s="2">
        <f>IFERROR(__xludf.DUMMYFUNCTION("""COMPUTED_VALUE"""),4.28)</f>
        <v>4.28</v>
      </c>
      <c r="J602" s="2">
        <f>IFERROR(__xludf.DUMMYFUNCTION("""COMPUTED_VALUE"""),1.2800000000000002)</f>
        <v>1.28</v>
      </c>
      <c r="K602" s="5">
        <f>IFERROR(__xludf.DUMMYFUNCTION("""COMPUTED_VALUE"""),0.42666666666666675)</f>
        <v>0.4266666667</v>
      </c>
      <c r="L602">
        <f>IFERROR(__xludf.DUMMYFUNCTION("""COMPUTED_VALUE"""),93776.0)</f>
        <v>93776</v>
      </c>
      <c r="M602" t="str">
        <f>IFERROR(__xludf.DUMMYFUNCTION("""COMPUTED_VALUE"""),"DVD")</f>
        <v>DVD</v>
      </c>
      <c r="O602" t="str">
        <f>IFERROR(__xludf.DUMMYFUNCTION("""COMPUTED_VALUE"""),"N")</f>
        <v>N</v>
      </c>
      <c r="P602" s="1" t="str">
        <f>IFERROR(__xludf.DUMMYFUNCTION("""COMPUTED_VALUE"""),"ID 7893")</f>
        <v>ID 7893</v>
      </c>
      <c r="Q602" s="1" t="str">
        <f>IFERROR(__xludf.DUMMYFUNCTION("""COMPUTED_VALUE"""),"B001R4XRLC")</f>
        <v>B001R4XRLC</v>
      </c>
    </row>
    <row r="603">
      <c r="A603" s="6">
        <f>IFERROR(__xludf.DUMMYFUNCTION("""COMPUTED_VALUE"""),43844.0)</f>
        <v>43844</v>
      </c>
      <c r="B603">
        <f>IFERROR(__xludf.DUMMYFUNCTION("""COMPUTED_VALUE"""),11547.0)</f>
        <v>11547</v>
      </c>
      <c r="C603" t="str">
        <f>IFERROR(__xludf.DUMMYFUNCTION("""COMPUTED_VALUE"""),"Milani Color Statement Lipstick - Milani Color Statement Lipstick - Pretty Natural, Cruelty-Free Nourishing Lip Stick in VPretty Natural (0.14 Ounce) Cruelty-Free Nourishing Lipstick in Vibrant Shades")</f>
        <v>Milani Color Statement Lipstick - Milani Color Statement Lipstick - Pretty Natural, Cruelty-Free Nourishing Lip Stick in VPretty Natural (0.14 Ounce) Cruelty-Free Nourishing Lipstick in Vibrant Shades</v>
      </c>
      <c r="D603" t="str">
        <f>IFERROR(__xludf.DUMMYFUNCTION("""COMPUTED_VALUE"""),"B00KQODZUM")</f>
        <v>B00KQODZUM</v>
      </c>
      <c r="E603" t="str">
        <f>IFERROR(__xludf.DUMMYFUNCTION("""COMPUTED_VALUE"""),"717489740432")</f>
        <v>717489740432</v>
      </c>
      <c r="F603">
        <f>IFERROR(__xludf.DUMMYFUNCTION("""COMPUTED_VALUE"""),366.0)</f>
        <v>366</v>
      </c>
      <c r="G603">
        <f>IFERROR(__xludf.DUMMYFUNCTION("""COMPUTED_VALUE"""),4000.0)</f>
        <v>4000</v>
      </c>
      <c r="H603" s="2">
        <f>IFERROR(__xludf.DUMMYFUNCTION("""COMPUTED_VALUE"""),5.0)</f>
        <v>5</v>
      </c>
      <c r="I603" s="2">
        <f>IFERROR(__xludf.DUMMYFUNCTION("""COMPUTED_VALUE"""),6.28)</f>
        <v>6.28</v>
      </c>
      <c r="J603" s="2">
        <f>IFERROR(__xludf.DUMMYFUNCTION("""COMPUTED_VALUE"""),1.2800000000000002)</f>
        <v>1.28</v>
      </c>
      <c r="K603" s="5">
        <f>IFERROR(__xludf.DUMMYFUNCTION("""COMPUTED_VALUE"""),0.25600000000000006)</f>
        <v>0.256</v>
      </c>
      <c r="L603">
        <f>IFERROR(__xludf.DUMMYFUNCTION("""COMPUTED_VALUE"""),12642.0)</f>
        <v>12642</v>
      </c>
      <c r="M603" t="str">
        <f>IFERROR(__xludf.DUMMYFUNCTION("""COMPUTED_VALUE"""),"Beauty")</f>
        <v>Beauty</v>
      </c>
      <c r="O603" t="str">
        <f>IFERROR(__xludf.DUMMYFUNCTION("""COMPUTED_VALUE"""),"N")</f>
        <v>N</v>
      </c>
      <c r="P603" s="1" t="str">
        <f>IFERROR(__xludf.DUMMYFUNCTION("""COMPUTED_VALUE"""),"ID 11547")</f>
        <v>ID 11547</v>
      </c>
      <c r="Q603" s="1" t="str">
        <f>IFERROR(__xludf.DUMMYFUNCTION("""COMPUTED_VALUE"""),"B00KQODZUM")</f>
        <v>B00KQODZUM</v>
      </c>
    </row>
    <row r="604">
      <c r="A604" s="6">
        <f>IFERROR(__xludf.DUMMYFUNCTION("""COMPUTED_VALUE"""),45273.0)</f>
        <v>45273</v>
      </c>
      <c r="B604">
        <f>IFERROR(__xludf.DUMMYFUNCTION("""COMPUTED_VALUE"""),16123.0)</f>
        <v>16123</v>
      </c>
      <c r="C604" t="str">
        <f>IFERROR(__xludf.DUMMYFUNCTION("""COMPUTED_VALUE"""),"Elmer's E7310 Carpenter's Wood Glue Max, Interior/Exterior, 16 Ounces")</f>
        <v>Elmer's E7310 Carpenter's Wood Glue Max, Interior/Exterior, 16 Ounces</v>
      </c>
      <c r="D604" t="str">
        <f>IFERROR(__xludf.DUMMYFUNCTION("""COMPUTED_VALUE"""),"B0045PXPH6")</f>
        <v>B0045PXPH6</v>
      </c>
      <c r="E604" t="str">
        <f>IFERROR(__xludf.DUMMYFUNCTION("""COMPUTED_VALUE"""),"026000073103")</f>
        <v>026000073103</v>
      </c>
      <c r="F604">
        <f>IFERROR(__xludf.DUMMYFUNCTION("""COMPUTED_VALUE"""),636.0)</f>
        <v>636</v>
      </c>
      <c r="G604">
        <f>IFERROR(__xludf.DUMMYFUNCTION("""COMPUTED_VALUE"""),10000.0)</f>
        <v>10000</v>
      </c>
      <c r="H604" s="2">
        <f>IFERROR(__xludf.DUMMYFUNCTION("""COMPUTED_VALUE"""),4.75)</f>
        <v>4.75</v>
      </c>
      <c r="I604" s="2">
        <f>IFERROR(__xludf.DUMMYFUNCTION("""COMPUTED_VALUE"""),6.03)</f>
        <v>6.03</v>
      </c>
      <c r="J604" s="2">
        <f>IFERROR(__xludf.DUMMYFUNCTION("""COMPUTED_VALUE"""),1.2800000000000002)</f>
        <v>1.28</v>
      </c>
      <c r="K604" s="5">
        <f>IFERROR(__xludf.DUMMYFUNCTION("""COMPUTED_VALUE"""),0.26947368421052637)</f>
        <v>0.2694736842</v>
      </c>
      <c r="L604">
        <f>IFERROR(__xludf.DUMMYFUNCTION("""COMPUTED_VALUE"""),71875.0)</f>
        <v>71875</v>
      </c>
      <c r="M604" t="str">
        <f>IFERROR(__xludf.DUMMYFUNCTION("""COMPUTED_VALUE"""),"Home Improvement")</f>
        <v>Home Improvement</v>
      </c>
      <c r="O604" t="str">
        <f>IFERROR(__xludf.DUMMYFUNCTION("""COMPUTED_VALUE"""),"N")</f>
        <v>N</v>
      </c>
      <c r="P604" s="1" t="str">
        <f>IFERROR(__xludf.DUMMYFUNCTION("""COMPUTED_VALUE"""),"ID 16123")</f>
        <v>ID 16123</v>
      </c>
      <c r="Q604" s="1" t="str">
        <f>IFERROR(__xludf.DUMMYFUNCTION("""COMPUTED_VALUE"""),"B0045PXPH6")</f>
        <v>B0045PXPH6</v>
      </c>
    </row>
    <row r="605">
      <c r="A605" s="6">
        <f>IFERROR(__xludf.DUMMYFUNCTION("""COMPUTED_VALUE"""),45429.0)</f>
        <v>45429</v>
      </c>
      <c r="B605">
        <f>IFERROR(__xludf.DUMMYFUNCTION("""COMPUTED_VALUE"""),11098.0)</f>
        <v>11098</v>
      </c>
      <c r="C605" t="str">
        <f>IFERROR(__xludf.DUMMYFUNCTION("""COMPUTED_VALUE"""),"Halston By Halston For Women. Cologne Spray 1.7 Ounces")</f>
        <v>Halston By Halston For Women. Cologne Spray 1.7 Ounces</v>
      </c>
      <c r="D605" t="str">
        <f>IFERROR(__xludf.DUMMYFUNCTION("""COMPUTED_VALUE"""),"B0009OAIJK")</f>
        <v>B0009OAIJK</v>
      </c>
      <c r="E605" t="str">
        <f>IFERROR(__xludf.DUMMYFUNCTION("""COMPUTED_VALUE"""),"0719346020473")</f>
        <v>0719346020473</v>
      </c>
      <c r="F605">
        <f>IFERROR(__xludf.DUMMYFUNCTION("""COMPUTED_VALUE"""),140.0)</f>
        <v>140</v>
      </c>
      <c r="G605">
        <f>IFERROR(__xludf.DUMMYFUNCTION("""COMPUTED_VALUE"""),10000.0)</f>
        <v>10000</v>
      </c>
      <c r="H605" s="2">
        <f>IFERROR(__xludf.DUMMYFUNCTION("""COMPUTED_VALUE"""),9.0)</f>
        <v>9</v>
      </c>
      <c r="I605" s="2">
        <f>IFERROR(__xludf.DUMMYFUNCTION("""COMPUTED_VALUE"""),10.28)</f>
        <v>10.28</v>
      </c>
      <c r="J605" s="2">
        <f>IFERROR(__xludf.DUMMYFUNCTION("""COMPUTED_VALUE"""),1.2799999999999994)</f>
        <v>1.28</v>
      </c>
      <c r="K605" s="5">
        <f>IFERROR(__xludf.DUMMYFUNCTION("""COMPUTED_VALUE"""),0.14222222222222214)</f>
        <v>0.1422222222</v>
      </c>
      <c r="L605">
        <f>IFERROR(__xludf.DUMMYFUNCTION("""COMPUTED_VALUE"""),34385.0)</f>
        <v>34385</v>
      </c>
      <c r="M605" t="str">
        <f>IFERROR(__xludf.DUMMYFUNCTION("""COMPUTED_VALUE"""),"Beauty")</f>
        <v>Beauty</v>
      </c>
      <c r="O605" t="str">
        <f>IFERROR(__xludf.DUMMYFUNCTION("""COMPUTED_VALUE"""),"N")</f>
        <v>N</v>
      </c>
      <c r="P605" s="1" t="str">
        <f>IFERROR(__xludf.DUMMYFUNCTION("""COMPUTED_VALUE"""),"ID 11098")</f>
        <v>ID 11098</v>
      </c>
      <c r="Q605" s="1" t="str">
        <f>IFERROR(__xludf.DUMMYFUNCTION("""COMPUTED_VALUE"""),"B0009OAIJK")</f>
        <v>B0009OAIJK</v>
      </c>
    </row>
    <row r="606">
      <c r="A606" s="6">
        <f>IFERROR(__xludf.DUMMYFUNCTION("""COMPUTED_VALUE"""),45390.0)</f>
        <v>45390</v>
      </c>
      <c r="B606">
        <f>IFERROR(__xludf.DUMMYFUNCTION("""COMPUTED_VALUE"""),4205.0)</f>
        <v>4205</v>
      </c>
      <c r="C606" t="str">
        <f>IFERROR(__xludf.DUMMYFUNCTION("""COMPUTED_VALUE"""),"Chef Craft Cheese Slicer")</f>
        <v>Chef Craft Cheese Slicer</v>
      </c>
      <c r="D606" t="str">
        <f>IFERROR(__xludf.DUMMYFUNCTION("""COMPUTED_VALUE"""),"B000KKK6R2")</f>
        <v>B000KKK6R2</v>
      </c>
      <c r="E606" t="str">
        <f>IFERROR(__xludf.DUMMYFUNCTION("""COMPUTED_VALUE"""),"085455207808")</f>
        <v>085455207808</v>
      </c>
      <c r="F606">
        <f>IFERROR(__xludf.DUMMYFUNCTION("""COMPUTED_VALUE"""),1008.0)</f>
        <v>1008</v>
      </c>
      <c r="G606">
        <f>IFERROR(__xludf.DUMMYFUNCTION("""COMPUTED_VALUE"""),10000.0)</f>
        <v>10000</v>
      </c>
      <c r="H606" s="2">
        <f>IFERROR(__xludf.DUMMYFUNCTION("""COMPUTED_VALUE"""),1.25)</f>
        <v>1.25</v>
      </c>
      <c r="I606" s="2">
        <f>IFERROR(__xludf.DUMMYFUNCTION("""COMPUTED_VALUE"""),2.52)</f>
        <v>2.52</v>
      </c>
      <c r="J606" s="2">
        <f>IFERROR(__xludf.DUMMYFUNCTION("""COMPUTED_VALUE"""),1.27)</f>
        <v>1.27</v>
      </c>
      <c r="K606" s="5">
        <f>IFERROR(__xludf.DUMMYFUNCTION("""COMPUTED_VALUE"""),1.016)</f>
        <v>1.016</v>
      </c>
      <c r="L606">
        <f>IFERROR(__xludf.DUMMYFUNCTION("""COMPUTED_VALUE"""),55759.0)</f>
        <v>55759</v>
      </c>
      <c r="M606" t="str">
        <f>IFERROR(__xludf.DUMMYFUNCTION("""COMPUTED_VALUE"""),"Kitchen")</f>
        <v>Kitchen</v>
      </c>
      <c r="O606" t="str">
        <f>IFERROR(__xludf.DUMMYFUNCTION("""COMPUTED_VALUE"""),"Y")</f>
        <v>Y</v>
      </c>
      <c r="P606" s="1" t="str">
        <f>IFERROR(__xludf.DUMMYFUNCTION("""COMPUTED_VALUE"""),"ID 4205")</f>
        <v>ID 4205</v>
      </c>
      <c r="Q606" s="1" t="str">
        <f>IFERROR(__xludf.DUMMYFUNCTION("""COMPUTED_VALUE"""),"B000KKK6R2")</f>
        <v>B000KKK6R2</v>
      </c>
    </row>
    <row r="607">
      <c r="A607" s="6">
        <f>IFERROR(__xludf.DUMMYFUNCTION("""COMPUTED_VALUE"""),45383.0)</f>
        <v>45383</v>
      </c>
      <c r="B607">
        <f>IFERROR(__xludf.DUMMYFUNCTION("""COMPUTED_VALUE"""),24155.0)</f>
        <v>24155</v>
      </c>
      <c r="C607" t="str">
        <f>IFERROR(__xludf.DUMMYFUNCTION("""COMPUTED_VALUE"""),"uni-ball Jetstream RT Ballpoint Pen Refills, Bold Point (1.0mm), Blue, 2 Count")</f>
        <v>uni-ball Jetstream RT Ballpoint Pen Refills, Bold Point (1.0mm), Blue, 2 Count</v>
      </c>
      <c r="D607" t="str">
        <f>IFERROR(__xludf.DUMMYFUNCTION("""COMPUTED_VALUE"""),"B000VXEWNW")</f>
        <v>B000VXEWNW</v>
      </c>
      <c r="E607" t="str">
        <f>IFERROR(__xludf.DUMMYFUNCTION("""COMPUTED_VALUE"""),"030246359730")</f>
        <v>030246359730</v>
      </c>
      <c r="F607">
        <f>IFERROR(__xludf.DUMMYFUNCTION("""COMPUTED_VALUE"""),528.0)</f>
        <v>528</v>
      </c>
      <c r="G607">
        <f>IFERROR(__xludf.DUMMYFUNCTION("""COMPUTED_VALUE"""),10000.0)</f>
        <v>10000</v>
      </c>
      <c r="H607" s="2">
        <f>IFERROR(__xludf.DUMMYFUNCTION("""COMPUTED_VALUE"""),2.5)</f>
        <v>2.5</v>
      </c>
      <c r="I607" s="2">
        <f>IFERROR(__xludf.DUMMYFUNCTION("""COMPUTED_VALUE"""),3.77)</f>
        <v>3.77</v>
      </c>
      <c r="J607" s="2">
        <f>IFERROR(__xludf.DUMMYFUNCTION("""COMPUTED_VALUE"""),1.27)</f>
        <v>1.27</v>
      </c>
      <c r="K607" s="5">
        <f>IFERROR(__xludf.DUMMYFUNCTION("""COMPUTED_VALUE"""),0.508)</f>
        <v>0.508</v>
      </c>
      <c r="L607">
        <f>IFERROR(__xludf.DUMMYFUNCTION("""COMPUTED_VALUE"""),44693.0)</f>
        <v>44693</v>
      </c>
      <c r="M607" t="str">
        <f>IFERROR(__xludf.DUMMYFUNCTION("""COMPUTED_VALUE"""),"Home")</f>
        <v>Home</v>
      </c>
      <c r="O607" t="str">
        <f>IFERROR(__xludf.DUMMYFUNCTION("""COMPUTED_VALUE"""),"Y")</f>
        <v>Y</v>
      </c>
      <c r="P607" s="1" t="str">
        <f>IFERROR(__xludf.DUMMYFUNCTION("""COMPUTED_VALUE"""),"ID 24155")</f>
        <v>ID 24155</v>
      </c>
      <c r="Q607" s="1" t="str">
        <f>IFERROR(__xludf.DUMMYFUNCTION("""COMPUTED_VALUE"""),"B000VXEWNW")</f>
        <v>B000VXEWNW</v>
      </c>
    </row>
    <row r="608">
      <c r="A608" s="6">
        <f>IFERROR(__xludf.DUMMYFUNCTION("""COMPUTED_VALUE"""),45425.0)</f>
        <v>45425</v>
      </c>
      <c r="B608">
        <f>IFERROR(__xludf.DUMMYFUNCTION("""COMPUTED_VALUE"""),17559.0)</f>
        <v>17559</v>
      </c>
      <c r="C608" t="str">
        <f>IFERROR(__xludf.DUMMYFUNCTION("""COMPUTED_VALUE"""),"Dove Sensitive Skin Bath Bars Unscented - 6 CT")</f>
        <v>Dove Sensitive Skin Bath Bars Unscented - 6 CT</v>
      </c>
      <c r="D608" t="str">
        <f>IFERROR(__xludf.DUMMYFUNCTION("""COMPUTED_VALUE"""),"B00H3T5LL4")</f>
        <v>B00H3T5LL4</v>
      </c>
      <c r="E608" t="str">
        <f>IFERROR(__xludf.DUMMYFUNCTION("""COMPUTED_VALUE"""),"011111611641")</f>
        <v>011111611641</v>
      </c>
      <c r="F608">
        <f>IFERROR(__xludf.DUMMYFUNCTION("""COMPUTED_VALUE"""),288.0)</f>
        <v>288</v>
      </c>
      <c r="G608">
        <f>IFERROR(__xludf.DUMMYFUNCTION("""COMPUTED_VALUE"""),5568.0)</f>
        <v>5568</v>
      </c>
      <c r="H608" s="2">
        <f>IFERROR(__xludf.DUMMYFUNCTION("""COMPUTED_VALUE"""),6.5)</f>
        <v>6.5</v>
      </c>
      <c r="I608" s="2">
        <f>IFERROR(__xludf.DUMMYFUNCTION("""COMPUTED_VALUE"""),7.76)</f>
        <v>7.76</v>
      </c>
      <c r="J608" s="2">
        <f>IFERROR(__xludf.DUMMYFUNCTION("""COMPUTED_VALUE"""),1.2599999999999998)</f>
        <v>1.26</v>
      </c>
      <c r="K608" s="5">
        <f>IFERROR(__xludf.DUMMYFUNCTION("""COMPUTED_VALUE"""),0.1938461538461538)</f>
        <v>0.1938461538</v>
      </c>
      <c r="L608">
        <f>IFERROR(__xludf.DUMMYFUNCTION("""COMPUTED_VALUE"""),69.0)</f>
        <v>69</v>
      </c>
      <c r="M608" t="str">
        <f>IFERROR(__xludf.DUMMYFUNCTION("""COMPUTED_VALUE"""),"Grocery")</f>
        <v>Grocery</v>
      </c>
      <c r="O608" t="str">
        <f>IFERROR(__xludf.DUMMYFUNCTION("""COMPUTED_VALUE"""),"N")</f>
        <v>N</v>
      </c>
      <c r="P608" s="1" t="str">
        <f>IFERROR(__xludf.DUMMYFUNCTION("""COMPUTED_VALUE"""),"ID 17559")</f>
        <v>ID 17559</v>
      </c>
      <c r="Q608" s="1" t="str">
        <f>IFERROR(__xludf.DUMMYFUNCTION("""COMPUTED_VALUE"""),"B00H3T5LL4")</f>
        <v>B00H3T5LL4</v>
      </c>
    </row>
    <row r="609">
      <c r="A609" s="6">
        <f>IFERROR(__xludf.DUMMYFUNCTION("""COMPUTED_VALUE"""),45273.0)</f>
        <v>45273</v>
      </c>
      <c r="B609">
        <f>IFERROR(__xludf.DUMMYFUNCTION("""COMPUTED_VALUE"""),22501.0)</f>
        <v>22501</v>
      </c>
      <c r="C609" t="str">
        <f>IFERROR(__xludf.DUMMYFUNCTION("""COMPUTED_VALUE"""),"Tombow Dual Brush Pen Art Marker, 192 - Asparagus, 1-Pack")</f>
        <v>Tombow Dual Brush Pen Art Marker, 192 - Asparagus, 1-Pack</v>
      </c>
      <c r="D609" t="str">
        <f>IFERROR(__xludf.DUMMYFUNCTION("""COMPUTED_VALUE"""),"B000KNLU9M")</f>
        <v>B000KNLU9M</v>
      </c>
      <c r="E609" t="str">
        <f>IFERROR(__xludf.DUMMYFUNCTION("""COMPUTED_VALUE"""),"085014565202")</f>
        <v>085014565202</v>
      </c>
      <c r="F609">
        <f>IFERROR(__xludf.DUMMYFUNCTION("""COMPUTED_VALUE"""),804.0)</f>
        <v>804</v>
      </c>
      <c r="G609">
        <f>IFERROR(__xludf.DUMMYFUNCTION("""COMPUTED_VALUE"""),10000.0)</f>
        <v>10000</v>
      </c>
      <c r="H609" s="2">
        <f>IFERROR(__xludf.DUMMYFUNCTION("""COMPUTED_VALUE"""),1.5)</f>
        <v>1.5</v>
      </c>
      <c r="I609" s="2">
        <f>IFERROR(__xludf.DUMMYFUNCTION("""COMPUTED_VALUE"""),2.76)</f>
        <v>2.76</v>
      </c>
      <c r="J609" s="2">
        <f>IFERROR(__xludf.DUMMYFUNCTION("""COMPUTED_VALUE"""),1.2599999999999998)</f>
        <v>1.26</v>
      </c>
      <c r="K609" s="5">
        <f>IFERROR(__xludf.DUMMYFUNCTION("""COMPUTED_VALUE"""),0.8399999999999999)</f>
        <v>0.84</v>
      </c>
      <c r="L609">
        <f>IFERROR(__xludf.DUMMYFUNCTION("""COMPUTED_VALUE"""),12338.0)</f>
        <v>12338</v>
      </c>
      <c r="M609" t="str">
        <f>IFERROR(__xludf.DUMMYFUNCTION("""COMPUTED_VALUE"""),"Art and Craft Supply")</f>
        <v>Art and Craft Supply</v>
      </c>
      <c r="N609" t="str">
        <f>IFERROR(__xludf.DUMMYFUNCTION("""COMPUTED_VALUE"""),"Restricted for online resale")</f>
        <v>Restricted for online resale</v>
      </c>
      <c r="O609" t="str">
        <f>IFERROR(__xludf.DUMMYFUNCTION("""COMPUTED_VALUE"""),"Y")</f>
        <v>Y</v>
      </c>
      <c r="P609" s="1" t="str">
        <f>IFERROR(__xludf.DUMMYFUNCTION("""COMPUTED_VALUE"""),"ID 22501")</f>
        <v>ID 22501</v>
      </c>
      <c r="Q609" s="1" t="str">
        <f>IFERROR(__xludf.DUMMYFUNCTION("""COMPUTED_VALUE"""),"B000KNLU9M")</f>
        <v>B000KNLU9M</v>
      </c>
    </row>
    <row r="610">
      <c r="A610" s="6">
        <f>IFERROR(__xludf.DUMMYFUNCTION("""COMPUTED_VALUE"""),45390.0)</f>
        <v>45390</v>
      </c>
      <c r="B610">
        <f>IFERROR(__xludf.DUMMYFUNCTION("""COMPUTED_VALUE"""),4131.0)</f>
        <v>4131</v>
      </c>
      <c r="C610" t="str">
        <f>IFERROR(__xludf.DUMMYFUNCTION("""COMPUTED_VALUE"""),"Chef Craft 50 Count Cupcake Liners, Hearts")</f>
        <v>Chef Craft 50 Count Cupcake Liners, Hearts</v>
      </c>
      <c r="D610" t="str">
        <f>IFERROR(__xludf.DUMMYFUNCTION("""COMPUTED_VALUE"""),"B00KS9HEK2")</f>
        <v>B00KS9HEK2</v>
      </c>
      <c r="E610" t="str">
        <f>IFERROR(__xludf.DUMMYFUNCTION("""COMPUTED_VALUE"""),"085455218149")</f>
        <v>085455218149</v>
      </c>
      <c r="F610">
        <f>IFERROR(__xludf.DUMMYFUNCTION("""COMPUTED_VALUE"""),576.0)</f>
        <v>576</v>
      </c>
      <c r="G610">
        <f>IFERROR(__xludf.DUMMYFUNCTION("""COMPUTED_VALUE"""),10000.0)</f>
        <v>10000</v>
      </c>
      <c r="H610" s="2">
        <f>IFERROR(__xludf.DUMMYFUNCTION("""COMPUTED_VALUE"""),1.25)</f>
        <v>1.25</v>
      </c>
      <c r="I610" s="2">
        <f>IFERROR(__xludf.DUMMYFUNCTION("""COMPUTED_VALUE"""),2.5)</f>
        <v>2.5</v>
      </c>
      <c r="J610" s="2">
        <f>IFERROR(__xludf.DUMMYFUNCTION("""COMPUTED_VALUE"""),1.25)</f>
        <v>1.25</v>
      </c>
      <c r="K610" s="5">
        <f>IFERROR(__xludf.DUMMYFUNCTION("""COMPUTED_VALUE"""),1.0)</f>
        <v>1</v>
      </c>
      <c r="L610">
        <f>IFERROR(__xludf.DUMMYFUNCTION("""COMPUTED_VALUE"""),31715.0)</f>
        <v>31715</v>
      </c>
      <c r="M610" t="str">
        <f>IFERROR(__xludf.DUMMYFUNCTION("""COMPUTED_VALUE"""),"Kitchen")</f>
        <v>Kitchen</v>
      </c>
      <c r="O610" t="str">
        <f>IFERROR(__xludf.DUMMYFUNCTION("""COMPUTED_VALUE"""),"Y")</f>
        <v>Y</v>
      </c>
      <c r="P610" s="1" t="str">
        <f>IFERROR(__xludf.DUMMYFUNCTION("""COMPUTED_VALUE"""),"ID 4131")</f>
        <v>ID 4131</v>
      </c>
      <c r="Q610" s="1" t="str">
        <f>IFERROR(__xludf.DUMMYFUNCTION("""COMPUTED_VALUE"""),"B00KS9HEK2")</f>
        <v>B00KS9HEK2</v>
      </c>
    </row>
    <row r="611">
      <c r="A611" s="6">
        <f>IFERROR(__xludf.DUMMYFUNCTION("""COMPUTED_VALUE"""),45376.0)</f>
        <v>45376</v>
      </c>
      <c r="B611">
        <f>IFERROR(__xludf.DUMMYFUNCTION("""COMPUTED_VALUE"""),4626.0)</f>
        <v>4626</v>
      </c>
      <c r="C611" t="str">
        <f>IFERROR(__xludf.DUMMYFUNCTION("""COMPUTED_VALUE"""),"U.S. Toy JA816 Neon Beads")</f>
        <v>U.S. Toy JA816 Neon Beads</v>
      </c>
      <c r="D611" t="str">
        <f>IFERROR(__xludf.DUMMYFUNCTION("""COMPUTED_VALUE"""),"B0148WNI5E")</f>
        <v>B0148WNI5E</v>
      </c>
      <c r="E611" t="str">
        <f>IFERROR(__xludf.DUMMYFUNCTION("""COMPUTED_VALUE"""),"049392288542")</f>
        <v>049392288542</v>
      </c>
      <c r="F611">
        <f>IFERROR(__xludf.DUMMYFUNCTION("""COMPUTED_VALUE"""),660.0)</f>
        <v>660</v>
      </c>
      <c r="G611">
        <f>IFERROR(__xludf.DUMMYFUNCTION("""COMPUTED_VALUE"""),660.0)</f>
        <v>660</v>
      </c>
      <c r="H611" s="2">
        <f>IFERROR(__xludf.DUMMYFUNCTION("""COMPUTED_VALUE"""),1.5)</f>
        <v>1.5</v>
      </c>
      <c r="I611" s="2">
        <f>IFERROR(__xludf.DUMMYFUNCTION("""COMPUTED_VALUE"""),2.75)</f>
        <v>2.75</v>
      </c>
      <c r="J611" s="2">
        <f>IFERROR(__xludf.DUMMYFUNCTION("""COMPUTED_VALUE"""),1.25)</f>
        <v>1.25</v>
      </c>
      <c r="K611" s="5">
        <f>IFERROR(__xludf.DUMMYFUNCTION("""COMPUTED_VALUE"""),0.8333333333333334)</f>
        <v>0.8333333333</v>
      </c>
      <c r="L611">
        <f>IFERROR(__xludf.DUMMYFUNCTION("""COMPUTED_VALUE"""),47889.0)</f>
        <v>47889</v>
      </c>
      <c r="M611" t="str">
        <f>IFERROR(__xludf.DUMMYFUNCTION("""COMPUTED_VALUE"""),"Toy")</f>
        <v>Toy</v>
      </c>
      <c r="N611" t="str">
        <f>IFERROR(__xludf.DUMMYFUNCTION("""COMPUTED_VALUE"""),"MAP $3.99. If you violate the MAP pricing the brand may choose to remove you from the listing")</f>
        <v>MAP $3.99. If you violate the MAP pricing the brand may choose to remove you from the listing</v>
      </c>
      <c r="O611" t="str">
        <f>IFERROR(__xludf.DUMMYFUNCTION("""COMPUTED_VALUE"""),"N")</f>
        <v>N</v>
      </c>
      <c r="P611" s="1" t="str">
        <f>IFERROR(__xludf.DUMMYFUNCTION("""COMPUTED_VALUE"""),"ID 4626")</f>
        <v>ID 4626</v>
      </c>
      <c r="Q611" s="1" t="str">
        <f>IFERROR(__xludf.DUMMYFUNCTION("""COMPUTED_VALUE"""),"B0148WNI5E")</f>
        <v>B0148WNI5E</v>
      </c>
    </row>
    <row r="612">
      <c r="A612" s="6">
        <f>IFERROR(__xludf.DUMMYFUNCTION("""COMPUTED_VALUE"""),44458.0)</f>
        <v>44458</v>
      </c>
      <c r="B612">
        <f>IFERROR(__xludf.DUMMYFUNCTION("""COMPUTED_VALUE"""),18502.0)</f>
        <v>18502</v>
      </c>
      <c r="C612" t="str">
        <f>IFERROR(__xludf.DUMMYFUNCTION("""COMPUTED_VALUE"""),"Ampad Evidence Dual Ruled Pad, Legal Ruling, Size 8.5 x 11.75 Inches, Canary Paper, 100 Sheets Per Pad (20-243)")</f>
        <v>Ampad Evidence Dual Ruled Pad, Legal Ruling, Size 8.5 x 11.75 Inches, Canary Paper, 100 Sheets Per Pad (20-243)</v>
      </c>
      <c r="D612" t="str">
        <f>IFERROR(__xludf.DUMMYFUNCTION("""COMPUTED_VALUE"""),"B000EFNC9M")</f>
        <v>B000EFNC9M</v>
      </c>
      <c r="E612" t="str">
        <f>IFERROR(__xludf.DUMMYFUNCTION("""COMPUTED_VALUE"""),"74319202431")</f>
        <v>74319202431</v>
      </c>
      <c r="F612">
        <f>IFERROR(__xludf.DUMMYFUNCTION("""COMPUTED_VALUE"""),360.0)</f>
        <v>360</v>
      </c>
      <c r="G612">
        <f>IFERROR(__xludf.DUMMYFUNCTION("""COMPUTED_VALUE"""),5000.0)</f>
        <v>5000</v>
      </c>
      <c r="H612" s="2">
        <f>IFERROR(__xludf.DUMMYFUNCTION("""COMPUTED_VALUE"""),7.0)</f>
        <v>7</v>
      </c>
      <c r="I612" s="2">
        <f>IFERROR(__xludf.DUMMYFUNCTION("""COMPUTED_VALUE"""),8.25)</f>
        <v>8.25</v>
      </c>
      <c r="J612" s="2">
        <f>IFERROR(__xludf.DUMMYFUNCTION("""COMPUTED_VALUE"""),1.25)</f>
        <v>1.25</v>
      </c>
      <c r="K612" s="5">
        <f>IFERROR(__xludf.DUMMYFUNCTION("""COMPUTED_VALUE"""),0.17857142857142858)</f>
        <v>0.1785714286</v>
      </c>
      <c r="L612">
        <f>IFERROR(__xludf.DUMMYFUNCTION("""COMPUTED_VALUE"""),87610.0)</f>
        <v>87610</v>
      </c>
      <c r="M612" t="str">
        <f>IFERROR(__xludf.DUMMYFUNCTION("""COMPUTED_VALUE"""),"Office Product")</f>
        <v>Office Product</v>
      </c>
      <c r="O612" t="str">
        <f>IFERROR(__xludf.DUMMYFUNCTION("""COMPUTED_VALUE"""),"Y")</f>
        <v>Y</v>
      </c>
      <c r="P612" s="1" t="str">
        <f>IFERROR(__xludf.DUMMYFUNCTION("""COMPUTED_VALUE"""),"ID 18502")</f>
        <v>ID 18502</v>
      </c>
      <c r="Q612" s="1" t="str">
        <f>IFERROR(__xludf.DUMMYFUNCTION("""COMPUTED_VALUE"""),"B000EFNC9M")</f>
        <v>B000EFNC9M</v>
      </c>
    </row>
    <row r="613">
      <c r="A613" s="6">
        <f>IFERROR(__xludf.DUMMYFUNCTION("""COMPUTED_VALUE"""),45376.0)</f>
        <v>45376</v>
      </c>
      <c r="B613">
        <f>IFERROR(__xludf.DUMMYFUNCTION("""COMPUTED_VALUE"""),23855.0)</f>
        <v>23855</v>
      </c>
      <c r="C613" t="str">
        <f>IFERROR(__xludf.DUMMYFUNCTION("""COMPUTED_VALUE"""),"Disney Mickey Mouse 6 Piece Grow with Me Sippy Cup, Red")</f>
        <v>Disney Mickey Mouse 6 Piece Grow with Me Sippy Cup, Red</v>
      </c>
      <c r="D613" t="str">
        <f>IFERROR(__xludf.DUMMYFUNCTION("""COMPUTED_VALUE"""),"B073WMFMCY")</f>
        <v>B073WMFMCY</v>
      </c>
      <c r="E613" t="str">
        <f>IFERROR(__xludf.DUMMYFUNCTION("""COMPUTED_VALUE"""),"632878415695")</f>
        <v>632878415695</v>
      </c>
      <c r="F613">
        <f>IFERROR(__xludf.DUMMYFUNCTION("""COMPUTED_VALUE"""),288.0)</f>
        <v>288</v>
      </c>
      <c r="G613">
        <f>IFERROR(__xludf.DUMMYFUNCTION("""COMPUTED_VALUE"""),306.0)</f>
        <v>306</v>
      </c>
      <c r="H613" s="2">
        <f>IFERROR(__xludf.DUMMYFUNCTION("""COMPUTED_VALUE"""),4.75)</f>
        <v>4.75</v>
      </c>
      <c r="I613" s="2">
        <f>IFERROR(__xludf.DUMMYFUNCTION("""COMPUTED_VALUE"""),6.0)</f>
        <v>6</v>
      </c>
      <c r="J613" s="2">
        <f>IFERROR(__xludf.DUMMYFUNCTION("""COMPUTED_VALUE"""),1.25)</f>
        <v>1.25</v>
      </c>
      <c r="K613" s="5">
        <f>IFERROR(__xludf.DUMMYFUNCTION("""COMPUTED_VALUE"""),0.2631578947368421)</f>
        <v>0.2631578947</v>
      </c>
      <c r="L613">
        <f>IFERROR(__xludf.DUMMYFUNCTION("""COMPUTED_VALUE"""),32058.0)</f>
        <v>32058</v>
      </c>
      <c r="M613" t="str">
        <f>IFERROR(__xludf.DUMMYFUNCTION("""COMPUTED_VALUE"""),"Baby Product")</f>
        <v>Baby Product</v>
      </c>
      <c r="O613" t="str">
        <f>IFERROR(__xludf.DUMMYFUNCTION("""COMPUTED_VALUE"""),"N")</f>
        <v>N</v>
      </c>
      <c r="P613" s="1" t="str">
        <f>IFERROR(__xludf.DUMMYFUNCTION("""COMPUTED_VALUE"""),"ID 23855")</f>
        <v>ID 23855</v>
      </c>
      <c r="Q613" s="1" t="str">
        <f>IFERROR(__xludf.DUMMYFUNCTION("""COMPUTED_VALUE"""),"B073WMFMCY")</f>
        <v>B073WMFMCY</v>
      </c>
    </row>
    <row r="614">
      <c r="A614" s="6">
        <f>IFERROR(__xludf.DUMMYFUNCTION("""COMPUTED_VALUE"""),44544.0)</f>
        <v>44544</v>
      </c>
      <c r="B614">
        <f>IFERROR(__xludf.DUMMYFUNCTION("""COMPUTED_VALUE"""),23892.0)</f>
        <v>23892</v>
      </c>
      <c r="C614" t="str">
        <f>IFERROR(__xludf.DUMMYFUNCTION("""COMPUTED_VALUE"""),"Swingline Red Mini Stapler With Staples, Tot, 12 Sheet Capacity, Small Stapler With Built In Staple Remover &amp; 1000 Standard Staples, Staple Storage, Cute Compact Travel Size Stapler For Adults &amp; Kids.")</f>
        <v>Swingline Red Mini Stapler With Staples, Tot, 12 Sheet Capacity, Small Stapler With Built In Staple Remover &amp; 1000 Standard Staples, Staple Storage, Cute Compact Travel Size Stapler For Adults &amp; Kids.</v>
      </c>
      <c r="D614" t="str">
        <f>IFERROR(__xludf.DUMMYFUNCTION("""COMPUTED_VALUE"""),"B08LCMT4VY")</f>
        <v>B08LCMT4VY</v>
      </c>
      <c r="E614" t="str">
        <f>IFERROR(__xludf.DUMMYFUNCTION("""COMPUTED_VALUE"""),"74711482127")</f>
        <v>74711482127</v>
      </c>
      <c r="F614">
        <f>IFERROR(__xludf.DUMMYFUNCTION("""COMPUTED_VALUE"""),1440.0)</f>
        <v>1440</v>
      </c>
      <c r="G614">
        <f>IFERROR(__xludf.DUMMYFUNCTION("""COMPUTED_VALUE"""),5000.0)</f>
        <v>5000</v>
      </c>
      <c r="H614" s="2">
        <f>IFERROR(__xludf.DUMMYFUNCTION("""COMPUTED_VALUE"""),1.75)</f>
        <v>1.75</v>
      </c>
      <c r="I614" s="2">
        <f>IFERROR(__xludf.DUMMYFUNCTION("""COMPUTED_VALUE"""),3.0)</f>
        <v>3</v>
      </c>
      <c r="J614" s="2">
        <f>IFERROR(__xludf.DUMMYFUNCTION("""COMPUTED_VALUE"""),1.25)</f>
        <v>1.25</v>
      </c>
      <c r="K614" s="5">
        <f>IFERROR(__xludf.DUMMYFUNCTION("""COMPUTED_VALUE"""),0.7142857142857143)</f>
        <v>0.7142857143</v>
      </c>
      <c r="L614">
        <f>IFERROR(__xludf.DUMMYFUNCTION("""COMPUTED_VALUE"""),36516.0)</f>
        <v>36516</v>
      </c>
      <c r="M614" t="str">
        <f>IFERROR(__xludf.DUMMYFUNCTION("""COMPUTED_VALUE"""),"BISS Basic")</f>
        <v>BISS Basic</v>
      </c>
      <c r="O614" t="str">
        <f>IFERROR(__xludf.DUMMYFUNCTION("""COMPUTED_VALUE"""),"Y")</f>
        <v>Y</v>
      </c>
      <c r="P614" s="1" t="str">
        <f>IFERROR(__xludf.DUMMYFUNCTION("""COMPUTED_VALUE"""),"ID 23892")</f>
        <v>ID 23892</v>
      </c>
      <c r="Q614" s="1" t="str">
        <f>IFERROR(__xludf.DUMMYFUNCTION("""COMPUTED_VALUE"""),"B08LCMT4VY")</f>
        <v>B08LCMT4VY</v>
      </c>
    </row>
    <row r="615">
      <c r="A615" s="6">
        <f>IFERROR(__xludf.DUMMYFUNCTION("""COMPUTED_VALUE"""),45376.0)</f>
        <v>45376</v>
      </c>
      <c r="B615">
        <f>IFERROR(__xludf.DUMMYFUNCTION("""COMPUTED_VALUE"""),25120.0)</f>
        <v>25120</v>
      </c>
      <c r="C615" t="str">
        <f>IFERROR(__xludf.DUMMYFUNCTION("""COMPUTED_VALUE"""),"Lia Griffith Frosted Paper Blooms, Gerbera Daisies, 6"" x 6.5"", Assorted, 17 Pages, Colors May Vary Count")</f>
        <v>Lia Griffith Frosted Paper Blooms, Gerbera Daisies, 6" x 6.5", Assorted, 17 Pages, Colors May Vary Count</v>
      </c>
      <c r="D615" t="str">
        <f>IFERROR(__xludf.DUMMYFUNCTION("""COMPUTED_VALUE"""),"B07NX1VNJW")</f>
        <v>B07NX1VNJW</v>
      </c>
      <c r="E615" t="str">
        <f>IFERROR(__xludf.DUMMYFUNCTION("""COMPUTED_VALUE"""),"084001410082")</f>
        <v>084001410082</v>
      </c>
      <c r="F615">
        <f>IFERROR(__xludf.DUMMYFUNCTION("""COMPUTED_VALUE"""),600.0)</f>
        <v>600</v>
      </c>
      <c r="G615">
        <f>IFERROR(__xludf.DUMMYFUNCTION("""COMPUTED_VALUE"""),10000.0)</f>
        <v>10000</v>
      </c>
      <c r="H615" s="2">
        <f>IFERROR(__xludf.DUMMYFUNCTION("""COMPUTED_VALUE"""),6.0)</f>
        <v>6</v>
      </c>
      <c r="I615" s="2">
        <f>IFERROR(__xludf.DUMMYFUNCTION("""COMPUTED_VALUE"""),7.25)</f>
        <v>7.25</v>
      </c>
      <c r="J615" s="2">
        <f>IFERROR(__xludf.DUMMYFUNCTION("""COMPUTED_VALUE"""),1.25)</f>
        <v>1.25</v>
      </c>
      <c r="K615" s="5">
        <f>IFERROR(__xludf.DUMMYFUNCTION("""COMPUTED_VALUE"""),0.20833333333333334)</f>
        <v>0.2083333333</v>
      </c>
      <c r="L615">
        <f>IFERROR(__xludf.DUMMYFUNCTION("""COMPUTED_VALUE"""),25385.0)</f>
        <v>25385</v>
      </c>
      <c r="M615" t="str">
        <f>IFERROR(__xludf.DUMMYFUNCTION("""COMPUTED_VALUE"""),"Art and Craft Supply")</f>
        <v>Art and Craft Supply</v>
      </c>
      <c r="O615" t="str">
        <f>IFERROR(__xludf.DUMMYFUNCTION("""COMPUTED_VALUE"""),"N")</f>
        <v>N</v>
      </c>
      <c r="P615" s="1" t="str">
        <f>IFERROR(__xludf.DUMMYFUNCTION("""COMPUTED_VALUE"""),"ID 25120")</f>
        <v>ID 25120</v>
      </c>
      <c r="Q615" s="1" t="str">
        <f>IFERROR(__xludf.DUMMYFUNCTION("""COMPUTED_VALUE"""),"B07NX1VNJW")</f>
        <v>B07NX1VNJW</v>
      </c>
    </row>
    <row r="616">
      <c r="A616" s="6">
        <f>IFERROR(__xludf.DUMMYFUNCTION("""COMPUTED_VALUE"""),45166.0)</f>
        <v>45166</v>
      </c>
      <c r="B616">
        <f>IFERROR(__xludf.DUMMYFUNCTION("""COMPUTED_VALUE"""),25767.0)</f>
        <v>25767</v>
      </c>
      <c r="C616" t="str">
        <f>IFERROR(__xludf.DUMMYFUNCTION("""COMPUTED_VALUE"""),"Cardinal 3 Ring Binder, 4 Inch Heavy Duty XtraLife Binder, Locking Slant-D Rings, Crack-Resistant Cover &amp; Spine, ClearVue Covers, Holds 890 Sheets, Blue (26342)")</f>
        <v>Cardinal 3 Ring Binder, 4 Inch Heavy Duty XtraLife Binder, Locking Slant-D Rings, Crack-Resistant Cover &amp; Spine, ClearVue Covers, Holds 890 Sheets, Blue (26342)</v>
      </c>
      <c r="D616" t="str">
        <f>IFERROR(__xludf.DUMMYFUNCTION("""COMPUTED_VALUE"""),"B00016ZMGK")</f>
        <v>B00016ZMGK</v>
      </c>
      <c r="E616" t="str">
        <f>IFERROR(__xludf.DUMMYFUNCTION("""COMPUTED_VALUE"""),"083086263422")</f>
        <v>083086263422</v>
      </c>
      <c r="F616">
        <f>IFERROR(__xludf.DUMMYFUNCTION("""COMPUTED_VALUE"""),110.0)</f>
        <v>110</v>
      </c>
      <c r="G616">
        <f>IFERROR(__xludf.DUMMYFUNCTION("""COMPUTED_VALUE"""),10000.0)</f>
        <v>10000</v>
      </c>
      <c r="H616" s="2">
        <f>IFERROR(__xludf.DUMMYFUNCTION("""COMPUTED_VALUE"""),22.25)</f>
        <v>22.25</v>
      </c>
      <c r="I616" s="2">
        <f>IFERROR(__xludf.DUMMYFUNCTION("""COMPUTED_VALUE"""),23.5)</f>
        <v>23.5</v>
      </c>
      <c r="J616" s="2">
        <f>IFERROR(__xludf.DUMMYFUNCTION("""COMPUTED_VALUE"""),1.25)</f>
        <v>1.25</v>
      </c>
      <c r="K616" s="5">
        <f>IFERROR(__xludf.DUMMYFUNCTION("""COMPUTED_VALUE"""),0.056179775280898875)</f>
        <v>0.05617977528</v>
      </c>
      <c r="L616">
        <f>IFERROR(__xludf.DUMMYFUNCTION("""COMPUTED_VALUE"""),91565.0)</f>
        <v>91565</v>
      </c>
      <c r="M616" t="str">
        <f>IFERROR(__xludf.DUMMYFUNCTION("""COMPUTED_VALUE"""),"Office Product")</f>
        <v>Office Product</v>
      </c>
      <c r="O616" t="str">
        <f>IFERROR(__xludf.DUMMYFUNCTION("""COMPUTED_VALUE"""),"N")</f>
        <v>N</v>
      </c>
      <c r="P616" s="1" t="str">
        <f>IFERROR(__xludf.DUMMYFUNCTION("""COMPUTED_VALUE"""),"ID 25767")</f>
        <v>ID 25767</v>
      </c>
      <c r="Q616" s="1" t="str">
        <f>IFERROR(__xludf.DUMMYFUNCTION("""COMPUTED_VALUE"""),"B00016ZMGK")</f>
        <v>B00016ZMGK</v>
      </c>
    </row>
    <row r="617">
      <c r="A617" s="6">
        <f>IFERROR(__xludf.DUMMYFUNCTION("""COMPUTED_VALUE"""),45421.0)</f>
        <v>45421</v>
      </c>
      <c r="B617">
        <f>IFERROR(__xludf.DUMMYFUNCTION("""COMPUTED_VALUE"""),12766.0)</f>
        <v>12766</v>
      </c>
      <c r="C617" t="str">
        <f>IFERROR(__xludf.DUMMYFUNCTION("""COMPUTED_VALUE"""),"Pickett Lavatory Planning Template, 1/4 Inch Scale (1190I)")</f>
        <v>Pickett Lavatory Planning Template, 1/4 Inch Scale (1190I)</v>
      </c>
      <c r="D617" t="str">
        <f>IFERROR(__xludf.DUMMYFUNCTION("""COMPUTED_VALUE"""),"B009H5C8AE")</f>
        <v>B009H5C8AE</v>
      </c>
      <c r="E617" t="str">
        <f>IFERROR(__xludf.DUMMYFUNCTION("""COMPUTED_VALUE"""),"014173152688")</f>
        <v>014173152688</v>
      </c>
      <c r="F617">
        <f>IFERROR(__xludf.DUMMYFUNCTION("""COMPUTED_VALUE"""),288.0)</f>
        <v>288</v>
      </c>
      <c r="G617">
        <f>IFERROR(__xludf.DUMMYFUNCTION("""COMPUTED_VALUE"""),10000.0)</f>
        <v>10000</v>
      </c>
      <c r="H617" s="2">
        <f>IFERROR(__xludf.DUMMYFUNCTION("""COMPUTED_VALUE"""),8.75)</f>
        <v>8.75</v>
      </c>
      <c r="I617" s="2">
        <f>IFERROR(__xludf.DUMMYFUNCTION("""COMPUTED_VALUE"""),9.99)</f>
        <v>9.99</v>
      </c>
      <c r="J617" s="2">
        <f>IFERROR(__xludf.DUMMYFUNCTION("""COMPUTED_VALUE"""),1.2400000000000002)</f>
        <v>1.24</v>
      </c>
      <c r="K617" s="5">
        <f>IFERROR(__xludf.DUMMYFUNCTION("""COMPUTED_VALUE"""),0.14171428571428574)</f>
        <v>0.1417142857</v>
      </c>
      <c r="L617">
        <f>IFERROR(__xludf.DUMMYFUNCTION("""COMPUTED_VALUE"""),79664.0)</f>
        <v>79664</v>
      </c>
      <c r="M617" t="str">
        <f>IFERROR(__xludf.DUMMYFUNCTION("""COMPUTED_VALUE"""),"Office Product")</f>
        <v>Office Product</v>
      </c>
      <c r="O617" t="str">
        <f>IFERROR(__xludf.DUMMYFUNCTION("""COMPUTED_VALUE"""),"Y")</f>
        <v>Y</v>
      </c>
      <c r="P617" s="1" t="str">
        <f>IFERROR(__xludf.DUMMYFUNCTION("""COMPUTED_VALUE"""),"ID 12766")</f>
        <v>ID 12766</v>
      </c>
      <c r="Q617" s="1" t="str">
        <f>IFERROR(__xludf.DUMMYFUNCTION("""COMPUTED_VALUE"""),"B009H5C8AE")</f>
        <v>B009H5C8AE</v>
      </c>
    </row>
    <row r="618">
      <c r="A618" s="6">
        <f>IFERROR(__xludf.DUMMYFUNCTION("""COMPUTED_VALUE"""),45357.0)</f>
        <v>45357</v>
      </c>
      <c r="B618">
        <f>IFERROR(__xludf.DUMMYFUNCTION("""COMPUTED_VALUE"""),16901.0)</f>
        <v>16901</v>
      </c>
      <c r="C618" t="str">
        <f>IFERROR(__xludf.DUMMYFUNCTION("""COMPUTED_VALUE"""),"Vinyl-Coated Wire Rope Kit with Accessories 3/16"" x 30 feet - Flexible Durable Project Cable with clips &amp; thimbles Max Load 184 lbs metal wire")</f>
        <v>Vinyl-Coated Wire Rope Kit with Accessories 3/16" x 30 feet - Flexible Durable Project Cable with clips &amp; thimbles Max Load 184 lbs metal wire</v>
      </c>
      <c r="D618" t="str">
        <f>IFERROR(__xludf.DUMMYFUNCTION("""COMPUTED_VALUE"""),"B01HL8LYQ2")</f>
        <v>B01HL8LYQ2</v>
      </c>
      <c r="E618" t="str">
        <f>IFERROR(__xludf.DUMMYFUNCTION("""COMPUTED_VALUE"""),"042228078928")</f>
        <v>042228078928</v>
      </c>
      <c r="F618">
        <f>IFERROR(__xludf.DUMMYFUNCTION("""COMPUTED_VALUE"""),408.0)</f>
        <v>408</v>
      </c>
      <c r="G618">
        <f>IFERROR(__xludf.DUMMYFUNCTION("""COMPUTED_VALUE"""),7908.0)</f>
        <v>7908</v>
      </c>
      <c r="H618" s="2">
        <f>IFERROR(__xludf.DUMMYFUNCTION("""COMPUTED_VALUE"""),3.0)</f>
        <v>3</v>
      </c>
      <c r="I618" s="2">
        <f>IFERROR(__xludf.DUMMYFUNCTION("""COMPUTED_VALUE"""),4.24)</f>
        <v>4.24</v>
      </c>
      <c r="J618" s="2">
        <f>IFERROR(__xludf.DUMMYFUNCTION("""COMPUTED_VALUE"""),1.2400000000000002)</f>
        <v>1.24</v>
      </c>
      <c r="K618" s="5">
        <f>IFERROR(__xludf.DUMMYFUNCTION("""COMPUTED_VALUE"""),0.4133333333333334)</f>
        <v>0.4133333333</v>
      </c>
      <c r="L618">
        <f>IFERROR(__xludf.DUMMYFUNCTION("""COMPUTED_VALUE"""),83368.0)</f>
        <v>83368</v>
      </c>
      <c r="M618" t="str">
        <f>IFERROR(__xludf.DUMMYFUNCTION("""COMPUTED_VALUE"""),"BISS Basic")</f>
        <v>BISS Basic</v>
      </c>
      <c r="O618" t="str">
        <f>IFERROR(__xludf.DUMMYFUNCTION("""COMPUTED_VALUE"""),"N")</f>
        <v>N</v>
      </c>
      <c r="P618" s="1" t="str">
        <f>IFERROR(__xludf.DUMMYFUNCTION("""COMPUTED_VALUE"""),"ID 16901")</f>
        <v>ID 16901</v>
      </c>
      <c r="Q618" s="1" t="str">
        <f>IFERROR(__xludf.DUMMYFUNCTION("""COMPUTED_VALUE"""),"B01HL8LYQ2")</f>
        <v>B01HL8LYQ2</v>
      </c>
    </row>
    <row r="619">
      <c r="A619" s="6">
        <f>IFERROR(__xludf.DUMMYFUNCTION("""COMPUTED_VALUE"""),45376.0)</f>
        <v>45376</v>
      </c>
      <c r="B619">
        <f>IFERROR(__xludf.DUMMYFUNCTION("""COMPUTED_VALUE"""),24077.0)</f>
        <v>24077</v>
      </c>
      <c r="C619" t="str">
        <f>IFERROR(__xludf.DUMMYFUNCTION("""COMPUTED_VALUE"""),"Creativity Street Regular Stems, Dark Green, 12-in x 4-mm (AC711208)")</f>
        <v>Creativity Street Regular Stems, Dark Green, 12-in x 4-mm (AC711208)</v>
      </c>
      <c r="D619" t="str">
        <f>IFERROR(__xludf.DUMMYFUNCTION("""COMPUTED_VALUE"""),"B000RY70N4")</f>
        <v>B000RY70N4</v>
      </c>
      <c r="E619" t="str">
        <f>IFERROR(__xludf.DUMMYFUNCTION("""COMPUTED_VALUE"""),"021196711280")</f>
        <v>021196711280</v>
      </c>
      <c r="F619">
        <f>IFERROR(__xludf.DUMMYFUNCTION("""COMPUTED_VALUE"""),2616.0)</f>
        <v>2616</v>
      </c>
      <c r="G619">
        <f>IFERROR(__xludf.DUMMYFUNCTION("""COMPUTED_VALUE"""),10000.0)</f>
        <v>10000</v>
      </c>
      <c r="H619" s="2">
        <f>IFERROR(__xludf.DUMMYFUNCTION("""COMPUTED_VALUE"""),1.5)</f>
        <v>1.5</v>
      </c>
      <c r="I619" s="2">
        <f>IFERROR(__xludf.DUMMYFUNCTION("""COMPUTED_VALUE"""),2.74)</f>
        <v>2.74</v>
      </c>
      <c r="J619" s="2">
        <f>IFERROR(__xludf.DUMMYFUNCTION("""COMPUTED_VALUE"""),1.2400000000000002)</f>
        <v>1.24</v>
      </c>
      <c r="K619" s="5">
        <f>IFERROR(__xludf.DUMMYFUNCTION("""COMPUTED_VALUE"""),0.8266666666666668)</f>
        <v>0.8266666667</v>
      </c>
      <c r="L619">
        <f>IFERROR(__xludf.DUMMYFUNCTION("""COMPUTED_VALUE"""),11758.0)</f>
        <v>11758</v>
      </c>
      <c r="M619" t="str">
        <f>IFERROR(__xludf.DUMMYFUNCTION("""COMPUTED_VALUE"""),"Home")</f>
        <v>Home</v>
      </c>
      <c r="O619" t="str">
        <f>IFERROR(__xludf.DUMMYFUNCTION("""COMPUTED_VALUE"""),"N")</f>
        <v>N</v>
      </c>
      <c r="P619" s="1" t="str">
        <f>IFERROR(__xludf.DUMMYFUNCTION("""COMPUTED_VALUE"""),"ID 24077")</f>
        <v>ID 24077</v>
      </c>
      <c r="Q619" s="1" t="str">
        <f>IFERROR(__xludf.DUMMYFUNCTION("""COMPUTED_VALUE"""),"B000RY70N4")</f>
        <v>B000RY70N4</v>
      </c>
    </row>
    <row r="620">
      <c r="A620" s="6">
        <f>IFERROR(__xludf.DUMMYFUNCTION("""COMPUTED_VALUE"""),44475.0)</f>
        <v>44475</v>
      </c>
      <c r="B620">
        <f>IFERROR(__xludf.DUMMYFUNCTION("""COMPUTED_VALUE"""),22461.0)</f>
        <v>22461</v>
      </c>
      <c r="C620" t="str">
        <f>IFERROR(__xludf.DUMMYFUNCTION("""COMPUTED_VALUE"""),"Oxford Composition Notebook, College Ruled Paper, 9-3/4"" x 7-1/2"", Black Marble Covers, 100 Sheets, 1 Book (63796)")</f>
        <v>Oxford Composition Notebook, College Ruled Paper, 9-3/4" x 7-1/2", Black Marble Covers, 100 Sheets, 1 Book (63796)</v>
      </c>
      <c r="D620" t="str">
        <f>IFERROR(__xludf.DUMMYFUNCTION("""COMPUTED_VALUE"""),"B0034XS3HC")</f>
        <v>B0034XS3HC</v>
      </c>
      <c r="E620" t="str">
        <f>IFERROR(__xludf.DUMMYFUNCTION("""COMPUTED_VALUE"""),"025932637964")</f>
        <v>025932637964</v>
      </c>
      <c r="F620">
        <f>IFERROR(__xludf.DUMMYFUNCTION("""COMPUTED_VALUE"""),1068.0)</f>
        <v>1068</v>
      </c>
      <c r="G620">
        <f>IFERROR(__xludf.DUMMYFUNCTION("""COMPUTED_VALUE"""),5000.0)</f>
        <v>5000</v>
      </c>
      <c r="H620" s="2">
        <f>IFERROR(__xludf.DUMMYFUNCTION("""COMPUTED_VALUE"""),2.25)</f>
        <v>2.25</v>
      </c>
      <c r="I620" s="2">
        <f>IFERROR(__xludf.DUMMYFUNCTION("""COMPUTED_VALUE"""),3.48)</f>
        <v>3.48</v>
      </c>
      <c r="J620" s="2">
        <f>IFERROR(__xludf.DUMMYFUNCTION("""COMPUTED_VALUE"""),1.23)</f>
        <v>1.23</v>
      </c>
      <c r="K620" s="5">
        <f>IFERROR(__xludf.DUMMYFUNCTION("""COMPUTED_VALUE"""),0.5466666666666666)</f>
        <v>0.5466666667</v>
      </c>
      <c r="L620">
        <f>IFERROR(__xludf.DUMMYFUNCTION("""COMPUTED_VALUE"""),59991.0)</f>
        <v>59991</v>
      </c>
      <c r="M620" t="str">
        <f>IFERROR(__xludf.DUMMYFUNCTION("""COMPUTED_VALUE"""),"Office Product")</f>
        <v>Office Product</v>
      </c>
      <c r="O620" t="str">
        <f>IFERROR(__xludf.DUMMYFUNCTION("""COMPUTED_VALUE"""),"Y")</f>
        <v>Y</v>
      </c>
      <c r="P620" s="1" t="str">
        <f>IFERROR(__xludf.DUMMYFUNCTION("""COMPUTED_VALUE"""),"ID 22461")</f>
        <v>ID 22461</v>
      </c>
      <c r="Q620" s="1" t="str">
        <f>IFERROR(__xludf.DUMMYFUNCTION("""COMPUTED_VALUE"""),"B0034XS3HC")</f>
        <v>B0034XS3HC</v>
      </c>
    </row>
    <row r="621">
      <c r="A621" s="6">
        <f>IFERROR(__xludf.DUMMYFUNCTION("""COMPUTED_VALUE"""),45272.0)</f>
        <v>45272</v>
      </c>
      <c r="B621">
        <f>IFERROR(__xludf.DUMMYFUNCTION("""COMPUTED_VALUE"""),9151.0)</f>
        <v>9151</v>
      </c>
      <c r="C621" t="str">
        <f>IFERROR(__xludf.DUMMYFUNCTION("""COMPUTED_VALUE"""),"Claey's, Old Fashioned Hard Candy Licorice, 6 oz")</f>
        <v>Claey's, Old Fashioned Hard Candy Licorice, 6 oz</v>
      </c>
      <c r="D621" t="str">
        <f>IFERROR(__xludf.DUMMYFUNCTION("""COMPUTED_VALUE"""),"B000SEOGRG")</f>
        <v>B000SEOGRG</v>
      </c>
      <c r="E621" t="str">
        <f>IFERROR(__xludf.DUMMYFUNCTION("""COMPUTED_VALUE"""),"076067006705")</f>
        <v>076067006705</v>
      </c>
      <c r="F621">
        <f>IFERROR(__xludf.DUMMYFUNCTION("""COMPUTED_VALUE"""),1032.0)</f>
        <v>1032</v>
      </c>
      <c r="G621">
        <f>IFERROR(__xludf.DUMMYFUNCTION("""COMPUTED_VALUE"""),240000.0)</f>
        <v>240000</v>
      </c>
      <c r="H621" s="2">
        <f>IFERROR(__xludf.DUMMYFUNCTION("""COMPUTED_VALUE"""),1.25)</f>
        <v>1.25</v>
      </c>
      <c r="I621" s="2">
        <f>IFERROR(__xludf.DUMMYFUNCTION("""COMPUTED_VALUE"""),2.48)</f>
        <v>2.48</v>
      </c>
      <c r="J621" s="2">
        <f>IFERROR(__xludf.DUMMYFUNCTION("""COMPUTED_VALUE"""),1.23)</f>
        <v>1.23</v>
      </c>
      <c r="K621" s="5">
        <f>IFERROR(__xludf.DUMMYFUNCTION("""COMPUTED_VALUE"""),0.984)</f>
        <v>0.984</v>
      </c>
      <c r="L621">
        <f>IFERROR(__xludf.DUMMYFUNCTION("""COMPUTED_VALUE"""),2311.0)</f>
        <v>2311</v>
      </c>
      <c r="M621" t="str">
        <f>IFERROR(__xludf.DUMMYFUNCTION("""COMPUTED_VALUE"""),"Grocery")</f>
        <v>Grocery</v>
      </c>
      <c r="N621" t="str">
        <f>IFERROR(__xludf.DUMMYFUNCTION("""COMPUTED_VALUE"""),"EXP 7-21")</f>
        <v>EXP 7-21</v>
      </c>
      <c r="O621" t="str">
        <f>IFERROR(__xludf.DUMMYFUNCTION("""COMPUTED_VALUE"""),"N")</f>
        <v>N</v>
      </c>
      <c r="P621" s="1" t="str">
        <f>IFERROR(__xludf.DUMMYFUNCTION("""COMPUTED_VALUE"""),"ID 9151")</f>
        <v>ID 9151</v>
      </c>
      <c r="Q621" s="1" t="str">
        <f>IFERROR(__xludf.DUMMYFUNCTION("""COMPUTED_VALUE"""),"B000SEOGRG")</f>
        <v>B000SEOGRG</v>
      </c>
    </row>
    <row r="622">
      <c r="A622" s="6">
        <f>IFERROR(__xludf.DUMMYFUNCTION("""COMPUTED_VALUE"""),44144.0)</f>
        <v>44144</v>
      </c>
      <c r="B622">
        <f>IFERROR(__xludf.DUMMYFUNCTION("""COMPUTED_VALUE"""),14993.0)</f>
        <v>14993</v>
      </c>
      <c r="C622" t="str">
        <f>IFERROR(__xludf.DUMMYFUNCTION("""COMPUTED_VALUE"""),"Revlon Super Lustrous Lipstick with Vitamin E and Avocado Oil, Cream Lipstick in Pink, 423 Pink Velvet, 0.15 oz")</f>
        <v>Revlon Super Lustrous Lipstick with Vitamin E and Avocado Oil, Cream Lipstick in Pink, 423 Pink Velvet, 0.15 oz</v>
      </c>
      <c r="D622" t="str">
        <f>IFERROR(__xludf.DUMMYFUNCTION("""COMPUTED_VALUE"""),"B00392C8ZG")</f>
        <v>B00392C8ZG</v>
      </c>
      <c r="E622" t="str">
        <f>IFERROR(__xludf.DUMMYFUNCTION("""COMPUTED_VALUE"""),"309978924203")</f>
        <v>309978924203</v>
      </c>
      <c r="F622">
        <f>IFERROR(__xludf.DUMMYFUNCTION("""COMPUTED_VALUE"""),864.0)</f>
        <v>864</v>
      </c>
      <c r="G622">
        <f>IFERROR(__xludf.DUMMYFUNCTION("""COMPUTED_VALUE"""),898.0)</f>
        <v>898</v>
      </c>
      <c r="H622" s="2">
        <f>IFERROR(__xludf.DUMMYFUNCTION("""COMPUTED_VALUE"""),2.0)</f>
        <v>2</v>
      </c>
      <c r="I622" s="2">
        <f>IFERROR(__xludf.DUMMYFUNCTION("""COMPUTED_VALUE"""),3.22)</f>
        <v>3.22</v>
      </c>
      <c r="J622" s="2">
        <f>IFERROR(__xludf.DUMMYFUNCTION("""COMPUTED_VALUE"""),1.2200000000000002)</f>
        <v>1.22</v>
      </c>
      <c r="K622" s="5">
        <f>IFERROR(__xludf.DUMMYFUNCTION("""COMPUTED_VALUE"""),0.6100000000000001)</f>
        <v>0.61</v>
      </c>
      <c r="L622">
        <f>IFERROR(__xludf.DUMMYFUNCTION("""COMPUTED_VALUE"""),284.0)</f>
        <v>284</v>
      </c>
      <c r="M622" t="str">
        <f>IFERROR(__xludf.DUMMYFUNCTION("""COMPUTED_VALUE"""),"Beauty")</f>
        <v>Beauty</v>
      </c>
      <c r="O622" t="str">
        <f>IFERROR(__xludf.DUMMYFUNCTION("""COMPUTED_VALUE"""),"Y")</f>
        <v>Y</v>
      </c>
      <c r="P622" s="1" t="str">
        <f>IFERROR(__xludf.DUMMYFUNCTION("""COMPUTED_VALUE"""),"ID 14993")</f>
        <v>ID 14993</v>
      </c>
      <c r="Q622" s="1" t="str">
        <f>IFERROR(__xludf.DUMMYFUNCTION("""COMPUTED_VALUE"""),"B00392C8ZG")</f>
        <v>B00392C8ZG</v>
      </c>
    </row>
    <row r="623">
      <c r="A623" s="6">
        <f>IFERROR(__xludf.DUMMYFUNCTION("""COMPUTED_VALUE"""),45429.0)</f>
        <v>45429</v>
      </c>
      <c r="B623">
        <f>IFERROR(__xludf.DUMMYFUNCTION("""COMPUTED_VALUE"""),15015.0)</f>
        <v>15015</v>
      </c>
      <c r="C623" t="str">
        <f>IFERROR(__xludf.DUMMYFUNCTION("""COMPUTED_VALUE"""),"Revlon Mega Multiplier Mascara, Plum Brown, 0.28 Fluid Ounce")</f>
        <v>Revlon Mega Multiplier Mascara, Plum Brown, 0.28 Fluid Ounce</v>
      </c>
      <c r="D623" t="str">
        <f>IFERROR(__xludf.DUMMYFUNCTION("""COMPUTED_VALUE"""),"B06ZXW1TV9")</f>
        <v>B06ZXW1TV9</v>
      </c>
      <c r="E623" t="str">
        <f>IFERROR(__xludf.DUMMYFUNCTION("""COMPUTED_VALUE"""),"309979824045")</f>
        <v>309979824045</v>
      </c>
      <c r="F623">
        <f>IFERROR(__xludf.DUMMYFUNCTION("""COMPUTED_VALUE"""),252.0)</f>
        <v>252</v>
      </c>
      <c r="G623">
        <f>IFERROR(__xludf.DUMMYFUNCTION("""COMPUTED_VALUE"""),252.0)</f>
        <v>252</v>
      </c>
      <c r="H623" s="2">
        <f>IFERROR(__xludf.DUMMYFUNCTION("""COMPUTED_VALUE"""),2.25)</f>
        <v>2.25</v>
      </c>
      <c r="I623" s="2">
        <f>IFERROR(__xludf.DUMMYFUNCTION("""COMPUTED_VALUE"""),3.47)</f>
        <v>3.47</v>
      </c>
      <c r="J623" s="2">
        <f>IFERROR(__xludf.DUMMYFUNCTION("""COMPUTED_VALUE"""),1.2200000000000002)</f>
        <v>1.22</v>
      </c>
      <c r="K623" s="5">
        <f>IFERROR(__xludf.DUMMYFUNCTION("""COMPUTED_VALUE"""),0.5422222222222223)</f>
        <v>0.5422222222</v>
      </c>
      <c r="L623">
        <f>IFERROR(__xludf.DUMMYFUNCTION("""COMPUTED_VALUE"""),61404.0)</f>
        <v>61404</v>
      </c>
      <c r="M623" t="str">
        <f>IFERROR(__xludf.DUMMYFUNCTION("""COMPUTED_VALUE"""),"Beauty")</f>
        <v>Beauty</v>
      </c>
      <c r="O623" t="str">
        <f>IFERROR(__xludf.DUMMYFUNCTION("""COMPUTED_VALUE"""),"N")</f>
        <v>N</v>
      </c>
      <c r="P623" s="1" t="str">
        <f>IFERROR(__xludf.DUMMYFUNCTION("""COMPUTED_VALUE"""),"ID 15015")</f>
        <v>ID 15015</v>
      </c>
      <c r="Q623" s="1" t="str">
        <f>IFERROR(__xludf.DUMMYFUNCTION("""COMPUTED_VALUE"""),"B06ZXW1TV9")</f>
        <v>B06ZXW1TV9</v>
      </c>
    </row>
    <row r="624">
      <c r="A624" s="6">
        <f>IFERROR(__xludf.DUMMYFUNCTION("""COMPUTED_VALUE"""),45397.0)</f>
        <v>45397</v>
      </c>
      <c r="B624">
        <f>IFERROR(__xludf.DUMMYFUNCTION("""COMPUTED_VALUE"""),20977.0)</f>
        <v>20977</v>
      </c>
      <c r="C624" t="str">
        <f>IFERROR(__xludf.DUMMYFUNCTION("""COMPUTED_VALUE"""),"It's Academic Flexi Storage Box with Lid, Collapsible Pencil Case Design for Craft and School Supplies, Blue/Black")</f>
        <v>It's Academic Flexi Storage Box with Lid, Collapsible Pencil Case Design for Craft and School Supplies, Blue/Black</v>
      </c>
      <c r="D624" t="str">
        <f>IFERROR(__xludf.DUMMYFUNCTION("""COMPUTED_VALUE"""),"B07GVBG72N")</f>
        <v>B07GVBG72N</v>
      </c>
      <c r="E624" t="str">
        <f>IFERROR(__xludf.DUMMYFUNCTION("""COMPUTED_VALUE"""),"725150231332")</f>
        <v>725150231332</v>
      </c>
      <c r="F624">
        <f>IFERROR(__xludf.DUMMYFUNCTION("""COMPUTED_VALUE"""),348.0)</f>
        <v>348</v>
      </c>
      <c r="G624">
        <f>IFERROR(__xludf.DUMMYFUNCTION("""COMPUTED_VALUE"""),4054.0)</f>
        <v>4054</v>
      </c>
      <c r="H624" s="2">
        <f>IFERROR(__xludf.DUMMYFUNCTION("""COMPUTED_VALUE"""),3.5)</f>
        <v>3.5</v>
      </c>
      <c r="I624" s="2">
        <f>IFERROR(__xludf.DUMMYFUNCTION("""COMPUTED_VALUE"""),4.72)</f>
        <v>4.72</v>
      </c>
      <c r="J624" s="2">
        <f>IFERROR(__xludf.DUMMYFUNCTION("""COMPUTED_VALUE"""),1.2199999999999998)</f>
        <v>1.22</v>
      </c>
      <c r="K624" s="5">
        <f>IFERROR(__xludf.DUMMYFUNCTION("""COMPUTED_VALUE"""),0.3485714285714285)</f>
        <v>0.3485714286</v>
      </c>
      <c r="L624">
        <f>IFERROR(__xludf.DUMMYFUNCTION("""COMPUTED_VALUE"""),47599.0)</f>
        <v>47599</v>
      </c>
      <c r="M624" t="str">
        <f>IFERROR(__xludf.DUMMYFUNCTION("""COMPUTED_VALUE"""),"Office Product")</f>
        <v>Office Product</v>
      </c>
      <c r="N624" t="str">
        <f>IFERROR(__xludf.DUMMYFUNCTION("""COMPUTED_VALUE"""),"Promo: Overstock")</f>
        <v>Promo: Overstock</v>
      </c>
      <c r="O624" t="str">
        <f>IFERROR(__xludf.DUMMYFUNCTION("""COMPUTED_VALUE"""),"Y")</f>
        <v>Y</v>
      </c>
      <c r="P624" s="1" t="str">
        <f>IFERROR(__xludf.DUMMYFUNCTION("""COMPUTED_VALUE"""),"ID 20977")</f>
        <v>ID 20977</v>
      </c>
      <c r="Q624" s="1" t="str">
        <f>IFERROR(__xludf.DUMMYFUNCTION("""COMPUTED_VALUE"""),"B07GVBG72N")</f>
        <v>B07GVBG72N</v>
      </c>
    </row>
    <row r="625">
      <c r="A625" s="6">
        <f>IFERROR(__xludf.DUMMYFUNCTION("""COMPUTED_VALUE"""),44791.0)</f>
        <v>44791</v>
      </c>
      <c r="B625">
        <f>IFERROR(__xludf.DUMMYFUNCTION("""COMPUTED_VALUE"""),22194.0)</f>
        <v>22194</v>
      </c>
      <c r="C625" t="str">
        <f>IFERROR(__xludf.DUMMYFUNCTION("""COMPUTED_VALUE"""),"COOL WATER by Davidoff for Men. Eau De Toilette Spray 1.35 oz")</f>
        <v>COOL WATER by Davidoff for Men. Eau De Toilette Spray 1.35 oz</v>
      </c>
      <c r="D625" t="str">
        <f>IFERROR(__xludf.DUMMYFUNCTION("""COMPUTED_VALUE"""),"B00MOBQSJK")</f>
        <v>B00MOBQSJK</v>
      </c>
      <c r="E625" t="str">
        <f>IFERROR(__xludf.DUMMYFUNCTION("""COMPUTED_VALUE"""),"3414202000510")</f>
        <v>3414202000510</v>
      </c>
      <c r="F625">
        <f>IFERROR(__xludf.DUMMYFUNCTION("""COMPUTED_VALUE"""),100.0)</f>
        <v>100</v>
      </c>
      <c r="G625">
        <f>IFERROR(__xludf.DUMMYFUNCTION("""COMPUTED_VALUE"""),1000.0)</f>
        <v>1000</v>
      </c>
      <c r="H625" s="2">
        <f>IFERROR(__xludf.DUMMYFUNCTION("""COMPUTED_VALUE"""),13.0)</f>
        <v>13</v>
      </c>
      <c r="I625" s="2">
        <f>IFERROR(__xludf.DUMMYFUNCTION("""COMPUTED_VALUE"""),14.22)</f>
        <v>14.22</v>
      </c>
      <c r="J625" s="2">
        <f>IFERROR(__xludf.DUMMYFUNCTION("""COMPUTED_VALUE"""),1.2200000000000006)</f>
        <v>1.22</v>
      </c>
      <c r="K625" s="5">
        <f>IFERROR(__xludf.DUMMYFUNCTION("""COMPUTED_VALUE"""),0.0938461538461539)</f>
        <v>0.09384615385</v>
      </c>
      <c r="L625">
        <f>IFERROR(__xludf.DUMMYFUNCTION("""COMPUTED_VALUE"""),82749.0)</f>
        <v>82749</v>
      </c>
      <c r="M625" t="str">
        <f>IFERROR(__xludf.DUMMYFUNCTION("""COMPUTED_VALUE"""),"Beauty")</f>
        <v>Beauty</v>
      </c>
      <c r="N625" t="str">
        <f>IFERROR(__xludf.DUMMYFUNCTION("""COMPUTED_VALUE"""),"UPC varies from the one published by amazon. Product / packaging may vary")</f>
        <v>UPC varies from the one published by amazon. Product / packaging may vary</v>
      </c>
      <c r="O625" t="str">
        <f>IFERROR(__xludf.DUMMYFUNCTION("""COMPUTED_VALUE"""),"N")</f>
        <v>N</v>
      </c>
      <c r="P625" s="1" t="str">
        <f>IFERROR(__xludf.DUMMYFUNCTION("""COMPUTED_VALUE"""),"ID 22194")</f>
        <v>ID 22194</v>
      </c>
      <c r="Q625" s="1" t="str">
        <f>IFERROR(__xludf.DUMMYFUNCTION("""COMPUTED_VALUE"""),"B00MOBQSJK")</f>
        <v>B00MOBQSJK</v>
      </c>
    </row>
    <row r="626">
      <c r="A626" s="6">
        <f>IFERROR(__xludf.DUMMYFUNCTION("""COMPUTED_VALUE"""),44941.0)</f>
        <v>44941</v>
      </c>
      <c r="B626">
        <f>IFERROR(__xludf.DUMMYFUNCTION("""COMPUTED_VALUE"""),24646.0)</f>
        <v>24646</v>
      </c>
      <c r="C626" t="str">
        <f>IFERROR(__xludf.DUMMYFUNCTION("""COMPUTED_VALUE"""),"Papermate 3037631PP SharpWriter Mechanical Pencils, Twistable Tip, 0.7 Mm, Pack of 1 Blister, Total 5 Pencils")</f>
        <v>Papermate 3037631PP SharpWriter Mechanical Pencils, Twistable Tip, 0.7 Mm, Pack of 1 Blister, Total 5 Pencils</v>
      </c>
      <c r="D626" t="str">
        <f>IFERROR(__xludf.DUMMYFUNCTION("""COMPUTED_VALUE"""),"B000YKRGYO")</f>
        <v>B000YKRGYO</v>
      </c>
      <c r="E626" t="str">
        <f>IFERROR(__xludf.DUMMYFUNCTION("""COMPUTED_VALUE"""),"041540303763")</f>
        <v>041540303763</v>
      </c>
      <c r="F626">
        <f>IFERROR(__xludf.DUMMYFUNCTION("""COMPUTED_VALUE"""),1512.0)</f>
        <v>1512</v>
      </c>
      <c r="G626">
        <f>IFERROR(__xludf.DUMMYFUNCTION("""COMPUTED_VALUE"""),10000.0)</f>
        <v>10000</v>
      </c>
      <c r="H626" s="2">
        <f>IFERROR(__xludf.DUMMYFUNCTION("""COMPUTED_VALUE"""),2.0)</f>
        <v>2</v>
      </c>
      <c r="I626" s="2">
        <f>IFERROR(__xludf.DUMMYFUNCTION("""COMPUTED_VALUE"""),3.22)</f>
        <v>3.22</v>
      </c>
      <c r="J626" s="2">
        <f>IFERROR(__xludf.DUMMYFUNCTION("""COMPUTED_VALUE"""),1.2200000000000002)</f>
        <v>1.22</v>
      </c>
      <c r="K626" s="5">
        <f>IFERROR(__xludf.DUMMYFUNCTION("""COMPUTED_VALUE"""),0.6100000000000001)</f>
        <v>0.61</v>
      </c>
      <c r="L626">
        <f>IFERROR(__xludf.DUMMYFUNCTION("""COMPUTED_VALUE"""),63629.0)</f>
        <v>63629</v>
      </c>
      <c r="M626" t="str">
        <f>IFERROR(__xludf.DUMMYFUNCTION("""COMPUTED_VALUE"""),"Office Product")</f>
        <v>Office Product</v>
      </c>
      <c r="N626" t="str">
        <f>IFERROR(__xludf.DUMMYFUNCTION("""COMPUTED_VALUE"""),"UPC varies from the one published on amazon. This product will pull up if you enter our UPC into seller central. Styling/Packaging may vary. Pre-order, no ETA")</f>
        <v>UPC varies from the one published on amazon. This product will pull up if you enter our UPC into seller central. Styling/Packaging may vary. Pre-order, no ETA</v>
      </c>
      <c r="O626" t="str">
        <f>IFERROR(__xludf.DUMMYFUNCTION("""COMPUTED_VALUE"""),"N")</f>
        <v>N</v>
      </c>
      <c r="P626" s="1" t="str">
        <f>IFERROR(__xludf.DUMMYFUNCTION("""COMPUTED_VALUE"""),"ID 24646")</f>
        <v>ID 24646</v>
      </c>
      <c r="Q626" s="1" t="str">
        <f>IFERROR(__xludf.DUMMYFUNCTION("""COMPUTED_VALUE"""),"B000YKRGYO")</f>
        <v>B000YKRGYO</v>
      </c>
    </row>
    <row r="627">
      <c r="A627" s="6">
        <f>IFERROR(__xludf.DUMMYFUNCTION("""COMPUTED_VALUE"""),44594.0)</f>
        <v>44594</v>
      </c>
      <c r="B627">
        <f>IFERROR(__xludf.DUMMYFUNCTION("""COMPUTED_VALUE"""),24778.0)</f>
        <v>24778</v>
      </c>
      <c r="C627" t="str">
        <f>IFERROR(__xludf.DUMMYFUNCTION("""COMPUTED_VALUE"""),"Duck Brand Kraft Bubble Mailers, 0-6 x 9 Inches, 5-Pack (284691), Tan")</f>
        <v>Duck Brand Kraft Bubble Mailers, 0-6 x 9 Inches, 5-Pack (284691), Tan</v>
      </c>
      <c r="D627" t="str">
        <f>IFERROR(__xludf.DUMMYFUNCTION("""COMPUTED_VALUE"""),"B000PII82E")</f>
        <v>B000PII82E</v>
      </c>
      <c r="E627" t="str">
        <f>IFERROR(__xludf.DUMMYFUNCTION("""COMPUTED_VALUE"""),"75353105054")</f>
        <v>75353105054</v>
      </c>
      <c r="F627">
        <f>IFERROR(__xludf.DUMMYFUNCTION("""COMPUTED_VALUE"""),405.0)</f>
        <v>405</v>
      </c>
      <c r="G627">
        <f>IFERROR(__xludf.DUMMYFUNCTION("""COMPUTED_VALUE"""),1000.0)</f>
        <v>1000</v>
      </c>
      <c r="H627" s="2">
        <f>IFERROR(__xludf.DUMMYFUNCTION("""COMPUTED_VALUE"""),2.75)</f>
        <v>2.75</v>
      </c>
      <c r="I627" s="2">
        <f>IFERROR(__xludf.DUMMYFUNCTION("""COMPUTED_VALUE"""),3.97)</f>
        <v>3.97</v>
      </c>
      <c r="J627" s="2">
        <f>IFERROR(__xludf.DUMMYFUNCTION("""COMPUTED_VALUE"""),1.2200000000000002)</f>
        <v>1.22</v>
      </c>
      <c r="K627" s="5">
        <f>IFERROR(__xludf.DUMMYFUNCTION("""COMPUTED_VALUE"""),0.4436363636363637)</f>
        <v>0.4436363636</v>
      </c>
      <c r="L627">
        <f>IFERROR(__xludf.DUMMYFUNCTION("""COMPUTED_VALUE"""),21275.0)</f>
        <v>21275</v>
      </c>
      <c r="M627" t="str">
        <f>IFERROR(__xludf.DUMMYFUNCTION("""COMPUTED_VALUE"""),"BISS Basic")</f>
        <v>BISS Basic</v>
      </c>
      <c r="O627" t="str">
        <f>IFERROR(__xludf.DUMMYFUNCTION("""COMPUTED_VALUE"""),"N")</f>
        <v>N</v>
      </c>
      <c r="P627" s="1" t="str">
        <f>IFERROR(__xludf.DUMMYFUNCTION("""COMPUTED_VALUE"""),"ID 24778")</f>
        <v>ID 24778</v>
      </c>
      <c r="Q627" s="1" t="str">
        <f>IFERROR(__xludf.DUMMYFUNCTION("""COMPUTED_VALUE"""),"B000PII82E")</f>
        <v>B000PII82E</v>
      </c>
    </row>
    <row r="628">
      <c r="A628" s="6">
        <f>IFERROR(__xludf.DUMMYFUNCTION("""COMPUTED_VALUE"""),44733.0)</f>
        <v>44733</v>
      </c>
      <c r="B628">
        <f>IFERROR(__xludf.DUMMYFUNCTION("""COMPUTED_VALUE"""),3481.0)</f>
        <v>3481</v>
      </c>
      <c r="C628" t="str">
        <f>IFERROR(__xludf.DUMMYFUNCTION("""COMPUTED_VALUE"""),"Beverly Hills: Chihuahua 3")</f>
        <v>Beverly Hills: Chihuahua 3</v>
      </c>
      <c r="D628" t="str">
        <f>IFERROR(__xludf.DUMMYFUNCTION("""COMPUTED_VALUE"""),"B007U4DDXK")</f>
        <v>B007U4DDXK</v>
      </c>
      <c r="E628" t="str">
        <f>IFERROR(__xludf.DUMMYFUNCTION("""COMPUTED_VALUE"""),"786936821772")</f>
        <v>786936821772</v>
      </c>
      <c r="F628">
        <f>IFERROR(__xludf.DUMMYFUNCTION("""COMPUTED_VALUE"""),420.0)</f>
        <v>420</v>
      </c>
      <c r="G628">
        <f>IFERROR(__xludf.DUMMYFUNCTION("""COMPUTED_VALUE"""),990.0)</f>
        <v>990</v>
      </c>
      <c r="H628" s="2">
        <f>IFERROR(__xludf.DUMMYFUNCTION("""COMPUTED_VALUE"""),3.0)</f>
        <v>3</v>
      </c>
      <c r="I628" s="2">
        <f>IFERROR(__xludf.DUMMYFUNCTION("""COMPUTED_VALUE"""),4.2)</f>
        <v>4.2</v>
      </c>
      <c r="J628" s="2">
        <f>IFERROR(__xludf.DUMMYFUNCTION("""COMPUTED_VALUE"""),1.2000000000000002)</f>
        <v>1.2</v>
      </c>
      <c r="K628" s="5">
        <f>IFERROR(__xludf.DUMMYFUNCTION("""COMPUTED_VALUE"""),0.4000000000000001)</f>
        <v>0.4</v>
      </c>
      <c r="L628">
        <f>IFERROR(__xludf.DUMMYFUNCTION("""COMPUTED_VALUE"""),20433.0)</f>
        <v>20433</v>
      </c>
      <c r="M628" t="str">
        <f>IFERROR(__xludf.DUMMYFUNCTION("""COMPUTED_VALUE"""),"DVD")</f>
        <v>DVD</v>
      </c>
      <c r="O628" t="str">
        <f>IFERROR(__xludf.DUMMYFUNCTION("""COMPUTED_VALUE"""),"N")</f>
        <v>N</v>
      </c>
      <c r="P628" s="1" t="str">
        <f>IFERROR(__xludf.DUMMYFUNCTION("""COMPUTED_VALUE"""),"ID 3481")</f>
        <v>ID 3481</v>
      </c>
      <c r="Q628" s="1" t="str">
        <f>IFERROR(__xludf.DUMMYFUNCTION("""COMPUTED_VALUE"""),"B007U4DDXK")</f>
        <v>B007U4DDXK</v>
      </c>
    </row>
    <row r="629">
      <c r="A629" s="6">
        <f>IFERROR(__xludf.DUMMYFUNCTION("""COMPUTED_VALUE"""),45350.0)</f>
        <v>45350</v>
      </c>
      <c r="B629">
        <f>IFERROR(__xludf.DUMMYFUNCTION("""COMPUTED_VALUE"""),16592.0)</f>
        <v>16592</v>
      </c>
      <c r="C629" t="str">
        <f>IFERROR(__xludf.DUMMYFUNCTION("""COMPUTED_VALUE"""),"Read Right PathKleen Laser Printer Cleaning Sheets, 8.5 x 11 Inches Sheets, 10 Sheets per Package (RR1237)")</f>
        <v>Read Right PathKleen Laser Printer Cleaning Sheets, 8.5 x 11 Inches Sheets, 10 Sheets per Package (RR1237)</v>
      </c>
      <c r="D629" t="str">
        <f>IFERROR(__xludf.DUMMYFUNCTION("""COMPUTED_VALUE"""),"B002XJ0JKC")</f>
        <v>B002XJ0JKC</v>
      </c>
      <c r="E629" t="str">
        <f>IFERROR(__xludf.DUMMYFUNCTION("""COMPUTED_VALUE"""),"054915002277")</f>
        <v>054915002277</v>
      </c>
      <c r="F629">
        <f>IFERROR(__xludf.DUMMYFUNCTION("""COMPUTED_VALUE"""),120.0)</f>
        <v>120</v>
      </c>
      <c r="G629">
        <f>IFERROR(__xludf.DUMMYFUNCTION("""COMPUTED_VALUE"""),10000.0)</f>
        <v>10000</v>
      </c>
      <c r="H629" s="2">
        <f>IFERROR(__xludf.DUMMYFUNCTION("""COMPUTED_VALUE"""),10.75)</f>
        <v>10.75</v>
      </c>
      <c r="I629" s="2">
        <f>IFERROR(__xludf.DUMMYFUNCTION("""COMPUTED_VALUE"""),11.95)</f>
        <v>11.95</v>
      </c>
      <c r="J629" s="2">
        <f>IFERROR(__xludf.DUMMYFUNCTION("""COMPUTED_VALUE"""),1.1999999999999993)</f>
        <v>1.2</v>
      </c>
      <c r="K629" s="5">
        <f>IFERROR(__xludf.DUMMYFUNCTION("""COMPUTED_VALUE"""),0.11162790697674412)</f>
        <v>0.111627907</v>
      </c>
      <c r="L629">
        <f>IFERROR(__xludf.DUMMYFUNCTION("""COMPUTED_VALUE"""),28301.0)</f>
        <v>28301</v>
      </c>
      <c r="M629" t="str">
        <f>IFERROR(__xludf.DUMMYFUNCTION("""COMPUTED_VALUE"""),"CE")</f>
        <v>CE</v>
      </c>
      <c r="O629" t="str">
        <f>IFERROR(__xludf.DUMMYFUNCTION("""COMPUTED_VALUE"""),"N")</f>
        <v>N</v>
      </c>
      <c r="P629" s="1" t="str">
        <f>IFERROR(__xludf.DUMMYFUNCTION("""COMPUTED_VALUE"""),"ID 16592")</f>
        <v>ID 16592</v>
      </c>
      <c r="Q629" s="1" t="str">
        <f>IFERROR(__xludf.DUMMYFUNCTION("""COMPUTED_VALUE"""),"B002XJ0JKC")</f>
        <v>B002XJ0JKC</v>
      </c>
    </row>
    <row r="630">
      <c r="A630" s="6">
        <f>IFERROR(__xludf.DUMMYFUNCTION("""COMPUTED_VALUE"""),45362.0)</f>
        <v>45362</v>
      </c>
      <c r="B630">
        <f>IFERROR(__xludf.DUMMYFUNCTION("""COMPUTED_VALUE"""),19685.0)</f>
        <v>19685</v>
      </c>
      <c r="C630" t="str">
        <f>IFERROR(__xludf.DUMMYFUNCTION("""COMPUTED_VALUE"""),"Pentel Arts Color Brush, Red, 1-Pack (GFLBP102)")</f>
        <v>Pentel Arts Color Brush, Red, 1-Pack (GFLBP102)</v>
      </c>
      <c r="D630" t="str">
        <f>IFERROR(__xludf.DUMMYFUNCTION("""COMPUTED_VALUE"""),"B002PIE2V8")</f>
        <v>B002PIE2V8</v>
      </c>
      <c r="E630" t="str">
        <f>IFERROR(__xludf.DUMMYFUNCTION("""COMPUTED_VALUE"""),"072512226919")</f>
        <v>072512226919</v>
      </c>
      <c r="F630">
        <f>IFERROR(__xludf.DUMMYFUNCTION("""COMPUTED_VALUE"""),360.0)</f>
        <v>360</v>
      </c>
      <c r="G630">
        <f>IFERROR(__xludf.DUMMYFUNCTION("""COMPUTED_VALUE"""),10000.0)</f>
        <v>10000</v>
      </c>
      <c r="H630" s="2">
        <f>IFERROR(__xludf.DUMMYFUNCTION("""COMPUTED_VALUE"""),4.25)</f>
        <v>4.25</v>
      </c>
      <c r="I630" s="2">
        <f>IFERROR(__xludf.DUMMYFUNCTION("""COMPUTED_VALUE"""),5.45)</f>
        <v>5.45</v>
      </c>
      <c r="J630" s="2">
        <f>IFERROR(__xludf.DUMMYFUNCTION("""COMPUTED_VALUE"""),1.2000000000000002)</f>
        <v>1.2</v>
      </c>
      <c r="K630" s="5">
        <f>IFERROR(__xludf.DUMMYFUNCTION("""COMPUTED_VALUE"""),0.28235294117647064)</f>
        <v>0.2823529412</v>
      </c>
      <c r="L630">
        <f>IFERROR(__xludf.DUMMYFUNCTION("""COMPUTED_VALUE"""),24952.0)</f>
        <v>24952</v>
      </c>
      <c r="M630" t="str">
        <f>IFERROR(__xludf.DUMMYFUNCTION("""COMPUTED_VALUE"""),"Office Product")</f>
        <v>Office Product</v>
      </c>
      <c r="O630" t="str">
        <f>IFERROR(__xludf.DUMMYFUNCTION("""COMPUTED_VALUE"""),"Y")</f>
        <v>Y</v>
      </c>
      <c r="P630" s="1" t="str">
        <f>IFERROR(__xludf.DUMMYFUNCTION("""COMPUTED_VALUE"""),"ID 19685")</f>
        <v>ID 19685</v>
      </c>
      <c r="Q630" s="1" t="str">
        <f>IFERROR(__xludf.DUMMYFUNCTION("""COMPUTED_VALUE"""),"B002PIE2V8")</f>
        <v>B002PIE2V8</v>
      </c>
    </row>
    <row r="631">
      <c r="A631" s="6">
        <f>IFERROR(__xludf.DUMMYFUNCTION("""COMPUTED_VALUE"""),44941.0)</f>
        <v>44941</v>
      </c>
      <c r="B631">
        <f>IFERROR(__xludf.DUMMYFUNCTION("""COMPUTED_VALUE"""),24619.0)</f>
        <v>24619</v>
      </c>
      <c r="C631" t="str">
        <f>IFERROR(__xludf.DUMMYFUNCTION("""COMPUTED_VALUE"""),"Parker Jotter Originals Ballpoint Pen, Classic Black Finish, Medium Point, Blue Ink, 1 Count")</f>
        <v>Parker Jotter Originals Ballpoint Pen, Classic Black Finish, Medium Point, Blue Ink, 1 Count</v>
      </c>
      <c r="D631" t="str">
        <f>IFERROR(__xludf.DUMMYFUNCTION("""COMPUTED_VALUE"""),"B07RZGSQK8")</f>
        <v>B07RZGSQK8</v>
      </c>
      <c r="E631" t="str">
        <f>IFERROR(__xludf.DUMMYFUNCTION("""COMPUTED_VALUE"""),"3026980968731")</f>
        <v>3026980968731</v>
      </c>
      <c r="F631">
        <f>IFERROR(__xludf.DUMMYFUNCTION("""COMPUTED_VALUE"""),618.0)</f>
        <v>618</v>
      </c>
      <c r="G631">
        <f>IFERROR(__xludf.DUMMYFUNCTION("""COMPUTED_VALUE"""),1000.0)</f>
        <v>1000</v>
      </c>
      <c r="H631" s="2">
        <f>IFERROR(__xludf.DUMMYFUNCTION("""COMPUTED_VALUE"""),5.0)</f>
        <v>5</v>
      </c>
      <c r="I631" s="2">
        <f>IFERROR(__xludf.DUMMYFUNCTION("""COMPUTED_VALUE"""),6.2)</f>
        <v>6.2</v>
      </c>
      <c r="J631" s="2">
        <f>IFERROR(__xludf.DUMMYFUNCTION("""COMPUTED_VALUE"""),1.2000000000000002)</f>
        <v>1.2</v>
      </c>
      <c r="K631" s="5">
        <f>IFERROR(__xludf.DUMMYFUNCTION("""COMPUTED_VALUE"""),0.24000000000000005)</f>
        <v>0.24</v>
      </c>
      <c r="L631">
        <f>IFERROR(__xludf.DUMMYFUNCTION("""COMPUTED_VALUE"""),5392.0)</f>
        <v>5392</v>
      </c>
      <c r="M631" t="str">
        <f>IFERROR(__xludf.DUMMYFUNCTION("""COMPUTED_VALUE"""),"Office Product")</f>
        <v>Office Product</v>
      </c>
      <c r="O631" t="str">
        <f>IFERROR(__xludf.DUMMYFUNCTION("""COMPUTED_VALUE"""),"Y")</f>
        <v>Y</v>
      </c>
      <c r="P631" s="1" t="str">
        <f>IFERROR(__xludf.DUMMYFUNCTION("""COMPUTED_VALUE"""),"ID 24619")</f>
        <v>ID 24619</v>
      </c>
      <c r="Q631" s="1" t="str">
        <f>IFERROR(__xludf.DUMMYFUNCTION("""COMPUTED_VALUE"""),"B07RZGSQK8")</f>
        <v>B07RZGSQK8</v>
      </c>
    </row>
    <row r="632">
      <c r="A632" s="6">
        <f>IFERROR(__xludf.DUMMYFUNCTION("""COMPUTED_VALUE"""),44941.0)</f>
        <v>44941</v>
      </c>
      <c r="B632">
        <f>IFERROR(__xludf.DUMMYFUNCTION("""COMPUTED_VALUE"""),24621.0)</f>
        <v>24621</v>
      </c>
      <c r="C632" t="str">
        <f>IFERROR(__xludf.DUMMYFUNCTION("""COMPUTED_VALUE"""),"Parker Jotter Originals Ballpoint Pen, Classic Red Finish, Medium Point, Blue Ink, 1 Count")</f>
        <v>Parker Jotter Originals Ballpoint Pen, Classic Red Finish, Medium Point, Blue Ink, 1 Count</v>
      </c>
      <c r="D632" t="str">
        <f>IFERROR(__xludf.DUMMYFUNCTION("""COMPUTED_VALUE"""),"B07S2NFB17")</f>
        <v>B07S2NFB17</v>
      </c>
      <c r="E632" t="str">
        <f>IFERROR(__xludf.DUMMYFUNCTION("""COMPUTED_VALUE"""),"3026980968571")</f>
        <v>3026980968571</v>
      </c>
      <c r="F632">
        <f>IFERROR(__xludf.DUMMYFUNCTION("""COMPUTED_VALUE"""),618.0)</f>
        <v>618</v>
      </c>
      <c r="G632">
        <f>IFERROR(__xludf.DUMMYFUNCTION("""COMPUTED_VALUE"""),1000.0)</f>
        <v>1000</v>
      </c>
      <c r="H632" s="2">
        <f>IFERROR(__xludf.DUMMYFUNCTION("""COMPUTED_VALUE"""),5.0)</f>
        <v>5</v>
      </c>
      <c r="I632" s="2">
        <f>IFERROR(__xludf.DUMMYFUNCTION("""COMPUTED_VALUE"""),6.2)</f>
        <v>6.2</v>
      </c>
      <c r="J632" s="2">
        <f>IFERROR(__xludf.DUMMYFUNCTION("""COMPUTED_VALUE"""),1.2000000000000002)</f>
        <v>1.2</v>
      </c>
      <c r="K632" s="5">
        <f>IFERROR(__xludf.DUMMYFUNCTION("""COMPUTED_VALUE"""),0.24000000000000005)</f>
        <v>0.24</v>
      </c>
      <c r="L632">
        <f>IFERROR(__xludf.DUMMYFUNCTION("""COMPUTED_VALUE"""),5439.0)</f>
        <v>5439</v>
      </c>
      <c r="M632" t="str">
        <f>IFERROR(__xludf.DUMMYFUNCTION("""COMPUTED_VALUE"""),"Office Product")</f>
        <v>Office Product</v>
      </c>
      <c r="O632" t="str">
        <f>IFERROR(__xludf.DUMMYFUNCTION("""COMPUTED_VALUE"""),"Y")</f>
        <v>Y</v>
      </c>
      <c r="P632" s="1" t="str">
        <f>IFERROR(__xludf.DUMMYFUNCTION("""COMPUTED_VALUE"""),"ID 24621")</f>
        <v>ID 24621</v>
      </c>
      <c r="Q632" s="1" t="str">
        <f>IFERROR(__xludf.DUMMYFUNCTION("""COMPUTED_VALUE"""),"B07S2NFB17")</f>
        <v>B07S2NFB17</v>
      </c>
    </row>
    <row r="633">
      <c r="A633" s="6">
        <f>IFERROR(__xludf.DUMMYFUNCTION("""COMPUTED_VALUE"""),45390.0)</f>
        <v>45390</v>
      </c>
      <c r="B633">
        <f>IFERROR(__xludf.DUMMYFUNCTION("""COMPUTED_VALUE"""),13763.0)</f>
        <v>13763</v>
      </c>
      <c r="C633" t="str">
        <f>IFERROR(__xludf.DUMMYFUNCTION("""COMPUTED_VALUE"""),"Chef Craft 21489 1-Piece Stainless Steel Mesh Strainer, 8-1/2"", White")</f>
        <v>Chef Craft 21489 1-Piece Stainless Steel Mesh Strainer, 8-1/2", White</v>
      </c>
      <c r="D633" t="str">
        <f>IFERROR(__xludf.DUMMYFUNCTION("""COMPUTED_VALUE"""),"B0021Z855O")</f>
        <v>B0021Z855O</v>
      </c>
      <c r="E633" t="str">
        <f>IFERROR(__xludf.DUMMYFUNCTION("""COMPUTED_VALUE"""),"085455214899")</f>
        <v>085455214899</v>
      </c>
      <c r="F633">
        <f>IFERROR(__xludf.DUMMYFUNCTION("""COMPUTED_VALUE"""),864.0)</f>
        <v>864</v>
      </c>
      <c r="G633">
        <f>IFERROR(__xludf.DUMMYFUNCTION("""COMPUTED_VALUE"""),10000.0)</f>
        <v>10000</v>
      </c>
      <c r="H633" s="2">
        <f>IFERROR(__xludf.DUMMYFUNCTION("""COMPUTED_VALUE"""),1.25)</f>
        <v>1.25</v>
      </c>
      <c r="I633" s="2">
        <f>IFERROR(__xludf.DUMMYFUNCTION("""COMPUTED_VALUE"""),2.44)</f>
        <v>2.44</v>
      </c>
      <c r="J633" s="2">
        <f>IFERROR(__xludf.DUMMYFUNCTION("""COMPUTED_VALUE"""),1.19)</f>
        <v>1.19</v>
      </c>
      <c r="K633" s="5">
        <f>IFERROR(__xludf.DUMMYFUNCTION("""COMPUTED_VALUE"""),0.952)</f>
        <v>0.952</v>
      </c>
      <c r="L633">
        <f>IFERROR(__xludf.DUMMYFUNCTION("""COMPUTED_VALUE"""),46041.0)</f>
        <v>46041</v>
      </c>
      <c r="M633" t="str">
        <f>IFERROR(__xludf.DUMMYFUNCTION("""COMPUTED_VALUE"""),"Kitchen")</f>
        <v>Kitchen</v>
      </c>
      <c r="O633" t="str">
        <f>IFERROR(__xludf.DUMMYFUNCTION("""COMPUTED_VALUE"""),"Y")</f>
        <v>Y</v>
      </c>
      <c r="P633" s="1" t="str">
        <f>IFERROR(__xludf.DUMMYFUNCTION("""COMPUTED_VALUE"""),"ID 13763")</f>
        <v>ID 13763</v>
      </c>
      <c r="Q633" s="1" t="str">
        <f>IFERROR(__xludf.DUMMYFUNCTION("""COMPUTED_VALUE"""),"B0021Z855O")</f>
        <v>B0021Z855O</v>
      </c>
    </row>
    <row r="634">
      <c r="A634" s="6">
        <f>IFERROR(__xludf.DUMMYFUNCTION("""COMPUTED_VALUE"""),44875.0)</f>
        <v>44875</v>
      </c>
      <c r="B634">
        <f>IFERROR(__xludf.DUMMYFUNCTION("""COMPUTED_VALUE"""),23637.0)</f>
        <v>23637</v>
      </c>
      <c r="C634" t="str">
        <f>IFERROR(__xludf.DUMMYFUNCTION("""COMPUTED_VALUE"""),"Ellen Tracy By Ellen Tracy For Women. Eau De Parfum Spray 3.4 Ounces")</f>
        <v>Ellen Tracy By Ellen Tracy For Women. Eau De Parfum Spray 3.4 Ounces</v>
      </c>
      <c r="D634" t="str">
        <f>IFERROR(__xludf.DUMMYFUNCTION("""COMPUTED_VALUE"""),"B000C1Z4YY")</f>
        <v>B000C1Z4YY</v>
      </c>
      <c r="E634" t="str">
        <f>IFERROR(__xludf.DUMMYFUNCTION("""COMPUTED_VALUE"""),"899219002017")</f>
        <v>899219002017</v>
      </c>
      <c r="F634">
        <f>IFERROR(__xludf.DUMMYFUNCTION("""COMPUTED_VALUE"""),140.0)</f>
        <v>140</v>
      </c>
      <c r="G634">
        <f>IFERROR(__xludf.DUMMYFUNCTION("""COMPUTED_VALUE"""),1000.0)</f>
        <v>1000</v>
      </c>
      <c r="H634" s="2">
        <f>IFERROR(__xludf.DUMMYFUNCTION("""COMPUTED_VALUE"""),9.5)</f>
        <v>9.5</v>
      </c>
      <c r="I634" s="2">
        <f>IFERROR(__xludf.DUMMYFUNCTION("""COMPUTED_VALUE"""),10.69)</f>
        <v>10.69</v>
      </c>
      <c r="J634" s="2">
        <f>IFERROR(__xludf.DUMMYFUNCTION("""COMPUTED_VALUE"""),1.1899999999999995)</f>
        <v>1.19</v>
      </c>
      <c r="K634" s="5">
        <f>IFERROR(__xludf.DUMMYFUNCTION("""COMPUTED_VALUE"""),0.1252631578947368)</f>
        <v>0.1252631579</v>
      </c>
      <c r="L634">
        <f>IFERROR(__xludf.DUMMYFUNCTION("""COMPUTED_VALUE"""),51810.0)</f>
        <v>51810</v>
      </c>
      <c r="M634" t="str">
        <f>IFERROR(__xludf.DUMMYFUNCTION("""COMPUTED_VALUE"""),"Beauty")</f>
        <v>Beauty</v>
      </c>
      <c r="O634" t="str">
        <f>IFERROR(__xludf.DUMMYFUNCTION("""COMPUTED_VALUE"""),"N")</f>
        <v>N</v>
      </c>
      <c r="P634" s="1" t="str">
        <f>IFERROR(__xludf.DUMMYFUNCTION("""COMPUTED_VALUE"""),"ID 23637")</f>
        <v>ID 23637</v>
      </c>
      <c r="Q634" s="1" t="str">
        <f>IFERROR(__xludf.DUMMYFUNCTION("""COMPUTED_VALUE"""),"B000C1Z4YY")</f>
        <v>B000C1Z4YY</v>
      </c>
    </row>
    <row r="635">
      <c r="A635" s="6">
        <f>IFERROR(__xludf.DUMMYFUNCTION("""COMPUTED_VALUE"""),45105.0)</f>
        <v>45105</v>
      </c>
      <c r="B635">
        <f>IFERROR(__xludf.DUMMYFUNCTION("""COMPUTED_VALUE"""),23767.0)</f>
        <v>23767</v>
      </c>
      <c r="C635" t="str">
        <f>IFERROR(__xludf.DUMMYFUNCTION("""COMPUTED_VALUE"""),"Satco S7365 13-watt 900 Lumens Candelabra T2 Spiral 4100K Light Bulb, Bright White")</f>
        <v>Satco S7365 13-watt 900 Lumens Candelabra T2 Spiral 4100K Light Bulb, Bright White</v>
      </c>
      <c r="D635" t="str">
        <f>IFERROR(__xludf.DUMMYFUNCTION("""COMPUTED_VALUE"""),"B00H1JZ6IE")</f>
        <v>B00H1JZ6IE</v>
      </c>
      <c r="E635" t="str">
        <f>IFERROR(__xludf.DUMMYFUNCTION("""COMPUTED_VALUE"""),"045923073656")</f>
        <v>045923073656</v>
      </c>
      <c r="F635">
        <f>IFERROR(__xludf.DUMMYFUNCTION("""COMPUTED_VALUE"""),384.0)</f>
        <v>384</v>
      </c>
      <c r="G635">
        <f>IFERROR(__xludf.DUMMYFUNCTION("""COMPUTED_VALUE"""),10000.0)</f>
        <v>10000</v>
      </c>
      <c r="H635" s="2">
        <f>IFERROR(__xludf.DUMMYFUNCTION("""COMPUTED_VALUE"""),3.5)</f>
        <v>3.5</v>
      </c>
      <c r="I635" s="2">
        <f>IFERROR(__xludf.DUMMYFUNCTION("""COMPUTED_VALUE"""),4.69)</f>
        <v>4.69</v>
      </c>
      <c r="J635" s="2">
        <f>IFERROR(__xludf.DUMMYFUNCTION("""COMPUTED_VALUE"""),1.1900000000000004)</f>
        <v>1.19</v>
      </c>
      <c r="K635" s="5">
        <f>IFERROR(__xludf.DUMMYFUNCTION("""COMPUTED_VALUE"""),0.34000000000000014)</f>
        <v>0.34</v>
      </c>
      <c r="L635">
        <f>IFERROR(__xludf.DUMMYFUNCTION("""COMPUTED_VALUE"""),29798.0)</f>
        <v>29798</v>
      </c>
      <c r="M635" t="str">
        <f>IFERROR(__xludf.DUMMYFUNCTION("""COMPUTED_VALUE"""),"Home Improvement")</f>
        <v>Home Improvement</v>
      </c>
      <c r="O635" t="str">
        <f>IFERROR(__xludf.DUMMYFUNCTION("""COMPUTED_VALUE"""),"N")</f>
        <v>N</v>
      </c>
      <c r="P635" s="1" t="str">
        <f>IFERROR(__xludf.DUMMYFUNCTION("""COMPUTED_VALUE"""),"ID 23767")</f>
        <v>ID 23767</v>
      </c>
      <c r="Q635" s="1" t="str">
        <f>IFERROR(__xludf.DUMMYFUNCTION("""COMPUTED_VALUE"""),"B00H1JZ6IE")</f>
        <v>B00H1JZ6IE</v>
      </c>
    </row>
    <row r="636">
      <c r="A636" s="6">
        <f>IFERROR(__xludf.DUMMYFUNCTION("""COMPUTED_VALUE"""),44785.0)</f>
        <v>44785</v>
      </c>
      <c r="B636">
        <f>IFERROR(__xludf.DUMMYFUNCTION("""COMPUTED_VALUE"""),24979.0)</f>
        <v>24979</v>
      </c>
      <c r="C636" t="str">
        <f>IFERROR(__xludf.DUMMYFUNCTION("""COMPUTED_VALUE"""),"Post-it Super Sticky Recycled Notes, 3x3 in, 6 Pads, 2x the Sticking Power, Bali Collection, Pastel Colors (Lavender, Apricot, Blue, Pink, Mint), 30% Recycled Paper (654-6SSNRP)")</f>
        <v>Post-it Super Sticky Recycled Notes, 3x3 in, 6 Pads, 2x the Sticking Power, Bali Collection, Pastel Colors (Lavender, Apricot, Blue, Pink, Mint), 30% Recycled Paper (654-6SSNRP)</v>
      </c>
      <c r="D636" t="str">
        <f>IFERROR(__xludf.DUMMYFUNCTION("""COMPUTED_VALUE"""),"B002Z6ZS0E")</f>
        <v>B002Z6ZS0E</v>
      </c>
      <c r="E636" t="str">
        <f>IFERROR(__xludf.DUMMYFUNCTION("""COMPUTED_VALUE"""),"51135807880")</f>
        <v>51135807880</v>
      </c>
      <c r="F636">
        <f>IFERROR(__xludf.DUMMYFUNCTION("""COMPUTED_VALUE"""),768.0)</f>
        <v>768</v>
      </c>
      <c r="G636">
        <f>IFERROR(__xludf.DUMMYFUNCTION("""COMPUTED_VALUE"""),144.0)</f>
        <v>144</v>
      </c>
      <c r="H636" s="2">
        <f>IFERROR(__xludf.DUMMYFUNCTION("""COMPUTED_VALUE"""),2.5)</f>
        <v>2.5</v>
      </c>
      <c r="I636" s="2">
        <f>IFERROR(__xludf.DUMMYFUNCTION("""COMPUTED_VALUE"""),3.69)</f>
        <v>3.69</v>
      </c>
      <c r="J636" s="2">
        <f>IFERROR(__xludf.DUMMYFUNCTION("""COMPUTED_VALUE"""),1.19)</f>
        <v>1.19</v>
      </c>
      <c r="K636" s="5">
        <f>IFERROR(__xludf.DUMMYFUNCTION("""COMPUTED_VALUE"""),0.476)</f>
        <v>0.476</v>
      </c>
      <c r="L636">
        <f>IFERROR(__xludf.DUMMYFUNCTION("""COMPUTED_VALUE"""),60222.0)</f>
        <v>60222</v>
      </c>
      <c r="M636" t="str">
        <f>IFERROR(__xludf.DUMMYFUNCTION("""COMPUTED_VALUE"""),"Office Product")</f>
        <v>Office Product</v>
      </c>
      <c r="O636" t="str">
        <f>IFERROR(__xludf.DUMMYFUNCTION("""COMPUTED_VALUE"""),"N")</f>
        <v>N</v>
      </c>
      <c r="P636" s="1" t="str">
        <f>IFERROR(__xludf.DUMMYFUNCTION("""COMPUTED_VALUE"""),"ID 24979")</f>
        <v>ID 24979</v>
      </c>
      <c r="Q636" s="1" t="str">
        <f>IFERROR(__xludf.DUMMYFUNCTION("""COMPUTED_VALUE"""),"B002Z6ZS0E")</f>
        <v>B002Z6ZS0E</v>
      </c>
    </row>
    <row r="637">
      <c r="A637" s="6">
        <f>IFERROR(__xludf.DUMMYFUNCTION("""COMPUTED_VALUE"""),45421.0)</f>
        <v>45421</v>
      </c>
      <c r="B637">
        <f>IFERROR(__xludf.DUMMYFUNCTION("""COMPUTED_VALUE"""),12781.0)</f>
        <v>12781</v>
      </c>
      <c r="C637" t="str">
        <f>IFERROR(__xludf.DUMMYFUNCTION("""COMPUTED_VALUE"""),"Chartpak Self-Adhesive Vinyl Numbers, 1/4 Inch High, Red, 718 per Pack (01102)")</f>
        <v>Chartpak Self-Adhesive Vinyl Numbers, 1/4 Inch High, Red, 718 per Pack (01102)</v>
      </c>
      <c r="D637" t="str">
        <f>IFERROR(__xludf.DUMMYFUNCTION("""COMPUTED_VALUE"""),"B004O79HF4")</f>
        <v>B004O79HF4</v>
      </c>
      <c r="E637" t="str">
        <f>IFERROR(__xludf.DUMMYFUNCTION("""COMPUTED_VALUE"""),"014173118929")</f>
        <v>014173118929</v>
      </c>
      <c r="F637">
        <f>IFERROR(__xludf.DUMMYFUNCTION("""COMPUTED_VALUE"""),792.0)</f>
        <v>792</v>
      </c>
      <c r="G637">
        <f>IFERROR(__xludf.DUMMYFUNCTION("""COMPUTED_VALUE"""),10000.0)</f>
        <v>10000</v>
      </c>
      <c r="H637" s="2">
        <f>IFERROR(__xludf.DUMMYFUNCTION("""COMPUTED_VALUE"""),2.75)</f>
        <v>2.75</v>
      </c>
      <c r="I637" s="2">
        <f>IFERROR(__xludf.DUMMYFUNCTION("""COMPUTED_VALUE"""),3.93)</f>
        <v>3.93</v>
      </c>
      <c r="J637" s="2">
        <f>IFERROR(__xludf.DUMMYFUNCTION("""COMPUTED_VALUE"""),1.1800000000000002)</f>
        <v>1.18</v>
      </c>
      <c r="K637" s="5">
        <f>IFERROR(__xludf.DUMMYFUNCTION("""COMPUTED_VALUE"""),0.42909090909090913)</f>
        <v>0.4290909091</v>
      </c>
      <c r="L637">
        <f>IFERROR(__xludf.DUMMYFUNCTION("""COMPUTED_VALUE"""),10065.0)</f>
        <v>10065</v>
      </c>
      <c r="M637" t="str">
        <f>IFERROR(__xludf.DUMMYFUNCTION("""COMPUTED_VALUE"""),"Office Product")</f>
        <v>Office Product</v>
      </c>
      <c r="O637" t="str">
        <f>IFERROR(__xludf.DUMMYFUNCTION("""COMPUTED_VALUE"""),"N")</f>
        <v>N</v>
      </c>
      <c r="P637" s="1" t="str">
        <f>IFERROR(__xludf.DUMMYFUNCTION("""COMPUTED_VALUE"""),"ID 12781")</f>
        <v>ID 12781</v>
      </c>
      <c r="Q637" s="1" t="str">
        <f>IFERROR(__xludf.DUMMYFUNCTION("""COMPUTED_VALUE"""),"B004O79HF4")</f>
        <v>B004O79HF4</v>
      </c>
    </row>
    <row r="638">
      <c r="A638" s="6">
        <f>IFERROR(__xludf.DUMMYFUNCTION("""COMPUTED_VALUE"""),45141.0)</f>
        <v>45141</v>
      </c>
      <c r="B638">
        <f>IFERROR(__xludf.DUMMYFUNCTION("""COMPUTED_VALUE"""),24652.0)</f>
        <v>24652</v>
      </c>
      <c r="C638" t="str">
        <f>IFERROR(__xludf.DUMMYFUNCTION("""COMPUTED_VALUE"""),"Mr. Sketch Scented Stix™ Watercolor Marker Set")</f>
        <v>Mr. Sketch Scented Stix™ Watercolor Marker Set</v>
      </c>
      <c r="D638" t="str">
        <f>IFERROR(__xludf.DUMMYFUNCTION("""COMPUTED_VALUE"""),"B00XJ3ODOO")</f>
        <v>B00XJ3ODOO</v>
      </c>
      <c r="E638" t="str">
        <f>IFERROR(__xludf.DUMMYFUNCTION("""COMPUTED_VALUE"""),"071641036109")</f>
        <v>071641036109</v>
      </c>
      <c r="F638">
        <f>IFERROR(__xludf.DUMMYFUNCTION("""COMPUTED_VALUE"""),720.0)</f>
        <v>720</v>
      </c>
      <c r="G638">
        <f>IFERROR(__xludf.DUMMYFUNCTION("""COMPUTED_VALUE"""),7394.0)</f>
        <v>7394</v>
      </c>
      <c r="H638" s="2">
        <f>IFERROR(__xludf.DUMMYFUNCTION("""COMPUTED_VALUE"""),4.5)</f>
        <v>4.5</v>
      </c>
      <c r="I638" s="2">
        <f>IFERROR(__xludf.DUMMYFUNCTION("""COMPUTED_VALUE"""),5.68)</f>
        <v>5.68</v>
      </c>
      <c r="J638" s="2">
        <f>IFERROR(__xludf.DUMMYFUNCTION("""COMPUTED_VALUE"""),1.1799999999999997)</f>
        <v>1.18</v>
      </c>
      <c r="K638" s="5">
        <f>IFERROR(__xludf.DUMMYFUNCTION("""COMPUTED_VALUE"""),0.26222222222222213)</f>
        <v>0.2622222222</v>
      </c>
      <c r="L638">
        <f>IFERROR(__xludf.DUMMYFUNCTION("""COMPUTED_VALUE"""),12244.0)</f>
        <v>12244</v>
      </c>
      <c r="M638" t="str">
        <f>IFERROR(__xludf.DUMMYFUNCTION("""COMPUTED_VALUE"""),"Art and Craft Supply")</f>
        <v>Art and Craft Supply</v>
      </c>
      <c r="N638"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638" t="str">
        <f>IFERROR(__xludf.DUMMYFUNCTION("""COMPUTED_VALUE"""),"N")</f>
        <v>N</v>
      </c>
      <c r="P638" s="1" t="str">
        <f>IFERROR(__xludf.DUMMYFUNCTION("""COMPUTED_VALUE"""),"ID 24652")</f>
        <v>ID 24652</v>
      </c>
      <c r="Q638" s="1" t="str">
        <f>IFERROR(__xludf.DUMMYFUNCTION("""COMPUTED_VALUE"""),"B00XJ3ODOO")</f>
        <v>B00XJ3ODOO</v>
      </c>
    </row>
    <row r="639">
      <c r="A639" s="6">
        <f>IFERROR(__xludf.DUMMYFUNCTION("""COMPUTED_VALUE"""),45267.0)</f>
        <v>45267</v>
      </c>
      <c r="B639">
        <f>IFERROR(__xludf.DUMMYFUNCTION("""COMPUTED_VALUE"""),8197.0)</f>
        <v>8197</v>
      </c>
      <c r="C639" t="str">
        <f>IFERROR(__xludf.DUMMYFUNCTION("""COMPUTED_VALUE"""),"Curve By Liz Claiborne Body Mist 8 Oz")</f>
        <v>Curve By Liz Claiborne Body Mist 8 Oz</v>
      </c>
      <c r="D639" t="str">
        <f>IFERROR(__xludf.DUMMYFUNCTION("""COMPUTED_VALUE"""),"B06XBD8179")</f>
        <v>B06XBD8179</v>
      </c>
      <c r="E639" t="str">
        <f>IFERROR(__xludf.DUMMYFUNCTION("""COMPUTED_VALUE"""),"719346634977")</f>
        <v>719346634977</v>
      </c>
      <c r="F639">
        <f>IFERROR(__xludf.DUMMYFUNCTION("""COMPUTED_VALUE"""),179.0)</f>
        <v>179</v>
      </c>
      <c r="G639">
        <f>IFERROR(__xludf.DUMMYFUNCTION("""COMPUTED_VALUE"""),179.0)</f>
        <v>179</v>
      </c>
      <c r="H639" s="2">
        <f>IFERROR(__xludf.DUMMYFUNCTION("""COMPUTED_VALUE"""),5.75)</f>
        <v>5.75</v>
      </c>
      <c r="I639" s="2">
        <f>IFERROR(__xludf.DUMMYFUNCTION("""COMPUTED_VALUE"""),6.92)</f>
        <v>6.92</v>
      </c>
      <c r="J639" s="2">
        <f>IFERROR(__xludf.DUMMYFUNCTION("""COMPUTED_VALUE"""),1.17)</f>
        <v>1.17</v>
      </c>
      <c r="K639" s="5">
        <f>IFERROR(__xludf.DUMMYFUNCTION("""COMPUTED_VALUE"""),0.2034782608695652)</f>
        <v>0.2034782609</v>
      </c>
      <c r="L639">
        <f>IFERROR(__xludf.DUMMYFUNCTION("""COMPUTED_VALUE"""),90588.0)</f>
        <v>90588</v>
      </c>
      <c r="M639" t="str">
        <f>IFERROR(__xludf.DUMMYFUNCTION("""COMPUTED_VALUE"""),"Beauty")</f>
        <v>Beauty</v>
      </c>
      <c r="O639" t="str">
        <f>IFERROR(__xludf.DUMMYFUNCTION("""COMPUTED_VALUE"""),"N")</f>
        <v>N</v>
      </c>
      <c r="P639" s="1" t="str">
        <f>IFERROR(__xludf.DUMMYFUNCTION("""COMPUTED_VALUE"""),"ID 8197")</f>
        <v>ID 8197</v>
      </c>
      <c r="Q639" s="1" t="str">
        <f>IFERROR(__xludf.DUMMYFUNCTION("""COMPUTED_VALUE"""),"B06XBD8179")</f>
        <v>B06XBD8179</v>
      </c>
    </row>
    <row r="640">
      <c r="A640" s="6">
        <f>IFERROR(__xludf.DUMMYFUNCTION("""COMPUTED_VALUE"""),45250.0)</f>
        <v>45250</v>
      </c>
      <c r="B640">
        <f>IFERROR(__xludf.DUMMYFUNCTION("""COMPUTED_VALUE"""),18400.0)</f>
        <v>18400</v>
      </c>
      <c r="C640" t="str">
        <f>IFERROR(__xludf.DUMMYFUNCTION("""COMPUTED_VALUE"""),"Chef Craft Wood Handle Corkscrew, Tan")</f>
        <v>Chef Craft Wood Handle Corkscrew, Tan</v>
      </c>
      <c r="D640" t="str">
        <f>IFERROR(__xludf.DUMMYFUNCTION("""COMPUTED_VALUE"""),"B00LSD7TYI")</f>
        <v>B00LSD7TYI</v>
      </c>
      <c r="E640" t="str">
        <f>IFERROR(__xludf.DUMMYFUNCTION("""COMPUTED_VALUE"""),"085455209635")</f>
        <v>085455209635</v>
      </c>
      <c r="F640">
        <f>IFERROR(__xludf.DUMMYFUNCTION("""COMPUTED_VALUE"""),1008.0)</f>
        <v>1008</v>
      </c>
      <c r="G640">
        <f>IFERROR(__xludf.DUMMYFUNCTION("""COMPUTED_VALUE"""),4500.0)</f>
        <v>4500</v>
      </c>
      <c r="H640" s="2">
        <f>IFERROR(__xludf.DUMMYFUNCTION("""COMPUTED_VALUE"""),1.0)</f>
        <v>1</v>
      </c>
      <c r="I640" s="2">
        <f>IFERROR(__xludf.DUMMYFUNCTION("""COMPUTED_VALUE"""),2.17)</f>
        <v>2.17</v>
      </c>
      <c r="J640" s="2">
        <f>IFERROR(__xludf.DUMMYFUNCTION("""COMPUTED_VALUE"""),1.17)</f>
        <v>1.17</v>
      </c>
      <c r="K640" s="5">
        <f>IFERROR(__xludf.DUMMYFUNCTION("""COMPUTED_VALUE"""),1.17)</f>
        <v>1.17</v>
      </c>
      <c r="L640">
        <f>IFERROR(__xludf.DUMMYFUNCTION("""COMPUTED_VALUE"""),2019.0)</f>
        <v>2019</v>
      </c>
      <c r="M640" t="str">
        <f>IFERROR(__xludf.DUMMYFUNCTION("""COMPUTED_VALUE"""),"Kitchen")</f>
        <v>Kitchen</v>
      </c>
      <c r="O640" t="str">
        <f>IFERROR(__xludf.DUMMYFUNCTION("""COMPUTED_VALUE"""),"Y")</f>
        <v>Y</v>
      </c>
      <c r="P640" s="1" t="str">
        <f>IFERROR(__xludf.DUMMYFUNCTION("""COMPUTED_VALUE"""),"ID 18400")</f>
        <v>ID 18400</v>
      </c>
      <c r="Q640" s="1" t="str">
        <f>IFERROR(__xludf.DUMMYFUNCTION("""COMPUTED_VALUE"""),"B00LSD7TYI")</f>
        <v>B00LSD7TYI</v>
      </c>
    </row>
    <row r="641">
      <c r="A641" s="6">
        <f>IFERROR(__xludf.DUMMYFUNCTION("""COMPUTED_VALUE"""),44690.0)</f>
        <v>44690</v>
      </c>
      <c r="B641">
        <f>IFERROR(__xludf.DUMMYFUNCTION("""COMPUTED_VALUE"""),19353.0)</f>
        <v>19353</v>
      </c>
      <c r="C641" t="str">
        <f>IFERROR(__xludf.DUMMYFUNCTION("""COMPUTED_VALUE"""),"Alpine Industries Double Box Wire Wall Mount Glove Dispenser - Mounted Organizer Rack for Disposable Surgical Glovebox &amp; Tissue Boxes - Hanging Lab &amp; Kitchen Storage (Black, 2 Box)")</f>
        <v>Alpine Industries Double Box Wire Wall Mount Glove Dispenser - Mounted Organizer Rack for Disposable Surgical Glovebox &amp; Tissue Boxes - Hanging Lab &amp; Kitchen Storage (Black, 2 Box)</v>
      </c>
      <c r="D641" t="str">
        <f>IFERROR(__xludf.DUMMYFUNCTION("""COMPUTED_VALUE"""),"B07XFG5DJT")</f>
        <v>B07XFG5DJT</v>
      </c>
      <c r="E641" t="str">
        <f>IFERROR(__xludf.DUMMYFUNCTION("""COMPUTED_VALUE"""),"810012671712")</f>
        <v>810012671712</v>
      </c>
      <c r="F641">
        <f>IFERROR(__xludf.DUMMYFUNCTION("""COMPUTED_VALUE"""),300.0)</f>
        <v>300</v>
      </c>
      <c r="G641">
        <f>IFERROR(__xludf.DUMMYFUNCTION("""COMPUTED_VALUE"""),1000.0)</f>
        <v>1000</v>
      </c>
      <c r="H641" s="2">
        <f>IFERROR(__xludf.DUMMYFUNCTION("""COMPUTED_VALUE"""),7.25)</f>
        <v>7.25</v>
      </c>
      <c r="I641" s="2">
        <f>IFERROR(__xludf.DUMMYFUNCTION("""COMPUTED_VALUE"""),8.42)</f>
        <v>8.42</v>
      </c>
      <c r="J641" s="2">
        <f>IFERROR(__xludf.DUMMYFUNCTION("""COMPUTED_VALUE"""),1.17)</f>
        <v>1.17</v>
      </c>
      <c r="K641" s="5">
        <f>IFERROR(__xludf.DUMMYFUNCTION("""COMPUTED_VALUE"""),0.16137931034482758)</f>
        <v>0.1613793103</v>
      </c>
      <c r="L641">
        <f>IFERROR(__xludf.DUMMYFUNCTION("""COMPUTED_VALUE"""),16333.0)</f>
        <v>16333</v>
      </c>
      <c r="M641" t="str">
        <f>IFERROR(__xludf.DUMMYFUNCTION("""COMPUTED_VALUE"""),"Home Improvement")</f>
        <v>Home Improvement</v>
      </c>
      <c r="N641" t="str">
        <f>IFERROR(__xludf.DUMMYFUNCTION("""COMPUTED_VALUE"""),"Preorder")</f>
        <v>Preorder</v>
      </c>
      <c r="O641" t="str">
        <f>IFERROR(__xludf.DUMMYFUNCTION("""COMPUTED_VALUE"""),"N")</f>
        <v>N</v>
      </c>
      <c r="P641" s="1" t="str">
        <f>IFERROR(__xludf.DUMMYFUNCTION("""COMPUTED_VALUE"""),"ID 19353")</f>
        <v>ID 19353</v>
      </c>
      <c r="Q641" s="1" t="str">
        <f>IFERROR(__xludf.DUMMYFUNCTION("""COMPUTED_VALUE"""),"B07XFG5DJT")</f>
        <v>B07XFG5DJT</v>
      </c>
    </row>
    <row r="642">
      <c r="A642" s="6">
        <f>IFERROR(__xludf.DUMMYFUNCTION("""COMPUTED_VALUE"""),45383.0)</f>
        <v>45383</v>
      </c>
      <c r="B642">
        <f>IFERROR(__xludf.DUMMYFUNCTION("""COMPUTED_VALUE"""),20159.0)</f>
        <v>20159</v>
      </c>
      <c r="C642" t="str">
        <f>IFERROR(__xludf.DUMMYFUNCTION("""COMPUTED_VALUE"""),"uni-ball 207 Impact Retractable Gel Pen Refills, Bold Point (1.0mm), Black, 2 Count")</f>
        <v>uni-ball 207 Impact Retractable Gel Pen Refills, Bold Point (1.0mm), Black, 2 Count</v>
      </c>
      <c r="D642" t="str">
        <f>IFERROR(__xludf.DUMMYFUNCTION("""COMPUTED_VALUE"""),"B00006IE9F")</f>
        <v>B00006IE9F</v>
      </c>
      <c r="E642" t="str">
        <f>IFERROR(__xludf.DUMMYFUNCTION("""COMPUTED_VALUE"""),"030246658734")</f>
        <v>030246658734</v>
      </c>
      <c r="F642">
        <f>IFERROR(__xludf.DUMMYFUNCTION("""COMPUTED_VALUE"""),624.0)</f>
        <v>624</v>
      </c>
      <c r="G642">
        <f>IFERROR(__xludf.DUMMYFUNCTION("""COMPUTED_VALUE"""),10000.0)</f>
        <v>10000</v>
      </c>
      <c r="H642" s="2">
        <f>IFERROR(__xludf.DUMMYFUNCTION("""COMPUTED_VALUE"""),2.0)</f>
        <v>2</v>
      </c>
      <c r="I642" s="2">
        <f>IFERROR(__xludf.DUMMYFUNCTION("""COMPUTED_VALUE"""),3.17)</f>
        <v>3.17</v>
      </c>
      <c r="J642" s="2">
        <f>IFERROR(__xludf.DUMMYFUNCTION("""COMPUTED_VALUE"""),1.17)</f>
        <v>1.17</v>
      </c>
      <c r="K642" s="5">
        <f>IFERROR(__xludf.DUMMYFUNCTION("""COMPUTED_VALUE"""),0.585)</f>
        <v>0.585</v>
      </c>
      <c r="L642">
        <f>IFERROR(__xludf.DUMMYFUNCTION("""COMPUTED_VALUE"""),20098.0)</f>
        <v>20098</v>
      </c>
      <c r="M642" t="str">
        <f>IFERROR(__xludf.DUMMYFUNCTION("""COMPUTED_VALUE"""),"BISS Basic")</f>
        <v>BISS Basic</v>
      </c>
      <c r="O642" t="str">
        <f>IFERROR(__xludf.DUMMYFUNCTION("""COMPUTED_VALUE"""),"Y")</f>
        <v>Y</v>
      </c>
      <c r="P642" s="1" t="str">
        <f>IFERROR(__xludf.DUMMYFUNCTION("""COMPUTED_VALUE"""),"ID 20159")</f>
        <v>ID 20159</v>
      </c>
      <c r="Q642" s="1" t="str">
        <f>IFERROR(__xludf.DUMMYFUNCTION("""COMPUTED_VALUE"""),"B00006IE9F")</f>
        <v>B00006IE9F</v>
      </c>
    </row>
    <row r="643">
      <c r="A643" s="6">
        <f>IFERROR(__xludf.DUMMYFUNCTION("""COMPUTED_VALUE"""),45390.0)</f>
        <v>45390</v>
      </c>
      <c r="B643">
        <f>IFERROR(__xludf.DUMMYFUNCTION("""COMPUTED_VALUE"""),13926.0)</f>
        <v>13926</v>
      </c>
      <c r="C643" t="str">
        <f>IFERROR(__xludf.DUMMYFUNCTION("""COMPUTED_VALUE"""),"Paul Sebastian Cologne for Men, 8.0 Fluid Ounce SPLASH")</f>
        <v>Paul Sebastian Cologne for Men, 8.0 Fluid Ounce SPLASH</v>
      </c>
      <c r="D643" t="str">
        <f>IFERROR(__xludf.DUMMYFUNCTION("""COMPUTED_VALUE"""),"B000P8ZLT2")</f>
        <v>B000P8ZLT2</v>
      </c>
      <c r="E643" t="str">
        <f>IFERROR(__xludf.DUMMYFUNCTION("""COMPUTED_VALUE"""),"0716393029176")</f>
        <v>0716393029176</v>
      </c>
      <c r="F643">
        <f>IFERROR(__xludf.DUMMYFUNCTION("""COMPUTED_VALUE"""),70.0)</f>
        <v>70</v>
      </c>
      <c r="G643">
        <f>IFERROR(__xludf.DUMMYFUNCTION("""COMPUTED_VALUE"""),10000.0)</f>
        <v>10000</v>
      </c>
      <c r="H643" s="2">
        <f>IFERROR(__xludf.DUMMYFUNCTION("""COMPUTED_VALUE"""),20.0)</f>
        <v>20</v>
      </c>
      <c r="I643" s="2">
        <f>IFERROR(__xludf.DUMMYFUNCTION("""COMPUTED_VALUE"""),21.16)</f>
        <v>21.16</v>
      </c>
      <c r="J643" s="2">
        <f>IFERROR(__xludf.DUMMYFUNCTION("""COMPUTED_VALUE"""),1.1600000000000001)</f>
        <v>1.16</v>
      </c>
      <c r="K643" s="5">
        <f>IFERROR(__xludf.DUMMYFUNCTION("""COMPUTED_VALUE"""),0.05800000000000001)</f>
        <v>0.058</v>
      </c>
      <c r="L643">
        <f>IFERROR(__xludf.DUMMYFUNCTION("""COMPUTED_VALUE"""),43673.0)</f>
        <v>43673</v>
      </c>
      <c r="M643" t="str">
        <f>IFERROR(__xludf.DUMMYFUNCTION("""COMPUTED_VALUE"""),"Beauty")</f>
        <v>Beauty</v>
      </c>
      <c r="O643" t="str">
        <f>IFERROR(__xludf.DUMMYFUNCTION("""COMPUTED_VALUE"""),"Y")</f>
        <v>Y</v>
      </c>
      <c r="P643" s="1" t="str">
        <f>IFERROR(__xludf.DUMMYFUNCTION("""COMPUTED_VALUE"""),"ID 13926")</f>
        <v>ID 13926</v>
      </c>
      <c r="Q643" s="1" t="str">
        <f>IFERROR(__xludf.DUMMYFUNCTION("""COMPUTED_VALUE"""),"B000P8ZLT2")</f>
        <v>B000P8ZLT2</v>
      </c>
    </row>
    <row r="644">
      <c r="A644" s="6">
        <f>IFERROR(__xludf.DUMMYFUNCTION("""COMPUTED_VALUE"""),44458.0)</f>
        <v>44458</v>
      </c>
      <c r="B644">
        <f>IFERROR(__xludf.DUMMYFUNCTION("""COMPUTED_VALUE"""),18443.0)</f>
        <v>18443</v>
      </c>
      <c r="C644" t="str">
        <f>IFERROR(__xludf.DUMMYFUNCTION("""COMPUTED_VALUE"""),"Adams Money and Rent Receipt Book, 2-Part, Carbonless, 2.75 x 7.19 Inch, 50 Sets, White and Canary (DC2701)")</f>
        <v>Adams Money and Rent Receipt Book, 2-Part, Carbonless, 2.75 x 7.19 Inch, 50 Sets, White and Canary (DC2701)</v>
      </c>
      <c r="D644" t="str">
        <f>IFERROR(__xludf.DUMMYFUNCTION("""COMPUTED_VALUE"""),"B00290MKYS")</f>
        <v>B00290MKYS</v>
      </c>
      <c r="E644" t="str">
        <f>IFERROR(__xludf.DUMMYFUNCTION("""COMPUTED_VALUE"""),"87958270129")</f>
        <v>87958270129</v>
      </c>
      <c r="F644">
        <f>IFERROR(__xludf.DUMMYFUNCTION("""COMPUTED_VALUE"""),1300.0)</f>
        <v>1300</v>
      </c>
      <c r="G644">
        <f>IFERROR(__xludf.DUMMYFUNCTION("""COMPUTED_VALUE"""),5000.0)</f>
        <v>5000</v>
      </c>
      <c r="H644" s="2">
        <f>IFERROR(__xludf.DUMMYFUNCTION("""COMPUTED_VALUE"""),2.0)</f>
        <v>2</v>
      </c>
      <c r="I644" s="2">
        <f>IFERROR(__xludf.DUMMYFUNCTION("""COMPUTED_VALUE"""),3.16)</f>
        <v>3.16</v>
      </c>
      <c r="J644" s="2">
        <f>IFERROR(__xludf.DUMMYFUNCTION("""COMPUTED_VALUE"""),1.1600000000000001)</f>
        <v>1.16</v>
      </c>
      <c r="K644" s="5">
        <f>IFERROR(__xludf.DUMMYFUNCTION("""COMPUTED_VALUE"""),0.5800000000000001)</f>
        <v>0.58</v>
      </c>
      <c r="L644">
        <f>IFERROR(__xludf.DUMMYFUNCTION("""COMPUTED_VALUE"""),2894.0)</f>
        <v>2894</v>
      </c>
      <c r="M644" t="str">
        <f>IFERROR(__xludf.DUMMYFUNCTION("""COMPUTED_VALUE"""),"Office Product")</f>
        <v>Office Product</v>
      </c>
      <c r="O644" t="str">
        <f>IFERROR(__xludf.DUMMYFUNCTION("""COMPUTED_VALUE"""),"Y")</f>
        <v>Y</v>
      </c>
      <c r="P644" s="1" t="str">
        <f>IFERROR(__xludf.DUMMYFUNCTION("""COMPUTED_VALUE"""),"ID 18443")</f>
        <v>ID 18443</v>
      </c>
      <c r="Q644" s="1" t="str">
        <f>IFERROR(__xludf.DUMMYFUNCTION("""COMPUTED_VALUE"""),"B00290MKYS")</f>
        <v>B00290MKYS</v>
      </c>
    </row>
    <row r="645">
      <c r="A645" s="6">
        <f>IFERROR(__xludf.DUMMYFUNCTION("""COMPUTED_VALUE"""),45390.0)</f>
        <v>45390</v>
      </c>
      <c r="B645">
        <f>IFERROR(__xludf.DUMMYFUNCTION("""COMPUTED_VALUE"""),5555.0)</f>
        <v>5555</v>
      </c>
      <c r="C645" t="str">
        <f>IFERROR(__xludf.DUMMYFUNCTION("""COMPUTED_VALUE"""),"Chef Craft 13260, 11.25, Yellow")</f>
        <v>Chef Craft 13260, 11.25, Yellow</v>
      </c>
      <c r="D645" t="str">
        <f>IFERROR(__xludf.DUMMYFUNCTION("""COMPUTED_VALUE"""),"B01BKAUEAO")</f>
        <v>B01BKAUEAO</v>
      </c>
      <c r="E645" t="str">
        <f>IFERROR(__xludf.DUMMYFUNCTION("""COMPUTED_VALUE"""),"085455132605")</f>
        <v>085455132605</v>
      </c>
      <c r="F645">
        <f>IFERROR(__xludf.DUMMYFUNCTION("""COMPUTED_VALUE"""),360.0)</f>
        <v>360</v>
      </c>
      <c r="G645">
        <f>IFERROR(__xludf.DUMMYFUNCTION("""COMPUTED_VALUE"""),10000.0)</f>
        <v>10000</v>
      </c>
      <c r="H645" s="2">
        <f>IFERROR(__xludf.DUMMYFUNCTION("""COMPUTED_VALUE"""),2.75)</f>
        <v>2.75</v>
      </c>
      <c r="I645" s="2">
        <f>IFERROR(__xludf.DUMMYFUNCTION("""COMPUTED_VALUE"""),3.9)</f>
        <v>3.9</v>
      </c>
      <c r="J645" s="2">
        <f>IFERROR(__xludf.DUMMYFUNCTION("""COMPUTED_VALUE"""),1.15)</f>
        <v>1.15</v>
      </c>
      <c r="K645" s="5">
        <f>IFERROR(__xludf.DUMMYFUNCTION("""COMPUTED_VALUE"""),0.41818181818181815)</f>
        <v>0.4181818182</v>
      </c>
      <c r="L645">
        <f>IFERROR(__xludf.DUMMYFUNCTION("""COMPUTED_VALUE"""),9923.0)</f>
        <v>9923</v>
      </c>
      <c r="M645" t="str">
        <f>IFERROR(__xludf.DUMMYFUNCTION("""COMPUTED_VALUE"""),"Kitchen")</f>
        <v>Kitchen</v>
      </c>
      <c r="O645" t="str">
        <f>IFERROR(__xludf.DUMMYFUNCTION("""COMPUTED_VALUE"""),"Y")</f>
        <v>Y</v>
      </c>
      <c r="P645" s="1" t="str">
        <f>IFERROR(__xludf.DUMMYFUNCTION("""COMPUTED_VALUE"""),"ID 5555")</f>
        <v>ID 5555</v>
      </c>
      <c r="Q645" s="1" t="str">
        <f>IFERROR(__xludf.DUMMYFUNCTION("""COMPUTED_VALUE"""),"B01BKAUEAO")</f>
        <v>B01BKAUEAO</v>
      </c>
    </row>
    <row r="646">
      <c r="A646" s="6">
        <f>IFERROR(__xludf.DUMMYFUNCTION("""COMPUTED_VALUE"""),44504.0)</f>
        <v>44504</v>
      </c>
      <c r="B646">
        <f>IFERROR(__xludf.DUMMYFUNCTION("""COMPUTED_VALUE"""),23207.0)</f>
        <v>23207</v>
      </c>
      <c r="C646" t="str">
        <f>IFERROR(__xludf.DUMMYFUNCTION("""COMPUTED_VALUE"""),"30 Pack Heavy Base Shot Glass Set, Aoeoe 1.5 oz Whiskey Shot Glasses, Clear Shot Glasses Bulk, Small Shot Glasses, Round Espresso Shot Glass, Glass Cups for Vodka, Whiskey, Tequila, Espresso, Liquor")</f>
        <v>30 Pack Heavy Base Shot Glass Set, Aoeoe 1.5 oz Whiskey Shot Glasses, Clear Shot Glasses Bulk, Small Shot Glasses, Round Espresso Shot Glass, Glass Cups for Vodka, Whiskey, Tequila, Espresso, Liquor</v>
      </c>
      <c r="D646" t="str">
        <f>IFERROR(__xludf.DUMMYFUNCTION("""COMPUTED_VALUE"""),"B08Y8HMWKW")</f>
        <v>B08Y8HMWKW</v>
      </c>
      <c r="F646">
        <f>IFERROR(__xludf.DUMMYFUNCTION("""COMPUTED_VALUE"""),140.0)</f>
        <v>140</v>
      </c>
      <c r="G646">
        <f>IFERROR(__xludf.DUMMYFUNCTION("""COMPUTED_VALUE"""),200.0)</f>
        <v>200</v>
      </c>
      <c r="H646" s="2">
        <f>IFERROR(__xludf.DUMMYFUNCTION("""COMPUTED_VALUE"""),9.5)</f>
        <v>9.5</v>
      </c>
      <c r="I646" s="2">
        <f>IFERROR(__xludf.DUMMYFUNCTION("""COMPUTED_VALUE"""),10.65)</f>
        <v>10.65</v>
      </c>
      <c r="J646" s="2">
        <f>IFERROR(__xludf.DUMMYFUNCTION("""COMPUTED_VALUE"""),1.1500000000000004)</f>
        <v>1.15</v>
      </c>
      <c r="K646" s="5">
        <f>IFERROR(__xludf.DUMMYFUNCTION("""COMPUTED_VALUE"""),0.12105263157894741)</f>
        <v>0.1210526316</v>
      </c>
      <c r="L646">
        <f>IFERROR(__xludf.DUMMYFUNCTION("""COMPUTED_VALUE"""),21182.0)</f>
        <v>21182</v>
      </c>
      <c r="M646" t="str">
        <f>IFERROR(__xludf.DUMMYFUNCTION("""COMPUTED_VALUE"""),"BISS Basic")</f>
        <v>BISS Basic</v>
      </c>
      <c r="N646" t="str">
        <f>IFERROR(__xludf.DUMMYFUNCTION("""COMPUTED_VALUE"""),"Brand permission to resell on amazon unknown")</f>
        <v>Brand permission to resell on amazon unknown</v>
      </c>
      <c r="O646" t="str">
        <f>IFERROR(__xludf.DUMMYFUNCTION("""COMPUTED_VALUE"""),"N")</f>
        <v>N</v>
      </c>
      <c r="P646" s="1" t="str">
        <f>IFERROR(__xludf.DUMMYFUNCTION("""COMPUTED_VALUE"""),"ID 23207")</f>
        <v>ID 23207</v>
      </c>
      <c r="Q646" s="1" t="str">
        <f>IFERROR(__xludf.DUMMYFUNCTION("""COMPUTED_VALUE"""),"B08Y8HMWKW")</f>
        <v>B08Y8HMWKW</v>
      </c>
    </row>
    <row r="647">
      <c r="A647" s="6">
        <f>IFERROR(__xludf.DUMMYFUNCTION("""COMPUTED_VALUE"""),44586.0)</f>
        <v>44586</v>
      </c>
      <c r="B647">
        <f>IFERROR(__xludf.DUMMYFUNCTION("""COMPUTED_VALUE"""),24853.0)</f>
        <v>24853</v>
      </c>
      <c r="C647" t="str">
        <f>IFERROR(__xludf.DUMMYFUNCTION("""COMPUTED_VALUE"""),"Portable Telescopic Stool Folding Stool Camping Stools Sturdy Seat with Load Capacity 400lbs,Collapsible Stool Retractable Stool for Outdoor Camping Fishing Hiking Travel Queuing Gardening（RED）")</f>
        <v>Portable Telescopic Stool Folding Stool Camping Stools Sturdy Seat with Load Capacity 400lbs,Collapsible Stool Retractable Stool for Outdoor Camping Fishing Hiking Travel Queuing Gardening（RED）</v>
      </c>
      <c r="D647" t="str">
        <f>IFERROR(__xludf.DUMMYFUNCTION("""COMPUTED_VALUE"""),"B094XRD9RF")</f>
        <v>B094XRD9RF</v>
      </c>
      <c r="F647">
        <f>IFERROR(__xludf.DUMMYFUNCTION("""COMPUTED_VALUE"""),140.0)</f>
        <v>140</v>
      </c>
      <c r="G647">
        <f>IFERROR(__xludf.DUMMYFUNCTION("""COMPUTED_VALUE"""),500.0)</f>
        <v>500</v>
      </c>
      <c r="H647" s="2">
        <f>IFERROR(__xludf.DUMMYFUNCTION("""COMPUTED_VALUE"""),9.75)</f>
        <v>9.75</v>
      </c>
      <c r="I647" s="2">
        <f>IFERROR(__xludf.DUMMYFUNCTION("""COMPUTED_VALUE"""),10.9)</f>
        <v>10.9</v>
      </c>
      <c r="J647" s="2">
        <f>IFERROR(__xludf.DUMMYFUNCTION("""COMPUTED_VALUE"""),1.1500000000000004)</f>
        <v>1.15</v>
      </c>
      <c r="K647" s="5">
        <f>IFERROR(__xludf.DUMMYFUNCTION("""COMPUTED_VALUE"""),0.11794871794871799)</f>
        <v>0.1179487179</v>
      </c>
      <c r="L647">
        <f>IFERROR(__xludf.DUMMYFUNCTION("""COMPUTED_VALUE"""),59940.0)</f>
        <v>59940</v>
      </c>
      <c r="M647" t="str">
        <f>IFERROR(__xludf.DUMMYFUNCTION("""COMPUTED_VALUE"""),"Kitchen")</f>
        <v>Kitchen</v>
      </c>
      <c r="N647" t="str">
        <f>IFERROR(__xludf.DUMMYFUNCTION("""COMPUTED_VALUE"""),"Brand permission to resell on amazon unknown.")</f>
        <v>Brand permission to resell on amazon unknown.</v>
      </c>
      <c r="O647" t="str">
        <f>IFERROR(__xludf.DUMMYFUNCTION("""COMPUTED_VALUE"""),"N")</f>
        <v>N</v>
      </c>
      <c r="P647" s="1" t="str">
        <f>IFERROR(__xludf.DUMMYFUNCTION("""COMPUTED_VALUE"""),"ID 24853")</f>
        <v>ID 24853</v>
      </c>
      <c r="Q647" s="1" t="str">
        <f>IFERROR(__xludf.DUMMYFUNCTION("""COMPUTED_VALUE"""),"B094XRD9RF")</f>
        <v>B094XRD9RF</v>
      </c>
    </row>
    <row r="648">
      <c r="A648" s="6">
        <f>IFERROR(__xludf.DUMMYFUNCTION("""COMPUTED_VALUE"""),45236.0)</f>
        <v>45236</v>
      </c>
      <c r="B648">
        <f>IFERROR(__xludf.DUMMYFUNCTION("""COMPUTED_VALUE"""),25043.0)</f>
        <v>25043</v>
      </c>
      <c r="C648" t="str">
        <f>IFERROR(__xludf.DUMMYFUNCTION("""COMPUTED_VALUE"""),"Revlon Super Lustrous Lipstick, High Impact Lipcolor with Moisturizing Creamy Formula, Infused with Vitamin E and Avocado Oil in Red / Coral, Ravish Me Red (654)")</f>
        <v>Revlon Super Lustrous Lipstick, High Impact Lipcolor with Moisturizing Creamy Formula, Infused with Vitamin E and Avocado Oil in Red / Coral, Ravish Me Red (654)</v>
      </c>
      <c r="D648" t="str">
        <f>IFERROR(__xludf.DUMMYFUNCTION("""COMPUTED_VALUE"""),"B003BQWNB4")</f>
        <v>B003BQWNB4</v>
      </c>
      <c r="E648" t="str">
        <f>IFERROR(__xludf.DUMMYFUNCTION("""COMPUTED_VALUE"""),"309973849044")</f>
        <v>309973849044</v>
      </c>
      <c r="F648">
        <f>IFERROR(__xludf.DUMMYFUNCTION("""COMPUTED_VALUE"""),720.0)</f>
        <v>720</v>
      </c>
      <c r="G648">
        <f>IFERROR(__xludf.DUMMYFUNCTION("""COMPUTED_VALUE"""),792.0)</f>
        <v>792</v>
      </c>
      <c r="H648" s="2">
        <f>IFERROR(__xludf.DUMMYFUNCTION("""COMPUTED_VALUE"""),2.0)</f>
        <v>2</v>
      </c>
      <c r="I648" s="2">
        <f>IFERROR(__xludf.DUMMYFUNCTION("""COMPUTED_VALUE"""),3.15)</f>
        <v>3.15</v>
      </c>
      <c r="J648" s="2">
        <f>IFERROR(__xludf.DUMMYFUNCTION("""COMPUTED_VALUE"""),1.15)</f>
        <v>1.15</v>
      </c>
      <c r="K648" s="5">
        <f>IFERROR(__xludf.DUMMYFUNCTION("""COMPUTED_VALUE"""),0.575)</f>
        <v>0.575</v>
      </c>
      <c r="L648">
        <f>IFERROR(__xludf.DUMMYFUNCTION("""COMPUTED_VALUE"""),10852.0)</f>
        <v>10852</v>
      </c>
      <c r="M648" t="str">
        <f>IFERROR(__xludf.DUMMYFUNCTION("""COMPUTED_VALUE"""),"Beauty")</f>
        <v>Beauty</v>
      </c>
      <c r="O648" t="str">
        <f>IFERROR(__xludf.DUMMYFUNCTION("""COMPUTED_VALUE"""),"Y")</f>
        <v>Y</v>
      </c>
      <c r="P648" s="1" t="str">
        <f>IFERROR(__xludf.DUMMYFUNCTION("""COMPUTED_VALUE"""),"ID 25043")</f>
        <v>ID 25043</v>
      </c>
      <c r="Q648" s="1" t="str">
        <f>IFERROR(__xludf.DUMMYFUNCTION("""COMPUTED_VALUE"""),"B003BQWNB4")</f>
        <v>B003BQWNB4</v>
      </c>
    </row>
    <row r="649">
      <c r="A649" s="6">
        <f>IFERROR(__xludf.DUMMYFUNCTION("""COMPUTED_VALUE"""),45376.0)</f>
        <v>45376</v>
      </c>
      <c r="B649">
        <f>IFERROR(__xludf.DUMMYFUNCTION("""COMPUTED_VALUE"""),17056.0)</f>
        <v>17056</v>
      </c>
      <c r="C649" t="str">
        <f>IFERROR(__xludf.DUMMYFUNCTION("""COMPUTED_VALUE"""),"PRANG Refill Pans for Oval Watercolor Paint Set, 12 Pans per Box, Brown (00807)")</f>
        <v>PRANG Refill Pans for Oval Watercolor Paint Set, 12 Pans per Box, Brown (00807)</v>
      </c>
      <c r="D649" t="str">
        <f>IFERROR(__xludf.DUMMYFUNCTION("""COMPUTED_VALUE"""),"B0044S9A1E")</f>
        <v>B0044S9A1E</v>
      </c>
      <c r="E649" t="str">
        <f>IFERROR(__xludf.DUMMYFUNCTION("""COMPUTED_VALUE"""),"072067008077")</f>
        <v>072067008077</v>
      </c>
      <c r="F649">
        <f>IFERROR(__xludf.DUMMYFUNCTION("""COMPUTED_VALUE"""),816.0)</f>
        <v>816</v>
      </c>
      <c r="G649">
        <f>IFERROR(__xludf.DUMMYFUNCTION("""COMPUTED_VALUE"""),10000.0)</f>
        <v>10000</v>
      </c>
      <c r="H649" s="2">
        <f>IFERROR(__xludf.DUMMYFUNCTION("""COMPUTED_VALUE"""),4.5)</f>
        <v>4.5</v>
      </c>
      <c r="I649" s="2">
        <f>IFERROR(__xludf.DUMMYFUNCTION("""COMPUTED_VALUE"""),5.64)</f>
        <v>5.64</v>
      </c>
      <c r="J649" s="2">
        <f>IFERROR(__xludf.DUMMYFUNCTION("""COMPUTED_VALUE"""),1.1399999999999997)</f>
        <v>1.14</v>
      </c>
      <c r="K649" s="5">
        <f>IFERROR(__xludf.DUMMYFUNCTION("""COMPUTED_VALUE"""),0.25333333333333324)</f>
        <v>0.2533333333</v>
      </c>
      <c r="L649">
        <f>IFERROR(__xludf.DUMMYFUNCTION("""COMPUTED_VALUE"""),13615.0)</f>
        <v>13615</v>
      </c>
      <c r="M649" t="str">
        <f>IFERROR(__xludf.DUMMYFUNCTION("""COMPUTED_VALUE"""),"Home Improvement")</f>
        <v>Home Improvement</v>
      </c>
      <c r="O649" t="str">
        <f>IFERROR(__xludf.DUMMYFUNCTION("""COMPUTED_VALUE"""),"N")</f>
        <v>N</v>
      </c>
      <c r="P649" s="1" t="str">
        <f>IFERROR(__xludf.DUMMYFUNCTION("""COMPUTED_VALUE"""),"ID 17056")</f>
        <v>ID 17056</v>
      </c>
      <c r="Q649" s="1" t="str">
        <f>IFERROR(__xludf.DUMMYFUNCTION("""COMPUTED_VALUE"""),"B0044S9A1E")</f>
        <v>B0044S9A1E</v>
      </c>
    </row>
    <row r="650">
      <c r="A650" s="6">
        <f>IFERROR(__xludf.DUMMYFUNCTION("""COMPUTED_VALUE"""),45362.0)</f>
        <v>45362</v>
      </c>
      <c r="B650">
        <f>IFERROR(__xludf.DUMMYFUNCTION("""COMPUTED_VALUE"""),19718.0)</f>
        <v>19718</v>
      </c>
      <c r="C650" t="str">
        <f>IFERROR(__xludf.DUMMYFUNCTION("""COMPUTED_VALUE"""),"Pentel Twist Erase CLICK Automatic Pencil with 2 Eraser Refills and Lead, 0.7mm, Assorted Barrels, Color May Vary, 2 Pack (PD277TLEBP2)")</f>
        <v>Pentel Twist Erase CLICK Automatic Pencil with 2 Eraser Refills and Lead, 0.7mm, Assorted Barrels, Color May Vary, 2 Pack (PD277TLEBP2)</v>
      </c>
      <c r="D650" t="str">
        <f>IFERROR(__xludf.DUMMYFUNCTION("""COMPUTED_VALUE"""),"B0031450XY")</f>
        <v>B0031450XY</v>
      </c>
      <c r="E650" t="str">
        <f>IFERROR(__xludf.DUMMYFUNCTION("""COMPUTED_VALUE"""),"072512234235")</f>
        <v>072512234235</v>
      </c>
      <c r="F650">
        <f>IFERROR(__xludf.DUMMYFUNCTION("""COMPUTED_VALUE"""),432.0)</f>
        <v>432</v>
      </c>
      <c r="G650">
        <f>IFERROR(__xludf.DUMMYFUNCTION("""COMPUTED_VALUE"""),10000.0)</f>
        <v>10000</v>
      </c>
      <c r="H650" s="2">
        <f>IFERROR(__xludf.DUMMYFUNCTION("""COMPUTED_VALUE"""),4.25)</f>
        <v>4.25</v>
      </c>
      <c r="I650" s="2">
        <f>IFERROR(__xludf.DUMMYFUNCTION("""COMPUTED_VALUE"""),5.39)</f>
        <v>5.39</v>
      </c>
      <c r="J650" s="2">
        <f>IFERROR(__xludf.DUMMYFUNCTION("""COMPUTED_VALUE"""),1.1399999999999997)</f>
        <v>1.14</v>
      </c>
      <c r="K650" s="5">
        <f>IFERROR(__xludf.DUMMYFUNCTION("""COMPUTED_VALUE"""),0.26823529411764696)</f>
        <v>0.2682352941</v>
      </c>
      <c r="L650">
        <f>IFERROR(__xludf.DUMMYFUNCTION("""COMPUTED_VALUE"""),63198.0)</f>
        <v>63198</v>
      </c>
      <c r="M650" t="str">
        <f>IFERROR(__xludf.DUMMYFUNCTION("""COMPUTED_VALUE"""),"Office Product")</f>
        <v>Office Product</v>
      </c>
      <c r="O650" t="str">
        <f>IFERROR(__xludf.DUMMYFUNCTION("""COMPUTED_VALUE"""),"Y")</f>
        <v>Y</v>
      </c>
      <c r="P650" s="1" t="str">
        <f>IFERROR(__xludf.DUMMYFUNCTION("""COMPUTED_VALUE"""),"ID 19718")</f>
        <v>ID 19718</v>
      </c>
      <c r="Q650" s="1" t="str">
        <f>IFERROR(__xludf.DUMMYFUNCTION("""COMPUTED_VALUE"""),"B0031450XY")</f>
        <v>B0031450XY</v>
      </c>
    </row>
    <row r="651">
      <c r="A651" s="6">
        <f>IFERROR(__xludf.DUMMYFUNCTION("""COMPUTED_VALUE"""),45229.0)</f>
        <v>45229</v>
      </c>
      <c r="B651">
        <f>IFERROR(__xludf.DUMMYFUNCTION("""COMPUTED_VALUE"""),22407.0)</f>
        <v>22407</v>
      </c>
      <c r="C651" t="str">
        <f>IFERROR(__xludf.DUMMYFUNCTION("""COMPUTED_VALUE"""),"Satco S7229 23-Watt Medium Base T2 Mini Spiral, 5000K, 120V, Equivalent to 100-Watt Incandescent Lamp for Enclosed Fixtures,5000 Daylight White")</f>
        <v>Satco S7229 23-Watt Medium Base T2 Mini Spiral, 5000K, 120V, Equivalent to 100-Watt Incandescent Lamp for Enclosed Fixtures,5000 Daylight White</v>
      </c>
      <c r="D651" t="str">
        <f>IFERROR(__xludf.DUMMYFUNCTION("""COMPUTED_VALUE"""),"B003U9RORA")</f>
        <v>B003U9RORA</v>
      </c>
      <c r="E651" t="str">
        <f>IFERROR(__xludf.DUMMYFUNCTION("""COMPUTED_VALUE"""),"045923072291")</f>
        <v>045923072291</v>
      </c>
      <c r="F651">
        <f>IFERROR(__xludf.DUMMYFUNCTION("""COMPUTED_VALUE"""),240.0)</f>
        <v>240</v>
      </c>
      <c r="G651">
        <f>IFERROR(__xludf.DUMMYFUNCTION("""COMPUTED_VALUE"""),10000.0)</f>
        <v>10000</v>
      </c>
      <c r="H651" s="2">
        <f>IFERROR(__xludf.DUMMYFUNCTION("""COMPUTED_VALUE"""),5.5)</f>
        <v>5.5</v>
      </c>
      <c r="I651" s="2">
        <f>IFERROR(__xludf.DUMMYFUNCTION("""COMPUTED_VALUE"""),6.64)</f>
        <v>6.64</v>
      </c>
      <c r="J651" s="2">
        <f>IFERROR(__xludf.DUMMYFUNCTION("""COMPUTED_VALUE"""),1.1399999999999997)</f>
        <v>1.14</v>
      </c>
      <c r="K651" s="5">
        <f>IFERROR(__xludf.DUMMYFUNCTION("""COMPUTED_VALUE"""),0.20727272727272722)</f>
        <v>0.2072727273</v>
      </c>
      <c r="L651">
        <f>IFERROR(__xludf.DUMMYFUNCTION("""COMPUTED_VALUE"""),35341.0)</f>
        <v>35341</v>
      </c>
      <c r="M651" t="str">
        <f>IFERROR(__xludf.DUMMYFUNCTION("""COMPUTED_VALUE"""),"Home Improvement")</f>
        <v>Home Improvement</v>
      </c>
      <c r="O651" t="str">
        <f>IFERROR(__xludf.DUMMYFUNCTION("""COMPUTED_VALUE"""),"N")</f>
        <v>N</v>
      </c>
      <c r="P651" s="1" t="str">
        <f>IFERROR(__xludf.DUMMYFUNCTION("""COMPUTED_VALUE"""),"ID 22407")</f>
        <v>ID 22407</v>
      </c>
      <c r="Q651" s="1" t="str">
        <f>IFERROR(__xludf.DUMMYFUNCTION("""COMPUTED_VALUE"""),"B003U9RORA")</f>
        <v>B003U9RORA</v>
      </c>
    </row>
    <row r="652">
      <c r="A652" s="6">
        <f>IFERROR(__xludf.DUMMYFUNCTION("""COMPUTED_VALUE"""),45350.0)</f>
        <v>45350</v>
      </c>
      <c r="B652">
        <f>IFERROR(__xludf.DUMMYFUNCTION("""COMPUTED_VALUE"""),22760.0)</f>
        <v>22760</v>
      </c>
      <c r="C652" t="str">
        <f>IFERROR(__xludf.DUMMYFUNCTION("""COMPUTED_VALUE"""),"Alliance Rubber 26194 Advantage Rubber Bands Size #19, 1 lb Bag Contains Approx. 1250 Bands (3 1/2"" x 1/16"", Natural Crepe)")</f>
        <v>Alliance Rubber 26194 Advantage Rubber Bands Size #19, 1 lb Bag Contains Approx. 1250 Bands (3 1/2" x 1/16", Natural Crepe)</v>
      </c>
      <c r="D652" t="str">
        <f>IFERROR(__xludf.DUMMYFUNCTION("""COMPUTED_VALUE"""),"B01A6T9M7G")</f>
        <v>B01A6T9M7G</v>
      </c>
      <c r="E652" t="str">
        <f>IFERROR(__xludf.DUMMYFUNCTION("""COMPUTED_VALUE"""),"071815261948")</f>
        <v>071815261948</v>
      </c>
      <c r="F652">
        <f>IFERROR(__xludf.DUMMYFUNCTION("""COMPUTED_VALUE"""),375.0)</f>
        <v>375</v>
      </c>
      <c r="G652">
        <f>IFERROR(__xludf.DUMMYFUNCTION("""COMPUTED_VALUE"""),10000.0)</f>
        <v>10000</v>
      </c>
      <c r="H652" s="2">
        <f>IFERROR(__xludf.DUMMYFUNCTION("""COMPUTED_VALUE"""),3.5)</f>
        <v>3.5</v>
      </c>
      <c r="I652" s="2">
        <f>IFERROR(__xludf.DUMMYFUNCTION("""COMPUTED_VALUE"""),4.64)</f>
        <v>4.64</v>
      </c>
      <c r="J652" s="2">
        <f>IFERROR(__xludf.DUMMYFUNCTION("""COMPUTED_VALUE"""),1.1399999999999997)</f>
        <v>1.14</v>
      </c>
      <c r="K652" s="5">
        <f>IFERROR(__xludf.DUMMYFUNCTION("""COMPUTED_VALUE"""),0.3257142857142856)</f>
        <v>0.3257142857</v>
      </c>
      <c r="L652">
        <f>IFERROR(__xludf.DUMMYFUNCTION("""COMPUTED_VALUE"""),1073.0)</f>
        <v>1073</v>
      </c>
      <c r="M652" t="str">
        <f>IFERROR(__xludf.DUMMYFUNCTION("""COMPUTED_VALUE"""),"Office Product")</f>
        <v>Office Product</v>
      </c>
      <c r="O652" t="str">
        <f>IFERROR(__xludf.DUMMYFUNCTION("""COMPUTED_VALUE"""),"N")</f>
        <v>N</v>
      </c>
      <c r="P652" s="1" t="str">
        <f>IFERROR(__xludf.DUMMYFUNCTION("""COMPUTED_VALUE"""),"ID 22760")</f>
        <v>ID 22760</v>
      </c>
      <c r="Q652" s="1" t="str">
        <f>IFERROR(__xludf.DUMMYFUNCTION("""COMPUTED_VALUE"""),"B01A6T9M7G")</f>
        <v>B01A6T9M7G</v>
      </c>
    </row>
    <row r="653">
      <c r="A653" s="6">
        <f>IFERROR(__xludf.DUMMYFUNCTION("""COMPUTED_VALUE"""),45383.0)</f>
        <v>45383</v>
      </c>
      <c r="B653">
        <f>IFERROR(__xludf.DUMMYFUNCTION("""COMPUTED_VALUE"""),23183.0)</f>
        <v>23183</v>
      </c>
      <c r="C653" t="str">
        <f>IFERROR(__xludf.DUMMYFUNCTION("""COMPUTED_VALUE"""),"Zebra G-301 Stainless Steel Retractable Gel Pen, Medium Point, 0.7mm, Blue Ink, 1-Count")</f>
        <v>Zebra G-301 Stainless Steel Retractable Gel Pen, Medium Point, 0.7mm, Blue Ink, 1-Count</v>
      </c>
      <c r="D653" t="str">
        <f>IFERROR(__xludf.DUMMYFUNCTION("""COMPUTED_VALUE"""),"B001ASBF5U")</f>
        <v>B001ASBF5U</v>
      </c>
      <c r="E653" t="str">
        <f>IFERROR(__xludf.DUMMYFUNCTION("""COMPUTED_VALUE"""),"045888413214")</f>
        <v>045888413214</v>
      </c>
      <c r="F653">
        <f>IFERROR(__xludf.DUMMYFUNCTION("""COMPUTED_VALUE"""),498.0)</f>
        <v>498</v>
      </c>
      <c r="G653">
        <f>IFERROR(__xludf.DUMMYFUNCTION("""COMPUTED_VALUE"""),10000.0)</f>
        <v>10000</v>
      </c>
      <c r="H653" s="2">
        <f>IFERROR(__xludf.DUMMYFUNCTION("""COMPUTED_VALUE"""),2.0)</f>
        <v>2</v>
      </c>
      <c r="I653" s="2">
        <f>IFERROR(__xludf.DUMMYFUNCTION("""COMPUTED_VALUE"""),3.14)</f>
        <v>3.14</v>
      </c>
      <c r="J653" s="2">
        <f>IFERROR(__xludf.DUMMYFUNCTION("""COMPUTED_VALUE"""),1.1400000000000001)</f>
        <v>1.14</v>
      </c>
      <c r="K653" s="5">
        <f>IFERROR(__xludf.DUMMYFUNCTION("""COMPUTED_VALUE"""),0.5700000000000001)</f>
        <v>0.57</v>
      </c>
      <c r="L653">
        <f>IFERROR(__xludf.DUMMYFUNCTION("""COMPUTED_VALUE"""),3962.0)</f>
        <v>3962</v>
      </c>
      <c r="M653" t="str">
        <f>IFERROR(__xludf.DUMMYFUNCTION("""COMPUTED_VALUE"""),"Office Product")</f>
        <v>Office Product</v>
      </c>
      <c r="O653" t="str">
        <f>IFERROR(__xludf.DUMMYFUNCTION("""COMPUTED_VALUE"""),"N")</f>
        <v>N</v>
      </c>
      <c r="P653" s="1" t="str">
        <f>IFERROR(__xludf.DUMMYFUNCTION("""COMPUTED_VALUE"""),"ID 23183")</f>
        <v>ID 23183</v>
      </c>
      <c r="Q653" s="1" t="str">
        <f>IFERROR(__xludf.DUMMYFUNCTION("""COMPUTED_VALUE"""),"B001ASBF5U")</f>
        <v>B001ASBF5U</v>
      </c>
    </row>
    <row r="654">
      <c r="A654" s="6">
        <f>IFERROR(__xludf.DUMMYFUNCTION("""COMPUTED_VALUE"""),45390.0)</f>
        <v>45390</v>
      </c>
      <c r="B654">
        <f>IFERROR(__xludf.DUMMYFUNCTION("""COMPUTED_VALUE"""),6289.0)</f>
        <v>6289</v>
      </c>
      <c r="C654" t="str">
        <f>IFERROR(__xludf.DUMMYFUNCTION("""COMPUTED_VALUE"""),"Chef Craft 21996 Silicone Wooden Spoon, Green")</f>
        <v>Chef Craft 21996 Silicone Wooden Spoon, Green</v>
      </c>
      <c r="D654" t="str">
        <f>IFERROR(__xludf.DUMMYFUNCTION("""COMPUTED_VALUE"""),"B0719MBB8B")</f>
        <v>B0719MBB8B</v>
      </c>
      <c r="E654" t="str">
        <f>IFERROR(__xludf.DUMMYFUNCTION("""COMPUTED_VALUE"""),"085455219962")</f>
        <v>085455219962</v>
      </c>
      <c r="F654">
        <f>IFERROR(__xludf.DUMMYFUNCTION("""COMPUTED_VALUE"""),288.0)</f>
        <v>288</v>
      </c>
      <c r="G654">
        <f>IFERROR(__xludf.DUMMYFUNCTION("""COMPUTED_VALUE"""),10000.0)</f>
        <v>10000</v>
      </c>
      <c r="H654" s="2">
        <f>IFERROR(__xludf.DUMMYFUNCTION("""COMPUTED_VALUE"""),3.75)</f>
        <v>3.75</v>
      </c>
      <c r="I654" s="2">
        <f>IFERROR(__xludf.DUMMYFUNCTION("""COMPUTED_VALUE"""),4.88)</f>
        <v>4.88</v>
      </c>
      <c r="J654" s="2">
        <f>IFERROR(__xludf.DUMMYFUNCTION("""COMPUTED_VALUE"""),1.13)</f>
        <v>1.13</v>
      </c>
      <c r="K654" s="5">
        <f>IFERROR(__xludf.DUMMYFUNCTION("""COMPUTED_VALUE"""),0.3013333333333333)</f>
        <v>0.3013333333</v>
      </c>
      <c r="L654">
        <f>IFERROR(__xludf.DUMMYFUNCTION("""COMPUTED_VALUE"""),80307.0)</f>
        <v>80307</v>
      </c>
      <c r="M654" t="str">
        <f>IFERROR(__xludf.DUMMYFUNCTION("""COMPUTED_VALUE"""),"Kitchen")</f>
        <v>Kitchen</v>
      </c>
      <c r="O654" t="str">
        <f>IFERROR(__xludf.DUMMYFUNCTION("""COMPUTED_VALUE"""),"Y")</f>
        <v>Y</v>
      </c>
      <c r="P654" s="1" t="str">
        <f>IFERROR(__xludf.DUMMYFUNCTION("""COMPUTED_VALUE"""),"ID 6289")</f>
        <v>ID 6289</v>
      </c>
      <c r="Q654" s="1" t="str">
        <f>IFERROR(__xludf.DUMMYFUNCTION("""COMPUTED_VALUE"""),"B0719MBB8B")</f>
        <v>B0719MBB8B</v>
      </c>
    </row>
    <row r="655">
      <c r="A655" s="6">
        <f>IFERROR(__xludf.DUMMYFUNCTION("""COMPUTED_VALUE"""),45236.0)</f>
        <v>45236</v>
      </c>
      <c r="B655">
        <f>IFERROR(__xludf.DUMMYFUNCTION("""COMPUTED_VALUE"""),20304.0)</f>
        <v>20304</v>
      </c>
      <c r="C655" t="str">
        <f>IFERROR(__xludf.DUMMYFUNCTION("""COMPUTED_VALUE"""),"Garnier Nutrisse Nourishing Hair Color Creme, 93 Light Golden Blonde (Honey Butter) (Packaging May Vary)")</f>
        <v>Garnier Nutrisse Nourishing Hair Color Creme, 93 Light Golden Blonde (Honey Butter) (Packaging May Vary)</v>
      </c>
      <c r="D655" t="str">
        <f>IFERROR(__xludf.DUMMYFUNCTION("""COMPUTED_VALUE"""),"B00182JYU6")</f>
        <v>B00182JYU6</v>
      </c>
      <c r="E655" t="str">
        <f>IFERROR(__xludf.DUMMYFUNCTION("""COMPUTED_VALUE"""),"603084027378")</f>
        <v>603084027378</v>
      </c>
      <c r="F655">
        <f>IFERROR(__xludf.DUMMYFUNCTION("""COMPUTED_VALUE"""),696.0)</f>
        <v>696</v>
      </c>
      <c r="G655">
        <f>IFERROR(__xludf.DUMMYFUNCTION("""COMPUTED_VALUE"""),1080.0)</f>
        <v>1080</v>
      </c>
      <c r="H655" s="2">
        <f>IFERROR(__xludf.DUMMYFUNCTION("""COMPUTED_VALUE"""),3.5)</f>
        <v>3.5</v>
      </c>
      <c r="I655" s="2">
        <f>IFERROR(__xludf.DUMMYFUNCTION("""COMPUTED_VALUE"""),4.63)</f>
        <v>4.63</v>
      </c>
      <c r="J655" s="2">
        <f>IFERROR(__xludf.DUMMYFUNCTION("""COMPUTED_VALUE"""),1.13)</f>
        <v>1.13</v>
      </c>
      <c r="K655" s="5">
        <f>IFERROR(__xludf.DUMMYFUNCTION("""COMPUTED_VALUE"""),0.32285714285714284)</f>
        <v>0.3228571429</v>
      </c>
      <c r="L655">
        <f>IFERROR(__xludf.DUMMYFUNCTION("""COMPUTED_VALUE"""),71616.0)</f>
        <v>71616</v>
      </c>
      <c r="M655" t="str">
        <f>IFERROR(__xludf.DUMMYFUNCTION("""COMPUTED_VALUE"""),"BISS Basic")</f>
        <v>BISS Basic</v>
      </c>
      <c r="O655" t="str">
        <f>IFERROR(__xludf.DUMMYFUNCTION("""COMPUTED_VALUE"""),"N")</f>
        <v>N</v>
      </c>
      <c r="P655" s="1" t="str">
        <f>IFERROR(__xludf.DUMMYFUNCTION("""COMPUTED_VALUE"""),"ID 20304")</f>
        <v>ID 20304</v>
      </c>
      <c r="Q655" s="1" t="str">
        <f>IFERROR(__xludf.DUMMYFUNCTION("""COMPUTED_VALUE"""),"B00182JYU6")</f>
        <v>B00182JYU6</v>
      </c>
    </row>
    <row r="656">
      <c r="A656" s="6">
        <f>IFERROR(__xludf.DUMMYFUNCTION("""COMPUTED_VALUE"""),45195.0)</f>
        <v>45195</v>
      </c>
      <c r="B656">
        <f>IFERROR(__xludf.DUMMYFUNCTION("""COMPUTED_VALUE"""),22803.0)</f>
        <v>22803</v>
      </c>
      <c r="C656" t="str">
        <f>IFERROR(__xludf.DUMMYFUNCTION("""COMPUTED_VALUE"""),"Fellowes 1/4in Black Binding Combs (25 Pack)")</f>
        <v>Fellowes 1/4in Black Binding Combs (25 Pack)</v>
      </c>
      <c r="D656" t="str">
        <f>IFERROR(__xludf.DUMMYFUNCTION("""COMPUTED_VALUE"""),"B00004TS6V")</f>
        <v>B00004TS6V</v>
      </c>
      <c r="E656" t="str">
        <f>IFERROR(__xludf.DUMMYFUNCTION("""COMPUTED_VALUE"""),"077511523205")</f>
        <v>077511523205</v>
      </c>
      <c r="F656">
        <f>IFERROR(__xludf.DUMMYFUNCTION("""COMPUTED_VALUE"""),500.0)</f>
        <v>500</v>
      </c>
      <c r="G656">
        <f>IFERROR(__xludf.DUMMYFUNCTION("""COMPUTED_VALUE"""),10000.0)</f>
        <v>10000</v>
      </c>
      <c r="H656" s="2">
        <f>IFERROR(__xludf.DUMMYFUNCTION("""COMPUTED_VALUE"""),2.5)</f>
        <v>2.5</v>
      </c>
      <c r="I656" s="2">
        <f>IFERROR(__xludf.DUMMYFUNCTION("""COMPUTED_VALUE"""),3.63)</f>
        <v>3.63</v>
      </c>
      <c r="J656" s="2">
        <f>IFERROR(__xludf.DUMMYFUNCTION("""COMPUTED_VALUE"""),1.13)</f>
        <v>1.13</v>
      </c>
      <c r="K656" s="5">
        <f>IFERROR(__xludf.DUMMYFUNCTION("""COMPUTED_VALUE"""),0.45199999999999996)</f>
        <v>0.452</v>
      </c>
      <c r="L656">
        <f>IFERROR(__xludf.DUMMYFUNCTION("""COMPUTED_VALUE"""),81260.0)</f>
        <v>81260</v>
      </c>
      <c r="M656" t="str">
        <f>IFERROR(__xludf.DUMMYFUNCTION("""COMPUTED_VALUE"""),"Office Product")</f>
        <v>Office Product</v>
      </c>
      <c r="O656" t="str">
        <f>IFERROR(__xludf.DUMMYFUNCTION("""COMPUTED_VALUE"""),"Y")</f>
        <v>Y</v>
      </c>
      <c r="P656" s="1" t="str">
        <f>IFERROR(__xludf.DUMMYFUNCTION("""COMPUTED_VALUE"""),"ID 22803")</f>
        <v>ID 22803</v>
      </c>
      <c r="Q656" s="1" t="str">
        <f>IFERROR(__xludf.DUMMYFUNCTION("""COMPUTED_VALUE"""),"B00004TS6V")</f>
        <v>B00004TS6V</v>
      </c>
    </row>
    <row r="657">
      <c r="A657" s="6">
        <f>IFERROR(__xludf.DUMMYFUNCTION("""COMPUTED_VALUE"""),45341.0)</f>
        <v>45341</v>
      </c>
      <c r="B657">
        <f>IFERROR(__xludf.DUMMYFUNCTION("""COMPUTED_VALUE"""),25907.0)</f>
        <v>25907</v>
      </c>
      <c r="C657" t="str">
        <f>IFERROR(__xludf.DUMMYFUNCTION("""COMPUTED_VALUE"""),"TRIPLUS FINELINER OLIJFGROEN -")</f>
        <v>TRIPLUS FINELINER OLIJFGROEN -</v>
      </c>
      <c r="D657" t="str">
        <f>IFERROR(__xludf.DUMMYFUNCTION("""COMPUTED_VALUE"""),"B000SHSYDU")</f>
        <v>B000SHSYDU</v>
      </c>
      <c r="E657" t="str">
        <f>IFERROR(__xludf.DUMMYFUNCTION("""COMPUTED_VALUE"""),"4007817334157")</f>
        <v>4007817334157</v>
      </c>
      <c r="F657">
        <f>IFERROR(__xludf.DUMMYFUNCTION("""COMPUTED_VALUE"""),1800.0)</f>
        <v>1800</v>
      </c>
      <c r="G657">
        <f>IFERROR(__xludf.DUMMYFUNCTION("""COMPUTED_VALUE"""),10000.0)</f>
        <v>10000</v>
      </c>
      <c r="H657" s="2">
        <f>IFERROR(__xludf.DUMMYFUNCTION("""COMPUTED_VALUE"""),0.75)</f>
        <v>0.75</v>
      </c>
      <c r="I657" s="2">
        <f>IFERROR(__xludf.DUMMYFUNCTION("""COMPUTED_VALUE"""),1.88)</f>
        <v>1.88</v>
      </c>
      <c r="J657" s="2">
        <f>IFERROR(__xludf.DUMMYFUNCTION("""COMPUTED_VALUE"""),1.13)</f>
        <v>1.13</v>
      </c>
      <c r="K657" s="5">
        <f>IFERROR(__xludf.DUMMYFUNCTION("""COMPUTED_VALUE"""),1.5066666666666666)</f>
        <v>1.506666667</v>
      </c>
      <c r="L657">
        <f>IFERROR(__xludf.DUMMYFUNCTION("""COMPUTED_VALUE"""),35628.0)</f>
        <v>35628</v>
      </c>
      <c r="M657" t="str">
        <f>IFERROR(__xludf.DUMMYFUNCTION("""COMPUTED_VALUE"""),"Office Product")</f>
        <v>Office Product</v>
      </c>
      <c r="O657" t="str">
        <f>IFERROR(__xludf.DUMMYFUNCTION("""COMPUTED_VALUE"""),"N")</f>
        <v>N</v>
      </c>
      <c r="P657" s="1" t="str">
        <f>IFERROR(__xludf.DUMMYFUNCTION("""COMPUTED_VALUE"""),"ID 25907")</f>
        <v>ID 25907</v>
      </c>
      <c r="Q657" s="1" t="str">
        <f>IFERROR(__xludf.DUMMYFUNCTION("""COMPUTED_VALUE"""),"B000SHSYDU")</f>
        <v>B000SHSYDU</v>
      </c>
    </row>
    <row r="658">
      <c r="A658" s="6">
        <f>IFERROR(__xludf.DUMMYFUNCTION("""COMPUTED_VALUE"""),45390.0)</f>
        <v>45390</v>
      </c>
      <c r="B658">
        <f>IFERROR(__xludf.DUMMYFUNCTION("""COMPUTED_VALUE"""),14770.0)</f>
        <v>14770</v>
      </c>
      <c r="C658" t="str">
        <f>IFERROR(__xludf.DUMMYFUNCTION("""COMPUTED_VALUE"""),"Chef Craft Premium Silicone Spoon Basting Brush, 11"", Purple")</f>
        <v>Chef Craft Premium Silicone Spoon Basting Brush, 11", Purple</v>
      </c>
      <c r="D658" t="str">
        <f>IFERROR(__xludf.DUMMYFUNCTION("""COMPUTED_VALUE"""),"B01BKAUADU")</f>
        <v>B01BKAUADU</v>
      </c>
      <c r="E658" t="str">
        <f>IFERROR(__xludf.DUMMYFUNCTION("""COMPUTED_VALUE"""),"085455135309")</f>
        <v>085455135309</v>
      </c>
      <c r="F658">
        <f>IFERROR(__xludf.DUMMYFUNCTION("""COMPUTED_VALUE"""),360.0)</f>
        <v>360</v>
      </c>
      <c r="G658">
        <f>IFERROR(__xludf.DUMMYFUNCTION("""COMPUTED_VALUE"""),10000.0)</f>
        <v>10000</v>
      </c>
      <c r="H658" s="2">
        <f>IFERROR(__xludf.DUMMYFUNCTION("""COMPUTED_VALUE"""),2.75)</f>
        <v>2.75</v>
      </c>
      <c r="I658" s="2">
        <f>IFERROR(__xludf.DUMMYFUNCTION("""COMPUTED_VALUE"""),3.87)</f>
        <v>3.87</v>
      </c>
      <c r="J658" s="2">
        <f>IFERROR(__xludf.DUMMYFUNCTION("""COMPUTED_VALUE"""),1.12)</f>
        <v>1.12</v>
      </c>
      <c r="K658" s="5">
        <f>IFERROR(__xludf.DUMMYFUNCTION("""COMPUTED_VALUE"""),0.4072727272727273)</f>
        <v>0.4072727273</v>
      </c>
      <c r="L658">
        <f>IFERROR(__xludf.DUMMYFUNCTION("""COMPUTED_VALUE"""),43285.0)</f>
        <v>43285</v>
      </c>
      <c r="M658" t="str">
        <f>IFERROR(__xludf.DUMMYFUNCTION("""COMPUTED_VALUE"""),"Kitchen")</f>
        <v>Kitchen</v>
      </c>
      <c r="O658" t="str">
        <f>IFERROR(__xludf.DUMMYFUNCTION("""COMPUTED_VALUE"""),"Y")</f>
        <v>Y</v>
      </c>
      <c r="P658" s="1" t="str">
        <f>IFERROR(__xludf.DUMMYFUNCTION("""COMPUTED_VALUE"""),"ID 14770")</f>
        <v>ID 14770</v>
      </c>
      <c r="Q658" s="1" t="str">
        <f>IFERROR(__xludf.DUMMYFUNCTION("""COMPUTED_VALUE"""),"B01BKAUADU")</f>
        <v>B01BKAUADU</v>
      </c>
    </row>
    <row r="659">
      <c r="A659" s="6">
        <f>IFERROR(__xludf.DUMMYFUNCTION("""COMPUTED_VALUE"""),45362.0)</f>
        <v>45362</v>
      </c>
      <c r="B659">
        <f>IFERROR(__xludf.DUMMYFUNCTION("""COMPUTED_VALUE"""),19593.0)</f>
        <v>19593</v>
      </c>
      <c r="C659" t="str">
        <f>IFERROR(__xludf.DUMMYFUNCTION("""COMPUTED_VALUE"""),"Pentel Refill Ink for EnerGel Liquid Gel Pen, 0.7mm, Needle Tip, Blue Ink, 1 - Pack (LRN7-C)")</f>
        <v>Pentel Refill Ink for EnerGel Liquid Gel Pen, 0.7mm, Needle Tip, Blue Ink, 1 - Pack (LRN7-C)</v>
      </c>
      <c r="D659" t="str">
        <f>IFERROR(__xludf.DUMMYFUNCTION("""COMPUTED_VALUE"""),"B0006SVDKM")</f>
        <v>B0006SVDKM</v>
      </c>
      <c r="E659" t="str">
        <f>IFERROR(__xludf.DUMMYFUNCTION("""COMPUTED_VALUE"""),"072512167373")</f>
        <v>072512167373</v>
      </c>
      <c r="F659">
        <f>IFERROR(__xludf.DUMMYFUNCTION("""COMPUTED_VALUE"""),1296.0)</f>
        <v>1296</v>
      </c>
      <c r="G659">
        <f>IFERROR(__xludf.DUMMYFUNCTION("""COMPUTED_VALUE"""),10000.0)</f>
        <v>10000</v>
      </c>
      <c r="H659" s="2">
        <f>IFERROR(__xludf.DUMMYFUNCTION("""COMPUTED_VALUE"""),0.75)</f>
        <v>0.75</v>
      </c>
      <c r="I659" s="2">
        <f>IFERROR(__xludf.DUMMYFUNCTION("""COMPUTED_VALUE"""),1.87)</f>
        <v>1.87</v>
      </c>
      <c r="J659" s="2">
        <f>IFERROR(__xludf.DUMMYFUNCTION("""COMPUTED_VALUE"""),1.12)</f>
        <v>1.12</v>
      </c>
      <c r="K659" s="5">
        <f>IFERROR(__xludf.DUMMYFUNCTION("""COMPUTED_VALUE"""),1.4933333333333334)</f>
        <v>1.493333333</v>
      </c>
      <c r="L659">
        <f>IFERROR(__xludf.DUMMYFUNCTION("""COMPUTED_VALUE"""),25582.0)</f>
        <v>25582</v>
      </c>
      <c r="M659" t="str">
        <f>IFERROR(__xludf.DUMMYFUNCTION("""COMPUTED_VALUE"""),"Office Product")</f>
        <v>Office Product</v>
      </c>
      <c r="N659" t="str">
        <f>IFERROR(__xludf.DUMMYFUNCTION("""COMPUTED_VALUE"""),"Pricing per 1 refill (not 12 pack of refills)")</f>
        <v>Pricing per 1 refill (not 12 pack of refills)</v>
      </c>
      <c r="O659" t="str">
        <f>IFERROR(__xludf.DUMMYFUNCTION("""COMPUTED_VALUE"""),"N")</f>
        <v>N</v>
      </c>
      <c r="P659" s="1" t="str">
        <f>IFERROR(__xludf.DUMMYFUNCTION("""COMPUTED_VALUE"""),"ID 19593")</f>
        <v>ID 19593</v>
      </c>
      <c r="Q659" s="1" t="str">
        <f>IFERROR(__xludf.DUMMYFUNCTION("""COMPUTED_VALUE"""),"B0006SVDKM")</f>
        <v>B0006SVDKM</v>
      </c>
    </row>
    <row r="660">
      <c r="A660" s="6">
        <f>IFERROR(__xludf.DUMMYFUNCTION("""COMPUTED_VALUE"""),44866.0)</f>
        <v>44866</v>
      </c>
      <c r="B660">
        <f>IFERROR(__xludf.DUMMYFUNCTION("""COMPUTED_VALUE"""),20215.0)</f>
        <v>20215</v>
      </c>
      <c r="C660" t="str">
        <f>IFERROR(__xludf.DUMMYFUNCTION("""COMPUTED_VALUE"""),"Berrcom Non Contact Infrared Forehead Thermometer JXB-178 Contactless Thermometer 3 in 1 for Kids Infant Adult Fever Check")</f>
        <v>Berrcom Non Contact Infrared Forehead Thermometer JXB-178 Contactless Thermometer 3 in 1 for Kids Infant Adult Fever Check</v>
      </c>
      <c r="D660" t="str">
        <f>IFERROR(__xludf.DUMMYFUNCTION("""COMPUTED_VALUE"""),"B089D97YP3")</f>
        <v>B089D97YP3</v>
      </c>
      <c r="F660">
        <f>IFERROR(__xludf.DUMMYFUNCTION("""COMPUTED_VALUE"""),310.0)</f>
        <v>310</v>
      </c>
      <c r="G660">
        <f>IFERROR(__xludf.DUMMYFUNCTION("""COMPUTED_VALUE"""),1200.0)</f>
        <v>1200</v>
      </c>
      <c r="H660" s="2">
        <f>IFERROR(__xludf.DUMMYFUNCTION("""COMPUTED_VALUE"""),6.0)</f>
        <v>6</v>
      </c>
      <c r="I660" s="2">
        <f>IFERROR(__xludf.DUMMYFUNCTION("""COMPUTED_VALUE"""),7.12)</f>
        <v>7.12</v>
      </c>
      <c r="J660" s="2">
        <f>IFERROR(__xludf.DUMMYFUNCTION("""COMPUTED_VALUE"""),1.12)</f>
        <v>1.12</v>
      </c>
      <c r="K660" s="5">
        <f>IFERROR(__xludf.DUMMYFUNCTION("""COMPUTED_VALUE"""),0.18666666666666668)</f>
        <v>0.1866666667</v>
      </c>
      <c r="L660">
        <f>IFERROR(__xludf.DUMMYFUNCTION("""COMPUTED_VALUE"""),2645.0)</f>
        <v>2645</v>
      </c>
      <c r="M660" t="str">
        <f>IFERROR(__xludf.DUMMYFUNCTION("""COMPUTED_VALUE"""),"BISS Basic")</f>
        <v>BISS Basic</v>
      </c>
      <c r="O660" t="str">
        <f>IFERROR(__xludf.DUMMYFUNCTION("""COMPUTED_VALUE"""),"N")</f>
        <v>N</v>
      </c>
      <c r="P660" s="1" t="str">
        <f>IFERROR(__xludf.DUMMYFUNCTION("""COMPUTED_VALUE"""),"ID 20215")</f>
        <v>ID 20215</v>
      </c>
      <c r="Q660" s="1" t="str">
        <f>IFERROR(__xludf.DUMMYFUNCTION("""COMPUTED_VALUE"""),"B089D97YP3")</f>
        <v>B089D97YP3</v>
      </c>
    </row>
    <row r="661">
      <c r="A661" s="6">
        <f>IFERROR(__xludf.DUMMYFUNCTION("""COMPUTED_VALUE"""),45342.0)</f>
        <v>45342</v>
      </c>
      <c r="B661">
        <f>IFERROR(__xludf.DUMMYFUNCTION("""COMPUTED_VALUE"""),4806.0)</f>
        <v>4806</v>
      </c>
      <c r="C661" t="str">
        <f>IFERROR(__xludf.DUMMYFUNCTION("""COMPUTED_VALUE"""),"Dove Purely Pampering with Coconut Milk &amp; Jasmine Body Wash 500 ML with Free")</f>
        <v>Dove Purely Pampering with Coconut Milk &amp; Jasmine Body Wash 500 ML with Free</v>
      </c>
      <c r="D661" t="str">
        <f>IFERROR(__xludf.DUMMYFUNCTION("""COMPUTED_VALUE"""),"B00XAH0FFK")</f>
        <v>B00XAH0FFK</v>
      </c>
      <c r="E661" t="str">
        <f>IFERROR(__xludf.DUMMYFUNCTION("""COMPUTED_VALUE"""),"8712561631204")</f>
        <v>8712561631204</v>
      </c>
      <c r="F661">
        <f>IFERROR(__xludf.DUMMYFUNCTION("""COMPUTED_VALUE"""),372.0)</f>
        <v>372</v>
      </c>
      <c r="G661">
        <f>IFERROR(__xludf.DUMMYFUNCTION("""COMPUTED_VALUE"""),14856.0)</f>
        <v>14856</v>
      </c>
      <c r="H661" s="2">
        <f>IFERROR(__xludf.DUMMYFUNCTION("""COMPUTED_VALUE"""),3.75)</f>
        <v>3.75</v>
      </c>
      <c r="I661" s="2">
        <f>IFERROR(__xludf.DUMMYFUNCTION("""COMPUTED_VALUE"""),4.86)</f>
        <v>4.86</v>
      </c>
      <c r="J661" s="2">
        <f>IFERROR(__xludf.DUMMYFUNCTION("""COMPUTED_VALUE"""),1.1100000000000003)</f>
        <v>1.11</v>
      </c>
      <c r="K661" s="5">
        <f>IFERROR(__xludf.DUMMYFUNCTION("""COMPUTED_VALUE"""),0.2960000000000001)</f>
        <v>0.296</v>
      </c>
      <c r="L661">
        <f>IFERROR(__xludf.DUMMYFUNCTION("""COMPUTED_VALUE"""),2340.0)</f>
        <v>2340</v>
      </c>
      <c r="M661" t="str">
        <f>IFERROR(__xludf.DUMMYFUNCTION("""COMPUTED_VALUE"""),"Beauty")</f>
        <v>Beauty</v>
      </c>
      <c r="O661" t="str">
        <f>IFERROR(__xludf.DUMMYFUNCTION("""COMPUTED_VALUE"""),"N")</f>
        <v>N</v>
      </c>
      <c r="P661" s="1" t="str">
        <f>IFERROR(__xludf.DUMMYFUNCTION("""COMPUTED_VALUE"""),"ID 4806")</f>
        <v>ID 4806</v>
      </c>
      <c r="Q661" s="1" t="str">
        <f>IFERROR(__xludf.DUMMYFUNCTION("""COMPUTED_VALUE"""),"B00XAH0FFK")</f>
        <v>B00XAH0FFK</v>
      </c>
    </row>
    <row r="662">
      <c r="A662" s="6">
        <f>IFERROR(__xludf.DUMMYFUNCTION("""COMPUTED_VALUE"""),45390.0)</f>
        <v>45390</v>
      </c>
      <c r="B662">
        <f>IFERROR(__xludf.DUMMYFUNCTION("""COMPUTED_VALUE"""),6729.0)</f>
        <v>6729</v>
      </c>
      <c r="C662" t="str">
        <f>IFERROR(__xludf.DUMMYFUNCTION("""COMPUTED_VALUE"""),"Chef Craft 13372 Premium Silicone Wire whisk 10.75 Green")</f>
        <v>Chef Craft 13372 Premium Silicone Wire whisk 10.75 Green</v>
      </c>
      <c r="D662" t="str">
        <f>IFERROR(__xludf.DUMMYFUNCTION("""COMPUTED_VALUE"""),"B01BKAUQKM")</f>
        <v>B01BKAUQKM</v>
      </c>
      <c r="E662" t="str">
        <f>IFERROR(__xludf.DUMMYFUNCTION("""COMPUTED_VALUE"""),"085455133725")</f>
        <v>085455133725</v>
      </c>
      <c r="F662">
        <f>IFERROR(__xludf.DUMMYFUNCTION("""COMPUTED_VALUE"""),504.0)</f>
        <v>504</v>
      </c>
      <c r="G662">
        <f>IFERROR(__xludf.DUMMYFUNCTION("""COMPUTED_VALUE"""),10000.0)</f>
        <v>10000</v>
      </c>
      <c r="H662" s="2">
        <f>IFERROR(__xludf.DUMMYFUNCTION("""COMPUTED_VALUE"""),2.5)</f>
        <v>2.5</v>
      </c>
      <c r="I662" s="2">
        <f>IFERROR(__xludf.DUMMYFUNCTION("""COMPUTED_VALUE"""),3.61)</f>
        <v>3.61</v>
      </c>
      <c r="J662" s="2">
        <f>IFERROR(__xludf.DUMMYFUNCTION("""COMPUTED_VALUE"""),1.1099999999999999)</f>
        <v>1.11</v>
      </c>
      <c r="K662" s="5">
        <f>IFERROR(__xludf.DUMMYFUNCTION("""COMPUTED_VALUE"""),0.44399999999999995)</f>
        <v>0.444</v>
      </c>
      <c r="L662">
        <f>IFERROR(__xludf.DUMMYFUNCTION("""COMPUTED_VALUE"""),7459.0)</f>
        <v>7459</v>
      </c>
      <c r="M662" t="str">
        <f>IFERROR(__xludf.DUMMYFUNCTION("""COMPUTED_VALUE"""),"Kitchen")</f>
        <v>Kitchen</v>
      </c>
      <c r="O662" t="str">
        <f>IFERROR(__xludf.DUMMYFUNCTION("""COMPUTED_VALUE"""),"Y")</f>
        <v>Y</v>
      </c>
      <c r="P662" s="1" t="str">
        <f>IFERROR(__xludf.DUMMYFUNCTION("""COMPUTED_VALUE"""),"ID 6729")</f>
        <v>ID 6729</v>
      </c>
      <c r="Q662" s="1" t="str">
        <f>IFERROR(__xludf.DUMMYFUNCTION("""COMPUTED_VALUE"""),"B01BKAUQKM")</f>
        <v>B01BKAUQKM</v>
      </c>
    </row>
    <row r="663">
      <c r="A663" s="6">
        <f>IFERROR(__xludf.DUMMYFUNCTION("""COMPUTED_VALUE"""),44627.0)</f>
        <v>44627</v>
      </c>
      <c r="B663">
        <f>IFERROR(__xludf.DUMMYFUNCTION("""COMPUTED_VALUE"""),12708.0)</f>
        <v>12708</v>
      </c>
      <c r="C663" t="str">
        <f>IFERROR(__xludf.DUMMYFUNCTION("""COMPUTED_VALUE"""),"Zippo Iridescent Matte Pocket Lighter")</f>
        <v>Zippo Iridescent Matte Pocket Lighter</v>
      </c>
      <c r="D663" t="str">
        <f>IFERROR(__xludf.DUMMYFUNCTION("""COMPUTED_VALUE"""),"B084PRMCXX")</f>
        <v>B084PRMCXX</v>
      </c>
      <c r="E663" t="str">
        <f>IFERROR(__xludf.DUMMYFUNCTION("""COMPUTED_VALUE"""),"191693142969")</f>
        <v>191693142969</v>
      </c>
      <c r="F663">
        <f>IFERROR(__xludf.DUMMYFUNCTION("""COMPUTED_VALUE"""),210.0)</f>
        <v>210</v>
      </c>
      <c r="G663">
        <f>IFERROR(__xludf.DUMMYFUNCTION("""COMPUTED_VALUE"""),5000.0)</f>
        <v>5000</v>
      </c>
      <c r="H663" s="2">
        <f>IFERROR(__xludf.DUMMYFUNCTION("""COMPUTED_VALUE"""),11.5)</f>
        <v>11.5</v>
      </c>
      <c r="I663" s="2">
        <f>IFERROR(__xludf.DUMMYFUNCTION("""COMPUTED_VALUE"""),12.61)</f>
        <v>12.61</v>
      </c>
      <c r="J663" s="2">
        <f>IFERROR(__xludf.DUMMYFUNCTION("""COMPUTED_VALUE"""),1.1099999999999994)</f>
        <v>1.11</v>
      </c>
      <c r="K663" s="5">
        <f>IFERROR(__xludf.DUMMYFUNCTION("""COMPUTED_VALUE"""),0.09652173913043473)</f>
        <v>0.09652173913</v>
      </c>
      <c r="L663">
        <f>IFERROR(__xludf.DUMMYFUNCTION("""COMPUTED_VALUE"""),34518.0)</f>
        <v>34518</v>
      </c>
      <c r="M663" t="str">
        <f>IFERROR(__xludf.DUMMYFUNCTION("""COMPUTED_VALUE"""),"Sports")</f>
        <v>Sports</v>
      </c>
      <c r="O663" t="str">
        <f>IFERROR(__xludf.DUMMYFUNCTION("""COMPUTED_VALUE"""),"Y")</f>
        <v>Y</v>
      </c>
      <c r="P663" s="1" t="str">
        <f>IFERROR(__xludf.DUMMYFUNCTION("""COMPUTED_VALUE"""),"ID 12708")</f>
        <v>ID 12708</v>
      </c>
      <c r="Q663" s="1" t="str">
        <f>IFERROR(__xludf.DUMMYFUNCTION("""COMPUTED_VALUE"""),"B084PRMCXX")</f>
        <v>B084PRMCXX</v>
      </c>
    </row>
    <row r="664">
      <c r="A664" s="6">
        <f>IFERROR(__xludf.DUMMYFUNCTION("""COMPUTED_VALUE"""),43921.0)</f>
        <v>43921</v>
      </c>
      <c r="B664">
        <f>IFERROR(__xludf.DUMMYFUNCTION("""COMPUTED_VALUE"""),13647.0)</f>
        <v>13647</v>
      </c>
      <c r="C664" t="str">
        <f>IFERROR(__xludf.DUMMYFUNCTION("""COMPUTED_VALUE"""),"Wipebox by Uber Mom Green Football")</f>
        <v>Wipebox by Uber Mom Green Football</v>
      </c>
      <c r="D664" t="str">
        <f>IFERROR(__xludf.DUMMYFUNCTION("""COMPUTED_VALUE"""),"B00IAOVRM8")</f>
        <v>B00IAOVRM8</v>
      </c>
      <c r="E664" t="str">
        <f>IFERROR(__xludf.DUMMYFUNCTION("""COMPUTED_VALUE"""),"855749004020")</f>
        <v>855749004020</v>
      </c>
      <c r="F664">
        <f>IFERROR(__xludf.DUMMYFUNCTION("""COMPUTED_VALUE"""),1872.0)</f>
        <v>1872</v>
      </c>
      <c r="G664">
        <f>IFERROR(__xludf.DUMMYFUNCTION("""COMPUTED_VALUE"""),4032.0)</f>
        <v>4032</v>
      </c>
      <c r="H664" s="2">
        <f>IFERROR(__xludf.DUMMYFUNCTION("""COMPUTED_VALUE"""),1.25)</f>
        <v>1.25</v>
      </c>
      <c r="I664" s="2">
        <f>IFERROR(__xludf.DUMMYFUNCTION("""COMPUTED_VALUE"""),2.36)</f>
        <v>2.36</v>
      </c>
      <c r="J664" s="2">
        <f>IFERROR(__xludf.DUMMYFUNCTION("""COMPUTED_VALUE"""),1.1099999999999999)</f>
        <v>1.11</v>
      </c>
      <c r="K664" s="5">
        <f>IFERROR(__xludf.DUMMYFUNCTION("""COMPUTED_VALUE"""),0.8879999999999999)</f>
        <v>0.888</v>
      </c>
      <c r="L664">
        <f>IFERROR(__xludf.DUMMYFUNCTION("""COMPUTED_VALUE"""),36707.0)</f>
        <v>36707</v>
      </c>
      <c r="M664" t="str">
        <f>IFERROR(__xludf.DUMMYFUNCTION("""COMPUTED_VALUE"""),"Baby Product")</f>
        <v>Baby Product</v>
      </c>
      <c r="O664" t="str">
        <f>IFERROR(__xludf.DUMMYFUNCTION("""COMPUTED_VALUE"""),"N")</f>
        <v>N</v>
      </c>
      <c r="P664" s="1" t="str">
        <f>IFERROR(__xludf.DUMMYFUNCTION("""COMPUTED_VALUE"""),"ID 13647")</f>
        <v>ID 13647</v>
      </c>
      <c r="Q664" s="1" t="str">
        <f>IFERROR(__xludf.DUMMYFUNCTION("""COMPUTED_VALUE"""),"B00IAOVRM8")</f>
        <v>B00IAOVRM8</v>
      </c>
    </row>
    <row r="665">
      <c r="A665" s="6">
        <f>IFERROR(__xludf.DUMMYFUNCTION("""COMPUTED_VALUE"""),43994.0)</f>
        <v>43994</v>
      </c>
      <c r="B665">
        <f>IFERROR(__xludf.DUMMYFUNCTION("""COMPUTED_VALUE"""),15024.0)</f>
        <v>15024</v>
      </c>
      <c r="C665" t="str">
        <f>IFERROR(__xludf.DUMMYFUNCTION("""COMPUTED_VALUE"""),"Revlon ColorStay Gel Envy, Maybe Baby, 0.400 Fluid Ounce")</f>
        <v>Revlon ColorStay Gel Envy, Maybe Baby, 0.400 Fluid Ounce</v>
      </c>
      <c r="D665" t="str">
        <f>IFERROR(__xludf.DUMMYFUNCTION("""COMPUTED_VALUE"""),"B07B4HNZKN")</f>
        <v>B07B4HNZKN</v>
      </c>
      <c r="E665" t="str">
        <f>IFERROR(__xludf.DUMMYFUNCTION("""COMPUTED_VALUE"""),"309978418665")</f>
        <v>309978418665</v>
      </c>
      <c r="F665">
        <f>IFERROR(__xludf.DUMMYFUNCTION("""COMPUTED_VALUE"""),1030.0)</f>
        <v>1030</v>
      </c>
      <c r="G665">
        <f>IFERROR(__xludf.DUMMYFUNCTION("""COMPUTED_VALUE"""),2880.0)</f>
        <v>2880</v>
      </c>
      <c r="H665" s="2">
        <f>IFERROR(__xludf.DUMMYFUNCTION("""COMPUTED_VALUE"""),1.5)</f>
        <v>1.5</v>
      </c>
      <c r="I665" s="2">
        <f>IFERROR(__xludf.DUMMYFUNCTION("""COMPUTED_VALUE"""),2.61)</f>
        <v>2.61</v>
      </c>
      <c r="J665" s="2">
        <f>IFERROR(__xludf.DUMMYFUNCTION("""COMPUTED_VALUE"""),1.1099999999999999)</f>
        <v>1.11</v>
      </c>
      <c r="K665" s="5">
        <f>IFERROR(__xludf.DUMMYFUNCTION("""COMPUTED_VALUE"""),0.7399999999999999)</f>
        <v>0.74</v>
      </c>
      <c r="L665">
        <f>IFERROR(__xludf.DUMMYFUNCTION("""COMPUTED_VALUE"""),21558.0)</f>
        <v>21558</v>
      </c>
      <c r="M665" t="str">
        <f>IFERROR(__xludf.DUMMYFUNCTION("""COMPUTED_VALUE"""),"Beauty")</f>
        <v>Beauty</v>
      </c>
      <c r="O665" t="str">
        <f>IFERROR(__xludf.DUMMYFUNCTION("""COMPUTED_VALUE"""),"N")</f>
        <v>N</v>
      </c>
      <c r="P665" s="1" t="str">
        <f>IFERROR(__xludf.DUMMYFUNCTION("""COMPUTED_VALUE"""),"ID 15024")</f>
        <v>ID 15024</v>
      </c>
      <c r="Q665" s="1" t="str">
        <f>IFERROR(__xludf.DUMMYFUNCTION("""COMPUTED_VALUE"""),"B07B4HNZKN")</f>
        <v>B07B4HNZKN</v>
      </c>
    </row>
    <row r="666">
      <c r="A666" s="6">
        <f>IFERROR(__xludf.DUMMYFUNCTION("""COMPUTED_VALUE"""),45390.0)</f>
        <v>45390</v>
      </c>
      <c r="B666">
        <f>IFERROR(__xludf.DUMMYFUNCTION("""COMPUTED_VALUE"""),19784.0)</f>
        <v>19784</v>
      </c>
      <c r="C666" t="str">
        <f>IFERROR(__xludf.DUMMYFUNCTION("""COMPUTED_VALUE"""),"Chef Craft Premium Silicone Wire Cooking Whisk, 6 inch, Pastel Blue")</f>
        <v>Chef Craft Premium Silicone Wire Cooking Whisk, 6 inch, Pastel Blue</v>
      </c>
      <c r="D666" t="str">
        <f>IFERROR(__xludf.DUMMYFUNCTION("""COMPUTED_VALUE"""),"B08SJFKDQX")</f>
        <v>B08SJFKDQX</v>
      </c>
      <c r="E666" t="str">
        <f>IFERROR(__xludf.DUMMYFUNCTION("""COMPUTED_VALUE"""),"085455139727")</f>
        <v>085455139727</v>
      </c>
      <c r="F666">
        <f>IFERROR(__xludf.DUMMYFUNCTION("""COMPUTED_VALUE"""),504.0)</f>
        <v>504</v>
      </c>
      <c r="G666">
        <f>IFERROR(__xludf.DUMMYFUNCTION("""COMPUTED_VALUE"""),10000.0)</f>
        <v>10000</v>
      </c>
      <c r="H666" s="2">
        <f>IFERROR(__xludf.DUMMYFUNCTION("""COMPUTED_VALUE"""),2.5)</f>
        <v>2.5</v>
      </c>
      <c r="I666" s="2">
        <f>IFERROR(__xludf.DUMMYFUNCTION("""COMPUTED_VALUE"""),3.61)</f>
        <v>3.61</v>
      </c>
      <c r="J666" s="2">
        <f>IFERROR(__xludf.DUMMYFUNCTION("""COMPUTED_VALUE"""),1.1099999999999999)</f>
        <v>1.11</v>
      </c>
      <c r="K666" s="5">
        <f>IFERROR(__xludf.DUMMYFUNCTION("""COMPUTED_VALUE"""),0.44399999999999995)</f>
        <v>0.444</v>
      </c>
      <c r="L666">
        <f>IFERROR(__xludf.DUMMYFUNCTION("""COMPUTED_VALUE"""),7170.0)</f>
        <v>7170</v>
      </c>
      <c r="M666" t="str">
        <f>IFERROR(__xludf.DUMMYFUNCTION("""COMPUTED_VALUE"""),"Kitchen")</f>
        <v>Kitchen</v>
      </c>
      <c r="O666" t="str">
        <f>IFERROR(__xludf.DUMMYFUNCTION("""COMPUTED_VALUE"""),"Y")</f>
        <v>Y</v>
      </c>
      <c r="P666" s="1" t="str">
        <f>IFERROR(__xludf.DUMMYFUNCTION("""COMPUTED_VALUE"""),"ID 19784")</f>
        <v>ID 19784</v>
      </c>
      <c r="Q666" s="1" t="str">
        <f>IFERROR(__xludf.DUMMYFUNCTION("""COMPUTED_VALUE"""),"B08SJFKDQX")</f>
        <v>B08SJFKDQX</v>
      </c>
    </row>
    <row r="667">
      <c r="A667" s="6">
        <f>IFERROR(__xludf.DUMMYFUNCTION("""COMPUTED_VALUE"""),45390.0)</f>
        <v>45390</v>
      </c>
      <c r="B667">
        <f>IFERROR(__xludf.DUMMYFUNCTION("""COMPUTED_VALUE"""),21116.0)</f>
        <v>21116</v>
      </c>
      <c r="C667" t="str">
        <f>IFERROR(__xludf.DUMMYFUNCTION("""COMPUTED_VALUE"""),"Chef Craft Premium Silicone Basting Brush, 10.25 inch, Gray")</f>
        <v>Chef Craft Premium Silicone Basting Brush, 10.25 inch, Gray</v>
      </c>
      <c r="D667" t="str">
        <f>IFERROR(__xludf.DUMMYFUNCTION("""COMPUTED_VALUE"""),"B08SHLDNVB")</f>
        <v>B08SHLDNVB</v>
      </c>
      <c r="E667" t="str">
        <f>IFERROR(__xludf.DUMMYFUNCTION("""COMPUTED_VALUE"""),"085455138706")</f>
        <v>085455138706</v>
      </c>
      <c r="F667">
        <f>IFERROR(__xludf.DUMMYFUNCTION("""COMPUTED_VALUE"""),504.0)</f>
        <v>504</v>
      </c>
      <c r="G667">
        <f>IFERROR(__xludf.DUMMYFUNCTION("""COMPUTED_VALUE"""),10000.0)</f>
        <v>10000</v>
      </c>
      <c r="H667" s="2">
        <f>IFERROR(__xludf.DUMMYFUNCTION("""COMPUTED_VALUE"""),2.5)</f>
        <v>2.5</v>
      </c>
      <c r="I667" s="2">
        <f>IFERROR(__xludf.DUMMYFUNCTION("""COMPUTED_VALUE"""),3.61)</f>
        <v>3.61</v>
      </c>
      <c r="J667" s="2">
        <f>IFERROR(__xludf.DUMMYFUNCTION("""COMPUTED_VALUE"""),1.1099999999999999)</f>
        <v>1.11</v>
      </c>
      <c r="K667" s="5">
        <f>IFERROR(__xludf.DUMMYFUNCTION("""COMPUTED_VALUE"""),0.44399999999999995)</f>
        <v>0.444</v>
      </c>
      <c r="L667">
        <f>IFERROR(__xludf.DUMMYFUNCTION("""COMPUTED_VALUE"""),96419.0)</f>
        <v>96419</v>
      </c>
      <c r="M667" t="str">
        <f>IFERROR(__xludf.DUMMYFUNCTION("""COMPUTED_VALUE"""),"Kitchen")</f>
        <v>Kitchen</v>
      </c>
      <c r="O667" t="str">
        <f>IFERROR(__xludf.DUMMYFUNCTION("""COMPUTED_VALUE"""),"Y")</f>
        <v>Y</v>
      </c>
      <c r="P667" s="1" t="str">
        <f>IFERROR(__xludf.DUMMYFUNCTION("""COMPUTED_VALUE"""),"ID 21116")</f>
        <v>ID 21116</v>
      </c>
      <c r="Q667" s="1" t="str">
        <f>IFERROR(__xludf.DUMMYFUNCTION("""COMPUTED_VALUE"""),"B08SHLDNVB")</f>
        <v>B08SHLDNVB</v>
      </c>
    </row>
    <row r="668">
      <c r="A668" s="6">
        <f>IFERROR(__xludf.DUMMYFUNCTION("""COMPUTED_VALUE"""),44776.0)</f>
        <v>44776</v>
      </c>
      <c r="B668">
        <f>IFERROR(__xludf.DUMMYFUNCTION("""COMPUTED_VALUE"""),9065.0)</f>
        <v>9065</v>
      </c>
      <c r="C668" t="str">
        <f>IFERROR(__xludf.DUMMYFUNCTION("""COMPUTED_VALUE"""),"Dove Go Fresh Anti-Perspirant Deodorant Spray 150ml Grapefruit &amp; lemongrass Scent (1 pack)")</f>
        <v>Dove Go Fresh Anti-Perspirant Deodorant Spray 150ml Grapefruit &amp; lemongrass Scent (1 pack)</v>
      </c>
      <c r="D668" t="str">
        <f>IFERROR(__xludf.DUMMYFUNCTION("""COMPUTED_VALUE"""),"B00Y65AT38")</f>
        <v>B00Y65AT38</v>
      </c>
      <c r="E668" t="str">
        <f>IFERROR(__xludf.DUMMYFUNCTION("""COMPUTED_VALUE"""),"8712561315821")</f>
        <v>8712561315821</v>
      </c>
      <c r="F668">
        <f>IFERROR(__xludf.DUMMYFUNCTION("""COMPUTED_VALUE"""),504.0)</f>
        <v>504</v>
      </c>
      <c r="G668">
        <f>IFERROR(__xludf.DUMMYFUNCTION("""COMPUTED_VALUE"""),1122.0)</f>
        <v>1122</v>
      </c>
      <c r="H668" s="2">
        <f>IFERROR(__xludf.DUMMYFUNCTION("""COMPUTED_VALUE"""),2.5)</f>
        <v>2.5</v>
      </c>
      <c r="I668" s="2">
        <f>IFERROR(__xludf.DUMMYFUNCTION("""COMPUTED_VALUE"""),3.6)</f>
        <v>3.6</v>
      </c>
      <c r="J668" s="2">
        <f>IFERROR(__xludf.DUMMYFUNCTION("""COMPUTED_VALUE"""),1.1)</f>
        <v>1.1</v>
      </c>
      <c r="K668" s="5">
        <f>IFERROR(__xludf.DUMMYFUNCTION("""COMPUTED_VALUE"""),0.44000000000000006)</f>
        <v>0.44</v>
      </c>
      <c r="L668">
        <f>IFERROR(__xludf.DUMMYFUNCTION("""COMPUTED_VALUE"""),1986.0)</f>
        <v>1986</v>
      </c>
      <c r="M668" t="str">
        <f>IFERROR(__xludf.DUMMYFUNCTION("""COMPUTED_VALUE"""),"Beauty")</f>
        <v>Beauty</v>
      </c>
      <c r="O668" t="str">
        <f>IFERROR(__xludf.DUMMYFUNCTION("""COMPUTED_VALUE"""),"N")</f>
        <v>N</v>
      </c>
      <c r="P668" s="1" t="str">
        <f>IFERROR(__xludf.DUMMYFUNCTION("""COMPUTED_VALUE"""),"ID 9065")</f>
        <v>ID 9065</v>
      </c>
      <c r="Q668" s="1" t="str">
        <f>IFERROR(__xludf.DUMMYFUNCTION("""COMPUTED_VALUE"""),"B00Y65AT38")</f>
        <v>B00Y65AT38</v>
      </c>
    </row>
    <row r="669">
      <c r="A669" s="6">
        <f>IFERROR(__xludf.DUMMYFUNCTION("""COMPUTED_VALUE"""),44272.0)</f>
        <v>44272</v>
      </c>
      <c r="B669">
        <f>IFERROR(__xludf.DUMMYFUNCTION("""COMPUTED_VALUE"""),15012.0)</f>
        <v>15012</v>
      </c>
      <c r="C669" t="str">
        <f>IFERROR(__xludf.DUMMYFUNCTION("""COMPUTED_VALUE"""),"Revlon Ultra HD Gel Lipcolor, HD Coral")</f>
        <v>Revlon Ultra HD Gel Lipcolor, HD Coral</v>
      </c>
      <c r="D669" t="str">
        <f>IFERROR(__xludf.DUMMYFUNCTION("""COMPUTED_VALUE"""),"B01KHSUVBW")</f>
        <v>B01KHSUVBW</v>
      </c>
      <c r="E669" t="str">
        <f>IFERROR(__xludf.DUMMYFUNCTION("""COMPUTED_VALUE"""),"309977862124")</f>
        <v>309977862124</v>
      </c>
      <c r="F669">
        <f>IFERROR(__xludf.DUMMYFUNCTION("""COMPUTED_VALUE"""),600.0)</f>
        <v>600</v>
      </c>
      <c r="G669">
        <f>IFERROR(__xludf.DUMMYFUNCTION("""COMPUTED_VALUE"""),600.0)</f>
        <v>600</v>
      </c>
      <c r="H669" s="2">
        <f>IFERROR(__xludf.DUMMYFUNCTION("""COMPUTED_VALUE"""),1.5)</f>
        <v>1.5</v>
      </c>
      <c r="I669" s="2">
        <f>IFERROR(__xludf.DUMMYFUNCTION("""COMPUTED_VALUE"""),2.59)</f>
        <v>2.59</v>
      </c>
      <c r="J669" s="2">
        <f>IFERROR(__xludf.DUMMYFUNCTION("""COMPUTED_VALUE"""),1.0899999999999999)</f>
        <v>1.09</v>
      </c>
      <c r="K669" s="5">
        <f>IFERROR(__xludf.DUMMYFUNCTION("""COMPUTED_VALUE"""),0.7266666666666666)</f>
        <v>0.7266666667</v>
      </c>
      <c r="L669">
        <f>IFERROR(__xludf.DUMMYFUNCTION("""COMPUTED_VALUE"""),33519.0)</f>
        <v>33519</v>
      </c>
      <c r="M669" t="str">
        <f>IFERROR(__xludf.DUMMYFUNCTION("""COMPUTED_VALUE"""),"Beauty")</f>
        <v>Beauty</v>
      </c>
      <c r="O669" t="str">
        <f>IFERROR(__xludf.DUMMYFUNCTION("""COMPUTED_VALUE"""),"Y")</f>
        <v>Y</v>
      </c>
      <c r="P669" s="1" t="str">
        <f>IFERROR(__xludf.DUMMYFUNCTION("""COMPUTED_VALUE"""),"ID 15012")</f>
        <v>ID 15012</v>
      </c>
      <c r="Q669" s="1" t="str">
        <f>IFERROR(__xludf.DUMMYFUNCTION("""COMPUTED_VALUE"""),"B01KHSUVBW")</f>
        <v>B01KHSUVBW</v>
      </c>
    </row>
    <row r="670">
      <c r="A670" s="6">
        <f>IFERROR(__xludf.DUMMYFUNCTION("""COMPUTED_VALUE"""),45105.0)</f>
        <v>45105</v>
      </c>
      <c r="B670">
        <f>IFERROR(__xludf.DUMMYFUNCTION("""COMPUTED_VALUE"""),19938.0)</f>
        <v>19938</v>
      </c>
      <c r="C670" t="str">
        <f>IFERROR(__xludf.DUMMYFUNCTION("""COMPUTED_VALUE"""),"Pendaflex 242 Blank Inserts for 42 Series Hanging File Folders, 1/5 Tab, 2-Inch, White, 100/Pack")</f>
        <v>Pendaflex 242 Blank Inserts for 42 Series Hanging File Folders, 1/5 Tab, 2-Inch, White, 100/Pack</v>
      </c>
      <c r="D670" t="str">
        <f>IFERROR(__xludf.DUMMYFUNCTION("""COMPUTED_VALUE"""),"B001E65TUA")</f>
        <v>B001E65TUA</v>
      </c>
      <c r="E670" t="str">
        <f>IFERROR(__xludf.DUMMYFUNCTION("""COMPUTED_VALUE"""),"078787242005")</f>
        <v>078787242005</v>
      </c>
      <c r="F670">
        <f>IFERROR(__xludf.DUMMYFUNCTION("""COMPUTED_VALUE"""),1370.0)</f>
        <v>1370</v>
      </c>
      <c r="G670">
        <f>IFERROR(__xludf.DUMMYFUNCTION("""COMPUTED_VALUE"""),10000.0)</f>
        <v>10000</v>
      </c>
      <c r="H670" s="2">
        <f>IFERROR(__xludf.DUMMYFUNCTION("""COMPUTED_VALUE"""),1.75)</f>
        <v>1.75</v>
      </c>
      <c r="I670" s="2">
        <f>IFERROR(__xludf.DUMMYFUNCTION("""COMPUTED_VALUE"""),2.84)</f>
        <v>2.84</v>
      </c>
      <c r="J670" s="2">
        <f>IFERROR(__xludf.DUMMYFUNCTION("""COMPUTED_VALUE"""),1.0899999999999999)</f>
        <v>1.09</v>
      </c>
      <c r="K670" s="5">
        <f>IFERROR(__xludf.DUMMYFUNCTION("""COMPUTED_VALUE"""),0.6228571428571428)</f>
        <v>0.6228571429</v>
      </c>
      <c r="L670">
        <f>IFERROR(__xludf.DUMMYFUNCTION("""COMPUTED_VALUE"""),61624.0)</f>
        <v>61624</v>
      </c>
      <c r="M670" t="str">
        <f>IFERROR(__xludf.DUMMYFUNCTION("""COMPUTED_VALUE"""),"Office Product")</f>
        <v>Office Product</v>
      </c>
      <c r="O670" t="str">
        <f>IFERROR(__xludf.DUMMYFUNCTION("""COMPUTED_VALUE"""),"N")</f>
        <v>N</v>
      </c>
      <c r="P670" s="1" t="str">
        <f>IFERROR(__xludf.DUMMYFUNCTION("""COMPUTED_VALUE"""),"ID 19938")</f>
        <v>ID 19938</v>
      </c>
      <c r="Q670" s="1" t="str">
        <f>IFERROR(__xludf.DUMMYFUNCTION("""COMPUTED_VALUE"""),"B001E65TUA")</f>
        <v>B001E65TUA</v>
      </c>
    </row>
    <row r="671">
      <c r="A671" s="6">
        <f>IFERROR(__xludf.DUMMYFUNCTION("""COMPUTED_VALUE"""),45113.0)</f>
        <v>45113</v>
      </c>
      <c r="B671">
        <f>IFERROR(__xludf.DUMMYFUNCTION("""COMPUTED_VALUE"""),20291.0)</f>
        <v>20291</v>
      </c>
      <c r="C671" t="str">
        <f>IFERROR(__xludf.DUMMYFUNCTION("""COMPUTED_VALUE"""),"Sharpie Metallic Permanent Markers, 3 Count")</f>
        <v>Sharpie Metallic Permanent Markers, 3 Count</v>
      </c>
      <c r="D671" t="str">
        <f>IFERROR(__xludf.DUMMYFUNCTION("""COMPUTED_VALUE"""),"B007SZ1SJW")</f>
        <v>B007SZ1SJW</v>
      </c>
      <c r="E671" t="str">
        <f>IFERROR(__xludf.DUMMYFUNCTION("""COMPUTED_VALUE"""),"71641053649")</f>
        <v>71641053649</v>
      </c>
      <c r="F671">
        <f>IFERROR(__xludf.DUMMYFUNCTION("""COMPUTED_VALUE"""),756.0)</f>
        <v>756</v>
      </c>
      <c r="G671">
        <f>IFERROR(__xludf.DUMMYFUNCTION("""COMPUTED_VALUE"""),10000.0)</f>
        <v>10000</v>
      </c>
      <c r="H671" s="2">
        <f>IFERROR(__xludf.DUMMYFUNCTION("""COMPUTED_VALUE"""),3.75)</f>
        <v>3.75</v>
      </c>
      <c r="I671" s="2">
        <f>IFERROR(__xludf.DUMMYFUNCTION("""COMPUTED_VALUE"""),4.84)</f>
        <v>4.84</v>
      </c>
      <c r="J671" s="2">
        <f>IFERROR(__xludf.DUMMYFUNCTION("""COMPUTED_VALUE"""),1.0899999999999999)</f>
        <v>1.09</v>
      </c>
      <c r="K671" s="5">
        <f>IFERROR(__xludf.DUMMYFUNCTION("""COMPUTED_VALUE"""),0.29066666666666663)</f>
        <v>0.2906666667</v>
      </c>
      <c r="L671">
        <f>IFERROR(__xludf.DUMMYFUNCTION("""COMPUTED_VALUE"""),81855.0)</f>
        <v>81855</v>
      </c>
      <c r="M671" t="str">
        <f>IFERROR(__xludf.DUMMYFUNCTION("""COMPUTED_VALUE"""),"Office Product")</f>
        <v>Office Product</v>
      </c>
      <c r="O671" t="str">
        <f>IFERROR(__xludf.DUMMYFUNCTION("""COMPUTED_VALUE"""),"N")</f>
        <v>N</v>
      </c>
      <c r="P671" s="1" t="str">
        <f>IFERROR(__xludf.DUMMYFUNCTION("""COMPUTED_VALUE"""),"ID 20291")</f>
        <v>ID 20291</v>
      </c>
      <c r="Q671" s="1" t="str">
        <f>IFERROR(__xludf.DUMMYFUNCTION("""COMPUTED_VALUE"""),"B007SZ1SJW")</f>
        <v>B007SZ1SJW</v>
      </c>
    </row>
    <row r="672">
      <c r="A672" s="6">
        <f>IFERROR(__xludf.DUMMYFUNCTION("""COMPUTED_VALUE"""),45376.0)</f>
        <v>45376</v>
      </c>
      <c r="B672">
        <f>IFERROR(__xludf.DUMMYFUNCTION("""COMPUTED_VALUE"""),25152.0)</f>
        <v>25152</v>
      </c>
      <c r="C672" t="str">
        <f>IFERROR(__xludf.DUMMYFUNCTION("""COMPUTED_VALUE"""),"Creativity Street Chenille Stems/Pipe Cleaners 12 Inch x 4mm 100-Piece, Pink")</f>
        <v>Creativity Street Chenille Stems/Pipe Cleaners 12 Inch x 4mm 100-Piece, Pink</v>
      </c>
      <c r="D672" t="str">
        <f>IFERROR(__xludf.DUMMYFUNCTION("""COMPUTED_VALUE"""),"B00A6W5CU0")</f>
        <v>B00A6W5CU0</v>
      </c>
      <c r="E672" t="str">
        <f>IFERROR(__xludf.DUMMYFUNCTION("""COMPUTED_VALUE"""),"021196712157")</f>
        <v>021196712157</v>
      </c>
      <c r="F672">
        <f>IFERROR(__xludf.DUMMYFUNCTION("""COMPUTED_VALUE"""),2616.0)</f>
        <v>2616</v>
      </c>
      <c r="G672">
        <f>IFERROR(__xludf.DUMMYFUNCTION("""COMPUTED_VALUE"""),10000.0)</f>
        <v>10000</v>
      </c>
      <c r="H672" s="2">
        <f>IFERROR(__xludf.DUMMYFUNCTION("""COMPUTED_VALUE"""),1.5)</f>
        <v>1.5</v>
      </c>
      <c r="I672" s="2">
        <f>IFERROR(__xludf.DUMMYFUNCTION("""COMPUTED_VALUE"""),2.59)</f>
        <v>2.59</v>
      </c>
      <c r="J672" s="2">
        <f>IFERROR(__xludf.DUMMYFUNCTION("""COMPUTED_VALUE"""),1.0899999999999999)</f>
        <v>1.09</v>
      </c>
      <c r="K672" s="5">
        <f>IFERROR(__xludf.DUMMYFUNCTION("""COMPUTED_VALUE"""),0.7266666666666666)</f>
        <v>0.7266666667</v>
      </c>
      <c r="L672">
        <f>IFERROR(__xludf.DUMMYFUNCTION("""COMPUTED_VALUE"""),11758.0)</f>
        <v>11758</v>
      </c>
      <c r="M672" t="str">
        <f>IFERROR(__xludf.DUMMYFUNCTION("""COMPUTED_VALUE"""),"Toy")</f>
        <v>Toy</v>
      </c>
      <c r="O672" t="str">
        <f>IFERROR(__xludf.DUMMYFUNCTION("""COMPUTED_VALUE"""),"N")</f>
        <v>N</v>
      </c>
      <c r="P672" s="1" t="str">
        <f>IFERROR(__xludf.DUMMYFUNCTION("""COMPUTED_VALUE"""),"ID 25152")</f>
        <v>ID 25152</v>
      </c>
      <c r="Q672" s="1" t="str">
        <f>IFERROR(__xludf.DUMMYFUNCTION("""COMPUTED_VALUE"""),"B00A6W5CU0")</f>
        <v>B00A6W5CU0</v>
      </c>
    </row>
    <row r="673">
      <c r="A673" s="6">
        <f>IFERROR(__xludf.DUMMYFUNCTION("""COMPUTED_VALUE"""),44097.0)</f>
        <v>44097</v>
      </c>
      <c r="B673">
        <f>IFERROR(__xludf.DUMMYFUNCTION("""COMPUTED_VALUE"""),16622.0)</f>
        <v>16622</v>
      </c>
      <c r="C673" t="str">
        <f>IFERROR(__xludf.DUMMYFUNCTION("""COMPUTED_VALUE"""),"Eureka Back to School Treasure Hunt Mini Reward Charts for Kids with Stickers, 736pc, 5'' W x 6'' H")</f>
        <v>Eureka Back to School Treasure Hunt Mini Reward Charts for Kids with Stickers, 736pc, 5'' W x 6'' H</v>
      </c>
      <c r="D673" t="str">
        <f>IFERROR(__xludf.DUMMYFUNCTION("""COMPUTED_VALUE"""),"B003D87AGS")</f>
        <v>B003D87AGS</v>
      </c>
      <c r="E673" t="str">
        <f>IFERROR(__xludf.DUMMYFUNCTION("""COMPUTED_VALUE"""),"73168352298")</f>
        <v>73168352298</v>
      </c>
      <c r="F673">
        <f>IFERROR(__xludf.DUMMYFUNCTION("""COMPUTED_VALUE"""),300.0)</f>
        <v>300</v>
      </c>
      <c r="G673">
        <f>IFERROR(__xludf.DUMMYFUNCTION("""COMPUTED_VALUE"""),1000.0)</f>
        <v>1000</v>
      </c>
      <c r="H673" s="2">
        <f>IFERROR(__xludf.DUMMYFUNCTION("""COMPUTED_VALUE"""),5.0)</f>
        <v>5</v>
      </c>
      <c r="I673" s="2">
        <f>IFERROR(__xludf.DUMMYFUNCTION("""COMPUTED_VALUE"""),6.08)</f>
        <v>6.08</v>
      </c>
      <c r="J673" s="2">
        <f>IFERROR(__xludf.DUMMYFUNCTION("""COMPUTED_VALUE"""),1.08)</f>
        <v>1.08</v>
      </c>
      <c r="K673" s="5">
        <f>IFERROR(__xludf.DUMMYFUNCTION("""COMPUTED_VALUE"""),0.21600000000000003)</f>
        <v>0.216</v>
      </c>
      <c r="L673">
        <f>IFERROR(__xludf.DUMMYFUNCTION("""COMPUTED_VALUE"""),25964.0)</f>
        <v>25964</v>
      </c>
      <c r="M673" t="str">
        <f>IFERROR(__xludf.DUMMYFUNCTION("""COMPUTED_VALUE"""),"Office Product")</f>
        <v>Office Product</v>
      </c>
      <c r="O673" t="str">
        <f>IFERROR(__xludf.DUMMYFUNCTION("""COMPUTED_VALUE"""),"Y")</f>
        <v>Y</v>
      </c>
      <c r="P673" s="1" t="str">
        <f>IFERROR(__xludf.DUMMYFUNCTION("""COMPUTED_VALUE"""),"ID 16622")</f>
        <v>ID 16622</v>
      </c>
      <c r="Q673" s="1" t="str">
        <f>IFERROR(__xludf.DUMMYFUNCTION("""COMPUTED_VALUE"""),"B003D87AGS")</f>
        <v>B003D87AGS</v>
      </c>
    </row>
    <row r="674">
      <c r="A674" s="6">
        <f>IFERROR(__xludf.DUMMYFUNCTION("""COMPUTED_VALUE"""),45119.0)</f>
        <v>45119</v>
      </c>
      <c r="B674">
        <f>IFERROR(__xludf.DUMMYFUNCTION("""COMPUTED_VALUE"""),19697.0)</f>
        <v>19697</v>
      </c>
      <c r="C674" t="str">
        <f>IFERROR(__xludf.DUMMYFUNCTION("""COMPUTED_VALUE"""),"Pentel Arts Watercolor Pencil Set, 12 color set (CB9-12)")</f>
        <v>Pentel Arts Watercolor Pencil Set, 12 color set (CB9-12)</v>
      </c>
      <c r="D674" t="str">
        <f>IFERROR(__xludf.DUMMYFUNCTION("""COMPUTED_VALUE"""),"B01MQLT2V9")</f>
        <v>B01MQLT2V9</v>
      </c>
      <c r="E674" t="str">
        <f>IFERROR(__xludf.DUMMYFUNCTION("""COMPUTED_VALUE"""),"072512265628")</f>
        <v>072512265628</v>
      </c>
      <c r="F674">
        <f>IFERROR(__xludf.DUMMYFUNCTION("""COMPUTED_VALUE"""),384.0)</f>
        <v>384</v>
      </c>
      <c r="G674">
        <f>IFERROR(__xludf.DUMMYFUNCTION("""COMPUTED_VALUE"""),10000.0)</f>
        <v>10000</v>
      </c>
      <c r="H674" s="2">
        <f>IFERROR(__xludf.DUMMYFUNCTION("""COMPUTED_VALUE"""),3.25)</f>
        <v>3.25</v>
      </c>
      <c r="I674" s="2">
        <f>IFERROR(__xludf.DUMMYFUNCTION("""COMPUTED_VALUE"""),4.33)</f>
        <v>4.33</v>
      </c>
      <c r="J674" s="2">
        <f>IFERROR(__xludf.DUMMYFUNCTION("""COMPUTED_VALUE"""),1.08)</f>
        <v>1.08</v>
      </c>
      <c r="K674" s="5">
        <f>IFERROR(__xludf.DUMMYFUNCTION("""COMPUTED_VALUE"""),0.3323076923076923)</f>
        <v>0.3323076923</v>
      </c>
      <c r="L674">
        <f>IFERROR(__xludf.DUMMYFUNCTION("""COMPUTED_VALUE"""),9573.0)</f>
        <v>9573</v>
      </c>
      <c r="M674" t="str">
        <f>IFERROR(__xludf.DUMMYFUNCTION("""COMPUTED_VALUE"""),"Office Product")</f>
        <v>Office Product</v>
      </c>
      <c r="O674" t="str">
        <f>IFERROR(__xludf.DUMMYFUNCTION("""COMPUTED_VALUE"""),"Y")</f>
        <v>Y</v>
      </c>
      <c r="P674" s="1" t="str">
        <f>IFERROR(__xludf.DUMMYFUNCTION("""COMPUTED_VALUE"""),"ID 19697")</f>
        <v>ID 19697</v>
      </c>
      <c r="Q674" s="1" t="str">
        <f>IFERROR(__xludf.DUMMYFUNCTION("""COMPUTED_VALUE"""),"B01MQLT2V9")</f>
        <v>B01MQLT2V9</v>
      </c>
    </row>
    <row r="675">
      <c r="A675" s="6">
        <f>IFERROR(__xludf.DUMMYFUNCTION("""COMPUTED_VALUE"""),44558.0)</f>
        <v>44558</v>
      </c>
      <c r="B675">
        <f>IFERROR(__xludf.DUMMYFUNCTION("""COMPUTED_VALUE"""),20363.0)</f>
        <v>20363</v>
      </c>
      <c r="C675" t="str">
        <f>IFERROR(__xludf.DUMMYFUNCTION("""COMPUTED_VALUE"""),"Columbian Invitation Envelopes, A9, Grip-Seal, 5-3/4 x 8-3/4 Inch, White, 100 Per Box (CO468)")</f>
        <v>Columbian Invitation Envelopes, A9, Grip-Seal, 5-3/4 x 8-3/4 Inch, White, 100 Per Box (CO468)</v>
      </c>
      <c r="D675" t="str">
        <f>IFERROR(__xludf.DUMMYFUNCTION("""COMPUTED_VALUE"""),"B000J0B3K2")</f>
        <v>B000J0B3K2</v>
      </c>
      <c r="E675" t="str">
        <f>IFERROR(__xludf.DUMMYFUNCTION("""COMPUTED_VALUE"""),"26900904682")</f>
        <v>26900904682</v>
      </c>
      <c r="F675">
        <f>IFERROR(__xludf.DUMMYFUNCTION("""COMPUTED_VALUE"""),708.0)</f>
        <v>708</v>
      </c>
      <c r="G675">
        <f>IFERROR(__xludf.DUMMYFUNCTION("""COMPUTED_VALUE"""),5000.0)</f>
        <v>5000</v>
      </c>
      <c r="H675" s="2">
        <f>IFERROR(__xludf.DUMMYFUNCTION("""COMPUTED_VALUE"""),3.5)</f>
        <v>3.5</v>
      </c>
      <c r="I675" s="2">
        <f>IFERROR(__xludf.DUMMYFUNCTION("""COMPUTED_VALUE"""),4.57)</f>
        <v>4.57</v>
      </c>
      <c r="J675" s="2">
        <f>IFERROR(__xludf.DUMMYFUNCTION("""COMPUTED_VALUE"""),1.0700000000000003)</f>
        <v>1.07</v>
      </c>
      <c r="K675" s="5">
        <f>IFERROR(__xludf.DUMMYFUNCTION("""COMPUTED_VALUE"""),0.30571428571428577)</f>
        <v>0.3057142857</v>
      </c>
      <c r="L675">
        <f>IFERROR(__xludf.DUMMYFUNCTION("""COMPUTED_VALUE"""),41077.0)</f>
        <v>41077</v>
      </c>
      <c r="M675" t="str">
        <f>IFERROR(__xludf.DUMMYFUNCTION("""COMPUTED_VALUE"""),"Office Product")</f>
        <v>Office Product</v>
      </c>
      <c r="N675" t="str">
        <f>IFERROR(__xludf.DUMMYFUNCTION("""COMPUTED_VALUE"""),"Promo: OSMI")</f>
        <v>Promo: OSMI</v>
      </c>
      <c r="O675" t="str">
        <f>IFERROR(__xludf.DUMMYFUNCTION("""COMPUTED_VALUE"""),"N")</f>
        <v>N</v>
      </c>
      <c r="P675" s="1" t="str">
        <f>IFERROR(__xludf.DUMMYFUNCTION("""COMPUTED_VALUE"""),"ID 20363")</f>
        <v>ID 20363</v>
      </c>
      <c r="Q675" s="1" t="str">
        <f>IFERROR(__xludf.DUMMYFUNCTION("""COMPUTED_VALUE"""),"B000J0B3K2")</f>
        <v>B000J0B3K2</v>
      </c>
    </row>
    <row r="676">
      <c r="A676" s="6">
        <f>IFERROR(__xludf.DUMMYFUNCTION("""COMPUTED_VALUE"""),45232.0)</f>
        <v>45232</v>
      </c>
      <c r="B676">
        <f>IFERROR(__xludf.DUMMYFUNCTION("""COMPUTED_VALUE"""),22779.0)</f>
        <v>22779</v>
      </c>
      <c r="C676" t="str">
        <f>IFERROR(__xludf.DUMMYFUNCTION("""COMPUTED_VALUE"""),"BIC Velocity Original Mechanical Pencil (0.7 mm), Black, For Smooth and Dark Writing, Durable Eraser, 4-Count")</f>
        <v>BIC Velocity Original Mechanical Pencil (0.7 mm), Black, For Smooth and Dark Writing, Durable Eraser, 4-Count</v>
      </c>
      <c r="D676" t="str">
        <f>IFERROR(__xludf.DUMMYFUNCTION("""COMPUTED_VALUE"""),"B001A4271A")</f>
        <v>B001A4271A</v>
      </c>
      <c r="E676" t="str">
        <f>IFERROR(__xludf.DUMMYFUNCTION("""COMPUTED_VALUE"""),"070330411715")</f>
        <v>070330411715</v>
      </c>
      <c r="F676">
        <f>IFERROR(__xludf.DUMMYFUNCTION("""COMPUTED_VALUE"""),360.0)</f>
        <v>360</v>
      </c>
      <c r="G676">
        <f>IFERROR(__xludf.DUMMYFUNCTION("""COMPUTED_VALUE"""),10000.0)</f>
        <v>10000</v>
      </c>
      <c r="H676" s="2">
        <f>IFERROR(__xludf.DUMMYFUNCTION("""COMPUTED_VALUE"""),3.75)</f>
        <v>3.75</v>
      </c>
      <c r="I676" s="2">
        <f>IFERROR(__xludf.DUMMYFUNCTION("""COMPUTED_VALUE"""),4.82)</f>
        <v>4.82</v>
      </c>
      <c r="J676" s="2">
        <f>IFERROR(__xludf.DUMMYFUNCTION("""COMPUTED_VALUE"""),1.0700000000000003)</f>
        <v>1.07</v>
      </c>
      <c r="K676" s="5">
        <f>IFERROR(__xludf.DUMMYFUNCTION("""COMPUTED_VALUE"""),0.2853333333333334)</f>
        <v>0.2853333333</v>
      </c>
      <c r="L676">
        <f>IFERROR(__xludf.DUMMYFUNCTION("""COMPUTED_VALUE"""),10487.0)</f>
        <v>10487</v>
      </c>
      <c r="M676" t="str">
        <f>IFERROR(__xludf.DUMMYFUNCTION("""COMPUTED_VALUE"""),"Office Product")</f>
        <v>Office Product</v>
      </c>
      <c r="N676" t="str">
        <f>IFERROR(__xludf.DUMMYFUNCTION("""COMPUTED_VALUE"""),"Styling/Packaging may vary")</f>
        <v>Styling/Packaging may vary</v>
      </c>
      <c r="O676" t="str">
        <f>IFERROR(__xludf.DUMMYFUNCTION("""COMPUTED_VALUE"""),"Y")</f>
        <v>Y</v>
      </c>
      <c r="P676" s="1" t="str">
        <f>IFERROR(__xludf.DUMMYFUNCTION("""COMPUTED_VALUE"""),"ID 22779")</f>
        <v>ID 22779</v>
      </c>
      <c r="Q676" s="1" t="str">
        <f>IFERROR(__xludf.DUMMYFUNCTION("""COMPUTED_VALUE"""),"B001A4271A")</f>
        <v>B001A4271A</v>
      </c>
    </row>
    <row r="677">
      <c r="A677" s="6">
        <f>IFERROR(__xludf.DUMMYFUNCTION("""COMPUTED_VALUE"""),45174.0)</f>
        <v>45174</v>
      </c>
      <c r="B677">
        <f>IFERROR(__xludf.DUMMYFUNCTION("""COMPUTED_VALUE"""),23918.0)</f>
        <v>23918</v>
      </c>
      <c r="C677" t="str">
        <f>IFERROR(__xludf.DUMMYFUNCTION("""COMPUTED_VALUE"""),"Westcott 18 6-Inch Flexible Metric Ruler, Clear")</f>
        <v>Westcott 18 6-Inch Flexible Metric Ruler, Clear</v>
      </c>
      <c r="D677" t="str">
        <f>IFERROR(__xludf.DUMMYFUNCTION("""COMPUTED_VALUE"""),"B001E1Z6J4")</f>
        <v>B001E1Z6J4</v>
      </c>
      <c r="E677" t="str">
        <f>IFERROR(__xludf.DUMMYFUNCTION("""COMPUTED_VALUE"""),"088359000094")</f>
        <v>088359000094</v>
      </c>
      <c r="F677">
        <f>IFERROR(__xludf.DUMMYFUNCTION("""COMPUTED_VALUE"""),1440.0)</f>
        <v>1440</v>
      </c>
      <c r="G677">
        <f>IFERROR(__xludf.DUMMYFUNCTION("""COMPUTED_VALUE"""),10000.0)</f>
        <v>10000</v>
      </c>
      <c r="H677" s="2">
        <f>IFERROR(__xludf.DUMMYFUNCTION("""COMPUTED_VALUE"""),0.75)</f>
        <v>0.75</v>
      </c>
      <c r="I677" s="2">
        <f>IFERROR(__xludf.DUMMYFUNCTION("""COMPUTED_VALUE"""),1.82)</f>
        <v>1.82</v>
      </c>
      <c r="J677" s="2">
        <f>IFERROR(__xludf.DUMMYFUNCTION("""COMPUTED_VALUE"""),1.07)</f>
        <v>1.07</v>
      </c>
      <c r="K677" s="5">
        <f>IFERROR(__xludf.DUMMYFUNCTION("""COMPUTED_VALUE"""),1.4266666666666667)</f>
        <v>1.426666667</v>
      </c>
      <c r="L677">
        <f>IFERROR(__xludf.DUMMYFUNCTION("""COMPUTED_VALUE"""),46754.0)</f>
        <v>46754</v>
      </c>
      <c r="M677" t="str">
        <f>IFERROR(__xludf.DUMMYFUNCTION("""COMPUTED_VALUE"""),"Office Product")</f>
        <v>Office Product</v>
      </c>
      <c r="O677" t="str">
        <f>IFERROR(__xludf.DUMMYFUNCTION("""COMPUTED_VALUE"""),"N")</f>
        <v>N</v>
      </c>
      <c r="P677" s="1" t="str">
        <f>IFERROR(__xludf.DUMMYFUNCTION("""COMPUTED_VALUE"""),"ID 23918")</f>
        <v>ID 23918</v>
      </c>
      <c r="Q677" s="1" t="str">
        <f>IFERROR(__xludf.DUMMYFUNCTION("""COMPUTED_VALUE"""),"B001E1Z6J4")</f>
        <v>B001E1Z6J4</v>
      </c>
    </row>
    <row r="678">
      <c r="A678" s="6">
        <f>IFERROR(__xludf.DUMMYFUNCTION("""COMPUTED_VALUE"""),45364.0)</f>
        <v>45364</v>
      </c>
      <c r="B678">
        <f>IFERROR(__xludf.DUMMYFUNCTION("""COMPUTED_VALUE"""),24972.0)</f>
        <v>24972</v>
      </c>
      <c r="C678" t="str">
        <f>IFERROR(__xludf.DUMMYFUNCTION("""COMPUTED_VALUE"""),"Rediform Business Notebook with Cover, College Rule, 9.25 x 7.25 Inches, Blue, 192 Page Pad (A982)")</f>
        <v>Rediform Business Notebook with Cover, College Rule, 9.25 x 7.25 Inches, Blue, 192 Page Pad (A982)</v>
      </c>
      <c r="D678" t="str">
        <f>IFERROR(__xludf.DUMMYFUNCTION("""COMPUTED_VALUE"""),"B0006HVGX2")</f>
        <v>B0006HVGX2</v>
      </c>
      <c r="E678" t="str">
        <f>IFERROR(__xludf.DUMMYFUNCTION("""COMPUTED_VALUE"""),"069775460228")</f>
        <v>069775460228</v>
      </c>
      <c r="F678">
        <f>IFERROR(__xludf.DUMMYFUNCTION("""COMPUTED_VALUE"""),195.0)</f>
        <v>195</v>
      </c>
      <c r="G678">
        <f>IFERROR(__xludf.DUMMYFUNCTION("""COMPUTED_VALUE"""),10000.0)</f>
        <v>10000</v>
      </c>
      <c r="H678" s="2">
        <f>IFERROR(__xludf.DUMMYFUNCTION("""COMPUTED_VALUE"""),6.25)</f>
        <v>6.25</v>
      </c>
      <c r="I678" s="2">
        <f>IFERROR(__xludf.DUMMYFUNCTION("""COMPUTED_VALUE"""),7.32)</f>
        <v>7.32</v>
      </c>
      <c r="J678" s="2">
        <f>IFERROR(__xludf.DUMMYFUNCTION("""COMPUTED_VALUE"""),1.0700000000000003)</f>
        <v>1.07</v>
      </c>
      <c r="K678" s="5">
        <f>IFERROR(__xludf.DUMMYFUNCTION("""COMPUTED_VALUE"""),0.17120000000000005)</f>
        <v>0.1712</v>
      </c>
      <c r="L678">
        <f>IFERROR(__xludf.DUMMYFUNCTION("""COMPUTED_VALUE"""),76910.0)</f>
        <v>76910</v>
      </c>
      <c r="M678" t="str">
        <f>IFERROR(__xludf.DUMMYFUNCTION("""COMPUTED_VALUE"""),"Office Product")</f>
        <v>Office Product</v>
      </c>
      <c r="O678" t="str">
        <f>IFERROR(__xludf.DUMMYFUNCTION("""COMPUTED_VALUE"""),"Y")</f>
        <v>Y</v>
      </c>
      <c r="P678" s="1" t="str">
        <f>IFERROR(__xludf.DUMMYFUNCTION("""COMPUTED_VALUE"""),"ID 24972")</f>
        <v>ID 24972</v>
      </c>
      <c r="Q678" s="1" t="str">
        <f>IFERROR(__xludf.DUMMYFUNCTION("""COMPUTED_VALUE"""),"B0006HVGX2")</f>
        <v>B0006HVGX2</v>
      </c>
    </row>
    <row r="679">
      <c r="A679" s="6">
        <f>IFERROR(__xludf.DUMMYFUNCTION("""COMPUTED_VALUE"""),44458.0)</f>
        <v>44458</v>
      </c>
      <c r="B679">
        <f>IFERROR(__xludf.DUMMYFUNCTION("""COMPUTED_VALUE"""),18478.0)</f>
        <v>18478</v>
      </c>
      <c r="C679" t="str">
        <f>IFERROR(__xludf.DUMMYFUNCTION("""COMPUTED_VALUE"""),"Cardinal OneStep Index System, 12-Tab, Numbered, White, 1 Set (61213)")</f>
        <v>Cardinal OneStep Index System, 12-Tab, Numbered, White, 1 Set (61213)</v>
      </c>
      <c r="D679" t="str">
        <f>IFERROR(__xludf.DUMMYFUNCTION("""COMPUTED_VALUE"""),"B00008611E")</f>
        <v>B00008611E</v>
      </c>
      <c r="E679" t="str">
        <f>IFERROR(__xludf.DUMMYFUNCTION("""COMPUTED_VALUE"""),"83086612138")</f>
        <v>83086612138</v>
      </c>
      <c r="F679">
        <f>IFERROR(__xludf.DUMMYFUNCTION("""COMPUTED_VALUE"""),864.0)</f>
        <v>864</v>
      </c>
      <c r="G679">
        <f>IFERROR(__xludf.DUMMYFUNCTION("""COMPUTED_VALUE"""),5000.0)</f>
        <v>5000</v>
      </c>
      <c r="H679" s="2">
        <f>IFERROR(__xludf.DUMMYFUNCTION("""COMPUTED_VALUE"""),3.0)</f>
        <v>3</v>
      </c>
      <c r="I679" s="2">
        <f>IFERROR(__xludf.DUMMYFUNCTION("""COMPUTED_VALUE"""),4.06)</f>
        <v>4.06</v>
      </c>
      <c r="J679" s="2">
        <f>IFERROR(__xludf.DUMMYFUNCTION("""COMPUTED_VALUE"""),1.0599999999999996)</f>
        <v>1.06</v>
      </c>
      <c r="K679" s="5">
        <f>IFERROR(__xludf.DUMMYFUNCTION("""COMPUTED_VALUE"""),0.3533333333333332)</f>
        <v>0.3533333333</v>
      </c>
      <c r="L679">
        <f>IFERROR(__xludf.DUMMYFUNCTION("""COMPUTED_VALUE"""),92869.0)</f>
        <v>92869</v>
      </c>
      <c r="M679" t="str">
        <f>IFERROR(__xludf.DUMMYFUNCTION("""COMPUTED_VALUE"""),"Office Product")</f>
        <v>Office Product</v>
      </c>
      <c r="O679" t="str">
        <f>IFERROR(__xludf.DUMMYFUNCTION("""COMPUTED_VALUE"""),"N")</f>
        <v>N</v>
      </c>
      <c r="P679" s="1" t="str">
        <f>IFERROR(__xludf.DUMMYFUNCTION("""COMPUTED_VALUE"""),"ID 18478")</f>
        <v>ID 18478</v>
      </c>
      <c r="Q679" s="1" t="str">
        <f>IFERROR(__xludf.DUMMYFUNCTION("""COMPUTED_VALUE"""),"B00008611E")</f>
        <v>B00008611E</v>
      </c>
    </row>
    <row r="680">
      <c r="A680" s="6">
        <f>IFERROR(__xludf.DUMMYFUNCTION("""COMPUTED_VALUE"""),45362.0)</f>
        <v>45362</v>
      </c>
      <c r="B680">
        <f>IFERROR(__xludf.DUMMYFUNCTION("""COMPUTED_VALUE"""),19636.0)</f>
        <v>19636</v>
      </c>
      <c r="C680" t="str">
        <f>IFERROR(__xludf.DUMMYFUNCTION("""COMPUTED_VALUE"""),"Pentel BL77 EnerGel 0.7mm Retractable Liquid Gel Roller Pen - Pink Ink (BL77-P)")</f>
        <v>Pentel BL77 EnerGel 0.7mm Retractable Liquid Gel Roller Pen - Pink Ink (BL77-P)</v>
      </c>
      <c r="D680" t="str">
        <f>IFERROR(__xludf.DUMMYFUNCTION("""COMPUTED_VALUE"""),"B00INWYERW")</f>
        <v>B00INWYERW</v>
      </c>
      <c r="E680" t="str">
        <f>IFERROR(__xludf.DUMMYFUNCTION("""COMPUTED_VALUE"""),"884851015808")</f>
        <v>884851015808</v>
      </c>
      <c r="F680">
        <f>IFERROR(__xludf.DUMMYFUNCTION("""COMPUTED_VALUE"""),816.0)</f>
        <v>816</v>
      </c>
      <c r="G680">
        <f>IFERROR(__xludf.DUMMYFUNCTION("""COMPUTED_VALUE"""),10000.0)</f>
        <v>10000</v>
      </c>
      <c r="H680" s="2">
        <f>IFERROR(__xludf.DUMMYFUNCTION("""COMPUTED_VALUE"""),1.5)</f>
        <v>1.5</v>
      </c>
      <c r="I680" s="2">
        <f>IFERROR(__xludf.DUMMYFUNCTION("""COMPUTED_VALUE"""),2.56)</f>
        <v>2.56</v>
      </c>
      <c r="J680" s="2">
        <f>IFERROR(__xludf.DUMMYFUNCTION("""COMPUTED_VALUE"""),1.06)</f>
        <v>1.06</v>
      </c>
      <c r="K680" s="5">
        <f>IFERROR(__xludf.DUMMYFUNCTION("""COMPUTED_VALUE"""),0.7066666666666667)</f>
        <v>0.7066666667</v>
      </c>
      <c r="L680">
        <f>IFERROR(__xludf.DUMMYFUNCTION("""COMPUTED_VALUE"""),47219.0)</f>
        <v>47219</v>
      </c>
      <c r="M680" t="str">
        <f>IFERROR(__xludf.DUMMYFUNCTION("""COMPUTED_VALUE"""),"Office Product")</f>
        <v>Office Product</v>
      </c>
      <c r="O680" t="str">
        <f>IFERROR(__xludf.DUMMYFUNCTION("""COMPUTED_VALUE"""),"Y")</f>
        <v>Y</v>
      </c>
      <c r="P680" s="1" t="str">
        <f>IFERROR(__xludf.DUMMYFUNCTION("""COMPUTED_VALUE"""),"ID 19636")</f>
        <v>ID 19636</v>
      </c>
      <c r="Q680" s="1" t="str">
        <f>IFERROR(__xludf.DUMMYFUNCTION("""COMPUTED_VALUE"""),"B00INWYERW")</f>
        <v>B00INWYERW</v>
      </c>
    </row>
    <row r="681">
      <c r="A681" s="6">
        <f>IFERROR(__xludf.DUMMYFUNCTION("""COMPUTED_VALUE"""),44957.0)</f>
        <v>44957</v>
      </c>
      <c r="B681">
        <f>IFERROR(__xludf.DUMMYFUNCTION("""COMPUTED_VALUE"""),20975.0)</f>
        <v>20975</v>
      </c>
      <c r="C681" t="str">
        <f>IFERROR(__xludf.DUMMYFUNCTION("""COMPUTED_VALUE"""),"Bostitch Office SB351/2-1M Heavy Duty Premium Staples")</f>
        <v>Bostitch Office SB351/2-1M Heavy Duty Premium Staples</v>
      </c>
      <c r="D681" t="str">
        <f>IFERROR(__xludf.DUMMYFUNCTION("""COMPUTED_VALUE"""),"B0008GQ0PA")</f>
        <v>B0008GQ0PA</v>
      </c>
      <c r="E681" t="str">
        <f>IFERROR(__xludf.DUMMYFUNCTION("""COMPUTED_VALUE"""),"077914009191")</f>
        <v>077914009191</v>
      </c>
      <c r="F681">
        <f>IFERROR(__xludf.DUMMYFUNCTION("""COMPUTED_VALUE"""),655.0)</f>
        <v>655</v>
      </c>
      <c r="G681">
        <f>IFERROR(__xludf.DUMMYFUNCTION("""COMPUTED_VALUE"""),10000.0)</f>
        <v>10000</v>
      </c>
      <c r="H681" s="2">
        <f>IFERROR(__xludf.DUMMYFUNCTION("""COMPUTED_VALUE"""),2.0)</f>
        <v>2</v>
      </c>
      <c r="I681" s="2">
        <f>IFERROR(__xludf.DUMMYFUNCTION("""COMPUTED_VALUE"""),3.06)</f>
        <v>3.06</v>
      </c>
      <c r="J681" s="2">
        <f>IFERROR(__xludf.DUMMYFUNCTION("""COMPUTED_VALUE"""),1.06)</f>
        <v>1.06</v>
      </c>
      <c r="K681" s="5">
        <f>IFERROR(__xludf.DUMMYFUNCTION("""COMPUTED_VALUE"""),0.53)</f>
        <v>0.53</v>
      </c>
      <c r="L681">
        <f>IFERROR(__xludf.DUMMYFUNCTION("""COMPUTED_VALUE"""),54266.0)</f>
        <v>54266</v>
      </c>
      <c r="M681" t="str">
        <f>IFERROR(__xludf.DUMMYFUNCTION("""COMPUTED_VALUE"""),"Office Product")</f>
        <v>Office Product</v>
      </c>
      <c r="O681" t="str">
        <f>IFERROR(__xludf.DUMMYFUNCTION("""COMPUTED_VALUE"""),"Y")</f>
        <v>Y</v>
      </c>
      <c r="P681" s="1" t="str">
        <f>IFERROR(__xludf.DUMMYFUNCTION("""COMPUTED_VALUE"""),"ID 20975")</f>
        <v>ID 20975</v>
      </c>
      <c r="Q681" s="1" t="str">
        <f>IFERROR(__xludf.DUMMYFUNCTION("""COMPUTED_VALUE"""),"B0008GQ0PA")</f>
        <v>B0008GQ0PA</v>
      </c>
    </row>
    <row r="682">
      <c r="A682" s="6">
        <f>IFERROR(__xludf.DUMMYFUNCTION("""COMPUTED_VALUE"""),44837.0)</f>
        <v>44837</v>
      </c>
      <c r="B682">
        <f>IFERROR(__xludf.DUMMYFUNCTION("""COMPUTED_VALUE"""),22429.0)</f>
        <v>22429</v>
      </c>
      <c r="C682" t="str">
        <f>IFERROR(__xludf.DUMMYFUNCTION("""COMPUTED_VALUE"""),"Cardinal OneStep Binder Dividers, A–Z Tab Dividers for 3 Ring Binders, Customizable Table of Contents, Reversible Multicolor Tabs, Lettered, 1 Set (60218)")</f>
        <v>Cardinal OneStep Binder Dividers, A–Z Tab Dividers for 3 Ring Binders, Customizable Table of Contents, Reversible Multicolor Tabs, Lettered, 1 Set (60218)</v>
      </c>
      <c r="D682" t="str">
        <f>IFERROR(__xludf.DUMMYFUNCTION("""COMPUTED_VALUE"""),"B000086122")</f>
        <v>B000086122</v>
      </c>
      <c r="E682" t="str">
        <f>IFERROR(__xludf.DUMMYFUNCTION("""COMPUTED_VALUE"""),"083086602184")</f>
        <v>083086602184</v>
      </c>
      <c r="F682">
        <f>IFERROR(__xludf.DUMMYFUNCTION("""COMPUTED_VALUE"""),720.0)</f>
        <v>720</v>
      </c>
      <c r="G682">
        <f>IFERROR(__xludf.DUMMYFUNCTION("""COMPUTED_VALUE"""),10000.0)</f>
        <v>10000</v>
      </c>
      <c r="H682" s="2">
        <f>IFERROR(__xludf.DUMMYFUNCTION("""COMPUTED_VALUE"""),3.5)</f>
        <v>3.5</v>
      </c>
      <c r="I682" s="2">
        <f>IFERROR(__xludf.DUMMYFUNCTION("""COMPUTED_VALUE"""),4.56)</f>
        <v>4.56</v>
      </c>
      <c r="J682" s="2">
        <f>IFERROR(__xludf.DUMMYFUNCTION("""COMPUTED_VALUE"""),1.0599999999999996)</f>
        <v>1.06</v>
      </c>
      <c r="K682" s="5">
        <f>IFERROR(__xludf.DUMMYFUNCTION("""COMPUTED_VALUE"""),0.30285714285714277)</f>
        <v>0.3028571429</v>
      </c>
      <c r="L682">
        <f>IFERROR(__xludf.DUMMYFUNCTION("""COMPUTED_VALUE"""),77976.0)</f>
        <v>77976</v>
      </c>
      <c r="M682" t="str">
        <f>IFERROR(__xludf.DUMMYFUNCTION("""COMPUTED_VALUE"""),"Office Product")</f>
        <v>Office Product</v>
      </c>
      <c r="N682"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682" t="str">
        <f>IFERROR(__xludf.DUMMYFUNCTION("""COMPUTED_VALUE"""),"N")</f>
        <v>N</v>
      </c>
      <c r="P682" s="1" t="str">
        <f>IFERROR(__xludf.DUMMYFUNCTION("""COMPUTED_VALUE"""),"ID 22429")</f>
        <v>ID 22429</v>
      </c>
      <c r="Q682" s="1" t="str">
        <f>IFERROR(__xludf.DUMMYFUNCTION("""COMPUTED_VALUE"""),"B000086122")</f>
        <v>B000086122</v>
      </c>
    </row>
    <row r="683">
      <c r="A683" s="6">
        <f>IFERROR(__xludf.DUMMYFUNCTION("""COMPUTED_VALUE"""),44497.0)</f>
        <v>44497</v>
      </c>
      <c r="B683">
        <f>IFERROR(__xludf.DUMMYFUNCTION("""COMPUTED_VALUE"""),22998.0)</f>
        <v>22998</v>
      </c>
      <c r="C683" t="str">
        <f>IFERROR(__xludf.DUMMYFUNCTION("""COMPUTED_VALUE"""),"BAZIC Tri-Fold Corrugated Presentation Board, 36 x 48” School or Office Presentations")</f>
        <v>BAZIC Tri-Fold Corrugated Presentation Board, 36 x 48” School or Office Presentations</v>
      </c>
      <c r="D683" t="str">
        <f>IFERROR(__xludf.DUMMYFUNCTION("""COMPUTED_VALUE"""),"B003BOUY6M")</f>
        <v>B003BOUY6M</v>
      </c>
      <c r="E683" t="str">
        <f>IFERROR(__xludf.DUMMYFUNCTION("""COMPUTED_VALUE"""),"764608050330")</f>
        <v>764608050330</v>
      </c>
      <c r="F683">
        <f>IFERROR(__xludf.DUMMYFUNCTION("""COMPUTED_VALUE"""),720.0)</f>
        <v>720</v>
      </c>
      <c r="G683">
        <f>IFERROR(__xludf.DUMMYFUNCTION("""COMPUTED_VALUE"""),5000.0)</f>
        <v>5000</v>
      </c>
      <c r="H683" s="2">
        <f>IFERROR(__xludf.DUMMYFUNCTION("""COMPUTED_VALUE"""),3.5)</f>
        <v>3.5</v>
      </c>
      <c r="I683" s="2">
        <f>IFERROR(__xludf.DUMMYFUNCTION("""COMPUTED_VALUE"""),4.56)</f>
        <v>4.56</v>
      </c>
      <c r="J683" s="2">
        <f>IFERROR(__xludf.DUMMYFUNCTION("""COMPUTED_VALUE"""),1.0599999999999996)</f>
        <v>1.06</v>
      </c>
      <c r="K683" s="5">
        <f>IFERROR(__xludf.DUMMYFUNCTION("""COMPUTED_VALUE"""),0.30285714285714277)</f>
        <v>0.3028571429</v>
      </c>
      <c r="L683">
        <f>IFERROR(__xludf.DUMMYFUNCTION("""COMPUTED_VALUE"""),91929.0)</f>
        <v>91929</v>
      </c>
      <c r="M683" t="str">
        <f>IFERROR(__xludf.DUMMYFUNCTION("""COMPUTED_VALUE"""),"Office Product")</f>
        <v>Office Product</v>
      </c>
      <c r="O683" t="str">
        <f>IFERROR(__xludf.DUMMYFUNCTION("""COMPUTED_VALUE"""),"N")</f>
        <v>N</v>
      </c>
      <c r="P683" s="1" t="str">
        <f>IFERROR(__xludf.DUMMYFUNCTION("""COMPUTED_VALUE"""),"ID 22998")</f>
        <v>ID 22998</v>
      </c>
      <c r="Q683" s="1" t="str">
        <f>IFERROR(__xludf.DUMMYFUNCTION("""COMPUTED_VALUE"""),"B003BOUY6M")</f>
        <v>B003BOUY6M</v>
      </c>
    </row>
    <row r="684">
      <c r="A684" s="6">
        <f>IFERROR(__xludf.DUMMYFUNCTION("""COMPUTED_VALUE"""),45390.0)</f>
        <v>45390</v>
      </c>
      <c r="B684">
        <f>IFERROR(__xludf.DUMMYFUNCTION("""COMPUTED_VALUE"""),23294.0)</f>
        <v>23294</v>
      </c>
      <c r="C684" t="str">
        <f>IFERROR(__xludf.DUMMYFUNCTION("""COMPUTED_VALUE"""),"Chef Craft Classic Cupcake Liners, 50 count, Black")</f>
        <v>Chef Craft Classic Cupcake Liners, 50 count, Black</v>
      </c>
      <c r="D684" t="str">
        <f>IFERROR(__xludf.DUMMYFUNCTION("""COMPUTED_VALUE"""),"B07F66PNVN")</f>
        <v>B07F66PNVN</v>
      </c>
      <c r="E684" t="str">
        <f>IFERROR(__xludf.DUMMYFUNCTION("""COMPUTED_VALUE"""),"085455218675")</f>
        <v>085455218675</v>
      </c>
      <c r="F684">
        <f>IFERROR(__xludf.DUMMYFUNCTION("""COMPUTED_VALUE"""),576.0)</f>
        <v>576</v>
      </c>
      <c r="G684">
        <f>IFERROR(__xludf.DUMMYFUNCTION("""COMPUTED_VALUE"""),10000.0)</f>
        <v>10000</v>
      </c>
      <c r="H684" s="2">
        <f>IFERROR(__xludf.DUMMYFUNCTION("""COMPUTED_VALUE"""),1.25)</f>
        <v>1.25</v>
      </c>
      <c r="I684" s="2">
        <f>IFERROR(__xludf.DUMMYFUNCTION("""COMPUTED_VALUE"""),2.31)</f>
        <v>2.31</v>
      </c>
      <c r="J684" s="2">
        <f>IFERROR(__xludf.DUMMYFUNCTION("""COMPUTED_VALUE"""),1.06)</f>
        <v>1.06</v>
      </c>
      <c r="K684" s="5">
        <f>IFERROR(__xludf.DUMMYFUNCTION("""COMPUTED_VALUE"""),0.8480000000000001)</f>
        <v>0.848</v>
      </c>
      <c r="L684">
        <f>IFERROR(__xludf.DUMMYFUNCTION("""COMPUTED_VALUE"""),4029.0)</f>
        <v>4029</v>
      </c>
      <c r="M684" t="str">
        <f>IFERROR(__xludf.DUMMYFUNCTION("""COMPUTED_VALUE"""),"Kitchen")</f>
        <v>Kitchen</v>
      </c>
      <c r="O684" t="str">
        <f>IFERROR(__xludf.DUMMYFUNCTION("""COMPUTED_VALUE"""),"Y")</f>
        <v>Y</v>
      </c>
      <c r="P684" s="1" t="str">
        <f>IFERROR(__xludf.DUMMYFUNCTION("""COMPUTED_VALUE"""),"ID 23294")</f>
        <v>ID 23294</v>
      </c>
      <c r="Q684" s="1" t="str">
        <f>IFERROR(__xludf.DUMMYFUNCTION("""COMPUTED_VALUE"""),"B07F66PNVN")</f>
        <v>B07F66PNVN</v>
      </c>
    </row>
    <row r="685">
      <c r="A685" s="6">
        <f>IFERROR(__xludf.DUMMYFUNCTION("""COMPUTED_VALUE"""),45421.0)</f>
        <v>45421</v>
      </c>
      <c r="B685">
        <f>IFERROR(__xludf.DUMMYFUNCTION("""COMPUTED_VALUE"""),12762.0)</f>
        <v>12762</v>
      </c>
      <c r="C685" t="str">
        <f>IFERROR(__xludf.DUMMYFUNCTION("""COMPUTED_VALUE"""),"Chartpak Self-Adhesive Vinyl Capital Letters and Numbers, 1-1/2 Inches High, White, 45 per Pack (01046)")</f>
        <v>Chartpak Self-Adhesive Vinyl Capital Letters and Numbers, 1-1/2 Inches High, White, 45 per Pack (01046)</v>
      </c>
      <c r="D685" t="str">
        <f>IFERROR(__xludf.DUMMYFUNCTION("""COMPUTED_VALUE"""),"B0006YY9FM")</f>
        <v>B0006YY9FM</v>
      </c>
      <c r="E685" t="str">
        <f>IFERROR(__xludf.DUMMYFUNCTION("""COMPUTED_VALUE"""),"014173263674")</f>
        <v>014173263674</v>
      </c>
      <c r="F685">
        <f>IFERROR(__xludf.DUMMYFUNCTION("""COMPUTED_VALUE"""),552.0)</f>
        <v>552</v>
      </c>
      <c r="G685">
        <f>IFERROR(__xludf.DUMMYFUNCTION("""COMPUTED_VALUE"""),10000.0)</f>
        <v>10000</v>
      </c>
      <c r="H685" s="2">
        <f>IFERROR(__xludf.DUMMYFUNCTION("""COMPUTED_VALUE"""),3.75)</f>
        <v>3.75</v>
      </c>
      <c r="I685" s="2">
        <f>IFERROR(__xludf.DUMMYFUNCTION("""COMPUTED_VALUE"""),4.81)</f>
        <v>4.81</v>
      </c>
      <c r="J685" s="2">
        <f>IFERROR(__xludf.DUMMYFUNCTION("""COMPUTED_VALUE"""),1.0599999999999996)</f>
        <v>1.06</v>
      </c>
      <c r="K685" s="5">
        <f>IFERROR(__xludf.DUMMYFUNCTION("""COMPUTED_VALUE"""),0.28266666666666657)</f>
        <v>0.2826666667</v>
      </c>
      <c r="L685">
        <f>IFERROR(__xludf.DUMMYFUNCTION("""COMPUTED_VALUE"""),2440.0)</f>
        <v>2440</v>
      </c>
      <c r="M685" t="str">
        <f>IFERROR(__xludf.DUMMYFUNCTION("""COMPUTED_VALUE"""),"Office Product")</f>
        <v>Office Product</v>
      </c>
      <c r="O685" t="str">
        <f>IFERROR(__xludf.DUMMYFUNCTION("""COMPUTED_VALUE"""),"Y")</f>
        <v>Y</v>
      </c>
      <c r="P685" s="1" t="str">
        <f>IFERROR(__xludf.DUMMYFUNCTION("""COMPUTED_VALUE"""),"ID 12762")</f>
        <v>ID 12762</v>
      </c>
      <c r="Q685" s="1" t="str">
        <f>IFERROR(__xludf.DUMMYFUNCTION("""COMPUTED_VALUE"""),"B0006YY9FM")</f>
        <v>B0006YY9FM</v>
      </c>
    </row>
    <row r="686">
      <c r="A686" s="6">
        <f>IFERROR(__xludf.DUMMYFUNCTION("""COMPUTED_VALUE"""),45376.0)</f>
        <v>45376</v>
      </c>
      <c r="B686">
        <f>IFERROR(__xludf.DUMMYFUNCTION("""COMPUTED_VALUE"""),25136.0)</f>
        <v>25136</v>
      </c>
      <c r="C686" t="str">
        <f>IFERROR(__xludf.DUMMYFUNCTION("""COMPUTED_VALUE"""),"Pacon Spectra Glitter Sparkling Crystals, Multi-Color, 4-Ounce Jar (91690)")</f>
        <v>Pacon Spectra Glitter Sparkling Crystals, Multi-Color, 4-Ounce Jar (91690)</v>
      </c>
      <c r="D686" t="str">
        <f>IFERROR(__xludf.DUMMYFUNCTION("""COMPUTED_VALUE"""),"B009XO3WG8")</f>
        <v>B009XO3WG8</v>
      </c>
      <c r="E686" t="str">
        <f>IFERROR(__xludf.DUMMYFUNCTION("""COMPUTED_VALUE"""),"029444916906")</f>
        <v>029444916906</v>
      </c>
      <c r="F686">
        <f>IFERROR(__xludf.DUMMYFUNCTION("""COMPUTED_VALUE"""),1464.0)</f>
        <v>1464</v>
      </c>
      <c r="G686">
        <f>IFERROR(__xludf.DUMMYFUNCTION("""COMPUTED_VALUE"""),10000.0)</f>
        <v>10000</v>
      </c>
      <c r="H686" s="2">
        <f>IFERROR(__xludf.DUMMYFUNCTION("""COMPUTED_VALUE"""),2.5)</f>
        <v>2.5</v>
      </c>
      <c r="I686" s="2">
        <f>IFERROR(__xludf.DUMMYFUNCTION("""COMPUTED_VALUE"""),3.56)</f>
        <v>3.56</v>
      </c>
      <c r="J686" s="2">
        <f>IFERROR(__xludf.DUMMYFUNCTION("""COMPUTED_VALUE"""),1.06)</f>
        <v>1.06</v>
      </c>
      <c r="K686" s="5">
        <f>IFERROR(__xludf.DUMMYFUNCTION("""COMPUTED_VALUE"""),0.42400000000000004)</f>
        <v>0.424</v>
      </c>
      <c r="L686">
        <f>IFERROR(__xludf.DUMMYFUNCTION("""COMPUTED_VALUE"""),13784.0)</f>
        <v>13784</v>
      </c>
      <c r="M686" t="str">
        <f>IFERROR(__xludf.DUMMYFUNCTION("""COMPUTED_VALUE"""),"BISS Basic")</f>
        <v>BISS Basic</v>
      </c>
      <c r="O686" t="str">
        <f>IFERROR(__xludf.DUMMYFUNCTION("""COMPUTED_VALUE"""),"Y")</f>
        <v>Y</v>
      </c>
      <c r="P686" s="1" t="str">
        <f>IFERROR(__xludf.DUMMYFUNCTION("""COMPUTED_VALUE"""),"ID 25136")</f>
        <v>ID 25136</v>
      </c>
      <c r="Q686" s="1" t="str">
        <f>IFERROR(__xludf.DUMMYFUNCTION("""COMPUTED_VALUE"""),"B009XO3WG8")</f>
        <v>B009XO3WG8</v>
      </c>
    </row>
    <row r="687">
      <c r="A687" s="6">
        <f>IFERROR(__xludf.DUMMYFUNCTION("""COMPUTED_VALUE"""),45390.0)</f>
        <v>45390</v>
      </c>
      <c r="B687">
        <f>IFERROR(__xludf.DUMMYFUNCTION("""COMPUTED_VALUE"""),5562.0)</f>
        <v>5562</v>
      </c>
      <c r="C687" t="str">
        <f>IFERROR(__xludf.DUMMYFUNCTION("""COMPUTED_VALUE"""),"Chef Craft Silicone Spaghetti Pasta Fork Dishwasher Safe Stain Resistant (Yellow)")</f>
        <v>Chef Craft Silicone Spaghetti Pasta Fork Dishwasher Safe Stain Resistant (Yellow)</v>
      </c>
      <c r="D687" t="str">
        <f>IFERROR(__xludf.DUMMYFUNCTION("""COMPUTED_VALUE"""),"B06Y18QJ27")</f>
        <v>B06Y18QJ27</v>
      </c>
      <c r="E687" t="str">
        <f>IFERROR(__xludf.DUMMYFUNCTION("""COMPUTED_VALUE"""),"085455132414")</f>
        <v>085455132414</v>
      </c>
      <c r="F687">
        <f>IFERROR(__xludf.DUMMYFUNCTION("""COMPUTED_VALUE"""),360.0)</f>
        <v>360</v>
      </c>
      <c r="G687">
        <f>IFERROR(__xludf.DUMMYFUNCTION("""COMPUTED_VALUE"""),10000.0)</f>
        <v>10000</v>
      </c>
      <c r="H687" s="2">
        <f>IFERROR(__xludf.DUMMYFUNCTION("""COMPUTED_VALUE"""),2.75)</f>
        <v>2.75</v>
      </c>
      <c r="I687" s="2">
        <f>IFERROR(__xludf.DUMMYFUNCTION("""COMPUTED_VALUE"""),3.8)</f>
        <v>3.8</v>
      </c>
      <c r="J687" s="2">
        <f>IFERROR(__xludf.DUMMYFUNCTION("""COMPUTED_VALUE"""),1.0499999999999998)</f>
        <v>1.05</v>
      </c>
      <c r="K687" s="5">
        <f>IFERROR(__xludf.DUMMYFUNCTION("""COMPUTED_VALUE"""),0.3818181818181818)</f>
        <v>0.3818181818</v>
      </c>
      <c r="L687">
        <f>IFERROR(__xludf.DUMMYFUNCTION("""COMPUTED_VALUE"""),23772.0)</f>
        <v>23772</v>
      </c>
      <c r="M687" t="str">
        <f>IFERROR(__xludf.DUMMYFUNCTION("""COMPUTED_VALUE"""),"Kitchen")</f>
        <v>Kitchen</v>
      </c>
      <c r="O687" t="str">
        <f>IFERROR(__xludf.DUMMYFUNCTION("""COMPUTED_VALUE"""),"Y")</f>
        <v>Y</v>
      </c>
      <c r="P687" s="1" t="str">
        <f>IFERROR(__xludf.DUMMYFUNCTION("""COMPUTED_VALUE"""),"ID 5562")</f>
        <v>ID 5562</v>
      </c>
      <c r="Q687" s="1" t="str">
        <f>IFERROR(__xludf.DUMMYFUNCTION("""COMPUTED_VALUE"""),"B06Y18QJ27")</f>
        <v>B06Y18QJ27</v>
      </c>
    </row>
    <row r="688">
      <c r="A688" s="6">
        <f>IFERROR(__xludf.DUMMYFUNCTION("""COMPUTED_VALUE"""),45376.0)</f>
        <v>45376</v>
      </c>
      <c r="B688">
        <f>IFERROR(__xludf.DUMMYFUNCTION("""COMPUTED_VALUE"""),24076.0)</f>
        <v>24076</v>
      </c>
      <c r="C688" t="str">
        <f>IFERROR(__xludf.DUMMYFUNCTION("""COMPUTED_VALUE"""),"Pacon Spectra Glitter Sparkling Crystals, Purple, 4-Ounce Jar (91630)")</f>
        <v>Pacon Spectra Glitter Sparkling Crystals, Purple, 4-Ounce Jar (91630)</v>
      </c>
      <c r="D688" t="str">
        <f>IFERROR(__xludf.DUMMYFUNCTION("""COMPUTED_VALUE"""),"B00290FJ9Q")</f>
        <v>B00290FJ9Q</v>
      </c>
      <c r="E688" t="str">
        <f>IFERROR(__xludf.DUMMYFUNCTION("""COMPUTED_VALUE"""),"029444916302")</f>
        <v>029444916302</v>
      </c>
      <c r="F688">
        <f>IFERROR(__xludf.DUMMYFUNCTION("""COMPUTED_VALUE"""),1464.0)</f>
        <v>1464</v>
      </c>
      <c r="G688">
        <f>IFERROR(__xludf.DUMMYFUNCTION("""COMPUTED_VALUE"""),10000.0)</f>
        <v>10000</v>
      </c>
      <c r="H688" s="2">
        <f>IFERROR(__xludf.DUMMYFUNCTION("""COMPUTED_VALUE"""),2.5)</f>
        <v>2.5</v>
      </c>
      <c r="I688" s="2">
        <f>IFERROR(__xludf.DUMMYFUNCTION("""COMPUTED_VALUE"""),3.55)</f>
        <v>3.55</v>
      </c>
      <c r="J688" s="2">
        <f>IFERROR(__xludf.DUMMYFUNCTION("""COMPUTED_VALUE"""),1.0499999999999998)</f>
        <v>1.05</v>
      </c>
      <c r="K688" s="5">
        <f>IFERROR(__xludf.DUMMYFUNCTION("""COMPUTED_VALUE"""),0.41999999999999993)</f>
        <v>0.42</v>
      </c>
      <c r="L688">
        <f>IFERROR(__xludf.DUMMYFUNCTION("""COMPUTED_VALUE"""),12842.0)</f>
        <v>12842</v>
      </c>
      <c r="M688" t="str">
        <f>IFERROR(__xludf.DUMMYFUNCTION("""COMPUTED_VALUE"""),"Office Product")</f>
        <v>Office Product</v>
      </c>
      <c r="O688" t="str">
        <f>IFERROR(__xludf.DUMMYFUNCTION("""COMPUTED_VALUE"""),"N")</f>
        <v>N</v>
      </c>
      <c r="P688" s="1" t="str">
        <f>IFERROR(__xludf.DUMMYFUNCTION("""COMPUTED_VALUE"""),"ID 24076")</f>
        <v>ID 24076</v>
      </c>
      <c r="Q688" s="1" t="str">
        <f>IFERROR(__xludf.DUMMYFUNCTION("""COMPUTED_VALUE"""),"B00290FJ9Q")</f>
        <v>B00290FJ9Q</v>
      </c>
    </row>
    <row r="689">
      <c r="A689" s="6">
        <f>IFERROR(__xludf.DUMMYFUNCTION("""COMPUTED_VALUE"""),43844.0)</f>
        <v>43844</v>
      </c>
      <c r="B689">
        <f>IFERROR(__xludf.DUMMYFUNCTION("""COMPUTED_VALUE"""),11708.0)</f>
        <v>11708</v>
      </c>
      <c r="C689" t="str">
        <f>IFERROR(__xludf.DUMMYFUNCTION("""COMPUTED_VALUE"""),"Milani Easy Brow Automatic Pencil, Dark Brown 02 by Milani")</f>
        <v>Milani Easy Brow Automatic Pencil, Dark Brown 02 by Milani</v>
      </c>
      <c r="D689" t="str">
        <f>IFERROR(__xludf.DUMMYFUNCTION("""COMPUTED_VALUE"""),"B00IX1XD52")</f>
        <v>B00IX1XD52</v>
      </c>
      <c r="E689" t="str">
        <f>IFERROR(__xludf.DUMMYFUNCTION("""COMPUTED_VALUE"""),"717489908528")</f>
        <v>717489908528</v>
      </c>
      <c r="F689">
        <f>IFERROR(__xludf.DUMMYFUNCTION("""COMPUTED_VALUE"""),396.0)</f>
        <v>396</v>
      </c>
      <c r="G689">
        <f>IFERROR(__xludf.DUMMYFUNCTION("""COMPUTED_VALUE"""),4000.0)</f>
        <v>4000</v>
      </c>
      <c r="H689" s="2">
        <f>IFERROR(__xludf.DUMMYFUNCTION("""COMPUTED_VALUE"""),5.0)</f>
        <v>5</v>
      </c>
      <c r="I689" s="2">
        <f>IFERROR(__xludf.DUMMYFUNCTION("""COMPUTED_VALUE"""),6.04)</f>
        <v>6.04</v>
      </c>
      <c r="J689" s="2">
        <f>IFERROR(__xludf.DUMMYFUNCTION("""COMPUTED_VALUE"""),1.04)</f>
        <v>1.04</v>
      </c>
      <c r="K689" s="5">
        <f>IFERROR(__xludf.DUMMYFUNCTION("""COMPUTED_VALUE"""),0.20800000000000002)</f>
        <v>0.208</v>
      </c>
      <c r="L689">
        <f>IFERROR(__xludf.DUMMYFUNCTION("""COMPUTED_VALUE"""),60149.0)</f>
        <v>60149</v>
      </c>
      <c r="M689" t="str">
        <f>IFERROR(__xludf.DUMMYFUNCTION("""COMPUTED_VALUE"""),"Beauty")</f>
        <v>Beauty</v>
      </c>
      <c r="O689" t="str">
        <f>IFERROR(__xludf.DUMMYFUNCTION("""COMPUTED_VALUE"""),"N")</f>
        <v>N</v>
      </c>
      <c r="P689" s="1" t="str">
        <f>IFERROR(__xludf.DUMMYFUNCTION("""COMPUTED_VALUE"""),"ID 11708")</f>
        <v>ID 11708</v>
      </c>
      <c r="Q689" s="1" t="str">
        <f>IFERROR(__xludf.DUMMYFUNCTION("""COMPUTED_VALUE"""),"B00IX1XD52")</f>
        <v>B00IX1XD52</v>
      </c>
    </row>
    <row r="690">
      <c r="A690" s="6">
        <f>IFERROR(__xludf.DUMMYFUNCTION("""COMPUTED_VALUE"""),45397.0)</f>
        <v>45397</v>
      </c>
      <c r="B690">
        <f>IFERROR(__xludf.DUMMYFUNCTION("""COMPUTED_VALUE"""),18064.0)</f>
        <v>18064</v>
      </c>
      <c r="C690" t="str">
        <f>IFERROR(__xludf.DUMMYFUNCTION("""COMPUTED_VALUE"""),"JONTUE by Revlon COLOGNE SPRAY 2.3 OZ")</f>
        <v>JONTUE by Revlon COLOGNE SPRAY 2.3 OZ</v>
      </c>
      <c r="D690" t="str">
        <f>IFERROR(__xludf.DUMMYFUNCTION("""COMPUTED_VALUE"""),"B0050ZIHL4")</f>
        <v>B0050ZIHL4</v>
      </c>
      <c r="E690" t="str">
        <f>IFERROR(__xludf.DUMMYFUNCTION("""COMPUTED_VALUE"""),"0309979103850")</f>
        <v>0309979103850</v>
      </c>
      <c r="F690">
        <f>IFERROR(__xludf.DUMMYFUNCTION("""COMPUTED_VALUE"""),200.0)</f>
        <v>200</v>
      </c>
      <c r="G690">
        <f>IFERROR(__xludf.DUMMYFUNCTION("""COMPUTED_VALUE"""),10000.0)</f>
        <v>10000</v>
      </c>
      <c r="H690" s="2">
        <f>IFERROR(__xludf.DUMMYFUNCTION("""COMPUTED_VALUE"""),6.5)</f>
        <v>6.5</v>
      </c>
      <c r="I690" s="2">
        <f>IFERROR(__xludf.DUMMYFUNCTION("""COMPUTED_VALUE"""),7.54)</f>
        <v>7.54</v>
      </c>
      <c r="J690" s="2">
        <f>IFERROR(__xludf.DUMMYFUNCTION("""COMPUTED_VALUE"""),1.04)</f>
        <v>1.04</v>
      </c>
      <c r="K690" s="5">
        <f>IFERROR(__xludf.DUMMYFUNCTION("""COMPUTED_VALUE"""),0.16)</f>
        <v>0.16</v>
      </c>
      <c r="L690">
        <f>IFERROR(__xludf.DUMMYFUNCTION("""COMPUTED_VALUE"""),67458.0)</f>
        <v>67458</v>
      </c>
      <c r="M690" t="str">
        <f>IFERROR(__xludf.DUMMYFUNCTION("""COMPUTED_VALUE"""),"Beauty")</f>
        <v>Beauty</v>
      </c>
      <c r="O690" t="str">
        <f>IFERROR(__xludf.DUMMYFUNCTION("""COMPUTED_VALUE"""),"N")</f>
        <v>N</v>
      </c>
      <c r="P690" s="1" t="str">
        <f>IFERROR(__xludf.DUMMYFUNCTION("""COMPUTED_VALUE"""),"ID 18064")</f>
        <v>ID 18064</v>
      </c>
      <c r="Q690" s="1" t="str">
        <f>IFERROR(__xludf.DUMMYFUNCTION("""COMPUTED_VALUE"""),"B0050ZIHL4")</f>
        <v>B0050ZIHL4</v>
      </c>
    </row>
    <row r="691">
      <c r="A691" s="6">
        <f>IFERROR(__xludf.DUMMYFUNCTION("""COMPUTED_VALUE"""),45362.0)</f>
        <v>45362</v>
      </c>
      <c r="B691">
        <f>IFERROR(__xludf.DUMMYFUNCTION("""COMPUTED_VALUE"""),19732.0)</f>
        <v>19732</v>
      </c>
      <c r="C691" t="str">
        <f>IFERROR(__xludf.DUMMYFUNCTION("""COMPUTED_VALUE"""),"Pentel Arts Sign Pen Micro Brush, Gold &amp; Silver Ink, 2-pk (SESF30BPXZ)")</f>
        <v>Pentel Arts Sign Pen Micro Brush, Gold &amp; Silver Ink, 2-pk (SESF30BPXZ)</v>
      </c>
      <c r="D691" t="str">
        <f>IFERROR(__xludf.DUMMYFUNCTION("""COMPUTED_VALUE"""),"B07RBTZSN6")</f>
        <v>B07RBTZSN6</v>
      </c>
      <c r="E691" t="str">
        <f>IFERROR(__xludf.DUMMYFUNCTION("""COMPUTED_VALUE"""),"072512275481")</f>
        <v>072512275481</v>
      </c>
      <c r="F691">
        <f>IFERROR(__xludf.DUMMYFUNCTION("""COMPUTED_VALUE"""),432.0)</f>
        <v>432</v>
      </c>
      <c r="G691">
        <f>IFERROR(__xludf.DUMMYFUNCTION("""COMPUTED_VALUE"""),10000.0)</f>
        <v>10000</v>
      </c>
      <c r="H691" s="2">
        <f>IFERROR(__xludf.DUMMYFUNCTION("""COMPUTED_VALUE"""),4.5)</f>
        <v>4.5</v>
      </c>
      <c r="I691" s="2">
        <f>IFERROR(__xludf.DUMMYFUNCTION("""COMPUTED_VALUE"""),5.54)</f>
        <v>5.54</v>
      </c>
      <c r="J691" s="2">
        <f>IFERROR(__xludf.DUMMYFUNCTION("""COMPUTED_VALUE"""),1.04)</f>
        <v>1.04</v>
      </c>
      <c r="K691" s="5">
        <f>IFERROR(__xludf.DUMMYFUNCTION("""COMPUTED_VALUE"""),0.23111111111111113)</f>
        <v>0.2311111111</v>
      </c>
      <c r="L691">
        <f>IFERROR(__xludf.DUMMYFUNCTION("""COMPUTED_VALUE"""),41579.0)</f>
        <v>41579</v>
      </c>
      <c r="M691" t="str">
        <f>IFERROR(__xludf.DUMMYFUNCTION("""COMPUTED_VALUE"""),"Office Product")</f>
        <v>Office Product</v>
      </c>
      <c r="O691" t="str">
        <f>IFERROR(__xludf.DUMMYFUNCTION("""COMPUTED_VALUE"""),"N")</f>
        <v>N</v>
      </c>
      <c r="P691" s="1" t="str">
        <f>IFERROR(__xludf.DUMMYFUNCTION("""COMPUTED_VALUE"""),"ID 19732")</f>
        <v>ID 19732</v>
      </c>
      <c r="Q691" s="1" t="str">
        <f>IFERROR(__xludf.DUMMYFUNCTION("""COMPUTED_VALUE"""),"B07RBTZSN6")</f>
        <v>B07RBTZSN6</v>
      </c>
    </row>
    <row r="692">
      <c r="A692" s="6">
        <f>IFERROR(__xludf.DUMMYFUNCTION("""COMPUTED_VALUE"""),45208.0)</f>
        <v>45208</v>
      </c>
      <c r="B692">
        <f>IFERROR(__xludf.DUMMYFUNCTION("""COMPUTED_VALUE"""),22500.0)</f>
        <v>22500</v>
      </c>
      <c r="C692" t="str">
        <f>IFERROR(__xludf.DUMMYFUNCTION("""COMPUTED_VALUE"""),"Tombow Dual Brush Pen Art Marker, N75 - Cool Gray 3, 1-Pack")</f>
        <v>Tombow Dual Brush Pen Art Marker, N75 - Cool Gray 3, 1-Pack</v>
      </c>
      <c r="D692" t="str">
        <f>IFERROR(__xludf.DUMMYFUNCTION("""COMPUTED_VALUE"""),"B000KNJUOO")</f>
        <v>B000KNJUOO</v>
      </c>
      <c r="E692" t="str">
        <f>IFERROR(__xludf.DUMMYFUNCTION("""COMPUTED_VALUE"""),"085014566391")</f>
        <v>085014566391</v>
      </c>
      <c r="F692">
        <f>IFERROR(__xludf.DUMMYFUNCTION("""COMPUTED_VALUE"""),460.0)</f>
        <v>460</v>
      </c>
      <c r="G692">
        <f>IFERROR(__xludf.DUMMYFUNCTION("""COMPUTED_VALUE"""),10000.0)</f>
        <v>10000</v>
      </c>
      <c r="H692" s="2">
        <f>IFERROR(__xludf.DUMMYFUNCTION("""COMPUTED_VALUE"""),1.75)</f>
        <v>1.75</v>
      </c>
      <c r="I692" s="2">
        <f>IFERROR(__xludf.DUMMYFUNCTION("""COMPUTED_VALUE"""),2.79)</f>
        <v>2.79</v>
      </c>
      <c r="J692" s="2">
        <f>IFERROR(__xludf.DUMMYFUNCTION("""COMPUTED_VALUE"""),1.04)</f>
        <v>1.04</v>
      </c>
      <c r="K692" s="5">
        <f>IFERROR(__xludf.DUMMYFUNCTION("""COMPUTED_VALUE"""),0.5942857142857143)</f>
        <v>0.5942857143</v>
      </c>
      <c r="L692">
        <f>IFERROR(__xludf.DUMMYFUNCTION("""COMPUTED_VALUE"""),8177.0)</f>
        <v>8177</v>
      </c>
      <c r="M692" t="str">
        <f>IFERROR(__xludf.DUMMYFUNCTION("""COMPUTED_VALUE"""),"Office Product")</f>
        <v>Office Product</v>
      </c>
      <c r="N692" t="str">
        <f>IFERROR(__xludf.DUMMYFUNCTION("""COMPUTED_VALUE"""),"Restricted for online resale")</f>
        <v>Restricted for online resale</v>
      </c>
      <c r="O692" t="str">
        <f>IFERROR(__xludf.DUMMYFUNCTION("""COMPUTED_VALUE"""),"Y")</f>
        <v>Y</v>
      </c>
      <c r="P692" s="1" t="str">
        <f>IFERROR(__xludf.DUMMYFUNCTION("""COMPUTED_VALUE"""),"ID 22500")</f>
        <v>ID 22500</v>
      </c>
      <c r="Q692" s="1" t="str">
        <f>IFERROR(__xludf.DUMMYFUNCTION("""COMPUTED_VALUE"""),"B000KNJUOO")</f>
        <v>B000KNJUOO</v>
      </c>
    </row>
    <row r="693">
      <c r="A693" s="6">
        <f>IFERROR(__xludf.DUMMYFUNCTION("""COMPUTED_VALUE"""),44573.0)</f>
        <v>44573</v>
      </c>
      <c r="B693">
        <f>IFERROR(__xludf.DUMMYFUNCTION("""COMPUTED_VALUE"""),24407.0)</f>
        <v>24407</v>
      </c>
      <c r="C693" t="str">
        <f>IFERROR(__xludf.DUMMYFUNCTION("""COMPUTED_VALUE"""),"Scotch Performance Masking Tape 233, 26344, 6 mm x 55 m")</f>
        <v>Scotch Performance Masking Tape 233, 26344, 6 mm x 55 m</v>
      </c>
      <c r="D693" t="str">
        <f>IFERROR(__xludf.DUMMYFUNCTION("""COMPUTED_VALUE"""),"B002C47XMU")</f>
        <v>B002C47XMU</v>
      </c>
      <c r="E693" t="str">
        <f>IFERROR(__xludf.DUMMYFUNCTION("""COMPUTED_VALUE"""),"51131263444")</f>
        <v>51131263444</v>
      </c>
      <c r="F693">
        <f>IFERROR(__xludf.DUMMYFUNCTION("""COMPUTED_VALUE"""),1152.0)</f>
        <v>1152</v>
      </c>
      <c r="G693">
        <f>IFERROR(__xludf.DUMMYFUNCTION("""COMPUTED_VALUE"""),2000.0)</f>
        <v>2000</v>
      </c>
      <c r="H693" s="2">
        <f>IFERROR(__xludf.DUMMYFUNCTION("""COMPUTED_VALUE"""),2.75)</f>
        <v>2.75</v>
      </c>
      <c r="I693" s="2">
        <f>IFERROR(__xludf.DUMMYFUNCTION("""COMPUTED_VALUE"""),3.79)</f>
        <v>3.79</v>
      </c>
      <c r="J693" s="2">
        <f>IFERROR(__xludf.DUMMYFUNCTION("""COMPUTED_VALUE"""),1.04)</f>
        <v>1.04</v>
      </c>
      <c r="K693" s="5">
        <f>IFERROR(__xludf.DUMMYFUNCTION("""COMPUTED_VALUE"""),0.3781818181818182)</f>
        <v>0.3781818182</v>
      </c>
      <c r="L693">
        <f>IFERROR(__xludf.DUMMYFUNCTION("""COMPUTED_VALUE"""),37432.0)</f>
        <v>37432</v>
      </c>
      <c r="M693" t="str">
        <f>IFERROR(__xludf.DUMMYFUNCTION("""COMPUTED_VALUE"""),"Lawn &amp; Patio")</f>
        <v>Lawn &amp; Patio</v>
      </c>
      <c r="O693" t="str">
        <f>IFERROR(__xludf.DUMMYFUNCTION("""COMPUTED_VALUE"""),"N")</f>
        <v>N</v>
      </c>
      <c r="P693" s="1" t="str">
        <f>IFERROR(__xludf.DUMMYFUNCTION("""COMPUTED_VALUE"""),"ID 24407")</f>
        <v>ID 24407</v>
      </c>
      <c r="Q693" s="1" t="str">
        <f>IFERROR(__xludf.DUMMYFUNCTION("""COMPUTED_VALUE"""),"B002C47XMU")</f>
        <v>B002C47XMU</v>
      </c>
    </row>
    <row r="694">
      <c r="A694" s="6">
        <f>IFERROR(__xludf.DUMMYFUNCTION("""COMPUTED_VALUE"""),45390.0)</f>
        <v>45390</v>
      </c>
      <c r="B694">
        <f>IFERROR(__xludf.DUMMYFUNCTION("""COMPUTED_VALUE"""),18396.0)</f>
        <v>18396</v>
      </c>
      <c r="C694" t="str">
        <f>IFERROR(__xludf.DUMMYFUNCTION("""COMPUTED_VALUE"""),"Chef Craft Brushed Stainless Steel Mixing Bowl, 1 Quart")</f>
        <v>Chef Craft Brushed Stainless Steel Mixing Bowl, 1 Quart</v>
      </c>
      <c r="D694" t="str">
        <f>IFERROR(__xludf.DUMMYFUNCTION("""COMPUTED_VALUE"""),"B00B4GO3VQ")</f>
        <v>B00B4GO3VQ</v>
      </c>
      <c r="E694" t="str">
        <f>IFERROR(__xludf.DUMMYFUNCTION("""COMPUTED_VALUE"""),"085455217159")</f>
        <v>085455217159</v>
      </c>
      <c r="F694">
        <f>IFERROR(__xludf.DUMMYFUNCTION("""COMPUTED_VALUE"""),720.0)</f>
        <v>720</v>
      </c>
      <c r="G694">
        <f>IFERROR(__xludf.DUMMYFUNCTION("""COMPUTED_VALUE"""),10000.0)</f>
        <v>10000</v>
      </c>
      <c r="H694" s="2">
        <f>IFERROR(__xludf.DUMMYFUNCTION("""COMPUTED_VALUE"""),1.5)</f>
        <v>1.5</v>
      </c>
      <c r="I694" s="2">
        <f>IFERROR(__xludf.DUMMYFUNCTION("""COMPUTED_VALUE"""),2.53)</f>
        <v>2.53</v>
      </c>
      <c r="J694" s="2">
        <f>IFERROR(__xludf.DUMMYFUNCTION("""COMPUTED_VALUE"""),1.0299999999999998)</f>
        <v>1.03</v>
      </c>
      <c r="K694" s="5">
        <f>IFERROR(__xludf.DUMMYFUNCTION("""COMPUTED_VALUE"""),0.6866666666666665)</f>
        <v>0.6866666667</v>
      </c>
      <c r="L694">
        <f>IFERROR(__xludf.DUMMYFUNCTION("""COMPUTED_VALUE"""),9184.0)</f>
        <v>9184</v>
      </c>
      <c r="M694" t="str">
        <f>IFERROR(__xludf.DUMMYFUNCTION("""COMPUTED_VALUE"""),"Toy")</f>
        <v>Toy</v>
      </c>
      <c r="O694" t="str">
        <f>IFERROR(__xludf.DUMMYFUNCTION("""COMPUTED_VALUE"""),"Y")</f>
        <v>Y</v>
      </c>
      <c r="P694" s="1" t="str">
        <f>IFERROR(__xludf.DUMMYFUNCTION("""COMPUTED_VALUE"""),"ID 18396")</f>
        <v>ID 18396</v>
      </c>
      <c r="Q694" s="1" t="str">
        <f>IFERROR(__xludf.DUMMYFUNCTION("""COMPUTED_VALUE"""),"B00B4GO3VQ")</f>
        <v>B00B4GO3VQ</v>
      </c>
    </row>
    <row r="695">
      <c r="A695" s="6">
        <f>IFERROR(__xludf.DUMMYFUNCTION("""COMPUTED_VALUE"""),45390.0)</f>
        <v>45390</v>
      </c>
      <c r="B695">
        <f>IFERROR(__xludf.DUMMYFUNCTION("""COMPUTED_VALUE"""),7863.0)</f>
        <v>7863</v>
      </c>
      <c r="C695" t="str">
        <f>IFERROR(__xludf.DUMMYFUNCTION("""COMPUTED_VALUE"""),"Chef Craft 21131 Paring Knife Set, 7 in ABS Handle 3.5 in Blade Black")</f>
        <v>Chef Craft 21131 Paring Knife Set, 7 in ABS Handle 3.5 in Blade Black</v>
      </c>
      <c r="D695" t="str">
        <f>IFERROR(__xludf.DUMMYFUNCTION("""COMPUTED_VALUE"""),"B0044FSS8I")</f>
        <v>B0044FSS8I</v>
      </c>
      <c r="E695" t="str">
        <f>IFERROR(__xludf.DUMMYFUNCTION("""COMPUTED_VALUE"""),"085455211317")</f>
        <v>085455211317</v>
      </c>
      <c r="F695">
        <f>IFERROR(__xludf.DUMMYFUNCTION("""COMPUTED_VALUE"""),576.0)</f>
        <v>576</v>
      </c>
      <c r="G695">
        <f>IFERROR(__xludf.DUMMYFUNCTION("""COMPUTED_VALUE"""),10000.0)</f>
        <v>10000</v>
      </c>
      <c r="H695" s="2">
        <f>IFERROR(__xludf.DUMMYFUNCTION("""COMPUTED_VALUE"""),1.5)</f>
        <v>1.5</v>
      </c>
      <c r="I695" s="2">
        <f>IFERROR(__xludf.DUMMYFUNCTION("""COMPUTED_VALUE"""),2.52)</f>
        <v>2.52</v>
      </c>
      <c r="J695" s="2">
        <f>IFERROR(__xludf.DUMMYFUNCTION("""COMPUTED_VALUE"""),1.02)</f>
        <v>1.02</v>
      </c>
      <c r="K695" s="5">
        <f>IFERROR(__xludf.DUMMYFUNCTION("""COMPUTED_VALUE"""),0.68)</f>
        <v>0.68</v>
      </c>
      <c r="L695">
        <f>IFERROR(__xludf.DUMMYFUNCTION("""COMPUTED_VALUE"""),69579.0)</f>
        <v>69579</v>
      </c>
      <c r="M695" t="str">
        <f>IFERROR(__xludf.DUMMYFUNCTION("""COMPUTED_VALUE"""),"Kitchen")</f>
        <v>Kitchen</v>
      </c>
      <c r="O695" t="str">
        <f>IFERROR(__xludf.DUMMYFUNCTION("""COMPUTED_VALUE"""),"Y")</f>
        <v>Y</v>
      </c>
      <c r="P695" s="1" t="str">
        <f>IFERROR(__xludf.DUMMYFUNCTION("""COMPUTED_VALUE"""),"ID 7863")</f>
        <v>ID 7863</v>
      </c>
      <c r="Q695" s="1" t="str">
        <f>IFERROR(__xludf.DUMMYFUNCTION("""COMPUTED_VALUE"""),"B0044FSS8I")</f>
        <v>B0044FSS8I</v>
      </c>
    </row>
    <row r="696">
      <c r="A696" s="6">
        <f>IFERROR(__xludf.DUMMYFUNCTION("""COMPUTED_VALUE"""),45211.0)</f>
        <v>45211</v>
      </c>
      <c r="B696">
        <f>IFERROR(__xludf.DUMMYFUNCTION("""COMPUTED_VALUE"""),9765.0)</f>
        <v>9765</v>
      </c>
      <c r="C696" t="str">
        <f>IFERROR(__xludf.DUMMYFUNCTION("""COMPUTED_VALUE"""),"Nyko Power Kit Plus - 2 Pack Rechargeable Battery and Replacement Cover with Micro-USB Charging Cable for Xbox One")</f>
        <v>Nyko Power Kit Plus - 2 Pack Rechargeable Battery and Replacement Cover with Micro-USB Charging Cable for Xbox One</v>
      </c>
      <c r="D696" t="str">
        <f>IFERROR(__xludf.DUMMYFUNCTION("""COMPUTED_VALUE"""),"B00FLLFJOU")</f>
        <v>B00FLLFJOU</v>
      </c>
      <c r="E696" t="str">
        <f>IFERROR(__xludf.DUMMYFUNCTION("""COMPUTED_VALUE"""),"743840861034")</f>
        <v>743840861034</v>
      </c>
      <c r="F696">
        <f>IFERROR(__xludf.DUMMYFUNCTION("""COMPUTED_VALUE"""),160.0)</f>
        <v>160</v>
      </c>
      <c r="G696">
        <f>IFERROR(__xludf.DUMMYFUNCTION("""COMPUTED_VALUE"""),1400.0)</f>
        <v>1400</v>
      </c>
      <c r="H696" s="2">
        <f>IFERROR(__xludf.DUMMYFUNCTION("""COMPUTED_VALUE"""),8.0)</f>
        <v>8</v>
      </c>
      <c r="I696" s="2">
        <f>IFERROR(__xludf.DUMMYFUNCTION("""COMPUTED_VALUE"""),9.02)</f>
        <v>9.02</v>
      </c>
      <c r="J696" s="2">
        <f>IFERROR(__xludf.DUMMYFUNCTION("""COMPUTED_VALUE"""),1.0199999999999996)</f>
        <v>1.02</v>
      </c>
      <c r="K696" s="5">
        <f>IFERROR(__xludf.DUMMYFUNCTION("""COMPUTED_VALUE"""),0.12749999999999995)</f>
        <v>0.1275</v>
      </c>
      <c r="L696">
        <f>IFERROR(__xludf.DUMMYFUNCTION("""COMPUTED_VALUE"""),33548.0)</f>
        <v>33548</v>
      </c>
      <c r="M696" t="str">
        <f>IFERROR(__xludf.DUMMYFUNCTION("""COMPUTED_VALUE"""),"Sports")</f>
        <v>Sports</v>
      </c>
      <c r="O696" t="str">
        <f>IFERROR(__xludf.DUMMYFUNCTION("""COMPUTED_VALUE"""),"N")</f>
        <v>N</v>
      </c>
      <c r="P696" s="1" t="str">
        <f>IFERROR(__xludf.DUMMYFUNCTION("""COMPUTED_VALUE"""),"ID 9765")</f>
        <v>ID 9765</v>
      </c>
      <c r="Q696" s="1" t="str">
        <f>IFERROR(__xludf.DUMMYFUNCTION("""COMPUTED_VALUE"""),"B00FLLFJOU")</f>
        <v>B00FLLFJOU</v>
      </c>
    </row>
    <row r="697">
      <c r="A697" s="6">
        <f>IFERROR(__xludf.DUMMYFUNCTION("""COMPUTED_VALUE"""),45362.0)</f>
        <v>45362</v>
      </c>
      <c r="B697">
        <f>IFERROR(__xludf.DUMMYFUNCTION("""COMPUTED_VALUE"""),19747.0)</f>
        <v>19747</v>
      </c>
      <c r="C697" t="str">
        <f>IFERROR(__xludf.DUMMYFUNCTION("""COMPUTED_VALUE"""),"Pentel EnerGize Automatic Pencil with Lead and Erasers, 0.5mm, Assorted, 2 Pack (PL75LEBP2)")</f>
        <v>Pentel EnerGize Automatic Pencil with Lead and Erasers, 0.5mm, Assorted, 2 Pack (PL75LEBP2)</v>
      </c>
      <c r="D697" t="str">
        <f>IFERROR(__xludf.DUMMYFUNCTION("""COMPUTED_VALUE"""),"B004FLKP5K")</f>
        <v>B004FLKP5K</v>
      </c>
      <c r="E697" t="str">
        <f>IFERROR(__xludf.DUMMYFUNCTION("""COMPUTED_VALUE"""),"072512228760")</f>
        <v>072512228760</v>
      </c>
      <c r="F697">
        <f>IFERROR(__xludf.DUMMYFUNCTION("""COMPUTED_VALUE"""),288.0)</f>
        <v>288</v>
      </c>
      <c r="G697">
        <f>IFERROR(__xludf.DUMMYFUNCTION("""COMPUTED_VALUE"""),10000.0)</f>
        <v>10000</v>
      </c>
      <c r="H697" s="2">
        <f>IFERROR(__xludf.DUMMYFUNCTION("""COMPUTED_VALUE"""),4.75)</f>
        <v>4.75</v>
      </c>
      <c r="I697" s="2">
        <f>IFERROR(__xludf.DUMMYFUNCTION("""COMPUTED_VALUE"""),5.77)</f>
        <v>5.77</v>
      </c>
      <c r="J697" s="2">
        <f>IFERROR(__xludf.DUMMYFUNCTION("""COMPUTED_VALUE"""),1.0199999999999996)</f>
        <v>1.02</v>
      </c>
      <c r="K697" s="5">
        <f>IFERROR(__xludf.DUMMYFUNCTION("""COMPUTED_VALUE"""),0.21473684210526306)</f>
        <v>0.2147368421</v>
      </c>
      <c r="L697">
        <f>IFERROR(__xludf.DUMMYFUNCTION("""COMPUTED_VALUE"""),37415.0)</f>
        <v>37415</v>
      </c>
      <c r="M697" t="str">
        <f>IFERROR(__xludf.DUMMYFUNCTION("""COMPUTED_VALUE"""),"Office Product")</f>
        <v>Office Product</v>
      </c>
      <c r="O697" t="str">
        <f>IFERROR(__xludf.DUMMYFUNCTION("""COMPUTED_VALUE"""),"Y")</f>
        <v>Y</v>
      </c>
      <c r="P697" s="1" t="str">
        <f>IFERROR(__xludf.DUMMYFUNCTION("""COMPUTED_VALUE"""),"ID 19747")</f>
        <v>ID 19747</v>
      </c>
      <c r="Q697" s="1" t="str">
        <f>IFERROR(__xludf.DUMMYFUNCTION("""COMPUTED_VALUE"""),"B004FLKP5K")</f>
        <v>B004FLKP5K</v>
      </c>
    </row>
    <row r="698">
      <c r="A698" s="6">
        <f>IFERROR(__xludf.DUMMYFUNCTION("""COMPUTED_VALUE"""),45376.0)</f>
        <v>45376</v>
      </c>
      <c r="B698">
        <f>IFERROR(__xludf.DUMMYFUNCTION("""COMPUTED_VALUE"""),23261.0)</f>
        <v>23261</v>
      </c>
      <c r="C698" t="str">
        <f>IFERROR(__xludf.DUMMYFUNCTION("""COMPUTED_VALUE"""),"Disney Cudlie Mickey Mouse Baby Boy 3 Pack 9oz Bottles with Bright Mickey Print")</f>
        <v>Disney Cudlie Mickey Mouse Baby Boy 3 Pack 9oz Bottles with Bright Mickey Print</v>
      </c>
      <c r="D698" t="str">
        <f>IFERROR(__xludf.DUMMYFUNCTION("""COMPUTED_VALUE"""),"B08Z5HNJ3Y")</f>
        <v>B08Z5HNJ3Y</v>
      </c>
      <c r="E698" t="str">
        <f>IFERROR(__xludf.DUMMYFUNCTION("""COMPUTED_VALUE"""),"632878759492")</f>
        <v>632878759492</v>
      </c>
      <c r="F698">
        <f>IFERROR(__xludf.DUMMYFUNCTION("""COMPUTED_VALUE"""),432.0)</f>
        <v>432</v>
      </c>
      <c r="G698">
        <f>IFERROR(__xludf.DUMMYFUNCTION("""COMPUTED_VALUE"""),2170.0)</f>
        <v>2170</v>
      </c>
      <c r="H698" s="2">
        <f>IFERROR(__xludf.DUMMYFUNCTION("""COMPUTED_VALUE"""),3.25)</f>
        <v>3.25</v>
      </c>
      <c r="I698" s="2">
        <f>IFERROR(__xludf.DUMMYFUNCTION("""COMPUTED_VALUE"""),4.27)</f>
        <v>4.27</v>
      </c>
      <c r="J698" s="2">
        <f>IFERROR(__xludf.DUMMYFUNCTION("""COMPUTED_VALUE"""),1.0199999999999996)</f>
        <v>1.02</v>
      </c>
      <c r="K698" s="5">
        <f>IFERROR(__xludf.DUMMYFUNCTION("""COMPUTED_VALUE"""),0.3138461538461537)</f>
        <v>0.3138461538</v>
      </c>
      <c r="L698">
        <f>IFERROR(__xludf.DUMMYFUNCTION("""COMPUTED_VALUE"""),42959.0)</f>
        <v>42959</v>
      </c>
      <c r="M698" t="str">
        <f>IFERROR(__xludf.DUMMYFUNCTION("""COMPUTED_VALUE"""),"Baby Product")</f>
        <v>Baby Product</v>
      </c>
      <c r="O698" t="str">
        <f>IFERROR(__xludf.DUMMYFUNCTION("""COMPUTED_VALUE"""),"N")</f>
        <v>N</v>
      </c>
      <c r="P698" s="1" t="str">
        <f>IFERROR(__xludf.DUMMYFUNCTION("""COMPUTED_VALUE"""),"ID 23261")</f>
        <v>ID 23261</v>
      </c>
      <c r="Q698" s="1" t="str">
        <f>IFERROR(__xludf.DUMMYFUNCTION("""COMPUTED_VALUE"""),"B08Z5HNJ3Y")</f>
        <v>B08Z5HNJ3Y</v>
      </c>
    </row>
    <row r="699">
      <c r="A699" s="6">
        <f>IFERROR(__xludf.DUMMYFUNCTION("""COMPUTED_VALUE"""),45330.0)</f>
        <v>45330</v>
      </c>
      <c r="B699">
        <f>IFERROR(__xludf.DUMMYFUNCTION("""COMPUTED_VALUE"""),24798.0)</f>
        <v>24798</v>
      </c>
      <c r="C699" t="str">
        <f>IFERROR(__xludf.DUMMYFUNCTION("""COMPUTED_VALUE"""),"Duck Brand Indoor 10-Window Shrink Film Insulator Kit, 62-Inch x 420-Inch, 286216")</f>
        <v>Duck Brand Indoor 10-Window Shrink Film Insulator Kit, 62-Inch x 420-Inch, 286216</v>
      </c>
      <c r="D699" t="str">
        <f>IFERROR(__xludf.DUMMYFUNCTION("""COMPUTED_VALUE"""),"B002GKC2GW")</f>
        <v>B002GKC2GW</v>
      </c>
      <c r="E699" t="str">
        <f>IFERROR(__xludf.DUMMYFUNCTION("""COMPUTED_VALUE"""),"75353090787")</f>
        <v>75353090787</v>
      </c>
      <c r="F699">
        <f>IFERROR(__xludf.DUMMYFUNCTION("""COMPUTED_VALUE"""),96.0)</f>
        <v>96</v>
      </c>
      <c r="G699">
        <f>IFERROR(__xludf.DUMMYFUNCTION("""COMPUTED_VALUE"""),10000.0)</f>
        <v>10000</v>
      </c>
      <c r="H699" s="2">
        <f>IFERROR(__xludf.DUMMYFUNCTION("""COMPUTED_VALUE"""),14.25)</f>
        <v>14.25</v>
      </c>
      <c r="I699" s="2">
        <f>IFERROR(__xludf.DUMMYFUNCTION("""COMPUTED_VALUE"""),15.27)</f>
        <v>15.27</v>
      </c>
      <c r="J699" s="2">
        <f>IFERROR(__xludf.DUMMYFUNCTION("""COMPUTED_VALUE"""),1.0199999999999996)</f>
        <v>1.02</v>
      </c>
      <c r="K699" s="5">
        <f>IFERROR(__xludf.DUMMYFUNCTION("""COMPUTED_VALUE"""),0.07157894736842102)</f>
        <v>0.07157894737</v>
      </c>
      <c r="L699">
        <f>IFERROR(__xludf.DUMMYFUNCTION("""COMPUTED_VALUE"""),14874.0)</f>
        <v>14874</v>
      </c>
      <c r="M699" t="str">
        <f>IFERROR(__xludf.DUMMYFUNCTION("""COMPUTED_VALUE"""),"Home Improvement")</f>
        <v>Home Improvement</v>
      </c>
      <c r="O699" t="str">
        <f>IFERROR(__xludf.DUMMYFUNCTION("""COMPUTED_VALUE"""),"N")</f>
        <v>N</v>
      </c>
      <c r="P699" s="1" t="str">
        <f>IFERROR(__xludf.DUMMYFUNCTION("""COMPUTED_VALUE"""),"ID 24798")</f>
        <v>ID 24798</v>
      </c>
      <c r="Q699" s="1" t="str">
        <f>IFERROR(__xludf.DUMMYFUNCTION("""COMPUTED_VALUE"""),"B002GKC2GW")</f>
        <v>B002GKC2GW</v>
      </c>
    </row>
    <row r="700">
      <c r="A700" s="6">
        <f>IFERROR(__xludf.DUMMYFUNCTION("""COMPUTED_VALUE"""),44631.0)</f>
        <v>44631</v>
      </c>
      <c r="B700">
        <f>IFERROR(__xludf.DUMMYFUNCTION("""COMPUTED_VALUE"""),25999.0)</f>
        <v>25999</v>
      </c>
      <c r="C700" t="str">
        <f>IFERROR(__xludf.DUMMYFUNCTION("""COMPUTED_VALUE"""),"GRANNY SAYS Storage Containers with Lids, Fabric Bins for Closet Organization, Clothes Basket Organizer, Medium, Gray/White, 3-Pack")</f>
        <v>GRANNY SAYS Storage Containers with Lids, Fabric Bins for Closet Organization, Clothes Basket Organizer, Medium, Gray/White, 3-Pack</v>
      </c>
      <c r="D700" t="str">
        <f>IFERROR(__xludf.DUMMYFUNCTION("""COMPUTED_VALUE"""),"B07SZSVJJX")</f>
        <v>B07SZSVJJX</v>
      </c>
      <c r="F700">
        <f>IFERROR(__xludf.DUMMYFUNCTION("""COMPUTED_VALUE"""),100.0)</f>
        <v>100</v>
      </c>
      <c r="G700">
        <f>IFERROR(__xludf.DUMMYFUNCTION("""COMPUTED_VALUE"""),300.0)</f>
        <v>300</v>
      </c>
      <c r="H700" s="2">
        <f>IFERROR(__xludf.DUMMYFUNCTION("""COMPUTED_VALUE"""),13.0)</f>
        <v>13</v>
      </c>
      <c r="I700" s="2">
        <f>IFERROR(__xludf.DUMMYFUNCTION("""COMPUTED_VALUE"""),14.02)</f>
        <v>14.02</v>
      </c>
      <c r="J700" s="2">
        <f>IFERROR(__xludf.DUMMYFUNCTION("""COMPUTED_VALUE"""),1.0199999999999996)</f>
        <v>1.02</v>
      </c>
      <c r="K700" s="5">
        <f>IFERROR(__xludf.DUMMYFUNCTION("""COMPUTED_VALUE"""),0.07846153846153843)</f>
        <v>0.07846153846</v>
      </c>
      <c r="L700">
        <f>IFERROR(__xludf.DUMMYFUNCTION("""COMPUTED_VALUE"""),29215.0)</f>
        <v>29215</v>
      </c>
      <c r="M700" t="str">
        <f>IFERROR(__xludf.DUMMYFUNCTION("""COMPUTED_VALUE"""),"BISS Basic")</f>
        <v>BISS Basic</v>
      </c>
      <c r="O700" t="str">
        <f>IFERROR(__xludf.DUMMYFUNCTION("""COMPUTED_VALUE"""),"Y")</f>
        <v>Y</v>
      </c>
      <c r="P700" s="1" t="str">
        <f>IFERROR(__xludf.DUMMYFUNCTION("""COMPUTED_VALUE"""),"ID 25999")</f>
        <v>ID 25999</v>
      </c>
      <c r="Q700" s="1" t="str">
        <f>IFERROR(__xludf.DUMMYFUNCTION("""COMPUTED_VALUE"""),"B07SZSVJJX")</f>
        <v>B07SZSVJJX</v>
      </c>
    </row>
    <row r="701">
      <c r="A701" s="6">
        <f>IFERROR(__xludf.DUMMYFUNCTION("""COMPUTED_VALUE"""),45425.0)</f>
        <v>45425</v>
      </c>
      <c r="B701">
        <f>IFERROR(__xludf.DUMMYFUNCTION("""COMPUTED_VALUE"""),1523.0)</f>
        <v>1523</v>
      </c>
      <c r="C701" t="str">
        <f>IFERROR(__xludf.DUMMYFUNCTION("""COMPUTED_VALUE"""),"Libbey Crisa Moderno Cereal Bowl, 6-Inch, Box of 12, Clear`")</f>
        <v>Libbey Crisa Moderno Cereal Bowl, 6-Inch, Box of 12, Clear`</v>
      </c>
      <c r="D701" t="str">
        <f>IFERROR(__xludf.DUMMYFUNCTION("""COMPUTED_VALUE"""),"B00015COVW")</f>
        <v>B00015COVW</v>
      </c>
      <c r="E701" t="str">
        <f>IFERROR(__xludf.DUMMYFUNCTION("""COMPUTED_VALUE"""),"078917892681")</f>
        <v>078917892681</v>
      </c>
      <c r="F701">
        <f>IFERROR(__xludf.DUMMYFUNCTION("""COMPUTED_VALUE"""),84.0)</f>
        <v>84</v>
      </c>
      <c r="G701">
        <f>IFERROR(__xludf.DUMMYFUNCTION("""COMPUTED_VALUE"""),10000.0)</f>
        <v>10000</v>
      </c>
      <c r="H701" s="2">
        <f>IFERROR(__xludf.DUMMYFUNCTION("""COMPUTED_VALUE"""),15.75)</f>
        <v>15.75</v>
      </c>
      <c r="I701" s="2">
        <f>IFERROR(__xludf.DUMMYFUNCTION("""COMPUTED_VALUE"""),16.76)</f>
        <v>16.76</v>
      </c>
      <c r="J701" s="2">
        <f>IFERROR(__xludf.DUMMYFUNCTION("""COMPUTED_VALUE"""),1.0100000000000016)</f>
        <v>1.01</v>
      </c>
      <c r="K701" s="5">
        <f>IFERROR(__xludf.DUMMYFUNCTION("""COMPUTED_VALUE"""),0.06412698412698423)</f>
        <v>0.06412698413</v>
      </c>
      <c r="L701">
        <f>IFERROR(__xludf.DUMMYFUNCTION("""COMPUTED_VALUE"""),97846.0)</f>
        <v>97846</v>
      </c>
      <c r="M701" t="str">
        <f>IFERROR(__xludf.DUMMYFUNCTION("""COMPUTED_VALUE"""),"Kitchen")</f>
        <v>Kitchen</v>
      </c>
      <c r="N701" t="str">
        <f>IFERROR(__xludf.DUMMYFUNCTION("""COMPUTED_VALUE"""),"UOM: 1 box of 12")</f>
        <v>UOM: 1 box of 12</v>
      </c>
      <c r="O701" t="str">
        <f>IFERROR(__xludf.DUMMYFUNCTION("""COMPUTED_VALUE"""),"N")</f>
        <v>N</v>
      </c>
      <c r="P701" s="1" t="str">
        <f>IFERROR(__xludf.DUMMYFUNCTION("""COMPUTED_VALUE"""),"ID 1523")</f>
        <v>ID 1523</v>
      </c>
      <c r="Q701" s="1" t="str">
        <f>IFERROR(__xludf.DUMMYFUNCTION("""COMPUTED_VALUE"""),"B00015COVW")</f>
        <v>B00015COVW</v>
      </c>
    </row>
    <row r="702">
      <c r="A702" s="6">
        <f>IFERROR(__xludf.DUMMYFUNCTION("""COMPUTED_VALUE"""),45014.0)</f>
        <v>45014</v>
      </c>
      <c r="B702">
        <f>IFERROR(__xludf.DUMMYFUNCTION("""COMPUTED_VALUE"""),12674.0)</f>
        <v>12674</v>
      </c>
      <c r="C702" t="str">
        <f>IFERROR(__xludf.DUMMYFUNCTION("""COMPUTED_VALUE"""),"PaperPro 1913 Heavy Duty 23/13 Staples, 100 Sheet Capacity (Box of 1,000)")</f>
        <v>PaperPro 1913 Heavy Duty 23/13 Staples, 100 Sheet Capacity (Box of 1,000)</v>
      </c>
      <c r="D702" t="str">
        <f>IFERROR(__xludf.DUMMYFUNCTION("""COMPUTED_VALUE"""),"B0015ZVWCO")</f>
        <v>B0015ZVWCO</v>
      </c>
      <c r="E702" t="str">
        <f>IFERROR(__xludf.DUMMYFUNCTION("""COMPUTED_VALUE"""),"842048019138")</f>
        <v>842048019138</v>
      </c>
      <c r="F702">
        <f>IFERROR(__xludf.DUMMYFUNCTION("""COMPUTED_VALUE"""),324.0)</f>
        <v>324</v>
      </c>
      <c r="G702">
        <f>IFERROR(__xludf.DUMMYFUNCTION("""COMPUTED_VALUE"""),2765.0)</f>
        <v>2765</v>
      </c>
      <c r="H702" s="2">
        <f>IFERROR(__xludf.DUMMYFUNCTION("""COMPUTED_VALUE"""),3.0)</f>
        <v>3</v>
      </c>
      <c r="I702" s="2">
        <f>IFERROR(__xludf.DUMMYFUNCTION("""COMPUTED_VALUE"""),4.01)</f>
        <v>4.01</v>
      </c>
      <c r="J702" s="2">
        <f>IFERROR(__xludf.DUMMYFUNCTION("""COMPUTED_VALUE"""),1.0099999999999998)</f>
        <v>1.01</v>
      </c>
      <c r="K702" s="5">
        <f>IFERROR(__xludf.DUMMYFUNCTION("""COMPUTED_VALUE"""),0.3366666666666666)</f>
        <v>0.3366666667</v>
      </c>
      <c r="L702">
        <f>IFERROR(__xludf.DUMMYFUNCTION("""COMPUTED_VALUE"""),16167.0)</f>
        <v>16167</v>
      </c>
      <c r="M702" t="str">
        <f>IFERROR(__xludf.DUMMYFUNCTION("""COMPUTED_VALUE"""),"Office Product")</f>
        <v>Office Product</v>
      </c>
      <c r="O702" t="str">
        <f>IFERROR(__xludf.DUMMYFUNCTION("""COMPUTED_VALUE"""),"Y")</f>
        <v>Y</v>
      </c>
      <c r="P702" s="1" t="str">
        <f>IFERROR(__xludf.DUMMYFUNCTION("""COMPUTED_VALUE"""),"ID 12674")</f>
        <v>ID 12674</v>
      </c>
      <c r="Q702" s="1" t="str">
        <f>IFERROR(__xludf.DUMMYFUNCTION("""COMPUTED_VALUE"""),"B0015ZVWCO")</f>
        <v>B0015ZVWCO</v>
      </c>
    </row>
    <row r="703">
      <c r="A703" s="6">
        <f>IFERROR(__xludf.DUMMYFUNCTION("""COMPUTED_VALUE"""),45376.0)</f>
        <v>45376</v>
      </c>
      <c r="B703">
        <f>IFERROR(__xludf.DUMMYFUNCTION("""COMPUTED_VALUE"""),13819.0)</f>
        <v>13819</v>
      </c>
      <c r="C703" t="str">
        <f>IFERROR(__xludf.DUMMYFUNCTION("""COMPUTED_VALUE"""),"Happy Face Ink Stampers - 6 Pieces")</f>
        <v>Happy Face Ink Stampers - 6 Pieces</v>
      </c>
      <c r="D703" t="str">
        <f>IFERROR(__xludf.DUMMYFUNCTION("""COMPUTED_VALUE"""),"B00M677MLA")</f>
        <v>B00M677MLA</v>
      </c>
      <c r="E703" t="str">
        <f>IFERROR(__xludf.DUMMYFUNCTION("""COMPUTED_VALUE"""),"049392289020")</f>
        <v>049392289020</v>
      </c>
      <c r="F703">
        <f>IFERROR(__xludf.DUMMYFUNCTION("""COMPUTED_VALUE"""),480.0)</f>
        <v>480</v>
      </c>
      <c r="G703">
        <f>IFERROR(__xludf.DUMMYFUNCTION("""COMPUTED_VALUE"""),3150.0)</f>
        <v>3150</v>
      </c>
      <c r="H703" s="2">
        <f>IFERROR(__xludf.DUMMYFUNCTION("""COMPUTED_VALUE"""),2.0)</f>
        <v>2</v>
      </c>
      <c r="I703" s="2">
        <f>IFERROR(__xludf.DUMMYFUNCTION("""COMPUTED_VALUE"""),3.01)</f>
        <v>3.01</v>
      </c>
      <c r="J703" s="2">
        <f>IFERROR(__xludf.DUMMYFUNCTION("""COMPUTED_VALUE"""),1.0099999999999998)</f>
        <v>1.01</v>
      </c>
      <c r="K703" s="5">
        <f>IFERROR(__xludf.DUMMYFUNCTION("""COMPUTED_VALUE"""),0.5049999999999999)</f>
        <v>0.505</v>
      </c>
      <c r="L703">
        <f>IFERROR(__xludf.DUMMYFUNCTION("""COMPUTED_VALUE"""),20088.0)</f>
        <v>20088</v>
      </c>
      <c r="M703" t="str">
        <f>IFERROR(__xludf.DUMMYFUNCTION("""COMPUTED_VALUE"""),"Toy")</f>
        <v>Toy</v>
      </c>
      <c r="N703" t="str">
        <f>IFERROR(__xludf.DUMMYFUNCTION("""COMPUTED_VALUE"""),"MAP: $2.99. If you violate the MAP pricing, the brand will remove you and require you to return the merchandise at a 50% restocking fee.")</f>
        <v>MAP: $2.99. If you violate the MAP pricing, the brand will remove you and require you to return the merchandise at a 50% restocking fee.</v>
      </c>
      <c r="O703" t="str">
        <f>IFERROR(__xludf.DUMMYFUNCTION("""COMPUTED_VALUE"""),"N")</f>
        <v>N</v>
      </c>
      <c r="P703" s="1" t="str">
        <f>IFERROR(__xludf.DUMMYFUNCTION("""COMPUTED_VALUE"""),"ID 13819")</f>
        <v>ID 13819</v>
      </c>
      <c r="Q703" s="1" t="str">
        <f>IFERROR(__xludf.DUMMYFUNCTION("""COMPUTED_VALUE"""),"B00M677MLA")</f>
        <v>B00M677MLA</v>
      </c>
    </row>
    <row r="704">
      <c r="A704" s="6">
        <f>IFERROR(__xludf.DUMMYFUNCTION("""COMPUTED_VALUE"""),45350.0)</f>
        <v>45350</v>
      </c>
      <c r="B704">
        <f>IFERROR(__xludf.DUMMYFUNCTION("""COMPUTED_VALUE"""),20675.0)</f>
        <v>20675</v>
      </c>
      <c r="C704" t="str">
        <f>IFERROR(__xludf.DUMMYFUNCTION("""COMPUTED_VALUE"""),"ADVANTUS Panel Wall Clip for Fabric Panels, Standard Size, 40-Sheet Capacity, Pack of 4, White (75300)")</f>
        <v>ADVANTUS Panel Wall Clip for Fabric Panels, Standard Size, 40-Sheet Capacity, Pack of 4, White (75300)</v>
      </c>
      <c r="D704" t="str">
        <f>IFERROR(__xludf.DUMMYFUNCTION("""COMPUTED_VALUE"""),"B004E2S3HC")</f>
        <v>B004E2S3HC</v>
      </c>
      <c r="E704" t="str">
        <f>IFERROR(__xludf.DUMMYFUNCTION("""COMPUTED_VALUE"""),"091141753009")</f>
        <v>091141753009</v>
      </c>
      <c r="F704">
        <f>IFERROR(__xludf.DUMMYFUNCTION("""COMPUTED_VALUE"""),528.0)</f>
        <v>528</v>
      </c>
      <c r="G704">
        <f>IFERROR(__xludf.DUMMYFUNCTION("""COMPUTED_VALUE"""),10000.0)</f>
        <v>10000</v>
      </c>
      <c r="H704" s="2">
        <f>IFERROR(__xludf.DUMMYFUNCTION("""COMPUTED_VALUE"""),2.5)</f>
        <v>2.5</v>
      </c>
      <c r="I704" s="2">
        <f>IFERROR(__xludf.DUMMYFUNCTION("""COMPUTED_VALUE"""),3.51)</f>
        <v>3.51</v>
      </c>
      <c r="J704" s="2">
        <f>IFERROR(__xludf.DUMMYFUNCTION("""COMPUTED_VALUE"""),1.0099999999999998)</f>
        <v>1.01</v>
      </c>
      <c r="K704" s="5">
        <f>IFERROR(__xludf.DUMMYFUNCTION("""COMPUTED_VALUE"""),0.4039999999999999)</f>
        <v>0.404</v>
      </c>
      <c r="L704">
        <f>IFERROR(__xludf.DUMMYFUNCTION("""COMPUTED_VALUE"""),6145.0)</f>
        <v>6145</v>
      </c>
      <c r="M704" t="str">
        <f>IFERROR(__xludf.DUMMYFUNCTION("""COMPUTED_VALUE"""),"BISS")</f>
        <v>BISS</v>
      </c>
      <c r="O704" t="str">
        <f>IFERROR(__xludf.DUMMYFUNCTION("""COMPUTED_VALUE"""),"N")</f>
        <v>N</v>
      </c>
      <c r="P704" s="1" t="str">
        <f>IFERROR(__xludf.DUMMYFUNCTION("""COMPUTED_VALUE"""),"ID 20675")</f>
        <v>ID 20675</v>
      </c>
      <c r="Q704" s="1" t="str">
        <f>IFERROR(__xludf.DUMMYFUNCTION("""COMPUTED_VALUE"""),"B004E2S3HC")</f>
        <v>B004E2S3HC</v>
      </c>
    </row>
    <row r="705">
      <c r="A705" s="6">
        <f>IFERROR(__xludf.DUMMYFUNCTION("""COMPUTED_VALUE"""),44369.0)</f>
        <v>44369</v>
      </c>
      <c r="B705">
        <f>IFERROR(__xludf.DUMMYFUNCTION("""COMPUTED_VALUE"""),20768.0)</f>
        <v>20768</v>
      </c>
      <c r="C705" t="str">
        <f>IFERROR(__xludf.DUMMYFUNCTION("""COMPUTED_VALUE"""),"Arrow Fastener RSA3/16IP Short Aluminum 3/16-Inch Rivets, 50-Pack")</f>
        <v>Arrow Fastener RSA3/16IP Short Aluminum 3/16-Inch Rivets, 50-Pack</v>
      </c>
      <c r="D705" t="str">
        <f>IFERROR(__xludf.DUMMYFUNCTION("""COMPUTED_VALUE"""),"B00004Z2IB")</f>
        <v>B00004Z2IB</v>
      </c>
      <c r="E705" t="str">
        <f>IFERROR(__xludf.DUMMYFUNCTION("""COMPUTED_VALUE"""),"79055008293")</f>
        <v>79055008293</v>
      </c>
      <c r="F705">
        <f>IFERROR(__xludf.DUMMYFUNCTION("""COMPUTED_VALUE"""),584.0)</f>
        <v>584</v>
      </c>
      <c r="G705">
        <f>IFERROR(__xludf.DUMMYFUNCTION("""COMPUTED_VALUE"""),584.0)</f>
        <v>584</v>
      </c>
      <c r="H705" s="2">
        <f>IFERROR(__xludf.DUMMYFUNCTION("""COMPUTED_VALUE"""),2.25)</f>
        <v>2.25</v>
      </c>
      <c r="I705" s="2">
        <f>IFERROR(__xludf.DUMMYFUNCTION("""COMPUTED_VALUE"""),3.26)</f>
        <v>3.26</v>
      </c>
      <c r="J705" s="2">
        <f>IFERROR(__xludf.DUMMYFUNCTION("""COMPUTED_VALUE"""),1.0099999999999998)</f>
        <v>1.01</v>
      </c>
      <c r="K705" s="5">
        <f>IFERROR(__xludf.DUMMYFUNCTION("""COMPUTED_VALUE"""),0.4488888888888888)</f>
        <v>0.4488888889</v>
      </c>
      <c r="L705">
        <f>IFERROR(__xludf.DUMMYFUNCTION("""COMPUTED_VALUE"""),17198.0)</f>
        <v>17198</v>
      </c>
      <c r="M705" t="str">
        <f>IFERROR(__xludf.DUMMYFUNCTION("""COMPUTED_VALUE"""),"Home Improvement")</f>
        <v>Home Improvement</v>
      </c>
      <c r="O705" t="str">
        <f>IFERROR(__xludf.DUMMYFUNCTION("""COMPUTED_VALUE"""),"Y")</f>
        <v>Y</v>
      </c>
      <c r="P705" s="1" t="str">
        <f>IFERROR(__xludf.DUMMYFUNCTION("""COMPUTED_VALUE"""),"ID 20768")</f>
        <v>ID 20768</v>
      </c>
      <c r="Q705" s="1" t="str">
        <f>IFERROR(__xludf.DUMMYFUNCTION("""COMPUTED_VALUE"""),"B00004Z2IB")</f>
        <v>B00004Z2IB</v>
      </c>
    </row>
    <row r="706">
      <c r="A706" s="6">
        <f>IFERROR(__xludf.DUMMYFUNCTION("""COMPUTED_VALUE"""),45222.0)</f>
        <v>45222</v>
      </c>
      <c r="B706">
        <f>IFERROR(__xludf.DUMMYFUNCTION("""COMPUTED_VALUE"""),24485.0)</f>
        <v>24485</v>
      </c>
      <c r="C706" t="str">
        <f>IFERROR(__xludf.DUMMYFUNCTION("""COMPUTED_VALUE"""),"Westcott 8"" Bent and 5"" Straight Titanium Bonded Craft Scissors, Combo Pack (16378)")</f>
        <v>Westcott 8" Bent and 5" Straight Titanium Bonded Craft Scissors, Combo Pack (16378)</v>
      </c>
      <c r="D706" t="str">
        <f>IFERROR(__xludf.DUMMYFUNCTION("""COMPUTED_VALUE"""),"B072RTSD2M")</f>
        <v>B072RTSD2M</v>
      </c>
      <c r="E706" t="str">
        <f>IFERROR(__xludf.DUMMYFUNCTION("""COMPUTED_VALUE"""),"073577163782")</f>
        <v>073577163782</v>
      </c>
      <c r="F706">
        <f>IFERROR(__xludf.DUMMYFUNCTION("""COMPUTED_VALUE"""),108.0)</f>
        <v>108</v>
      </c>
      <c r="G706">
        <f>IFERROR(__xludf.DUMMYFUNCTION("""COMPUTED_VALUE"""),10000.0)</f>
        <v>10000</v>
      </c>
      <c r="H706" s="2">
        <f>IFERROR(__xludf.DUMMYFUNCTION("""COMPUTED_VALUE"""),14.0)</f>
        <v>14</v>
      </c>
      <c r="I706" s="2">
        <f>IFERROR(__xludf.DUMMYFUNCTION("""COMPUTED_VALUE"""),15.01)</f>
        <v>15.01</v>
      </c>
      <c r="J706" s="2">
        <f>IFERROR(__xludf.DUMMYFUNCTION("""COMPUTED_VALUE"""),1.0099999999999998)</f>
        <v>1.01</v>
      </c>
      <c r="K706" s="5">
        <f>IFERROR(__xludf.DUMMYFUNCTION("""COMPUTED_VALUE"""),0.07214285714285713)</f>
        <v>0.07214285714</v>
      </c>
      <c r="L706">
        <f>IFERROR(__xludf.DUMMYFUNCTION("""COMPUTED_VALUE"""),59.0)</f>
        <v>59</v>
      </c>
      <c r="M706" t="str">
        <f>IFERROR(__xludf.DUMMYFUNCTION("""COMPUTED_VALUE"""),"Office Product")</f>
        <v>Office Product</v>
      </c>
      <c r="O706" t="str">
        <f>IFERROR(__xludf.DUMMYFUNCTION("""COMPUTED_VALUE"""),"N")</f>
        <v>N</v>
      </c>
      <c r="P706" s="1" t="str">
        <f>IFERROR(__xludf.DUMMYFUNCTION("""COMPUTED_VALUE"""),"ID 24485")</f>
        <v>ID 24485</v>
      </c>
      <c r="Q706" s="1" t="str">
        <f>IFERROR(__xludf.DUMMYFUNCTION("""COMPUTED_VALUE"""),"B072RTSD2M")</f>
        <v>B072RTSD2M</v>
      </c>
    </row>
    <row r="707">
      <c r="A707" s="6">
        <f>IFERROR(__xludf.DUMMYFUNCTION("""COMPUTED_VALUE"""),45421.0)</f>
        <v>45421</v>
      </c>
      <c r="B707">
        <f>IFERROR(__xludf.DUMMYFUNCTION("""COMPUTED_VALUE"""),25565.0)</f>
        <v>25565</v>
      </c>
      <c r="C707" t="str">
        <f>IFERROR(__xludf.DUMMYFUNCTION("""COMPUTED_VALUE"""),"Grumbacher Academy Watercolor Paint, 7.5ml/0.25 Ounce, Ultramarine Blue (A219)")</f>
        <v>Grumbacher Academy Watercolor Paint, 7.5ml/0.25 Ounce, Ultramarine Blue (A219)</v>
      </c>
      <c r="D707" t="str">
        <f>IFERROR(__xludf.DUMMYFUNCTION("""COMPUTED_VALUE"""),"B000G2J5QW")</f>
        <v>B000G2J5QW</v>
      </c>
      <c r="E707" t="str">
        <f>IFERROR(__xludf.DUMMYFUNCTION("""COMPUTED_VALUE"""),"014173351067")</f>
        <v>014173351067</v>
      </c>
      <c r="F707">
        <f>IFERROR(__xludf.DUMMYFUNCTION("""COMPUTED_VALUE"""),864.0)</f>
        <v>864</v>
      </c>
      <c r="G707">
        <f>IFERROR(__xludf.DUMMYFUNCTION("""COMPUTED_VALUE"""),10000.0)</f>
        <v>10000</v>
      </c>
      <c r="H707" s="2">
        <f>IFERROR(__xludf.DUMMYFUNCTION("""COMPUTED_VALUE"""),2.5)</f>
        <v>2.5</v>
      </c>
      <c r="I707" s="2">
        <f>IFERROR(__xludf.DUMMYFUNCTION("""COMPUTED_VALUE"""),3.51)</f>
        <v>3.51</v>
      </c>
      <c r="J707" s="2">
        <f>IFERROR(__xludf.DUMMYFUNCTION("""COMPUTED_VALUE"""),1.0099999999999998)</f>
        <v>1.01</v>
      </c>
      <c r="K707" s="5">
        <f>IFERROR(__xludf.DUMMYFUNCTION("""COMPUTED_VALUE"""),0.4039999999999999)</f>
        <v>0.404</v>
      </c>
      <c r="L707">
        <f>IFERROR(__xludf.DUMMYFUNCTION("""COMPUTED_VALUE"""),43526.0)</f>
        <v>43526</v>
      </c>
      <c r="M707" t="str">
        <f>IFERROR(__xludf.DUMMYFUNCTION("""COMPUTED_VALUE"""),"Office Product")</f>
        <v>Office Product</v>
      </c>
      <c r="O707" t="str">
        <f>IFERROR(__xludf.DUMMYFUNCTION("""COMPUTED_VALUE"""),"Y")</f>
        <v>Y</v>
      </c>
      <c r="P707" s="1" t="str">
        <f>IFERROR(__xludf.DUMMYFUNCTION("""COMPUTED_VALUE"""),"ID 25565")</f>
        <v>ID 25565</v>
      </c>
      <c r="Q707" s="1" t="str">
        <f>IFERROR(__xludf.DUMMYFUNCTION("""COMPUTED_VALUE"""),"B000G2J5QW")</f>
        <v>B000G2J5QW</v>
      </c>
    </row>
    <row r="708">
      <c r="A708" s="6">
        <f>IFERROR(__xludf.DUMMYFUNCTION("""COMPUTED_VALUE"""),45429.0)</f>
        <v>45429</v>
      </c>
      <c r="B708">
        <f>IFERROR(__xludf.DUMMYFUNCTION("""COMPUTED_VALUE"""),15465.0)</f>
        <v>15465</v>
      </c>
      <c r="C708" t="str">
        <f>IFERROR(__xludf.DUMMYFUNCTION("""COMPUTED_VALUE"""),"Prada Candy Florale Edt Spray For Women 2.7 oz")</f>
        <v>Prada Candy Florale Edt Spray For Women 2.7 oz</v>
      </c>
      <c r="D708" t="str">
        <f>IFERROR(__xludf.DUMMYFUNCTION("""COMPUTED_VALUE"""),"B076PDRDDY")</f>
        <v>B076PDRDDY</v>
      </c>
      <c r="E708" t="str">
        <f>IFERROR(__xludf.DUMMYFUNCTION("""COMPUTED_VALUE"""),"8435137738991")</f>
        <v>8435137738991</v>
      </c>
      <c r="F708">
        <f>IFERROR(__xludf.DUMMYFUNCTION("""COMPUTED_VALUE"""),40.0)</f>
        <v>40</v>
      </c>
      <c r="G708">
        <f>IFERROR(__xludf.DUMMYFUNCTION("""COMPUTED_VALUE"""),10000.0)</f>
        <v>10000</v>
      </c>
      <c r="H708" s="2">
        <f>IFERROR(__xludf.DUMMYFUNCTION("""COMPUTED_VALUE"""),67.25)</f>
        <v>67.25</v>
      </c>
      <c r="I708" s="2">
        <f>IFERROR(__xludf.DUMMYFUNCTION("""COMPUTED_VALUE"""),68.25)</f>
        <v>68.25</v>
      </c>
      <c r="J708" s="2">
        <f>IFERROR(__xludf.DUMMYFUNCTION("""COMPUTED_VALUE"""),1.0)</f>
        <v>1</v>
      </c>
      <c r="K708" s="5">
        <f>IFERROR(__xludf.DUMMYFUNCTION("""COMPUTED_VALUE"""),0.01486988847583643)</f>
        <v>0.01486988848</v>
      </c>
      <c r="L708">
        <f>IFERROR(__xludf.DUMMYFUNCTION("""COMPUTED_VALUE"""),67747.0)</f>
        <v>67747</v>
      </c>
      <c r="M708" t="str">
        <f>IFERROR(__xludf.DUMMYFUNCTION("""COMPUTED_VALUE"""),"Beauty")</f>
        <v>Beauty</v>
      </c>
      <c r="O708" t="str">
        <f>IFERROR(__xludf.DUMMYFUNCTION("""COMPUTED_VALUE"""),"N")</f>
        <v>N</v>
      </c>
      <c r="P708" s="1" t="str">
        <f>IFERROR(__xludf.DUMMYFUNCTION("""COMPUTED_VALUE"""),"ID 15465")</f>
        <v>ID 15465</v>
      </c>
      <c r="Q708" s="1" t="str">
        <f>IFERROR(__xludf.DUMMYFUNCTION("""COMPUTED_VALUE"""),"B076PDRDDY")</f>
        <v>B076PDRDDY</v>
      </c>
    </row>
    <row r="709">
      <c r="A709" s="6">
        <f>IFERROR(__xludf.DUMMYFUNCTION("""COMPUTED_VALUE"""),44165.0)</f>
        <v>44165</v>
      </c>
      <c r="B709">
        <f>IFERROR(__xludf.DUMMYFUNCTION("""COMPUTED_VALUE"""),17327.0)</f>
        <v>17327</v>
      </c>
      <c r="C709" t="str">
        <f>IFERROR(__xludf.DUMMYFUNCTION("""COMPUTED_VALUE"""),"Hygloss Products White Styrofoam Balls for Arts and Crafts – 2 Inch, 12 Pack")</f>
        <v>Hygloss Products White Styrofoam Balls for Arts and Crafts – 2 Inch, 12 Pack</v>
      </c>
      <c r="D709" t="str">
        <f>IFERROR(__xludf.DUMMYFUNCTION("""COMPUTED_VALUE"""),"B004GII97I")</f>
        <v>B004GII97I</v>
      </c>
      <c r="E709" t="str">
        <f>IFERROR(__xludf.DUMMYFUNCTION("""COMPUTED_VALUE"""),"81187511022")</f>
        <v>81187511022</v>
      </c>
      <c r="F709">
        <f>IFERROR(__xludf.DUMMYFUNCTION("""COMPUTED_VALUE"""),375.0)</f>
        <v>375</v>
      </c>
      <c r="G709">
        <f>IFERROR(__xludf.DUMMYFUNCTION("""COMPUTED_VALUE"""),1000.0)</f>
        <v>1000</v>
      </c>
      <c r="H709" s="2">
        <f>IFERROR(__xludf.DUMMYFUNCTION("""COMPUTED_VALUE"""),5.0)</f>
        <v>5</v>
      </c>
      <c r="I709" s="2">
        <f>IFERROR(__xludf.DUMMYFUNCTION("""COMPUTED_VALUE"""),6.0)</f>
        <v>6</v>
      </c>
      <c r="J709" s="2">
        <f>IFERROR(__xludf.DUMMYFUNCTION("""COMPUTED_VALUE"""),1.0)</f>
        <v>1</v>
      </c>
      <c r="K709" s="5">
        <f>IFERROR(__xludf.DUMMYFUNCTION("""COMPUTED_VALUE"""),0.2)</f>
        <v>0.2</v>
      </c>
      <c r="L709">
        <f>IFERROR(__xludf.DUMMYFUNCTION("""COMPUTED_VALUE"""),70541.0)</f>
        <v>70541</v>
      </c>
      <c r="M709" t="str">
        <f>IFERROR(__xludf.DUMMYFUNCTION("""COMPUTED_VALUE"""),"Home")</f>
        <v>Home</v>
      </c>
      <c r="O709" t="str">
        <f>IFERROR(__xludf.DUMMYFUNCTION("""COMPUTED_VALUE"""),"Y")</f>
        <v>Y</v>
      </c>
      <c r="P709" s="1" t="str">
        <f>IFERROR(__xludf.DUMMYFUNCTION("""COMPUTED_VALUE"""),"ID 17327")</f>
        <v>ID 17327</v>
      </c>
      <c r="Q709" s="1" t="str">
        <f>IFERROR(__xludf.DUMMYFUNCTION("""COMPUTED_VALUE"""),"B004GII97I")</f>
        <v>B004GII97I</v>
      </c>
    </row>
    <row r="710">
      <c r="A710" s="6">
        <f>IFERROR(__xludf.DUMMYFUNCTION("""COMPUTED_VALUE"""),44941.0)</f>
        <v>44941</v>
      </c>
      <c r="B710">
        <f>IFERROR(__xludf.DUMMYFUNCTION("""COMPUTED_VALUE"""),9031.0)</f>
        <v>9031</v>
      </c>
      <c r="C710" t="str">
        <f>IFERROR(__xludf.DUMMYFUNCTION("""COMPUTED_VALUE"""),"Paper Mate 1799404 Clearpoint Elite 0.7mm Mechanical Pencil Starter Set, 2 Mechanical Pencils")</f>
        <v>Paper Mate 1799404 Clearpoint Elite 0.7mm Mechanical Pencil Starter Set, 2 Mechanical Pencils</v>
      </c>
      <c r="D710" t="str">
        <f>IFERROR(__xludf.DUMMYFUNCTION("""COMPUTED_VALUE"""),"B005LU2Q4W")</f>
        <v>B005LU2Q4W</v>
      </c>
      <c r="E710" t="str">
        <f>IFERROR(__xludf.DUMMYFUNCTION("""COMPUTED_VALUE"""),"71641038561")</f>
        <v>71641038561</v>
      </c>
      <c r="F710">
        <f>IFERROR(__xludf.DUMMYFUNCTION("""COMPUTED_VALUE"""),720.0)</f>
        <v>720</v>
      </c>
      <c r="G710">
        <f>IFERROR(__xludf.DUMMYFUNCTION("""COMPUTED_VALUE"""),9387.0)</f>
        <v>9387</v>
      </c>
      <c r="H710" s="2">
        <f>IFERROR(__xludf.DUMMYFUNCTION("""COMPUTED_VALUE"""),4.25)</f>
        <v>4.25</v>
      </c>
      <c r="I710" s="2">
        <f>IFERROR(__xludf.DUMMYFUNCTION("""COMPUTED_VALUE"""),5.24)</f>
        <v>5.24</v>
      </c>
      <c r="J710" s="2">
        <f>IFERROR(__xludf.DUMMYFUNCTION("""COMPUTED_VALUE"""),0.9900000000000002)</f>
        <v>0.99</v>
      </c>
      <c r="K710" s="5">
        <f>IFERROR(__xludf.DUMMYFUNCTION("""COMPUTED_VALUE"""),0.2329411764705883)</f>
        <v>0.2329411765</v>
      </c>
      <c r="L710">
        <f>IFERROR(__xludf.DUMMYFUNCTION("""COMPUTED_VALUE"""),17177.0)</f>
        <v>17177</v>
      </c>
      <c r="M710" t="str">
        <f>IFERROR(__xludf.DUMMYFUNCTION("""COMPUTED_VALUE"""),"Office Product")</f>
        <v>Office Product</v>
      </c>
      <c r="O710" t="str">
        <f>IFERROR(__xludf.DUMMYFUNCTION("""COMPUTED_VALUE"""),"Y")</f>
        <v>Y</v>
      </c>
      <c r="P710" s="1" t="str">
        <f>IFERROR(__xludf.DUMMYFUNCTION("""COMPUTED_VALUE"""),"ID 9031")</f>
        <v>ID 9031</v>
      </c>
      <c r="Q710" s="1" t="str">
        <f>IFERROR(__xludf.DUMMYFUNCTION("""COMPUTED_VALUE"""),"B005LU2Q4W")</f>
        <v>B005LU2Q4W</v>
      </c>
    </row>
    <row r="711">
      <c r="A711" s="6">
        <f>IFERROR(__xludf.DUMMYFUNCTION("""COMPUTED_VALUE"""),45357.0)</f>
        <v>45357</v>
      </c>
      <c r="B711">
        <f>IFERROR(__xludf.DUMMYFUNCTION("""COMPUTED_VALUE"""),18169.0)</f>
        <v>18169</v>
      </c>
      <c r="C711" t="str">
        <f>IFERROR(__xludf.DUMMYFUNCTION("""COMPUTED_VALUE"""),"Johnson's Baby Bedtime Oil with Natural Calm Aromas (300ml)")</f>
        <v>Johnson's Baby Bedtime Oil with Natural Calm Aromas (300ml)</v>
      </c>
      <c r="D711" t="str">
        <f>IFERROR(__xludf.DUMMYFUNCTION("""COMPUTED_VALUE"""),"B001RYOSTC")</f>
        <v>B001RYOSTC</v>
      </c>
      <c r="E711" t="str">
        <f>IFERROR(__xludf.DUMMYFUNCTION("""COMPUTED_VALUE"""),"3574661218274")</f>
        <v>3574661218274</v>
      </c>
      <c r="F711">
        <f>IFERROR(__xludf.DUMMYFUNCTION("""COMPUTED_VALUE"""),504.0)</f>
        <v>504</v>
      </c>
      <c r="G711">
        <f>IFERROR(__xludf.DUMMYFUNCTION("""COMPUTED_VALUE"""),3792.0)</f>
        <v>3792</v>
      </c>
      <c r="H711" s="2">
        <f>IFERROR(__xludf.DUMMYFUNCTION("""COMPUTED_VALUE"""),2.5)</f>
        <v>2.5</v>
      </c>
      <c r="I711" s="2">
        <f>IFERROR(__xludf.DUMMYFUNCTION("""COMPUTED_VALUE"""),3.49)</f>
        <v>3.49</v>
      </c>
      <c r="J711" s="2">
        <f>IFERROR(__xludf.DUMMYFUNCTION("""COMPUTED_VALUE"""),0.9900000000000002)</f>
        <v>0.99</v>
      </c>
      <c r="K711" s="5">
        <f>IFERROR(__xludf.DUMMYFUNCTION("""COMPUTED_VALUE"""),0.3960000000000001)</f>
        <v>0.396</v>
      </c>
      <c r="L711">
        <f>IFERROR(__xludf.DUMMYFUNCTION("""COMPUTED_VALUE"""),8026.0)</f>
        <v>8026</v>
      </c>
      <c r="M711" t="str">
        <f>IFERROR(__xludf.DUMMYFUNCTION("""COMPUTED_VALUE"""),"Beauty")</f>
        <v>Beauty</v>
      </c>
      <c r="O711" t="str">
        <f>IFERROR(__xludf.DUMMYFUNCTION("""COMPUTED_VALUE"""),"N")</f>
        <v>N</v>
      </c>
      <c r="P711" s="1" t="str">
        <f>IFERROR(__xludf.DUMMYFUNCTION("""COMPUTED_VALUE"""),"ID 18169")</f>
        <v>ID 18169</v>
      </c>
      <c r="Q711" s="1" t="str">
        <f>IFERROR(__xludf.DUMMYFUNCTION("""COMPUTED_VALUE"""),"B001RYOSTC")</f>
        <v>B001RYOSTC</v>
      </c>
    </row>
    <row r="712">
      <c r="A712" s="6">
        <f>IFERROR(__xludf.DUMMYFUNCTION("""COMPUTED_VALUE"""),44798.0)</f>
        <v>44798</v>
      </c>
      <c r="B712">
        <f>IFERROR(__xludf.DUMMYFUNCTION("""COMPUTED_VALUE"""),22871.0)</f>
        <v>22871</v>
      </c>
      <c r="C712" t="str">
        <f>IFERROR(__xludf.DUMMYFUNCTION("""COMPUTED_VALUE"""),"Officemate Cubicle Clips, Assorted Colors, Box of 24 (30178)")</f>
        <v>Officemate Cubicle Clips, Assorted Colors, Box of 24 (30178)</v>
      </c>
      <c r="D712" t="str">
        <f>IFERROR(__xludf.DUMMYFUNCTION("""COMPUTED_VALUE"""),"B002MCZA3Q")</f>
        <v>B002MCZA3Q</v>
      </c>
      <c r="E712" t="str">
        <f>IFERROR(__xludf.DUMMYFUNCTION("""COMPUTED_VALUE"""),"042491301785")</f>
        <v>042491301785</v>
      </c>
      <c r="F712">
        <f>IFERROR(__xludf.DUMMYFUNCTION("""COMPUTED_VALUE"""),216.0)</f>
        <v>216</v>
      </c>
      <c r="G712">
        <f>IFERROR(__xludf.DUMMYFUNCTION("""COMPUTED_VALUE"""),1000.0)</f>
        <v>1000</v>
      </c>
      <c r="H712" s="2">
        <f>IFERROR(__xludf.DUMMYFUNCTION("""COMPUTED_VALUE"""),7.5)</f>
        <v>7.5</v>
      </c>
      <c r="I712" s="2">
        <f>IFERROR(__xludf.DUMMYFUNCTION("""COMPUTED_VALUE"""),8.48)</f>
        <v>8.48</v>
      </c>
      <c r="J712" s="2">
        <f>IFERROR(__xludf.DUMMYFUNCTION("""COMPUTED_VALUE"""),0.9800000000000004)</f>
        <v>0.98</v>
      </c>
      <c r="K712" s="5">
        <f>IFERROR(__xludf.DUMMYFUNCTION("""COMPUTED_VALUE"""),0.13066666666666674)</f>
        <v>0.1306666667</v>
      </c>
      <c r="L712">
        <f>IFERROR(__xludf.DUMMYFUNCTION("""COMPUTED_VALUE"""),39273.0)</f>
        <v>39273</v>
      </c>
      <c r="M712" t="str">
        <f>IFERROR(__xludf.DUMMYFUNCTION("""COMPUTED_VALUE"""),"Office Product")</f>
        <v>Office Product</v>
      </c>
      <c r="O712" t="str">
        <f>IFERROR(__xludf.DUMMYFUNCTION("""COMPUTED_VALUE"""),"Y")</f>
        <v>Y</v>
      </c>
      <c r="P712" s="1" t="str">
        <f>IFERROR(__xludf.DUMMYFUNCTION("""COMPUTED_VALUE"""),"ID 22871")</f>
        <v>ID 22871</v>
      </c>
      <c r="Q712" s="1" t="str">
        <f>IFERROR(__xludf.DUMMYFUNCTION("""COMPUTED_VALUE"""),"B002MCZA3Q")</f>
        <v>B002MCZA3Q</v>
      </c>
    </row>
    <row r="713">
      <c r="A713" s="6">
        <f>IFERROR(__xludf.DUMMYFUNCTION("""COMPUTED_VALUE"""),44571.0)</f>
        <v>44571</v>
      </c>
      <c r="B713">
        <f>IFERROR(__xludf.DUMMYFUNCTION("""COMPUTED_VALUE"""),23508.0)</f>
        <v>23508</v>
      </c>
      <c r="C713" t="str">
        <f>IFERROR(__xludf.DUMMYFUNCTION("""COMPUTED_VALUE"""),"Scotch 085-R 1/4-Inch by 36-Yard ATG General Purpose Advanced Tape Glider Refill Rolls, 2 Rolls per Box")</f>
        <v>Scotch 085-R 1/4-Inch by 36-Yard ATG General Purpose Advanced Tape Glider Refill Rolls, 2 Rolls per Box</v>
      </c>
      <c r="D713" t="str">
        <f>IFERROR(__xludf.DUMMYFUNCTION("""COMPUTED_VALUE"""),"B0048I86RE")</f>
        <v>B0048I86RE</v>
      </c>
      <c r="E713" t="str">
        <f>IFERROR(__xludf.DUMMYFUNCTION("""COMPUTED_VALUE"""),"51115642890")</f>
        <v>51115642890</v>
      </c>
      <c r="F713">
        <f>IFERROR(__xludf.DUMMYFUNCTION("""COMPUTED_VALUE"""),590.0)</f>
        <v>590</v>
      </c>
      <c r="G713">
        <f>IFERROR(__xludf.DUMMYFUNCTION("""COMPUTED_VALUE"""),1000.0)</f>
        <v>1000</v>
      </c>
      <c r="H713" s="2">
        <f>IFERROR(__xludf.DUMMYFUNCTION("""COMPUTED_VALUE"""),5.25)</f>
        <v>5.25</v>
      </c>
      <c r="I713" s="2">
        <f>IFERROR(__xludf.DUMMYFUNCTION("""COMPUTED_VALUE"""),6.23)</f>
        <v>6.23</v>
      </c>
      <c r="J713" s="2">
        <f>IFERROR(__xludf.DUMMYFUNCTION("""COMPUTED_VALUE"""),0.9800000000000004)</f>
        <v>0.98</v>
      </c>
      <c r="K713" s="5">
        <f>IFERROR(__xludf.DUMMYFUNCTION("""COMPUTED_VALUE"""),0.18666666666666676)</f>
        <v>0.1866666667</v>
      </c>
      <c r="L713">
        <f>IFERROR(__xludf.DUMMYFUNCTION("""COMPUTED_VALUE"""),73453.0)</f>
        <v>73453</v>
      </c>
      <c r="M713" t="str">
        <f>IFERROR(__xludf.DUMMYFUNCTION("""COMPUTED_VALUE"""),"Art and Craft Supply")</f>
        <v>Art and Craft Supply</v>
      </c>
      <c r="N713" t="str">
        <f>IFERROR(__xludf.DUMMYFUNCTION("""COMPUTED_VALUE"""),"UPC varies from the one published on amazon. This product will pull up if you enter our UPC into seller central. Styling/Packaging may vary. May need prep to sell individually")</f>
        <v>UPC varies from the one published on amazon. This product will pull up if you enter our UPC into seller central. Styling/Packaging may vary. May need prep to sell individually</v>
      </c>
      <c r="O713" t="str">
        <f>IFERROR(__xludf.DUMMYFUNCTION("""COMPUTED_VALUE"""),"N")</f>
        <v>N</v>
      </c>
      <c r="P713" s="1" t="str">
        <f>IFERROR(__xludf.DUMMYFUNCTION("""COMPUTED_VALUE"""),"ID 23508")</f>
        <v>ID 23508</v>
      </c>
      <c r="Q713" s="1" t="str">
        <f>IFERROR(__xludf.DUMMYFUNCTION("""COMPUTED_VALUE"""),"B0048I86RE")</f>
        <v>B0048I86RE</v>
      </c>
    </row>
    <row r="714">
      <c r="A714" s="6">
        <f>IFERROR(__xludf.DUMMYFUNCTION("""COMPUTED_VALUE"""),44958.0)</f>
        <v>44958</v>
      </c>
      <c r="B714">
        <f>IFERROR(__xludf.DUMMYFUNCTION("""COMPUTED_VALUE"""),23981.0)</f>
        <v>23981</v>
      </c>
      <c r="C714" t="str">
        <f>IFERROR(__xludf.DUMMYFUNCTION("""COMPUTED_VALUE"""),"Adams Analysis Pad, 8 1/2"" x 11"", 100 Pages (50 Sheets), 5 Columns, Green")</f>
        <v>Adams Analysis Pad, 8 1/2" x 11", 100 Pages (50 Sheets), 5 Columns, Green</v>
      </c>
      <c r="D714" t="str">
        <f>IFERROR(__xludf.DUMMYFUNCTION("""COMPUTED_VALUE"""),"B01MEH2UVT")</f>
        <v>B01MEH2UVT</v>
      </c>
      <c r="E714" t="str">
        <f>IFERROR(__xludf.DUMMYFUNCTION("""COMPUTED_VALUE"""),"087958000481")</f>
        <v>087958000481</v>
      </c>
      <c r="F714">
        <f>IFERROR(__xludf.DUMMYFUNCTION("""COMPUTED_VALUE"""),528.0)</f>
        <v>528</v>
      </c>
      <c r="G714">
        <f>IFERROR(__xludf.DUMMYFUNCTION("""COMPUTED_VALUE"""),10000.0)</f>
        <v>10000</v>
      </c>
      <c r="H714" s="2">
        <f>IFERROR(__xludf.DUMMYFUNCTION("""COMPUTED_VALUE"""),4.75)</f>
        <v>4.75</v>
      </c>
      <c r="I714" s="2">
        <f>IFERROR(__xludf.DUMMYFUNCTION("""COMPUTED_VALUE"""),5.73)</f>
        <v>5.73</v>
      </c>
      <c r="J714" s="2">
        <f>IFERROR(__xludf.DUMMYFUNCTION("""COMPUTED_VALUE"""),0.9800000000000004)</f>
        <v>0.98</v>
      </c>
      <c r="K714" s="5">
        <f>IFERROR(__xludf.DUMMYFUNCTION("""COMPUTED_VALUE"""),0.2063157894736843)</f>
        <v>0.2063157895</v>
      </c>
      <c r="L714">
        <f>IFERROR(__xludf.DUMMYFUNCTION("""COMPUTED_VALUE"""),37241.0)</f>
        <v>37241</v>
      </c>
      <c r="M714" t="str">
        <f>IFERROR(__xludf.DUMMYFUNCTION("""COMPUTED_VALUE"""),"Office Product")</f>
        <v>Office Product</v>
      </c>
      <c r="O714" t="str">
        <f>IFERROR(__xludf.DUMMYFUNCTION("""COMPUTED_VALUE"""),"Y")</f>
        <v>Y</v>
      </c>
      <c r="P714" s="1" t="str">
        <f>IFERROR(__xludf.DUMMYFUNCTION("""COMPUTED_VALUE"""),"ID 23981")</f>
        <v>ID 23981</v>
      </c>
      <c r="Q714" s="1" t="str">
        <f>IFERROR(__xludf.DUMMYFUNCTION("""COMPUTED_VALUE"""),"B01MEH2UVT")</f>
        <v>B01MEH2UVT</v>
      </c>
    </row>
    <row r="715">
      <c r="A715" s="6">
        <f>IFERROR(__xludf.DUMMYFUNCTION("""COMPUTED_VALUE"""),44543.0)</f>
        <v>44543</v>
      </c>
      <c r="B715">
        <f>IFERROR(__xludf.DUMMYFUNCTION("""COMPUTED_VALUE"""),23965.0)</f>
        <v>23965</v>
      </c>
      <c r="C715" t="str">
        <f>IFERROR(__xludf.DUMMYFUNCTION("""COMPUTED_VALUE"""),"Oxford Blank Color Index Cards, 3"" x 5"", Cherry, 100 Per Pack (7320 CHE)")</f>
        <v>Oxford Blank Color Index Cards, 3" x 5", Cherry, 100 Per Pack (7320 CHE)</v>
      </c>
      <c r="D715" t="str">
        <f>IFERROR(__xludf.DUMMYFUNCTION("""COMPUTED_VALUE"""),"B00006IFDQ")</f>
        <v>B00006IFDQ</v>
      </c>
      <c r="E715" t="str">
        <f>IFERROR(__xludf.DUMMYFUNCTION("""COMPUTED_VALUE"""),"78787730113")</f>
        <v>78787730113</v>
      </c>
      <c r="F715">
        <f>IFERROR(__xludf.DUMMYFUNCTION("""COMPUTED_VALUE"""),1770.0)</f>
        <v>1770</v>
      </c>
      <c r="G715">
        <f>IFERROR(__xludf.DUMMYFUNCTION("""COMPUTED_VALUE"""),5000.0)</f>
        <v>5000</v>
      </c>
      <c r="H715" s="2">
        <f>IFERROR(__xludf.DUMMYFUNCTION("""COMPUTED_VALUE"""),1.5)</f>
        <v>1.5</v>
      </c>
      <c r="I715" s="2">
        <f>IFERROR(__xludf.DUMMYFUNCTION("""COMPUTED_VALUE"""),2.48)</f>
        <v>2.48</v>
      </c>
      <c r="J715" s="2">
        <f>IFERROR(__xludf.DUMMYFUNCTION("""COMPUTED_VALUE"""),0.98)</f>
        <v>0.98</v>
      </c>
      <c r="K715" s="5">
        <f>IFERROR(__xludf.DUMMYFUNCTION("""COMPUTED_VALUE"""),0.6533333333333333)</f>
        <v>0.6533333333</v>
      </c>
      <c r="L715">
        <f>IFERROR(__xludf.DUMMYFUNCTION("""COMPUTED_VALUE"""),32590.0)</f>
        <v>32590</v>
      </c>
      <c r="M715" t="str">
        <f>IFERROR(__xludf.DUMMYFUNCTION("""COMPUTED_VALUE"""),"Office Product")</f>
        <v>Office Product</v>
      </c>
      <c r="O715" t="str">
        <f>IFERROR(__xludf.DUMMYFUNCTION("""COMPUTED_VALUE"""),"Y")</f>
        <v>Y</v>
      </c>
      <c r="P715" s="1" t="str">
        <f>IFERROR(__xludf.DUMMYFUNCTION("""COMPUTED_VALUE"""),"ID 23965")</f>
        <v>ID 23965</v>
      </c>
      <c r="Q715" s="1" t="str">
        <f>IFERROR(__xludf.DUMMYFUNCTION("""COMPUTED_VALUE"""),"B00006IFDQ")</f>
        <v>B00006IFDQ</v>
      </c>
    </row>
    <row r="716">
      <c r="A716" s="6">
        <f>IFERROR(__xludf.DUMMYFUNCTION("""COMPUTED_VALUE"""),45376.0)</f>
        <v>45376</v>
      </c>
      <c r="B716">
        <f>IFERROR(__xludf.DUMMYFUNCTION("""COMPUTED_VALUE"""),24122.0)</f>
        <v>24122</v>
      </c>
      <c r="C716" t="str">
        <f>IFERROR(__xludf.DUMMYFUNCTION("""COMPUTED_VALUE"""),"Spotlight Display Board - 48 x 36 Inches - 1 Ply Black")</f>
        <v>Spotlight Display Board - 48 x 36 Inches - 1 Ply Black</v>
      </c>
      <c r="D716" t="str">
        <f>IFERROR(__xludf.DUMMYFUNCTION("""COMPUTED_VALUE"""),"B00260S1ZI")</f>
        <v>B00260S1ZI</v>
      </c>
      <c r="E716" t="str">
        <f>IFERROR(__xludf.DUMMYFUNCTION("""COMPUTED_VALUE"""),"045173037668")</f>
        <v>045173037668</v>
      </c>
      <c r="F716">
        <f>IFERROR(__xludf.DUMMYFUNCTION("""COMPUTED_VALUE"""),696.0)</f>
        <v>696</v>
      </c>
      <c r="G716">
        <f>IFERROR(__xludf.DUMMYFUNCTION("""COMPUTED_VALUE"""),10000.0)</f>
        <v>10000</v>
      </c>
      <c r="H716" s="2">
        <f>IFERROR(__xludf.DUMMYFUNCTION("""COMPUTED_VALUE"""),5.25)</f>
        <v>5.25</v>
      </c>
      <c r="I716" s="2">
        <f>IFERROR(__xludf.DUMMYFUNCTION("""COMPUTED_VALUE"""),6.23)</f>
        <v>6.23</v>
      </c>
      <c r="J716" s="2">
        <f>IFERROR(__xludf.DUMMYFUNCTION("""COMPUTED_VALUE"""),0.9800000000000004)</f>
        <v>0.98</v>
      </c>
      <c r="K716" s="5">
        <f>IFERROR(__xludf.DUMMYFUNCTION("""COMPUTED_VALUE"""),0.18666666666666676)</f>
        <v>0.1866666667</v>
      </c>
      <c r="L716">
        <f>IFERROR(__xludf.DUMMYFUNCTION("""COMPUTED_VALUE"""),11281.0)</f>
        <v>11281</v>
      </c>
      <c r="M716" t="str">
        <f>IFERROR(__xludf.DUMMYFUNCTION("""COMPUTED_VALUE"""),"BISS")</f>
        <v>BISS</v>
      </c>
      <c r="O716" t="str">
        <f>IFERROR(__xludf.DUMMYFUNCTION("""COMPUTED_VALUE"""),"Y")</f>
        <v>Y</v>
      </c>
      <c r="P716" s="1" t="str">
        <f>IFERROR(__xludf.DUMMYFUNCTION("""COMPUTED_VALUE"""),"ID 24122")</f>
        <v>ID 24122</v>
      </c>
      <c r="Q716" s="1" t="str">
        <f>IFERROR(__xludf.DUMMYFUNCTION("""COMPUTED_VALUE"""),"B00260S1ZI")</f>
        <v>B00260S1ZI</v>
      </c>
    </row>
    <row r="717">
      <c r="A717" s="6">
        <f>IFERROR(__xludf.DUMMYFUNCTION("""COMPUTED_VALUE"""),45401.0)</f>
        <v>45401</v>
      </c>
      <c r="B717">
        <f>IFERROR(__xludf.DUMMYFUNCTION("""COMPUTED_VALUE"""),6671.0)</f>
        <v>6671</v>
      </c>
      <c r="C717" t="str">
        <f>IFERROR(__xludf.DUMMYFUNCTION("""COMPUTED_VALUE"""),"Home Basics Metal Bread Box with Lid (Stone)")</f>
        <v>Home Basics Metal Bread Box with Lid (Stone)</v>
      </c>
      <c r="D717" t="str">
        <f>IFERROR(__xludf.DUMMYFUNCTION("""COMPUTED_VALUE"""),"B07KWDXD3X")</f>
        <v>B07KWDXD3X</v>
      </c>
      <c r="E717" t="str">
        <f>IFERROR(__xludf.DUMMYFUNCTION("""COMPUTED_VALUE"""),"886466418470")</f>
        <v>886466418470</v>
      </c>
      <c r="F717">
        <f>IFERROR(__xludf.DUMMYFUNCTION("""COMPUTED_VALUE"""),56.0)</f>
        <v>56</v>
      </c>
      <c r="G717">
        <f>IFERROR(__xludf.DUMMYFUNCTION("""COMPUTED_VALUE"""),10000.0)</f>
        <v>10000</v>
      </c>
      <c r="H717" s="2">
        <f>IFERROR(__xludf.DUMMYFUNCTION("""COMPUTED_VALUE"""),23.75)</f>
        <v>23.75</v>
      </c>
      <c r="I717" s="2">
        <f>IFERROR(__xludf.DUMMYFUNCTION("""COMPUTED_VALUE"""),24.73)</f>
        <v>24.73</v>
      </c>
      <c r="J717" s="2">
        <f>IFERROR(__xludf.DUMMYFUNCTION("""COMPUTED_VALUE"""),0.9800000000000004)</f>
        <v>0.98</v>
      </c>
      <c r="K717" s="5">
        <f>IFERROR(__xludf.DUMMYFUNCTION("""COMPUTED_VALUE"""),0.04126315789473686)</f>
        <v>0.04126315789</v>
      </c>
      <c r="L717">
        <f>IFERROR(__xludf.DUMMYFUNCTION("""COMPUTED_VALUE"""),13839.0)</f>
        <v>13839</v>
      </c>
      <c r="M717" t="str">
        <f>IFERROR(__xludf.DUMMYFUNCTION("""COMPUTED_VALUE"""),"Kitchen")</f>
        <v>Kitchen</v>
      </c>
      <c r="O717" t="str">
        <f>IFERROR(__xludf.DUMMYFUNCTION("""COMPUTED_VALUE"""),"Y")</f>
        <v>Y</v>
      </c>
      <c r="P717" s="1" t="str">
        <f>IFERROR(__xludf.DUMMYFUNCTION("""COMPUTED_VALUE"""),"ID 6671")</f>
        <v>ID 6671</v>
      </c>
      <c r="Q717" s="1" t="str">
        <f>IFERROR(__xludf.DUMMYFUNCTION("""COMPUTED_VALUE"""),"B07KWDXD3X")</f>
        <v>B07KWDXD3X</v>
      </c>
    </row>
    <row r="718">
      <c r="A718" s="6">
        <f>IFERROR(__xludf.DUMMYFUNCTION("""COMPUTED_VALUE"""),45364.0)</f>
        <v>45364</v>
      </c>
      <c r="B718">
        <f>IFERROR(__xludf.DUMMYFUNCTION("""COMPUTED_VALUE"""),24973.0)</f>
        <v>24973</v>
      </c>
      <c r="C718" t="str">
        <f>IFERROR(__xludf.DUMMYFUNCTION("""COMPUTED_VALUE"""),"Blueline Steno Note Pad, Spiral Top Binding with Flexible Blue Cover, 6"" x 9"", 360 Pages (AT12B)")</f>
        <v>Blueline Steno Note Pad, Spiral Top Binding with Flexible Blue Cover, 6" x 9", 360 Pages (AT12B)</v>
      </c>
      <c r="D718" t="str">
        <f>IFERROR(__xludf.DUMMYFUNCTION("""COMPUTED_VALUE"""),"B007Z7OX0O")</f>
        <v>B007Z7OX0O</v>
      </c>
      <c r="E718" t="str">
        <f>IFERROR(__xludf.DUMMYFUNCTION("""COMPUTED_VALUE"""),"069775440053")</f>
        <v>069775440053</v>
      </c>
      <c r="F718">
        <f>IFERROR(__xludf.DUMMYFUNCTION("""COMPUTED_VALUE"""),405.0)</f>
        <v>405</v>
      </c>
      <c r="G718">
        <f>IFERROR(__xludf.DUMMYFUNCTION("""COMPUTED_VALUE"""),10000.0)</f>
        <v>10000</v>
      </c>
      <c r="H718" s="2">
        <f>IFERROR(__xludf.DUMMYFUNCTION("""COMPUTED_VALUE"""),3.25)</f>
        <v>3.25</v>
      </c>
      <c r="I718" s="2">
        <f>IFERROR(__xludf.DUMMYFUNCTION("""COMPUTED_VALUE"""),4.23)</f>
        <v>4.23</v>
      </c>
      <c r="J718" s="2">
        <f>IFERROR(__xludf.DUMMYFUNCTION("""COMPUTED_VALUE"""),0.9800000000000004)</f>
        <v>0.98</v>
      </c>
      <c r="K718" s="5">
        <f>IFERROR(__xludf.DUMMYFUNCTION("""COMPUTED_VALUE"""),0.30153846153846164)</f>
        <v>0.3015384615</v>
      </c>
      <c r="L718">
        <f>IFERROR(__xludf.DUMMYFUNCTION("""COMPUTED_VALUE"""),24335.0)</f>
        <v>24335</v>
      </c>
      <c r="M718" t="str">
        <f>IFERROR(__xludf.DUMMYFUNCTION("""COMPUTED_VALUE"""),"Office Product")</f>
        <v>Office Product</v>
      </c>
      <c r="O718" t="str">
        <f>IFERROR(__xludf.DUMMYFUNCTION("""COMPUTED_VALUE"""),"Y")</f>
        <v>Y</v>
      </c>
      <c r="P718" s="1" t="str">
        <f>IFERROR(__xludf.DUMMYFUNCTION("""COMPUTED_VALUE"""),"ID 24973")</f>
        <v>ID 24973</v>
      </c>
      <c r="Q718" s="1" t="str">
        <f>IFERROR(__xludf.DUMMYFUNCTION("""COMPUTED_VALUE"""),"B007Z7OX0O")</f>
        <v>B007Z7OX0O</v>
      </c>
    </row>
    <row r="719">
      <c r="A719" s="6">
        <f>IFERROR(__xludf.DUMMYFUNCTION("""COMPUTED_VALUE"""),45390.0)</f>
        <v>45390</v>
      </c>
      <c r="B719">
        <f>IFERROR(__xludf.DUMMYFUNCTION("""COMPUTED_VALUE"""),8103.0)</f>
        <v>8103</v>
      </c>
      <c r="C719" t="str">
        <f>IFERROR(__xludf.DUMMYFUNCTION("""COMPUTED_VALUE"""),"Chef Craft 21994 Hammered Champagne Bucket, Stainless Steel")</f>
        <v>Chef Craft 21994 Hammered Champagne Bucket, Stainless Steel</v>
      </c>
      <c r="D719" t="str">
        <f>IFERROR(__xludf.DUMMYFUNCTION("""COMPUTED_VALUE"""),"B073JBVBT5")</f>
        <v>B073JBVBT5</v>
      </c>
      <c r="E719" t="str">
        <f>IFERROR(__xludf.DUMMYFUNCTION("""COMPUTED_VALUE"""),"085455219948")</f>
        <v>085455219948</v>
      </c>
      <c r="F719">
        <f>IFERROR(__xludf.DUMMYFUNCTION("""COMPUTED_VALUE"""),192.0)</f>
        <v>192</v>
      </c>
      <c r="G719">
        <f>IFERROR(__xludf.DUMMYFUNCTION("""COMPUTED_VALUE"""),10000.0)</f>
        <v>10000</v>
      </c>
      <c r="H719" s="2">
        <f>IFERROR(__xludf.DUMMYFUNCTION("""COMPUTED_VALUE"""),7.0)</f>
        <v>7</v>
      </c>
      <c r="I719" s="2">
        <f>IFERROR(__xludf.DUMMYFUNCTION("""COMPUTED_VALUE"""),7.97)</f>
        <v>7.97</v>
      </c>
      <c r="J719" s="2">
        <f>IFERROR(__xludf.DUMMYFUNCTION("""COMPUTED_VALUE"""),0.9699999999999998)</f>
        <v>0.97</v>
      </c>
      <c r="K719" s="5">
        <f>IFERROR(__xludf.DUMMYFUNCTION("""COMPUTED_VALUE"""),0.13857142857142854)</f>
        <v>0.1385714286</v>
      </c>
      <c r="L719">
        <f>IFERROR(__xludf.DUMMYFUNCTION("""COMPUTED_VALUE"""),23409.0)</f>
        <v>23409</v>
      </c>
      <c r="M719" t="str">
        <f>IFERROR(__xludf.DUMMYFUNCTION("""COMPUTED_VALUE"""),"Kitchen")</f>
        <v>Kitchen</v>
      </c>
      <c r="O719" t="str">
        <f>IFERROR(__xludf.DUMMYFUNCTION("""COMPUTED_VALUE"""),"Y")</f>
        <v>Y</v>
      </c>
      <c r="P719" s="1" t="str">
        <f>IFERROR(__xludf.DUMMYFUNCTION("""COMPUTED_VALUE"""),"ID 8103")</f>
        <v>ID 8103</v>
      </c>
      <c r="Q719" s="1" t="str">
        <f>IFERROR(__xludf.DUMMYFUNCTION("""COMPUTED_VALUE"""),"B073JBVBT5")</f>
        <v>B073JBVBT5</v>
      </c>
    </row>
    <row r="720">
      <c r="A720" s="6">
        <f>IFERROR(__xludf.DUMMYFUNCTION("""COMPUTED_VALUE"""),45390.0)</f>
        <v>45390</v>
      </c>
      <c r="B720">
        <f>IFERROR(__xludf.DUMMYFUNCTION("""COMPUTED_VALUE"""),18401.0)</f>
        <v>18401</v>
      </c>
      <c r="C720" t="str">
        <f>IFERROR(__xludf.DUMMYFUNCTION("""COMPUTED_VALUE"""),"Chef Craft Brushed Stainless Steel Mixing Bowl, 5 Quart")</f>
        <v>Chef Craft Brushed Stainless Steel Mixing Bowl, 5 Quart</v>
      </c>
      <c r="D720" t="str">
        <f>IFERROR(__xludf.DUMMYFUNCTION("""COMPUTED_VALUE"""),"B00B4GVE4A")</f>
        <v>B00B4GVE4A</v>
      </c>
      <c r="E720" t="str">
        <f>IFERROR(__xludf.DUMMYFUNCTION("""COMPUTED_VALUE"""),"085455217180")</f>
        <v>085455217180</v>
      </c>
      <c r="F720">
        <f>IFERROR(__xludf.DUMMYFUNCTION("""COMPUTED_VALUE"""),336.0)</f>
        <v>336</v>
      </c>
      <c r="G720">
        <f>IFERROR(__xludf.DUMMYFUNCTION("""COMPUTED_VALUE"""),10000.0)</f>
        <v>10000</v>
      </c>
      <c r="H720" s="2">
        <f>IFERROR(__xludf.DUMMYFUNCTION("""COMPUTED_VALUE"""),4.25)</f>
        <v>4.25</v>
      </c>
      <c r="I720" s="2">
        <f>IFERROR(__xludf.DUMMYFUNCTION("""COMPUTED_VALUE"""),5.22)</f>
        <v>5.22</v>
      </c>
      <c r="J720" s="2">
        <f>IFERROR(__xludf.DUMMYFUNCTION("""COMPUTED_VALUE"""),0.9699999999999998)</f>
        <v>0.97</v>
      </c>
      <c r="K720" s="5">
        <f>IFERROR(__xludf.DUMMYFUNCTION("""COMPUTED_VALUE"""),0.228235294117647)</f>
        <v>0.2282352941</v>
      </c>
      <c r="L720">
        <f>IFERROR(__xludf.DUMMYFUNCTION("""COMPUTED_VALUE"""),11399.0)</f>
        <v>11399</v>
      </c>
      <c r="M720" t="str">
        <f>IFERROR(__xludf.DUMMYFUNCTION("""COMPUTED_VALUE"""),"Kitchen")</f>
        <v>Kitchen</v>
      </c>
      <c r="O720" t="str">
        <f>IFERROR(__xludf.DUMMYFUNCTION("""COMPUTED_VALUE"""),"N")</f>
        <v>N</v>
      </c>
      <c r="P720" s="1" t="str">
        <f>IFERROR(__xludf.DUMMYFUNCTION("""COMPUTED_VALUE"""),"ID 18401")</f>
        <v>ID 18401</v>
      </c>
      <c r="Q720" s="1" t="str">
        <f>IFERROR(__xludf.DUMMYFUNCTION("""COMPUTED_VALUE"""),"B00B4GVE4A")</f>
        <v>B00B4GVE4A</v>
      </c>
    </row>
    <row r="721">
      <c r="A721" s="6">
        <f>IFERROR(__xludf.DUMMYFUNCTION("""COMPUTED_VALUE"""),45350.0)</f>
        <v>45350</v>
      </c>
      <c r="B721">
        <f>IFERROR(__xludf.DUMMYFUNCTION("""COMPUTED_VALUE"""),22209.0)</f>
        <v>22209</v>
      </c>
      <c r="C721" t="str">
        <f>IFERROR(__xludf.DUMMYFUNCTION("""COMPUTED_VALUE"""),"GEM CPAL5 Aluminum Head Push Pins, Aluminum, Silver, 5/8-Inch, 100/Box")</f>
        <v>GEM CPAL5 Aluminum Head Push Pins, Aluminum, Silver, 5/8-Inch, 100/Box</v>
      </c>
      <c r="D721" t="str">
        <f>IFERROR(__xludf.DUMMYFUNCTION("""COMPUTED_VALUE"""),"B00YR8M2FM")</f>
        <v>B00YR8M2FM</v>
      </c>
      <c r="E721" t="str">
        <f>IFERROR(__xludf.DUMMYFUNCTION("""COMPUTED_VALUE"""),"097099059606")</f>
        <v>097099059606</v>
      </c>
      <c r="F721">
        <f>IFERROR(__xludf.DUMMYFUNCTION("""COMPUTED_VALUE"""),400.0)</f>
        <v>400</v>
      </c>
      <c r="G721">
        <f>IFERROR(__xludf.DUMMYFUNCTION("""COMPUTED_VALUE"""),10000.0)</f>
        <v>10000</v>
      </c>
      <c r="H721" s="2">
        <f>IFERROR(__xludf.DUMMYFUNCTION("""COMPUTED_VALUE"""),3.75)</f>
        <v>3.75</v>
      </c>
      <c r="I721" s="2">
        <f>IFERROR(__xludf.DUMMYFUNCTION("""COMPUTED_VALUE"""),4.72)</f>
        <v>4.72</v>
      </c>
      <c r="J721" s="2">
        <f>IFERROR(__xludf.DUMMYFUNCTION("""COMPUTED_VALUE"""),0.9699999999999998)</f>
        <v>0.97</v>
      </c>
      <c r="K721" s="5">
        <f>IFERROR(__xludf.DUMMYFUNCTION("""COMPUTED_VALUE"""),0.2586666666666666)</f>
        <v>0.2586666667</v>
      </c>
      <c r="L721">
        <f>IFERROR(__xludf.DUMMYFUNCTION("""COMPUTED_VALUE"""),59933.0)</f>
        <v>59933</v>
      </c>
      <c r="M721" t="str">
        <f>IFERROR(__xludf.DUMMYFUNCTION("""COMPUTED_VALUE"""),"Office Product")</f>
        <v>Office Product</v>
      </c>
      <c r="O721" t="str">
        <f>IFERROR(__xludf.DUMMYFUNCTION("""COMPUTED_VALUE"""),"N")</f>
        <v>N</v>
      </c>
      <c r="P721" s="1" t="str">
        <f>IFERROR(__xludf.DUMMYFUNCTION("""COMPUTED_VALUE"""),"ID 22209")</f>
        <v>ID 22209</v>
      </c>
      <c r="Q721" s="1" t="str">
        <f>IFERROR(__xludf.DUMMYFUNCTION("""COMPUTED_VALUE"""),"B00YR8M2FM")</f>
        <v>B00YR8M2FM</v>
      </c>
    </row>
    <row r="722">
      <c r="A722" s="6">
        <f>IFERROR(__xludf.DUMMYFUNCTION("""COMPUTED_VALUE"""),45401.0)</f>
        <v>45401</v>
      </c>
      <c r="B722">
        <f>IFERROR(__xludf.DUMMYFUNCTION("""COMPUTED_VALUE"""),22352.0)</f>
        <v>22352</v>
      </c>
      <c r="C722" t="str">
        <f>IFERROR(__xludf.DUMMYFUNCTION("""COMPUTED_VALUE"""),"PILOT B2P Colors - Bottle to Pen Refillable &amp; Retractable Rolling Ball Gel Pen Made From Recycled Bottles, Fine Point, Black G2 Ink/Clear Barrel, 12-Pack (36629)")</f>
        <v>PILOT B2P Colors - Bottle to Pen Refillable &amp; Retractable Rolling Ball Gel Pen Made From Recycled Bottles, Fine Point, Black G2 Ink/Clear Barrel, 12-Pack (36629)</v>
      </c>
      <c r="D722" t="str">
        <f>IFERROR(__xludf.DUMMYFUNCTION("""COMPUTED_VALUE"""),"B00FACLSD6")</f>
        <v>B00FACLSD6</v>
      </c>
      <c r="E722" t="str">
        <f>IFERROR(__xludf.DUMMYFUNCTION("""COMPUTED_VALUE"""),"072838366290")</f>
        <v>072838366290</v>
      </c>
      <c r="F722">
        <f>IFERROR(__xludf.DUMMYFUNCTION("""COMPUTED_VALUE"""),96.0)</f>
        <v>96</v>
      </c>
      <c r="G722">
        <f>IFERROR(__xludf.DUMMYFUNCTION("""COMPUTED_VALUE"""),10000.0)</f>
        <v>10000</v>
      </c>
      <c r="H722" s="2">
        <f>IFERROR(__xludf.DUMMYFUNCTION("""COMPUTED_VALUE"""),13.5)</f>
        <v>13.5</v>
      </c>
      <c r="I722" s="2">
        <f>IFERROR(__xludf.DUMMYFUNCTION("""COMPUTED_VALUE"""),14.46)</f>
        <v>14.46</v>
      </c>
      <c r="J722" s="2">
        <f>IFERROR(__xludf.DUMMYFUNCTION("""COMPUTED_VALUE"""),0.9600000000000009)</f>
        <v>0.96</v>
      </c>
      <c r="K722" s="5">
        <f>IFERROR(__xludf.DUMMYFUNCTION("""COMPUTED_VALUE"""),0.07111111111111118)</f>
        <v>0.07111111111</v>
      </c>
      <c r="L722">
        <f>IFERROR(__xludf.DUMMYFUNCTION("""COMPUTED_VALUE"""),88534.0)</f>
        <v>88534</v>
      </c>
      <c r="M722" t="str">
        <f>IFERROR(__xludf.DUMMYFUNCTION("""COMPUTED_VALUE"""),"Office Product")</f>
        <v>Office Product</v>
      </c>
      <c r="N722" t="str">
        <f>IFERROR(__xludf.DUMMYFUNCTION("""COMPUTED_VALUE"""),"UOM 12 pens. They come in a plain white box with a product label only. The box does not have graphics. Each pen has a barcode for individual sale.")</f>
        <v>UOM 12 pens. They come in a plain white box with a product label only. The box does not have graphics. Each pen has a barcode for individual sale.</v>
      </c>
      <c r="O722" t="str">
        <f>IFERROR(__xludf.DUMMYFUNCTION("""COMPUTED_VALUE"""),"Y")</f>
        <v>Y</v>
      </c>
      <c r="P722" s="1" t="str">
        <f>IFERROR(__xludf.DUMMYFUNCTION("""COMPUTED_VALUE"""),"ID 22352")</f>
        <v>ID 22352</v>
      </c>
      <c r="Q722" s="1" t="str">
        <f>IFERROR(__xludf.DUMMYFUNCTION("""COMPUTED_VALUE"""),"B00FACLSD6")</f>
        <v>B00FACLSD6</v>
      </c>
    </row>
    <row r="723">
      <c r="A723" s="6">
        <f>IFERROR(__xludf.DUMMYFUNCTION("""COMPUTED_VALUE"""),45063.0)</f>
        <v>45063</v>
      </c>
      <c r="B723">
        <f>IFERROR(__xludf.DUMMYFUNCTION("""COMPUTED_VALUE"""),25675.0)</f>
        <v>25675</v>
      </c>
      <c r="C723" t="str">
        <f>IFERROR(__xludf.DUMMYFUNCTION("""COMPUTED_VALUE"""),"Etna Freestanding Wood Pet Gate Tri Fold Panel Dog Fence for Doorways, Stairs - Indoor/Outdoor Small Pet Barrier - Black Twist")</f>
        <v>Etna Freestanding Wood Pet Gate Tri Fold Panel Dog Fence for Doorways, Stairs - Indoor/Outdoor Small Pet Barrier - Black Twist</v>
      </c>
      <c r="D723" t="str">
        <f>IFERROR(__xludf.DUMMYFUNCTION("""COMPUTED_VALUE"""),"B08QDPYZCG")</f>
        <v>B08QDPYZCG</v>
      </c>
      <c r="E723" t="str">
        <f>IFERROR(__xludf.DUMMYFUNCTION("""COMPUTED_VALUE"""),"084358052881")</f>
        <v>084358052881</v>
      </c>
      <c r="F723">
        <f>IFERROR(__xludf.DUMMYFUNCTION("""COMPUTED_VALUE"""),64.0)</f>
        <v>64</v>
      </c>
      <c r="G723">
        <f>IFERROR(__xludf.DUMMYFUNCTION("""COMPUTED_VALUE"""),52.0)</f>
        <v>52</v>
      </c>
      <c r="H723" s="2">
        <f>IFERROR(__xludf.DUMMYFUNCTION("""COMPUTED_VALUE"""),21.25)</f>
        <v>21.25</v>
      </c>
      <c r="I723" s="2">
        <f>IFERROR(__xludf.DUMMYFUNCTION("""COMPUTED_VALUE"""),22.21)</f>
        <v>22.21</v>
      </c>
      <c r="J723" s="2">
        <f>IFERROR(__xludf.DUMMYFUNCTION("""COMPUTED_VALUE"""),0.9600000000000009)</f>
        <v>0.96</v>
      </c>
      <c r="K723" s="5">
        <f>IFERROR(__xludf.DUMMYFUNCTION("""COMPUTED_VALUE"""),0.04517647058823533)</f>
        <v>0.04517647059</v>
      </c>
      <c r="L723">
        <f>IFERROR(__xludf.DUMMYFUNCTION("""COMPUTED_VALUE"""),55855.0)</f>
        <v>55855</v>
      </c>
      <c r="M723" t="str">
        <f>IFERROR(__xludf.DUMMYFUNCTION("""COMPUTED_VALUE"""),"Pet Products")</f>
        <v>Pet Products</v>
      </c>
      <c r="N723" t="str">
        <f>IFERROR(__xludf.DUMMYFUNCTION("""COMPUTED_VALUE"""),"MAP $41.99. If you violate the MAP pricing the brand may choose to remove you from the listing")</f>
        <v>MAP $41.99. If you violate the MAP pricing the brand may choose to remove you from the listing</v>
      </c>
      <c r="O723" t="str">
        <f>IFERROR(__xludf.DUMMYFUNCTION("""COMPUTED_VALUE"""),"N")</f>
        <v>N</v>
      </c>
      <c r="P723" s="1" t="str">
        <f>IFERROR(__xludf.DUMMYFUNCTION("""COMPUTED_VALUE"""),"ID 25675")</f>
        <v>ID 25675</v>
      </c>
      <c r="Q723" s="1" t="str">
        <f>IFERROR(__xludf.DUMMYFUNCTION("""COMPUTED_VALUE"""),"B08QDPYZCG")</f>
        <v>B08QDPYZCG</v>
      </c>
    </row>
    <row r="724">
      <c r="A724" s="6">
        <f>IFERROR(__xludf.DUMMYFUNCTION("""COMPUTED_VALUE"""),45421.0)</f>
        <v>45421</v>
      </c>
      <c r="B724">
        <f>IFERROR(__xludf.DUMMYFUNCTION("""COMPUTED_VALUE"""),12771.0)</f>
        <v>12771</v>
      </c>
      <c r="C724" t="str">
        <f>IFERROR(__xludf.DUMMYFUNCTION("""COMPUTED_VALUE"""),"Chartpak Self-Adhesive Vinyl Capital Letters and Numbers, 1 Inch High, Silver, 88 per Pack (01039)")</f>
        <v>Chartpak Self-Adhesive Vinyl Capital Letters and Numbers, 1 Inch High, Silver, 88 per Pack (01039)</v>
      </c>
      <c r="D724" t="str">
        <f>IFERROR(__xludf.DUMMYFUNCTION("""COMPUTED_VALUE"""),"B0023B5HQ6")</f>
        <v>B0023B5HQ6</v>
      </c>
      <c r="E724" t="str">
        <f>IFERROR(__xludf.DUMMYFUNCTION("""COMPUTED_VALUE"""),"014173118769")</f>
        <v>014173118769</v>
      </c>
      <c r="F724">
        <f>IFERROR(__xludf.DUMMYFUNCTION("""COMPUTED_VALUE"""),552.0)</f>
        <v>552</v>
      </c>
      <c r="G724">
        <f>IFERROR(__xludf.DUMMYFUNCTION("""COMPUTED_VALUE"""),10000.0)</f>
        <v>10000</v>
      </c>
      <c r="H724" s="2">
        <f>IFERROR(__xludf.DUMMYFUNCTION("""COMPUTED_VALUE"""),3.75)</f>
        <v>3.75</v>
      </c>
      <c r="I724" s="2">
        <f>IFERROR(__xludf.DUMMYFUNCTION("""COMPUTED_VALUE"""),4.71)</f>
        <v>4.71</v>
      </c>
      <c r="J724" s="2">
        <f>IFERROR(__xludf.DUMMYFUNCTION("""COMPUTED_VALUE"""),0.96)</f>
        <v>0.96</v>
      </c>
      <c r="K724" s="5">
        <f>IFERROR(__xludf.DUMMYFUNCTION("""COMPUTED_VALUE"""),0.256)</f>
        <v>0.256</v>
      </c>
      <c r="L724">
        <f>IFERROR(__xludf.DUMMYFUNCTION("""COMPUTED_VALUE"""),2964.0)</f>
        <v>2964</v>
      </c>
      <c r="M724" t="str">
        <f>IFERROR(__xludf.DUMMYFUNCTION("""COMPUTED_VALUE"""),"Office Product")</f>
        <v>Office Product</v>
      </c>
      <c r="O724" t="str">
        <f>IFERROR(__xludf.DUMMYFUNCTION("""COMPUTED_VALUE"""),"Y")</f>
        <v>Y</v>
      </c>
      <c r="P724" s="1" t="str">
        <f>IFERROR(__xludf.DUMMYFUNCTION("""COMPUTED_VALUE"""),"ID 12771")</f>
        <v>ID 12771</v>
      </c>
      <c r="Q724" s="1" t="str">
        <f>IFERROR(__xludf.DUMMYFUNCTION("""COMPUTED_VALUE"""),"B0023B5HQ6")</f>
        <v>B0023B5HQ6</v>
      </c>
    </row>
    <row r="725">
      <c r="A725" s="6">
        <f>IFERROR(__xludf.DUMMYFUNCTION("""COMPUTED_VALUE"""),45383.0)</f>
        <v>45383</v>
      </c>
      <c r="B725">
        <f>IFERROR(__xludf.DUMMYFUNCTION("""COMPUTED_VALUE"""),20157.0)</f>
        <v>20157</v>
      </c>
      <c r="C725" t="str">
        <f>IFERROR(__xludf.DUMMYFUNCTION("""COMPUTED_VALUE"""),"uni-ball 33958PP 207 Retractable Gel Pens, Medium Point (0.7mm), Assorted Colors, 3 Count")</f>
        <v>uni-ball 33958PP 207 Retractable Gel Pens, Medium Point (0.7mm), Assorted Colors, 3 Count</v>
      </c>
      <c r="D725" t="str">
        <f>IFERROR(__xludf.DUMMYFUNCTION("""COMPUTED_VALUE"""),"B000JKP222")</f>
        <v>B000JKP222</v>
      </c>
      <c r="E725" t="str">
        <f>IFERROR(__xludf.DUMMYFUNCTION("""COMPUTED_VALUE"""),"030246339589")</f>
        <v>030246339589</v>
      </c>
      <c r="F725">
        <f>IFERROR(__xludf.DUMMYFUNCTION("""COMPUTED_VALUE"""),384.0)</f>
        <v>384</v>
      </c>
      <c r="G725">
        <f>IFERROR(__xludf.DUMMYFUNCTION("""COMPUTED_VALUE"""),10000.0)</f>
        <v>10000</v>
      </c>
      <c r="H725" s="2">
        <f>IFERROR(__xludf.DUMMYFUNCTION("""COMPUTED_VALUE"""),3.5)</f>
        <v>3.5</v>
      </c>
      <c r="I725" s="2">
        <f>IFERROR(__xludf.DUMMYFUNCTION("""COMPUTED_VALUE"""),4.46)</f>
        <v>4.46</v>
      </c>
      <c r="J725" s="2">
        <f>IFERROR(__xludf.DUMMYFUNCTION("""COMPUTED_VALUE"""),0.96)</f>
        <v>0.96</v>
      </c>
      <c r="K725" s="5">
        <f>IFERROR(__xludf.DUMMYFUNCTION("""COMPUTED_VALUE"""),0.2742857142857143)</f>
        <v>0.2742857143</v>
      </c>
      <c r="L725">
        <f>IFERROR(__xludf.DUMMYFUNCTION("""COMPUTED_VALUE"""),5668.0)</f>
        <v>5668</v>
      </c>
      <c r="M725" t="str">
        <f>IFERROR(__xludf.DUMMYFUNCTION("""COMPUTED_VALUE"""),"BISS Basic")</f>
        <v>BISS Basic</v>
      </c>
      <c r="O725" t="str">
        <f>IFERROR(__xludf.DUMMYFUNCTION("""COMPUTED_VALUE"""),"Y")</f>
        <v>Y</v>
      </c>
      <c r="P725" s="1" t="str">
        <f>IFERROR(__xludf.DUMMYFUNCTION("""COMPUTED_VALUE"""),"ID 20157")</f>
        <v>ID 20157</v>
      </c>
      <c r="Q725" s="1" t="str">
        <f>IFERROR(__xludf.DUMMYFUNCTION("""COMPUTED_VALUE"""),"B000JKP222")</f>
        <v>B000JKP222</v>
      </c>
    </row>
    <row r="726">
      <c r="A726" s="6">
        <f>IFERROR(__xludf.DUMMYFUNCTION("""COMPUTED_VALUE"""),45390.0)</f>
        <v>45390</v>
      </c>
      <c r="B726">
        <f>IFERROR(__xludf.DUMMYFUNCTION("""COMPUTED_VALUE"""),21120.0)</f>
        <v>21120</v>
      </c>
      <c r="C726" t="str">
        <f>IFERROR(__xludf.DUMMYFUNCTION("""COMPUTED_VALUE"""),"Chef Craft Premium Silicone Angled Spatula, 11 inch, Black")</f>
        <v>Chef Craft Premium Silicone Angled Spatula, 11 inch, Black</v>
      </c>
      <c r="D726" t="str">
        <f>IFERROR(__xludf.DUMMYFUNCTION("""COMPUTED_VALUE"""),"B08SJ239SC")</f>
        <v>B08SJ239SC</v>
      </c>
      <c r="E726" t="str">
        <f>IFERROR(__xludf.DUMMYFUNCTION("""COMPUTED_VALUE"""),"085455136658")</f>
        <v>085455136658</v>
      </c>
      <c r="F726">
        <f>IFERROR(__xludf.DUMMYFUNCTION("""COMPUTED_VALUE"""),360.0)</f>
        <v>360</v>
      </c>
      <c r="G726">
        <f>IFERROR(__xludf.DUMMYFUNCTION("""COMPUTED_VALUE"""),10000.0)</f>
        <v>10000</v>
      </c>
      <c r="H726" s="2">
        <f>IFERROR(__xludf.DUMMYFUNCTION("""COMPUTED_VALUE"""),2.75)</f>
        <v>2.75</v>
      </c>
      <c r="I726" s="2">
        <f>IFERROR(__xludf.DUMMYFUNCTION("""COMPUTED_VALUE"""),3.71)</f>
        <v>3.71</v>
      </c>
      <c r="J726" s="2">
        <f>IFERROR(__xludf.DUMMYFUNCTION("""COMPUTED_VALUE"""),0.96)</f>
        <v>0.96</v>
      </c>
      <c r="K726" s="5">
        <f>IFERROR(__xludf.DUMMYFUNCTION("""COMPUTED_VALUE"""),0.34909090909090906)</f>
        <v>0.3490909091</v>
      </c>
      <c r="L726">
        <f>IFERROR(__xludf.DUMMYFUNCTION("""COMPUTED_VALUE"""),71132.0)</f>
        <v>71132</v>
      </c>
      <c r="M726" t="str">
        <f>IFERROR(__xludf.DUMMYFUNCTION("""COMPUTED_VALUE"""),"Kitchen")</f>
        <v>Kitchen</v>
      </c>
      <c r="O726" t="str">
        <f>IFERROR(__xludf.DUMMYFUNCTION("""COMPUTED_VALUE"""),"Y")</f>
        <v>Y</v>
      </c>
      <c r="P726" s="1" t="str">
        <f>IFERROR(__xludf.DUMMYFUNCTION("""COMPUTED_VALUE"""),"ID 21120")</f>
        <v>ID 21120</v>
      </c>
      <c r="Q726" s="1" t="str">
        <f>IFERROR(__xludf.DUMMYFUNCTION("""COMPUTED_VALUE"""),"B08SJ239SC")</f>
        <v>B08SJ239SC</v>
      </c>
    </row>
    <row r="727">
      <c r="A727" s="6">
        <f>IFERROR(__xludf.DUMMYFUNCTION("""COMPUTED_VALUE"""),44475.0)</f>
        <v>44475</v>
      </c>
      <c r="B727">
        <f>IFERROR(__xludf.DUMMYFUNCTION("""COMPUTED_VALUE"""),22424.0)</f>
        <v>22424</v>
      </c>
      <c r="C727" t="str">
        <f>IFERROR(__xludf.DUMMYFUNCTION("""COMPUTED_VALUE"""),"Pendaflex Hanging Folder Tabs, 2"", Clear Yellow, 25 Tabs and Inserts per Pack (42 YEL)")</f>
        <v>Pendaflex Hanging Folder Tabs, 2", Clear Yellow, 25 Tabs and Inserts per Pack (42 YEL)</v>
      </c>
      <c r="D727" t="str">
        <f>IFERROR(__xludf.DUMMYFUNCTION("""COMPUTED_VALUE"""),"B00006ICBW")</f>
        <v>B00006ICBW</v>
      </c>
      <c r="E727" t="str">
        <f>IFERROR(__xludf.DUMMYFUNCTION("""COMPUTED_VALUE"""),"078787420090")</f>
        <v>078787420090</v>
      </c>
      <c r="F727">
        <f>IFERROR(__xludf.DUMMYFUNCTION("""COMPUTED_VALUE"""),560.0)</f>
        <v>560</v>
      </c>
      <c r="G727">
        <f>IFERROR(__xludf.DUMMYFUNCTION("""COMPUTED_VALUE"""),5000.0)</f>
        <v>5000</v>
      </c>
      <c r="H727" s="2">
        <f>IFERROR(__xludf.DUMMYFUNCTION("""COMPUTED_VALUE"""),4.75)</f>
        <v>4.75</v>
      </c>
      <c r="I727" s="2">
        <f>IFERROR(__xludf.DUMMYFUNCTION("""COMPUTED_VALUE"""),5.71)</f>
        <v>5.71</v>
      </c>
      <c r="J727" s="2">
        <f>IFERROR(__xludf.DUMMYFUNCTION("""COMPUTED_VALUE"""),0.96)</f>
        <v>0.96</v>
      </c>
      <c r="K727" s="5">
        <f>IFERROR(__xludf.DUMMYFUNCTION("""COMPUTED_VALUE"""),0.20210526315789473)</f>
        <v>0.2021052632</v>
      </c>
      <c r="L727">
        <f>IFERROR(__xludf.DUMMYFUNCTION("""COMPUTED_VALUE"""),98025.0)</f>
        <v>98025</v>
      </c>
      <c r="M727" t="str">
        <f>IFERROR(__xludf.DUMMYFUNCTION("""COMPUTED_VALUE"""),"Office Product")</f>
        <v>Office Product</v>
      </c>
      <c r="N727"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727" t="str">
        <f>IFERROR(__xludf.DUMMYFUNCTION("""COMPUTED_VALUE"""),"N")</f>
        <v>N</v>
      </c>
      <c r="P727" s="1" t="str">
        <f>IFERROR(__xludf.DUMMYFUNCTION("""COMPUTED_VALUE"""),"ID 22424")</f>
        <v>ID 22424</v>
      </c>
      <c r="Q727" s="1" t="str">
        <f>IFERROR(__xludf.DUMMYFUNCTION("""COMPUTED_VALUE"""),"B00006ICBW")</f>
        <v>B00006ICBW</v>
      </c>
    </row>
    <row r="728">
      <c r="A728" s="6">
        <f>IFERROR(__xludf.DUMMYFUNCTION("""COMPUTED_VALUE"""),44859.0)</f>
        <v>44859</v>
      </c>
      <c r="B728">
        <f>IFERROR(__xludf.DUMMYFUNCTION("""COMPUTED_VALUE"""),23599.0)</f>
        <v>23599</v>
      </c>
      <c r="C728" t="str">
        <f>IFERROR(__xludf.DUMMYFUNCTION("""COMPUTED_VALUE"""),"3M Automotive Refinish Masking Tape, 06653, 24 mm x 55 m, Yellow")</f>
        <v>3M Automotive Refinish Masking Tape, 06653, 24 mm x 55 m, Yellow</v>
      </c>
      <c r="D728" t="str">
        <f>IFERROR(__xludf.DUMMYFUNCTION("""COMPUTED_VALUE"""),"B005RN2KOY")</f>
        <v>B005RN2KOY</v>
      </c>
      <c r="E728" t="str">
        <f>IFERROR(__xludf.DUMMYFUNCTION("""COMPUTED_VALUE"""),"51131066533")</f>
        <v>51131066533</v>
      </c>
      <c r="F728">
        <f>IFERROR(__xludf.DUMMYFUNCTION("""COMPUTED_VALUE"""),900.0)</f>
        <v>900</v>
      </c>
      <c r="G728">
        <f>IFERROR(__xludf.DUMMYFUNCTION("""COMPUTED_VALUE"""),2000.0)</f>
        <v>2000</v>
      </c>
      <c r="H728" s="2">
        <f>IFERROR(__xludf.DUMMYFUNCTION("""COMPUTED_VALUE"""),3.5)</f>
        <v>3.5</v>
      </c>
      <c r="I728" s="2">
        <f>IFERROR(__xludf.DUMMYFUNCTION("""COMPUTED_VALUE"""),4.46)</f>
        <v>4.46</v>
      </c>
      <c r="J728" s="2">
        <f>IFERROR(__xludf.DUMMYFUNCTION("""COMPUTED_VALUE"""),0.96)</f>
        <v>0.96</v>
      </c>
      <c r="K728" s="5">
        <f>IFERROR(__xludf.DUMMYFUNCTION("""COMPUTED_VALUE"""),0.2742857142857143)</f>
        <v>0.2742857143</v>
      </c>
      <c r="L728">
        <f>IFERROR(__xludf.DUMMYFUNCTION("""COMPUTED_VALUE"""),28388.0)</f>
        <v>28388</v>
      </c>
      <c r="M728" t="str">
        <f>IFERROR(__xludf.DUMMYFUNCTION("""COMPUTED_VALUE"""),"Lawn &amp; Patio")</f>
        <v>Lawn &amp; Patio</v>
      </c>
      <c r="O728" t="str">
        <f>IFERROR(__xludf.DUMMYFUNCTION("""COMPUTED_VALUE"""),"Y")</f>
        <v>Y</v>
      </c>
      <c r="P728" s="1" t="str">
        <f>IFERROR(__xludf.DUMMYFUNCTION("""COMPUTED_VALUE"""),"ID 23599")</f>
        <v>ID 23599</v>
      </c>
      <c r="Q728" s="1" t="str">
        <f>IFERROR(__xludf.DUMMYFUNCTION("""COMPUTED_VALUE"""),"B005RN2KOY")</f>
        <v>B005RN2KOY</v>
      </c>
    </row>
    <row r="729">
      <c r="A729" s="6">
        <f>IFERROR(__xludf.DUMMYFUNCTION("""COMPUTED_VALUE"""),45376.0)</f>
        <v>45376</v>
      </c>
      <c r="B729">
        <f>IFERROR(__xludf.DUMMYFUNCTION("""COMPUTED_VALUE"""),21950.0)</f>
        <v>21950</v>
      </c>
      <c r="C729" t="str">
        <f>IFERROR(__xludf.DUMMYFUNCTION("""COMPUTED_VALUE"""),"Dixon Economy Pencil Variety Pack, 14 Number 2 Soft Pencils, 6 Eraser Toppers, 4 Pencil Grips, and Sharpener (44424)")</f>
        <v>Dixon Economy Pencil Variety Pack, 14 Number 2 Soft Pencils, 6 Eraser Toppers, 4 Pencil Grips, and Sharpener (44424)</v>
      </c>
      <c r="D729" t="str">
        <f>IFERROR(__xludf.DUMMYFUNCTION("""COMPUTED_VALUE"""),"B004X4KR84")</f>
        <v>B004X4KR84</v>
      </c>
      <c r="E729" t="str">
        <f>IFERROR(__xludf.DUMMYFUNCTION("""COMPUTED_VALUE"""),"072067144287")</f>
        <v>072067144287</v>
      </c>
      <c r="F729">
        <f>IFERROR(__xludf.DUMMYFUNCTION("""COMPUTED_VALUE"""),1320.0)</f>
        <v>1320</v>
      </c>
      <c r="G729">
        <f>IFERROR(__xludf.DUMMYFUNCTION("""COMPUTED_VALUE"""),10000.0)</f>
        <v>10000</v>
      </c>
      <c r="H729" s="2">
        <f>IFERROR(__xludf.DUMMYFUNCTION("""COMPUTED_VALUE"""),2.75)</f>
        <v>2.75</v>
      </c>
      <c r="I729" s="2">
        <f>IFERROR(__xludf.DUMMYFUNCTION("""COMPUTED_VALUE"""),3.7)</f>
        <v>3.7</v>
      </c>
      <c r="J729" s="2">
        <f>IFERROR(__xludf.DUMMYFUNCTION("""COMPUTED_VALUE"""),0.9500000000000002)</f>
        <v>0.95</v>
      </c>
      <c r="K729" s="5">
        <f>IFERROR(__xludf.DUMMYFUNCTION("""COMPUTED_VALUE"""),0.3454545454545455)</f>
        <v>0.3454545455</v>
      </c>
      <c r="L729">
        <f>IFERROR(__xludf.DUMMYFUNCTION("""COMPUTED_VALUE"""),74510.0)</f>
        <v>74510</v>
      </c>
      <c r="M729" t="str">
        <f>IFERROR(__xludf.DUMMYFUNCTION("""COMPUTED_VALUE"""),"Office Product")</f>
        <v>Office Product</v>
      </c>
      <c r="O729" t="str">
        <f>IFERROR(__xludf.DUMMYFUNCTION("""COMPUTED_VALUE"""),"N")</f>
        <v>N</v>
      </c>
      <c r="P729" s="1" t="str">
        <f>IFERROR(__xludf.DUMMYFUNCTION("""COMPUTED_VALUE"""),"ID 21950")</f>
        <v>ID 21950</v>
      </c>
      <c r="Q729" s="1" t="str">
        <f>IFERROR(__xludf.DUMMYFUNCTION("""COMPUTED_VALUE"""),"B004X4KR84")</f>
        <v>B004X4KR84</v>
      </c>
    </row>
    <row r="730">
      <c r="A730" s="6">
        <f>IFERROR(__xludf.DUMMYFUNCTION("""COMPUTED_VALUE"""),44694.0)</f>
        <v>44694</v>
      </c>
      <c r="B730">
        <f>IFERROR(__xludf.DUMMYFUNCTION("""COMPUTED_VALUE"""),12369.0)</f>
        <v>12369</v>
      </c>
      <c r="C730" t="str">
        <f>IFERROR(__xludf.DUMMYFUNCTION("""COMPUTED_VALUE"""),"3M Sandpaper, 03038, 40 Grit, 3 2/3 in x 9 in")</f>
        <v>3M Sandpaper, 03038, 40 Grit, 3 2/3 in x 9 in</v>
      </c>
      <c r="D730" t="str">
        <f>IFERROR(__xludf.DUMMYFUNCTION("""COMPUTED_VALUE"""),"B000CQ49Y0")</f>
        <v>B000CQ49Y0</v>
      </c>
      <c r="E730" t="str">
        <f>IFERROR(__xludf.DUMMYFUNCTION("""COMPUTED_VALUE"""),"51144030385")</f>
        <v>51144030385</v>
      </c>
      <c r="F730">
        <f>IFERROR(__xludf.DUMMYFUNCTION("""COMPUTED_VALUE"""),1990.0)</f>
        <v>1990</v>
      </c>
      <c r="G730">
        <f>IFERROR(__xludf.DUMMYFUNCTION("""COMPUTED_VALUE"""),2000.0)</f>
        <v>2000</v>
      </c>
      <c r="H730" s="2">
        <f>IFERROR(__xludf.DUMMYFUNCTION("""COMPUTED_VALUE"""),1.5)</f>
        <v>1.5</v>
      </c>
      <c r="I730" s="2">
        <f>IFERROR(__xludf.DUMMYFUNCTION("""COMPUTED_VALUE"""),2.45)</f>
        <v>2.45</v>
      </c>
      <c r="J730" s="2">
        <f>IFERROR(__xludf.DUMMYFUNCTION("""COMPUTED_VALUE"""),0.9500000000000002)</f>
        <v>0.95</v>
      </c>
      <c r="K730" s="5">
        <f>IFERROR(__xludf.DUMMYFUNCTION("""COMPUTED_VALUE"""),0.6333333333333334)</f>
        <v>0.6333333333</v>
      </c>
      <c r="L730">
        <f>IFERROR(__xludf.DUMMYFUNCTION("""COMPUTED_VALUE"""),20745.0)</f>
        <v>20745</v>
      </c>
      <c r="M730" t="str">
        <f>IFERROR(__xludf.DUMMYFUNCTION("""COMPUTED_VALUE"""),"Lawn &amp; Patio")</f>
        <v>Lawn &amp; Patio</v>
      </c>
      <c r="O730" t="str">
        <f>IFERROR(__xludf.DUMMYFUNCTION("""COMPUTED_VALUE"""),"N")</f>
        <v>N</v>
      </c>
      <c r="P730" s="1" t="str">
        <f>IFERROR(__xludf.DUMMYFUNCTION("""COMPUTED_VALUE"""),"ID 12369")</f>
        <v>ID 12369</v>
      </c>
      <c r="Q730" s="1" t="str">
        <f>IFERROR(__xludf.DUMMYFUNCTION("""COMPUTED_VALUE"""),"B000CQ49Y0")</f>
        <v>B000CQ49Y0</v>
      </c>
    </row>
    <row r="731">
      <c r="A731" s="6">
        <f>IFERROR(__xludf.DUMMYFUNCTION("""COMPUTED_VALUE"""),45390.0)</f>
        <v>45390</v>
      </c>
      <c r="B731">
        <f>IFERROR(__xludf.DUMMYFUNCTION("""COMPUTED_VALUE"""),13692.0)</f>
        <v>13692</v>
      </c>
      <c r="C731" t="str">
        <f>IFERROR(__xludf.DUMMYFUNCTION("""COMPUTED_VALUE"""),"Windex Glass and Window Cleaner Spray Bottle, Bottle Made from 100% Recycled Plastic, Original Blue, 23 fl oz")</f>
        <v>Windex Glass and Window Cleaner Spray Bottle, Bottle Made from 100% Recycled Plastic, Original Blue, 23 fl oz</v>
      </c>
      <c r="D731" t="str">
        <f>IFERROR(__xludf.DUMMYFUNCTION("""COMPUTED_VALUE"""),"B01GFLZ0WU")</f>
        <v>B01GFLZ0WU</v>
      </c>
      <c r="E731" t="str">
        <f>IFERROR(__xludf.DUMMYFUNCTION("""COMPUTED_VALUE"""),"019800701956")</f>
        <v>019800701956</v>
      </c>
      <c r="F731">
        <f>IFERROR(__xludf.DUMMYFUNCTION("""COMPUTED_VALUE"""),840.0)</f>
        <v>840</v>
      </c>
      <c r="G731">
        <f>IFERROR(__xludf.DUMMYFUNCTION("""COMPUTED_VALUE"""),10000.0)</f>
        <v>10000</v>
      </c>
      <c r="H731" s="2">
        <f>IFERROR(__xludf.DUMMYFUNCTION("""COMPUTED_VALUE"""),2.25)</f>
        <v>2.25</v>
      </c>
      <c r="I731" s="2">
        <f>IFERROR(__xludf.DUMMYFUNCTION("""COMPUTED_VALUE"""),3.2)</f>
        <v>3.2</v>
      </c>
      <c r="J731" s="2">
        <f>IFERROR(__xludf.DUMMYFUNCTION("""COMPUTED_VALUE"""),0.9500000000000002)</f>
        <v>0.95</v>
      </c>
      <c r="K731" s="5">
        <f>IFERROR(__xludf.DUMMYFUNCTION("""COMPUTED_VALUE"""),0.4222222222222223)</f>
        <v>0.4222222222</v>
      </c>
      <c r="L731">
        <f>IFERROR(__xludf.DUMMYFUNCTION("""COMPUTED_VALUE"""),13662.0)</f>
        <v>13662</v>
      </c>
      <c r="M731" t="str">
        <f>IFERROR(__xludf.DUMMYFUNCTION("""COMPUTED_VALUE"""),"Health and Beauty")</f>
        <v>Health and Beauty</v>
      </c>
      <c r="O731" t="str">
        <f>IFERROR(__xludf.DUMMYFUNCTION("""COMPUTED_VALUE"""),"N")</f>
        <v>N</v>
      </c>
      <c r="P731" s="1" t="str">
        <f>IFERROR(__xludf.DUMMYFUNCTION("""COMPUTED_VALUE"""),"ID 13692")</f>
        <v>ID 13692</v>
      </c>
      <c r="Q731" s="1" t="str">
        <f>IFERROR(__xludf.DUMMYFUNCTION("""COMPUTED_VALUE"""),"B01GFLZ0WU")</f>
        <v>B01GFLZ0WU</v>
      </c>
    </row>
    <row r="732">
      <c r="A732" s="6">
        <f>IFERROR(__xludf.DUMMYFUNCTION("""COMPUTED_VALUE"""),45286.0)</f>
        <v>45286</v>
      </c>
      <c r="B732">
        <f>IFERROR(__xludf.DUMMYFUNCTION("""COMPUTED_VALUE"""),25787.0)</f>
        <v>25787</v>
      </c>
      <c r="C732" t="str">
        <f>IFERROR(__xludf.DUMMYFUNCTION("""COMPUTED_VALUE"""),"Casio fx-55 PLUS Elementary/Middle School Fraction Calculator")</f>
        <v>Casio fx-55 PLUS Elementary/Middle School Fraction Calculator</v>
      </c>
      <c r="D732" t="str">
        <f>IFERROR(__xludf.DUMMYFUNCTION("""COMPUTED_VALUE"""),"B007HJ3644")</f>
        <v>B007HJ3644</v>
      </c>
      <c r="E732" t="str">
        <f>IFERROR(__xludf.DUMMYFUNCTION("""COMPUTED_VALUE"""),"079767900854")</f>
        <v>079767900854</v>
      </c>
      <c r="F732">
        <f>IFERROR(__xludf.DUMMYFUNCTION("""COMPUTED_VALUE"""),100.0)</f>
        <v>100</v>
      </c>
      <c r="G732">
        <f>IFERROR(__xludf.DUMMYFUNCTION("""COMPUTED_VALUE"""),10000.0)</f>
        <v>10000</v>
      </c>
      <c r="H732" s="2">
        <f>IFERROR(__xludf.DUMMYFUNCTION("""COMPUTED_VALUE"""),12.25)</f>
        <v>12.25</v>
      </c>
      <c r="I732" s="2">
        <f>IFERROR(__xludf.DUMMYFUNCTION("""COMPUTED_VALUE"""),13.2)</f>
        <v>13.2</v>
      </c>
      <c r="J732" s="2">
        <f>IFERROR(__xludf.DUMMYFUNCTION("""COMPUTED_VALUE"""),0.9499999999999993)</f>
        <v>0.95</v>
      </c>
      <c r="K732" s="5">
        <f>IFERROR(__xludf.DUMMYFUNCTION("""COMPUTED_VALUE"""),0.07755102040816321)</f>
        <v>0.07755102041</v>
      </c>
      <c r="L732">
        <f>IFERROR(__xludf.DUMMYFUNCTION("""COMPUTED_VALUE"""),35760.0)</f>
        <v>35760</v>
      </c>
      <c r="M732" t="str">
        <f>IFERROR(__xludf.DUMMYFUNCTION("""COMPUTED_VALUE"""),"CE")</f>
        <v>CE</v>
      </c>
      <c r="O732" t="str">
        <f>IFERROR(__xludf.DUMMYFUNCTION("""COMPUTED_VALUE"""),"Y")</f>
        <v>Y</v>
      </c>
      <c r="P732" s="1" t="str">
        <f>IFERROR(__xludf.DUMMYFUNCTION("""COMPUTED_VALUE"""),"ID 25787")</f>
        <v>ID 25787</v>
      </c>
      <c r="Q732" s="1" t="str">
        <f>IFERROR(__xludf.DUMMYFUNCTION("""COMPUTED_VALUE"""),"B007HJ3644")</f>
        <v>B007HJ3644</v>
      </c>
    </row>
    <row r="733">
      <c r="A733" s="6">
        <f>IFERROR(__xludf.DUMMYFUNCTION("""COMPUTED_VALUE"""),44439.0)</f>
        <v>44439</v>
      </c>
      <c r="B733">
        <f>IFERROR(__xludf.DUMMYFUNCTION("""COMPUTED_VALUE"""),18542.0)</f>
        <v>18542</v>
      </c>
      <c r="C733" t="str">
        <f>IFERROR(__xludf.DUMMYFUNCTION("""COMPUTED_VALUE"""),"Mead Typing Paper, 8-1/2"" x 11"", Letter Size, White, 200 Sheets/Pack (39200)")</f>
        <v>Mead Typing Paper, 8-1/2" x 11", Letter Size, White, 200 Sheets/Pack (39200)</v>
      </c>
      <c r="D733" t="str">
        <f>IFERROR(__xludf.DUMMYFUNCTION("""COMPUTED_VALUE"""),"B001T8MAFK")</f>
        <v>B001T8MAFK</v>
      </c>
      <c r="E733" t="str">
        <f>IFERROR(__xludf.DUMMYFUNCTION("""COMPUTED_VALUE"""),"43100392002")</f>
        <v>43100392002</v>
      </c>
      <c r="F733">
        <f>IFERROR(__xludf.DUMMYFUNCTION("""COMPUTED_VALUE"""),816.0)</f>
        <v>816</v>
      </c>
      <c r="G733">
        <f>IFERROR(__xludf.DUMMYFUNCTION("""COMPUTED_VALUE"""),5000.0)</f>
        <v>5000</v>
      </c>
      <c r="H733" s="2">
        <f>IFERROR(__xludf.DUMMYFUNCTION("""COMPUTED_VALUE"""),3.0)</f>
        <v>3</v>
      </c>
      <c r="I733" s="2">
        <f>IFERROR(__xludf.DUMMYFUNCTION("""COMPUTED_VALUE"""),3.94)</f>
        <v>3.94</v>
      </c>
      <c r="J733" s="2">
        <f>IFERROR(__xludf.DUMMYFUNCTION("""COMPUTED_VALUE"""),0.94)</f>
        <v>0.94</v>
      </c>
      <c r="K733" s="5">
        <f>IFERROR(__xludf.DUMMYFUNCTION("""COMPUTED_VALUE"""),0.3133333333333333)</f>
        <v>0.3133333333</v>
      </c>
      <c r="L733">
        <f>IFERROR(__xludf.DUMMYFUNCTION("""COMPUTED_VALUE"""),74352.0)</f>
        <v>74352</v>
      </c>
      <c r="M733" t="str">
        <f>IFERROR(__xludf.DUMMYFUNCTION("""COMPUTED_VALUE"""),"Office Product")</f>
        <v>Office Product</v>
      </c>
      <c r="O733" t="str">
        <f>IFERROR(__xludf.DUMMYFUNCTION("""COMPUTED_VALUE"""),"N")</f>
        <v>N</v>
      </c>
      <c r="P733" s="1" t="str">
        <f>IFERROR(__xludf.DUMMYFUNCTION("""COMPUTED_VALUE"""),"ID 18542")</f>
        <v>ID 18542</v>
      </c>
      <c r="Q733" s="1" t="str">
        <f>IFERROR(__xludf.DUMMYFUNCTION("""COMPUTED_VALUE"""),"B001T8MAFK")</f>
        <v>B001T8MAFK</v>
      </c>
    </row>
    <row r="734">
      <c r="A734" s="6">
        <f>IFERROR(__xludf.DUMMYFUNCTION("""COMPUTED_VALUE"""),45383.0)</f>
        <v>45383</v>
      </c>
      <c r="B734">
        <f>IFERROR(__xludf.DUMMYFUNCTION("""COMPUTED_VALUE"""),21261.0)</f>
        <v>21261</v>
      </c>
      <c r="C734" t="str">
        <f>IFERROR(__xludf.DUMMYFUNCTION("""COMPUTED_VALUE"""),"Disney Infinity 2.0 Aladdin Figure (Xbox One/360/PS4/Nintendo Wii U/PS3)")</f>
        <v>Disney Infinity 2.0 Aladdin Figure (Xbox One/360/PS4/Nintendo Wii U/PS3)</v>
      </c>
      <c r="D734" t="str">
        <f>IFERROR(__xludf.DUMMYFUNCTION("""COMPUTED_VALUE"""),"B00M1JUBM0")</f>
        <v>B00M1JUBM0</v>
      </c>
      <c r="E734" t="str">
        <f>IFERROR(__xludf.DUMMYFUNCTION("""COMPUTED_VALUE"""),"8717418429867")</f>
        <v>8717418429867</v>
      </c>
      <c r="F734">
        <f>IFERROR(__xludf.DUMMYFUNCTION("""COMPUTED_VALUE"""),160.0)</f>
        <v>160</v>
      </c>
      <c r="G734">
        <f>IFERROR(__xludf.DUMMYFUNCTION("""COMPUTED_VALUE"""),10000.0)</f>
        <v>10000</v>
      </c>
      <c r="H734" s="2">
        <f>IFERROR(__xludf.DUMMYFUNCTION("""COMPUTED_VALUE"""),6.75)</f>
        <v>6.75</v>
      </c>
      <c r="I734" s="2">
        <f>IFERROR(__xludf.DUMMYFUNCTION("""COMPUTED_VALUE"""),7.69)</f>
        <v>7.69</v>
      </c>
      <c r="J734" s="2">
        <f>IFERROR(__xludf.DUMMYFUNCTION("""COMPUTED_VALUE"""),0.9400000000000004)</f>
        <v>0.94</v>
      </c>
      <c r="K734" s="5">
        <f>IFERROR(__xludf.DUMMYFUNCTION("""COMPUTED_VALUE"""),0.1392592592592593)</f>
        <v>0.1392592593</v>
      </c>
      <c r="L734">
        <f>IFERROR(__xludf.DUMMYFUNCTION("""COMPUTED_VALUE"""),77893.0)</f>
        <v>77893</v>
      </c>
      <c r="M734" t="str">
        <f>IFERROR(__xludf.DUMMYFUNCTION("""COMPUTED_VALUE"""),"Toy")</f>
        <v>Toy</v>
      </c>
      <c r="O734" t="str">
        <f>IFERROR(__xludf.DUMMYFUNCTION("""COMPUTED_VALUE"""),"N")</f>
        <v>N</v>
      </c>
      <c r="P734" s="1" t="str">
        <f>IFERROR(__xludf.DUMMYFUNCTION("""COMPUTED_VALUE"""),"ID 21261")</f>
        <v>ID 21261</v>
      </c>
      <c r="Q734" s="1" t="str">
        <f>IFERROR(__xludf.DUMMYFUNCTION("""COMPUTED_VALUE"""),"B00M1JUBM0")</f>
        <v>B00M1JUBM0</v>
      </c>
    </row>
    <row r="735">
      <c r="A735" s="6">
        <f>IFERROR(__xludf.DUMMYFUNCTION("""COMPUTED_VALUE"""),45357.0)</f>
        <v>45357</v>
      </c>
      <c r="B735">
        <f>IFERROR(__xludf.DUMMYFUNCTION("""COMPUTED_VALUE"""),22360.0)</f>
        <v>22360</v>
      </c>
      <c r="C735" t="str">
        <f>IFERROR(__xludf.DUMMYFUNCTION("""COMPUTED_VALUE"""),"PILOT Kakuno Fountain Pen, Clear Barrel, Fine Nib (10819)")</f>
        <v>PILOT Kakuno Fountain Pen, Clear Barrel, Fine Nib (10819)</v>
      </c>
      <c r="D735" t="str">
        <f>IFERROR(__xludf.DUMMYFUNCTION("""COMPUTED_VALUE"""),"B07KBNB66W")</f>
        <v>B07KBNB66W</v>
      </c>
      <c r="E735" t="str">
        <f>IFERROR(__xludf.DUMMYFUNCTION("""COMPUTED_VALUE"""),"072838108197")</f>
        <v>072838108197</v>
      </c>
      <c r="F735">
        <f>IFERROR(__xludf.DUMMYFUNCTION("""COMPUTED_VALUE"""),200.0)</f>
        <v>200</v>
      </c>
      <c r="G735">
        <f>IFERROR(__xludf.DUMMYFUNCTION("""COMPUTED_VALUE"""),10000.0)</f>
        <v>10000</v>
      </c>
      <c r="H735" s="2">
        <f>IFERROR(__xludf.DUMMYFUNCTION("""COMPUTED_VALUE"""),6.75)</f>
        <v>6.75</v>
      </c>
      <c r="I735" s="2">
        <f>IFERROR(__xludf.DUMMYFUNCTION("""COMPUTED_VALUE"""),7.69)</f>
        <v>7.69</v>
      </c>
      <c r="J735" s="2">
        <f>IFERROR(__xludf.DUMMYFUNCTION("""COMPUTED_VALUE"""),0.9400000000000004)</f>
        <v>0.94</v>
      </c>
      <c r="K735" s="5">
        <f>IFERROR(__xludf.DUMMYFUNCTION("""COMPUTED_VALUE"""),0.1392592592592593)</f>
        <v>0.1392592593</v>
      </c>
      <c r="L735">
        <f>IFERROR(__xludf.DUMMYFUNCTION("""COMPUTED_VALUE"""),38829.0)</f>
        <v>38829</v>
      </c>
      <c r="M735" t="str">
        <f>IFERROR(__xludf.DUMMYFUNCTION("""COMPUTED_VALUE"""),"Office Product")</f>
        <v>Office Product</v>
      </c>
      <c r="O735" t="str">
        <f>IFERROR(__xludf.DUMMYFUNCTION("""COMPUTED_VALUE"""),"Y")</f>
        <v>Y</v>
      </c>
      <c r="P735" s="1" t="str">
        <f>IFERROR(__xludf.DUMMYFUNCTION("""COMPUTED_VALUE"""),"ID 22360")</f>
        <v>ID 22360</v>
      </c>
      <c r="Q735" s="1" t="str">
        <f>IFERROR(__xludf.DUMMYFUNCTION("""COMPUTED_VALUE"""),"B07KBNB66W")</f>
        <v>B07KBNB66W</v>
      </c>
    </row>
    <row r="736">
      <c r="A736" s="6">
        <f>IFERROR(__xludf.DUMMYFUNCTION("""COMPUTED_VALUE"""),44941.0)</f>
        <v>44941</v>
      </c>
      <c r="B736">
        <f>IFERROR(__xludf.DUMMYFUNCTION("""COMPUTED_VALUE"""),24620.0)</f>
        <v>24620</v>
      </c>
      <c r="C736" t="str">
        <f>IFERROR(__xludf.DUMMYFUNCTION("""COMPUTED_VALUE"""),"Parker Jotter C.C. pen")</f>
        <v>Parker Jotter C.C. pen</v>
      </c>
      <c r="D736" t="str">
        <f>IFERROR(__xludf.DUMMYFUNCTION("""COMPUTED_VALUE"""),"B07JLRJWJF")</f>
        <v>B07JLRJWJF</v>
      </c>
      <c r="E736" t="str">
        <f>IFERROR(__xludf.DUMMYFUNCTION("""COMPUTED_VALUE"""),"3026980760526")</f>
        <v>3026980760526</v>
      </c>
      <c r="F736">
        <f>IFERROR(__xludf.DUMMYFUNCTION("""COMPUTED_VALUE"""),618.0)</f>
        <v>618</v>
      </c>
      <c r="G736">
        <f>IFERROR(__xludf.DUMMYFUNCTION("""COMPUTED_VALUE"""),1000.0)</f>
        <v>1000</v>
      </c>
      <c r="H736" s="2">
        <f>IFERROR(__xludf.DUMMYFUNCTION("""COMPUTED_VALUE"""),5.0)</f>
        <v>5</v>
      </c>
      <c r="I736" s="2">
        <f>IFERROR(__xludf.DUMMYFUNCTION("""COMPUTED_VALUE"""),5.94)</f>
        <v>5.94</v>
      </c>
      <c r="J736" s="2">
        <f>IFERROR(__xludf.DUMMYFUNCTION("""COMPUTED_VALUE"""),0.9400000000000004)</f>
        <v>0.94</v>
      </c>
      <c r="K736" s="5">
        <f>IFERROR(__xludf.DUMMYFUNCTION("""COMPUTED_VALUE"""),0.18800000000000008)</f>
        <v>0.188</v>
      </c>
      <c r="L736">
        <f>IFERROR(__xludf.DUMMYFUNCTION("""COMPUTED_VALUE"""),57053.0)</f>
        <v>57053</v>
      </c>
      <c r="M736" t="str">
        <f>IFERROR(__xludf.DUMMYFUNCTION("""COMPUTED_VALUE"""),"Office Product")</f>
        <v>Office Product</v>
      </c>
      <c r="O736" t="str">
        <f>IFERROR(__xludf.DUMMYFUNCTION("""COMPUTED_VALUE"""),"N")</f>
        <v>N</v>
      </c>
      <c r="P736" s="1" t="str">
        <f>IFERROR(__xludf.DUMMYFUNCTION("""COMPUTED_VALUE"""),"ID 24620")</f>
        <v>ID 24620</v>
      </c>
      <c r="Q736" s="1" t="str">
        <f>IFERROR(__xludf.DUMMYFUNCTION("""COMPUTED_VALUE"""),"B07JLRJWJF")</f>
        <v>B07JLRJWJF</v>
      </c>
    </row>
    <row r="737">
      <c r="A737" s="6">
        <f>IFERROR(__xludf.DUMMYFUNCTION("""COMPUTED_VALUE"""),45034.0)</f>
        <v>45034</v>
      </c>
      <c r="B737">
        <f>IFERROR(__xludf.DUMMYFUNCTION("""COMPUTED_VALUE"""),24779.0)</f>
        <v>24779</v>
      </c>
      <c r="C737" t="str">
        <f>IFERROR(__xludf.DUMMYFUNCTION("""COMPUTED_VALUE"""),"Duck Smooth Top EasyLiner, 20-inch x 6 Feet, Midnight Bloom")</f>
        <v>Duck Smooth Top EasyLiner, 20-inch x 6 Feet, Midnight Bloom</v>
      </c>
      <c r="D737" t="str">
        <f>IFERROR(__xludf.DUMMYFUNCTION("""COMPUTED_VALUE"""),"B00C2LMO8Q")</f>
        <v>B00C2LMO8Q</v>
      </c>
      <c r="E737" t="str">
        <f>IFERROR(__xludf.DUMMYFUNCTION("""COMPUTED_VALUE"""),"75353023679")</f>
        <v>75353023679</v>
      </c>
      <c r="F737">
        <f>IFERROR(__xludf.DUMMYFUNCTION("""COMPUTED_VALUE"""),168.0)</f>
        <v>168</v>
      </c>
      <c r="G737">
        <f>IFERROR(__xludf.DUMMYFUNCTION("""COMPUTED_VALUE"""),10000.0)</f>
        <v>10000</v>
      </c>
      <c r="H737" s="2">
        <f>IFERROR(__xludf.DUMMYFUNCTION("""COMPUTED_VALUE"""),7.25)</f>
        <v>7.25</v>
      </c>
      <c r="I737" s="2">
        <f>IFERROR(__xludf.DUMMYFUNCTION("""COMPUTED_VALUE"""),8.19)</f>
        <v>8.19</v>
      </c>
      <c r="J737" s="2">
        <f>IFERROR(__xludf.DUMMYFUNCTION("""COMPUTED_VALUE"""),0.9399999999999995)</f>
        <v>0.94</v>
      </c>
      <c r="K737" s="5">
        <f>IFERROR(__xludf.DUMMYFUNCTION("""COMPUTED_VALUE"""),0.12965517241379304)</f>
        <v>0.1296551724</v>
      </c>
      <c r="L737">
        <f>IFERROR(__xludf.DUMMYFUNCTION("""COMPUTED_VALUE"""),43133.0)</f>
        <v>43133</v>
      </c>
      <c r="M737" t="str">
        <f>IFERROR(__xludf.DUMMYFUNCTION("""COMPUTED_VALUE"""),"Home")</f>
        <v>Home</v>
      </c>
      <c r="O737" t="str">
        <f>IFERROR(__xludf.DUMMYFUNCTION("""COMPUTED_VALUE"""),"N")</f>
        <v>N</v>
      </c>
      <c r="P737" s="1" t="str">
        <f>IFERROR(__xludf.DUMMYFUNCTION("""COMPUTED_VALUE"""),"ID 24779")</f>
        <v>ID 24779</v>
      </c>
      <c r="Q737" s="1" t="str">
        <f>IFERROR(__xludf.DUMMYFUNCTION("""COMPUTED_VALUE"""),"B00C2LMO8Q")</f>
        <v>B00C2LMO8Q</v>
      </c>
    </row>
    <row r="738">
      <c r="A738" s="6">
        <f>IFERROR(__xludf.DUMMYFUNCTION("""COMPUTED_VALUE"""),45362.0)</f>
        <v>45362</v>
      </c>
      <c r="B738">
        <f>IFERROR(__xludf.DUMMYFUNCTION("""COMPUTED_VALUE"""),26042.0)</f>
        <v>26042</v>
      </c>
      <c r="C738" t="str">
        <f>IFERROR(__xludf.DUMMYFUNCTION("""COMPUTED_VALUE"""),"Werther's Original Sugar Free Hard Candies 1.46 Oz (3 Pack)")</f>
        <v>Werther's Original Sugar Free Hard Candies 1.46 Oz (3 Pack)</v>
      </c>
      <c r="D738" t="str">
        <f>IFERROR(__xludf.DUMMYFUNCTION("""COMPUTED_VALUE"""),"B00J1B0UFO")</f>
        <v>B00J1B0UFO</v>
      </c>
      <c r="E738" t="str">
        <f>IFERROR(__xludf.DUMMYFUNCTION("""COMPUTED_VALUE"""),"072799035501")</f>
        <v>072799035501</v>
      </c>
      <c r="F738">
        <f>IFERROR(__xludf.DUMMYFUNCTION("""COMPUTED_VALUE"""),372.0)</f>
        <v>372</v>
      </c>
      <c r="G738">
        <f>IFERROR(__xludf.DUMMYFUNCTION("""COMPUTED_VALUE"""),1596.0)</f>
        <v>1596</v>
      </c>
      <c r="H738" s="2">
        <f>IFERROR(__xludf.DUMMYFUNCTION("""COMPUTED_VALUE"""),3.25)</f>
        <v>3.25</v>
      </c>
      <c r="I738" s="2">
        <f>IFERROR(__xludf.DUMMYFUNCTION("""COMPUTED_VALUE"""),4.19)</f>
        <v>4.19</v>
      </c>
      <c r="J738" s="2">
        <f>IFERROR(__xludf.DUMMYFUNCTION("""COMPUTED_VALUE"""),0.9400000000000004)</f>
        <v>0.94</v>
      </c>
      <c r="K738" s="5">
        <f>IFERROR(__xludf.DUMMYFUNCTION("""COMPUTED_VALUE"""),0.28923076923076935)</f>
        <v>0.2892307692</v>
      </c>
      <c r="L738">
        <f>IFERROR(__xludf.DUMMYFUNCTION("""COMPUTED_VALUE"""),949.0)</f>
        <v>949</v>
      </c>
      <c r="M738" t="str">
        <f>IFERROR(__xludf.DUMMYFUNCTION("""COMPUTED_VALUE"""),"BISS Basic")</f>
        <v>BISS Basic</v>
      </c>
      <c r="N738" t="str">
        <f>IFERROR(__xludf.DUMMYFUNCTION("""COMPUTED_VALUE"""),"UOM: 3 single units. Bundling &amp; other prep buyers responsibility")</f>
        <v>UOM: 3 single units. Bundling &amp; other prep buyers responsibility</v>
      </c>
      <c r="O738" t="str">
        <f>IFERROR(__xludf.DUMMYFUNCTION("""COMPUTED_VALUE"""),"N")</f>
        <v>N</v>
      </c>
      <c r="P738" s="1" t="str">
        <f>IFERROR(__xludf.DUMMYFUNCTION("""COMPUTED_VALUE"""),"ID 26042")</f>
        <v>ID 26042</v>
      </c>
      <c r="Q738" s="1" t="str">
        <f>IFERROR(__xludf.DUMMYFUNCTION("""COMPUTED_VALUE"""),"B00J1B0UFO")</f>
        <v>B00J1B0UFO</v>
      </c>
    </row>
    <row r="739">
      <c r="A739" s="6">
        <f>IFERROR(__xludf.DUMMYFUNCTION("""COMPUTED_VALUE"""),43994.0)</f>
        <v>43994</v>
      </c>
      <c r="B739">
        <f>IFERROR(__xludf.DUMMYFUNCTION("""COMPUTED_VALUE"""),15026.0)</f>
        <v>15026</v>
      </c>
      <c r="C739" t="str">
        <f>IFERROR(__xludf.DUMMYFUNCTION("""COMPUTED_VALUE"""),"Revlon Balm Stain, Mystic Magenta, 0.095 Ounce")</f>
        <v>Revlon Balm Stain, Mystic Magenta, 0.095 Ounce</v>
      </c>
      <c r="D739" t="str">
        <f>IFERROR(__xludf.DUMMYFUNCTION("""COMPUTED_VALUE"""),"B07B4N1WDD")</f>
        <v>B07B4N1WDD</v>
      </c>
      <c r="E739" t="str">
        <f>IFERROR(__xludf.DUMMYFUNCTION("""COMPUTED_VALUE"""),"309978259855")</f>
        <v>309978259855</v>
      </c>
      <c r="F739">
        <f>IFERROR(__xludf.DUMMYFUNCTION("""COMPUTED_VALUE"""),720.0)</f>
        <v>720</v>
      </c>
      <c r="G739">
        <f>IFERROR(__xludf.DUMMYFUNCTION("""COMPUTED_VALUE"""),1440.0)</f>
        <v>1440</v>
      </c>
      <c r="H739" s="2">
        <f>IFERROR(__xludf.DUMMYFUNCTION("""COMPUTED_VALUE"""),1.75)</f>
        <v>1.75</v>
      </c>
      <c r="I739" s="2">
        <f>IFERROR(__xludf.DUMMYFUNCTION("""COMPUTED_VALUE"""),2.68)</f>
        <v>2.68</v>
      </c>
      <c r="J739" s="2">
        <f>IFERROR(__xludf.DUMMYFUNCTION("""COMPUTED_VALUE"""),0.9300000000000002)</f>
        <v>0.93</v>
      </c>
      <c r="K739" s="5">
        <f>IFERROR(__xludf.DUMMYFUNCTION("""COMPUTED_VALUE"""),0.5314285714285715)</f>
        <v>0.5314285714</v>
      </c>
      <c r="L739">
        <f>IFERROR(__xludf.DUMMYFUNCTION("""COMPUTED_VALUE"""),95293.0)</f>
        <v>95293</v>
      </c>
      <c r="M739" t="str">
        <f>IFERROR(__xludf.DUMMYFUNCTION("""COMPUTED_VALUE"""),"Beauty")</f>
        <v>Beauty</v>
      </c>
      <c r="O739" t="str">
        <f>IFERROR(__xludf.DUMMYFUNCTION("""COMPUTED_VALUE"""),"Y")</f>
        <v>Y</v>
      </c>
      <c r="P739" s="1" t="str">
        <f>IFERROR(__xludf.DUMMYFUNCTION("""COMPUTED_VALUE"""),"ID 15026")</f>
        <v>ID 15026</v>
      </c>
      <c r="Q739" s="1" t="str">
        <f>IFERROR(__xludf.DUMMYFUNCTION("""COMPUTED_VALUE"""),"B07B4N1WDD")</f>
        <v>B07B4N1WDD</v>
      </c>
    </row>
    <row r="740">
      <c r="A740" s="6">
        <f>IFERROR(__xludf.DUMMYFUNCTION("""COMPUTED_VALUE"""),45357.0)</f>
        <v>45357</v>
      </c>
      <c r="B740">
        <f>IFERROR(__xludf.DUMMYFUNCTION("""COMPUTED_VALUE"""),22325.0)</f>
        <v>22325</v>
      </c>
      <c r="C740" t="str">
        <f>IFERROR(__xludf.DUMMYFUNCTION("""COMPUTED_VALUE"""),"PILOT B2P Colors - Bottle to Pen Refillable &amp; Retractable Rolling Ball Gel Pen Made From Recycled Bottles, Fine Point, Assorted Color G2 Inks, 2-Pack (36622)")</f>
        <v>PILOT B2P Colors - Bottle to Pen Refillable &amp; Retractable Rolling Ball Gel Pen Made From Recycled Bottles, Fine Point, Assorted Color G2 Inks, 2-Pack (36622)</v>
      </c>
      <c r="D740" t="str">
        <f>IFERROR(__xludf.DUMMYFUNCTION("""COMPUTED_VALUE"""),"B00FACLR5U")</f>
        <v>B00FACLR5U</v>
      </c>
      <c r="E740" t="str">
        <f>IFERROR(__xludf.DUMMYFUNCTION("""COMPUTED_VALUE"""),"072838366221")</f>
        <v>072838366221</v>
      </c>
      <c r="F740">
        <f>IFERROR(__xludf.DUMMYFUNCTION("""COMPUTED_VALUE"""),528.0)</f>
        <v>528</v>
      </c>
      <c r="G740">
        <f>IFERROR(__xludf.DUMMYFUNCTION("""COMPUTED_VALUE"""),10000.0)</f>
        <v>10000</v>
      </c>
      <c r="H740" s="2">
        <f>IFERROR(__xludf.DUMMYFUNCTION("""COMPUTED_VALUE"""),2.5)</f>
        <v>2.5</v>
      </c>
      <c r="I740" s="2">
        <f>IFERROR(__xludf.DUMMYFUNCTION("""COMPUTED_VALUE"""),3.43)</f>
        <v>3.43</v>
      </c>
      <c r="J740" s="2">
        <f>IFERROR(__xludf.DUMMYFUNCTION("""COMPUTED_VALUE"""),0.9300000000000002)</f>
        <v>0.93</v>
      </c>
      <c r="K740" s="5">
        <f>IFERROR(__xludf.DUMMYFUNCTION("""COMPUTED_VALUE"""),0.37200000000000005)</f>
        <v>0.372</v>
      </c>
      <c r="L740">
        <f>IFERROR(__xludf.DUMMYFUNCTION("""COMPUTED_VALUE"""),9856.0)</f>
        <v>9856</v>
      </c>
      <c r="M740" t="str">
        <f>IFERROR(__xludf.DUMMYFUNCTION("""COMPUTED_VALUE"""),"Office Product")</f>
        <v>Office Product</v>
      </c>
      <c r="O740" t="str">
        <f>IFERROR(__xludf.DUMMYFUNCTION("""COMPUTED_VALUE"""),"N")</f>
        <v>N</v>
      </c>
      <c r="P740" s="1" t="str">
        <f>IFERROR(__xludf.DUMMYFUNCTION("""COMPUTED_VALUE"""),"ID 22325")</f>
        <v>ID 22325</v>
      </c>
      <c r="Q740" s="1" t="str">
        <f>IFERROR(__xludf.DUMMYFUNCTION("""COMPUTED_VALUE"""),"B00FACLR5U")</f>
        <v>B00FACLR5U</v>
      </c>
    </row>
    <row r="741">
      <c r="A741" s="6">
        <f>IFERROR(__xludf.DUMMYFUNCTION("""COMPUTED_VALUE"""),45103.0)</f>
        <v>45103</v>
      </c>
      <c r="B741">
        <f>IFERROR(__xludf.DUMMYFUNCTION("""COMPUTED_VALUE"""),23327.0)</f>
        <v>23327</v>
      </c>
      <c r="C741" t="str">
        <f>IFERROR(__xludf.DUMMYFUNCTION("""COMPUTED_VALUE"""),"Sony MDRE9LP/WHI Earbud Headphones")</f>
        <v>Sony MDRE9LP/WHI Earbud Headphones</v>
      </c>
      <c r="D741" t="str">
        <f>IFERROR(__xludf.DUMMYFUNCTION("""COMPUTED_VALUE"""),"B004RE3YQW")</f>
        <v>B004RE3YQW</v>
      </c>
      <c r="F741">
        <f>IFERROR(__xludf.DUMMYFUNCTION("""COMPUTED_VALUE"""),400.0)</f>
        <v>400</v>
      </c>
      <c r="G741">
        <f>IFERROR(__xludf.DUMMYFUNCTION("""COMPUTED_VALUE"""),4165.0)</f>
        <v>4165</v>
      </c>
      <c r="H741" s="2">
        <f>IFERROR(__xludf.DUMMYFUNCTION("""COMPUTED_VALUE"""),4.5)</f>
        <v>4.5</v>
      </c>
      <c r="I741" s="2">
        <f>IFERROR(__xludf.DUMMYFUNCTION("""COMPUTED_VALUE"""),5.43)</f>
        <v>5.43</v>
      </c>
      <c r="J741" s="2">
        <f>IFERROR(__xludf.DUMMYFUNCTION("""COMPUTED_VALUE"""),0.9299999999999997)</f>
        <v>0.93</v>
      </c>
      <c r="K741" s="5">
        <f>IFERROR(__xludf.DUMMYFUNCTION("""COMPUTED_VALUE"""),0.2066666666666666)</f>
        <v>0.2066666667</v>
      </c>
      <c r="L741">
        <f>IFERROR(__xludf.DUMMYFUNCTION("""COMPUTED_VALUE"""),63205.0)</f>
        <v>63205</v>
      </c>
      <c r="M741" t="str">
        <f>IFERROR(__xludf.DUMMYFUNCTION("""COMPUTED_VALUE"""),"Speakers")</f>
        <v>Speakers</v>
      </c>
      <c r="O741" t="str">
        <f>IFERROR(__xludf.DUMMYFUNCTION("""COMPUTED_VALUE"""),"N")</f>
        <v>N</v>
      </c>
      <c r="P741" s="1" t="str">
        <f>IFERROR(__xludf.DUMMYFUNCTION("""COMPUTED_VALUE"""),"ID 23327")</f>
        <v>ID 23327</v>
      </c>
      <c r="Q741" s="1" t="str">
        <f>IFERROR(__xludf.DUMMYFUNCTION("""COMPUTED_VALUE"""),"B004RE3YQW")</f>
        <v>B004RE3YQW</v>
      </c>
    </row>
    <row r="742">
      <c r="A742" s="6">
        <f>IFERROR(__xludf.DUMMYFUNCTION("""COMPUTED_VALUE"""),44941.0)</f>
        <v>44941</v>
      </c>
      <c r="B742">
        <f>IFERROR(__xludf.DUMMYFUNCTION("""COMPUTED_VALUE"""),24596.0)</f>
        <v>24596</v>
      </c>
      <c r="C742" t="str">
        <f>IFERROR(__xludf.DUMMYFUNCTION("""COMPUTED_VALUE"""),"Parker Jotter Originals Fountain Pen, Classic Red Finish, Medium Nib, Blue &amp; Black Ink")</f>
        <v>Parker Jotter Originals Fountain Pen, Classic Red Finish, Medium Nib, Blue &amp; Black Ink</v>
      </c>
      <c r="D742" t="str">
        <f>IFERROR(__xludf.DUMMYFUNCTION("""COMPUTED_VALUE"""),"B07TZ4Y28L")</f>
        <v>B07TZ4Y28L</v>
      </c>
      <c r="E742" t="str">
        <f>IFERROR(__xludf.DUMMYFUNCTION("""COMPUTED_VALUE"""),"3026980968724")</f>
        <v>3026980968724</v>
      </c>
      <c r="F742">
        <f>IFERROR(__xludf.DUMMYFUNCTION("""COMPUTED_VALUE"""),348.0)</f>
        <v>348</v>
      </c>
      <c r="G742">
        <f>IFERROR(__xludf.DUMMYFUNCTION("""COMPUTED_VALUE"""),1000.0)</f>
        <v>1000</v>
      </c>
      <c r="H742" s="2">
        <f>IFERROR(__xludf.DUMMYFUNCTION("""COMPUTED_VALUE"""),8.75)</f>
        <v>8.75</v>
      </c>
      <c r="I742" s="2">
        <f>IFERROR(__xludf.DUMMYFUNCTION("""COMPUTED_VALUE"""),9.68)</f>
        <v>9.68</v>
      </c>
      <c r="J742" s="2">
        <f>IFERROR(__xludf.DUMMYFUNCTION("""COMPUTED_VALUE"""),0.9299999999999997)</f>
        <v>0.93</v>
      </c>
      <c r="K742" s="5">
        <f>IFERROR(__xludf.DUMMYFUNCTION("""COMPUTED_VALUE"""),0.10628571428571425)</f>
        <v>0.1062857143</v>
      </c>
      <c r="L742">
        <f>IFERROR(__xludf.DUMMYFUNCTION("""COMPUTED_VALUE"""),41044.0)</f>
        <v>41044</v>
      </c>
      <c r="M742" t="str">
        <f>IFERROR(__xludf.DUMMYFUNCTION("""COMPUTED_VALUE"""),"Office Product")</f>
        <v>Office Product</v>
      </c>
      <c r="O742" t="str">
        <f>IFERROR(__xludf.DUMMYFUNCTION("""COMPUTED_VALUE"""),"N")</f>
        <v>N</v>
      </c>
      <c r="P742" s="1" t="str">
        <f>IFERROR(__xludf.DUMMYFUNCTION("""COMPUTED_VALUE"""),"ID 24596")</f>
        <v>ID 24596</v>
      </c>
      <c r="Q742" s="1" t="str">
        <f>IFERROR(__xludf.DUMMYFUNCTION("""COMPUTED_VALUE"""),"B07TZ4Y28L")</f>
        <v>B07TZ4Y28L</v>
      </c>
    </row>
    <row r="743">
      <c r="A743" s="6">
        <f>IFERROR(__xludf.DUMMYFUNCTION("""COMPUTED_VALUE"""),45362.0)</f>
        <v>45362</v>
      </c>
      <c r="B743">
        <f>IFERROR(__xludf.DUMMYFUNCTION("""COMPUTED_VALUE"""),19664.0)</f>
        <v>19664</v>
      </c>
      <c r="C743" t="str">
        <f>IFERROR(__xludf.DUMMYFUNCTION("""COMPUTED_VALUE"""),"RSVP Mini Ballpoint Pen, (1.0mm) Medium Line, Assorted Ink (A/B/C/D/F/P/S/V) w/Key Ring, 8-Pk (BK91MNBP8M)")</f>
        <v>RSVP Mini Ballpoint Pen, (1.0mm) Medium Line, Assorted Ink (A/B/C/D/F/P/S/V) w/Key Ring, 8-Pk (BK91MNBP8M)</v>
      </c>
      <c r="D743" t="str">
        <f>IFERROR(__xludf.DUMMYFUNCTION("""COMPUTED_VALUE"""),"B001PMK37C")</f>
        <v>B001PMK37C</v>
      </c>
      <c r="E743" t="str">
        <f>IFERROR(__xludf.DUMMYFUNCTION("""COMPUTED_VALUE"""),"072512225714")</f>
        <v>072512225714</v>
      </c>
      <c r="F743">
        <f>IFERROR(__xludf.DUMMYFUNCTION("""COMPUTED_VALUE"""),288.0)</f>
        <v>288</v>
      </c>
      <c r="G743">
        <f>IFERROR(__xludf.DUMMYFUNCTION("""COMPUTED_VALUE"""),10000.0)</f>
        <v>10000</v>
      </c>
      <c r="H743" s="2">
        <f>IFERROR(__xludf.DUMMYFUNCTION("""COMPUTED_VALUE"""),4.25)</f>
        <v>4.25</v>
      </c>
      <c r="I743" s="2">
        <f>IFERROR(__xludf.DUMMYFUNCTION("""COMPUTED_VALUE"""),5.17)</f>
        <v>5.17</v>
      </c>
      <c r="J743" s="2">
        <f>IFERROR(__xludf.DUMMYFUNCTION("""COMPUTED_VALUE"""),0.9199999999999999)</f>
        <v>0.92</v>
      </c>
      <c r="K743" s="5">
        <f>IFERROR(__xludf.DUMMYFUNCTION("""COMPUTED_VALUE"""),0.2164705882352941)</f>
        <v>0.2164705882</v>
      </c>
      <c r="L743">
        <f>IFERROR(__xludf.DUMMYFUNCTION("""COMPUTED_VALUE"""),5821.0)</f>
        <v>5821</v>
      </c>
      <c r="M743" t="str">
        <f>IFERROR(__xludf.DUMMYFUNCTION("""COMPUTED_VALUE"""),"Office Product")</f>
        <v>Office Product</v>
      </c>
      <c r="O743" t="str">
        <f>IFERROR(__xludf.DUMMYFUNCTION("""COMPUTED_VALUE"""),"Y")</f>
        <v>Y</v>
      </c>
      <c r="P743" s="1" t="str">
        <f>IFERROR(__xludf.DUMMYFUNCTION("""COMPUTED_VALUE"""),"ID 19664")</f>
        <v>ID 19664</v>
      </c>
      <c r="Q743" s="1" t="str">
        <f>IFERROR(__xludf.DUMMYFUNCTION("""COMPUTED_VALUE"""),"B001PMK37C")</f>
        <v>B001PMK37C</v>
      </c>
    </row>
    <row r="744">
      <c r="A744" s="6">
        <f>IFERROR(__xludf.DUMMYFUNCTION("""COMPUTED_VALUE"""),45390.0)</f>
        <v>45390</v>
      </c>
      <c r="B744">
        <f>IFERROR(__xludf.DUMMYFUNCTION("""COMPUTED_VALUE"""),19797.0)</f>
        <v>19797</v>
      </c>
      <c r="C744" t="str">
        <f>IFERROR(__xludf.DUMMYFUNCTION("""COMPUTED_VALUE"""),"Chef Craft Classic Cupcake Liners, 50 count, Grey")</f>
        <v>Chef Craft Classic Cupcake Liners, 50 count, Grey</v>
      </c>
      <c r="D744" t="str">
        <f>IFERROR(__xludf.DUMMYFUNCTION("""COMPUTED_VALUE"""),"B07F67QYJT")</f>
        <v>B07F67QYJT</v>
      </c>
      <c r="E744" t="str">
        <f>IFERROR(__xludf.DUMMYFUNCTION("""COMPUTED_VALUE"""),"085455218668")</f>
        <v>085455218668</v>
      </c>
      <c r="F744">
        <f>IFERROR(__xludf.DUMMYFUNCTION("""COMPUTED_VALUE"""),576.0)</f>
        <v>576</v>
      </c>
      <c r="G744">
        <f>IFERROR(__xludf.DUMMYFUNCTION("""COMPUTED_VALUE"""),10000.0)</f>
        <v>10000</v>
      </c>
      <c r="H744" s="2">
        <f>IFERROR(__xludf.DUMMYFUNCTION("""COMPUTED_VALUE"""),1.25)</f>
        <v>1.25</v>
      </c>
      <c r="I744" s="2">
        <f>IFERROR(__xludf.DUMMYFUNCTION("""COMPUTED_VALUE"""),2.17)</f>
        <v>2.17</v>
      </c>
      <c r="J744" s="2">
        <f>IFERROR(__xludf.DUMMYFUNCTION("""COMPUTED_VALUE"""),0.9199999999999999)</f>
        <v>0.92</v>
      </c>
      <c r="K744" s="5">
        <f>IFERROR(__xludf.DUMMYFUNCTION("""COMPUTED_VALUE"""),0.736)</f>
        <v>0.736</v>
      </c>
      <c r="L744">
        <f>IFERROR(__xludf.DUMMYFUNCTION("""COMPUTED_VALUE"""),46345.0)</f>
        <v>46345</v>
      </c>
      <c r="M744" t="str">
        <f>IFERROR(__xludf.DUMMYFUNCTION("""COMPUTED_VALUE"""),"Kitchen")</f>
        <v>Kitchen</v>
      </c>
      <c r="O744" t="str">
        <f>IFERROR(__xludf.DUMMYFUNCTION("""COMPUTED_VALUE"""),"Y")</f>
        <v>Y</v>
      </c>
      <c r="P744" s="1" t="str">
        <f>IFERROR(__xludf.DUMMYFUNCTION("""COMPUTED_VALUE"""),"ID 19797")</f>
        <v>ID 19797</v>
      </c>
      <c r="Q744" s="1" t="str">
        <f>IFERROR(__xludf.DUMMYFUNCTION("""COMPUTED_VALUE"""),"B07F67QYJT")</f>
        <v>B07F67QYJT</v>
      </c>
    </row>
    <row r="745">
      <c r="A745" s="6">
        <f>IFERROR(__xludf.DUMMYFUNCTION("""COMPUTED_VALUE"""),45251.0)</f>
        <v>45251</v>
      </c>
      <c r="B745">
        <f>IFERROR(__xludf.DUMMYFUNCTION("""COMPUTED_VALUE"""),22909.0)</f>
        <v>22909</v>
      </c>
      <c r="C745" t="str">
        <f>IFERROR(__xludf.DUMMYFUNCTION("""COMPUTED_VALUE"""),"Filofax Notebooks A5 Ruled Journal Refill, Movable, 8 1/4 x 5 13/16 inches, 32 Cream Sheets Fits Filofax Refillable A5 (B152008U)")</f>
        <v>Filofax Notebooks A5 Ruled Journal Refill, Movable, 8 1/4 x 5 13/16 inches, 32 Cream Sheets Fits Filofax Refillable A5 (B152008U)</v>
      </c>
      <c r="D745" t="str">
        <f>IFERROR(__xludf.DUMMYFUNCTION("""COMPUTED_VALUE"""),"B00X2NP1QK")</f>
        <v>B00X2NP1QK</v>
      </c>
      <c r="E745" t="str">
        <f>IFERROR(__xludf.DUMMYFUNCTION("""COMPUTED_VALUE"""),"757286601246")</f>
        <v>757286601246</v>
      </c>
      <c r="F745">
        <f>IFERROR(__xludf.DUMMYFUNCTION("""COMPUTED_VALUE"""),420.0)</f>
        <v>420</v>
      </c>
      <c r="G745">
        <f>IFERROR(__xludf.DUMMYFUNCTION("""COMPUTED_VALUE"""),10000.0)</f>
        <v>10000</v>
      </c>
      <c r="H745" s="2">
        <f>IFERROR(__xludf.DUMMYFUNCTION("""COMPUTED_VALUE"""),3.0)</f>
        <v>3</v>
      </c>
      <c r="I745" s="2">
        <f>IFERROR(__xludf.DUMMYFUNCTION("""COMPUTED_VALUE"""),3.92)</f>
        <v>3.92</v>
      </c>
      <c r="J745" s="2">
        <f>IFERROR(__xludf.DUMMYFUNCTION("""COMPUTED_VALUE"""),0.9199999999999999)</f>
        <v>0.92</v>
      </c>
      <c r="K745" s="5">
        <f>IFERROR(__xludf.DUMMYFUNCTION("""COMPUTED_VALUE"""),0.30666666666666664)</f>
        <v>0.3066666667</v>
      </c>
      <c r="L745">
        <f>IFERROR(__xludf.DUMMYFUNCTION("""COMPUTED_VALUE"""),28958.0)</f>
        <v>28958</v>
      </c>
      <c r="M745" t="str">
        <f>IFERROR(__xludf.DUMMYFUNCTION("""COMPUTED_VALUE"""),"Office Product")</f>
        <v>Office Product</v>
      </c>
      <c r="O745" t="str">
        <f>IFERROR(__xludf.DUMMYFUNCTION("""COMPUTED_VALUE"""),"N")</f>
        <v>N</v>
      </c>
      <c r="P745" s="1" t="str">
        <f>IFERROR(__xludf.DUMMYFUNCTION("""COMPUTED_VALUE"""),"ID 22909")</f>
        <v>ID 22909</v>
      </c>
      <c r="Q745" s="1" t="str">
        <f>IFERROR(__xludf.DUMMYFUNCTION("""COMPUTED_VALUE"""),"B00X2NP1QK")</f>
        <v>B00X2NP1QK</v>
      </c>
    </row>
    <row r="746">
      <c r="A746" s="6">
        <f>IFERROR(__xludf.DUMMYFUNCTION("""COMPUTED_VALUE"""),45113.0)</f>
        <v>45113</v>
      </c>
      <c r="B746">
        <f>IFERROR(__xludf.DUMMYFUNCTION("""COMPUTED_VALUE"""),24599.0)</f>
        <v>24599</v>
      </c>
      <c r="C746" t="str">
        <f>IFERROR(__xludf.DUMMYFUNCTION("""COMPUTED_VALUE"""),"Sharpie Permanent Markers, Ultra Fine Point, Assorted Colors, 5 Count")</f>
        <v>Sharpie Permanent Markers, Ultra Fine Point, Assorted Colors, 5 Count</v>
      </c>
      <c r="D746" t="str">
        <f>IFERROR(__xludf.DUMMYFUNCTION("""COMPUTED_VALUE"""),"B00006IFI8")</f>
        <v>B00006IFI8</v>
      </c>
      <c r="E746" t="str">
        <f>IFERROR(__xludf.DUMMYFUNCTION("""COMPUTED_VALUE"""),"71641376755")</f>
        <v>71641376755</v>
      </c>
      <c r="F746">
        <f>IFERROR(__xludf.DUMMYFUNCTION("""COMPUTED_VALUE"""),720.0)</f>
        <v>720</v>
      </c>
      <c r="G746">
        <f>IFERROR(__xludf.DUMMYFUNCTION("""COMPUTED_VALUE"""),10000.0)</f>
        <v>10000</v>
      </c>
      <c r="H746" s="2">
        <f>IFERROR(__xludf.DUMMYFUNCTION("""COMPUTED_VALUE"""),4.0)</f>
        <v>4</v>
      </c>
      <c r="I746" s="2">
        <f>IFERROR(__xludf.DUMMYFUNCTION("""COMPUTED_VALUE"""),4.92)</f>
        <v>4.92</v>
      </c>
      <c r="J746" s="2">
        <f>IFERROR(__xludf.DUMMYFUNCTION("""COMPUTED_VALUE"""),0.9199999999999999)</f>
        <v>0.92</v>
      </c>
      <c r="K746" s="5">
        <f>IFERROR(__xludf.DUMMYFUNCTION("""COMPUTED_VALUE"""),0.22999999999999998)</f>
        <v>0.23</v>
      </c>
      <c r="L746">
        <f>IFERROR(__xludf.DUMMYFUNCTION("""COMPUTED_VALUE"""),30765.0)</f>
        <v>30765</v>
      </c>
      <c r="M746" t="str">
        <f>IFERROR(__xludf.DUMMYFUNCTION("""COMPUTED_VALUE"""),"Office Product")</f>
        <v>Office Product</v>
      </c>
      <c r="O746" t="str">
        <f>IFERROR(__xludf.DUMMYFUNCTION("""COMPUTED_VALUE"""),"N")</f>
        <v>N</v>
      </c>
      <c r="P746" s="1" t="str">
        <f>IFERROR(__xludf.DUMMYFUNCTION("""COMPUTED_VALUE"""),"ID 24599")</f>
        <v>ID 24599</v>
      </c>
      <c r="Q746" s="1" t="str">
        <f>IFERROR(__xludf.DUMMYFUNCTION("""COMPUTED_VALUE"""),"B00006IFI8")</f>
        <v>B00006IFI8</v>
      </c>
    </row>
    <row r="747">
      <c r="A747" s="6">
        <f>IFERROR(__xludf.DUMMYFUNCTION("""COMPUTED_VALUE"""),45421.0)</f>
        <v>45421</v>
      </c>
      <c r="B747">
        <f>IFERROR(__xludf.DUMMYFUNCTION("""COMPUTED_VALUE"""),25585.0)</f>
        <v>25585</v>
      </c>
      <c r="C747" t="str">
        <f>IFERROR(__xludf.DUMMYFUNCTION("""COMPUTED_VALUE"""),"Grumbacher Goldenedge Golden Toray Round Watercolor Brush, Synthetic Bristles, Size ZZ (4620.ZZ)")</f>
        <v>Grumbacher Goldenedge Golden Toray Round Watercolor Brush, Synthetic Bristles, Size ZZ (4620.ZZ)</v>
      </c>
      <c r="D747" t="str">
        <f>IFERROR(__xludf.DUMMYFUNCTION("""COMPUTED_VALUE"""),"B0027AEETO")</f>
        <v>B0027AEETO</v>
      </c>
      <c r="E747" t="str">
        <f>IFERROR(__xludf.DUMMYFUNCTION("""COMPUTED_VALUE"""),"014173355287")</f>
        <v>014173355287</v>
      </c>
      <c r="F747">
        <f>IFERROR(__xludf.DUMMYFUNCTION("""COMPUTED_VALUE"""),864.0)</f>
        <v>864</v>
      </c>
      <c r="G747">
        <f>IFERROR(__xludf.DUMMYFUNCTION("""COMPUTED_VALUE"""),10000.0)</f>
        <v>10000</v>
      </c>
      <c r="H747" s="2">
        <f>IFERROR(__xludf.DUMMYFUNCTION("""COMPUTED_VALUE"""),2.5)</f>
        <v>2.5</v>
      </c>
      <c r="I747" s="2">
        <f>IFERROR(__xludf.DUMMYFUNCTION("""COMPUTED_VALUE"""),3.42)</f>
        <v>3.42</v>
      </c>
      <c r="J747" s="2">
        <f>IFERROR(__xludf.DUMMYFUNCTION("""COMPUTED_VALUE"""),0.9199999999999999)</f>
        <v>0.92</v>
      </c>
      <c r="K747" s="5">
        <f>IFERROR(__xludf.DUMMYFUNCTION("""COMPUTED_VALUE"""),0.368)</f>
        <v>0.368</v>
      </c>
      <c r="L747">
        <f>IFERROR(__xludf.DUMMYFUNCTION("""COMPUTED_VALUE"""),20654.0)</f>
        <v>20654</v>
      </c>
      <c r="M747" t="str">
        <f>IFERROR(__xludf.DUMMYFUNCTION("""COMPUTED_VALUE"""),"Office Product")</f>
        <v>Office Product</v>
      </c>
      <c r="O747" t="str">
        <f>IFERROR(__xludf.DUMMYFUNCTION("""COMPUTED_VALUE"""),"Y")</f>
        <v>Y</v>
      </c>
      <c r="P747" s="1" t="str">
        <f>IFERROR(__xludf.DUMMYFUNCTION("""COMPUTED_VALUE"""),"ID 25585")</f>
        <v>ID 25585</v>
      </c>
      <c r="Q747" s="1" t="str">
        <f>IFERROR(__xludf.DUMMYFUNCTION("""COMPUTED_VALUE"""),"B0027AEETO")</f>
        <v>B0027AEETO</v>
      </c>
    </row>
    <row r="748">
      <c r="A748" s="6">
        <f>IFERROR(__xludf.DUMMYFUNCTION("""COMPUTED_VALUE"""),44719.0)</f>
        <v>44719</v>
      </c>
      <c r="B748">
        <f>IFERROR(__xludf.DUMMYFUNCTION("""COMPUTED_VALUE"""),8130.0)</f>
        <v>8130</v>
      </c>
      <c r="C748" t="str">
        <f>IFERROR(__xludf.DUMMYFUNCTION("""COMPUTED_VALUE"""),"Circleware 66734 Glass Mini Mason Jar Mug Salt and Pepper Shakers with Handles &amp; Metal Lids, Kitchen Glassware Preserving Containers, Perfect Himalayan Seasoning Spices, 2-Piece Set, 5 oz, Yorkshire")</f>
        <v>Circleware 66734 Glass Mini Mason Jar Mug Salt and Pepper Shakers with Handles &amp; Metal Lids, Kitchen Glassware Preserving Containers, Perfect Himalayan Seasoning Spices, 2-Piece Set, 5 oz, Yorkshire</v>
      </c>
      <c r="D748" t="str">
        <f>IFERROR(__xludf.DUMMYFUNCTION("""COMPUTED_VALUE"""),"B00Q45VNHE")</f>
        <v>B00Q45VNHE</v>
      </c>
      <c r="E748" t="str">
        <f>IFERROR(__xludf.DUMMYFUNCTION("""COMPUTED_VALUE"""),"704572667349")</f>
        <v>704572667349</v>
      </c>
      <c r="F748">
        <f>IFERROR(__xludf.DUMMYFUNCTION("""COMPUTED_VALUE"""),420.0)</f>
        <v>420</v>
      </c>
      <c r="G748">
        <f>IFERROR(__xludf.DUMMYFUNCTION("""COMPUTED_VALUE"""),1330.0)</f>
        <v>1330</v>
      </c>
      <c r="H748" s="2">
        <f>IFERROR(__xludf.DUMMYFUNCTION("""COMPUTED_VALUE"""),3.0)</f>
        <v>3</v>
      </c>
      <c r="I748" s="2">
        <f>IFERROR(__xludf.DUMMYFUNCTION("""COMPUTED_VALUE"""),3.91)</f>
        <v>3.91</v>
      </c>
      <c r="J748" s="2">
        <f>IFERROR(__xludf.DUMMYFUNCTION("""COMPUTED_VALUE"""),0.9100000000000001)</f>
        <v>0.91</v>
      </c>
      <c r="K748" s="5">
        <f>IFERROR(__xludf.DUMMYFUNCTION("""COMPUTED_VALUE"""),0.3033333333333334)</f>
        <v>0.3033333333</v>
      </c>
      <c r="L748">
        <f>IFERROR(__xludf.DUMMYFUNCTION("""COMPUTED_VALUE"""),57880.0)</f>
        <v>57880</v>
      </c>
      <c r="M748" t="str">
        <f>IFERROR(__xludf.DUMMYFUNCTION("""COMPUTED_VALUE"""),"Kitchen")</f>
        <v>Kitchen</v>
      </c>
      <c r="O748" t="str">
        <f>IFERROR(__xludf.DUMMYFUNCTION("""COMPUTED_VALUE"""),"Y")</f>
        <v>Y</v>
      </c>
      <c r="P748" s="1" t="str">
        <f>IFERROR(__xludf.DUMMYFUNCTION("""COMPUTED_VALUE"""),"ID 8130")</f>
        <v>ID 8130</v>
      </c>
      <c r="Q748" s="1" t="str">
        <f>IFERROR(__xludf.DUMMYFUNCTION("""COMPUTED_VALUE"""),"B00Q45VNHE")</f>
        <v>B00Q45VNHE</v>
      </c>
    </row>
    <row r="749">
      <c r="A749" s="6">
        <f>IFERROR(__xludf.DUMMYFUNCTION("""COMPUTED_VALUE"""),45401.0)</f>
        <v>45401</v>
      </c>
      <c r="B749">
        <f>IFERROR(__xludf.DUMMYFUNCTION("""COMPUTED_VALUE"""),12233.0)</f>
        <v>12233</v>
      </c>
      <c r="C749" t="str">
        <f>IFERROR(__xludf.DUMMYFUNCTION("""COMPUTED_VALUE"""),"Home Basics PH45804 Sunflower Cast Iron Paper Towel Holder with Dispensing Side Bar Free-Standing Kitchen Countertop, Dinning, Yellow")</f>
        <v>Home Basics PH45804 Sunflower Cast Iron Paper Towel Holder with Dispensing Side Bar Free-Standing Kitchen Countertop, Dinning, Yellow</v>
      </c>
      <c r="D749" t="str">
        <f>IFERROR(__xludf.DUMMYFUNCTION("""COMPUTED_VALUE"""),"B07X61LRGT")</f>
        <v>B07X61LRGT</v>
      </c>
      <c r="E749" t="str">
        <f>IFERROR(__xludf.DUMMYFUNCTION("""COMPUTED_VALUE"""),"886466458049")</f>
        <v>886466458049</v>
      </c>
      <c r="F749">
        <f>IFERROR(__xludf.DUMMYFUNCTION("""COMPUTED_VALUE"""),138.0)</f>
        <v>138</v>
      </c>
      <c r="G749">
        <f>IFERROR(__xludf.DUMMYFUNCTION("""COMPUTED_VALUE"""),10000.0)</f>
        <v>10000</v>
      </c>
      <c r="H749" s="2">
        <f>IFERROR(__xludf.DUMMYFUNCTION("""COMPUTED_VALUE"""),9.5)</f>
        <v>9.5</v>
      </c>
      <c r="I749" s="2">
        <f>IFERROR(__xludf.DUMMYFUNCTION("""COMPUTED_VALUE"""),10.41)</f>
        <v>10.41</v>
      </c>
      <c r="J749" s="2">
        <f>IFERROR(__xludf.DUMMYFUNCTION("""COMPUTED_VALUE"""),0.9100000000000001)</f>
        <v>0.91</v>
      </c>
      <c r="K749" s="5">
        <f>IFERROR(__xludf.DUMMYFUNCTION("""COMPUTED_VALUE"""),0.09578947368421054)</f>
        <v>0.09578947368</v>
      </c>
      <c r="L749">
        <f>IFERROR(__xludf.DUMMYFUNCTION("""COMPUTED_VALUE"""),68822.0)</f>
        <v>68822</v>
      </c>
      <c r="M749" t="str">
        <f>IFERROR(__xludf.DUMMYFUNCTION("""COMPUTED_VALUE"""),"Kitchen")</f>
        <v>Kitchen</v>
      </c>
      <c r="O749" t="str">
        <f>IFERROR(__xludf.DUMMYFUNCTION("""COMPUTED_VALUE"""),"N")</f>
        <v>N</v>
      </c>
      <c r="P749" s="1" t="str">
        <f>IFERROR(__xludf.DUMMYFUNCTION("""COMPUTED_VALUE"""),"ID 12233")</f>
        <v>ID 12233</v>
      </c>
      <c r="Q749" s="1" t="str">
        <f>IFERROR(__xludf.DUMMYFUNCTION("""COMPUTED_VALUE"""),"B07X61LRGT")</f>
        <v>B07X61LRGT</v>
      </c>
    </row>
    <row r="750">
      <c r="A750" s="6">
        <f>IFERROR(__xludf.DUMMYFUNCTION("""COMPUTED_VALUE"""),45113.0)</f>
        <v>45113</v>
      </c>
      <c r="B750">
        <f>IFERROR(__xludf.DUMMYFUNCTION("""COMPUTED_VALUE"""),24616.0)</f>
        <v>24616</v>
      </c>
      <c r="C750" t="str">
        <f>IFERROR(__xludf.DUMMYFUNCTION("""COMPUTED_VALUE"""),"Sharpie Retractable Permanent Markers, Fine Point, Assorted Colors, 3 Count")</f>
        <v>Sharpie Retractable Permanent Markers, Fine Point, Assorted Colors, 3 Count</v>
      </c>
      <c r="D750" t="str">
        <f>IFERROR(__xludf.DUMMYFUNCTION("""COMPUTED_VALUE"""),"B001GXD066")</f>
        <v>B001GXD066</v>
      </c>
      <c r="E750" t="str">
        <f>IFERROR(__xludf.DUMMYFUNCTION("""COMPUTED_VALUE"""),"071641327269")</f>
        <v>071641327269</v>
      </c>
      <c r="F750">
        <f>IFERROR(__xludf.DUMMYFUNCTION("""COMPUTED_VALUE"""),576.0)</f>
        <v>576</v>
      </c>
      <c r="G750">
        <f>IFERROR(__xludf.DUMMYFUNCTION("""COMPUTED_VALUE"""),10000.0)</f>
        <v>10000</v>
      </c>
      <c r="H750" s="2">
        <f>IFERROR(__xludf.DUMMYFUNCTION("""COMPUTED_VALUE"""),5.25)</f>
        <v>5.25</v>
      </c>
      <c r="I750" s="2">
        <f>IFERROR(__xludf.DUMMYFUNCTION("""COMPUTED_VALUE"""),6.16)</f>
        <v>6.16</v>
      </c>
      <c r="J750" s="2">
        <f>IFERROR(__xludf.DUMMYFUNCTION("""COMPUTED_VALUE"""),0.9100000000000001)</f>
        <v>0.91</v>
      </c>
      <c r="K750" s="5">
        <f>IFERROR(__xludf.DUMMYFUNCTION("""COMPUTED_VALUE"""),0.17333333333333337)</f>
        <v>0.1733333333</v>
      </c>
      <c r="L750">
        <f>IFERROR(__xludf.DUMMYFUNCTION("""COMPUTED_VALUE"""),9762.0)</f>
        <v>9762</v>
      </c>
      <c r="M750" t="str">
        <f>IFERROR(__xludf.DUMMYFUNCTION("""COMPUTED_VALUE"""),"Office Product")</f>
        <v>Office Product</v>
      </c>
      <c r="N750"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750" t="str">
        <f>IFERROR(__xludf.DUMMYFUNCTION("""COMPUTED_VALUE"""),"Y")</f>
        <v>Y</v>
      </c>
      <c r="P750" s="1" t="str">
        <f>IFERROR(__xludf.DUMMYFUNCTION("""COMPUTED_VALUE"""),"ID 24616")</f>
        <v>ID 24616</v>
      </c>
      <c r="Q750" s="1" t="str">
        <f>IFERROR(__xludf.DUMMYFUNCTION("""COMPUTED_VALUE"""),"B001GXD066")</f>
        <v>B001GXD066</v>
      </c>
    </row>
    <row r="751">
      <c r="A751" s="6">
        <f>IFERROR(__xludf.DUMMYFUNCTION("""COMPUTED_VALUE"""),45421.0)</f>
        <v>45421</v>
      </c>
      <c r="B751">
        <f>IFERROR(__xludf.DUMMYFUNCTION("""COMPUTED_VALUE"""),12760.0)</f>
        <v>12760</v>
      </c>
      <c r="C751" t="str">
        <f>IFERROR(__xludf.DUMMYFUNCTION("""COMPUTED_VALUE"""),"The Original Chartpak AD Marker, Tri-Nib, Blender (Colorless), 1 Each (P-O)")</f>
        <v>The Original Chartpak AD Marker, Tri-Nib, Blender (Colorless), 1 Each (P-O)</v>
      </c>
      <c r="D751" t="str">
        <f>IFERROR(__xludf.DUMMYFUNCTION("""COMPUTED_VALUE"""),"B0026HC7GU")</f>
        <v>B0026HC7GU</v>
      </c>
      <c r="E751" t="str">
        <f>IFERROR(__xludf.DUMMYFUNCTION("""COMPUTED_VALUE"""),"014173076205")</f>
        <v>014173076205</v>
      </c>
      <c r="F751">
        <f>IFERROR(__xludf.DUMMYFUNCTION("""COMPUTED_VALUE"""),900.0)</f>
        <v>900</v>
      </c>
      <c r="G751">
        <f>IFERROR(__xludf.DUMMYFUNCTION("""COMPUTED_VALUE"""),10000.0)</f>
        <v>10000</v>
      </c>
      <c r="H751" s="2">
        <f>IFERROR(__xludf.DUMMYFUNCTION("""COMPUTED_VALUE"""),3.5)</f>
        <v>3.5</v>
      </c>
      <c r="I751" s="2">
        <f>IFERROR(__xludf.DUMMYFUNCTION("""COMPUTED_VALUE"""),4.4)</f>
        <v>4.4</v>
      </c>
      <c r="J751" s="2">
        <f>IFERROR(__xludf.DUMMYFUNCTION("""COMPUTED_VALUE"""),0.9000000000000004)</f>
        <v>0.9</v>
      </c>
      <c r="K751" s="5">
        <f>IFERROR(__xludf.DUMMYFUNCTION("""COMPUTED_VALUE"""),0.25714285714285723)</f>
        <v>0.2571428571</v>
      </c>
      <c r="L751">
        <f>IFERROR(__xludf.DUMMYFUNCTION("""COMPUTED_VALUE"""),29446.0)</f>
        <v>29446</v>
      </c>
      <c r="M751" t="str">
        <f>IFERROR(__xludf.DUMMYFUNCTION("""COMPUTED_VALUE"""),"Office Product")</f>
        <v>Office Product</v>
      </c>
      <c r="O751" t="str">
        <f>IFERROR(__xludf.DUMMYFUNCTION("""COMPUTED_VALUE"""),"N")</f>
        <v>N</v>
      </c>
      <c r="P751" s="1" t="str">
        <f>IFERROR(__xludf.DUMMYFUNCTION("""COMPUTED_VALUE"""),"ID 12760")</f>
        <v>ID 12760</v>
      </c>
      <c r="Q751" s="1" t="str">
        <f>IFERROR(__xludf.DUMMYFUNCTION("""COMPUTED_VALUE"""),"B0026HC7GU")</f>
        <v>B0026HC7GU</v>
      </c>
    </row>
    <row r="752">
      <c r="A752" s="6">
        <f>IFERROR(__xludf.DUMMYFUNCTION("""COMPUTED_VALUE"""),45421.0)</f>
        <v>45421</v>
      </c>
      <c r="B752">
        <f>IFERROR(__xludf.DUMMYFUNCTION("""COMPUTED_VALUE"""),12791.0)</f>
        <v>12791</v>
      </c>
      <c r="C752" t="str">
        <f>IFERROR(__xludf.DUMMYFUNCTION("""COMPUTED_VALUE"""),"Grumbacher Academy Acrylic Paint, 90ml/3 oz Metal Tube, Cadmium Red Medium Hue")</f>
        <v>Grumbacher Academy Acrylic Paint, 90ml/3 oz Metal Tube, Cadmium Red Medium Hue</v>
      </c>
      <c r="D752" t="str">
        <f>IFERROR(__xludf.DUMMYFUNCTION("""COMPUTED_VALUE"""),"B0006SJTCG")</f>
        <v>B0006SJTCG</v>
      </c>
      <c r="E752" t="str">
        <f>IFERROR(__xludf.DUMMYFUNCTION("""COMPUTED_VALUE"""),"014173351234")</f>
        <v>014173351234</v>
      </c>
      <c r="F752">
        <f>IFERROR(__xludf.DUMMYFUNCTION("""COMPUTED_VALUE"""),612.0)</f>
        <v>612</v>
      </c>
      <c r="G752">
        <f>IFERROR(__xludf.DUMMYFUNCTION("""COMPUTED_VALUE"""),10000.0)</f>
        <v>10000</v>
      </c>
      <c r="H752" s="2">
        <f>IFERROR(__xludf.DUMMYFUNCTION("""COMPUTED_VALUE"""),3.5)</f>
        <v>3.5</v>
      </c>
      <c r="I752" s="2">
        <f>IFERROR(__xludf.DUMMYFUNCTION("""COMPUTED_VALUE"""),4.4)</f>
        <v>4.4</v>
      </c>
      <c r="J752" s="2">
        <f>IFERROR(__xludf.DUMMYFUNCTION("""COMPUTED_VALUE"""),0.9000000000000004)</f>
        <v>0.9</v>
      </c>
      <c r="K752" s="5">
        <f>IFERROR(__xludf.DUMMYFUNCTION("""COMPUTED_VALUE"""),0.25714285714285723)</f>
        <v>0.2571428571</v>
      </c>
      <c r="L752">
        <f>IFERROR(__xludf.DUMMYFUNCTION("""COMPUTED_VALUE"""),35972.0)</f>
        <v>35972</v>
      </c>
      <c r="M752" t="str">
        <f>IFERROR(__xludf.DUMMYFUNCTION("""COMPUTED_VALUE"""),"Home")</f>
        <v>Home</v>
      </c>
      <c r="O752" t="str">
        <f>IFERROR(__xludf.DUMMYFUNCTION("""COMPUTED_VALUE"""),"N")</f>
        <v>N</v>
      </c>
      <c r="P752" s="1" t="str">
        <f>IFERROR(__xludf.DUMMYFUNCTION("""COMPUTED_VALUE"""),"ID 12791")</f>
        <v>ID 12791</v>
      </c>
      <c r="Q752" s="1" t="str">
        <f>IFERROR(__xludf.DUMMYFUNCTION("""COMPUTED_VALUE"""),"B0006SJTCG")</f>
        <v>B0006SJTCG</v>
      </c>
    </row>
    <row r="753">
      <c r="A753" s="6">
        <f>IFERROR(__xludf.DUMMYFUNCTION("""COMPUTED_VALUE"""),45113.0)</f>
        <v>45113</v>
      </c>
      <c r="B753">
        <f>IFERROR(__xludf.DUMMYFUNCTION("""COMPUTED_VALUE"""),15457.0)</f>
        <v>15457</v>
      </c>
      <c r="C753" t="str">
        <f>IFERROR(__xludf.DUMMYFUNCTION("""COMPUTED_VALUE"""),"X-ACTO Z-Series #2 Precision Knife with Cap (XZ3602)")</f>
        <v>X-ACTO Z-Series #2 Precision Knife with Cap (XZ3602)</v>
      </c>
      <c r="D753" t="str">
        <f>IFERROR(__xludf.DUMMYFUNCTION("""COMPUTED_VALUE"""),"B011Q0YYJA")</f>
        <v>B011Q0YYJA</v>
      </c>
      <c r="E753" t="str">
        <f>IFERROR(__xludf.DUMMYFUNCTION("""COMPUTED_VALUE"""),"79946036022")</f>
        <v>79946036022</v>
      </c>
      <c r="F753">
        <f>IFERROR(__xludf.DUMMYFUNCTION("""COMPUTED_VALUE"""),630.0)</f>
        <v>630</v>
      </c>
      <c r="G753">
        <f>IFERROR(__xludf.DUMMYFUNCTION("""COMPUTED_VALUE"""),3312.0)</f>
        <v>3312</v>
      </c>
      <c r="H753" s="2">
        <f>IFERROR(__xludf.DUMMYFUNCTION("""COMPUTED_VALUE"""),5.0)</f>
        <v>5</v>
      </c>
      <c r="I753" s="2">
        <f>IFERROR(__xludf.DUMMYFUNCTION("""COMPUTED_VALUE"""),5.9)</f>
        <v>5.9</v>
      </c>
      <c r="J753" s="2">
        <f>IFERROR(__xludf.DUMMYFUNCTION("""COMPUTED_VALUE"""),0.9000000000000004)</f>
        <v>0.9</v>
      </c>
      <c r="K753" s="5">
        <f>IFERROR(__xludf.DUMMYFUNCTION("""COMPUTED_VALUE"""),0.18000000000000008)</f>
        <v>0.18</v>
      </c>
      <c r="L753">
        <f>IFERROR(__xludf.DUMMYFUNCTION("""COMPUTED_VALUE"""),1740.0)</f>
        <v>1740</v>
      </c>
      <c r="M753" t="str">
        <f>IFERROR(__xludf.DUMMYFUNCTION("""COMPUTED_VALUE"""),"Office Product")</f>
        <v>Office Product</v>
      </c>
      <c r="O753" t="str">
        <f>IFERROR(__xludf.DUMMYFUNCTION("""COMPUTED_VALUE"""),"Y")</f>
        <v>Y</v>
      </c>
      <c r="P753" s="1" t="str">
        <f>IFERROR(__xludf.DUMMYFUNCTION("""COMPUTED_VALUE"""),"ID 15457")</f>
        <v>ID 15457</v>
      </c>
      <c r="Q753" s="1" t="str">
        <f>IFERROR(__xludf.DUMMYFUNCTION("""COMPUTED_VALUE"""),"B011Q0YYJA")</f>
        <v>B011Q0YYJA</v>
      </c>
    </row>
    <row r="754">
      <c r="A754" s="6">
        <f>IFERROR(__xludf.DUMMYFUNCTION("""COMPUTED_VALUE"""),44075.0)</f>
        <v>44075</v>
      </c>
      <c r="B754">
        <f>IFERROR(__xludf.DUMMYFUNCTION("""COMPUTED_VALUE"""),16285.0)</f>
        <v>16285</v>
      </c>
      <c r="C754" t="str">
        <f>IFERROR(__xludf.DUMMYFUNCTION("""COMPUTED_VALUE"""),"Revlon Nail Scissors, Curved Blade, Made with Stainless Steel")</f>
        <v>Revlon Nail Scissors, Curved Blade, Made with Stainless Steel</v>
      </c>
      <c r="D754" t="str">
        <f>IFERROR(__xludf.DUMMYFUNCTION("""COMPUTED_VALUE"""),"B000OS0O9A")</f>
        <v>B000OS0O9A</v>
      </c>
      <c r="E754" t="str">
        <f>IFERROR(__xludf.DUMMYFUNCTION("""COMPUTED_VALUE"""),"309972378101")</f>
        <v>309972378101</v>
      </c>
      <c r="F754">
        <f>IFERROR(__xludf.DUMMYFUNCTION("""COMPUTED_VALUE"""),360.0)</f>
        <v>360</v>
      </c>
      <c r="G754">
        <f>IFERROR(__xludf.DUMMYFUNCTION("""COMPUTED_VALUE"""),432.0)</f>
        <v>432</v>
      </c>
      <c r="H754" s="2">
        <f>IFERROR(__xludf.DUMMYFUNCTION("""COMPUTED_VALUE"""),4.5)</f>
        <v>4.5</v>
      </c>
      <c r="I754" s="2">
        <f>IFERROR(__xludf.DUMMYFUNCTION("""COMPUTED_VALUE"""),5.4)</f>
        <v>5.4</v>
      </c>
      <c r="J754" s="2">
        <f>IFERROR(__xludf.DUMMYFUNCTION("""COMPUTED_VALUE"""),0.9000000000000004)</f>
        <v>0.9</v>
      </c>
      <c r="K754" s="5">
        <f>IFERROR(__xludf.DUMMYFUNCTION("""COMPUTED_VALUE"""),0.20000000000000007)</f>
        <v>0.2</v>
      </c>
      <c r="L754">
        <f>IFERROR(__xludf.DUMMYFUNCTION("""COMPUTED_VALUE"""),79583.0)</f>
        <v>79583</v>
      </c>
      <c r="M754" t="str">
        <f>IFERROR(__xludf.DUMMYFUNCTION("""COMPUTED_VALUE"""),"Beauty")</f>
        <v>Beauty</v>
      </c>
      <c r="O754" t="str">
        <f>IFERROR(__xludf.DUMMYFUNCTION("""COMPUTED_VALUE"""),"N")</f>
        <v>N</v>
      </c>
      <c r="P754" s="1" t="str">
        <f>IFERROR(__xludf.DUMMYFUNCTION("""COMPUTED_VALUE"""),"ID 16285")</f>
        <v>ID 16285</v>
      </c>
      <c r="Q754" s="1" t="str">
        <f>IFERROR(__xludf.DUMMYFUNCTION("""COMPUTED_VALUE"""),"B000OS0O9A")</f>
        <v>B000OS0O9A</v>
      </c>
    </row>
    <row r="755">
      <c r="A755" s="6">
        <f>IFERROR(__xludf.DUMMYFUNCTION("""COMPUTED_VALUE"""),45247.0)</f>
        <v>45247</v>
      </c>
      <c r="B755">
        <f>IFERROR(__xludf.DUMMYFUNCTION("""COMPUTED_VALUE"""),20972.0)</f>
        <v>20972</v>
      </c>
      <c r="C755" t="str">
        <f>IFERROR(__xludf.DUMMYFUNCTION("""COMPUTED_VALUE"""),"Bostitch Heavy Duty Premium Staples, Staples 85-130 Sheets, 5/8"" - 5,000 Staples (SB353/8-5M)")</f>
        <v>Bostitch Heavy Duty Premium Staples, Staples 85-130 Sheets, 5/8" - 5,000 Staples (SB353/8-5M)</v>
      </c>
      <c r="D755" t="str">
        <f>IFERROR(__xludf.DUMMYFUNCTION("""COMPUTED_VALUE"""),"B00006IFMN")</f>
        <v>B00006IFMN</v>
      </c>
      <c r="E755" t="str">
        <f>IFERROR(__xludf.DUMMYFUNCTION("""COMPUTED_VALUE"""),"77914007036")</f>
        <v>77914007036</v>
      </c>
      <c r="F755">
        <f>IFERROR(__xludf.DUMMYFUNCTION("""COMPUTED_VALUE"""),280.0)</f>
        <v>280</v>
      </c>
      <c r="G755">
        <f>IFERROR(__xludf.DUMMYFUNCTION("""COMPUTED_VALUE"""),1625.0)</f>
        <v>1625</v>
      </c>
      <c r="H755" s="2">
        <f>IFERROR(__xludf.DUMMYFUNCTION("""COMPUTED_VALUE"""),5.75)</f>
        <v>5.75</v>
      </c>
      <c r="I755" s="2">
        <f>IFERROR(__xludf.DUMMYFUNCTION("""COMPUTED_VALUE"""),6.65)</f>
        <v>6.65</v>
      </c>
      <c r="J755" s="2">
        <f>IFERROR(__xludf.DUMMYFUNCTION("""COMPUTED_VALUE"""),0.9000000000000004)</f>
        <v>0.9</v>
      </c>
      <c r="K755" s="5">
        <f>IFERROR(__xludf.DUMMYFUNCTION("""COMPUTED_VALUE"""),0.15652173913043485)</f>
        <v>0.1565217391</v>
      </c>
      <c r="L755">
        <f>IFERROR(__xludf.DUMMYFUNCTION("""COMPUTED_VALUE"""),36988.0)</f>
        <v>36988</v>
      </c>
      <c r="M755" t="str">
        <f>IFERROR(__xludf.DUMMYFUNCTION("""COMPUTED_VALUE"""),"Office Product")</f>
        <v>Office Product</v>
      </c>
      <c r="O755" t="str">
        <f>IFERROR(__xludf.DUMMYFUNCTION("""COMPUTED_VALUE"""),"Y")</f>
        <v>Y</v>
      </c>
      <c r="P755" s="1" t="str">
        <f>IFERROR(__xludf.DUMMYFUNCTION("""COMPUTED_VALUE"""),"ID 20972")</f>
        <v>ID 20972</v>
      </c>
      <c r="Q755" s="1" t="str">
        <f>IFERROR(__xludf.DUMMYFUNCTION("""COMPUTED_VALUE"""),"B00006IFMN")</f>
        <v>B00006IFMN</v>
      </c>
    </row>
    <row r="756">
      <c r="A756" s="6">
        <f>IFERROR(__xludf.DUMMYFUNCTION("""COMPUTED_VALUE"""),45414.0)</f>
        <v>45414</v>
      </c>
      <c r="B756">
        <f>IFERROR(__xludf.DUMMYFUNCTION("""COMPUTED_VALUE"""),7576.0)</f>
        <v>7576</v>
      </c>
      <c r="C756" t="str">
        <f>IFERROR(__xludf.DUMMYFUNCTION("""COMPUTED_VALUE"""),"Floral Pill Case Box, Pill Organizer 14 Day Pill Holder Travel Pill Container &amp; Medication Organizer, Travel Case - 4 Marked Compartments for Each Day of The Week - Morn, Noon, Eve, Bed")</f>
        <v>Floral Pill Case Box, Pill Organizer 14 Day Pill Holder Travel Pill Container &amp; Medication Organizer, Travel Case - 4 Marked Compartments for Each Day of The Week - Morn, Noon, Eve, Bed</v>
      </c>
      <c r="D756" t="str">
        <f>IFERROR(__xludf.DUMMYFUNCTION("""COMPUTED_VALUE"""),"B01EIGWXJW")</f>
        <v>B01EIGWXJW</v>
      </c>
      <c r="E756" t="str">
        <f>IFERROR(__xludf.DUMMYFUNCTION("""COMPUTED_VALUE"""),"736386001958")</f>
        <v>736386001958</v>
      </c>
      <c r="F756">
        <f>IFERROR(__xludf.DUMMYFUNCTION("""COMPUTED_VALUE"""),432.0)</f>
        <v>432</v>
      </c>
      <c r="G756">
        <f>IFERROR(__xludf.DUMMYFUNCTION("""COMPUTED_VALUE"""),4128.0)</f>
        <v>4128</v>
      </c>
      <c r="H756" s="2">
        <f>IFERROR(__xludf.DUMMYFUNCTION("""COMPUTED_VALUE"""),3.0)</f>
        <v>3</v>
      </c>
      <c r="I756" s="2">
        <f>IFERROR(__xludf.DUMMYFUNCTION("""COMPUTED_VALUE"""),3.89)</f>
        <v>3.89</v>
      </c>
      <c r="J756" s="2">
        <f>IFERROR(__xludf.DUMMYFUNCTION("""COMPUTED_VALUE"""),0.8900000000000001)</f>
        <v>0.89</v>
      </c>
      <c r="K756" s="5">
        <f>IFERROR(__xludf.DUMMYFUNCTION("""COMPUTED_VALUE"""),0.2966666666666667)</f>
        <v>0.2966666667</v>
      </c>
      <c r="L756">
        <f>IFERROR(__xludf.DUMMYFUNCTION("""COMPUTED_VALUE"""),58550.0)</f>
        <v>58550</v>
      </c>
      <c r="M756" t="str">
        <f>IFERROR(__xludf.DUMMYFUNCTION("""COMPUTED_VALUE"""),"Health and Beauty")</f>
        <v>Health and Beauty</v>
      </c>
      <c r="O756" t="str">
        <f>IFERROR(__xludf.DUMMYFUNCTION("""COMPUTED_VALUE"""),"Y")</f>
        <v>Y</v>
      </c>
      <c r="P756" s="1" t="str">
        <f>IFERROR(__xludf.DUMMYFUNCTION("""COMPUTED_VALUE"""),"ID 7576")</f>
        <v>ID 7576</v>
      </c>
      <c r="Q756" s="1" t="str">
        <f>IFERROR(__xludf.DUMMYFUNCTION("""COMPUTED_VALUE"""),"B01EIGWXJW")</f>
        <v>B01EIGWXJW</v>
      </c>
    </row>
    <row r="757">
      <c r="A757" s="6">
        <f>IFERROR(__xludf.DUMMYFUNCTION("""COMPUTED_VALUE"""),44473.0)</f>
        <v>44473</v>
      </c>
      <c r="B757">
        <f>IFERROR(__xludf.DUMMYFUNCTION("""COMPUTED_VALUE"""),22297.0)</f>
        <v>22297</v>
      </c>
      <c r="C757" t="str">
        <f>IFERROR(__xludf.DUMMYFUNCTION("""COMPUTED_VALUE"""),"The Raven HD - Xbox One")</f>
        <v>The Raven HD - Xbox One</v>
      </c>
      <c r="D757" t="str">
        <f>IFERROR(__xludf.DUMMYFUNCTION("""COMPUTED_VALUE"""),"B078WXCZWY")</f>
        <v>B078WXCZWY</v>
      </c>
      <c r="E757" t="str">
        <f>IFERROR(__xludf.DUMMYFUNCTION("""COMPUTED_VALUE"""),"811994021328")</f>
        <v>811994021328</v>
      </c>
      <c r="F757">
        <f>IFERROR(__xludf.DUMMYFUNCTION("""COMPUTED_VALUE"""),280.0)</f>
        <v>280</v>
      </c>
      <c r="G757">
        <f>IFERROR(__xludf.DUMMYFUNCTION("""COMPUTED_VALUE"""),283.0)</f>
        <v>283</v>
      </c>
      <c r="H757" s="2">
        <f>IFERROR(__xludf.DUMMYFUNCTION("""COMPUTED_VALUE"""),4.75)</f>
        <v>4.75</v>
      </c>
      <c r="I757" s="2">
        <f>IFERROR(__xludf.DUMMYFUNCTION("""COMPUTED_VALUE"""),5.64)</f>
        <v>5.64</v>
      </c>
      <c r="J757" s="2">
        <f>IFERROR(__xludf.DUMMYFUNCTION("""COMPUTED_VALUE"""),0.8899999999999997)</f>
        <v>0.89</v>
      </c>
      <c r="K757" s="5">
        <f>IFERROR(__xludf.DUMMYFUNCTION("""COMPUTED_VALUE"""),0.18736842105263152)</f>
        <v>0.1873684211</v>
      </c>
      <c r="L757">
        <f>IFERROR(__xludf.DUMMYFUNCTION("""COMPUTED_VALUE"""),89464.0)</f>
        <v>89464</v>
      </c>
      <c r="M757" t="str">
        <f>IFERROR(__xludf.DUMMYFUNCTION("""COMPUTED_VALUE"""),"Video Games")</f>
        <v>Video Games</v>
      </c>
      <c r="O757" t="str">
        <f>IFERROR(__xludf.DUMMYFUNCTION("""COMPUTED_VALUE"""),"N")</f>
        <v>N</v>
      </c>
      <c r="P757" s="1" t="str">
        <f>IFERROR(__xludf.DUMMYFUNCTION("""COMPUTED_VALUE"""),"ID 22297")</f>
        <v>ID 22297</v>
      </c>
      <c r="Q757" s="1" t="str">
        <f>IFERROR(__xludf.DUMMYFUNCTION("""COMPUTED_VALUE"""),"B078WXCZWY")</f>
        <v>B078WXCZWY</v>
      </c>
    </row>
    <row r="758">
      <c r="A758" s="6">
        <f>IFERROR(__xludf.DUMMYFUNCTION("""COMPUTED_VALUE"""),45113.0)</f>
        <v>45113</v>
      </c>
      <c r="B758">
        <f>IFERROR(__xludf.DUMMYFUNCTION("""COMPUTED_VALUE"""),24661.0)</f>
        <v>24661</v>
      </c>
      <c r="C758" t="str">
        <f>IFERROR(__xludf.DUMMYFUNCTION("""COMPUTED_VALUE"""),"Sharpie 13763PP Industrial Fine Point Permanent Marker, Withstand Up To 500F, Designed for Industrial and Laboratory Users, Black Color, 1 Blister with 3 Markers")</f>
        <v>Sharpie 13763PP Industrial Fine Point Permanent Marker, Withstand Up To 500F, Designed for Industrial and Laboratory Users, Black Color, 1 Blister with 3 Markers</v>
      </c>
      <c r="D758" t="str">
        <f>IFERROR(__xludf.DUMMYFUNCTION("""COMPUTED_VALUE"""),"B000I0VMJK")</f>
        <v>B000I0VMJK</v>
      </c>
      <c r="E758" t="str">
        <f>IFERROR(__xludf.DUMMYFUNCTION("""COMPUTED_VALUE"""),"71641137639")</f>
        <v>71641137639</v>
      </c>
      <c r="F758">
        <f>IFERROR(__xludf.DUMMYFUNCTION("""COMPUTED_VALUE"""),1152.0)</f>
        <v>1152</v>
      </c>
      <c r="G758">
        <f>IFERROR(__xludf.DUMMYFUNCTION("""COMPUTED_VALUE"""),10000.0)</f>
        <v>10000</v>
      </c>
      <c r="H758" s="2">
        <f>IFERROR(__xludf.DUMMYFUNCTION("""COMPUTED_VALUE"""),2.75)</f>
        <v>2.75</v>
      </c>
      <c r="I758" s="2">
        <f>IFERROR(__xludf.DUMMYFUNCTION("""COMPUTED_VALUE"""),3.64)</f>
        <v>3.64</v>
      </c>
      <c r="J758" s="2">
        <f>IFERROR(__xludf.DUMMYFUNCTION("""COMPUTED_VALUE"""),0.8900000000000001)</f>
        <v>0.89</v>
      </c>
      <c r="K758" s="5">
        <f>IFERROR(__xludf.DUMMYFUNCTION("""COMPUTED_VALUE"""),0.32363636363636367)</f>
        <v>0.3236363636</v>
      </c>
      <c r="L758">
        <f>IFERROR(__xludf.DUMMYFUNCTION("""COMPUTED_VALUE"""),9833.0)</f>
        <v>9833</v>
      </c>
      <c r="M758" t="str">
        <f>IFERROR(__xludf.DUMMYFUNCTION("""COMPUTED_VALUE"""),"Office Product")</f>
        <v>Office Product</v>
      </c>
      <c r="N758"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758" t="str">
        <f>IFERROR(__xludf.DUMMYFUNCTION("""COMPUTED_VALUE"""),"N")</f>
        <v>N</v>
      </c>
      <c r="P758" s="1" t="str">
        <f>IFERROR(__xludf.DUMMYFUNCTION("""COMPUTED_VALUE"""),"ID 24661")</f>
        <v>ID 24661</v>
      </c>
      <c r="Q758" s="1" t="str">
        <f>IFERROR(__xludf.DUMMYFUNCTION("""COMPUTED_VALUE"""),"B000I0VMJK")</f>
        <v>B000I0VMJK</v>
      </c>
    </row>
    <row r="759">
      <c r="A759" s="6">
        <f>IFERROR(__xludf.DUMMYFUNCTION("""COMPUTED_VALUE"""),45376.0)</f>
        <v>45376</v>
      </c>
      <c r="B759">
        <f>IFERROR(__xludf.DUMMYFUNCTION("""COMPUTED_VALUE"""),25251.0)</f>
        <v>25251</v>
      </c>
      <c r="C759" t="str">
        <f>IFERROR(__xludf.DUMMYFUNCTION("""COMPUTED_VALUE"""),"Dixon® Ticonderoga® Laddie Elementary Pencils, Without Eraser, Pack Of 12 Pencils")</f>
        <v>Dixon® Ticonderoga® Laddie Elementary Pencils, Without Eraser, Pack Of 12 Pencils</v>
      </c>
      <c r="D759" t="str">
        <f>IFERROR(__xludf.DUMMYFUNCTION("""COMPUTED_VALUE"""),"B00006IEFT")</f>
        <v>B00006IEFT</v>
      </c>
      <c r="E759" t="str">
        <f>IFERROR(__xludf.DUMMYFUNCTION("""COMPUTED_VALUE"""),"072067130402")</f>
        <v>072067130402</v>
      </c>
      <c r="F759">
        <f>IFERROR(__xludf.DUMMYFUNCTION("""COMPUTED_VALUE"""),1320.0)</f>
        <v>1320</v>
      </c>
      <c r="G759">
        <f>IFERROR(__xludf.DUMMYFUNCTION("""COMPUTED_VALUE"""),10000.0)</f>
        <v>10000</v>
      </c>
      <c r="H759" s="2">
        <f>IFERROR(__xludf.DUMMYFUNCTION("""COMPUTED_VALUE"""),3.0)</f>
        <v>3</v>
      </c>
      <c r="I759" s="2">
        <f>IFERROR(__xludf.DUMMYFUNCTION("""COMPUTED_VALUE"""),3.89)</f>
        <v>3.89</v>
      </c>
      <c r="J759" s="2">
        <f>IFERROR(__xludf.DUMMYFUNCTION("""COMPUTED_VALUE"""),0.8900000000000001)</f>
        <v>0.89</v>
      </c>
      <c r="K759" s="5">
        <f>IFERROR(__xludf.DUMMYFUNCTION("""COMPUTED_VALUE"""),0.2966666666666667)</f>
        <v>0.2966666667</v>
      </c>
      <c r="L759">
        <f>IFERROR(__xludf.DUMMYFUNCTION("""COMPUTED_VALUE"""),42246.0)</f>
        <v>42246</v>
      </c>
      <c r="M759" t="str">
        <f>IFERROR(__xludf.DUMMYFUNCTION("""COMPUTED_VALUE"""),"Office Product")</f>
        <v>Office Product</v>
      </c>
      <c r="O759" t="str">
        <f>IFERROR(__xludf.DUMMYFUNCTION("""COMPUTED_VALUE"""),"Y")</f>
        <v>Y</v>
      </c>
      <c r="P759" s="1" t="str">
        <f>IFERROR(__xludf.DUMMYFUNCTION("""COMPUTED_VALUE"""),"ID 25251")</f>
        <v>ID 25251</v>
      </c>
      <c r="Q759" s="1" t="str">
        <f>IFERROR(__xludf.DUMMYFUNCTION("""COMPUTED_VALUE"""),"B00006IEFT")</f>
        <v>B00006IEFT</v>
      </c>
    </row>
    <row r="760">
      <c r="A760" s="6">
        <f>IFERROR(__xludf.DUMMYFUNCTION("""COMPUTED_VALUE"""),44627.0)</f>
        <v>44627</v>
      </c>
      <c r="B760">
        <f>IFERROR(__xludf.DUMMYFUNCTION("""COMPUTED_VALUE"""),12739.0)</f>
        <v>12739</v>
      </c>
      <c r="C760" t="str">
        <f>IFERROR(__xludf.DUMMYFUNCTION("""COMPUTED_VALUE"""),"Zippo High Polish Teal Pocket Lighter")</f>
        <v>Zippo High Polish Teal Pocket Lighter</v>
      </c>
      <c r="D760" t="str">
        <f>IFERROR(__xludf.DUMMYFUNCTION("""COMPUTED_VALUE"""),"B084PRP6QT")</f>
        <v>B084PRP6QT</v>
      </c>
      <c r="E760" t="str">
        <f>IFERROR(__xludf.DUMMYFUNCTION("""COMPUTED_VALUE"""),"191693148824")</f>
        <v>191693148824</v>
      </c>
      <c r="F760">
        <f>IFERROR(__xludf.DUMMYFUNCTION("""COMPUTED_VALUE"""),180.0)</f>
        <v>180</v>
      </c>
      <c r="G760">
        <f>IFERROR(__xludf.DUMMYFUNCTION("""COMPUTED_VALUE"""),5000.0)</f>
        <v>5000</v>
      </c>
      <c r="H760" s="2">
        <f>IFERROR(__xludf.DUMMYFUNCTION("""COMPUTED_VALUE"""),13.75)</f>
        <v>13.75</v>
      </c>
      <c r="I760" s="2">
        <f>IFERROR(__xludf.DUMMYFUNCTION("""COMPUTED_VALUE"""),14.63)</f>
        <v>14.63</v>
      </c>
      <c r="J760" s="2">
        <f>IFERROR(__xludf.DUMMYFUNCTION("""COMPUTED_VALUE"""),0.8800000000000008)</f>
        <v>0.88</v>
      </c>
      <c r="K760" s="5">
        <f>IFERROR(__xludf.DUMMYFUNCTION("""COMPUTED_VALUE"""),0.06400000000000006)</f>
        <v>0.064</v>
      </c>
      <c r="L760">
        <f>IFERROR(__xludf.DUMMYFUNCTION("""COMPUTED_VALUE"""),30706.0)</f>
        <v>30706</v>
      </c>
      <c r="M760" t="str">
        <f>IFERROR(__xludf.DUMMYFUNCTION("""COMPUTED_VALUE"""),"Sports")</f>
        <v>Sports</v>
      </c>
      <c r="O760" t="str">
        <f>IFERROR(__xludf.DUMMYFUNCTION("""COMPUTED_VALUE"""),"Y")</f>
        <v>Y</v>
      </c>
      <c r="P760" s="1" t="str">
        <f>IFERROR(__xludf.DUMMYFUNCTION("""COMPUTED_VALUE"""),"ID 12739")</f>
        <v>ID 12739</v>
      </c>
      <c r="Q760" s="1" t="str">
        <f>IFERROR(__xludf.DUMMYFUNCTION("""COMPUTED_VALUE"""),"B084PRP6QT")</f>
        <v>B084PRP6QT</v>
      </c>
    </row>
    <row r="761">
      <c r="A761" s="6">
        <f>IFERROR(__xludf.DUMMYFUNCTION("""COMPUTED_VALUE"""),45419.0)</f>
        <v>45419</v>
      </c>
      <c r="B761">
        <f>IFERROR(__xludf.DUMMYFUNCTION("""COMPUTED_VALUE"""),20604.0)</f>
        <v>20604</v>
      </c>
      <c r="C761" t="str">
        <f>IFERROR(__xludf.DUMMYFUNCTION("""COMPUTED_VALUE"""),"Keebler Fudge Stripes Cookies Minis, Original, 72 oz (36 Count)")</f>
        <v>Keebler Fudge Stripes Cookies Minis, Original, 72 oz (36 Count)</v>
      </c>
      <c r="D761" t="str">
        <f>IFERROR(__xludf.DUMMYFUNCTION("""COMPUTED_VALUE"""),"B003ZXE80M")</f>
        <v>B003ZXE80M</v>
      </c>
      <c r="E761" t="str">
        <f>IFERROR(__xludf.DUMMYFUNCTION("""COMPUTED_VALUE"""),"030100239765")</f>
        <v>030100239765</v>
      </c>
      <c r="F761">
        <f>IFERROR(__xludf.DUMMYFUNCTION("""COMPUTED_VALUE"""),1010.0)</f>
        <v>1010</v>
      </c>
      <c r="G761">
        <f>IFERROR(__xludf.DUMMYFUNCTION("""COMPUTED_VALUE"""),10000.0)</f>
        <v>10000</v>
      </c>
      <c r="H761" s="2">
        <f>IFERROR(__xludf.DUMMYFUNCTION("""COMPUTED_VALUE"""),12.0)</f>
        <v>12</v>
      </c>
      <c r="I761" s="2">
        <f>IFERROR(__xludf.DUMMYFUNCTION("""COMPUTED_VALUE"""),12.88)</f>
        <v>12.88</v>
      </c>
      <c r="J761" s="2">
        <f>IFERROR(__xludf.DUMMYFUNCTION("""COMPUTED_VALUE"""),0.8800000000000008)</f>
        <v>0.88</v>
      </c>
      <c r="K761" s="5">
        <f>IFERROR(__xludf.DUMMYFUNCTION("""COMPUTED_VALUE"""),0.0733333333333334)</f>
        <v>0.07333333333</v>
      </c>
      <c r="L761">
        <f>IFERROR(__xludf.DUMMYFUNCTION("""COMPUTED_VALUE"""),55047.0)</f>
        <v>55047</v>
      </c>
      <c r="M761" t="str">
        <f>IFERROR(__xludf.DUMMYFUNCTION("""COMPUTED_VALUE"""),"Grocery")</f>
        <v>Grocery</v>
      </c>
      <c r="N761" t="str">
        <f>IFERROR(__xludf.DUMMYFUNCTION("""COMPUTED_VALUE"""),"Experiation date 30+ days from purchase date")</f>
        <v>Experiation date 30+ days from purchase date</v>
      </c>
      <c r="O761" t="str">
        <f>IFERROR(__xludf.DUMMYFUNCTION("""COMPUTED_VALUE"""),"N")</f>
        <v>N</v>
      </c>
      <c r="P761" s="1" t="str">
        <f>IFERROR(__xludf.DUMMYFUNCTION("""COMPUTED_VALUE"""),"ID 20604")</f>
        <v>ID 20604</v>
      </c>
      <c r="Q761" s="1" t="str">
        <f>IFERROR(__xludf.DUMMYFUNCTION("""COMPUTED_VALUE"""),"B003ZXE80M")</f>
        <v>B003ZXE80M</v>
      </c>
    </row>
    <row r="762">
      <c r="A762" s="6">
        <f>IFERROR(__xludf.DUMMYFUNCTION("""COMPUTED_VALUE"""),45383.0)</f>
        <v>45383</v>
      </c>
      <c r="B762">
        <f>IFERROR(__xludf.DUMMYFUNCTION("""COMPUTED_VALUE"""),13216.0)</f>
        <v>13216</v>
      </c>
      <c r="C762" t="str">
        <f>IFERROR(__xludf.DUMMYFUNCTION("""COMPUTED_VALUE"""),"VASELINE BLUESEAL BABY JELLY - 100ML")</f>
        <v>VASELINE BLUESEAL BABY JELLY - 100ML</v>
      </c>
      <c r="D762" t="str">
        <f>IFERROR(__xludf.DUMMYFUNCTION("""COMPUTED_VALUE"""),"B01127OC6M")</f>
        <v>B01127OC6M</v>
      </c>
      <c r="E762" t="str">
        <f>IFERROR(__xludf.DUMMYFUNCTION("""COMPUTED_VALUE"""),"000060019066")</f>
        <v>000060019066</v>
      </c>
      <c r="F762">
        <f>IFERROR(__xludf.DUMMYFUNCTION("""COMPUTED_VALUE"""),1152.0)</f>
        <v>1152</v>
      </c>
      <c r="G762">
        <f>IFERROR(__xludf.DUMMYFUNCTION("""COMPUTED_VALUE"""),4696.0)</f>
        <v>4696</v>
      </c>
      <c r="H762" s="2">
        <f>IFERROR(__xludf.DUMMYFUNCTION("""COMPUTED_VALUE"""),1.25)</f>
        <v>1.25</v>
      </c>
      <c r="I762" s="2">
        <f>IFERROR(__xludf.DUMMYFUNCTION("""COMPUTED_VALUE"""),2.13)</f>
        <v>2.13</v>
      </c>
      <c r="J762" s="2">
        <f>IFERROR(__xludf.DUMMYFUNCTION("""COMPUTED_VALUE"""),0.8799999999999999)</f>
        <v>0.88</v>
      </c>
      <c r="K762" s="5">
        <f>IFERROR(__xludf.DUMMYFUNCTION("""COMPUTED_VALUE"""),0.704)</f>
        <v>0.704</v>
      </c>
      <c r="L762">
        <f>IFERROR(__xludf.DUMMYFUNCTION("""COMPUTED_VALUE"""),21926.0)</f>
        <v>21926</v>
      </c>
      <c r="M762" t="str">
        <f>IFERROR(__xludf.DUMMYFUNCTION("""COMPUTED_VALUE"""),"Beauty")</f>
        <v>Beauty</v>
      </c>
      <c r="N762" t="str">
        <f>IFERROR(__xludf.DUMMYFUNCTION("""COMPUTED_VALUE"""),"XP 11/25")</f>
        <v>XP 11/25</v>
      </c>
      <c r="O762" t="str">
        <f>IFERROR(__xludf.DUMMYFUNCTION("""COMPUTED_VALUE"""),"N")</f>
        <v>N</v>
      </c>
      <c r="P762" s="1" t="str">
        <f>IFERROR(__xludf.DUMMYFUNCTION("""COMPUTED_VALUE"""),"ID 13216")</f>
        <v>ID 13216</v>
      </c>
      <c r="Q762" s="1" t="str">
        <f>IFERROR(__xludf.DUMMYFUNCTION("""COMPUTED_VALUE"""),"B01127OC6M")</f>
        <v>B01127OC6M</v>
      </c>
    </row>
    <row r="763">
      <c r="A763" s="6">
        <f>IFERROR(__xludf.DUMMYFUNCTION("""COMPUTED_VALUE"""),45169.0)</f>
        <v>45169</v>
      </c>
      <c r="B763">
        <f>IFERROR(__xludf.DUMMYFUNCTION("""COMPUTED_VALUE"""),15003.0)</f>
        <v>15003</v>
      </c>
      <c r="C763" t="str">
        <f>IFERROR(__xludf.DUMMYFUNCTION("""COMPUTED_VALUE"""),"Revlon Nail Enamel, Chip Resistant Nail Polish, Glossy Shine Finish, in Black/Grey, 905 Sophisticated, 0.5 oz")</f>
        <v>Revlon Nail Enamel, Chip Resistant Nail Polish, Glossy Shine Finish, in Black/Grey, 905 Sophisticated, 0.5 oz</v>
      </c>
      <c r="D763" t="str">
        <f>IFERROR(__xludf.DUMMYFUNCTION("""COMPUTED_VALUE"""),"B00XM1MTEY")</f>
        <v>B00XM1MTEY</v>
      </c>
      <c r="E763" t="str">
        <f>IFERROR(__xludf.DUMMYFUNCTION("""COMPUTED_VALUE"""),"309978435945")</f>
        <v>309978435945</v>
      </c>
      <c r="F763">
        <f>IFERROR(__xludf.DUMMYFUNCTION("""COMPUTED_VALUE"""),1368.0)</f>
        <v>1368</v>
      </c>
      <c r="G763">
        <f>IFERROR(__xludf.DUMMYFUNCTION("""COMPUTED_VALUE"""),2880.0)</f>
        <v>2880</v>
      </c>
      <c r="H763" s="2">
        <f>IFERROR(__xludf.DUMMYFUNCTION("""COMPUTED_VALUE"""),1.0)</f>
        <v>1</v>
      </c>
      <c r="I763" s="2">
        <f>IFERROR(__xludf.DUMMYFUNCTION("""COMPUTED_VALUE"""),1.88)</f>
        <v>1.88</v>
      </c>
      <c r="J763" s="2">
        <f>IFERROR(__xludf.DUMMYFUNCTION("""COMPUTED_VALUE"""),0.8799999999999999)</f>
        <v>0.88</v>
      </c>
      <c r="K763" s="5">
        <f>IFERROR(__xludf.DUMMYFUNCTION("""COMPUTED_VALUE"""),0.8799999999999999)</f>
        <v>0.88</v>
      </c>
      <c r="L763">
        <f>IFERROR(__xludf.DUMMYFUNCTION("""COMPUTED_VALUE"""),16759.0)</f>
        <v>16759</v>
      </c>
      <c r="M763" t="str">
        <f>IFERROR(__xludf.DUMMYFUNCTION("""COMPUTED_VALUE"""),"Beauty")</f>
        <v>Beauty</v>
      </c>
      <c r="O763" t="str">
        <f>IFERROR(__xludf.DUMMYFUNCTION("""COMPUTED_VALUE"""),"N")</f>
        <v>N</v>
      </c>
      <c r="P763" s="1" t="str">
        <f>IFERROR(__xludf.DUMMYFUNCTION("""COMPUTED_VALUE"""),"ID 15003")</f>
        <v>ID 15003</v>
      </c>
      <c r="Q763" s="1" t="str">
        <f>IFERROR(__xludf.DUMMYFUNCTION("""COMPUTED_VALUE"""),"B00XM1MTEY")</f>
        <v>B00XM1MTEY</v>
      </c>
    </row>
    <row r="764">
      <c r="A764" s="6">
        <f>IFERROR(__xludf.DUMMYFUNCTION("""COMPUTED_VALUE"""),45357.0)</f>
        <v>45357</v>
      </c>
      <c r="B764">
        <f>IFERROR(__xludf.DUMMYFUNCTION("""COMPUTED_VALUE"""),22316.0)</f>
        <v>22316</v>
      </c>
      <c r="C764" t="str">
        <f>IFERROR(__xludf.DUMMYFUNCTION("""COMPUTED_VALUE"""),"PILOT G2 Gel Ink Refills For Rolling Ball Pens, Fine Point, Red Ink, 2-Pack (77242)")</f>
        <v>PILOT G2 Gel Ink Refills For Rolling Ball Pens, Fine Point, Red Ink, 2-Pack (77242)</v>
      </c>
      <c r="D764" t="str">
        <f>IFERROR(__xludf.DUMMYFUNCTION("""COMPUTED_VALUE"""),"B001GX8FO8")</f>
        <v>B001GX8FO8</v>
      </c>
      <c r="E764" t="str">
        <f>IFERROR(__xludf.DUMMYFUNCTION("""COMPUTED_VALUE"""),"072838772428")</f>
        <v>072838772428</v>
      </c>
      <c r="F764">
        <f>IFERROR(__xludf.DUMMYFUNCTION("""COMPUTED_VALUE"""),720.0)</f>
        <v>720</v>
      </c>
      <c r="G764">
        <f>IFERROR(__xludf.DUMMYFUNCTION("""COMPUTED_VALUE"""),10000.0)</f>
        <v>10000</v>
      </c>
      <c r="H764" s="2">
        <f>IFERROR(__xludf.DUMMYFUNCTION("""COMPUTED_VALUE"""),1.5)</f>
        <v>1.5</v>
      </c>
      <c r="I764" s="2">
        <f>IFERROR(__xludf.DUMMYFUNCTION("""COMPUTED_VALUE"""),2.38)</f>
        <v>2.38</v>
      </c>
      <c r="J764" s="2">
        <f>IFERROR(__xludf.DUMMYFUNCTION("""COMPUTED_VALUE"""),0.8799999999999999)</f>
        <v>0.88</v>
      </c>
      <c r="K764" s="5">
        <f>IFERROR(__xludf.DUMMYFUNCTION("""COMPUTED_VALUE"""),0.5866666666666666)</f>
        <v>0.5866666667</v>
      </c>
      <c r="L764">
        <f>IFERROR(__xludf.DUMMYFUNCTION("""COMPUTED_VALUE"""),22329.0)</f>
        <v>22329</v>
      </c>
      <c r="M764" t="str">
        <f>IFERROR(__xludf.DUMMYFUNCTION("""COMPUTED_VALUE"""),"Office Product")</f>
        <v>Office Product</v>
      </c>
      <c r="O764" t="str">
        <f>IFERROR(__xludf.DUMMYFUNCTION("""COMPUTED_VALUE"""),"Y")</f>
        <v>Y</v>
      </c>
      <c r="P764" s="1" t="str">
        <f>IFERROR(__xludf.DUMMYFUNCTION("""COMPUTED_VALUE"""),"ID 22316")</f>
        <v>ID 22316</v>
      </c>
      <c r="Q764" s="1" t="str">
        <f>IFERROR(__xludf.DUMMYFUNCTION("""COMPUTED_VALUE"""),"B001GX8FO8")</f>
        <v>B001GX8FO8</v>
      </c>
    </row>
    <row r="765">
      <c r="A765" s="6">
        <f>IFERROR(__xludf.DUMMYFUNCTION("""COMPUTED_VALUE"""),44655.0)</f>
        <v>44655</v>
      </c>
      <c r="B765">
        <f>IFERROR(__xludf.DUMMYFUNCTION("""COMPUTED_VALUE"""),23568.0)</f>
        <v>23568</v>
      </c>
      <c r="C765" t="str">
        <f>IFERROR(__xludf.DUMMYFUNCTION("""COMPUTED_VALUE"""),"My Little Pony Magical Potion Surprise Blind Bag Batch 1: Collectible Toy with Water-Reveal Surprise, 1.5"" Scale Figure")</f>
        <v>My Little Pony Magical Potion Surprise Blind Bag Batch 1: Collectible Toy with Water-Reveal Surprise, 1.5" Scale Figure</v>
      </c>
      <c r="D765" t="str">
        <f>IFERROR(__xludf.DUMMYFUNCTION("""COMPUTED_VALUE"""),"B07VYFMVJP")</f>
        <v>B07VYFMVJP</v>
      </c>
      <c r="E765" t="str">
        <f>IFERROR(__xludf.DUMMYFUNCTION("""COMPUTED_VALUE"""),"630509911011")</f>
        <v>630509911011</v>
      </c>
      <c r="F765">
        <f>IFERROR(__xludf.DUMMYFUNCTION("""COMPUTED_VALUE"""),840.0)</f>
        <v>840</v>
      </c>
      <c r="G765">
        <f>IFERROR(__xludf.DUMMYFUNCTION("""COMPUTED_VALUE"""),6568.0)</f>
        <v>6568</v>
      </c>
      <c r="H765" s="2">
        <f>IFERROR(__xludf.DUMMYFUNCTION("""COMPUTED_VALUE"""),1.5)</f>
        <v>1.5</v>
      </c>
      <c r="I765" s="2">
        <f>IFERROR(__xludf.DUMMYFUNCTION("""COMPUTED_VALUE"""),2.38)</f>
        <v>2.38</v>
      </c>
      <c r="J765" s="2">
        <f>IFERROR(__xludf.DUMMYFUNCTION("""COMPUTED_VALUE"""),0.8799999999999999)</f>
        <v>0.88</v>
      </c>
      <c r="K765" s="5">
        <f>IFERROR(__xludf.DUMMYFUNCTION("""COMPUTED_VALUE"""),0.5866666666666666)</f>
        <v>0.5866666667</v>
      </c>
      <c r="L765">
        <f>IFERROR(__xludf.DUMMYFUNCTION("""COMPUTED_VALUE"""),72466.0)</f>
        <v>72466</v>
      </c>
      <c r="M765" t="str">
        <f>IFERROR(__xludf.DUMMYFUNCTION("""COMPUTED_VALUE"""),"Toy")</f>
        <v>Toy</v>
      </c>
      <c r="O765" t="str">
        <f>IFERROR(__xludf.DUMMYFUNCTION("""COMPUTED_VALUE"""),"Y")</f>
        <v>Y</v>
      </c>
      <c r="P765" s="1" t="str">
        <f>IFERROR(__xludf.DUMMYFUNCTION("""COMPUTED_VALUE"""),"ID 23568")</f>
        <v>ID 23568</v>
      </c>
      <c r="Q765" s="1" t="str">
        <f>IFERROR(__xludf.DUMMYFUNCTION("""COMPUTED_VALUE"""),"B07VYFMVJP")</f>
        <v>B07VYFMVJP</v>
      </c>
    </row>
    <row r="766">
      <c r="A766" s="6">
        <f>IFERROR(__xludf.DUMMYFUNCTION("""COMPUTED_VALUE"""),44571.0)</f>
        <v>44571</v>
      </c>
      <c r="B766">
        <f>IFERROR(__xludf.DUMMYFUNCTION("""COMPUTED_VALUE"""),23800.0)</f>
        <v>23800</v>
      </c>
      <c r="C766" t="str">
        <f>IFERROR(__xludf.DUMMYFUNCTION("""COMPUTED_VALUE"""),"Scotch Vinyl Color Coding Electrical Tape 35, 1/2 in x 20 ft, White")</f>
        <v>Scotch Vinyl Color Coding Electrical Tape 35, 1/2 in x 20 ft, White</v>
      </c>
      <c r="D766" t="str">
        <f>IFERROR(__xludf.DUMMYFUNCTION("""COMPUTED_VALUE"""),"B005CFLSKO")</f>
        <v>B005CFLSKO</v>
      </c>
      <c r="E766" t="str">
        <f>IFERROR(__xludf.DUMMYFUNCTION("""COMPUTED_VALUE"""),"54007102328")</f>
        <v>54007102328</v>
      </c>
      <c r="F766">
        <f>IFERROR(__xludf.DUMMYFUNCTION("""COMPUTED_VALUE"""),1960.0)</f>
        <v>1960</v>
      </c>
      <c r="G766">
        <f>IFERROR(__xludf.DUMMYFUNCTION("""COMPUTED_VALUE"""),2000.0)</f>
        <v>2000</v>
      </c>
      <c r="H766" s="2">
        <f>IFERROR(__xludf.DUMMYFUNCTION("""COMPUTED_VALUE"""),1.75)</f>
        <v>1.75</v>
      </c>
      <c r="I766" s="2">
        <f>IFERROR(__xludf.DUMMYFUNCTION("""COMPUTED_VALUE"""),2.63)</f>
        <v>2.63</v>
      </c>
      <c r="J766" s="2">
        <f>IFERROR(__xludf.DUMMYFUNCTION("""COMPUTED_VALUE"""),0.8799999999999999)</f>
        <v>0.88</v>
      </c>
      <c r="K766" s="5">
        <f>IFERROR(__xludf.DUMMYFUNCTION("""COMPUTED_VALUE"""),0.5028571428571428)</f>
        <v>0.5028571429</v>
      </c>
      <c r="L766">
        <f>IFERROR(__xludf.DUMMYFUNCTION("""COMPUTED_VALUE"""),3203.0)</f>
        <v>3203</v>
      </c>
      <c r="M766" t="str">
        <f>IFERROR(__xludf.DUMMYFUNCTION("""COMPUTED_VALUE"""),"BISS Basic")</f>
        <v>BISS Basic</v>
      </c>
      <c r="N766" t="str">
        <f>IFERROR(__xludf.DUMMYFUNCTION("""COMPUTED_VALUE"""),"UOM: 1 roll. May require additional prep. 1 Carton = 10 Roll, 1 Case = 100 Roll, 1 Pallet = 21,600 Roll")</f>
        <v>UOM: 1 roll. May require additional prep. 1 Carton = 10 Roll, 1 Case = 100 Roll, 1 Pallet = 21,600 Roll</v>
      </c>
      <c r="O766" t="str">
        <f>IFERROR(__xludf.DUMMYFUNCTION("""COMPUTED_VALUE"""),"N")</f>
        <v>N</v>
      </c>
      <c r="P766" s="1" t="str">
        <f>IFERROR(__xludf.DUMMYFUNCTION("""COMPUTED_VALUE"""),"ID 23800")</f>
        <v>ID 23800</v>
      </c>
      <c r="Q766" s="1" t="str">
        <f>IFERROR(__xludf.DUMMYFUNCTION("""COMPUTED_VALUE"""),"B005CFLSKO")</f>
        <v>B005CFLSKO</v>
      </c>
    </row>
    <row r="767">
      <c r="A767" s="6">
        <f>IFERROR(__xludf.DUMMYFUNCTION("""COMPUTED_VALUE"""),45169.0)</f>
        <v>45169</v>
      </c>
      <c r="B767">
        <f>IFERROR(__xludf.DUMMYFUNCTION("""COMPUTED_VALUE"""),25064.0)</f>
        <v>25064</v>
      </c>
      <c r="C767" t="str">
        <f>IFERROR(__xludf.DUMMYFUNCTION("""COMPUTED_VALUE"""),"Revlon ColorStay Gel Envy, All Greiged Out, 0.400 Fluid Ounce")</f>
        <v>Revlon ColorStay Gel Envy, All Greiged Out, 0.400 Fluid Ounce</v>
      </c>
      <c r="D767" t="str">
        <f>IFERROR(__xludf.DUMMYFUNCTION("""COMPUTED_VALUE"""),"B07B4HLCZX")</f>
        <v>B07B4HLCZX</v>
      </c>
      <c r="E767" t="str">
        <f>IFERROR(__xludf.DUMMYFUNCTION("""COMPUTED_VALUE"""),"309978418689")</f>
        <v>309978418689</v>
      </c>
      <c r="F767">
        <f>IFERROR(__xludf.DUMMYFUNCTION("""COMPUTED_VALUE"""),1368.0)</f>
        <v>1368</v>
      </c>
      <c r="G767">
        <f>IFERROR(__xludf.DUMMYFUNCTION("""COMPUTED_VALUE"""),2664.0)</f>
        <v>2664</v>
      </c>
      <c r="H767" s="2">
        <f>IFERROR(__xludf.DUMMYFUNCTION("""COMPUTED_VALUE"""),1.0)</f>
        <v>1</v>
      </c>
      <c r="I767" s="2">
        <f>IFERROR(__xludf.DUMMYFUNCTION("""COMPUTED_VALUE"""),1.88)</f>
        <v>1.88</v>
      </c>
      <c r="J767" s="2">
        <f>IFERROR(__xludf.DUMMYFUNCTION("""COMPUTED_VALUE"""),0.8799999999999999)</f>
        <v>0.88</v>
      </c>
      <c r="K767" s="5">
        <f>IFERROR(__xludf.DUMMYFUNCTION("""COMPUTED_VALUE"""),0.8799999999999999)</f>
        <v>0.88</v>
      </c>
      <c r="L767">
        <f>IFERROR(__xludf.DUMMYFUNCTION("""COMPUTED_VALUE"""),27777.0)</f>
        <v>27777</v>
      </c>
      <c r="M767" t="str">
        <f>IFERROR(__xludf.DUMMYFUNCTION("""COMPUTED_VALUE"""),"Beauty")</f>
        <v>Beauty</v>
      </c>
      <c r="O767" t="str">
        <f>IFERROR(__xludf.DUMMYFUNCTION("""COMPUTED_VALUE"""),"Y")</f>
        <v>Y</v>
      </c>
      <c r="P767" s="1" t="str">
        <f>IFERROR(__xludf.DUMMYFUNCTION("""COMPUTED_VALUE"""),"ID 25064")</f>
        <v>ID 25064</v>
      </c>
      <c r="Q767" s="1" t="str">
        <f>IFERROR(__xludf.DUMMYFUNCTION("""COMPUTED_VALUE"""),"B07B4HLCZX")</f>
        <v>B07B4HLCZX</v>
      </c>
    </row>
    <row r="768">
      <c r="A768" s="6">
        <f>IFERROR(__xludf.DUMMYFUNCTION("""COMPUTED_VALUE"""),44599.0)</f>
        <v>44599</v>
      </c>
      <c r="B768">
        <f>IFERROR(__xludf.DUMMYFUNCTION("""COMPUTED_VALUE"""),23204.0)</f>
        <v>23204</v>
      </c>
      <c r="C768" t="str">
        <f>IFERROR(__xludf.DUMMYFUNCTION("""COMPUTED_VALUE"""),"Wahl 5567-500 Ear, Nose and Brow Wet/Dry Battery Trimmer, Black")</f>
        <v>Wahl 5567-500 Ear, Nose and Brow Wet/Dry Battery Trimmer, Black</v>
      </c>
      <c r="D768" t="str">
        <f>IFERROR(__xludf.DUMMYFUNCTION("""COMPUTED_VALUE"""),"B000ICLIMO")</f>
        <v>B000ICLIMO</v>
      </c>
      <c r="E768" t="str">
        <f>IFERROR(__xludf.DUMMYFUNCTION("""COMPUTED_VALUE"""),"43917556758")</f>
        <v>43917556758</v>
      </c>
      <c r="F768">
        <f>IFERROR(__xludf.DUMMYFUNCTION("""COMPUTED_VALUE"""),312.0)</f>
        <v>312</v>
      </c>
      <c r="G768">
        <f>IFERROR(__xludf.DUMMYFUNCTION("""COMPUTED_VALUE"""),590.0)</f>
        <v>590</v>
      </c>
      <c r="H768" s="2">
        <f>IFERROR(__xludf.DUMMYFUNCTION("""COMPUTED_VALUE"""),4.0)</f>
        <v>4</v>
      </c>
      <c r="I768" s="2">
        <f>IFERROR(__xludf.DUMMYFUNCTION("""COMPUTED_VALUE"""),4.87)</f>
        <v>4.87</v>
      </c>
      <c r="J768" s="2">
        <f>IFERROR(__xludf.DUMMYFUNCTION("""COMPUTED_VALUE"""),0.8700000000000001)</f>
        <v>0.87</v>
      </c>
      <c r="K768" s="5">
        <f>IFERROR(__xludf.DUMMYFUNCTION("""COMPUTED_VALUE"""),0.21750000000000003)</f>
        <v>0.2175</v>
      </c>
      <c r="L768">
        <f>IFERROR(__xludf.DUMMYFUNCTION("""COMPUTED_VALUE"""),69649.0)</f>
        <v>69649</v>
      </c>
      <c r="M768" t="str">
        <f>IFERROR(__xludf.DUMMYFUNCTION("""COMPUTED_VALUE"""),"Beauty")</f>
        <v>Beauty</v>
      </c>
      <c r="O768" t="str">
        <f>IFERROR(__xludf.DUMMYFUNCTION("""COMPUTED_VALUE"""),"N")</f>
        <v>N</v>
      </c>
      <c r="P768" s="1" t="str">
        <f>IFERROR(__xludf.DUMMYFUNCTION("""COMPUTED_VALUE"""),"ID 23204")</f>
        <v>ID 23204</v>
      </c>
      <c r="Q768" s="1" t="str">
        <f>IFERROR(__xludf.DUMMYFUNCTION("""COMPUTED_VALUE"""),"B000ICLIMO")</f>
        <v>B000ICLIMO</v>
      </c>
    </row>
    <row r="769">
      <c r="A769" s="6">
        <f>IFERROR(__xludf.DUMMYFUNCTION("""COMPUTED_VALUE"""),45421.0)</f>
        <v>45421</v>
      </c>
      <c r="B769">
        <f>IFERROR(__xludf.DUMMYFUNCTION("""COMPUTED_VALUE"""),25590.0)</f>
        <v>25590</v>
      </c>
      <c r="C769" t="str">
        <f>IFERROR(__xludf.DUMMYFUNCTION("""COMPUTED_VALUE"""),"The Original Chartpak AD Marker, Tri-Nib, Cool Gray 1, 1 Each (P181)")</f>
        <v>The Original Chartpak AD Marker, Tri-Nib, Cool Gray 1, 1 Each (P181)</v>
      </c>
      <c r="D769" t="str">
        <f>IFERROR(__xludf.DUMMYFUNCTION("""COMPUTED_VALUE"""),"B004BNF25U")</f>
        <v>B004BNF25U</v>
      </c>
      <c r="E769" t="str">
        <f>IFERROR(__xludf.DUMMYFUNCTION("""COMPUTED_VALUE"""),"014173081193")</f>
        <v>014173081193</v>
      </c>
      <c r="F769">
        <f>IFERROR(__xludf.DUMMYFUNCTION("""COMPUTED_VALUE"""),900.0)</f>
        <v>900</v>
      </c>
      <c r="G769">
        <f>IFERROR(__xludf.DUMMYFUNCTION("""COMPUTED_VALUE"""),10000.0)</f>
        <v>10000</v>
      </c>
      <c r="H769" s="2">
        <f>IFERROR(__xludf.DUMMYFUNCTION("""COMPUTED_VALUE"""),3.5)</f>
        <v>3.5</v>
      </c>
      <c r="I769" s="2">
        <f>IFERROR(__xludf.DUMMYFUNCTION("""COMPUTED_VALUE"""),4.37)</f>
        <v>4.37</v>
      </c>
      <c r="J769" s="2">
        <f>IFERROR(__xludf.DUMMYFUNCTION("""COMPUTED_VALUE"""),0.8700000000000001)</f>
        <v>0.87</v>
      </c>
      <c r="K769" s="5">
        <f>IFERROR(__xludf.DUMMYFUNCTION("""COMPUTED_VALUE"""),0.2485714285714286)</f>
        <v>0.2485714286</v>
      </c>
      <c r="L769">
        <f>IFERROR(__xludf.DUMMYFUNCTION("""COMPUTED_VALUE"""),50551.0)</f>
        <v>50551</v>
      </c>
      <c r="M769" t="str">
        <f>IFERROR(__xludf.DUMMYFUNCTION("""COMPUTED_VALUE"""),"Office Product")</f>
        <v>Office Product</v>
      </c>
      <c r="O769" t="str">
        <f>IFERROR(__xludf.DUMMYFUNCTION("""COMPUTED_VALUE"""),"N")</f>
        <v>N</v>
      </c>
      <c r="P769" s="1" t="str">
        <f>IFERROR(__xludf.DUMMYFUNCTION("""COMPUTED_VALUE"""),"ID 25590")</f>
        <v>ID 25590</v>
      </c>
      <c r="Q769" s="1" t="str">
        <f>IFERROR(__xludf.DUMMYFUNCTION("""COMPUTED_VALUE"""),"B004BNF25U")</f>
        <v>B004BNF25U</v>
      </c>
    </row>
    <row r="770">
      <c r="A770" s="6">
        <f>IFERROR(__xludf.DUMMYFUNCTION("""COMPUTED_VALUE"""),44958.0)</f>
        <v>44958</v>
      </c>
      <c r="B770">
        <f>IFERROR(__xludf.DUMMYFUNCTION("""COMPUTED_VALUE"""),22437.0)</f>
        <v>22437</v>
      </c>
      <c r="C770" t="str">
        <f>IFERROR(__xludf.DUMMYFUNCTION("""COMPUTED_VALUE"""),"Cardinal 3 Ring Binder, 1.5"" Heavy Duty XtraLife Binder, Locking Slant-D Rings, Crack-Resistant Cover &amp; Spine, ClearVue Covers, Holds 375 Sheets, Blue (26312)")</f>
        <v>Cardinal 3 Ring Binder, 1.5" Heavy Duty XtraLife Binder, Locking Slant-D Rings, Crack-Resistant Cover &amp; Spine, ClearVue Covers, Holds 375 Sheets, Blue (26312)</v>
      </c>
      <c r="D770" t="str">
        <f>IFERROR(__xludf.DUMMYFUNCTION("""COMPUTED_VALUE"""),"B00016ZMMY")</f>
        <v>B00016ZMMY</v>
      </c>
      <c r="E770" t="str">
        <f>IFERROR(__xludf.DUMMYFUNCTION("""COMPUTED_VALUE"""),"083086263125")</f>
        <v>083086263125</v>
      </c>
      <c r="F770">
        <f>IFERROR(__xludf.DUMMYFUNCTION("""COMPUTED_VALUE"""),288.0)</f>
        <v>288</v>
      </c>
      <c r="G770">
        <f>IFERROR(__xludf.DUMMYFUNCTION("""COMPUTED_VALUE"""),10000.0)</f>
        <v>10000</v>
      </c>
      <c r="H770" s="2">
        <f>IFERROR(__xludf.DUMMYFUNCTION("""COMPUTED_VALUE"""),8.5)</f>
        <v>8.5</v>
      </c>
      <c r="I770" s="2">
        <f>IFERROR(__xludf.DUMMYFUNCTION("""COMPUTED_VALUE"""),9.37)</f>
        <v>9.37</v>
      </c>
      <c r="J770" s="2">
        <f>IFERROR(__xludf.DUMMYFUNCTION("""COMPUTED_VALUE"""),0.8699999999999992)</f>
        <v>0.87</v>
      </c>
      <c r="K770" s="5">
        <f>IFERROR(__xludf.DUMMYFUNCTION("""COMPUTED_VALUE"""),0.1023529411764705)</f>
        <v>0.1023529412</v>
      </c>
      <c r="L770">
        <f>IFERROR(__xludf.DUMMYFUNCTION("""COMPUTED_VALUE"""),83067.0)</f>
        <v>83067</v>
      </c>
      <c r="M770" t="str">
        <f>IFERROR(__xludf.DUMMYFUNCTION("""COMPUTED_VALUE"""),"Office Product")</f>
        <v>Office Product</v>
      </c>
      <c r="O770" t="str">
        <f>IFERROR(__xludf.DUMMYFUNCTION("""COMPUTED_VALUE"""),"N")</f>
        <v>N</v>
      </c>
      <c r="P770" s="1" t="str">
        <f>IFERROR(__xludf.DUMMYFUNCTION("""COMPUTED_VALUE"""),"ID 22437")</f>
        <v>ID 22437</v>
      </c>
      <c r="Q770" s="1" t="str">
        <f>IFERROR(__xludf.DUMMYFUNCTION("""COMPUTED_VALUE"""),"B00016ZMMY")</f>
        <v>B00016ZMMY</v>
      </c>
    </row>
    <row r="771">
      <c r="A771" s="6">
        <f>IFERROR(__xludf.DUMMYFUNCTION("""COMPUTED_VALUE"""),45429.0)</f>
        <v>45429</v>
      </c>
      <c r="B771">
        <f>IFERROR(__xludf.DUMMYFUNCTION("""COMPUTED_VALUE"""),25248.0)</f>
        <v>25248</v>
      </c>
      <c r="C771" t="str">
        <f>IFERROR(__xludf.DUMMYFUNCTION("""COMPUTED_VALUE"""),"PBR: Out Of The Chute")</f>
        <v>PBR: Out Of The Chute</v>
      </c>
      <c r="D771" t="str">
        <f>IFERROR(__xludf.DUMMYFUNCTION("""COMPUTED_VALUE"""),"B001AR0D2C")</f>
        <v>B001AR0D2C</v>
      </c>
      <c r="E771" t="str">
        <f>IFERROR(__xludf.DUMMYFUNCTION("""COMPUTED_VALUE"""),"650008500318")</f>
        <v>650008500318</v>
      </c>
      <c r="F771">
        <f>IFERROR(__xludf.DUMMYFUNCTION("""COMPUTED_VALUE"""),43.0)</f>
        <v>43</v>
      </c>
      <c r="G771">
        <f>IFERROR(__xludf.DUMMYFUNCTION("""COMPUTED_VALUE"""),43.0)</f>
        <v>43</v>
      </c>
      <c r="H771" s="2">
        <f>IFERROR(__xludf.DUMMYFUNCTION("""COMPUTED_VALUE"""),7.25)</f>
        <v>7.25</v>
      </c>
      <c r="I771" s="2">
        <f>IFERROR(__xludf.DUMMYFUNCTION("""COMPUTED_VALUE"""),8.12)</f>
        <v>8.12</v>
      </c>
      <c r="J771" s="2">
        <f>IFERROR(__xludf.DUMMYFUNCTION("""COMPUTED_VALUE"""),0.8699999999999992)</f>
        <v>0.87</v>
      </c>
      <c r="K771" s="5">
        <f>IFERROR(__xludf.DUMMYFUNCTION("""COMPUTED_VALUE"""),0.1199999999999999)</f>
        <v>0.12</v>
      </c>
      <c r="L771">
        <f>IFERROR(__xludf.DUMMYFUNCTION("""COMPUTED_VALUE"""),51372.0)</f>
        <v>51372</v>
      </c>
      <c r="M771" t="str">
        <f>IFERROR(__xludf.DUMMYFUNCTION("""COMPUTED_VALUE"""),"Video Games")</f>
        <v>Video Games</v>
      </c>
      <c r="O771" t="str">
        <f>IFERROR(__xludf.DUMMYFUNCTION("""COMPUTED_VALUE"""),"N")</f>
        <v>N</v>
      </c>
      <c r="P771" s="1" t="str">
        <f>IFERROR(__xludf.DUMMYFUNCTION("""COMPUTED_VALUE"""),"ID 25248")</f>
        <v>ID 25248</v>
      </c>
      <c r="Q771" s="1" t="str">
        <f>IFERROR(__xludf.DUMMYFUNCTION("""COMPUTED_VALUE"""),"B001AR0D2C")</f>
        <v>B001AR0D2C</v>
      </c>
    </row>
    <row r="772">
      <c r="A772" s="6">
        <f>IFERROR(__xludf.DUMMYFUNCTION("""COMPUTED_VALUE"""),45362.0)</f>
        <v>45362</v>
      </c>
      <c r="B772">
        <f>IFERROR(__xludf.DUMMYFUNCTION("""COMPUTED_VALUE"""),19722.0)</f>
        <v>19722</v>
      </c>
      <c r="C772" t="str">
        <f>IFERROR(__xludf.DUMMYFUNCTION("""COMPUTED_VALUE"""),"Pentel Twist-Erase III Automatic Pencil with 1 Eraser Refill, 0.7mm, Assorted Barrels, 1 Pack (QE517BP-K6)")</f>
        <v>Pentel Twist-Erase III Automatic Pencil with 1 Eraser Refill, 0.7mm, Assorted Barrels, 1 Pack (QE517BP-K6)</v>
      </c>
      <c r="D772" t="str">
        <f>IFERROR(__xludf.DUMMYFUNCTION("""COMPUTED_VALUE"""),"B001HXD0CY")</f>
        <v>B001HXD0CY</v>
      </c>
      <c r="E772" t="str">
        <f>IFERROR(__xludf.DUMMYFUNCTION("""COMPUTED_VALUE"""),"072512127506")</f>
        <v>072512127506</v>
      </c>
      <c r="F772">
        <f>IFERROR(__xludf.DUMMYFUNCTION("""COMPUTED_VALUE"""),576.0)</f>
        <v>576</v>
      </c>
      <c r="G772">
        <f>IFERROR(__xludf.DUMMYFUNCTION("""COMPUTED_VALUE"""),10000.0)</f>
        <v>10000</v>
      </c>
      <c r="H772" s="2">
        <f>IFERROR(__xludf.DUMMYFUNCTION("""COMPUTED_VALUE"""),2.75)</f>
        <v>2.75</v>
      </c>
      <c r="I772" s="2">
        <f>IFERROR(__xludf.DUMMYFUNCTION("""COMPUTED_VALUE"""),3.61)</f>
        <v>3.61</v>
      </c>
      <c r="J772" s="2">
        <f>IFERROR(__xludf.DUMMYFUNCTION("""COMPUTED_VALUE"""),0.8599999999999999)</f>
        <v>0.86</v>
      </c>
      <c r="K772" s="5">
        <f>IFERROR(__xludf.DUMMYFUNCTION("""COMPUTED_VALUE"""),0.3127272727272727)</f>
        <v>0.3127272727</v>
      </c>
      <c r="L772">
        <f>IFERROR(__xludf.DUMMYFUNCTION("""COMPUTED_VALUE"""),1555.0)</f>
        <v>1555</v>
      </c>
      <c r="M772" t="str">
        <f>IFERROR(__xludf.DUMMYFUNCTION("""COMPUTED_VALUE"""),"Office Product")</f>
        <v>Office Product</v>
      </c>
      <c r="O772" t="str">
        <f>IFERROR(__xludf.DUMMYFUNCTION("""COMPUTED_VALUE"""),"N")</f>
        <v>N</v>
      </c>
      <c r="P772" s="1" t="str">
        <f>IFERROR(__xludf.DUMMYFUNCTION("""COMPUTED_VALUE"""),"ID 19722")</f>
        <v>ID 19722</v>
      </c>
      <c r="Q772" s="1" t="str">
        <f>IFERROR(__xludf.DUMMYFUNCTION("""COMPUTED_VALUE"""),"B001HXD0CY")</f>
        <v>B001HXD0CY</v>
      </c>
    </row>
    <row r="773">
      <c r="A773" s="6">
        <f>IFERROR(__xludf.DUMMYFUNCTION("""COMPUTED_VALUE"""),45362.0)</f>
        <v>45362</v>
      </c>
      <c r="B773">
        <f>IFERROR(__xludf.DUMMYFUNCTION("""COMPUTED_VALUE"""),19724.0)</f>
        <v>19724</v>
      </c>
      <c r="C773" t="str">
        <f>IFERROR(__xludf.DUMMYFUNCTION("""COMPUTED_VALUE"""),"Pentel Twist-Erase GT (0.5mm) Mechanical Pencil, Assorted Barrel Colors, Color May Vary, Pack of 3 (QE205BP3M)")</f>
        <v>Pentel Twist-Erase GT (0.5mm) Mechanical Pencil, Assorted Barrel Colors, Color May Vary, Pack of 3 (QE205BP3M)</v>
      </c>
      <c r="D773" t="str">
        <f>IFERROR(__xludf.DUMMYFUNCTION("""COMPUTED_VALUE"""),"B00DDWELI4")</f>
        <v>B00DDWELI4</v>
      </c>
      <c r="E773" t="str">
        <f>IFERROR(__xludf.DUMMYFUNCTION("""COMPUTED_VALUE"""),"072512250860")</f>
        <v>072512250860</v>
      </c>
      <c r="F773">
        <f>IFERROR(__xludf.DUMMYFUNCTION("""COMPUTED_VALUE"""),432.0)</f>
        <v>432</v>
      </c>
      <c r="G773">
        <f>IFERROR(__xludf.DUMMYFUNCTION("""COMPUTED_VALUE"""),10000.0)</f>
        <v>10000</v>
      </c>
      <c r="H773" s="2">
        <f>IFERROR(__xludf.DUMMYFUNCTION("""COMPUTED_VALUE"""),4.0)</f>
        <v>4</v>
      </c>
      <c r="I773" s="2">
        <f>IFERROR(__xludf.DUMMYFUNCTION("""COMPUTED_VALUE"""),4.86)</f>
        <v>4.86</v>
      </c>
      <c r="J773" s="2">
        <f>IFERROR(__xludf.DUMMYFUNCTION("""COMPUTED_VALUE"""),0.8600000000000003)</f>
        <v>0.86</v>
      </c>
      <c r="K773" s="5">
        <f>IFERROR(__xludf.DUMMYFUNCTION("""COMPUTED_VALUE"""),0.21500000000000008)</f>
        <v>0.215</v>
      </c>
      <c r="L773">
        <f>IFERROR(__xludf.DUMMYFUNCTION("""COMPUTED_VALUE"""),36949.0)</f>
        <v>36949</v>
      </c>
      <c r="M773" t="str">
        <f>IFERROR(__xludf.DUMMYFUNCTION("""COMPUTED_VALUE"""),"Office Product")</f>
        <v>Office Product</v>
      </c>
      <c r="O773" t="str">
        <f>IFERROR(__xludf.DUMMYFUNCTION("""COMPUTED_VALUE"""),"Y")</f>
        <v>Y</v>
      </c>
      <c r="P773" s="1" t="str">
        <f>IFERROR(__xludf.DUMMYFUNCTION("""COMPUTED_VALUE"""),"ID 19724")</f>
        <v>ID 19724</v>
      </c>
      <c r="Q773" s="1" t="str">
        <f>IFERROR(__xludf.DUMMYFUNCTION("""COMPUTED_VALUE"""),"B00DDWELI4")</f>
        <v>B00DDWELI4</v>
      </c>
    </row>
    <row r="774">
      <c r="A774" s="6">
        <f>IFERROR(__xludf.DUMMYFUNCTION("""COMPUTED_VALUE"""),45357.0)</f>
        <v>45357</v>
      </c>
      <c r="B774">
        <f>IFERROR(__xludf.DUMMYFUNCTION("""COMPUTED_VALUE"""),22332.0)</f>
        <v>22332</v>
      </c>
      <c r="C774" t="str">
        <f>IFERROR(__xludf.DUMMYFUNCTION("""COMPUTED_VALUE"""),"PILOT EasyTouch Refillable &amp; Retractable Ballpoint Pens, Fine Point, Black Ink, Single Pen (32230)")</f>
        <v>PILOT EasyTouch Refillable &amp; Retractable Ballpoint Pens, Fine Point, Black Ink, Single Pen (32230)</v>
      </c>
      <c r="D774" t="str">
        <f>IFERROR(__xludf.DUMMYFUNCTION("""COMPUTED_VALUE"""),"B000HX55FU")</f>
        <v>B000HX55FU</v>
      </c>
      <c r="E774" t="str">
        <f>IFERROR(__xludf.DUMMYFUNCTION("""COMPUTED_VALUE"""),"072838322302")</f>
        <v>072838322302</v>
      </c>
      <c r="F774">
        <f>IFERROR(__xludf.DUMMYFUNCTION("""COMPUTED_VALUE"""),1728.0)</f>
        <v>1728</v>
      </c>
      <c r="G774">
        <f>IFERROR(__xludf.DUMMYFUNCTION("""COMPUTED_VALUE"""),10000.0)</f>
        <v>10000</v>
      </c>
      <c r="H774" s="2">
        <f>IFERROR(__xludf.DUMMYFUNCTION("""COMPUTED_VALUE"""),0.75)</f>
        <v>0.75</v>
      </c>
      <c r="I774" s="2">
        <f>IFERROR(__xludf.DUMMYFUNCTION("""COMPUTED_VALUE"""),1.61)</f>
        <v>1.61</v>
      </c>
      <c r="J774" s="2">
        <f>IFERROR(__xludf.DUMMYFUNCTION("""COMPUTED_VALUE"""),0.8600000000000001)</f>
        <v>0.86</v>
      </c>
      <c r="K774" s="5">
        <f>IFERROR(__xludf.DUMMYFUNCTION("""COMPUTED_VALUE"""),1.1466666666666667)</f>
        <v>1.146666667</v>
      </c>
      <c r="L774">
        <f>IFERROR(__xludf.DUMMYFUNCTION("""COMPUTED_VALUE"""),46521.0)</f>
        <v>46521</v>
      </c>
      <c r="M774" t="str">
        <f>IFERROR(__xludf.DUMMYFUNCTION("""COMPUTED_VALUE"""),"Office Product")</f>
        <v>Office Product</v>
      </c>
      <c r="O774" t="str">
        <f>IFERROR(__xludf.DUMMYFUNCTION("""COMPUTED_VALUE"""),"N")</f>
        <v>N</v>
      </c>
      <c r="P774" s="1" t="str">
        <f>IFERROR(__xludf.DUMMYFUNCTION("""COMPUTED_VALUE"""),"ID 22332")</f>
        <v>ID 22332</v>
      </c>
      <c r="Q774" s="1" t="str">
        <f>IFERROR(__xludf.DUMMYFUNCTION("""COMPUTED_VALUE"""),"B000HX55FU")</f>
        <v>B000HX55FU</v>
      </c>
    </row>
    <row r="775">
      <c r="A775" s="6">
        <f>IFERROR(__xludf.DUMMYFUNCTION("""COMPUTED_VALUE"""),45118.0)</f>
        <v>45118</v>
      </c>
      <c r="B775">
        <f>IFERROR(__xludf.DUMMYFUNCTION("""COMPUTED_VALUE"""),24669.0)</f>
        <v>24669</v>
      </c>
      <c r="C775" t="str">
        <f>IFERROR(__xludf.DUMMYFUNCTION("""COMPUTED_VALUE"""),"SHARPIE INDUST FINE BLK")</f>
        <v>SHARPIE INDUST FINE BLK</v>
      </c>
      <c r="D775" t="str">
        <f>IFERROR(__xludf.DUMMYFUNCTION("""COMPUTED_VALUE"""),"B07C7G4B1M")</f>
        <v>B07C7G4B1M</v>
      </c>
      <c r="E775" t="str">
        <f>IFERROR(__xludf.DUMMYFUNCTION("""COMPUTED_VALUE"""),"071641137639")</f>
        <v>071641137639</v>
      </c>
      <c r="F775">
        <f>IFERROR(__xludf.DUMMYFUNCTION("""COMPUTED_VALUE"""),1152.0)</f>
        <v>1152</v>
      </c>
      <c r="G775">
        <f>IFERROR(__xludf.DUMMYFUNCTION("""COMPUTED_VALUE"""),10000.0)</f>
        <v>10000</v>
      </c>
      <c r="H775" s="2">
        <f>IFERROR(__xludf.DUMMYFUNCTION("""COMPUTED_VALUE"""),3.0)</f>
        <v>3</v>
      </c>
      <c r="I775" s="2">
        <f>IFERROR(__xludf.DUMMYFUNCTION("""COMPUTED_VALUE"""),3.86)</f>
        <v>3.86</v>
      </c>
      <c r="J775" s="2">
        <f>IFERROR(__xludf.DUMMYFUNCTION("""COMPUTED_VALUE"""),0.8599999999999999)</f>
        <v>0.86</v>
      </c>
      <c r="K775" s="5">
        <f>IFERROR(__xludf.DUMMYFUNCTION("""COMPUTED_VALUE"""),0.2866666666666666)</f>
        <v>0.2866666667</v>
      </c>
      <c r="L775">
        <f>IFERROR(__xludf.DUMMYFUNCTION("""COMPUTED_VALUE"""),99917.0)</f>
        <v>99917</v>
      </c>
      <c r="M775" t="str">
        <f>IFERROR(__xludf.DUMMYFUNCTION("""COMPUTED_VALUE"""),"Office Product")</f>
        <v>Office Product</v>
      </c>
      <c r="O775" t="str">
        <f>IFERROR(__xludf.DUMMYFUNCTION("""COMPUTED_VALUE"""),"N")</f>
        <v>N</v>
      </c>
      <c r="P775" s="1" t="str">
        <f>IFERROR(__xludf.DUMMYFUNCTION("""COMPUTED_VALUE"""),"ID 24669")</f>
        <v>ID 24669</v>
      </c>
      <c r="Q775" s="1" t="str">
        <f>IFERROR(__xludf.DUMMYFUNCTION("""COMPUTED_VALUE"""),"B07C7G4B1M")</f>
        <v>B07C7G4B1M</v>
      </c>
    </row>
    <row r="776">
      <c r="A776" s="6">
        <f>IFERROR(__xludf.DUMMYFUNCTION("""COMPUTED_VALUE"""),45421.0)</f>
        <v>45421</v>
      </c>
      <c r="B776">
        <f>IFERROR(__xludf.DUMMYFUNCTION("""COMPUTED_VALUE"""),25588.0)</f>
        <v>25588</v>
      </c>
      <c r="C776" t="str">
        <f>IFERROR(__xludf.DUMMYFUNCTION("""COMPUTED_VALUE"""),"Grumbacher Goldenedge Golden Toray Filbert Watercolor Brush, Synthetic Bristles, Size 2 (4625.2)")</f>
        <v>Grumbacher Goldenedge Golden Toray Filbert Watercolor Brush, Synthetic Bristles, Size 2 (4625.2)</v>
      </c>
      <c r="D776" t="str">
        <f>IFERROR(__xludf.DUMMYFUNCTION("""COMPUTED_VALUE"""),"B0027AEF34")</f>
        <v>B0027AEF34</v>
      </c>
      <c r="E776" t="str">
        <f>IFERROR(__xludf.DUMMYFUNCTION("""COMPUTED_VALUE"""),"014173362636")</f>
        <v>014173362636</v>
      </c>
      <c r="F776">
        <f>IFERROR(__xludf.DUMMYFUNCTION("""COMPUTED_VALUE"""),864.0)</f>
        <v>864</v>
      </c>
      <c r="G776">
        <f>IFERROR(__xludf.DUMMYFUNCTION("""COMPUTED_VALUE"""),10000.0)</f>
        <v>10000</v>
      </c>
      <c r="H776" s="2">
        <f>IFERROR(__xludf.DUMMYFUNCTION("""COMPUTED_VALUE"""),2.75)</f>
        <v>2.75</v>
      </c>
      <c r="I776" s="2">
        <f>IFERROR(__xludf.DUMMYFUNCTION("""COMPUTED_VALUE"""),3.61)</f>
        <v>3.61</v>
      </c>
      <c r="J776" s="2">
        <f>IFERROR(__xludf.DUMMYFUNCTION("""COMPUTED_VALUE"""),0.8599999999999999)</f>
        <v>0.86</v>
      </c>
      <c r="K776" s="5">
        <f>IFERROR(__xludf.DUMMYFUNCTION("""COMPUTED_VALUE"""),0.3127272727272727)</f>
        <v>0.3127272727</v>
      </c>
      <c r="L776">
        <f>IFERROR(__xludf.DUMMYFUNCTION("""COMPUTED_VALUE"""),61901.0)</f>
        <v>61901</v>
      </c>
      <c r="M776" t="str">
        <f>IFERROR(__xludf.DUMMYFUNCTION("""COMPUTED_VALUE"""),"Office Product")</f>
        <v>Office Product</v>
      </c>
      <c r="O776" t="str">
        <f>IFERROR(__xludf.DUMMYFUNCTION("""COMPUTED_VALUE"""),"N")</f>
        <v>N</v>
      </c>
      <c r="P776" s="1" t="str">
        <f>IFERROR(__xludf.DUMMYFUNCTION("""COMPUTED_VALUE"""),"ID 25588")</f>
        <v>ID 25588</v>
      </c>
      <c r="Q776" s="1" t="str">
        <f>IFERROR(__xludf.DUMMYFUNCTION("""COMPUTED_VALUE"""),"B0027AEF34")</f>
        <v>B0027AEF34</v>
      </c>
    </row>
    <row r="777">
      <c r="A777" s="6">
        <f>IFERROR(__xludf.DUMMYFUNCTION("""COMPUTED_VALUE"""),45348.0)</f>
        <v>45348</v>
      </c>
      <c r="B777">
        <f>IFERROR(__xludf.DUMMYFUNCTION("""COMPUTED_VALUE"""),2037.0)</f>
        <v>2037</v>
      </c>
      <c r="C777" t="str">
        <f>IFERROR(__xludf.DUMMYFUNCTION("""COMPUTED_VALUE"""),"Lily of The Valley by Yardley of London for Women Eau De Toilette Spray, 4.2 Ounce")</f>
        <v>Lily of The Valley by Yardley of London for Women Eau De Toilette Spray, 4.2 Ounce</v>
      </c>
      <c r="D777" t="str">
        <f>IFERROR(__xludf.DUMMYFUNCTION("""COMPUTED_VALUE"""),"B0046ZFLD6")</f>
        <v>B0046ZFLD6</v>
      </c>
      <c r="E777" t="str">
        <f>IFERROR(__xludf.DUMMYFUNCTION("""COMPUTED_VALUE"""),"5060322952314")</f>
        <v>5060322952314</v>
      </c>
      <c r="F777">
        <f>IFERROR(__xludf.DUMMYFUNCTION("""COMPUTED_VALUE"""),130.0)</f>
        <v>130</v>
      </c>
      <c r="G777">
        <f>IFERROR(__xludf.DUMMYFUNCTION("""COMPUTED_VALUE"""),999.0)</f>
        <v>999</v>
      </c>
      <c r="H777" s="2">
        <f>IFERROR(__xludf.DUMMYFUNCTION("""COMPUTED_VALUE"""),9.5)</f>
        <v>9.5</v>
      </c>
      <c r="I777" s="2">
        <f>IFERROR(__xludf.DUMMYFUNCTION("""COMPUTED_VALUE"""),10.35)</f>
        <v>10.35</v>
      </c>
      <c r="J777" s="2">
        <f>IFERROR(__xludf.DUMMYFUNCTION("""COMPUTED_VALUE"""),0.8499999999999996)</f>
        <v>0.85</v>
      </c>
      <c r="K777" s="5">
        <f>IFERROR(__xludf.DUMMYFUNCTION("""COMPUTED_VALUE"""),0.08947368421052627)</f>
        <v>0.08947368421</v>
      </c>
      <c r="L777">
        <f>IFERROR(__xludf.DUMMYFUNCTION("""COMPUTED_VALUE"""),21382.0)</f>
        <v>21382</v>
      </c>
      <c r="M777" t="str">
        <f>IFERROR(__xludf.DUMMYFUNCTION("""COMPUTED_VALUE"""),"Beauty")</f>
        <v>Beauty</v>
      </c>
      <c r="O777" t="str">
        <f>IFERROR(__xludf.DUMMYFUNCTION("""COMPUTED_VALUE"""),"N")</f>
        <v>N</v>
      </c>
      <c r="P777" s="1" t="str">
        <f>IFERROR(__xludf.DUMMYFUNCTION("""COMPUTED_VALUE"""),"ID 2037")</f>
        <v>ID 2037</v>
      </c>
      <c r="Q777" s="1" t="str">
        <f>IFERROR(__xludf.DUMMYFUNCTION("""COMPUTED_VALUE"""),"B0046ZFLD6")</f>
        <v>B0046ZFLD6</v>
      </c>
    </row>
    <row r="778">
      <c r="A778" s="6">
        <f>IFERROR(__xludf.DUMMYFUNCTION("""COMPUTED_VALUE"""),45142.0)</f>
        <v>45142</v>
      </c>
      <c r="B778">
        <f>IFERROR(__xludf.DUMMYFUNCTION("""COMPUTED_VALUE"""),20124.0)</f>
        <v>20124</v>
      </c>
      <c r="C778" t="str">
        <f>IFERROR(__xludf.DUMMYFUNCTION("""COMPUTED_VALUE"""),"Alyssa Ashley Musk By Alyssa Ashley Hand and Body Lotion, 25.5 Oz.")</f>
        <v>Alyssa Ashley Musk By Alyssa Ashley Hand and Body Lotion, 25.5 Oz.</v>
      </c>
      <c r="D778" t="str">
        <f>IFERROR(__xludf.DUMMYFUNCTION("""COMPUTED_VALUE"""),"B000E7UDOC")</f>
        <v>B000E7UDOC</v>
      </c>
      <c r="E778" t="str">
        <f>IFERROR(__xludf.DUMMYFUNCTION("""COMPUTED_VALUE"""),"0652685735274")</f>
        <v>0652685735274</v>
      </c>
      <c r="F778">
        <f>IFERROR(__xludf.DUMMYFUNCTION("""COMPUTED_VALUE"""),150.0)</f>
        <v>150</v>
      </c>
      <c r="G778">
        <f>IFERROR(__xludf.DUMMYFUNCTION("""COMPUTED_VALUE"""),10000.0)</f>
        <v>10000</v>
      </c>
      <c r="H778" s="2">
        <f>IFERROR(__xludf.DUMMYFUNCTION("""COMPUTED_VALUE"""),10.0)</f>
        <v>10</v>
      </c>
      <c r="I778" s="2">
        <f>IFERROR(__xludf.DUMMYFUNCTION("""COMPUTED_VALUE"""),10.85)</f>
        <v>10.85</v>
      </c>
      <c r="J778" s="2">
        <f>IFERROR(__xludf.DUMMYFUNCTION("""COMPUTED_VALUE"""),0.8499999999999996)</f>
        <v>0.85</v>
      </c>
      <c r="K778" s="5">
        <f>IFERROR(__xludf.DUMMYFUNCTION("""COMPUTED_VALUE"""),0.08499999999999996)</f>
        <v>0.085</v>
      </c>
      <c r="L778">
        <f>IFERROR(__xludf.DUMMYFUNCTION("""COMPUTED_VALUE"""),51073.0)</f>
        <v>51073</v>
      </c>
      <c r="M778" t="str">
        <f>IFERROR(__xludf.DUMMYFUNCTION("""COMPUTED_VALUE"""),"Beauty")</f>
        <v>Beauty</v>
      </c>
      <c r="O778" t="str">
        <f>IFERROR(__xludf.DUMMYFUNCTION("""COMPUTED_VALUE"""),"N")</f>
        <v>N</v>
      </c>
      <c r="P778" s="1" t="str">
        <f>IFERROR(__xludf.DUMMYFUNCTION("""COMPUTED_VALUE"""),"ID 20124")</f>
        <v>ID 20124</v>
      </c>
      <c r="Q778" s="1" t="str">
        <f>IFERROR(__xludf.DUMMYFUNCTION("""COMPUTED_VALUE"""),"B000E7UDOC")</f>
        <v>B000E7UDOC</v>
      </c>
    </row>
    <row r="779">
      <c r="A779" s="6">
        <f>IFERROR(__xludf.DUMMYFUNCTION("""COMPUTED_VALUE"""),45390.0)</f>
        <v>45390</v>
      </c>
      <c r="B779">
        <f>IFERROR(__xludf.DUMMYFUNCTION("""COMPUTED_VALUE"""),21132.0)</f>
        <v>21132</v>
      </c>
      <c r="C779" t="str">
        <f>IFERROR(__xludf.DUMMYFUNCTION("""COMPUTED_VALUE"""),"Chef Craft Premium Silicone Angled Spatula, 11 inch, Gray")</f>
        <v>Chef Craft Premium Silicone Angled Spatula, 11 inch, Gray</v>
      </c>
      <c r="D779" t="str">
        <f>IFERROR(__xludf.DUMMYFUNCTION("""COMPUTED_VALUE"""),"B08SJ5QV79")</f>
        <v>B08SJ5QV79</v>
      </c>
      <c r="E779" t="str">
        <f>IFERROR(__xludf.DUMMYFUNCTION("""COMPUTED_VALUE"""),"085455138652")</f>
        <v>085455138652</v>
      </c>
      <c r="F779">
        <f>IFERROR(__xludf.DUMMYFUNCTION("""COMPUTED_VALUE"""),360.0)</f>
        <v>360</v>
      </c>
      <c r="G779">
        <f>IFERROR(__xludf.DUMMYFUNCTION("""COMPUTED_VALUE"""),10000.0)</f>
        <v>10000</v>
      </c>
      <c r="H779" s="2">
        <f>IFERROR(__xludf.DUMMYFUNCTION("""COMPUTED_VALUE"""),2.75)</f>
        <v>2.75</v>
      </c>
      <c r="I779" s="2">
        <f>IFERROR(__xludf.DUMMYFUNCTION("""COMPUTED_VALUE"""),3.6)</f>
        <v>3.6</v>
      </c>
      <c r="J779" s="2">
        <f>IFERROR(__xludf.DUMMYFUNCTION("""COMPUTED_VALUE"""),0.8500000000000001)</f>
        <v>0.85</v>
      </c>
      <c r="K779" s="5">
        <f>IFERROR(__xludf.DUMMYFUNCTION("""COMPUTED_VALUE"""),0.30909090909090914)</f>
        <v>0.3090909091</v>
      </c>
      <c r="L779">
        <f>IFERROR(__xludf.DUMMYFUNCTION("""COMPUTED_VALUE"""),79647.0)</f>
        <v>79647</v>
      </c>
      <c r="M779" t="str">
        <f>IFERROR(__xludf.DUMMYFUNCTION("""COMPUTED_VALUE"""),"Kitchen")</f>
        <v>Kitchen</v>
      </c>
      <c r="O779" t="str">
        <f>IFERROR(__xludf.DUMMYFUNCTION("""COMPUTED_VALUE"""),"Y")</f>
        <v>Y</v>
      </c>
      <c r="P779" s="1" t="str">
        <f>IFERROR(__xludf.DUMMYFUNCTION("""COMPUTED_VALUE"""),"ID 21132")</f>
        <v>ID 21132</v>
      </c>
      <c r="Q779" s="1" t="str">
        <f>IFERROR(__xludf.DUMMYFUNCTION("""COMPUTED_VALUE"""),"B08SJ5QV79")</f>
        <v>B08SJ5QV79</v>
      </c>
    </row>
    <row r="780">
      <c r="A780" s="6">
        <f>IFERROR(__xludf.DUMMYFUNCTION("""COMPUTED_VALUE"""),44497.0)</f>
        <v>44497</v>
      </c>
      <c r="B780">
        <f>IFERROR(__xludf.DUMMYFUNCTION("""COMPUTED_VALUE"""),23010.0)</f>
        <v>23010</v>
      </c>
      <c r="C780" t="str">
        <f>IFERROR(__xludf.DUMMYFUNCTION("""COMPUTED_VALUE"""),"BAZIC Poster Board 11"" X 14"" Assorted Neon Colored Poster Board Paper for School Craft Project Presentation Drawing Graphic Display (5/Pack), 1-Pack")</f>
        <v>BAZIC Poster Board 11" X 14" Assorted Neon Colored Poster Board Paper for School Craft Project Presentation Drawing Graphic Display (5/Pack), 1-Pack</v>
      </c>
      <c r="D780" t="str">
        <f>IFERROR(__xludf.DUMMYFUNCTION("""COMPUTED_VALUE"""),"B00KO8DHVC")</f>
        <v>B00KO8DHVC</v>
      </c>
      <c r="E780" t="str">
        <f>IFERROR(__xludf.DUMMYFUNCTION("""COMPUTED_VALUE"""),"764608050279")</f>
        <v>764608050279</v>
      </c>
      <c r="F780">
        <f>IFERROR(__xludf.DUMMYFUNCTION("""COMPUTED_VALUE"""),2400.0)</f>
        <v>2400</v>
      </c>
      <c r="G780">
        <f>IFERROR(__xludf.DUMMYFUNCTION("""COMPUTED_VALUE"""),5000.0)</f>
        <v>5000</v>
      </c>
      <c r="H780" s="2">
        <f>IFERROR(__xludf.DUMMYFUNCTION("""COMPUTED_VALUE"""),1.0)</f>
        <v>1</v>
      </c>
      <c r="I780" s="2">
        <f>IFERROR(__xludf.DUMMYFUNCTION("""COMPUTED_VALUE"""),1.85)</f>
        <v>1.85</v>
      </c>
      <c r="J780" s="2">
        <f>IFERROR(__xludf.DUMMYFUNCTION("""COMPUTED_VALUE"""),0.8500000000000001)</f>
        <v>0.85</v>
      </c>
      <c r="K780" s="5">
        <f>IFERROR(__xludf.DUMMYFUNCTION("""COMPUTED_VALUE"""),0.8500000000000001)</f>
        <v>0.85</v>
      </c>
      <c r="L780">
        <f>IFERROR(__xludf.DUMMYFUNCTION("""COMPUTED_VALUE"""),9120.0)</f>
        <v>9120</v>
      </c>
      <c r="M780" t="str">
        <f>IFERROR(__xludf.DUMMYFUNCTION("""COMPUTED_VALUE"""),"Office Product")</f>
        <v>Office Product</v>
      </c>
      <c r="O780" t="str">
        <f>IFERROR(__xludf.DUMMYFUNCTION("""COMPUTED_VALUE"""),"N")</f>
        <v>N</v>
      </c>
      <c r="P780" s="1" t="str">
        <f>IFERROR(__xludf.DUMMYFUNCTION("""COMPUTED_VALUE"""),"ID 23010")</f>
        <v>ID 23010</v>
      </c>
      <c r="Q780" s="1" t="str">
        <f>IFERROR(__xludf.DUMMYFUNCTION("""COMPUTED_VALUE"""),"B00KO8DHVC")</f>
        <v>B00KO8DHVC</v>
      </c>
    </row>
    <row r="781">
      <c r="A781" s="6">
        <f>IFERROR(__xludf.DUMMYFUNCTION("""COMPUTED_VALUE"""),45350.0)</f>
        <v>45350</v>
      </c>
      <c r="B781">
        <f>IFERROR(__xludf.DUMMYFUNCTION("""COMPUTED_VALUE"""),23923.0)</f>
        <v>23923</v>
      </c>
      <c r="C781" t="str">
        <f>IFERROR(__xludf.DUMMYFUNCTION("""COMPUTED_VALUE"""),"ADVANTUS Aluminum Head Push Pins, Steel 5/8-Inch Point, Silver, 100 per Box (CPAL5)")</f>
        <v>ADVANTUS Aluminum Head Push Pins, Steel 5/8-Inch Point, Silver, 100 per Box (CPAL5)</v>
      </c>
      <c r="D781" t="str">
        <f>IFERROR(__xludf.DUMMYFUNCTION("""COMPUTED_VALUE"""),"B000N47FYM")</f>
        <v>B000N47FYM</v>
      </c>
      <c r="E781" t="str">
        <f>IFERROR(__xludf.DUMMYFUNCTION("""COMPUTED_VALUE"""),"097099059606")</f>
        <v>097099059606</v>
      </c>
      <c r="F781">
        <f>IFERROR(__xludf.DUMMYFUNCTION("""COMPUTED_VALUE"""),400.0)</f>
        <v>400</v>
      </c>
      <c r="G781">
        <f>IFERROR(__xludf.DUMMYFUNCTION("""COMPUTED_VALUE"""),10000.0)</f>
        <v>10000</v>
      </c>
      <c r="H781" s="2">
        <f>IFERROR(__xludf.DUMMYFUNCTION("""COMPUTED_VALUE"""),3.75)</f>
        <v>3.75</v>
      </c>
      <c r="I781" s="2">
        <f>IFERROR(__xludf.DUMMYFUNCTION("""COMPUTED_VALUE"""),4.6)</f>
        <v>4.6</v>
      </c>
      <c r="J781" s="2">
        <f>IFERROR(__xludf.DUMMYFUNCTION("""COMPUTED_VALUE"""),0.8499999999999996)</f>
        <v>0.85</v>
      </c>
      <c r="K781" s="5">
        <f>IFERROR(__xludf.DUMMYFUNCTION("""COMPUTED_VALUE"""),0.22666666666666657)</f>
        <v>0.2266666667</v>
      </c>
      <c r="L781">
        <f>IFERROR(__xludf.DUMMYFUNCTION("""COMPUTED_VALUE"""),13998.0)</f>
        <v>13998</v>
      </c>
      <c r="M781" t="str">
        <f>IFERROR(__xludf.DUMMYFUNCTION("""COMPUTED_VALUE"""),"BISS")</f>
        <v>BISS</v>
      </c>
      <c r="O781" t="str">
        <f>IFERROR(__xludf.DUMMYFUNCTION("""COMPUTED_VALUE"""),"Y")</f>
        <v>Y</v>
      </c>
      <c r="P781" s="1" t="str">
        <f>IFERROR(__xludf.DUMMYFUNCTION("""COMPUTED_VALUE"""),"ID 23923")</f>
        <v>ID 23923</v>
      </c>
      <c r="Q781" s="1" t="str">
        <f>IFERROR(__xludf.DUMMYFUNCTION("""COMPUTED_VALUE"""),"B000N47FYM")</f>
        <v>B000N47FYM</v>
      </c>
    </row>
    <row r="782">
      <c r="A782" s="6">
        <f>IFERROR(__xludf.DUMMYFUNCTION("""COMPUTED_VALUE"""),44580.0)</f>
        <v>44580</v>
      </c>
      <c r="B782">
        <f>IFERROR(__xludf.DUMMYFUNCTION("""COMPUTED_VALUE"""),18240.0)</f>
        <v>18240</v>
      </c>
      <c r="C782" t="str">
        <f>IFERROR(__xludf.DUMMYFUNCTION("""COMPUTED_VALUE"""),"Schneider Job Highlighters, Chisel Tip, 4-Color Assortment (Orange, Green, Pink, Yellow), Multi-Color")</f>
        <v>Schneider Job Highlighters, Chisel Tip, 4-Color Assortment (Orange, Green, Pink, Yellow), Multi-Color</v>
      </c>
      <c r="D782" t="str">
        <f>IFERROR(__xludf.DUMMYFUNCTION("""COMPUTED_VALUE"""),"B001B8KIQG")</f>
        <v>B001B8KIQG</v>
      </c>
      <c r="E782" t="str">
        <f>IFERROR(__xludf.DUMMYFUNCTION("""COMPUTED_VALUE"""),"4004675015006")</f>
        <v>4004675015006</v>
      </c>
      <c r="F782">
        <f>IFERROR(__xludf.DUMMYFUNCTION("""COMPUTED_VALUE"""),490.0)</f>
        <v>490</v>
      </c>
      <c r="G782">
        <f>IFERROR(__xludf.DUMMYFUNCTION("""COMPUTED_VALUE"""),1000.0)</f>
        <v>1000</v>
      </c>
      <c r="H782" s="2">
        <f>IFERROR(__xludf.DUMMYFUNCTION("""COMPUTED_VALUE"""),2.5)</f>
        <v>2.5</v>
      </c>
      <c r="I782" s="2">
        <f>IFERROR(__xludf.DUMMYFUNCTION("""COMPUTED_VALUE"""),3.34)</f>
        <v>3.34</v>
      </c>
      <c r="J782" s="2">
        <f>IFERROR(__xludf.DUMMYFUNCTION("""COMPUTED_VALUE"""),0.8399999999999999)</f>
        <v>0.84</v>
      </c>
      <c r="K782" s="5">
        <f>IFERROR(__xludf.DUMMYFUNCTION("""COMPUTED_VALUE"""),0.33599999999999997)</f>
        <v>0.336</v>
      </c>
      <c r="L782">
        <f>IFERROR(__xludf.DUMMYFUNCTION("""COMPUTED_VALUE"""),19467.0)</f>
        <v>19467</v>
      </c>
      <c r="M782" t="str">
        <f>IFERROR(__xludf.DUMMYFUNCTION("""COMPUTED_VALUE"""),"BISS Basic")</f>
        <v>BISS Basic</v>
      </c>
      <c r="O782" t="str">
        <f>IFERROR(__xludf.DUMMYFUNCTION("""COMPUTED_VALUE"""),"Y")</f>
        <v>Y</v>
      </c>
      <c r="P782" s="1" t="str">
        <f>IFERROR(__xludf.DUMMYFUNCTION("""COMPUTED_VALUE"""),"ID 18240")</f>
        <v>ID 18240</v>
      </c>
      <c r="Q782" s="1" t="str">
        <f>IFERROR(__xludf.DUMMYFUNCTION("""COMPUTED_VALUE"""),"B001B8KIQG")</f>
        <v>B001B8KIQG</v>
      </c>
    </row>
    <row r="783">
      <c r="A783" s="6">
        <f>IFERROR(__xludf.DUMMYFUNCTION("""COMPUTED_VALUE"""),44958.0)</f>
        <v>44958</v>
      </c>
      <c r="B783">
        <f>IFERROR(__xludf.DUMMYFUNCTION("""COMPUTED_VALUE"""),18491.0)</f>
        <v>18491</v>
      </c>
      <c r="C783" t="str">
        <f>IFERROR(__xludf.DUMMYFUNCTION("""COMPUTED_VALUE"""),"Adams Account Book, 7 x 9.25 Inches, Black, 3-Columns, 80 Pages (ARB8003M)")</f>
        <v>Adams Account Book, 7 x 9.25 Inches, Black, 3-Columns, 80 Pages (ARB8003M)</v>
      </c>
      <c r="D783" t="str">
        <f>IFERROR(__xludf.DUMMYFUNCTION("""COMPUTED_VALUE"""),"B0038JSK3O")</f>
        <v>B0038JSK3O</v>
      </c>
      <c r="E783" t="str">
        <f>IFERROR(__xludf.DUMMYFUNCTION("""COMPUTED_VALUE"""),"087958721300")</f>
        <v>087958721300</v>
      </c>
      <c r="F783">
        <f>IFERROR(__xludf.DUMMYFUNCTION("""COMPUTED_VALUE"""),402.0)</f>
        <v>402</v>
      </c>
      <c r="G783">
        <f>IFERROR(__xludf.DUMMYFUNCTION("""COMPUTED_VALUE"""),10000.0)</f>
        <v>10000</v>
      </c>
      <c r="H783" s="2">
        <f>IFERROR(__xludf.DUMMYFUNCTION("""COMPUTED_VALUE"""),6.0)</f>
        <v>6</v>
      </c>
      <c r="I783" s="2">
        <f>IFERROR(__xludf.DUMMYFUNCTION("""COMPUTED_VALUE"""),6.84)</f>
        <v>6.84</v>
      </c>
      <c r="J783" s="2">
        <f>IFERROR(__xludf.DUMMYFUNCTION("""COMPUTED_VALUE"""),0.8399999999999999)</f>
        <v>0.84</v>
      </c>
      <c r="K783" s="5">
        <f>IFERROR(__xludf.DUMMYFUNCTION("""COMPUTED_VALUE"""),0.13999999999999999)</f>
        <v>0.14</v>
      </c>
      <c r="L783">
        <f>IFERROR(__xludf.DUMMYFUNCTION("""COMPUTED_VALUE"""),18912.0)</f>
        <v>18912</v>
      </c>
      <c r="M783" t="str">
        <f>IFERROR(__xludf.DUMMYFUNCTION("""COMPUTED_VALUE"""),"Office Product")</f>
        <v>Office Product</v>
      </c>
      <c r="O783" t="str">
        <f>IFERROR(__xludf.DUMMYFUNCTION("""COMPUTED_VALUE"""),"Y")</f>
        <v>Y</v>
      </c>
      <c r="P783" s="1" t="str">
        <f>IFERROR(__xludf.DUMMYFUNCTION("""COMPUTED_VALUE"""),"ID 18491")</f>
        <v>ID 18491</v>
      </c>
      <c r="Q783" s="1" t="str">
        <f>IFERROR(__xludf.DUMMYFUNCTION("""COMPUTED_VALUE"""),"B0038JSK3O")</f>
        <v>B0038JSK3O</v>
      </c>
    </row>
    <row r="784">
      <c r="A784" s="6">
        <f>IFERROR(__xludf.DUMMYFUNCTION("""COMPUTED_VALUE"""),45390.0)</f>
        <v>45390</v>
      </c>
      <c r="B784">
        <f>IFERROR(__xludf.DUMMYFUNCTION("""COMPUTED_VALUE"""),19785.0)</f>
        <v>19785</v>
      </c>
      <c r="C784" t="str">
        <f>IFERROR(__xludf.DUMMYFUNCTION("""COMPUTED_VALUE"""),"Chef Craft Premium Silicone Wire Cooking Whisk, 10.5 inch, Pink")</f>
        <v>Chef Craft Premium Silicone Wire Cooking Whisk, 10.5 inch, Pink</v>
      </c>
      <c r="D784" t="str">
        <f>IFERROR(__xludf.DUMMYFUNCTION("""COMPUTED_VALUE"""),"B08SJ4ZDW4")</f>
        <v>B08SJ4ZDW4</v>
      </c>
      <c r="E784" t="str">
        <f>IFERROR(__xludf.DUMMYFUNCTION("""COMPUTED_VALUE"""),"085455137723")</f>
        <v>085455137723</v>
      </c>
      <c r="F784">
        <f>IFERROR(__xludf.DUMMYFUNCTION("""COMPUTED_VALUE"""),504.0)</f>
        <v>504</v>
      </c>
      <c r="G784">
        <f>IFERROR(__xludf.DUMMYFUNCTION("""COMPUTED_VALUE"""),10000.0)</f>
        <v>10000</v>
      </c>
      <c r="H784" s="2">
        <f>IFERROR(__xludf.DUMMYFUNCTION("""COMPUTED_VALUE"""),2.5)</f>
        <v>2.5</v>
      </c>
      <c r="I784" s="2">
        <f>IFERROR(__xludf.DUMMYFUNCTION("""COMPUTED_VALUE"""),3.34)</f>
        <v>3.34</v>
      </c>
      <c r="J784" s="2">
        <f>IFERROR(__xludf.DUMMYFUNCTION("""COMPUTED_VALUE"""),0.8399999999999999)</f>
        <v>0.84</v>
      </c>
      <c r="K784" s="5">
        <f>IFERROR(__xludf.DUMMYFUNCTION("""COMPUTED_VALUE"""),0.33599999999999997)</f>
        <v>0.336</v>
      </c>
      <c r="L784">
        <f>IFERROR(__xludf.DUMMYFUNCTION("""COMPUTED_VALUE"""),7459.0)</f>
        <v>7459</v>
      </c>
      <c r="M784" t="str">
        <f>IFERROR(__xludf.DUMMYFUNCTION("""COMPUTED_VALUE"""),"Kitchen")</f>
        <v>Kitchen</v>
      </c>
      <c r="O784" t="str">
        <f>IFERROR(__xludf.DUMMYFUNCTION("""COMPUTED_VALUE"""),"Y")</f>
        <v>Y</v>
      </c>
      <c r="P784" s="1" t="str">
        <f>IFERROR(__xludf.DUMMYFUNCTION("""COMPUTED_VALUE"""),"ID 19785")</f>
        <v>ID 19785</v>
      </c>
      <c r="Q784" s="1" t="str">
        <f>IFERROR(__xludf.DUMMYFUNCTION("""COMPUTED_VALUE"""),"B08SJ4ZDW4")</f>
        <v>B08SJ4ZDW4</v>
      </c>
    </row>
    <row r="785">
      <c r="A785" s="6">
        <f>IFERROR(__xludf.DUMMYFUNCTION("""COMPUTED_VALUE"""),45043.0)</f>
        <v>45043</v>
      </c>
      <c r="B785">
        <f>IFERROR(__xludf.DUMMYFUNCTION("""COMPUTED_VALUE"""),18536.0)</f>
        <v>18536</v>
      </c>
      <c r="C785" t="str">
        <f>IFERROR(__xludf.DUMMYFUNCTION("""COMPUTED_VALUE"""),"Mead Clasp Envelopes, 10"" x 13"", Brown Kraft, Office Pak, 15 per Box (76022)")</f>
        <v>Mead Clasp Envelopes, 10" x 13", Brown Kraft, Office Pak, 15 per Box (76022)</v>
      </c>
      <c r="D785" t="str">
        <f>IFERROR(__xludf.DUMMYFUNCTION("""COMPUTED_VALUE"""),"B00290L274")</f>
        <v>B00290L274</v>
      </c>
      <c r="E785" t="str">
        <f>IFERROR(__xludf.DUMMYFUNCTION("""COMPUTED_VALUE"""),"43100760221")</f>
        <v>43100760221</v>
      </c>
      <c r="F785">
        <f>IFERROR(__xludf.DUMMYFUNCTION("""COMPUTED_VALUE"""),846.0)</f>
        <v>846</v>
      </c>
      <c r="G785">
        <f>IFERROR(__xludf.DUMMYFUNCTION("""COMPUTED_VALUE"""),5000.0)</f>
        <v>5000</v>
      </c>
      <c r="H785" s="2">
        <f>IFERROR(__xludf.DUMMYFUNCTION("""COMPUTED_VALUE"""),3.0)</f>
        <v>3</v>
      </c>
      <c r="I785" s="2">
        <f>IFERROR(__xludf.DUMMYFUNCTION("""COMPUTED_VALUE"""),3.84)</f>
        <v>3.84</v>
      </c>
      <c r="J785" s="2">
        <f>IFERROR(__xludf.DUMMYFUNCTION("""COMPUTED_VALUE"""),0.8399999999999999)</f>
        <v>0.84</v>
      </c>
      <c r="K785" s="5">
        <f>IFERROR(__xludf.DUMMYFUNCTION("""COMPUTED_VALUE"""),0.27999999999999997)</f>
        <v>0.28</v>
      </c>
      <c r="L785">
        <f>IFERROR(__xludf.DUMMYFUNCTION("""COMPUTED_VALUE"""),477.0)</f>
        <v>477</v>
      </c>
      <c r="M785" t="str">
        <f>IFERROR(__xludf.DUMMYFUNCTION("""COMPUTED_VALUE"""),"Office Product")</f>
        <v>Office Product</v>
      </c>
      <c r="N785" t="str">
        <f>IFERROR(__xludf.DUMMYFUNCTION("""COMPUTED_VALUE"""),"Promo: OSMI")</f>
        <v>Promo: OSMI</v>
      </c>
      <c r="O785" t="str">
        <f>IFERROR(__xludf.DUMMYFUNCTION("""COMPUTED_VALUE"""),"Y")</f>
        <v>Y</v>
      </c>
      <c r="P785" s="1" t="str">
        <f>IFERROR(__xludf.DUMMYFUNCTION("""COMPUTED_VALUE"""),"ID 18536")</f>
        <v>ID 18536</v>
      </c>
      <c r="Q785" s="1" t="str">
        <f>IFERROR(__xludf.DUMMYFUNCTION("""COMPUTED_VALUE"""),"B00290L274")</f>
        <v>B00290L274</v>
      </c>
    </row>
    <row r="786">
      <c r="A786" s="6">
        <f>IFERROR(__xludf.DUMMYFUNCTION("""COMPUTED_VALUE"""),45421.0)</f>
        <v>45421</v>
      </c>
      <c r="B786">
        <f>IFERROR(__xludf.DUMMYFUNCTION("""COMPUTED_VALUE"""),23084.0)</f>
        <v>23084</v>
      </c>
      <c r="C786" t="str">
        <f>IFERROR(__xludf.DUMMYFUNCTION("""COMPUTED_VALUE"""),"Molotow ONE4ALL Acrylic Paint Marker, 4mm, Petrol, 1 Each (227.219)")</f>
        <v>Molotow ONE4ALL Acrylic Paint Marker, 4mm, Petrol, 1 Each (227.219)</v>
      </c>
      <c r="D786" t="str">
        <f>IFERROR(__xludf.DUMMYFUNCTION("""COMPUTED_VALUE"""),"B0044D2P52")</f>
        <v>B0044D2P52</v>
      </c>
      <c r="E786" t="str">
        <f>IFERROR(__xludf.DUMMYFUNCTION("""COMPUTED_VALUE"""),"4250397600758")</f>
        <v>4250397600758</v>
      </c>
      <c r="F786">
        <f>IFERROR(__xludf.DUMMYFUNCTION("""COMPUTED_VALUE"""),384.0)</f>
        <v>384</v>
      </c>
      <c r="G786">
        <f>IFERROR(__xludf.DUMMYFUNCTION("""COMPUTED_VALUE"""),10000.0)</f>
        <v>10000</v>
      </c>
      <c r="H786" s="2">
        <f>IFERROR(__xludf.DUMMYFUNCTION("""COMPUTED_VALUE"""),6.25)</f>
        <v>6.25</v>
      </c>
      <c r="I786" s="2">
        <f>IFERROR(__xludf.DUMMYFUNCTION("""COMPUTED_VALUE"""),7.09)</f>
        <v>7.09</v>
      </c>
      <c r="J786" s="2">
        <f>IFERROR(__xludf.DUMMYFUNCTION("""COMPUTED_VALUE"""),0.8399999999999999)</f>
        <v>0.84</v>
      </c>
      <c r="K786" s="5">
        <f>IFERROR(__xludf.DUMMYFUNCTION("""COMPUTED_VALUE"""),0.13439999999999996)</f>
        <v>0.1344</v>
      </c>
      <c r="L786">
        <f>IFERROR(__xludf.DUMMYFUNCTION("""COMPUTED_VALUE"""),66997.0)</f>
        <v>66997</v>
      </c>
      <c r="M786" t="str">
        <f>IFERROR(__xludf.DUMMYFUNCTION("""COMPUTED_VALUE"""),"Office Product")</f>
        <v>Office Product</v>
      </c>
      <c r="O786" t="str">
        <f>IFERROR(__xludf.DUMMYFUNCTION("""COMPUTED_VALUE"""),"N")</f>
        <v>N</v>
      </c>
      <c r="P786" s="1" t="str">
        <f>IFERROR(__xludf.DUMMYFUNCTION("""COMPUTED_VALUE"""),"ID 23084")</f>
        <v>ID 23084</v>
      </c>
      <c r="Q786" s="1" t="str">
        <f>IFERROR(__xludf.DUMMYFUNCTION("""COMPUTED_VALUE"""),"B0044D2P52")</f>
        <v>B0044D2P52</v>
      </c>
    </row>
    <row r="787">
      <c r="A787" s="6">
        <f>IFERROR(__xludf.DUMMYFUNCTION("""COMPUTED_VALUE"""),45421.0)</f>
        <v>45421</v>
      </c>
      <c r="B787">
        <f>IFERROR(__xludf.DUMMYFUNCTION("""COMPUTED_VALUE"""),23092.0)</f>
        <v>23092</v>
      </c>
      <c r="C787" t="str">
        <f>IFERROR(__xludf.DUMMYFUNCTION("""COMPUTED_VALUE"""),"Molotow ONE4ALL Acrylic Paint Marker, 4mm, Metallic Green, 1 Each (227.304)")</f>
        <v>Molotow ONE4ALL Acrylic Paint Marker, 4mm, Metallic Green, 1 Each (227.304)</v>
      </c>
      <c r="D787" t="str">
        <f>IFERROR(__xludf.DUMMYFUNCTION("""COMPUTED_VALUE"""),"B0080ZVC6I")</f>
        <v>B0080ZVC6I</v>
      </c>
      <c r="E787" t="str">
        <f>IFERROR(__xludf.DUMMYFUNCTION("""COMPUTED_VALUE"""),"4250397606538")</f>
        <v>4250397606538</v>
      </c>
      <c r="F787">
        <f>IFERROR(__xludf.DUMMYFUNCTION("""COMPUTED_VALUE"""),384.0)</f>
        <v>384</v>
      </c>
      <c r="G787">
        <f>IFERROR(__xludf.DUMMYFUNCTION("""COMPUTED_VALUE"""),10000.0)</f>
        <v>10000</v>
      </c>
      <c r="H787" s="2">
        <f>IFERROR(__xludf.DUMMYFUNCTION("""COMPUTED_VALUE"""),6.25)</f>
        <v>6.25</v>
      </c>
      <c r="I787" s="2">
        <f>IFERROR(__xludf.DUMMYFUNCTION("""COMPUTED_VALUE"""),7.09)</f>
        <v>7.09</v>
      </c>
      <c r="J787" s="2">
        <f>IFERROR(__xludf.DUMMYFUNCTION("""COMPUTED_VALUE"""),0.8399999999999999)</f>
        <v>0.84</v>
      </c>
      <c r="K787" s="5">
        <f>IFERROR(__xludf.DUMMYFUNCTION("""COMPUTED_VALUE"""),0.13439999999999996)</f>
        <v>0.1344</v>
      </c>
      <c r="L787">
        <f>IFERROR(__xludf.DUMMYFUNCTION("""COMPUTED_VALUE"""),65263.0)</f>
        <v>65263</v>
      </c>
      <c r="M787" t="str">
        <f>IFERROR(__xludf.DUMMYFUNCTION("""COMPUTED_VALUE"""),"Office Product")</f>
        <v>Office Product</v>
      </c>
      <c r="O787" t="str">
        <f>IFERROR(__xludf.DUMMYFUNCTION("""COMPUTED_VALUE"""),"N")</f>
        <v>N</v>
      </c>
      <c r="P787" s="1" t="str">
        <f>IFERROR(__xludf.DUMMYFUNCTION("""COMPUTED_VALUE"""),"ID 23092")</f>
        <v>ID 23092</v>
      </c>
      <c r="Q787" s="1" t="str">
        <f>IFERROR(__xludf.DUMMYFUNCTION("""COMPUTED_VALUE"""),"B0080ZVC6I")</f>
        <v>B0080ZVC6I</v>
      </c>
    </row>
    <row r="788">
      <c r="A788" s="6">
        <f>IFERROR(__xludf.DUMMYFUNCTION("""COMPUTED_VALUE"""),44769.0)</f>
        <v>44769</v>
      </c>
      <c r="B788">
        <f>IFERROR(__xludf.DUMMYFUNCTION("""COMPUTED_VALUE"""),6993.0)</f>
        <v>6993</v>
      </c>
      <c r="C788" t="str">
        <f>IFERROR(__xludf.DUMMYFUNCTION("""COMPUTED_VALUE"""),"OtterBox Symmetry Series Cell Phone Case for LG G7 ThinQ - Mix Berry Jam (Baton Rouge/Maritime Blue)")</f>
        <v>OtterBox Symmetry Series Cell Phone Case for LG G7 ThinQ - Mix Berry Jam (Baton Rouge/Maritime Blue)</v>
      </c>
      <c r="D788" t="str">
        <f>IFERROR(__xludf.DUMMYFUNCTION("""COMPUTED_VALUE"""),"B07GT69H5Q")</f>
        <v>B07GT69H5Q</v>
      </c>
      <c r="E788" t="str">
        <f>IFERROR(__xludf.DUMMYFUNCTION("""COMPUTED_VALUE"""),"660543454922")</f>
        <v>660543454922</v>
      </c>
      <c r="F788">
        <f>IFERROR(__xludf.DUMMYFUNCTION("""COMPUTED_VALUE"""),274.0)</f>
        <v>274</v>
      </c>
      <c r="G788">
        <f>IFERROR(__xludf.DUMMYFUNCTION("""COMPUTED_VALUE"""),500.0)</f>
        <v>500</v>
      </c>
      <c r="H788" s="2">
        <f>IFERROR(__xludf.DUMMYFUNCTION("""COMPUTED_VALUE"""),12.0)</f>
        <v>12</v>
      </c>
      <c r="I788" s="2">
        <f>IFERROR(__xludf.DUMMYFUNCTION("""COMPUTED_VALUE"""),12.83)</f>
        <v>12.83</v>
      </c>
      <c r="J788" s="2">
        <f>IFERROR(__xludf.DUMMYFUNCTION("""COMPUTED_VALUE"""),0.8300000000000001)</f>
        <v>0.83</v>
      </c>
      <c r="K788" s="5">
        <f>IFERROR(__xludf.DUMMYFUNCTION("""COMPUTED_VALUE"""),0.06916666666666667)</f>
        <v>0.06916666667</v>
      </c>
      <c r="L788">
        <f>IFERROR(__xludf.DUMMYFUNCTION("""COMPUTED_VALUE"""),51792.0)</f>
        <v>51792</v>
      </c>
      <c r="M788" t="str">
        <f>IFERROR(__xludf.DUMMYFUNCTION("""COMPUTED_VALUE"""),"Wireless")</f>
        <v>Wireless</v>
      </c>
      <c r="N788" t="str">
        <f>IFERROR(__xludf.DUMMYFUNCTION("""COMPUTED_VALUE"""),"This brand is known to send IP complaints")</f>
        <v>This brand is known to send IP complaints</v>
      </c>
      <c r="O788" t="str">
        <f>IFERROR(__xludf.DUMMYFUNCTION("""COMPUTED_VALUE"""),"N")</f>
        <v>N</v>
      </c>
      <c r="P788" s="1" t="str">
        <f>IFERROR(__xludf.DUMMYFUNCTION("""COMPUTED_VALUE"""),"ID 6993")</f>
        <v>ID 6993</v>
      </c>
      <c r="Q788" s="1" t="str">
        <f>IFERROR(__xludf.DUMMYFUNCTION("""COMPUTED_VALUE"""),"B07GT69H5Q")</f>
        <v>B07GT69H5Q</v>
      </c>
    </row>
    <row r="789">
      <c r="A789" s="6">
        <f>IFERROR(__xludf.DUMMYFUNCTION("""COMPUTED_VALUE"""),44837.0)</f>
        <v>44837</v>
      </c>
      <c r="B789">
        <f>IFERROR(__xludf.DUMMYFUNCTION("""COMPUTED_VALUE"""),17144.0)</f>
        <v>17144</v>
      </c>
      <c r="C789" t="str">
        <f>IFERROR(__xludf.DUMMYFUNCTION("""COMPUTED_VALUE"""),"Duck Brand Clear Classic Easy 280298 Non-Adhesive Shelf Liner, 12 in x 6 ft Roll")</f>
        <v>Duck Brand Clear Classic Easy 280298 Non-Adhesive Shelf Liner, 12 in x 6 ft Roll</v>
      </c>
      <c r="D789" t="str">
        <f>IFERROR(__xludf.DUMMYFUNCTION("""COMPUTED_VALUE"""),"B00RY8QAYQ")</f>
        <v>B00RY8QAYQ</v>
      </c>
      <c r="E789" t="str">
        <f>IFERROR(__xludf.DUMMYFUNCTION("""COMPUTED_VALUE"""),"075353223970")</f>
        <v>075353223970</v>
      </c>
      <c r="F789">
        <f>IFERROR(__xludf.DUMMYFUNCTION("""COMPUTED_VALUE"""),138.0)</f>
        <v>138</v>
      </c>
      <c r="G789">
        <f>IFERROR(__xludf.DUMMYFUNCTION("""COMPUTED_VALUE"""),10000.0)</f>
        <v>10000</v>
      </c>
      <c r="H789" s="2">
        <f>IFERROR(__xludf.DUMMYFUNCTION("""COMPUTED_VALUE"""),8.75)</f>
        <v>8.75</v>
      </c>
      <c r="I789" s="2">
        <f>IFERROR(__xludf.DUMMYFUNCTION("""COMPUTED_VALUE"""),9.58)</f>
        <v>9.58</v>
      </c>
      <c r="J789" s="2">
        <f>IFERROR(__xludf.DUMMYFUNCTION("""COMPUTED_VALUE"""),0.8300000000000001)</f>
        <v>0.83</v>
      </c>
      <c r="K789" s="5">
        <f>IFERROR(__xludf.DUMMYFUNCTION("""COMPUTED_VALUE"""),0.09485714285714286)</f>
        <v>0.09485714286</v>
      </c>
      <c r="L789">
        <f>IFERROR(__xludf.DUMMYFUNCTION("""COMPUTED_VALUE"""),24750.0)</f>
        <v>24750</v>
      </c>
      <c r="M789" t="str">
        <f>IFERROR(__xludf.DUMMYFUNCTION("""COMPUTED_VALUE"""),"Home")</f>
        <v>Home</v>
      </c>
      <c r="O789" t="str">
        <f>IFERROR(__xludf.DUMMYFUNCTION("""COMPUTED_VALUE"""),"Y")</f>
        <v>Y</v>
      </c>
      <c r="P789" s="1" t="str">
        <f>IFERROR(__xludf.DUMMYFUNCTION("""COMPUTED_VALUE"""),"ID 17144")</f>
        <v>ID 17144</v>
      </c>
      <c r="Q789" s="1" t="str">
        <f>IFERROR(__xludf.DUMMYFUNCTION("""COMPUTED_VALUE"""),"B00RY8QAYQ")</f>
        <v>B00RY8QAYQ</v>
      </c>
    </row>
    <row r="790">
      <c r="A790" s="6">
        <f>IFERROR(__xludf.DUMMYFUNCTION("""COMPUTED_VALUE"""),44455.0)</f>
        <v>44455</v>
      </c>
      <c r="B790">
        <f>IFERROR(__xludf.DUMMYFUNCTION("""COMPUTED_VALUE"""),12071.0)</f>
        <v>12071</v>
      </c>
      <c r="C790" t="str">
        <f>IFERROR(__xludf.DUMMYFUNCTION("""COMPUTED_VALUE"""),"Babyking Water-Filled Hand and Foot Teethers, Assorted Colors, 1 Count")</f>
        <v>Babyking Water-Filled Hand and Foot Teethers, Assorted Colors, 1 Count</v>
      </c>
      <c r="D790" t="str">
        <f>IFERROR(__xludf.DUMMYFUNCTION("""COMPUTED_VALUE"""),"B000TYDZI6")</f>
        <v>B000TYDZI6</v>
      </c>
      <c r="E790" t="str">
        <f>IFERROR(__xludf.DUMMYFUNCTION("""COMPUTED_VALUE"""),"094606002223")</f>
        <v>094606002223</v>
      </c>
      <c r="F790">
        <f>IFERROR(__xludf.DUMMYFUNCTION("""COMPUTED_VALUE"""),1584.0)</f>
        <v>1584</v>
      </c>
      <c r="G790">
        <f>IFERROR(__xludf.DUMMYFUNCTION("""COMPUTED_VALUE"""),5000.0)</f>
        <v>5000</v>
      </c>
      <c r="H790" s="2">
        <f>IFERROR(__xludf.DUMMYFUNCTION("""COMPUTED_VALUE"""),1.0)</f>
        <v>1</v>
      </c>
      <c r="I790" s="2">
        <f>IFERROR(__xludf.DUMMYFUNCTION("""COMPUTED_VALUE"""),1.83)</f>
        <v>1.83</v>
      </c>
      <c r="J790" s="2">
        <f>IFERROR(__xludf.DUMMYFUNCTION("""COMPUTED_VALUE"""),0.8300000000000001)</f>
        <v>0.83</v>
      </c>
      <c r="K790" s="5">
        <f>IFERROR(__xludf.DUMMYFUNCTION("""COMPUTED_VALUE"""),0.8300000000000001)</f>
        <v>0.83</v>
      </c>
      <c r="L790">
        <f>IFERROR(__xludf.DUMMYFUNCTION("""COMPUTED_VALUE"""),93615.0)</f>
        <v>93615</v>
      </c>
      <c r="M790" t="str">
        <f>IFERROR(__xludf.DUMMYFUNCTION("""COMPUTED_VALUE"""),"Baby Product")</f>
        <v>Baby Product</v>
      </c>
      <c r="O790" t="str">
        <f>IFERROR(__xludf.DUMMYFUNCTION("""COMPUTED_VALUE"""),"N")</f>
        <v>N</v>
      </c>
      <c r="P790" s="1" t="str">
        <f>IFERROR(__xludf.DUMMYFUNCTION("""COMPUTED_VALUE"""),"ID 12071")</f>
        <v>ID 12071</v>
      </c>
      <c r="Q790" s="1" t="str">
        <f>IFERROR(__xludf.DUMMYFUNCTION("""COMPUTED_VALUE"""),"B000TYDZI6")</f>
        <v>B000TYDZI6</v>
      </c>
    </row>
    <row r="791">
      <c r="A791" s="6">
        <f>IFERROR(__xludf.DUMMYFUNCTION("""COMPUTED_VALUE"""),44571.0)</f>
        <v>44571</v>
      </c>
      <c r="B791">
        <f>IFERROR(__xludf.DUMMYFUNCTION("""COMPUTED_VALUE"""),23503.0)</f>
        <v>23503</v>
      </c>
      <c r="C791" t="str">
        <f>IFERROR(__xludf.DUMMYFUNCTION("""COMPUTED_VALUE"""),"3M Vinyl Tape 764, General Purpose, 2 in x 36 yd, Black, 1 Roll, Light Traffic Floor Marking Tape, Social Distancing, Color Coding, Safety, Bundling")</f>
        <v>3M Vinyl Tape 764, General Purpose, 2 in x 36 yd, Black, 1 Roll, Light Traffic Floor Marking Tape, Social Distancing, Color Coding, Safety, Bundling</v>
      </c>
      <c r="D791" t="str">
        <f>IFERROR(__xludf.DUMMYFUNCTION("""COMPUTED_VALUE"""),"B001HTGF2K")</f>
        <v>B001HTGF2K</v>
      </c>
      <c r="E791" t="str">
        <f>IFERROR(__xludf.DUMMYFUNCTION("""COMPUTED_VALUE"""),"21200434297")</f>
        <v>21200434297</v>
      </c>
      <c r="F791">
        <f>IFERROR(__xludf.DUMMYFUNCTION("""COMPUTED_VALUE"""),528.0)</f>
        <v>528</v>
      </c>
      <c r="G791">
        <f>IFERROR(__xludf.DUMMYFUNCTION("""COMPUTED_VALUE"""),1000.0)</f>
        <v>1000</v>
      </c>
      <c r="H791" s="2">
        <f>IFERROR(__xludf.DUMMYFUNCTION("""COMPUTED_VALUE"""),5.75)</f>
        <v>5.75</v>
      </c>
      <c r="I791" s="2">
        <f>IFERROR(__xludf.DUMMYFUNCTION("""COMPUTED_VALUE"""),6.58)</f>
        <v>6.58</v>
      </c>
      <c r="J791" s="2">
        <f>IFERROR(__xludf.DUMMYFUNCTION("""COMPUTED_VALUE"""),0.8300000000000001)</f>
        <v>0.83</v>
      </c>
      <c r="K791" s="5">
        <f>IFERROR(__xludf.DUMMYFUNCTION("""COMPUTED_VALUE"""),0.14434782608695654)</f>
        <v>0.1443478261</v>
      </c>
      <c r="L791">
        <f>IFERROR(__xludf.DUMMYFUNCTION("""COMPUTED_VALUE"""),3423.0)</f>
        <v>3423</v>
      </c>
      <c r="M791" t="str">
        <f>IFERROR(__xludf.DUMMYFUNCTION("""COMPUTED_VALUE"""),"BISS Basic")</f>
        <v>BISS Basic</v>
      </c>
      <c r="O791" t="str">
        <f>IFERROR(__xludf.DUMMYFUNCTION("""COMPUTED_VALUE"""),"Y")</f>
        <v>Y</v>
      </c>
      <c r="P791" s="1" t="str">
        <f>IFERROR(__xludf.DUMMYFUNCTION("""COMPUTED_VALUE"""),"ID 23503")</f>
        <v>ID 23503</v>
      </c>
      <c r="Q791" s="1" t="str">
        <f>IFERROR(__xludf.DUMMYFUNCTION("""COMPUTED_VALUE"""),"B001HTGF2K")</f>
        <v>B001HTGF2K</v>
      </c>
    </row>
    <row r="792">
      <c r="A792" s="6">
        <f>IFERROR(__xludf.DUMMYFUNCTION("""COMPUTED_VALUE"""),45057.0)</f>
        <v>45057</v>
      </c>
      <c r="B792">
        <f>IFERROR(__xludf.DUMMYFUNCTION("""COMPUTED_VALUE"""),7133.0)</f>
        <v>7133</v>
      </c>
      <c r="C792" t="str">
        <f>IFERROR(__xludf.DUMMYFUNCTION("""COMPUTED_VALUE"""),"Jim Beam JB0200 12'' Pre Seasoned Heavy Duty Construction Cast Iron Grilling Wok, Large Black")</f>
        <v>Jim Beam JB0200 12'' Pre Seasoned Heavy Duty Construction Cast Iron Grilling Wok, Large Black</v>
      </c>
      <c r="D792" t="str">
        <f>IFERROR(__xludf.DUMMYFUNCTION("""COMPUTED_VALUE"""),"B07FBJ6QKW")</f>
        <v>B07FBJ6QKW</v>
      </c>
      <c r="E792" t="str">
        <f>IFERROR(__xludf.DUMMYFUNCTION("""COMPUTED_VALUE"""),"736386008025")</f>
        <v>736386008025</v>
      </c>
      <c r="F792">
        <f>IFERROR(__xludf.DUMMYFUNCTION("""COMPUTED_VALUE"""),240.0)</f>
        <v>240</v>
      </c>
      <c r="G792">
        <f>IFERROR(__xludf.DUMMYFUNCTION("""COMPUTED_VALUE"""),5000.0)</f>
        <v>5000</v>
      </c>
      <c r="H792" s="2">
        <f>IFERROR(__xludf.DUMMYFUNCTION("""COMPUTED_VALUE"""),16.5)</f>
        <v>16.5</v>
      </c>
      <c r="I792" s="2">
        <f>IFERROR(__xludf.DUMMYFUNCTION("""COMPUTED_VALUE"""),17.33)</f>
        <v>17.33</v>
      </c>
      <c r="J792" s="2">
        <f>IFERROR(__xludf.DUMMYFUNCTION("""COMPUTED_VALUE"""),0.8299999999999983)</f>
        <v>0.83</v>
      </c>
      <c r="K792" s="5">
        <f>IFERROR(__xludf.DUMMYFUNCTION("""COMPUTED_VALUE"""),0.0503030303030302)</f>
        <v>0.0503030303</v>
      </c>
      <c r="L792">
        <f>IFERROR(__xludf.DUMMYFUNCTION("""COMPUTED_VALUE"""),47665.0)</f>
        <v>47665</v>
      </c>
      <c r="M792" t="str">
        <f>IFERROR(__xludf.DUMMYFUNCTION("""COMPUTED_VALUE"""),"Kitchen")</f>
        <v>Kitchen</v>
      </c>
      <c r="N792" t="str">
        <f>IFERROR(__xludf.DUMMYFUNCTION("""COMPUTED_VALUE"""),"QTY discounts avail!")</f>
        <v>QTY discounts avail!</v>
      </c>
      <c r="O792" t="str">
        <f>IFERROR(__xludf.DUMMYFUNCTION("""COMPUTED_VALUE"""),"Y")</f>
        <v>Y</v>
      </c>
      <c r="P792" s="1" t="str">
        <f>IFERROR(__xludf.DUMMYFUNCTION("""COMPUTED_VALUE"""),"ID 7133")</f>
        <v>ID 7133</v>
      </c>
      <c r="Q792" s="1" t="str">
        <f>IFERROR(__xludf.DUMMYFUNCTION("""COMPUTED_VALUE"""),"B07FBJ6QKW")</f>
        <v>B07FBJ6QKW</v>
      </c>
    </row>
    <row r="793">
      <c r="A793" s="6">
        <f>IFERROR(__xludf.DUMMYFUNCTION("""COMPUTED_VALUE"""),43991.0)</f>
        <v>43991</v>
      </c>
      <c r="B793">
        <f>IFERROR(__xludf.DUMMYFUNCTION("""COMPUTED_VALUE"""),3981.0)</f>
        <v>3981</v>
      </c>
      <c r="C793" t="str">
        <f>IFERROR(__xludf.DUMMYFUNCTION("""COMPUTED_VALUE"""),"Maybelline Makeup Volum' Express The Colossal Waterproof Mascara, Glam Black Mascara, 0.27 fl oz")</f>
        <v>Maybelline Makeup Volum' Express The Colossal Waterproof Mascara, Glam Black Mascara, 0.27 fl oz</v>
      </c>
      <c r="D793" t="str">
        <f>IFERROR(__xludf.DUMMYFUNCTION("""COMPUTED_VALUE"""),"B002LFLVFK")</f>
        <v>B002LFLVFK</v>
      </c>
      <c r="E793" t="str">
        <f>IFERROR(__xludf.DUMMYFUNCTION("""COMPUTED_VALUE"""),"41554197037")</f>
        <v>41554197037</v>
      </c>
      <c r="F793">
        <f>IFERROR(__xludf.DUMMYFUNCTION("""COMPUTED_VALUE"""),864.0)</f>
        <v>864</v>
      </c>
      <c r="G793">
        <f>IFERROR(__xludf.DUMMYFUNCTION("""COMPUTED_VALUE"""),360.0)</f>
        <v>360</v>
      </c>
      <c r="H793" s="2">
        <f>IFERROR(__xludf.DUMMYFUNCTION("""COMPUTED_VALUE"""),3.5)</f>
        <v>3.5</v>
      </c>
      <c r="I793" s="2">
        <f>IFERROR(__xludf.DUMMYFUNCTION("""COMPUTED_VALUE"""),4.32)</f>
        <v>4.32</v>
      </c>
      <c r="J793" s="2">
        <f>IFERROR(__xludf.DUMMYFUNCTION("""COMPUTED_VALUE"""),0.8200000000000003)</f>
        <v>0.82</v>
      </c>
      <c r="K793" s="5">
        <f>IFERROR(__xludf.DUMMYFUNCTION("""COMPUTED_VALUE"""),0.23428571428571437)</f>
        <v>0.2342857143</v>
      </c>
      <c r="L793">
        <f>IFERROR(__xludf.DUMMYFUNCTION("""COMPUTED_VALUE"""),5469.0)</f>
        <v>5469</v>
      </c>
      <c r="M793" t="str">
        <f>IFERROR(__xludf.DUMMYFUNCTION("""COMPUTED_VALUE"""),"Beauty")</f>
        <v>Beauty</v>
      </c>
      <c r="O793" t="str">
        <f>IFERROR(__xludf.DUMMYFUNCTION("""COMPUTED_VALUE"""),"Y")</f>
        <v>Y</v>
      </c>
      <c r="P793" s="1" t="str">
        <f>IFERROR(__xludf.DUMMYFUNCTION("""COMPUTED_VALUE"""),"ID 3981")</f>
        <v>ID 3981</v>
      </c>
      <c r="Q793" s="1" t="str">
        <f>IFERROR(__xludf.DUMMYFUNCTION("""COMPUTED_VALUE"""),"B002LFLVFK")</f>
        <v>B002LFLVFK</v>
      </c>
    </row>
    <row r="794">
      <c r="A794" s="6">
        <f>IFERROR(__xludf.DUMMYFUNCTION("""COMPUTED_VALUE"""),45429.0)</f>
        <v>45429</v>
      </c>
      <c r="B794">
        <f>IFERROR(__xludf.DUMMYFUNCTION("""COMPUTED_VALUE"""),19694.0)</f>
        <v>19694</v>
      </c>
      <c r="C794" t="str">
        <f>IFERROR(__xludf.DUMMYFUNCTION("""COMPUTED_VALUE"""),"Pentel EnerGel Pearl Deluxe RTX Retractable Liquid Gel Pen, (0.7mm), Accent, Black Ink, 2 Pack (BL77WBP2A)")</f>
        <v>Pentel EnerGel Pearl Deluxe RTX Retractable Liquid Gel Pen, (0.7mm), Accent, Black Ink, 2 Pack (BL77WBP2A)</v>
      </c>
      <c r="D794" t="str">
        <f>IFERROR(__xludf.DUMMYFUNCTION("""COMPUTED_VALUE"""),"B00CMO1HU4")</f>
        <v>B00CMO1HU4</v>
      </c>
      <c r="E794" t="str">
        <f>IFERROR(__xludf.DUMMYFUNCTION("""COMPUTED_VALUE"""),"072512251584")</f>
        <v>072512251584</v>
      </c>
      <c r="F794">
        <f>IFERROR(__xludf.DUMMYFUNCTION("""COMPUTED_VALUE"""),144.0)</f>
        <v>144</v>
      </c>
      <c r="G794">
        <f>IFERROR(__xludf.DUMMYFUNCTION("""COMPUTED_VALUE"""),576.0)</f>
        <v>576</v>
      </c>
      <c r="H794" s="2">
        <f>IFERROR(__xludf.DUMMYFUNCTION("""COMPUTED_VALUE"""),3.25)</f>
        <v>3.25</v>
      </c>
      <c r="I794" s="2">
        <f>IFERROR(__xludf.DUMMYFUNCTION("""COMPUTED_VALUE"""),4.07)</f>
        <v>4.07</v>
      </c>
      <c r="J794" s="2">
        <f>IFERROR(__xludf.DUMMYFUNCTION("""COMPUTED_VALUE"""),0.8200000000000003)</f>
        <v>0.82</v>
      </c>
      <c r="K794" s="5">
        <f>IFERROR(__xludf.DUMMYFUNCTION("""COMPUTED_VALUE"""),0.2523076923076924)</f>
        <v>0.2523076923</v>
      </c>
      <c r="L794">
        <f>IFERROR(__xludf.DUMMYFUNCTION("""COMPUTED_VALUE"""),37686.0)</f>
        <v>37686</v>
      </c>
      <c r="M794" t="str">
        <f>IFERROR(__xludf.DUMMYFUNCTION("""COMPUTED_VALUE"""),"Office Product")</f>
        <v>Office Product</v>
      </c>
      <c r="N794" t="str">
        <f>IFERROR(__xludf.DUMMYFUNCTION("""COMPUTED_VALUE"""),"IN STOCK")</f>
        <v>IN STOCK</v>
      </c>
      <c r="O794" t="str">
        <f>IFERROR(__xludf.DUMMYFUNCTION("""COMPUTED_VALUE"""),"Y")</f>
        <v>Y</v>
      </c>
      <c r="P794" s="1" t="str">
        <f>IFERROR(__xludf.DUMMYFUNCTION("""COMPUTED_VALUE"""),"ID 19694")</f>
        <v>ID 19694</v>
      </c>
      <c r="Q794" s="1" t="str">
        <f>IFERROR(__xludf.DUMMYFUNCTION("""COMPUTED_VALUE"""),"B00CMO1HU4")</f>
        <v>B00CMO1HU4</v>
      </c>
    </row>
    <row r="795">
      <c r="A795" s="6">
        <f>IFERROR(__xludf.DUMMYFUNCTION("""COMPUTED_VALUE"""),44937.0)</f>
        <v>44937</v>
      </c>
      <c r="B795">
        <f>IFERROR(__xludf.DUMMYFUNCTION("""COMPUTED_VALUE"""),23837.0)</f>
        <v>23837</v>
      </c>
      <c r="C795" t="str">
        <f>IFERROR(__xludf.DUMMYFUNCTION("""COMPUTED_VALUE"""),"Rihanna Reb'l Fleur Love Always for Women Eau De Parfum Spray, 3.4 Ounce")</f>
        <v>Rihanna Reb'l Fleur Love Always for Women Eau De Parfum Spray, 3.4 Ounce</v>
      </c>
      <c r="D795" t="str">
        <f>IFERROR(__xludf.DUMMYFUNCTION("""COMPUTED_VALUE"""),"B07GD446J2")</f>
        <v>B07GD446J2</v>
      </c>
      <c r="E795" t="str">
        <f>IFERROR(__xludf.DUMMYFUNCTION("""COMPUTED_VALUE"""),"608940574706")</f>
        <v>608940574706</v>
      </c>
      <c r="F795">
        <f>IFERROR(__xludf.DUMMYFUNCTION("""COMPUTED_VALUE"""),80.0)</f>
        <v>80</v>
      </c>
      <c r="G795">
        <f>IFERROR(__xludf.DUMMYFUNCTION("""COMPUTED_VALUE"""),10000.0)</f>
        <v>10000</v>
      </c>
      <c r="H795" s="2">
        <f>IFERROR(__xludf.DUMMYFUNCTION("""COMPUTED_VALUE"""),17.25)</f>
        <v>17.25</v>
      </c>
      <c r="I795" s="2">
        <f>IFERROR(__xludf.DUMMYFUNCTION("""COMPUTED_VALUE"""),18.07)</f>
        <v>18.07</v>
      </c>
      <c r="J795" s="2">
        <f>IFERROR(__xludf.DUMMYFUNCTION("""COMPUTED_VALUE"""),0.8200000000000003)</f>
        <v>0.82</v>
      </c>
      <c r="K795" s="5">
        <f>IFERROR(__xludf.DUMMYFUNCTION("""COMPUTED_VALUE"""),0.047536231884057985)</f>
        <v>0.04753623188</v>
      </c>
      <c r="L795">
        <f>IFERROR(__xludf.DUMMYFUNCTION("""COMPUTED_VALUE"""),57584.0)</f>
        <v>57584</v>
      </c>
      <c r="M795" t="str">
        <f>IFERROR(__xludf.DUMMYFUNCTION("""COMPUTED_VALUE"""),"Beauty")</f>
        <v>Beauty</v>
      </c>
      <c r="O795" t="str">
        <f>IFERROR(__xludf.DUMMYFUNCTION("""COMPUTED_VALUE"""),"Y")</f>
        <v>Y</v>
      </c>
      <c r="P795" s="1" t="str">
        <f>IFERROR(__xludf.DUMMYFUNCTION("""COMPUTED_VALUE"""),"ID 23837")</f>
        <v>ID 23837</v>
      </c>
      <c r="Q795" s="1" t="str">
        <f>IFERROR(__xludf.DUMMYFUNCTION("""COMPUTED_VALUE"""),"B07GD446J2")</f>
        <v>B07GD446J2</v>
      </c>
    </row>
    <row r="796">
      <c r="A796" s="6">
        <f>IFERROR(__xludf.DUMMYFUNCTION("""COMPUTED_VALUE"""),45364.0)</f>
        <v>45364</v>
      </c>
      <c r="B796">
        <f>IFERROR(__xludf.DUMMYFUNCTION("""COMPUTED_VALUE"""),24149.0)</f>
        <v>24149</v>
      </c>
      <c r="C796" t="str">
        <f>IFERROR(__xludf.DUMMYFUNCTION("""COMPUTED_VALUE"""),"Rediform Driver's Daily Log Book, Carbon, 2 Part, 5.5 x 7.875 Inches, 31 Forms (6K681)")</f>
        <v>Rediform Driver's Daily Log Book, Carbon, 2 Part, 5.5 x 7.875 Inches, 31 Forms (6K681)</v>
      </c>
      <c r="D796" t="str">
        <f>IFERROR(__xludf.DUMMYFUNCTION("""COMPUTED_VALUE"""),"B0006HVGIM")</f>
        <v>B0006HVGIM</v>
      </c>
      <c r="E796" t="str">
        <f>IFERROR(__xludf.DUMMYFUNCTION("""COMPUTED_VALUE"""),"077925646811")</f>
        <v>077925646811</v>
      </c>
      <c r="F796">
        <f>IFERROR(__xludf.DUMMYFUNCTION("""COMPUTED_VALUE"""),600.0)</f>
        <v>600</v>
      </c>
      <c r="G796">
        <f>IFERROR(__xludf.DUMMYFUNCTION("""COMPUTED_VALUE"""),10000.0)</f>
        <v>10000</v>
      </c>
      <c r="H796" s="2">
        <f>IFERROR(__xludf.DUMMYFUNCTION("""COMPUTED_VALUE"""),2.5)</f>
        <v>2.5</v>
      </c>
      <c r="I796" s="2">
        <f>IFERROR(__xludf.DUMMYFUNCTION("""COMPUTED_VALUE"""),3.32)</f>
        <v>3.32</v>
      </c>
      <c r="J796" s="2">
        <f>IFERROR(__xludf.DUMMYFUNCTION("""COMPUTED_VALUE"""),0.8199999999999998)</f>
        <v>0.82</v>
      </c>
      <c r="K796" s="5">
        <f>IFERROR(__xludf.DUMMYFUNCTION("""COMPUTED_VALUE"""),0.32799999999999996)</f>
        <v>0.328</v>
      </c>
      <c r="L796">
        <f>IFERROR(__xludf.DUMMYFUNCTION("""COMPUTED_VALUE"""),78047.0)</f>
        <v>78047</v>
      </c>
      <c r="M796" t="str">
        <f>IFERROR(__xludf.DUMMYFUNCTION("""COMPUTED_VALUE"""),"Office Product")</f>
        <v>Office Product</v>
      </c>
      <c r="O796" t="str">
        <f>IFERROR(__xludf.DUMMYFUNCTION("""COMPUTED_VALUE"""),"N")</f>
        <v>N</v>
      </c>
      <c r="P796" s="1" t="str">
        <f>IFERROR(__xludf.DUMMYFUNCTION("""COMPUTED_VALUE"""),"ID 24149")</f>
        <v>ID 24149</v>
      </c>
      <c r="Q796" s="1" t="str">
        <f>IFERROR(__xludf.DUMMYFUNCTION("""COMPUTED_VALUE"""),"B0006HVGIM")</f>
        <v>B0006HVGIM</v>
      </c>
    </row>
    <row r="797">
      <c r="A797" s="6">
        <f>IFERROR(__xludf.DUMMYFUNCTION("""COMPUTED_VALUE"""),45362.0)</f>
        <v>45362</v>
      </c>
      <c r="B797">
        <f>IFERROR(__xludf.DUMMYFUNCTION("""COMPUTED_VALUE"""),17575.0)</f>
        <v>17575</v>
      </c>
      <c r="C797" t="str">
        <f>IFERROR(__xludf.DUMMYFUNCTION("""COMPUTED_VALUE"""),"Jovan Sex Appeal By Coty | 3.0 Oz Cologne Spray | Fragrance For Men")</f>
        <v>Jovan Sex Appeal By Coty | 3.0 Oz Cologne Spray | Fragrance For Men</v>
      </c>
      <c r="D797" t="str">
        <f>IFERROR(__xludf.DUMMYFUNCTION("""COMPUTED_VALUE"""),"B00K5DJ602")</f>
        <v>B00K5DJ602</v>
      </c>
      <c r="E797" t="str">
        <f>IFERROR(__xludf.DUMMYFUNCTION("""COMPUTED_VALUE"""),"035017009425")</f>
        <v>035017009425</v>
      </c>
      <c r="F797">
        <f>IFERROR(__xludf.DUMMYFUNCTION("""COMPUTED_VALUE"""),100.0)</f>
        <v>100</v>
      </c>
      <c r="G797">
        <f>IFERROR(__xludf.DUMMYFUNCTION("""COMPUTED_VALUE"""),10000.0)</f>
        <v>10000</v>
      </c>
      <c r="H797" s="2">
        <f>IFERROR(__xludf.DUMMYFUNCTION("""COMPUTED_VALUE"""),12.5)</f>
        <v>12.5</v>
      </c>
      <c r="I797" s="2">
        <f>IFERROR(__xludf.DUMMYFUNCTION("""COMPUTED_VALUE"""),13.31)</f>
        <v>13.31</v>
      </c>
      <c r="J797" s="2">
        <f>IFERROR(__xludf.DUMMYFUNCTION("""COMPUTED_VALUE"""),0.8100000000000005)</f>
        <v>0.81</v>
      </c>
      <c r="K797" s="5">
        <f>IFERROR(__xludf.DUMMYFUNCTION("""COMPUTED_VALUE"""),0.06480000000000004)</f>
        <v>0.0648</v>
      </c>
      <c r="L797">
        <f>IFERROR(__xludf.DUMMYFUNCTION("""COMPUTED_VALUE"""),55813.0)</f>
        <v>55813</v>
      </c>
      <c r="M797" t="str">
        <f>IFERROR(__xludf.DUMMYFUNCTION("""COMPUTED_VALUE"""),"Beauty")</f>
        <v>Beauty</v>
      </c>
      <c r="O797" t="str">
        <f>IFERROR(__xludf.DUMMYFUNCTION("""COMPUTED_VALUE"""),"N")</f>
        <v>N</v>
      </c>
      <c r="P797" s="1" t="str">
        <f>IFERROR(__xludf.DUMMYFUNCTION("""COMPUTED_VALUE"""),"ID 17575")</f>
        <v>ID 17575</v>
      </c>
      <c r="Q797" s="1" t="str">
        <f>IFERROR(__xludf.DUMMYFUNCTION("""COMPUTED_VALUE"""),"B00K5DJ602")</f>
        <v>B00K5DJ602</v>
      </c>
    </row>
    <row r="798">
      <c r="A798" s="6">
        <f>IFERROR(__xludf.DUMMYFUNCTION("""COMPUTED_VALUE"""),45364.0)</f>
        <v>45364</v>
      </c>
      <c r="B798">
        <f>IFERROR(__xludf.DUMMYFUNCTION("""COMPUTED_VALUE"""),13603.0)</f>
        <v>13603</v>
      </c>
      <c r="C798" t="str">
        <f>IFERROR(__xludf.DUMMYFUNCTION("""COMPUTED_VALUE"""),"Westcott 8ths 12-Inch Beveled Transparent Ruler (B-60)")</f>
        <v>Westcott 8ths 12-Inch Beveled Transparent Ruler (B-60)</v>
      </c>
      <c r="D798" t="str">
        <f>IFERROR(__xludf.DUMMYFUNCTION("""COMPUTED_VALUE"""),"B001E209EA")</f>
        <v>B001E209EA</v>
      </c>
      <c r="E798" t="str">
        <f>IFERROR(__xludf.DUMMYFUNCTION("""COMPUTED_VALUE"""),"088359002319")</f>
        <v>088359002319</v>
      </c>
      <c r="F798">
        <f>IFERROR(__xludf.DUMMYFUNCTION("""COMPUTED_VALUE"""),720.0)</f>
        <v>720</v>
      </c>
      <c r="G798">
        <f>IFERROR(__xludf.DUMMYFUNCTION("""COMPUTED_VALUE"""),10000.0)</f>
        <v>10000</v>
      </c>
      <c r="H798" s="2">
        <f>IFERROR(__xludf.DUMMYFUNCTION("""COMPUTED_VALUE"""),2.0)</f>
        <v>2</v>
      </c>
      <c r="I798" s="2">
        <f>IFERROR(__xludf.DUMMYFUNCTION("""COMPUTED_VALUE"""),2.81)</f>
        <v>2.81</v>
      </c>
      <c r="J798" s="2">
        <f>IFERROR(__xludf.DUMMYFUNCTION("""COMPUTED_VALUE"""),0.81)</f>
        <v>0.81</v>
      </c>
      <c r="K798" s="5">
        <f>IFERROR(__xludf.DUMMYFUNCTION("""COMPUTED_VALUE"""),0.405)</f>
        <v>0.405</v>
      </c>
      <c r="L798">
        <f>IFERROR(__xludf.DUMMYFUNCTION("""COMPUTED_VALUE"""),14784.0)</f>
        <v>14784</v>
      </c>
      <c r="M798" t="str">
        <f>IFERROR(__xludf.DUMMYFUNCTION("""COMPUTED_VALUE"""),"Office Product")</f>
        <v>Office Product</v>
      </c>
      <c r="O798" t="str">
        <f>IFERROR(__xludf.DUMMYFUNCTION("""COMPUTED_VALUE"""),"Y")</f>
        <v>Y</v>
      </c>
      <c r="P798" s="1" t="str">
        <f>IFERROR(__xludf.DUMMYFUNCTION("""COMPUTED_VALUE"""),"ID 13603")</f>
        <v>ID 13603</v>
      </c>
      <c r="Q798" s="1" t="str">
        <f>IFERROR(__xludf.DUMMYFUNCTION("""COMPUTED_VALUE"""),"B001E209EA")</f>
        <v>B001E209EA</v>
      </c>
    </row>
    <row r="799">
      <c r="A799" s="6">
        <f>IFERROR(__xludf.DUMMYFUNCTION("""COMPUTED_VALUE"""),45357.0)</f>
        <v>45357</v>
      </c>
      <c r="B799">
        <f>IFERROR(__xludf.DUMMYFUNCTION("""COMPUTED_VALUE"""),15080.0)</f>
        <v>15080</v>
      </c>
      <c r="C799" t="str">
        <f>IFERROR(__xludf.DUMMYFUNCTION("""COMPUTED_VALUE"""),"Disney Frozen 2 Themed Pool Party Swim Toys Inflatable Beach Ball, 13.5 Inches, for Summer Parties and Gift, Water Fun for All Elsa Anna Olaf Fans")</f>
        <v>Disney Frozen 2 Themed Pool Party Swim Toys Inflatable Beach Ball, 13.5 Inches, for Summer Parties and Gift, Water Fun for All Elsa Anna Olaf Fans</v>
      </c>
      <c r="D799" t="str">
        <f>IFERROR(__xludf.DUMMYFUNCTION("""COMPUTED_VALUE"""),"B00DM8PWWS")</f>
        <v>B00DM8PWWS</v>
      </c>
      <c r="E799" t="str">
        <f>IFERROR(__xludf.DUMMYFUNCTION("""COMPUTED_VALUE"""),"687554333879")</f>
        <v>687554333879</v>
      </c>
      <c r="F799">
        <f>IFERROR(__xludf.DUMMYFUNCTION("""COMPUTED_VALUE"""),1008.0)</f>
        <v>1008</v>
      </c>
      <c r="G799">
        <f>IFERROR(__xludf.DUMMYFUNCTION("""COMPUTED_VALUE"""),2205.0)</f>
        <v>2205</v>
      </c>
      <c r="H799" s="2">
        <f>IFERROR(__xludf.DUMMYFUNCTION("""COMPUTED_VALUE"""),1.0)</f>
        <v>1</v>
      </c>
      <c r="I799" s="2">
        <f>IFERROR(__xludf.DUMMYFUNCTION("""COMPUTED_VALUE"""),1.81)</f>
        <v>1.81</v>
      </c>
      <c r="J799" s="2">
        <f>IFERROR(__xludf.DUMMYFUNCTION("""COMPUTED_VALUE"""),0.81)</f>
        <v>0.81</v>
      </c>
      <c r="K799" s="5">
        <f>IFERROR(__xludf.DUMMYFUNCTION("""COMPUTED_VALUE"""),0.81)</f>
        <v>0.81</v>
      </c>
      <c r="L799">
        <f>IFERROR(__xludf.DUMMYFUNCTION("""COMPUTED_VALUE"""),54024.0)</f>
        <v>54024</v>
      </c>
      <c r="M799" t="str">
        <f>IFERROR(__xludf.DUMMYFUNCTION("""COMPUTED_VALUE"""),"Sports")</f>
        <v>Sports</v>
      </c>
      <c r="O799" t="str">
        <f>IFERROR(__xludf.DUMMYFUNCTION("""COMPUTED_VALUE"""),"N")</f>
        <v>N</v>
      </c>
      <c r="P799" s="1" t="str">
        <f>IFERROR(__xludf.DUMMYFUNCTION("""COMPUTED_VALUE"""),"ID 15080")</f>
        <v>ID 15080</v>
      </c>
      <c r="Q799" s="1" t="str">
        <f>IFERROR(__xludf.DUMMYFUNCTION("""COMPUTED_VALUE"""),"B00DM8PWWS")</f>
        <v>B00DM8PWWS</v>
      </c>
    </row>
    <row r="800">
      <c r="A800" s="6">
        <f>IFERROR(__xludf.DUMMYFUNCTION("""COMPUTED_VALUE"""),45362.0)</f>
        <v>45362</v>
      </c>
      <c r="B800">
        <f>IFERROR(__xludf.DUMMYFUNCTION("""COMPUTED_VALUE"""),19725.0)</f>
        <v>19725</v>
      </c>
      <c r="C800" t="str">
        <f>IFERROR(__xludf.DUMMYFUNCTION("""COMPUTED_VALUE"""),"Pentel Graph Gear 500 Automatic Drafting Pencil, 0.7mm, Blue Barrel, 1 Pack (PG527BP)")</f>
        <v>Pentel Graph Gear 500 Automatic Drafting Pencil, 0.7mm, Blue Barrel, 1 Pack (PG527BP)</v>
      </c>
      <c r="D800" t="str">
        <f>IFERROR(__xludf.DUMMYFUNCTION("""COMPUTED_VALUE"""),"B0047CP930")</f>
        <v>B0047CP930</v>
      </c>
      <c r="E800" t="str">
        <f>IFERROR(__xludf.DUMMYFUNCTION("""COMPUTED_VALUE"""),"072512199879")</f>
        <v>072512199879</v>
      </c>
      <c r="F800">
        <f>IFERROR(__xludf.DUMMYFUNCTION("""COMPUTED_VALUE"""),432.0)</f>
        <v>432</v>
      </c>
      <c r="G800">
        <f>IFERROR(__xludf.DUMMYFUNCTION("""COMPUTED_VALUE"""),10000.0)</f>
        <v>10000</v>
      </c>
      <c r="H800" s="2">
        <f>IFERROR(__xludf.DUMMYFUNCTION("""COMPUTED_VALUE"""),3.5)</f>
        <v>3.5</v>
      </c>
      <c r="I800" s="2">
        <f>IFERROR(__xludf.DUMMYFUNCTION("""COMPUTED_VALUE"""),4.31)</f>
        <v>4.31</v>
      </c>
      <c r="J800" s="2">
        <f>IFERROR(__xludf.DUMMYFUNCTION("""COMPUTED_VALUE"""),0.8099999999999996)</f>
        <v>0.81</v>
      </c>
      <c r="K800" s="5">
        <f>IFERROR(__xludf.DUMMYFUNCTION("""COMPUTED_VALUE"""),0.23142857142857132)</f>
        <v>0.2314285714</v>
      </c>
      <c r="L800">
        <f>IFERROR(__xludf.DUMMYFUNCTION("""COMPUTED_VALUE"""),20990.0)</f>
        <v>20990</v>
      </c>
      <c r="M800" t="str">
        <f>IFERROR(__xludf.DUMMYFUNCTION("""COMPUTED_VALUE"""),"Office Product")</f>
        <v>Office Product</v>
      </c>
      <c r="O800" t="str">
        <f>IFERROR(__xludf.DUMMYFUNCTION("""COMPUTED_VALUE"""),"Y")</f>
        <v>Y</v>
      </c>
      <c r="P800" s="1" t="str">
        <f>IFERROR(__xludf.DUMMYFUNCTION("""COMPUTED_VALUE"""),"ID 19725")</f>
        <v>ID 19725</v>
      </c>
      <c r="Q800" s="1" t="str">
        <f>IFERROR(__xludf.DUMMYFUNCTION("""COMPUTED_VALUE"""),"B0047CP930")</f>
        <v>B0047CP930</v>
      </c>
    </row>
    <row r="801">
      <c r="A801" s="6">
        <f>IFERROR(__xludf.DUMMYFUNCTION("""COMPUTED_VALUE"""),45421.0)</f>
        <v>45421</v>
      </c>
      <c r="B801">
        <f>IFERROR(__xludf.DUMMYFUNCTION("""COMPUTED_VALUE"""),25584.0)</f>
        <v>25584</v>
      </c>
      <c r="C801" t="str">
        <f>IFERROR(__xludf.DUMMYFUNCTION("""COMPUTED_VALUE"""),"Chartpak Self-Adhesive Vinyl Numbers, 1/2 Inch High, White, 210 per Pack (01116)")</f>
        <v>Chartpak Self-Adhesive Vinyl Numbers, 1/2 Inch High, White, 210 per Pack (01116)</v>
      </c>
      <c r="D801" t="str">
        <f>IFERROR(__xludf.DUMMYFUNCTION("""COMPUTED_VALUE"""),"B004O79HWM")</f>
        <v>B004O79HWM</v>
      </c>
      <c r="E801" t="str">
        <f>IFERROR(__xludf.DUMMYFUNCTION("""COMPUTED_VALUE"""),"014173119018")</f>
        <v>014173119018</v>
      </c>
      <c r="F801">
        <f>IFERROR(__xludf.DUMMYFUNCTION("""COMPUTED_VALUE"""),792.0)</f>
        <v>792</v>
      </c>
      <c r="G801">
        <f>IFERROR(__xludf.DUMMYFUNCTION("""COMPUTED_VALUE"""),10000.0)</f>
        <v>10000</v>
      </c>
      <c r="H801" s="2">
        <f>IFERROR(__xludf.DUMMYFUNCTION("""COMPUTED_VALUE"""),2.75)</f>
        <v>2.75</v>
      </c>
      <c r="I801" s="2">
        <f>IFERROR(__xludf.DUMMYFUNCTION("""COMPUTED_VALUE"""),3.56)</f>
        <v>3.56</v>
      </c>
      <c r="J801" s="2">
        <f>IFERROR(__xludf.DUMMYFUNCTION("""COMPUTED_VALUE"""),0.81)</f>
        <v>0.81</v>
      </c>
      <c r="K801" s="5">
        <f>IFERROR(__xludf.DUMMYFUNCTION("""COMPUTED_VALUE"""),0.29454545454545455)</f>
        <v>0.2945454545</v>
      </c>
      <c r="L801">
        <f>IFERROR(__xludf.DUMMYFUNCTION("""COMPUTED_VALUE"""),23513.0)</f>
        <v>23513</v>
      </c>
      <c r="M801" t="str">
        <f>IFERROR(__xludf.DUMMYFUNCTION("""COMPUTED_VALUE"""),"Office Product")</f>
        <v>Office Product</v>
      </c>
      <c r="O801" t="str">
        <f>IFERROR(__xludf.DUMMYFUNCTION("""COMPUTED_VALUE"""),"Y")</f>
        <v>Y</v>
      </c>
      <c r="P801" s="1" t="str">
        <f>IFERROR(__xludf.DUMMYFUNCTION("""COMPUTED_VALUE"""),"ID 25584")</f>
        <v>ID 25584</v>
      </c>
      <c r="Q801" s="1" t="str">
        <f>IFERROR(__xludf.DUMMYFUNCTION("""COMPUTED_VALUE"""),"B004O79HWM")</f>
        <v>B004O79HWM</v>
      </c>
    </row>
    <row r="802">
      <c r="A802" s="6">
        <f>IFERROR(__xludf.DUMMYFUNCTION("""COMPUTED_VALUE"""),45418.0)</f>
        <v>45418</v>
      </c>
      <c r="B802">
        <f>IFERROR(__xludf.DUMMYFUNCTION("""COMPUTED_VALUE"""),4138.0)</f>
        <v>4138</v>
      </c>
      <c r="C802" t="str">
        <f>IFERROR(__xludf.DUMMYFUNCTION("""COMPUTED_VALUE"""),"Chef Craft Stainless Steel Basting Spoon")</f>
        <v>Chef Craft Stainless Steel Basting Spoon</v>
      </c>
      <c r="D802" t="str">
        <f>IFERROR(__xludf.DUMMYFUNCTION("""COMPUTED_VALUE"""),"B00F1UX6MI")</f>
        <v>B00F1UX6MI</v>
      </c>
      <c r="E802" t="str">
        <f>IFERROR(__xludf.DUMMYFUNCTION("""COMPUTED_VALUE"""),"085455101304")</f>
        <v>085455101304</v>
      </c>
      <c r="F802">
        <f>IFERROR(__xludf.DUMMYFUNCTION("""COMPUTED_VALUE"""),1152.0)</f>
        <v>1152</v>
      </c>
      <c r="G802">
        <f>IFERROR(__xludf.DUMMYFUNCTION("""COMPUTED_VALUE"""),3000.0)</f>
        <v>3000</v>
      </c>
      <c r="H802" s="2">
        <f>IFERROR(__xludf.DUMMYFUNCTION("""COMPUTED_VALUE"""),1.25)</f>
        <v>1.25</v>
      </c>
      <c r="I802" s="2">
        <f>IFERROR(__xludf.DUMMYFUNCTION("""COMPUTED_VALUE"""),2.05)</f>
        <v>2.05</v>
      </c>
      <c r="J802" s="2">
        <f>IFERROR(__xludf.DUMMYFUNCTION("""COMPUTED_VALUE"""),0.7999999999999998)</f>
        <v>0.8</v>
      </c>
      <c r="K802" s="5">
        <f>IFERROR(__xludf.DUMMYFUNCTION("""COMPUTED_VALUE"""),0.6399999999999999)</f>
        <v>0.64</v>
      </c>
      <c r="L802">
        <f>IFERROR(__xludf.DUMMYFUNCTION("""COMPUTED_VALUE"""),6006.0)</f>
        <v>6006</v>
      </c>
      <c r="M802" t="str">
        <f>IFERROR(__xludf.DUMMYFUNCTION("""COMPUTED_VALUE"""),"Kitchen")</f>
        <v>Kitchen</v>
      </c>
      <c r="O802" t="str">
        <f>IFERROR(__xludf.DUMMYFUNCTION("""COMPUTED_VALUE"""),"Y")</f>
        <v>Y</v>
      </c>
      <c r="P802" s="1" t="str">
        <f>IFERROR(__xludf.DUMMYFUNCTION("""COMPUTED_VALUE"""),"ID 4138")</f>
        <v>ID 4138</v>
      </c>
      <c r="Q802" s="1" t="str">
        <f>IFERROR(__xludf.DUMMYFUNCTION("""COMPUTED_VALUE"""),"B00F1UX6MI")</f>
        <v>B00F1UX6MI</v>
      </c>
    </row>
    <row r="803">
      <c r="A803" s="6">
        <f>IFERROR(__xludf.DUMMYFUNCTION("""COMPUTED_VALUE"""),45390.0)</f>
        <v>45390</v>
      </c>
      <c r="B803">
        <f>IFERROR(__xludf.DUMMYFUNCTION("""COMPUTED_VALUE"""),5548.0)</f>
        <v>5548</v>
      </c>
      <c r="C803" t="str">
        <f>IFERROR(__xludf.DUMMYFUNCTION("""COMPUTED_VALUE"""),"Chef Craft 13385, 12, Green")</f>
        <v>Chef Craft 13385, 12, Green</v>
      </c>
      <c r="D803" t="str">
        <f>IFERROR(__xludf.DUMMYFUNCTION("""COMPUTED_VALUE"""),"B01BKAURF6")</f>
        <v>B01BKAURF6</v>
      </c>
      <c r="E803" t="str">
        <f>IFERROR(__xludf.DUMMYFUNCTION("""COMPUTED_VALUE"""),"085455133855")</f>
        <v>085455133855</v>
      </c>
      <c r="F803">
        <f>IFERROR(__xludf.DUMMYFUNCTION("""COMPUTED_VALUE"""),408.0)</f>
        <v>408</v>
      </c>
      <c r="G803">
        <f>IFERROR(__xludf.DUMMYFUNCTION("""COMPUTED_VALUE"""),10000.0)</f>
        <v>10000</v>
      </c>
      <c r="H803" s="2">
        <f>IFERROR(__xludf.DUMMYFUNCTION("""COMPUTED_VALUE"""),3.25)</f>
        <v>3.25</v>
      </c>
      <c r="I803" s="2">
        <f>IFERROR(__xludf.DUMMYFUNCTION("""COMPUTED_VALUE"""),4.05)</f>
        <v>4.05</v>
      </c>
      <c r="J803" s="2">
        <f>IFERROR(__xludf.DUMMYFUNCTION("""COMPUTED_VALUE"""),0.7999999999999998)</f>
        <v>0.8</v>
      </c>
      <c r="K803" s="5">
        <f>IFERROR(__xludf.DUMMYFUNCTION("""COMPUTED_VALUE"""),0.2461538461538461)</f>
        <v>0.2461538462</v>
      </c>
      <c r="L803">
        <f>IFERROR(__xludf.DUMMYFUNCTION("""COMPUTED_VALUE"""),34816.0)</f>
        <v>34816</v>
      </c>
      <c r="M803" t="str">
        <f>IFERROR(__xludf.DUMMYFUNCTION("""COMPUTED_VALUE"""),"Kitchen")</f>
        <v>Kitchen</v>
      </c>
      <c r="O803" t="str">
        <f>IFERROR(__xludf.DUMMYFUNCTION("""COMPUTED_VALUE"""),"Y")</f>
        <v>Y</v>
      </c>
      <c r="P803" s="1" t="str">
        <f>IFERROR(__xludf.DUMMYFUNCTION("""COMPUTED_VALUE"""),"ID 5548")</f>
        <v>ID 5548</v>
      </c>
      <c r="Q803" s="1" t="str">
        <f>IFERROR(__xludf.DUMMYFUNCTION("""COMPUTED_VALUE"""),"B01BKAURF6")</f>
        <v>B01BKAURF6</v>
      </c>
    </row>
    <row r="804">
      <c r="A804" s="6">
        <f>IFERROR(__xludf.DUMMYFUNCTION("""COMPUTED_VALUE"""),45376.0)</f>
        <v>45376</v>
      </c>
      <c r="B804">
        <f>IFERROR(__xludf.DUMMYFUNCTION("""COMPUTED_VALUE"""),8562.0)</f>
        <v>8562</v>
      </c>
      <c r="C804" t="str">
        <f>IFERROR(__xludf.DUMMYFUNCTION("""COMPUTED_VALUE"""),"Suave Essentials Body Wash, Sweet Pea and Violet, 15 oz")</f>
        <v>Suave Essentials Body Wash, Sweet Pea and Violet, 15 oz</v>
      </c>
      <c r="D804" t="str">
        <f>IFERROR(__xludf.DUMMYFUNCTION("""COMPUTED_VALUE"""),"B00027C8XI")</f>
        <v>B00027C8XI</v>
      </c>
      <c r="E804" t="str">
        <f>IFERROR(__xludf.DUMMYFUNCTION("""COMPUTED_VALUE"""),"079400848604")</f>
        <v>079400848604</v>
      </c>
      <c r="F804">
        <f>IFERROR(__xludf.DUMMYFUNCTION("""COMPUTED_VALUE"""),504.0)</f>
        <v>504</v>
      </c>
      <c r="G804">
        <f>IFERROR(__xludf.DUMMYFUNCTION("""COMPUTED_VALUE"""),10000.0)</f>
        <v>10000</v>
      </c>
      <c r="H804" s="2">
        <f>IFERROR(__xludf.DUMMYFUNCTION("""COMPUTED_VALUE"""),2.5)</f>
        <v>2.5</v>
      </c>
      <c r="I804" s="2">
        <f>IFERROR(__xludf.DUMMYFUNCTION("""COMPUTED_VALUE"""),3.3)</f>
        <v>3.3</v>
      </c>
      <c r="J804" s="2">
        <f>IFERROR(__xludf.DUMMYFUNCTION("""COMPUTED_VALUE"""),0.7999999999999998)</f>
        <v>0.8</v>
      </c>
      <c r="K804" s="5">
        <f>IFERROR(__xludf.DUMMYFUNCTION("""COMPUTED_VALUE"""),0.31999999999999995)</f>
        <v>0.32</v>
      </c>
      <c r="L804">
        <f>IFERROR(__xludf.DUMMYFUNCTION("""COMPUTED_VALUE"""),54232.0)</f>
        <v>54232</v>
      </c>
      <c r="M804" t="str">
        <f>IFERROR(__xludf.DUMMYFUNCTION("""COMPUTED_VALUE"""),"Beauty")</f>
        <v>Beauty</v>
      </c>
      <c r="O804" t="str">
        <f>IFERROR(__xludf.DUMMYFUNCTION("""COMPUTED_VALUE"""),"N")</f>
        <v>N</v>
      </c>
      <c r="P804" s="1" t="str">
        <f>IFERROR(__xludf.DUMMYFUNCTION("""COMPUTED_VALUE"""),"ID 8562")</f>
        <v>ID 8562</v>
      </c>
      <c r="Q804" s="1" t="str">
        <f>IFERROR(__xludf.DUMMYFUNCTION("""COMPUTED_VALUE"""),"B00027C8XI")</f>
        <v>B00027C8XI</v>
      </c>
    </row>
    <row r="805">
      <c r="A805" s="6">
        <f>IFERROR(__xludf.DUMMYFUNCTION("""COMPUTED_VALUE"""),44454.0)</f>
        <v>44454</v>
      </c>
      <c r="B805">
        <f>IFERROR(__xludf.DUMMYFUNCTION("""COMPUTED_VALUE"""),22152.0)</f>
        <v>22152</v>
      </c>
      <c r="C805" t="str">
        <f>IFERROR(__xludf.DUMMYFUNCTION("""COMPUTED_VALUE"""),"Maybelline New York Color Sensational Shine Compulsion Lipstick Makeup, Pink Fetish, 0.1 Ounce")</f>
        <v>Maybelline New York Color Sensational Shine Compulsion Lipstick Makeup, Pink Fetish, 0.1 Ounce</v>
      </c>
      <c r="D805" t="str">
        <f>IFERROR(__xludf.DUMMYFUNCTION("""COMPUTED_VALUE"""),"B07BM1XTKH")</f>
        <v>B07BM1XTKH</v>
      </c>
      <c r="E805" t="str">
        <f>IFERROR(__xludf.DUMMYFUNCTION("""COMPUTED_VALUE"""),"041554549249")</f>
        <v>041554549249</v>
      </c>
      <c r="F805">
        <f>IFERROR(__xludf.DUMMYFUNCTION("""COMPUTED_VALUE"""),1500.0)</f>
        <v>1500</v>
      </c>
      <c r="G805">
        <f>IFERROR(__xludf.DUMMYFUNCTION("""COMPUTED_VALUE"""),10000.0)</f>
        <v>10000</v>
      </c>
      <c r="H805" s="2">
        <f>IFERROR(__xludf.DUMMYFUNCTION("""COMPUTED_VALUE"""),1.25)</f>
        <v>1.25</v>
      </c>
      <c r="I805" s="2">
        <f>IFERROR(__xludf.DUMMYFUNCTION("""COMPUTED_VALUE"""),2.05)</f>
        <v>2.05</v>
      </c>
      <c r="J805" s="2">
        <f>IFERROR(__xludf.DUMMYFUNCTION("""COMPUTED_VALUE"""),0.7999999999999998)</f>
        <v>0.8</v>
      </c>
      <c r="K805" s="5">
        <f>IFERROR(__xludf.DUMMYFUNCTION("""COMPUTED_VALUE"""),0.6399999999999999)</f>
        <v>0.64</v>
      </c>
      <c r="L805">
        <f>IFERROR(__xludf.DUMMYFUNCTION("""COMPUTED_VALUE"""),22427.0)</f>
        <v>22427</v>
      </c>
      <c r="M805" t="str">
        <f>IFERROR(__xludf.DUMMYFUNCTION("""COMPUTED_VALUE"""),"Beauty")</f>
        <v>Beauty</v>
      </c>
      <c r="O805" t="str">
        <f>IFERROR(__xludf.DUMMYFUNCTION("""COMPUTED_VALUE"""),"N")</f>
        <v>N</v>
      </c>
      <c r="P805" s="1" t="str">
        <f>IFERROR(__xludf.DUMMYFUNCTION("""COMPUTED_VALUE"""),"ID 22152")</f>
        <v>ID 22152</v>
      </c>
      <c r="Q805" s="1" t="str">
        <f>IFERROR(__xludf.DUMMYFUNCTION("""COMPUTED_VALUE"""),"B07BM1XTKH")</f>
        <v>B07BM1XTKH</v>
      </c>
    </row>
    <row r="806">
      <c r="A806" s="6">
        <f>IFERROR(__xludf.DUMMYFUNCTION("""COMPUTED_VALUE"""),45390.0)</f>
        <v>45390</v>
      </c>
      <c r="B806">
        <f>IFERROR(__xludf.DUMMYFUNCTION("""COMPUTED_VALUE"""),10410.0)</f>
        <v>10410</v>
      </c>
      <c r="C806" t="str">
        <f>IFERROR(__xludf.DUMMYFUNCTION("""COMPUTED_VALUE"""),"Chef Craft 13430 Premium Silicone Basting Spoon, 11, Blue")</f>
        <v>Chef Craft 13430 Premium Silicone Basting Spoon, 11, Blue</v>
      </c>
      <c r="D806" t="str">
        <f>IFERROR(__xludf.DUMMYFUNCTION("""COMPUTED_VALUE"""),"B01BKAUATE")</f>
        <v>B01BKAUATE</v>
      </c>
      <c r="E806" t="str">
        <f>IFERROR(__xludf.DUMMYFUNCTION("""COMPUTED_VALUE"""),"085455134302")</f>
        <v>085455134302</v>
      </c>
      <c r="F806">
        <f>IFERROR(__xludf.DUMMYFUNCTION("""COMPUTED_VALUE"""),360.0)</f>
        <v>360</v>
      </c>
      <c r="G806">
        <f>IFERROR(__xludf.DUMMYFUNCTION("""COMPUTED_VALUE"""),10000.0)</f>
        <v>10000</v>
      </c>
      <c r="H806" s="2">
        <f>IFERROR(__xludf.DUMMYFUNCTION("""COMPUTED_VALUE"""),2.75)</f>
        <v>2.75</v>
      </c>
      <c r="I806" s="2">
        <f>IFERROR(__xludf.DUMMYFUNCTION("""COMPUTED_VALUE"""),3.54)</f>
        <v>3.54</v>
      </c>
      <c r="J806" s="2">
        <f>IFERROR(__xludf.DUMMYFUNCTION("""COMPUTED_VALUE"""),0.79)</f>
        <v>0.79</v>
      </c>
      <c r="K806" s="5">
        <f>IFERROR(__xludf.DUMMYFUNCTION("""COMPUTED_VALUE"""),0.2872727272727273)</f>
        <v>0.2872727273</v>
      </c>
      <c r="L806">
        <f>IFERROR(__xludf.DUMMYFUNCTION("""COMPUTED_VALUE"""),51597.0)</f>
        <v>51597</v>
      </c>
      <c r="M806" t="str">
        <f>IFERROR(__xludf.DUMMYFUNCTION("""COMPUTED_VALUE"""),"Kitchen")</f>
        <v>Kitchen</v>
      </c>
      <c r="O806" t="str">
        <f>IFERROR(__xludf.DUMMYFUNCTION("""COMPUTED_VALUE"""),"Y")</f>
        <v>Y</v>
      </c>
      <c r="P806" s="1" t="str">
        <f>IFERROR(__xludf.DUMMYFUNCTION("""COMPUTED_VALUE"""),"ID 10410")</f>
        <v>ID 10410</v>
      </c>
      <c r="Q806" s="1" t="str">
        <f>IFERROR(__xludf.DUMMYFUNCTION("""COMPUTED_VALUE"""),"B01BKAUATE")</f>
        <v>B01BKAUATE</v>
      </c>
    </row>
    <row r="807">
      <c r="A807" s="6">
        <f>IFERROR(__xludf.DUMMYFUNCTION("""COMPUTED_VALUE"""),45390.0)</f>
        <v>45390</v>
      </c>
      <c r="B807">
        <f>IFERROR(__xludf.DUMMYFUNCTION("""COMPUTED_VALUE"""),19794.0)</f>
        <v>19794</v>
      </c>
      <c r="C807" t="str">
        <f>IFERROR(__xludf.DUMMYFUNCTION("""COMPUTED_VALUE"""),"Chef Craft Premium Silicone Cooking Ladle, 11.25 inch, Pastel Blue")</f>
        <v>Chef Craft Premium Silicone Cooking Ladle, 11.25 inch, Pastel Blue</v>
      </c>
      <c r="D807" t="str">
        <f>IFERROR(__xludf.DUMMYFUNCTION("""COMPUTED_VALUE"""),"B08SHRVKVT")</f>
        <v>B08SHRVKVT</v>
      </c>
      <c r="E807" t="str">
        <f>IFERROR(__xludf.DUMMYFUNCTION("""COMPUTED_VALUE"""),"085455139604")</f>
        <v>085455139604</v>
      </c>
      <c r="F807">
        <f>IFERROR(__xludf.DUMMYFUNCTION("""COMPUTED_VALUE"""),360.0)</f>
        <v>360</v>
      </c>
      <c r="G807">
        <f>IFERROR(__xludf.DUMMYFUNCTION("""COMPUTED_VALUE"""),10000.0)</f>
        <v>10000</v>
      </c>
      <c r="H807" s="2">
        <f>IFERROR(__xludf.DUMMYFUNCTION("""COMPUTED_VALUE"""),2.75)</f>
        <v>2.75</v>
      </c>
      <c r="I807" s="2">
        <f>IFERROR(__xludf.DUMMYFUNCTION("""COMPUTED_VALUE"""),3.54)</f>
        <v>3.54</v>
      </c>
      <c r="J807" s="2">
        <f>IFERROR(__xludf.DUMMYFUNCTION("""COMPUTED_VALUE"""),0.79)</f>
        <v>0.79</v>
      </c>
      <c r="K807" s="5">
        <f>IFERROR(__xludf.DUMMYFUNCTION("""COMPUTED_VALUE"""),0.2872727272727273)</f>
        <v>0.2872727273</v>
      </c>
      <c r="L807">
        <f>IFERROR(__xludf.DUMMYFUNCTION("""COMPUTED_VALUE"""),8648.0)</f>
        <v>8648</v>
      </c>
      <c r="M807" t="str">
        <f>IFERROR(__xludf.DUMMYFUNCTION("""COMPUTED_VALUE"""),"Kitchen")</f>
        <v>Kitchen</v>
      </c>
      <c r="O807" t="str">
        <f>IFERROR(__xludf.DUMMYFUNCTION("""COMPUTED_VALUE"""),"Y")</f>
        <v>Y</v>
      </c>
      <c r="P807" s="1" t="str">
        <f>IFERROR(__xludf.DUMMYFUNCTION("""COMPUTED_VALUE"""),"ID 19794")</f>
        <v>ID 19794</v>
      </c>
      <c r="Q807" s="1" t="str">
        <f>IFERROR(__xludf.DUMMYFUNCTION("""COMPUTED_VALUE"""),"B08SHRVKVT")</f>
        <v>B08SHRVKVT</v>
      </c>
    </row>
    <row r="808">
      <c r="A808" s="6">
        <f>IFERROR(__xludf.DUMMYFUNCTION("""COMPUTED_VALUE"""),45351.0)</f>
        <v>45351</v>
      </c>
      <c r="B808">
        <f>IFERROR(__xludf.DUMMYFUNCTION("""COMPUTED_VALUE"""),22755.0)</f>
        <v>22755</v>
      </c>
      <c r="C808" t="str">
        <f>IFERROR(__xludf.DUMMYFUNCTION("""COMPUTED_VALUE"""),"Alliance Rubber 26644 Advantage Rubber Bands Size #64, 1 lb Bag Contains Approx. 320 Bands (3 1/2"" x 1/4"", Natural Crepe)")</f>
        <v>Alliance Rubber 26644 Advantage Rubber Bands Size #64, 1 lb Bag Contains Approx. 320 Bands (3 1/2" x 1/4", Natural Crepe)</v>
      </c>
      <c r="D808" t="str">
        <f>IFERROR(__xludf.DUMMYFUNCTION("""COMPUTED_VALUE"""),"B010HKEDEQ")</f>
        <v>B010HKEDEQ</v>
      </c>
      <c r="E808" t="str">
        <f>IFERROR(__xludf.DUMMYFUNCTION("""COMPUTED_VALUE"""),"071815266448")</f>
        <v>071815266448</v>
      </c>
      <c r="F808">
        <f>IFERROR(__xludf.DUMMYFUNCTION("""COMPUTED_VALUE"""),450.0)</f>
        <v>450</v>
      </c>
      <c r="G808">
        <f>IFERROR(__xludf.DUMMYFUNCTION("""COMPUTED_VALUE"""),10000.0)</f>
        <v>10000</v>
      </c>
      <c r="H808" s="2">
        <f>IFERROR(__xludf.DUMMYFUNCTION("""COMPUTED_VALUE"""),3.0)</f>
        <v>3</v>
      </c>
      <c r="I808" s="2">
        <f>IFERROR(__xludf.DUMMYFUNCTION("""COMPUTED_VALUE"""),3.79)</f>
        <v>3.79</v>
      </c>
      <c r="J808" s="2">
        <f>IFERROR(__xludf.DUMMYFUNCTION("""COMPUTED_VALUE"""),0.79)</f>
        <v>0.79</v>
      </c>
      <c r="K808" s="5">
        <f>IFERROR(__xludf.DUMMYFUNCTION("""COMPUTED_VALUE"""),0.26333333333333336)</f>
        <v>0.2633333333</v>
      </c>
      <c r="L808">
        <f>IFERROR(__xludf.DUMMYFUNCTION("""COMPUTED_VALUE"""),1073.0)</f>
        <v>1073</v>
      </c>
      <c r="M808" t="str">
        <f>IFERROR(__xludf.DUMMYFUNCTION("""COMPUTED_VALUE"""),"Office Product")</f>
        <v>Office Product</v>
      </c>
      <c r="O808" t="str">
        <f>IFERROR(__xludf.DUMMYFUNCTION("""COMPUTED_VALUE"""),"N")</f>
        <v>N</v>
      </c>
      <c r="P808" s="1" t="str">
        <f>IFERROR(__xludf.DUMMYFUNCTION("""COMPUTED_VALUE"""),"ID 22755")</f>
        <v>ID 22755</v>
      </c>
      <c r="Q808" s="1" t="str">
        <f>IFERROR(__xludf.DUMMYFUNCTION("""COMPUTED_VALUE"""),"B010HKEDEQ")</f>
        <v>B010HKEDEQ</v>
      </c>
    </row>
    <row r="809">
      <c r="A809" s="6">
        <f>IFERROR(__xludf.DUMMYFUNCTION("""COMPUTED_VALUE"""),44859.0)</f>
        <v>44859</v>
      </c>
      <c r="B809">
        <f>IFERROR(__xludf.DUMMYFUNCTION("""COMPUTED_VALUE"""),23484.0)</f>
        <v>23484</v>
      </c>
      <c r="C809" t="str">
        <f>IFERROR(__xludf.DUMMYFUNCTION("""COMPUTED_VALUE"""),"Filtrete Advanced Under Sink Quick Change Water Filtration System 3US-PS01")</f>
        <v>Filtrete Advanced Under Sink Quick Change Water Filtration System 3US-PS01</v>
      </c>
      <c r="D809" t="str">
        <f>IFERROR(__xludf.DUMMYFUNCTION("""COMPUTED_VALUE"""),"B001DVW0PI")</f>
        <v>B001DVW0PI</v>
      </c>
      <c r="E809" t="str">
        <f>IFERROR(__xludf.DUMMYFUNCTION("""COMPUTED_VALUE"""),"51131999787")</f>
        <v>51131999787</v>
      </c>
      <c r="F809">
        <f>IFERROR(__xludf.DUMMYFUNCTION("""COMPUTED_VALUE"""),106.0)</f>
        <v>106</v>
      </c>
      <c r="G809">
        <f>IFERROR(__xludf.DUMMYFUNCTION("""COMPUTED_VALUE"""),1000.0)</f>
        <v>1000</v>
      </c>
      <c r="H809" s="2">
        <f>IFERROR(__xludf.DUMMYFUNCTION("""COMPUTED_VALUE"""),43.0)</f>
        <v>43</v>
      </c>
      <c r="I809" s="2">
        <f>IFERROR(__xludf.DUMMYFUNCTION("""COMPUTED_VALUE"""),43.78)</f>
        <v>43.78</v>
      </c>
      <c r="J809" s="2">
        <f>IFERROR(__xludf.DUMMYFUNCTION("""COMPUTED_VALUE"""),0.7800000000000011)</f>
        <v>0.78</v>
      </c>
      <c r="K809" s="5">
        <f>IFERROR(__xludf.DUMMYFUNCTION("""COMPUTED_VALUE"""),0.018139534883720956)</f>
        <v>0.01813953488</v>
      </c>
      <c r="L809">
        <f>IFERROR(__xludf.DUMMYFUNCTION("""COMPUTED_VALUE"""),15209.0)</f>
        <v>15209</v>
      </c>
      <c r="M809" t="str">
        <f>IFERROR(__xludf.DUMMYFUNCTION("""COMPUTED_VALUE"""),"BISS Basic")</f>
        <v>BISS Basic</v>
      </c>
      <c r="N809"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809" t="str">
        <f>IFERROR(__xludf.DUMMYFUNCTION("""COMPUTED_VALUE"""),"N")</f>
        <v>N</v>
      </c>
      <c r="P809" s="1" t="str">
        <f>IFERROR(__xludf.DUMMYFUNCTION("""COMPUTED_VALUE"""),"ID 23484")</f>
        <v>ID 23484</v>
      </c>
      <c r="Q809" s="1" t="str">
        <f>IFERROR(__xludf.DUMMYFUNCTION("""COMPUTED_VALUE"""),"B001DVW0PI")</f>
        <v>B001DVW0PI</v>
      </c>
    </row>
    <row r="810">
      <c r="A810" s="6">
        <f>IFERROR(__xludf.DUMMYFUNCTION("""COMPUTED_VALUE"""),45362.0)</f>
        <v>45362</v>
      </c>
      <c r="B810">
        <f>IFERROR(__xludf.DUMMYFUNCTION("""COMPUTED_VALUE"""),19648.0)</f>
        <v>19648</v>
      </c>
      <c r="C810" t="str">
        <f>IFERROR(__xludf.DUMMYFUNCTION("""COMPUTED_VALUE"""),"Pentel Arts Milky Pop Pastel Gel Pen, 0.8mm Medium Line, White Ink, Pack of 2 (K98PABP2W)")</f>
        <v>Pentel Arts Milky Pop Pastel Gel Pen, 0.8mm Medium Line, White Ink, Pack of 2 (K98PABP2W)</v>
      </c>
      <c r="D810" t="str">
        <f>IFERROR(__xludf.DUMMYFUNCTION("""COMPUTED_VALUE"""),"B07BDWBDHG")</f>
        <v>B07BDWBDHG</v>
      </c>
      <c r="E810" t="str">
        <f>IFERROR(__xludf.DUMMYFUNCTION("""COMPUTED_VALUE"""),"072512272183")</f>
        <v>072512272183</v>
      </c>
      <c r="F810">
        <f>IFERROR(__xludf.DUMMYFUNCTION("""COMPUTED_VALUE"""),576.0)</f>
        <v>576</v>
      </c>
      <c r="G810">
        <f>IFERROR(__xludf.DUMMYFUNCTION("""COMPUTED_VALUE"""),10000.0)</f>
        <v>10000</v>
      </c>
      <c r="H810" s="2">
        <f>IFERROR(__xludf.DUMMYFUNCTION("""COMPUTED_VALUE"""),2.75)</f>
        <v>2.75</v>
      </c>
      <c r="I810" s="2">
        <f>IFERROR(__xludf.DUMMYFUNCTION("""COMPUTED_VALUE"""),3.53)</f>
        <v>3.53</v>
      </c>
      <c r="J810" s="2">
        <f>IFERROR(__xludf.DUMMYFUNCTION("""COMPUTED_VALUE"""),0.7799999999999998)</f>
        <v>0.78</v>
      </c>
      <c r="K810" s="5">
        <f>IFERROR(__xludf.DUMMYFUNCTION("""COMPUTED_VALUE"""),0.2836363636363636)</f>
        <v>0.2836363636</v>
      </c>
      <c r="L810">
        <f>IFERROR(__xludf.DUMMYFUNCTION("""COMPUTED_VALUE"""),8220.0)</f>
        <v>8220</v>
      </c>
      <c r="M810" t="str">
        <f>IFERROR(__xludf.DUMMYFUNCTION("""COMPUTED_VALUE"""),"Office Product")</f>
        <v>Office Product</v>
      </c>
      <c r="O810" t="str">
        <f>IFERROR(__xludf.DUMMYFUNCTION("""COMPUTED_VALUE"""),"Y")</f>
        <v>Y</v>
      </c>
      <c r="P810" s="1" t="str">
        <f>IFERROR(__xludf.DUMMYFUNCTION("""COMPUTED_VALUE"""),"ID 19648")</f>
        <v>ID 19648</v>
      </c>
      <c r="Q810" s="1" t="str">
        <f>IFERROR(__xludf.DUMMYFUNCTION("""COMPUTED_VALUE"""),"B07BDWBDHG")</f>
        <v>B07BDWBDHG</v>
      </c>
    </row>
    <row r="811">
      <c r="A811" s="6">
        <f>IFERROR(__xludf.DUMMYFUNCTION("""COMPUTED_VALUE"""),45376.0)</f>
        <v>45376</v>
      </c>
      <c r="B811">
        <f>IFERROR(__xludf.DUMMYFUNCTION("""COMPUTED_VALUE"""),3161.0)</f>
        <v>3161</v>
      </c>
      <c r="C811" t="str">
        <f>IFERROR(__xludf.DUMMYFUNCTION("""COMPUTED_VALUE"""),"Intex My Baby Float")</f>
        <v>Intex My Baby Float</v>
      </c>
      <c r="D811" t="str">
        <f>IFERROR(__xludf.DUMMYFUNCTION("""COMPUTED_VALUE"""),"B000VXOUNY")</f>
        <v>B000VXOUNY</v>
      </c>
      <c r="E811" t="str">
        <f>IFERROR(__xludf.DUMMYFUNCTION("""COMPUTED_VALUE"""),"078257313365")</f>
        <v>078257313365</v>
      </c>
      <c r="F811">
        <f>IFERROR(__xludf.DUMMYFUNCTION("""COMPUTED_VALUE"""),528.0)</f>
        <v>528</v>
      </c>
      <c r="G811">
        <f>IFERROR(__xludf.DUMMYFUNCTION("""COMPUTED_VALUE"""),3043.0)</f>
        <v>3043</v>
      </c>
      <c r="H811" s="2">
        <f>IFERROR(__xludf.DUMMYFUNCTION("""COMPUTED_VALUE"""),2.5)</f>
        <v>2.5</v>
      </c>
      <c r="I811" s="2">
        <f>IFERROR(__xludf.DUMMYFUNCTION("""COMPUTED_VALUE"""),3.28)</f>
        <v>3.28</v>
      </c>
      <c r="J811" s="2">
        <f>IFERROR(__xludf.DUMMYFUNCTION("""COMPUTED_VALUE"""),0.7799999999999998)</f>
        <v>0.78</v>
      </c>
      <c r="K811" s="5">
        <f>IFERROR(__xludf.DUMMYFUNCTION("""COMPUTED_VALUE"""),0.31199999999999994)</f>
        <v>0.312</v>
      </c>
      <c r="L811">
        <f>IFERROR(__xludf.DUMMYFUNCTION("""COMPUTED_VALUE"""),76337.0)</f>
        <v>76337</v>
      </c>
      <c r="M811" t="str">
        <f>IFERROR(__xludf.DUMMYFUNCTION("""COMPUTED_VALUE"""),"Sports")</f>
        <v>Sports</v>
      </c>
      <c r="O811" t="str">
        <f>IFERROR(__xludf.DUMMYFUNCTION("""COMPUTED_VALUE"""),"Y")</f>
        <v>Y</v>
      </c>
      <c r="P811" s="1" t="str">
        <f>IFERROR(__xludf.DUMMYFUNCTION("""COMPUTED_VALUE"""),"ID 3161")</f>
        <v>ID 3161</v>
      </c>
      <c r="Q811" s="1" t="str">
        <f>IFERROR(__xludf.DUMMYFUNCTION("""COMPUTED_VALUE"""),"B000VXOUNY")</f>
        <v>B000VXOUNY</v>
      </c>
    </row>
    <row r="812">
      <c r="A812" s="6">
        <f>IFERROR(__xludf.DUMMYFUNCTION("""COMPUTED_VALUE"""),45267.0)</f>
        <v>45267</v>
      </c>
      <c r="B812">
        <f>IFERROR(__xludf.DUMMYFUNCTION("""COMPUTED_VALUE"""),24711.0)</f>
        <v>24711</v>
      </c>
      <c r="C812" t="str">
        <f>IFERROR(__xludf.DUMMYFUNCTION("""COMPUTED_VALUE"""),"Filofax Notebooks Pocket Plain Journal Refill, Movable, 5 1/2 x 3 1/2 inches, 32 Cream Sheets Fits Filofax Refillable Pocket Journals (B122451U)")</f>
        <v>Filofax Notebooks Pocket Plain Journal Refill, Movable, 5 1/2 x 3 1/2 inches, 32 Cream Sheets Fits Filofax Refillable Pocket Journals (B122451U)</v>
      </c>
      <c r="D812" t="str">
        <f>IFERROR(__xludf.DUMMYFUNCTION("""COMPUTED_VALUE"""),"B00X2L0KKO")</f>
        <v>B00X2L0KKO</v>
      </c>
      <c r="E812" t="str">
        <f>IFERROR(__xludf.DUMMYFUNCTION("""COMPUTED_VALUE"""),"757286601222")</f>
        <v>757286601222</v>
      </c>
      <c r="F812">
        <f>IFERROR(__xludf.DUMMYFUNCTION("""COMPUTED_VALUE"""),600.0)</f>
        <v>600</v>
      </c>
      <c r="G812">
        <f>IFERROR(__xludf.DUMMYFUNCTION("""COMPUTED_VALUE"""),10000.0)</f>
        <v>10000</v>
      </c>
      <c r="H812" s="2">
        <f>IFERROR(__xludf.DUMMYFUNCTION("""COMPUTED_VALUE"""),2.25)</f>
        <v>2.25</v>
      </c>
      <c r="I812" s="2">
        <f>IFERROR(__xludf.DUMMYFUNCTION("""COMPUTED_VALUE"""),3.03)</f>
        <v>3.03</v>
      </c>
      <c r="J812" s="2">
        <f>IFERROR(__xludf.DUMMYFUNCTION("""COMPUTED_VALUE"""),0.7799999999999998)</f>
        <v>0.78</v>
      </c>
      <c r="K812" s="5">
        <f>IFERROR(__xludf.DUMMYFUNCTION("""COMPUTED_VALUE"""),0.34666666666666657)</f>
        <v>0.3466666667</v>
      </c>
      <c r="L812">
        <f>IFERROR(__xludf.DUMMYFUNCTION("""COMPUTED_VALUE"""),36253.0)</f>
        <v>36253</v>
      </c>
      <c r="M812" t="str">
        <f>IFERROR(__xludf.DUMMYFUNCTION("""COMPUTED_VALUE"""),"Office Product")</f>
        <v>Office Product</v>
      </c>
      <c r="O812" t="str">
        <f>IFERROR(__xludf.DUMMYFUNCTION("""COMPUTED_VALUE"""),"N")</f>
        <v>N</v>
      </c>
      <c r="P812" s="1" t="str">
        <f>IFERROR(__xludf.DUMMYFUNCTION("""COMPUTED_VALUE"""),"ID 24711")</f>
        <v>ID 24711</v>
      </c>
      <c r="Q812" s="1" t="str">
        <f>IFERROR(__xludf.DUMMYFUNCTION("""COMPUTED_VALUE"""),"B00X2L0KKO")</f>
        <v>B00X2L0KKO</v>
      </c>
    </row>
    <row r="813">
      <c r="A813" s="6">
        <f>IFERROR(__xludf.DUMMYFUNCTION("""COMPUTED_VALUE"""),45421.0)</f>
        <v>45421</v>
      </c>
      <c r="B813">
        <f>IFERROR(__xludf.DUMMYFUNCTION("""COMPUTED_VALUE"""),23080.0)</f>
        <v>23080</v>
      </c>
      <c r="C813" t="str">
        <f>IFERROR(__xludf.DUMMYFUNCTION("""COMPUTED_VALUE"""),"Rapidesign Laboratory Instruments Template, 1 Each (R47)")</f>
        <v>Rapidesign Laboratory Instruments Template, 1 Each (R47)</v>
      </c>
      <c r="D813" t="str">
        <f>IFERROR(__xludf.DUMMYFUNCTION("""COMPUTED_VALUE"""),"B002C46N76")</f>
        <v>B002C46N76</v>
      </c>
      <c r="E813" t="str">
        <f>IFERROR(__xludf.DUMMYFUNCTION("""COMPUTED_VALUE"""),"014173253637")</f>
        <v>014173253637</v>
      </c>
      <c r="F813">
        <f>IFERROR(__xludf.DUMMYFUNCTION("""COMPUTED_VALUE"""),288.0)</f>
        <v>288</v>
      </c>
      <c r="G813">
        <f>IFERROR(__xludf.DUMMYFUNCTION("""COMPUTED_VALUE"""),10000.0)</f>
        <v>10000</v>
      </c>
      <c r="H813" s="2">
        <f>IFERROR(__xludf.DUMMYFUNCTION("""COMPUTED_VALUE"""),11.25)</f>
        <v>11.25</v>
      </c>
      <c r="I813" s="2">
        <f>IFERROR(__xludf.DUMMYFUNCTION("""COMPUTED_VALUE"""),12.03)</f>
        <v>12.03</v>
      </c>
      <c r="J813" s="2">
        <f>IFERROR(__xludf.DUMMYFUNCTION("""COMPUTED_VALUE"""),0.7799999999999994)</f>
        <v>0.78</v>
      </c>
      <c r="K813" s="5">
        <f>IFERROR(__xludf.DUMMYFUNCTION("""COMPUTED_VALUE"""),0.06933333333333327)</f>
        <v>0.06933333333</v>
      </c>
      <c r="L813">
        <f>IFERROR(__xludf.DUMMYFUNCTION("""COMPUTED_VALUE"""),39658.0)</f>
        <v>39658</v>
      </c>
      <c r="M813" t="str">
        <f>IFERROR(__xludf.DUMMYFUNCTION("""COMPUTED_VALUE"""),"Office Product")</f>
        <v>Office Product</v>
      </c>
      <c r="O813" t="str">
        <f>IFERROR(__xludf.DUMMYFUNCTION("""COMPUTED_VALUE"""),"Y")</f>
        <v>Y</v>
      </c>
      <c r="P813" s="1" t="str">
        <f>IFERROR(__xludf.DUMMYFUNCTION("""COMPUTED_VALUE"""),"ID 23080")</f>
        <v>ID 23080</v>
      </c>
      <c r="Q813" s="1" t="str">
        <f>IFERROR(__xludf.DUMMYFUNCTION("""COMPUTED_VALUE"""),"B002C46N76")</f>
        <v>B002C46N76</v>
      </c>
    </row>
    <row r="814">
      <c r="A814" s="6">
        <f>IFERROR(__xludf.DUMMYFUNCTION("""COMPUTED_VALUE"""),44484.0)</f>
        <v>44484</v>
      </c>
      <c r="B814">
        <f>IFERROR(__xludf.DUMMYFUNCTION("""COMPUTED_VALUE"""),12408.0)</f>
        <v>12408</v>
      </c>
      <c r="C814" t="str">
        <f>IFERROR(__xludf.DUMMYFUNCTION("""COMPUTED_VALUE"""),"Royal Sovereign Preformed Coin Wrappers, 112 Quarter Coin Wrappers (FSW-112Q)")</f>
        <v>Royal Sovereign Preformed Coin Wrappers, 112 Quarter Coin Wrappers (FSW-112Q)</v>
      </c>
      <c r="D814" t="str">
        <f>IFERROR(__xludf.DUMMYFUNCTION("""COMPUTED_VALUE"""),"B078GN8JDD")</f>
        <v>B078GN8JDD</v>
      </c>
      <c r="E814" t="str">
        <f>IFERROR(__xludf.DUMMYFUNCTION("""COMPUTED_VALUE"""),"849023050827")</f>
        <v>849023050827</v>
      </c>
      <c r="F814">
        <f>IFERROR(__xludf.DUMMYFUNCTION("""COMPUTED_VALUE"""),360.0)</f>
        <v>360</v>
      </c>
      <c r="G814">
        <f>IFERROR(__xludf.DUMMYFUNCTION("""COMPUTED_VALUE"""),41.0)</f>
        <v>41</v>
      </c>
      <c r="H814" s="2">
        <f>IFERROR(__xludf.DUMMYFUNCTION("""COMPUTED_VALUE"""),3.5)</f>
        <v>3.5</v>
      </c>
      <c r="I814" s="2">
        <f>IFERROR(__xludf.DUMMYFUNCTION("""COMPUTED_VALUE"""),4.27)</f>
        <v>4.27</v>
      </c>
      <c r="J814" s="2">
        <f>IFERROR(__xludf.DUMMYFUNCTION("""COMPUTED_VALUE"""),0.7699999999999996)</f>
        <v>0.77</v>
      </c>
      <c r="K814" s="5">
        <f>IFERROR(__xludf.DUMMYFUNCTION("""COMPUTED_VALUE"""),0.2199999999999999)</f>
        <v>0.22</v>
      </c>
      <c r="L814">
        <f>IFERROR(__xludf.DUMMYFUNCTION("""COMPUTED_VALUE"""),49673.0)</f>
        <v>49673</v>
      </c>
      <c r="M814" t="str">
        <f>IFERROR(__xludf.DUMMYFUNCTION("""COMPUTED_VALUE"""),"Office Product")</f>
        <v>Office Product</v>
      </c>
      <c r="O814" t="str">
        <f>IFERROR(__xludf.DUMMYFUNCTION("""COMPUTED_VALUE"""),"N")</f>
        <v>N</v>
      </c>
      <c r="P814" s="1" t="str">
        <f>IFERROR(__xludf.DUMMYFUNCTION("""COMPUTED_VALUE"""),"ID 12408")</f>
        <v>ID 12408</v>
      </c>
      <c r="Q814" s="1" t="str">
        <f>IFERROR(__xludf.DUMMYFUNCTION("""COMPUTED_VALUE"""),"B078GN8JDD")</f>
        <v>B078GN8JDD</v>
      </c>
    </row>
    <row r="815">
      <c r="A815" s="6">
        <f>IFERROR(__xludf.DUMMYFUNCTION("""COMPUTED_VALUE"""),45376.0)</f>
        <v>45376</v>
      </c>
      <c r="B815">
        <f>IFERROR(__xludf.DUMMYFUNCTION("""COMPUTED_VALUE"""),12683.0)</f>
        <v>12683</v>
      </c>
      <c r="C815" t="str">
        <f>IFERROR(__xludf.DUMMYFUNCTION("""COMPUTED_VALUE"""),"Kole Imports Moving Melody Ukulele (Natural Wood)")</f>
        <v>Kole Imports Moving Melody Ukulele (Natural Wood)</v>
      </c>
      <c r="D815" t="str">
        <f>IFERROR(__xludf.DUMMYFUNCTION("""COMPUTED_VALUE"""),"B07FFMZJVF")</f>
        <v>B07FFMZJVF</v>
      </c>
      <c r="E815" t="str">
        <f>IFERROR(__xludf.DUMMYFUNCTION("""COMPUTED_VALUE"""),"731015257744")</f>
        <v>731015257744</v>
      </c>
      <c r="F815">
        <f>IFERROR(__xludf.DUMMYFUNCTION("""COMPUTED_VALUE"""),288.0)</f>
        <v>288</v>
      </c>
      <c r="G815">
        <f>IFERROR(__xludf.DUMMYFUNCTION("""COMPUTED_VALUE"""),674.0)</f>
        <v>674</v>
      </c>
      <c r="H815" s="2">
        <f>IFERROR(__xludf.DUMMYFUNCTION("""COMPUTED_VALUE"""),4.25)</f>
        <v>4.25</v>
      </c>
      <c r="I815" s="2">
        <f>IFERROR(__xludf.DUMMYFUNCTION("""COMPUTED_VALUE"""),5.02)</f>
        <v>5.02</v>
      </c>
      <c r="J815" s="2">
        <f>IFERROR(__xludf.DUMMYFUNCTION("""COMPUTED_VALUE"""),0.7699999999999996)</f>
        <v>0.77</v>
      </c>
      <c r="K815" s="5">
        <f>IFERROR(__xludf.DUMMYFUNCTION("""COMPUTED_VALUE"""),0.1811764705882352)</f>
        <v>0.1811764706</v>
      </c>
      <c r="L815">
        <f>IFERROR(__xludf.DUMMYFUNCTION("""COMPUTED_VALUE"""),65270.0)</f>
        <v>65270</v>
      </c>
      <c r="M815" t="str">
        <f>IFERROR(__xludf.DUMMYFUNCTION("""COMPUTED_VALUE"""),"Toy")</f>
        <v>Toy</v>
      </c>
      <c r="O815" t="str">
        <f>IFERROR(__xludf.DUMMYFUNCTION("""COMPUTED_VALUE"""),"N")</f>
        <v>N</v>
      </c>
      <c r="P815" s="1" t="str">
        <f>IFERROR(__xludf.DUMMYFUNCTION("""COMPUTED_VALUE"""),"ID 12683")</f>
        <v>ID 12683</v>
      </c>
      <c r="Q815" s="1" t="str">
        <f>IFERROR(__xludf.DUMMYFUNCTION("""COMPUTED_VALUE"""),"B07FFMZJVF")</f>
        <v>B07FFMZJVF</v>
      </c>
    </row>
    <row r="816">
      <c r="A816" s="6">
        <f>IFERROR(__xludf.DUMMYFUNCTION("""COMPUTED_VALUE"""),44895.0)</f>
        <v>44895</v>
      </c>
      <c r="B816">
        <f>IFERROR(__xludf.DUMMYFUNCTION("""COMPUTED_VALUE"""),12720.0)</f>
        <v>12720</v>
      </c>
      <c r="C816" t="str">
        <f>IFERROR(__xludf.DUMMYFUNCTION("""COMPUTED_VALUE"""),"Zippo Iridescent Zippo Logo Pocket Lighter")</f>
        <v>Zippo Iridescent Zippo Logo Pocket Lighter</v>
      </c>
      <c r="D816" t="str">
        <f>IFERROR(__xludf.DUMMYFUNCTION("""COMPUTED_VALUE"""),"B084PRBTPT")</f>
        <v>B084PRBTPT</v>
      </c>
      <c r="E816" t="str">
        <f>IFERROR(__xludf.DUMMYFUNCTION("""COMPUTED_VALUE"""),"191693145823")</f>
        <v>191693145823</v>
      </c>
      <c r="F816">
        <f>IFERROR(__xludf.DUMMYFUNCTION("""COMPUTED_VALUE"""),190.0)</f>
        <v>190</v>
      </c>
      <c r="G816">
        <f>IFERROR(__xludf.DUMMYFUNCTION("""COMPUTED_VALUE"""),5000.0)</f>
        <v>5000</v>
      </c>
      <c r="H816" s="2">
        <f>IFERROR(__xludf.DUMMYFUNCTION("""COMPUTED_VALUE"""),13.5)</f>
        <v>13.5</v>
      </c>
      <c r="I816" s="2">
        <f>IFERROR(__xludf.DUMMYFUNCTION("""COMPUTED_VALUE"""),14.27)</f>
        <v>14.27</v>
      </c>
      <c r="J816" s="2">
        <f>IFERROR(__xludf.DUMMYFUNCTION("""COMPUTED_VALUE"""),0.7699999999999996)</f>
        <v>0.77</v>
      </c>
      <c r="K816" s="5">
        <f>IFERROR(__xludf.DUMMYFUNCTION("""COMPUTED_VALUE"""),0.057037037037037004)</f>
        <v>0.05703703704</v>
      </c>
      <c r="L816">
        <f>IFERROR(__xludf.DUMMYFUNCTION("""COMPUTED_VALUE"""),33275.0)</f>
        <v>33275</v>
      </c>
      <c r="M816" t="str">
        <f>IFERROR(__xludf.DUMMYFUNCTION("""COMPUTED_VALUE"""),"Sports")</f>
        <v>Sports</v>
      </c>
      <c r="N816" t="str">
        <f>IFERROR(__xludf.DUMMYFUNCTION("""COMPUTED_VALUE"""),"Cannot be sold on 3rd party websites.")</f>
        <v>Cannot be sold on 3rd party websites.</v>
      </c>
      <c r="O816" t="str">
        <f>IFERROR(__xludf.DUMMYFUNCTION("""COMPUTED_VALUE"""),"Y")</f>
        <v>Y</v>
      </c>
      <c r="P816" s="1" t="str">
        <f>IFERROR(__xludf.DUMMYFUNCTION("""COMPUTED_VALUE"""),"ID 12720")</f>
        <v>ID 12720</v>
      </c>
      <c r="Q816" s="1" t="str">
        <f>IFERROR(__xludf.DUMMYFUNCTION("""COMPUTED_VALUE"""),"B084PRBTPT")</f>
        <v>B084PRBTPT</v>
      </c>
    </row>
    <row r="817">
      <c r="A817" s="6">
        <f>IFERROR(__xludf.DUMMYFUNCTION("""COMPUTED_VALUE"""),45390.0)</f>
        <v>45390</v>
      </c>
      <c r="B817">
        <f>IFERROR(__xludf.DUMMYFUNCTION("""COMPUTED_VALUE"""),13766.0)</f>
        <v>13766</v>
      </c>
      <c r="C817" t="str">
        <f>IFERROR(__xludf.DUMMYFUNCTION("""COMPUTED_VALUE"""),"Chef Craft 13085 Premium Silicone Tongs, 12"", Red")</f>
        <v>Chef Craft 13085 Premium Silicone Tongs, 12", Red</v>
      </c>
      <c r="D817" t="str">
        <f>IFERROR(__xludf.DUMMYFUNCTION("""COMPUTED_VALUE"""),"B01N208C3S")</f>
        <v>B01N208C3S</v>
      </c>
      <c r="E817" t="str">
        <f>IFERROR(__xludf.DUMMYFUNCTION("""COMPUTED_VALUE"""),"085455130854")</f>
        <v>085455130854</v>
      </c>
      <c r="F817">
        <f>IFERROR(__xludf.DUMMYFUNCTION("""COMPUTED_VALUE"""),408.0)</f>
        <v>408</v>
      </c>
      <c r="G817">
        <f>IFERROR(__xludf.DUMMYFUNCTION("""COMPUTED_VALUE"""),10000.0)</f>
        <v>10000</v>
      </c>
      <c r="H817" s="2">
        <f>IFERROR(__xludf.DUMMYFUNCTION("""COMPUTED_VALUE"""),3.25)</f>
        <v>3.25</v>
      </c>
      <c r="I817" s="2">
        <f>IFERROR(__xludf.DUMMYFUNCTION("""COMPUTED_VALUE"""),4.02)</f>
        <v>4.02</v>
      </c>
      <c r="J817" s="2">
        <f>IFERROR(__xludf.DUMMYFUNCTION("""COMPUTED_VALUE"""),0.7699999999999996)</f>
        <v>0.77</v>
      </c>
      <c r="K817" s="5">
        <f>IFERROR(__xludf.DUMMYFUNCTION("""COMPUTED_VALUE"""),0.2369230769230768)</f>
        <v>0.2369230769</v>
      </c>
      <c r="L817">
        <f>IFERROR(__xludf.DUMMYFUNCTION("""COMPUTED_VALUE"""),32073.0)</f>
        <v>32073</v>
      </c>
      <c r="M817" t="str">
        <f>IFERROR(__xludf.DUMMYFUNCTION("""COMPUTED_VALUE"""),"Kitchen")</f>
        <v>Kitchen</v>
      </c>
      <c r="O817" t="str">
        <f>IFERROR(__xludf.DUMMYFUNCTION("""COMPUTED_VALUE"""),"Y")</f>
        <v>Y</v>
      </c>
      <c r="P817" s="1" t="str">
        <f>IFERROR(__xludf.DUMMYFUNCTION("""COMPUTED_VALUE"""),"ID 13766")</f>
        <v>ID 13766</v>
      </c>
      <c r="Q817" s="1" t="str">
        <f>IFERROR(__xludf.DUMMYFUNCTION("""COMPUTED_VALUE"""),"B01N208C3S")</f>
        <v>B01N208C3S</v>
      </c>
    </row>
    <row r="818">
      <c r="A818" s="6">
        <f>IFERROR(__xludf.DUMMYFUNCTION("""COMPUTED_VALUE"""),45376.0)</f>
        <v>45376</v>
      </c>
      <c r="B818">
        <f>IFERROR(__xludf.DUMMYFUNCTION("""COMPUTED_VALUE"""),17047.0)</f>
        <v>17047</v>
      </c>
      <c r="C818" t="str">
        <f>IFERROR(__xludf.DUMMYFUNCTION("""COMPUTED_VALUE"""),"PRANG Fine Line Art Markers, Washable, 2.75mm Fine Tip, 24-Color Set (80715)")</f>
        <v>PRANG Fine Line Art Markers, Washable, 2.75mm Fine Tip, 24-Color Set (80715)</v>
      </c>
      <c r="D818" t="str">
        <f>IFERROR(__xludf.DUMMYFUNCTION("""COMPUTED_VALUE"""),"B001AQO9GY")</f>
        <v>B001AQO9GY</v>
      </c>
      <c r="E818" t="str">
        <f>IFERROR(__xludf.DUMMYFUNCTION("""COMPUTED_VALUE"""),"072067807151")</f>
        <v>072067807151</v>
      </c>
      <c r="F818">
        <f>IFERROR(__xludf.DUMMYFUNCTION("""COMPUTED_VALUE"""),720.0)</f>
        <v>720</v>
      </c>
      <c r="G818">
        <f>IFERROR(__xludf.DUMMYFUNCTION("""COMPUTED_VALUE"""),10000.0)</f>
        <v>10000</v>
      </c>
      <c r="H818" s="2">
        <f>IFERROR(__xludf.DUMMYFUNCTION("""COMPUTED_VALUE"""),5.5)</f>
        <v>5.5</v>
      </c>
      <c r="I818" s="2">
        <f>IFERROR(__xludf.DUMMYFUNCTION("""COMPUTED_VALUE"""),6.27)</f>
        <v>6.27</v>
      </c>
      <c r="J818" s="2">
        <f>IFERROR(__xludf.DUMMYFUNCTION("""COMPUTED_VALUE"""),0.7699999999999996)</f>
        <v>0.77</v>
      </c>
      <c r="K818" s="5">
        <f>IFERROR(__xludf.DUMMYFUNCTION("""COMPUTED_VALUE"""),0.13999999999999993)</f>
        <v>0.14</v>
      </c>
      <c r="L818">
        <f>IFERROR(__xludf.DUMMYFUNCTION("""COMPUTED_VALUE"""),85114.0)</f>
        <v>85114</v>
      </c>
      <c r="M818" t="str">
        <f>IFERROR(__xludf.DUMMYFUNCTION("""COMPUTED_VALUE"""),"Office Product")</f>
        <v>Office Product</v>
      </c>
      <c r="O818" t="str">
        <f>IFERROR(__xludf.DUMMYFUNCTION("""COMPUTED_VALUE"""),"Y")</f>
        <v>Y</v>
      </c>
      <c r="P818" s="1" t="str">
        <f>IFERROR(__xludf.DUMMYFUNCTION("""COMPUTED_VALUE"""),"ID 17047")</f>
        <v>ID 17047</v>
      </c>
      <c r="Q818" s="1" t="str">
        <f>IFERROR(__xludf.DUMMYFUNCTION("""COMPUTED_VALUE"""),"B001AQO9GY")</f>
        <v>B001AQO9GY</v>
      </c>
    </row>
    <row r="819">
      <c r="A819" s="6">
        <f>IFERROR(__xludf.DUMMYFUNCTION("""COMPUTED_VALUE"""),45397.0)</f>
        <v>45397</v>
      </c>
      <c r="B819">
        <f>IFERROR(__xludf.DUMMYFUNCTION("""COMPUTED_VALUE"""),17274.0)</f>
        <v>17274</v>
      </c>
      <c r="C819" t="str">
        <f>IFERROR(__xludf.DUMMYFUNCTION("""COMPUTED_VALUE"""),"Jontue By Revlon For Women, Cologne Spray, 2.3 Ounce")</f>
        <v>Jontue By Revlon For Women, Cologne Spray, 2.3 Ounce</v>
      </c>
      <c r="D819" t="str">
        <f>IFERROR(__xludf.DUMMYFUNCTION("""COMPUTED_VALUE"""),"B000C23698")</f>
        <v>B000C23698</v>
      </c>
      <c r="E819" t="str">
        <f>IFERROR(__xludf.DUMMYFUNCTION("""COMPUTED_VALUE"""),"0309979103850")</f>
        <v>0309979103850</v>
      </c>
      <c r="F819">
        <f>IFERROR(__xludf.DUMMYFUNCTION("""COMPUTED_VALUE"""),200.0)</f>
        <v>200</v>
      </c>
      <c r="G819">
        <f>IFERROR(__xludf.DUMMYFUNCTION("""COMPUTED_VALUE"""),10000.0)</f>
        <v>10000</v>
      </c>
      <c r="H819" s="2">
        <f>IFERROR(__xludf.DUMMYFUNCTION("""COMPUTED_VALUE"""),6.5)</f>
        <v>6.5</v>
      </c>
      <c r="I819" s="2">
        <f>IFERROR(__xludf.DUMMYFUNCTION("""COMPUTED_VALUE"""),7.27)</f>
        <v>7.27</v>
      </c>
      <c r="J819" s="2">
        <f>IFERROR(__xludf.DUMMYFUNCTION("""COMPUTED_VALUE"""),0.7699999999999996)</f>
        <v>0.77</v>
      </c>
      <c r="K819" s="5">
        <f>IFERROR(__xludf.DUMMYFUNCTION("""COMPUTED_VALUE"""),0.1184615384615384)</f>
        <v>0.1184615385</v>
      </c>
      <c r="L819">
        <f>IFERROR(__xludf.DUMMYFUNCTION("""COMPUTED_VALUE"""),33446.0)</f>
        <v>33446</v>
      </c>
      <c r="M819" t="str">
        <f>IFERROR(__xludf.DUMMYFUNCTION("""COMPUTED_VALUE"""),"Beauty")</f>
        <v>Beauty</v>
      </c>
      <c r="O819" t="str">
        <f>IFERROR(__xludf.DUMMYFUNCTION("""COMPUTED_VALUE"""),"Y")</f>
        <v>Y</v>
      </c>
      <c r="P819" s="1" t="str">
        <f>IFERROR(__xludf.DUMMYFUNCTION("""COMPUTED_VALUE"""),"ID 17274")</f>
        <v>ID 17274</v>
      </c>
      <c r="Q819" s="1" t="str">
        <f>IFERROR(__xludf.DUMMYFUNCTION("""COMPUTED_VALUE"""),"B000C23698")</f>
        <v>B000C23698</v>
      </c>
    </row>
    <row r="820">
      <c r="A820" s="6">
        <f>IFERROR(__xludf.DUMMYFUNCTION("""COMPUTED_VALUE"""),45222.0)</f>
        <v>45222</v>
      </c>
      <c r="B820">
        <f>IFERROR(__xludf.DUMMYFUNCTION("""COMPUTED_VALUE"""),22743.0)</f>
        <v>22743</v>
      </c>
      <c r="C820" t="str">
        <f>IFERROR(__xludf.DUMMYFUNCTION("""COMPUTED_VALUE"""),"Westcott 12-Inch Graphic Arts Combo , 14.7 x 3.1")</f>
        <v>Westcott 12-Inch Graphic Arts Combo , 14.7 x 3.1</v>
      </c>
      <c r="D820" t="str">
        <f>IFERROR(__xludf.DUMMYFUNCTION("""COMPUTED_VALUE"""),"B000KNPFKC")</f>
        <v>B000KNPFKC</v>
      </c>
      <c r="E820" t="str">
        <f>IFERROR(__xludf.DUMMYFUNCTION("""COMPUTED_VALUE"""),"088359005198")</f>
        <v>088359005198</v>
      </c>
      <c r="F820">
        <f>IFERROR(__xludf.DUMMYFUNCTION("""COMPUTED_VALUE"""),432.0)</f>
        <v>432</v>
      </c>
      <c r="G820">
        <f>IFERROR(__xludf.DUMMYFUNCTION("""COMPUTED_VALUE"""),10000.0)</f>
        <v>10000</v>
      </c>
      <c r="H820" s="2">
        <f>IFERROR(__xludf.DUMMYFUNCTION("""COMPUTED_VALUE"""),4.25)</f>
        <v>4.25</v>
      </c>
      <c r="I820" s="2">
        <f>IFERROR(__xludf.DUMMYFUNCTION("""COMPUTED_VALUE"""),5.02)</f>
        <v>5.02</v>
      </c>
      <c r="J820" s="2">
        <f>IFERROR(__xludf.DUMMYFUNCTION("""COMPUTED_VALUE"""),0.7699999999999996)</f>
        <v>0.77</v>
      </c>
      <c r="K820" s="5">
        <f>IFERROR(__xludf.DUMMYFUNCTION("""COMPUTED_VALUE"""),0.1811764705882352)</f>
        <v>0.1811764706</v>
      </c>
      <c r="L820">
        <f>IFERROR(__xludf.DUMMYFUNCTION("""COMPUTED_VALUE"""),22066.0)</f>
        <v>22066</v>
      </c>
      <c r="M820" t="str">
        <f>IFERROR(__xludf.DUMMYFUNCTION("""COMPUTED_VALUE"""),"Art and Craft Supply")</f>
        <v>Art and Craft Supply</v>
      </c>
      <c r="O820" t="str">
        <f>IFERROR(__xludf.DUMMYFUNCTION("""COMPUTED_VALUE"""),"Y")</f>
        <v>Y</v>
      </c>
      <c r="P820" s="1" t="str">
        <f>IFERROR(__xludf.DUMMYFUNCTION("""COMPUTED_VALUE"""),"ID 22743")</f>
        <v>ID 22743</v>
      </c>
      <c r="Q820" s="1" t="str">
        <f>IFERROR(__xludf.DUMMYFUNCTION("""COMPUTED_VALUE"""),"B000KNPFKC")</f>
        <v>B000KNPFKC</v>
      </c>
    </row>
    <row r="821">
      <c r="A821" s="6">
        <f>IFERROR(__xludf.DUMMYFUNCTION("""COMPUTED_VALUE"""),45232.0)</f>
        <v>45232</v>
      </c>
      <c r="B821">
        <f>IFERROR(__xludf.DUMMYFUNCTION("""COMPUTED_VALUE"""),22764.0)</f>
        <v>22764</v>
      </c>
      <c r="C821" t="str">
        <f>IFERROR(__xludf.DUMMYFUNCTION("""COMPUTED_VALUE"""),"BIC Magic Dry Erase Marker, Tank Style, Chisel Tip, Assorted Colors, 24-Count (packaging may vary)")</f>
        <v>BIC Magic Dry Erase Marker, Tank Style, Chisel Tip, Assorted Colors, 24-Count (packaging may vary)</v>
      </c>
      <c r="D821" t="str">
        <f>IFERROR(__xludf.DUMMYFUNCTION("""COMPUTED_VALUE"""),"B01CTAAZSA")</f>
        <v>B01CTAAZSA</v>
      </c>
      <c r="E821" t="str">
        <f>IFERROR(__xludf.DUMMYFUNCTION("""COMPUTED_VALUE"""),"070330351684")</f>
        <v>070330351684</v>
      </c>
      <c r="F821">
        <f>IFERROR(__xludf.DUMMYFUNCTION("""COMPUTED_VALUE"""),72.0)</f>
        <v>72</v>
      </c>
      <c r="G821">
        <f>IFERROR(__xludf.DUMMYFUNCTION("""COMPUTED_VALUE"""),10000.0)</f>
        <v>10000</v>
      </c>
      <c r="H821" s="2">
        <f>IFERROR(__xludf.DUMMYFUNCTION("""COMPUTED_VALUE"""),25.5)</f>
        <v>25.5</v>
      </c>
      <c r="I821" s="2">
        <f>IFERROR(__xludf.DUMMYFUNCTION("""COMPUTED_VALUE"""),26.27)</f>
        <v>26.27</v>
      </c>
      <c r="J821" s="2">
        <f>IFERROR(__xludf.DUMMYFUNCTION("""COMPUTED_VALUE"""),0.7699999999999996)</f>
        <v>0.77</v>
      </c>
      <c r="K821" s="5">
        <f>IFERROR(__xludf.DUMMYFUNCTION("""COMPUTED_VALUE"""),0.030196078431372533)</f>
        <v>0.03019607843</v>
      </c>
      <c r="L821">
        <f>IFERROR(__xludf.DUMMYFUNCTION("""COMPUTED_VALUE"""),18783.0)</f>
        <v>18783</v>
      </c>
      <c r="M821" t="str">
        <f>IFERROR(__xludf.DUMMYFUNCTION("""COMPUTED_VALUE"""),"Office Product")</f>
        <v>Office Product</v>
      </c>
      <c r="O821" t="str">
        <f>IFERROR(__xludf.DUMMYFUNCTION("""COMPUTED_VALUE"""),"N")</f>
        <v>N</v>
      </c>
      <c r="P821" s="1" t="str">
        <f>IFERROR(__xludf.DUMMYFUNCTION("""COMPUTED_VALUE"""),"ID 22764")</f>
        <v>ID 22764</v>
      </c>
      <c r="Q821" s="1" t="str">
        <f>IFERROR(__xludf.DUMMYFUNCTION("""COMPUTED_VALUE"""),"B01CTAAZSA")</f>
        <v>B01CTAAZSA</v>
      </c>
    </row>
    <row r="822">
      <c r="A822" s="6">
        <f>IFERROR(__xludf.DUMMYFUNCTION("""COMPUTED_VALUE"""),45364.0)</f>
        <v>45364</v>
      </c>
      <c r="B822">
        <f>IFERROR(__xludf.DUMMYFUNCTION("""COMPUTED_VALUE"""),24707.0)</f>
        <v>24707</v>
      </c>
      <c r="C822" t="str">
        <f>IFERROR(__xludf.DUMMYFUNCTION("""COMPUTED_VALUE"""),"Driver's Daily Log Duplicate Book with Carbon, 5-1/2 x 7-7/8, 31 Sets per Book (RED6K681)")</f>
        <v>Driver's Daily Log Duplicate Book with Carbon, 5-1/2 x 7-7/8, 31 Sets per Book (RED6K681)</v>
      </c>
      <c r="D822" t="str">
        <f>IFERROR(__xludf.DUMMYFUNCTION("""COMPUTED_VALUE"""),"B001A4FYVA")</f>
        <v>B001A4FYVA</v>
      </c>
      <c r="E822" t="str">
        <f>IFERROR(__xludf.DUMMYFUNCTION("""COMPUTED_VALUE"""),"077925646811")</f>
        <v>077925646811</v>
      </c>
      <c r="F822">
        <f>IFERROR(__xludf.DUMMYFUNCTION("""COMPUTED_VALUE"""),530.0)</f>
        <v>530</v>
      </c>
      <c r="G822">
        <f>IFERROR(__xludf.DUMMYFUNCTION("""COMPUTED_VALUE"""),10000.0)</f>
        <v>10000</v>
      </c>
      <c r="H822" s="2">
        <f>IFERROR(__xludf.DUMMYFUNCTION("""COMPUTED_VALUE"""),2.5)</f>
        <v>2.5</v>
      </c>
      <c r="I822" s="2">
        <f>IFERROR(__xludf.DUMMYFUNCTION("""COMPUTED_VALUE"""),3.27)</f>
        <v>3.27</v>
      </c>
      <c r="J822" s="2">
        <f>IFERROR(__xludf.DUMMYFUNCTION("""COMPUTED_VALUE"""),0.77)</f>
        <v>0.77</v>
      </c>
      <c r="K822" s="5">
        <f>IFERROR(__xludf.DUMMYFUNCTION("""COMPUTED_VALUE"""),0.308)</f>
        <v>0.308</v>
      </c>
      <c r="L822">
        <f>IFERROR(__xludf.DUMMYFUNCTION("""COMPUTED_VALUE"""),72094.0)</f>
        <v>72094</v>
      </c>
      <c r="M822" t="str">
        <f>IFERROR(__xludf.DUMMYFUNCTION("""COMPUTED_VALUE"""),"Office Product")</f>
        <v>Office Product</v>
      </c>
      <c r="O822" t="str">
        <f>IFERROR(__xludf.DUMMYFUNCTION("""COMPUTED_VALUE"""),"N")</f>
        <v>N</v>
      </c>
      <c r="P822" s="1" t="str">
        <f>IFERROR(__xludf.DUMMYFUNCTION("""COMPUTED_VALUE"""),"ID 24707")</f>
        <v>ID 24707</v>
      </c>
      <c r="Q822" s="1" t="str">
        <f>IFERROR(__xludf.DUMMYFUNCTION("""COMPUTED_VALUE"""),"B001A4FYVA")</f>
        <v>B001A4FYVA</v>
      </c>
    </row>
    <row r="823">
      <c r="A823" s="6">
        <f>IFERROR(__xludf.DUMMYFUNCTION("""COMPUTED_VALUE"""),45390.0)</f>
        <v>45390</v>
      </c>
      <c r="B823">
        <f>IFERROR(__xludf.DUMMYFUNCTION("""COMPUTED_VALUE"""),10416.0)</f>
        <v>10416</v>
      </c>
      <c r="C823" t="str">
        <f>IFERROR(__xludf.DUMMYFUNCTION("""COMPUTED_VALUE"""),"Chef Craft 13267 Premium Silicone Spoon Spatula, 11.5, Yellow")</f>
        <v>Chef Craft 13267 Premium Silicone Spoon Spatula, 11.5, Yellow</v>
      </c>
      <c r="D823" t="str">
        <f>IFERROR(__xludf.DUMMYFUNCTION("""COMPUTED_VALUE"""),"B01BKAUKEE")</f>
        <v>B01BKAUKEE</v>
      </c>
      <c r="E823" t="str">
        <f>IFERROR(__xludf.DUMMYFUNCTION("""COMPUTED_VALUE"""),"085455132674")</f>
        <v>085455132674</v>
      </c>
      <c r="F823">
        <f>IFERROR(__xludf.DUMMYFUNCTION("""COMPUTED_VALUE"""),360.0)</f>
        <v>360</v>
      </c>
      <c r="G823">
        <f>IFERROR(__xludf.DUMMYFUNCTION("""COMPUTED_VALUE"""),10000.0)</f>
        <v>10000</v>
      </c>
      <c r="H823" s="2">
        <f>IFERROR(__xludf.DUMMYFUNCTION("""COMPUTED_VALUE"""),2.75)</f>
        <v>2.75</v>
      </c>
      <c r="I823" s="2">
        <f>IFERROR(__xludf.DUMMYFUNCTION("""COMPUTED_VALUE"""),3.51)</f>
        <v>3.51</v>
      </c>
      <c r="J823" s="2">
        <f>IFERROR(__xludf.DUMMYFUNCTION("""COMPUTED_VALUE"""),0.7599999999999998)</f>
        <v>0.76</v>
      </c>
      <c r="K823" s="5">
        <f>IFERROR(__xludf.DUMMYFUNCTION("""COMPUTED_VALUE"""),0.2763636363636363)</f>
        <v>0.2763636364</v>
      </c>
      <c r="L823">
        <f>IFERROR(__xludf.DUMMYFUNCTION("""COMPUTED_VALUE"""),52484.0)</f>
        <v>52484</v>
      </c>
      <c r="M823" t="str">
        <f>IFERROR(__xludf.DUMMYFUNCTION("""COMPUTED_VALUE"""),"Kitchen")</f>
        <v>Kitchen</v>
      </c>
      <c r="O823" t="str">
        <f>IFERROR(__xludf.DUMMYFUNCTION("""COMPUTED_VALUE"""),"Y")</f>
        <v>Y</v>
      </c>
      <c r="P823" s="1" t="str">
        <f>IFERROR(__xludf.DUMMYFUNCTION("""COMPUTED_VALUE"""),"ID 10416")</f>
        <v>ID 10416</v>
      </c>
      <c r="Q823" s="1" t="str">
        <f>IFERROR(__xludf.DUMMYFUNCTION("""COMPUTED_VALUE"""),"B01BKAUKEE")</f>
        <v>B01BKAUKEE</v>
      </c>
    </row>
    <row r="824">
      <c r="A824" s="6">
        <f>IFERROR(__xludf.DUMMYFUNCTION("""COMPUTED_VALUE"""),44256.0)</f>
        <v>44256</v>
      </c>
      <c r="B824">
        <f>IFERROR(__xludf.DUMMYFUNCTION("""COMPUTED_VALUE"""),19191.0)</f>
        <v>19191</v>
      </c>
      <c r="C824" t="str">
        <f>IFERROR(__xludf.DUMMYFUNCTION("""COMPUTED_VALUE"""),"Forever Collectibles 74226 NFL New Orleans Saints Colored Palm Glove")</f>
        <v>Forever Collectibles 74226 NFL New Orleans Saints Colored Palm Glove</v>
      </c>
      <c r="D824" t="str">
        <f>IFERROR(__xludf.DUMMYFUNCTION("""COMPUTED_VALUE"""),"B00X2RLJ6W")</f>
        <v>B00X2RLJ6W</v>
      </c>
      <c r="E824" t="str">
        <f>IFERROR(__xludf.DUMMYFUNCTION("""COMPUTED_VALUE"""),"887849876177")</f>
        <v>887849876177</v>
      </c>
      <c r="F824">
        <f>IFERROR(__xludf.DUMMYFUNCTION("""COMPUTED_VALUE"""),360.0)</f>
        <v>360</v>
      </c>
      <c r="G824">
        <f>IFERROR(__xludf.DUMMYFUNCTION("""COMPUTED_VALUE"""),396.0)</f>
        <v>396</v>
      </c>
      <c r="H824" s="2">
        <f>IFERROR(__xludf.DUMMYFUNCTION("""COMPUTED_VALUE"""),4.0)</f>
        <v>4</v>
      </c>
      <c r="I824" s="2">
        <f>IFERROR(__xludf.DUMMYFUNCTION("""COMPUTED_VALUE"""),4.76)</f>
        <v>4.76</v>
      </c>
      <c r="J824" s="2">
        <f>IFERROR(__xludf.DUMMYFUNCTION("""COMPUTED_VALUE"""),0.7599999999999998)</f>
        <v>0.76</v>
      </c>
      <c r="K824" s="5">
        <f>IFERROR(__xludf.DUMMYFUNCTION("""COMPUTED_VALUE"""),0.18999999999999995)</f>
        <v>0.19</v>
      </c>
      <c r="L824">
        <f>IFERROR(__xludf.DUMMYFUNCTION("""COMPUTED_VALUE"""),64611.0)</f>
        <v>64611</v>
      </c>
      <c r="M824" t="str">
        <f>IFERROR(__xludf.DUMMYFUNCTION("""COMPUTED_VALUE"""),"Sports")</f>
        <v>Sports</v>
      </c>
      <c r="N824" t="str">
        <f>IFERROR(__xludf.DUMMYFUNCTION("""COMPUTED_VALUE"""),"Restricted for online sales")</f>
        <v>Restricted for online sales</v>
      </c>
      <c r="O824" t="str">
        <f>IFERROR(__xludf.DUMMYFUNCTION("""COMPUTED_VALUE"""),"Y")</f>
        <v>Y</v>
      </c>
      <c r="P824" s="1" t="str">
        <f>IFERROR(__xludf.DUMMYFUNCTION("""COMPUTED_VALUE"""),"ID 19191")</f>
        <v>ID 19191</v>
      </c>
      <c r="Q824" s="1" t="str">
        <f>IFERROR(__xludf.DUMMYFUNCTION("""COMPUTED_VALUE"""),"B00X2RLJ6W")</f>
        <v>B00X2RLJ6W</v>
      </c>
    </row>
    <row r="825">
      <c r="A825" s="6">
        <f>IFERROR(__xludf.DUMMYFUNCTION("""COMPUTED_VALUE"""),44501.0)</f>
        <v>44501</v>
      </c>
      <c r="B825">
        <f>IFERROR(__xludf.DUMMYFUNCTION("""COMPUTED_VALUE"""),23040.0)</f>
        <v>23040</v>
      </c>
      <c r="C825" t="str">
        <f>IFERROR(__xludf.DUMMYFUNCTION("""COMPUTED_VALUE"""),"C-Line Pressure Sensitive Peel and Stick Badges, Hello My Name Is, Blue, 3.5 x 2.25 Inches, 100 per Box (92235)")</f>
        <v>C-Line Pressure Sensitive Peel and Stick Badges, Hello My Name Is, Blue, 3.5 x 2.25 Inches, 100 per Box (92235)</v>
      </c>
      <c r="D825" t="str">
        <f>IFERROR(__xludf.DUMMYFUNCTION("""COMPUTED_VALUE"""),"B002UIDXJK")</f>
        <v>B002UIDXJK</v>
      </c>
      <c r="E825" t="str">
        <f>IFERROR(__xludf.DUMMYFUNCTION("""COMPUTED_VALUE"""),"38944922355")</f>
        <v>38944922355</v>
      </c>
      <c r="F825">
        <f>IFERROR(__xludf.DUMMYFUNCTION("""COMPUTED_VALUE"""),560.0)</f>
        <v>560</v>
      </c>
      <c r="G825">
        <f>IFERROR(__xludf.DUMMYFUNCTION("""COMPUTED_VALUE"""),5000.0)</f>
        <v>5000</v>
      </c>
      <c r="H825" s="2">
        <f>IFERROR(__xludf.DUMMYFUNCTION("""COMPUTED_VALUE"""),1.75)</f>
        <v>1.75</v>
      </c>
      <c r="I825" s="2">
        <f>IFERROR(__xludf.DUMMYFUNCTION("""COMPUTED_VALUE"""),2.51)</f>
        <v>2.51</v>
      </c>
      <c r="J825" s="2">
        <f>IFERROR(__xludf.DUMMYFUNCTION("""COMPUTED_VALUE"""),0.7599999999999998)</f>
        <v>0.76</v>
      </c>
      <c r="K825" s="5">
        <f>IFERROR(__xludf.DUMMYFUNCTION("""COMPUTED_VALUE"""),0.43428571428571416)</f>
        <v>0.4342857143</v>
      </c>
      <c r="L825">
        <f>IFERROR(__xludf.DUMMYFUNCTION("""COMPUTED_VALUE"""),85833.0)</f>
        <v>85833</v>
      </c>
      <c r="M825" t="str">
        <f>IFERROR(__xludf.DUMMYFUNCTION("""COMPUTED_VALUE"""),"Office Product")</f>
        <v>Office Product</v>
      </c>
      <c r="N825"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825" t="str">
        <f>IFERROR(__xludf.DUMMYFUNCTION("""COMPUTED_VALUE"""),"Y")</f>
        <v>Y</v>
      </c>
      <c r="P825" s="1" t="str">
        <f>IFERROR(__xludf.DUMMYFUNCTION("""COMPUTED_VALUE"""),"ID 23040")</f>
        <v>ID 23040</v>
      </c>
      <c r="Q825" s="1" t="str">
        <f>IFERROR(__xludf.DUMMYFUNCTION("""COMPUTED_VALUE"""),"B002UIDXJK")</f>
        <v>B002UIDXJK</v>
      </c>
    </row>
    <row r="826">
      <c r="A826" s="6">
        <f>IFERROR(__xludf.DUMMYFUNCTION("""COMPUTED_VALUE"""),45399.0)</f>
        <v>45399</v>
      </c>
      <c r="B826">
        <f>IFERROR(__xludf.DUMMYFUNCTION("""COMPUTED_VALUE"""),25488.0)</f>
        <v>25488</v>
      </c>
      <c r="C826" t="str">
        <f>IFERROR(__xludf.DUMMYFUNCTION("""COMPUTED_VALUE"""),"Disney Baby Big Boys' 8-Pack Mickey Mouse Washcloths Set - White/Multi, one Size")</f>
        <v>Disney Baby Big Boys' 8-Pack Mickey Mouse Washcloths Set - White/Multi, one Size</v>
      </c>
      <c r="D826" t="str">
        <f>IFERROR(__xludf.DUMMYFUNCTION("""COMPUTED_VALUE"""),"B09Q4TFF7C")</f>
        <v>B09Q4TFF7C</v>
      </c>
      <c r="E826" t="str">
        <f>IFERROR(__xludf.DUMMYFUNCTION("""COMPUTED_VALUE"""),"632878826958")</f>
        <v>632878826958</v>
      </c>
      <c r="F826">
        <f>IFERROR(__xludf.DUMMYFUNCTION("""COMPUTED_VALUE"""),264.0)</f>
        <v>264</v>
      </c>
      <c r="G826">
        <f>IFERROR(__xludf.DUMMYFUNCTION("""COMPUTED_VALUE"""),1719.0)</f>
        <v>1719</v>
      </c>
      <c r="H826" s="2">
        <f>IFERROR(__xludf.DUMMYFUNCTION("""COMPUTED_VALUE"""),5.0)</f>
        <v>5</v>
      </c>
      <c r="I826" s="2">
        <f>IFERROR(__xludf.DUMMYFUNCTION("""COMPUTED_VALUE"""),5.76)</f>
        <v>5.76</v>
      </c>
      <c r="J826" s="2">
        <f>IFERROR(__xludf.DUMMYFUNCTION("""COMPUTED_VALUE"""),0.7599999999999998)</f>
        <v>0.76</v>
      </c>
      <c r="K826" s="5">
        <f>IFERROR(__xludf.DUMMYFUNCTION("""COMPUTED_VALUE"""),0.15199999999999997)</f>
        <v>0.152</v>
      </c>
      <c r="L826">
        <f>IFERROR(__xludf.DUMMYFUNCTION("""COMPUTED_VALUE"""),41559.0)</f>
        <v>41559</v>
      </c>
      <c r="M826" t="str">
        <f>IFERROR(__xludf.DUMMYFUNCTION("""COMPUTED_VALUE"""),"Baby Product")</f>
        <v>Baby Product</v>
      </c>
      <c r="O826" t="str">
        <f>IFERROR(__xludf.DUMMYFUNCTION("""COMPUTED_VALUE"""),"N")</f>
        <v>N</v>
      </c>
      <c r="P826" s="1" t="str">
        <f>IFERROR(__xludf.DUMMYFUNCTION("""COMPUTED_VALUE"""),"ID 25488")</f>
        <v>ID 25488</v>
      </c>
      <c r="Q826" s="1" t="str">
        <f>IFERROR(__xludf.DUMMYFUNCTION("""COMPUTED_VALUE"""),"B09Q4TFF7C")</f>
        <v>B09Q4TFF7C</v>
      </c>
    </row>
    <row r="827">
      <c r="A827" s="6">
        <f>IFERROR(__xludf.DUMMYFUNCTION("""COMPUTED_VALUE"""),45372.0)</f>
        <v>45372</v>
      </c>
      <c r="B827">
        <f>IFERROR(__xludf.DUMMYFUNCTION("""COMPUTED_VALUE"""),387.0)</f>
        <v>387</v>
      </c>
      <c r="C827" t="str">
        <f>IFERROR(__xludf.DUMMYFUNCTION("""COMPUTED_VALUE"""),"White Melamine Soup Ladle Kitchen Spoon, 10-Inch")</f>
        <v>White Melamine Soup Ladle Kitchen Spoon, 10-Inch</v>
      </c>
      <c r="D827" t="str">
        <f>IFERROR(__xludf.DUMMYFUNCTION("""COMPUTED_VALUE"""),"B00E80J8HO")</f>
        <v>B00E80J8HO</v>
      </c>
      <c r="E827" t="str">
        <f>IFERROR(__xludf.DUMMYFUNCTION("""COMPUTED_VALUE"""),"085455190605")</f>
        <v>085455190605</v>
      </c>
      <c r="F827">
        <f>IFERROR(__xludf.DUMMYFUNCTION("""COMPUTED_VALUE"""),864.0)</f>
        <v>864</v>
      </c>
      <c r="G827">
        <f>IFERROR(__xludf.DUMMYFUNCTION("""COMPUTED_VALUE"""),2600.0)</f>
        <v>2600</v>
      </c>
      <c r="H827" s="2">
        <f>IFERROR(__xludf.DUMMYFUNCTION("""COMPUTED_VALUE"""),1.0)</f>
        <v>1</v>
      </c>
      <c r="I827" s="2">
        <f>IFERROR(__xludf.DUMMYFUNCTION("""COMPUTED_VALUE"""),1.75)</f>
        <v>1.75</v>
      </c>
      <c r="J827" s="2">
        <f>IFERROR(__xludf.DUMMYFUNCTION("""COMPUTED_VALUE"""),0.75)</f>
        <v>0.75</v>
      </c>
      <c r="K827" s="5">
        <f>IFERROR(__xludf.DUMMYFUNCTION("""COMPUTED_VALUE"""),0.75)</f>
        <v>0.75</v>
      </c>
      <c r="L827">
        <f>IFERROR(__xludf.DUMMYFUNCTION("""COMPUTED_VALUE"""),40864.0)</f>
        <v>40864</v>
      </c>
      <c r="M827" t="str">
        <f>IFERROR(__xludf.DUMMYFUNCTION("""COMPUTED_VALUE"""),"Kitchen")</f>
        <v>Kitchen</v>
      </c>
      <c r="O827" t="str">
        <f>IFERROR(__xludf.DUMMYFUNCTION("""COMPUTED_VALUE"""),"Y")</f>
        <v>Y</v>
      </c>
      <c r="P827" s="1" t="str">
        <f>IFERROR(__xludf.DUMMYFUNCTION("""COMPUTED_VALUE"""),"ID 387")</f>
        <v>ID 387</v>
      </c>
      <c r="Q827" s="1" t="str">
        <f>IFERROR(__xludf.DUMMYFUNCTION("""COMPUTED_VALUE"""),"B00E80J8HO")</f>
        <v>B00E80J8HO</v>
      </c>
    </row>
    <row r="828">
      <c r="A828" s="6">
        <f>IFERROR(__xludf.DUMMYFUNCTION("""COMPUTED_VALUE"""),45390.0)</f>
        <v>45390</v>
      </c>
      <c r="B828">
        <f>IFERROR(__xludf.DUMMYFUNCTION("""COMPUTED_VALUE"""),9008.0)</f>
        <v>9008</v>
      </c>
      <c r="C828" t="str">
        <f>IFERROR(__xludf.DUMMYFUNCTION("""COMPUTED_VALUE"""),"Chef Craft Corn Cob Dishes with Holders, 2-Pack")</f>
        <v>Chef Craft Corn Cob Dishes with Holders, 2-Pack</v>
      </c>
      <c r="D828" t="str">
        <f>IFERROR(__xludf.DUMMYFUNCTION("""COMPUTED_VALUE"""),"B00KTVQR4S")</f>
        <v>B00KTVQR4S</v>
      </c>
      <c r="E828" t="str">
        <f>IFERROR(__xludf.DUMMYFUNCTION("""COMPUTED_VALUE"""),"085455210747")</f>
        <v>085455210747</v>
      </c>
      <c r="F828">
        <f>IFERROR(__xludf.DUMMYFUNCTION("""COMPUTED_VALUE"""),576.0)</f>
        <v>576</v>
      </c>
      <c r="G828">
        <f>IFERROR(__xludf.DUMMYFUNCTION("""COMPUTED_VALUE"""),10000.0)</f>
        <v>10000</v>
      </c>
      <c r="H828" s="2">
        <f>IFERROR(__xludf.DUMMYFUNCTION("""COMPUTED_VALUE"""),1.5)</f>
        <v>1.5</v>
      </c>
      <c r="I828" s="2">
        <f>IFERROR(__xludf.DUMMYFUNCTION("""COMPUTED_VALUE"""),2.25)</f>
        <v>2.25</v>
      </c>
      <c r="J828" s="2">
        <f>IFERROR(__xludf.DUMMYFUNCTION("""COMPUTED_VALUE"""),0.75)</f>
        <v>0.75</v>
      </c>
      <c r="K828" s="5">
        <f>IFERROR(__xludf.DUMMYFUNCTION("""COMPUTED_VALUE"""),0.5)</f>
        <v>0.5</v>
      </c>
      <c r="L828">
        <f>IFERROR(__xludf.DUMMYFUNCTION("""COMPUTED_VALUE"""),83084.0)</f>
        <v>83084</v>
      </c>
      <c r="M828" t="str">
        <f>IFERROR(__xludf.DUMMYFUNCTION("""COMPUTED_VALUE"""),"Home")</f>
        <v>Home</v>
      </c>
      <c r="O828" t="str">
        <f>IFERROR(__xludf.DUMMYFUNCTION("""COMPUTED_VALUE"""),"Y")</f>
        <v>Y</v>
      </c>
      <c r="P828" s="1" t="str">
        <f>IFERROR(__xludf.DUMMYFUNCTION("""COMPUTED_VALUE"""),"ID 9008")</f>
        <v>ID 9008</v>
      </c>
      <c r="Q828" s="1" t="str">
        <f>IFERROR(__xludf.DUMMYFUNCTION("""COMPUTED_VALUE"""),"B00KTVQR4S")</f>
        <v>B00KTVQR4S</v>
      </c>
    </row>
    <row r="829">
      <c r="A829" s="6">
        <f>IFERROR(__xludf.DUMMYFUNCTION("""COMPUTED_VALUE"""),44622.0)</f>
        <v>44622</v>
      </c>
      <c r="B829">
        <f>IFERROR(__xludf.DUMMYFUNCTION("""COMPUTED_VALUE"""),25882.0)</f>
        <v>25882</v>
      </c>
      <c r="C829" t="str">
        <f>IFERROR(__xludf.DUMMYFUNCTION("""COMPUTED_VALUE"""),"TOPS Voice Message Log Books (44169) (1 book)")</f>
        <v>TOPS Voice Message Log Books (44169) (1 book)</v>
      </c>
      <c r="D829" t="str">
        <f>IFERROR(__xludf.DUMMYFUNCTION("""COMPUTED_VALUE"""),"B0007M06LY")</f>
        <v>B0007M06LY</v>
      </c>
      <c r="E829" t="str">
        <f>IFERROR(__xludf.DUMMYFUNCTION("""COMPUTED_VALUE"""),"25932441691")</f>
        <v>25932441691</v>
      </c>
      <c r="F829">
        <f>IFERROR(__xludf.DUMMYFUNCTION("""COMPUTED_VALUE"""),540.0)</f>
        <v>540</v>
      </c>
      <c r="G829">
        <f>IFERROR(__xludf.DUMMYFUNCTION("""COMPUTED_VALUE"""),5000.0)</f>
        <v>5000</v>
      </c>
      <c r="H829" s="2">
        <f>IFERROR(__xludf.DUMMYFUNCTION("""COMPUTED_VALUE"""),4.75)</f>
        <v>4.75</v>
      </c>
      <c r="I829" s="2">
        <f>IFERROR(__xludf.DUMMYFUNCTION("""COMPUTED_VALUE"""),5.5)</f>
        <v>5.5</v>
      </c>
      <c r="J829" s="2">
        <f>IFERROR(__xludf.DUMMYFUNCTION("""COMPUTED_VALUE"""),0.75)</f>
        <v>0.75</v>
      </c>
      <c r="K829" s="5">
        <f>IFERROR(__xludf.DUMMYFUNCTION("""COMPUTED_VALUE"""),0.15789473684210525)</f>
        <v>0.1578947368</v>
      </c>
      <c r="L829">
        <f>IFERROR(__xludf.DUMMYFUNCTION("""COMPUTED_VALUE"""),67486.0)</f>
        <v>67486</v>
      </c>
      <c r="M829" t="str">
        <f>IFERROR(__xludf.DUMMYFUNCTION("""COMPUTED_VALUE"""),"Office Product")</f>
        <v>Office Product</v>
      </c>
      <c r="O829" t="str">
        <f>IFERROR(__xludf.DUMMYFUNCTION("""COMPUTED_VALUE"""),"N")</f>
        <v>N</v>
      </c>
      <c r="P829" s="1" t="str">
        <f>IFERROR(__xludf.DUMMYFUNCTION("""COMPUTED_VALUE"""),"ID 25882")</f>
        <v>ID 25882</v>
      </c>
      <c r="Q829" s="1" t="str">
        <f>IFERROR(__xludf.DUMMYFUNCTION("""COMPUTED_VALUE"""),"B0007M06LY")</f>
        <v>B0007M06LY</v>
      </c>
    </row>
    <row r="830">
      <c r="A830" s="6">
        <f>IFERROR(__xludf.DUMMYFUNCTION("""COMPUTED_VALUE"""),45390.0)</f>
        <v>45390</v>
      </c>
      <c r="B830">
        <f>IFERROR(__xludf.DUMMYFUNCTION("""COMPUTED_VALUE"""),6732.0)</f>
        <v>6732</v>
      </c>
      <c r="C830" t="str">
        <f>IFERROR(__xludf.DUMMYFUNCTION("""COMPUTED_VALUE"""),"Chef Craft 13465, 11, Blue")</f>
        <v>Chef Craft 13465, 11, Blue</v>
      </c>
      <c r="D830" t="str">
        <f>IFERROR(__xludf.DUMMYFUNCTION("""COMPUTED_VALUE"""),"B01BKAUK7G")</f>
        <v>B01BKAUK7G</v>
      </c>
      <c r="E830" t="str">
        <f>IFERROR(__xludf.DUMMYFUNCTION("""COMPUTED_VALUE"""),"085455134654")</f>
        <v>085455134654</v>
      </c>
      <c r="F830">
        <f>IFERROR(__xludf.DUMMYFUNCTION("""COMPUTED_VALUE"""),360.0)</f>
        <v>360</v>
      </c>
      <c r="G830">
        <f>IFERROR(__xludf.DUMMYFUNCTION("""COMPUTED_VALUE"""),10000.0)</f>
        <v>10000</v>
      </c>
      <c r="H830" s="2">
        <f>IFERROR(__xludf.DUMMYFUNCTION("""COMPUTED_VALUE"""),2.75)</f>
        <v>2.75</v>
      </c>
      <c r="I830" s="2">
        <f>IFERROR(__xludf.DUMMYFUNCTION("""COMPUTED_VALUE"""),3.49)</f>
        <v>3.49</v>
      </c>
      <c r="J830" s="2">
        <f>IFERROR(__xludf.DUMMYFUNCTION("""COMPUTED_VALUE"""),0.7400000000000002)</f>
        <v>0.74</v>
      </c>
      <c r="K830" s="5">
        <f>IFERROR(__xludf.DUMMYFUNCTION("""COMPUTED_VALUE"""),0.26909090909090916)</f>
        <v>0.2690909091</v>
      </c>
      <c r="L830">
        <f>IFERROR(__xludf.DUMMYFUNCTION("""COMPUTED_VALUE"""),71132.0)</f>
        <v>71132</v>
      </c>
      <c r="M830" t="str">
        <f>IFERROR(__xludf.DUMMYFUNCTION("""COMPUTED_VALUE"""),"Kitchen")</f>
        <v>Kitchen</v>
      </c>
      <c r="O830" t="str">
        <f>IFERROR(__xludf.DUMMYFUNCTION("""COMPUTED_VALUE"""),"Y")</f>
        <v>Y</v>
      </c>
      <c r="P830" s="1" t="str">
        <f>IFERROR(__xludf.DUMMYFUNCTION("""COMPUTED_VALUE"""),"ID 6732")</f>
        <v>ID 6732</v>
      </c>
      <c r="Q830" s="1" t="str">
        <f>IFERROR(__xludf.DUMMYFUNCTION("""COMPUTED_VALUE"""),"B01BKAUK7G")</f>
        <v>B01BKAUK7G</v>
      </c>
    </row>
    <row r="831">
      <c r="A831" s="6">
        <f>IFERROR(__xludf.DUMMYFUNCTION("""COMPUTED_VALUE"""),45390.0)</f>
        <v>45390</v>
      </c>
      <c r="B831">
        <f>IFERROR(__xludf.DUMMYFUNCTION("""COMPUTED_VALUE"""),9154.0)</f>
        <v>9154</v>
      </c>
      <c r="C831" t="str">
        <f>IFERROR(__xludf.DUMMYFUNCTION("""COMPUTED_VALUE"""),"Chef Craft Egg Separator")</f>
        <v>Chef Craft Egg Separator</v>
      </c>
      <c r="D831" t="str">
        <f>IFERROR(__xludf.DUMMYFUNCTION("""COMPUTED_VALUE"""),"B001CB245K")</f>
        <v>B001CB245K</v>
      </c>
      <c r="E831" t="str">
        <f>IFERROR(__xludf.DUMMYFUNCTION("""COMPUTED_VALUE"""),"085455209925")</f>
        <v>085455209925</v>
      </c>
      <c r="F831">
        <f>IFERROR(__xludf.DUMMYFUNCTION("""COMPUTED_VALUE"""),1008.0)</f>
        <v>1008</v>
      </c>
      <c r="G831">
        <f>IFERROR(__xludf.DUMMYFUNCTION("""COMPUTED_VALUE"""),10000.0)</f>
        <v>10000</v>
      </c>
      <c r="H831" s="2">
        <f>IFERROR(__xludf.DUMMYFUNCTION("""COMPUTED_VALUE"""),0.75)</f>
        <v>0.75</v>
      </c>
      <c r="I831" s="2">
        <f>IFERROR(__xludf.DUMMYFUNCTION("""COMPUTED_VALUE"""),1.49)</f>
        <v>1.49</v>
      </c>
      <c r="J831" s="2">
        <f>IFERROR(__xludf.DUMMYFUNCTION("""COMPUTED_VALUE"""),0.74)</f>
        <v>0.74</v>
      </c>
      <c r="K831" s="5">
        <f>IFERROR(__xludf.DUMMYFUNCTION("""COMPUTED_VALUE"""),0.9866666666666667)</f>
        <v>0.9866666667</v>
      </c>
      <c r="L831">
        <f>IFERROR(__xludf.DUMMYFUNCTION("""COMPUTED_VALUE"""),76309.0)</f>
        <v>76309</v>
      </c>
      <c r="M831" t="str">
        <f>IFERROR(__xludf.DUMMYFUNCTION("""COMPUTED_VALUE"""),"Kitchen")</f>
        <v>Kitchen</v>
      </c>
      <c r="O831" t="str">
        <f>IFERROR(__xludf.DUMMYFUNCTION("""COMPUTED_VALUE"""),"Y")</f>
        <v>Y</v>
      </c>
      <c r="P831" s="1" t="str">
        <f>IFERROR(__xludf.DUMMYFUNCTION("""COMPUTED_VALUE"""),"ID 9154")</f>
        <v>ID 9154</v>
      </c>
      <c r="Q831" s="1" t="str">
        <f>IFERROR(__xludf.DUMMYFUNCTION("""COMPUTED_VALUE"""),"B001CB245K")</f>
        <v>B001CB245K</v>
      </c>
    </row>
    <row r="832">
      <c r="A832" s="6">
        <f>IFERROR(__xludf.DUMMYFUNCTION("""COMPUTED_VALUE"""),45348.0)</f>
        <v>45348</v>
      </c>
      <c r="B832">
        <f>IFERROR(__xludf.DUMMYFUNCTION("""COMPUTED_VALUE"""),22683.0)</f>
        <v>22683</v>
      </c>
      <c r="C832" t="str">
        <f>IFERROR(__xludf.DUMMYFUNCTION("""COMPUTED_VALUE"""),"ACCO PRESSTEX Report Cover, Side Bound, Tyvek Reinforced Hinge, 8.5 Inch Centers, 3 Inch Capacity, Letter Size, Dark Green (A7025076A)")</f>
        <v>ACCO PRESSTEX Report Cover, Side Bound, Tyvek Reinforced Hinge, 8.5 Inch Centers, 3 Inch Capacity, Letter Size, Dark Green (A7025076A)</v>
      </c>
      <c r="D832" t="str">
        <f>IFERROR(__xludf.DUMMYFUNCTION("""COMPUTED_VALUE"""),"B00006IERR")</f>
        <v>B00006IERR</v>
      </c>
      <c r="E832" t="str">
        <f>IFERROR(__xludf.DUMMYFUNCTION("""COMPUTED_VALUE"""),"050505250769")</f>
        <v>050505250769</v>
      </c>
      <c r="F832">
        <f>IFERROR(__xludf.DUMMYFUNCTION("""COMPUTED_VALUE"""),800.0)</f>
        <v>800</v>
      </c>
      <c r="G832">
        <f>IFERROR(__xludf.DUMMYFUNCTION("""COMPUTED_VALUE"""),10000.0)</f>
        <v>10000</v>
      </c>
      <c r="H832" s="2">
        <f>IFERROR(__xludf.DUMMYFUNCTION("""COMPUTED_VALUE"""),3.0)</f>
        <v>3</v>
      </c>
      <c r="I832" s="2">
        <f>IFERROR(__xludf.DUMMYFUNCTION("""COMPUTED_VALUE"""),3.74)</f>
        <v>3.74</v>
      </c>
      <c r="J832" s="2">
        <f>IFERROR(__xludf.DUMMYFUNCTION("""COMPUTED_VALUE"""),0.7400000000000002)</f>
        <v>0.74</v>
      </c>
      <c r="K832" s="5">
        <f>IFERROR(__xludf.DUMMYFUNCTION("""COMPUTED_VALUE"""),0.24666666666666673)</f>
        <v>0.2466666667</v>
      </c>
      <c r="L832">
        <f>IFERROR(__xludf.DUMMYFUNCTION("""COMPUTED_VALUE"""),52283.0)</f>
        <v>52283</v>
      </c>
      <c r="M832" t="str">
        <f>IFERROR(__xludf.DUMMYFUNCTION("""COMPUTED_VALUE"""),"Office Product")</f>
        <v>Office Product</v>
      </c>
      <c r="O832" t="str">
        <f>IFERROR(__xludf.DUMMYFUNCTION("""COMPUTED_VALUE"""),"Y")</f>
        <v>Y</v>
      </c>
      <c r="P832" s="1" t="str">
        <f>IFERROR(__xludf.DUMMYFUNCTION("""COMPUTED_VALUE"""),"ID 22683")</f>
        <v>ID 22683</v>
      </c>
      <c r="Q832" s="1" t="str">
        <f>IFERROR(__xludf.DUMMYFUNCTION("""COMPUTED_VALUE"""),"B00006IERR")</f>
        <v>B00006IERR</v>
      </c>
    </row>
    <row r="833">
      <c r="A833" s="6">
        <f>IFERROR(__xludf.DUMMYFUNCTION("""COMPUTED_VALUE"""),45390.0)</f>
        <v>45390</v>
      </c>
      <c r="B833">
        <f>IFERROR(__xludf.DUMMYFUNCTION("""COMPUTED_VALUE"""),5565.0)</f>
        <v>5565</v>
      </c>
      <c r="C833" t="str">
        <f>IFERROR(__xludf.DUMMYFUNCTION("""COMPUTED_VALUE"""),"Chef Craft 50 Count Cupcake Liners, Santa Hats")</f>
        <v>Chef Craft 50 Count Cupcake Liners, Santa Hats</v>
      </c>
      <c r="D833" t="str">
        <f>IFERROR(__xludf.DUMMYFUNCTION("""COMPUTED_VALUE"""),"B00KS9H95C")</f>
        <v>B00KS9H95C</v>
      </c>
      <c r="E833" t="str">
        <f>IFERROR(__xludf.DUMMYFUNCTION("""COMPUTED_VALUE"""),"085455218248")</f>
        <v>085455218248</v>
      </c>
      <c r="F833">
        <f>IFERROR(__xludf.DUMMYFUNCTION("""COMPUTED_VALUE"""),576.0)</f>
        <v>576</v>
      </c>
      <c r="G833">
        <f>IFERROR(__xludf.DUMMYFUNCTION("""COMPUTED_VALUE"""),10000.0)</f>
        <v>10000</v>
      </c>
      <c r="H833" s="2">
        <f>IFERROR(__xludf.DUMMYFUNCTION("""COMPUTED_VALUE"""),1.25)</f>
        <v>1.25</v>
      </c>
      <c r="I833" s="2">
        <f>IFERROR(__xludf.DUMMYFUNCTION("""COMPUTED_VALUE"""),1.98)</f>
        <v>1.98</v>
      </c>
      <c r="J833" s="2">
        <f>IFERROR(__xludf.DUMMYFUNCTION("""COMPUTED_VALUE"""),0.73)</f>
        <v>0.73</v>
      </c>
      <c r="K833" s="5">
        <f>IFERROR(__xludf.DUMMYFUNCTION("""COMPUTED_VALUE"""),0.584)</f>
        <v>0.584</v>
      </c>
      <c r="L833">
        <f>IFERROR(__xludf.DUMMYFUNCTION("""COMPUTED_VALUE"""),36126.0)</f>
        <v>36126</v>
      </c>
      <c r="M833" t="str">
        <f>IFERROR(__xludf.DUMMYFUNCTION("""COMPUTED_VALUE"""),"Kitchen")</f>
        <v>Kitchen</v>
      </c>
      <c r="O833" t="str">
        <f>IFERROR(__xludf.DUMMYFUNCTION("""COMPUTED_VALUE"""),"Y")</f>
        <v>Y</v>
      </c>
      <c r="P833" s="1" t="str">
        <f>IFERROR(__xludf.DUMMYFUNCTION("""COMPUTED_VALUE"""),"ID 5565")</f>
        <v>ID 5565</v>
      </c>
      <c r="Q833" s="1" t="str">
        <f>IFERROR(__xludf.DUMMYFUNCTION("""COMPUTED_VALUE"""),"B00KS9H95C")</f>
        <v>B00KS9H95C</v>
      </c>
    </row>
    <row r="834">
      <c r="A834" s="6">
        <f>IFERROR(__xludf.DUMMYFUNCTION("""COMPUTED_VALUE"""),45390.0)</f>
        <v>45390</v>
      </c>
      <c r="B834">
        <f>IFERROR(__xludf.DUMMYFUNCTION("""COMPUTED_VALUE"""),10998.0)</f>
        <v>10998</v>
      </c>
      <c r="C834" t="str">
        <f>IFERROR(__xludf.DUMMYFUNCTION("""COMPUTED_VALUE"""),"Chef Craft 13365 Premium Silicone Spatula, 11, Green")</f>
        <v>Chef Craft 13365 Premium Silicone Spatula, 11, Green</v>
      </c>
      <c r="D834" t="str">
        <f>IFERROR(__xludf.DUMMYFUNCTION("""COMPUTED_VALUE"""),"B01BKAUHTW")</f>
        <v>B01BKAUHTW</v>
      </c>
      <c r="E834" t="str">
        <f>IFERROR(__xludf.DUMMYFUNCTION("""COMPUTED_VALUE"""),"085455133657")</f>
        <v>085455133657</v>
      </c>
      <c r="F834">
        <f>IFERROR(__xludf.DUMMYFUNCTION("""COMPUTED_VALUE"""),360.0)</f>
        <v>360</v>
      </c>
      <c r="G834">
        <f>IFERROR(__xludf.DUMMYFUNCTION("""COMPUTED_VALUE"""),10000.0)</f>
        <v>10000</v>
      </c>
      <c r="H834" s="2">
        <f>IFERROR(__xludf.DUMMYFUNCTION("""COMPUTED_VALUE"""),2.75)</f>
        <v>2.75</v>
      </c>
      <c r="I834" s="2">
        <f>IFERROR(__xludf.DUMMYFUNCTION("""COMPUTED_VALUE"""),3.48)</f>
        <v>3.48</v>
      </c>
      <c r="J834" s="2">
        <f>IFERROR(__xludf.DUMMYFUNCTION("""COMPUTED_VALUE"""),0.73)</f>
        <v>0.73</v>
      </c>
      <c r="K834" s="5">
        <f>IFERROR(__xludf.DUMMYFUNCTION("""COMPUTED_VALUE"""),0.26545454545454544)</f>
        <v>0.2654545455</v>
      </c>
      <c r="L834">
        <f>IFERROR(__xludf.DUMMYFUNCTION("""COMPUTED_VALUE"""),65380.0)</f>
        <v>65380</v>
      </c>
      <c r="M834" t="str">
        <f>IFERROR(__xludf.DUMMYFUNCTION("""COMPUTED_VALUE"""),"Kitchen")</f>
        <v>Kitchen</v>
      </c>
      <c r="O834" t="str">
        <f>IFERROR(__xludf.DUMMYFUNCTION("""COMPUTED_VALUE"""),"Y")</f>
        <v>Y</v>
      </c>
      <c r="P834" s="1" t="str">
        <f>IFERROR(__xludf.DUMMYFUNCTION("""COMPUTED_VALUE"""),"ID 10998")</f>
        <v>ID 10998</v>
      </c>
      <c r="Q834" s="1" t="str">
        <f>IFERROR(__xludf.DUMMYFUNCTION("""COMPUTED_VALUE"""),"B01BKAUHTW")</f>
        <v>B01BKAUHTW</v>
      </c>
    </row>
    <row r="835">
      <c r="A835" s="6">
        <f>IFERROR(__xludf.DUMMYFUNCTION("""COMPUTED_VALUE"""),45156.0)</f>
        <v>45156</v>
      </c>
      <c r="B835">
        <f>IFERROR(__xludf.DUMMYFUNCTION("""COMPUTED_VALUE"""),15545.0)</f>
        <v>15545</v>
      </c>
      <c r="C835" t="str">
        <f>IFERROR(__xludf.DUMMYFUNCTION("""COMPUTED_VALUE"""),"Duck Brand 394689 General Purpose Masking Tape, 0.7-Inch by 60-Yard, Single Roll, Beige")</f>
        <v>Duck Brand 394689 General Purpose Masking Tape, 0.7-Inch by 60-Yard, Single Roll, Beige</v>
      </c>
      <c r="D835" t="str">
        <f>IFERROR(__xludf.DUMMYFUNCTION("""COMPUTED_VALUE"""),"B007FN9GW8")</f>
        <v>B007FN9GW8</v>
      </c>
      <c r="E835" t="str">
        <f>IFERROR(__xludf.DUMMYFUNCTION("""COMPUTED_VALUE"""),"075353050019")</f>
        <v>075353050019</v>
      </c>
      <c r="F835">
        <f>IFERROR(__xludf.DUMMYFUNCTION("""COMPUTED_VALUE"""),480.0)</f>
        <v>480</v>
      </c>
      <c r="G835">
        <f>IFERROR(__xludf.DUMMYFUNCTION("""COMPUTED_VALUE"""),10000.0)</f>
        <v>10000</v>
      </c>
      <c r="H835" s="2">
        <f>IFERROR(__xludf.DUMMYFUNCTION("""COMPUTED_VALUE"""),1.5)</f>
        <v>1.5</v>
      </c>
      <c r="I835" s="2">
        <f>IFERROR(__xludf.DUMMYFUNCTION("""COMPUTED_VALUE"""),2.23)</f>
        <v>2.23</v>
      </c>
      <c r="J835" s="2">
        <f>IFERROR(__xludf.DUMMYFUNCTION("""COMPUTED_VALUE"""),0.73)</f>
        <v>0.73</v>
      </c>
      <c r="K835" s="5">
        <f>IFERROR(__xludf.DUMMYFUNCTION("""COMPUTED_VALUE"""),0.48666666666666664)</f>
        <v>0.4866666667</v>
      </c>
      <c r="L835">
        <f>IFERROR(__xludf.DUMMYFUNCTION("""COMPUTED_VALUE"""),11769.0)</f>
        <v>11769</v>
      </c>
      <c r="M835" t="str">
        <f>IFERROR(__xludf.DUMMYFUNCTION("""COMPUTED_VALUE"""),"Home Improvement")</f>
        <v>Home Improvement</v>
      </c>
      <c r="O835" t="str">
        <f>IFERROR(__xludf.DUMMYFUNCTION("""COMPUTED_VALUE"""),"Y")</f>
        <v>Y</v>
      </c>
      <c r="P835" s="1" t="str">
        <f>IFERROR(__xludf.DUMMYFUNCTION("""COMPUTED_VALUE"""),"ID 15545")</f>
        <v>ID 15545</v>
      </c>
      <c r="Q835" s="1" t="str">
        <f>IFERROR(__xludf.DUMMYFUNCTION("""COMPUTED_VALUE"""),"B007FN9GW8")</f>
        <v>B007FN9GW8</v>
      </c>
    </row>
    <row r="836">
      <c r="A836" s="6">
        <f>IFERROR(__xludf.DUMMYFUNCTION("""COMPUTED_VALUE"""),44656.0)</f>
        <v>44656</v>
      </c>
      <c r="B836">
        <f>IFERROR(__xludf.DUMMYFUNCTION("""COMPUTED_VALUE"""),18465.0)</f>
        <v>18465</v>
      </c>
      <c r="C836" t="str">
        <f>IFERROR(__xludf.DUMMYFUNCTION("""COMPUTED_VALUE"""),"Globe-Weis/Pendaflex Expanding File Folder Pocket, Letter, Manila, 10 File Folder Pockets (FP153L10)")</f>
        <v>Globe-Weis/Pendaflex Expanding File Folder Pocket, Letter, Manila, 10 File Folder Pockets (FP153L10)</v>
      </c>
      <c r="D836" t="str">
        <f>IFERROR(__xludf.DUMMYFUNCTION("""COMPUTED_VALUE"""),"B001ANT5KM")</f>
        <v>B001ANT5KM</v>
      </c>
      <c r="E836" t="str">
        <f>IFERROR(__xludf.DUMMYFUNCTION("""COMPUTED_VALUE"""),"78973310112")</f>
        <v>78973310112</v>
      </c>
      <c r="F836">
        <f>IFERROR(__xludf.DUMMYFUNCTION("""COMPUTED_VALUE"""),450.0)</f>
        <v>450</v>
      </c>
      <c r="G836">
        <f>IFERROR(__xludf.DUMMYFUNCTION("""COMPUTED_VALUE"""),5000.0)</f>
        <v>5000</v>
      </c>
      <c r="H836" s="2">
        <f>IFERROR(__xludf.DUMMYFUNCTION("""COMPUTED_VALUE"""),5.5)</f>
        <v>5.5</v>
      </c>
      <c r="I836" s="2">
        <f>IFERROR(__xludf.DUMMYFUNCTION("""COMPUTED_VALUE"""),6.23)</f>
        <v>6.23</v>
      </c>
      <c r="J836" s="2">
        <f>IFERROR(__xludf.DUMMYFUNCTION("""COMPUTED_VALUE"""),0.7300000000000004)</f>
        <v>0.73</v>
      </c>
      <c r="K836" s="5">
        <f>IFERROR(__xludf.DUMMYFUNCTION("""COMPUTED_VALUE"""),0.1327272727272728)</f>
        <v>0.1327272727</v>
      </c>
      <c r="L836">
        <f>IFERROR(__xludf.DUMMYFUNCTION("""COMPUTED_VALUE"""),50284.0)</f>
        <v>50284</v>
      </c>
      <c r="M836" t="str">
        <f>IFERROR(__xludf.DUMMYFUNCTION("""COMPUTED_VALUE"""),"Office Product")</f>
        <v>Office Product</v>
      </c>
      <c r="O836" t="str">
        <f>IFERROR(__xludf.DUMMYFUNCTION("""COMPUTED_VALUE"""),"Y")</f>
        <v>Y</v>
      </c>
      <c r="P836" s="1" t="str">
        <f>IFERROR(__xludf.DUMMYFUNCTION("""COMPUTED_VALUE"""),"ID 18465")</f>
        <v>ID 18465</v>
      </c>
      <c r="Q836" s="1" t="str">
        <f>IFERROR(__xludf.DUMMYFUNCTION("""COMPUTED_VALUE"""),"B001ANT5KM")</f>
        <v>B001ANT5KM</v>
      </c>
    </row>
    <row r="837">
      <c r="A837" s="6">
        <f>IFERROR(__xludf.DUMMYFUNCTION("""COMPUTED_VALUE"""),44440.0)</f>
        <v>44440</v>
      </c>
      <c r="B837">
        <f>IFERROR(__xludf.DUMMYFUNCTION("""COMPUTED_VALUE"""),21834.0)</f>
        <v>21834</v>
      </c>
      <c r="C837" t="str">
        <f>IFERROR(__xludf.DUMMYFUNCTION("""COMPUTED_VALUE"""),"Five Star Spiral Notebook, 1 Subject, Wide Ruled Paper, 100 Sheets, 10-1/2"" x 8"", Red (72017)")</f>
        <v>Five Star Spiral Notebook, 1 Subject, Wide Ruled Paper, 100 Sheets, 10-1/2" x 8", Red (72017)</v>
      </c>
      <c r="D837" t="str">
        <f>IFERROR(__xludf.DUMMYFUNCTION("""COMPUTED_VALUE"""),"B003O2RXQU")</f>
        <v>B003O2RXQU</v>
      </c>
      <c r="E837" t="str">
        <f>IFERROR(__xludf.DUMMYFUNCTION("""COMPUTED_VALUE"""),"043100052005")</f>
        <v>043100052005</v>
      </c>
      <c r="F837">
        <f>IFERROR(__xludf.DUMMYFUNCTION("""COMPUTED_VALUE"""),624.0)</f>
        <v>624</v>
      </c>
      <c r="G837">
        <f>IFERROR(__xludf.DUMMYFUNCTION("""COMPUTED_VALUE"""),5000.0)</f>
        <v>5000</v>
      </c>
      <c r="H837" s="2">
        <f>IFERROR(__xludf.DUMMYFUNCTION("""COMPUTED_VALUE"""),4.0)</f>
        <v>4</v>
      </c>
      <c r="I837" s="2">
        <f>IFERROR(__xludf.DUMMYFUNCTION("""COMPUTED_VALUE"""),4.73)</f>
        <v>4.73</v>
      </c>
      <c r="J837" s="2">
        <f>IFERROR(__xludf.DUMMYFUNCTION("""COMPUTED_VALUE"""),0.7300000000000004)</f>
        <v>0.73</v>
      </c>
      <c r="K837" s="5">
        <f>IFERROR(__xludf.DUMMYFUNCTION("""COMPUTED_VALUE"""),0.1825000000000001)</f>
        <v>0.1825</v>
      </c>
      <c r="L837">
        <f>IFERROR(__xludf.DUMMYFUNCTION("""COMPUTED_VALUE"""),65439.0)</f>
        <v>65439</v>
      </c>
      <c r="M837" t="str">
        <f>IFERROR(__xludf.DUMMYFUNCTION("""COMPUTED_VALUE"""),"Office Product")</f>
        <v>Office Product</v>
      </c>
      <c r="N837" t="str">
        <f>IFERROR(__xludf.DUMMYFUNCTION("""COMPUTED_VALUE"""),"Note, Amazon lists a different UPC")</f>
        <v>Note, Amazon lists a different UPC</v>
      </c>
      <c r="O837" t="str">
        <f>IFERROR(__xludf.DUMMYFUNCTION("""COMPUTED_VALUE"""),"N")</f>
        <v>N</v>
      </c>
      <c r="P837" s="1" t="str">
        <f>IFERROR(__xludf.DUMMYFUNCTION("""COMPUTED_VALUE"""),"ID 21834")</f>
        <v>ID 21834</v>
      </c>
      <c r="Q837" s="1" t="str">
        <f>IFERROR(__xludf.DUMMYFUNCTION("""COMPUTED_VALUE"""),"B003O2RXQU")</f>
        <v>B003O2RXQU</v>
      </c>
    </row>
    <row r="838">
      <c r="A838" s="6">
        <f>IFERROR(__xludf.DUMMYFUNCTION("""COMPUTED_VALUE"""),44540.0)</f>
        <v>44540</v>
      </c>
      <c r="B838">
        <f>IFERROR(__xludf.DUMMYFUNCTION("""COMPUTED_VALUE"""),23760.0)</f>
        <v>23760</v>
      </c>
      <c r="C838" t="str">
        <f>IFERROR(__xludf.DUMMYFUNCTION("""COMPUTED_VALUE"""),"Clear Cylindrical Glass Shade - 3-1/4-Inch Fitter Opening")</f>
        <v>Clear Cylindrical Glass Shade - 3-1/4-Inch Fitter Opening</v>
      </c>
      <c r="D838" t="str">
        <f>IFERROR(__xludf.DUMMYFUNCTION("""COMPUTED_VALUE"""),"B001EBINBM")</f>
        <v>B001EBINBM</v>
      </c>
      <c r="E838" t="str">
        <f>IFERROR(__xludf.DUMMYFUNCTION("""COMPUTED_VALUE"""),"45923501142")</f>
        <v>45923501142</v>
      </c>
      <c r="F838">
        <f>IFERROR(__xludf.DUMMYFUNCTION("""COMPUTED_VALUE"""),528.0)</f>
        <v>528</v>
      </c>
      <c r="G838">
        <f>IFERROR(__xludf.DUMMYFUNCTION("""COMPUTED_VALUE"""),1000.0)</f>
        <v>1000</v>
      </c>
      <c r="H838" s="2">
        <f>IFERROR(__xludf.DUMMYFUNCTION("""COMPUTED_VALUE"""),2.5)</f>
        <v>2.5</v>
      </c>
      <c r="I838" s="2">
        <f>IFERROR(__xludf.DUMMYFUNCTION("""COMPUTED_VALUE"""),3.23)</f>
        <v>3.23</v>
      </c>
      <c r="J838" s="2">
        <f>IFERROR(__xludf.DUMMYFUNCTION("""COMPUTED_VALUE"""),0.73)</f>
        <v>0.73</v>
      </c>
      <c r="K838" s="5">
        <f>IFERROR(__xludf.DUMMYFUNCTION("""COMPUTED_VALUE"""),0.292)</f>
        <v>0.292</v>
      </c>
      <c r="L838">
        <f>IFERROR(__xludf.DUMMYFUNCTION("""COMPUTED_VALUE"""),43752.0)</f>
        <v>43752</v>
      </c>
      <c r="M838" t="str">
        <f>IFERROR(__xludf.DUMMYFUNCTION("""COMPUTED_VALUE"""),"Lighting")</f>
        <v>Lighting</v>
      </c>
      <c r="O838" t="str">
        <f>IFERROR(__xludf.DUMMYFUNCTION("""COMPUTED_VALUE"""),"N")</f>
        <v>N</v>
      </c>
      <c r="P838" s="1" t="str">
        <f>IFERROR(__xludf.DUMMYFUNCTION("""COMPUTED_VALUE"""),"ID 23760")</f>
        <v>ID 23760</v>
      </c>
      <c r="Q838" s="1" t="str">
        <f>IFERROR(__xludf.DUMMYFUNCTION("""COMPUTED_VALUE"""),"B001EBINBM")</f>
        <v>B001EBINBM</v>
      </c>
    </row>
    <row r="839">
      <c r="A839" s="6">
        <f>IFERROR(__xludf.DUMMYFUNCTION("""COMPUTED_VALUE"""),45376.0)</f>
        <v>45376</v>
      </c>
      <c r="B839">
        <f>IFERROR(__xludf.DUMMYFUNCTION("""COMPUTED_VALUE"""),24083.0)</f>
        <v>24083</v>
      </c>
      <c r="C839" t="str">
        <f>IFERROR(__xludf.DUMMYFUNCTION("""COMPUTED_VALUE"""),"Pacon Spectra Glitter Sparkling Crystals, Gold, 4-Ounce Jar (91680)")</f>
        <v>Pacon Spectra Glitter Sparkling Crystals, Gold, 4-Ounce Jar (91680)</v>
      </c>
      <c r="D839" t="str">
        <f>IFERROR(__xludf.DUMMYFUNCTION("""COMPUTED_VALUE"""),"B000J09NR2")</f>
        <v>B000J09NR2</v>
      </c>
      <c r="E839" t="str">
        <f>IFERROR(__xludf.DUMMYFUNCTION("""COMPUTED_VALUE"""),"029444916807")</f>
        <v>029444916807</v>
      </c>
      <c r="F839">
        <f>IFERROR(__xludf.DUMMYFUNCTION("""COMPUTED_VALUE"""),1464.0)</f>
        <v>1464</v>
      </c>
      <c r="G839">
        <f>IFERROR(__xludf.DUMMYFUNCTION("""COMPUTED_VALUE"""),10000.0)</f>
        <v>10000</v>
      </c>
      <c r="H839" s="2">
        <f>IFERROR(__xludf.DUMMYFUNCTION("""COMPUTED_VALUE"""),2.5)</f>
        <v>2.5</v>
      </c>
      <c r="I839" s="2">
        <f>IFERROR(__xludf.DUMMYFUNCTION("""COMPUTED_VALUE"""),3.23)</f>
        <v>3.23</v>
      </c>
      <c r="J839" s="2">
        <f>IFERROR(__xludf.DUMMYFUNCTION("""COMPUTED_VALUE"""),0.73)</f>
        <v>0.73</v>
      </c>
      <c r="K839" s="5">
        <f>IFERROR(__xludf.DUMMYFUNCTION("""COMPUTED_VALUE"""),0.292)</f>
        <v>0.292</v>
      </c>
      <c r="L839">
        <f>IFERROR(__xludf.DUMMYFUNCTION("""COMPUTED_VALUE"""),13784.0)</f>
        <v>13784</v>
      </c>
      <c r="M839" t="str">
        <f>IFERROR(__xludf.DUMMYFUNCTION("""COMPUTED_VALUE"""),"Office Product")</f>
        <v>Office Product</v>
      </c>
      <c r="O839" t="str">
        <f>IFERROR(__xludf.DUMMYFUNCTION("""COMPUTED_VALUE"""),"Y")</f>
        <v>Y</v>
      </c>
      <c r="P839" s="1" t="str">
        <f>IFERROR(__xludf.DUMMYFUNCTION("""COMPUTED_VALUE"""),"ID 24083")</f>
        <v>ID 24083</v>
      </c>
      <c r="Q839" s="1" t="str">
        <f>IFERROR(__xludf.DUMMYFUNCTION("""COMPUTED_VALUE"""),"B000J09NR2")</f>
        <v>B000J09NR2</v>
      </c>
    </row>
    <row r="840">
      <c r="A840" s="6">
        <f>IFERROR(__xludf.DUMMYFUNCTION("""COMPUTED_VALUE"""),45421.0)</f>
        <v>45421</v>
      </c>
      <c r="B840">
        <f>IFERROR(__xludf.DUMMYFUNCTION("""COMPUTED_VALUE"""),25665.0)</f>
        <v>25665</v>
      </c>
      <c r="C840" t="str">
        <f>IFERROR(__xludf.DUMMYFUNCTION("""COMPUTED_VALUE"""),"Rapidesign Isometric Piping Template, 1 Each (R43)")</f>
        <v>Rapidesign Isometric Piping Template, 1 Each (R43)</v>
      </c>
      <c r="D840" t="str">
        <f>IFERROR(__xludf.DUMMYFUNCTION("""COMPUTED_VALUE"""),"B001E1V56W")</f>
        <v>B001E1V56W</v>
      </c>
      <c r="E840" t="str">
        <f>IFERROR(__xludf.DUMMYFUNCTION("""COMPUTED_VALUE"""),"014173253583")</f>
        <v>014173253583</v>
      </c>
      <c r="F840">
        <f>IFERROR(__xludf.DUMMYFUNCTION("""COMPUTED_VALUE"""),288.0)</f>
        <v>288</v>
      </c>
      <c r="G840">
        <f>IFERROR(__xludf.DUMMYFUNCTION("""COMPUTED_VALUE"""),10000.0)</f>
        <v>10000</v>
      </c>
      <c r="H840" s="2">
        <f>IFERROR(__xludf.DUMMYFUNCTION("""COMPUTED_VALUE"""),10.75)</f>
        <v>10.75</v>
      </c>
      <c r="I840" s="2">
        <f>IFERROR(__xludf.DUMMYFUNCTION("""COMPUTED_VALUE"""),11.47)</f>
        <v>11.47</v>
      </c>
      <c r="J840" s="2">
        <f>IFERROR(__xludf.DUMMYFUNCTION("""COMPUTED_VALUE"""),0.7200000000000006)</f>
        <v>0.72</v>
      </c>
      <c r="K840" s="5">
        <f>IFERROR(__xludf.DUMMYFUNCTION("""COMPUTED_VALUE"""),0.06697674418604657)</f>
        <v>0.06697674419</v>
      </c>
      <c r="L840">
        <f>IFERROR(__xludf.DUMMYFUNCTION("""COMPUTED_VALUE"""),34702.0)</f>
        <v>34702</v>
      </c>
      <c r="M840" t="str">
        <f>IFERROR(__xludf.DUMMYFUNCTION("""COMPUTED_VALUE"""),"Office Product")</f>
        <v>Office Product</v>
      </c>
      <c r="O840" t="str">
        <f>IFERROR(__xludf.DUMMYFUNCTION("""COMPUTED_VALUE"""),"Y")</f>
        <v>Y</v>
      </c>
      <c r="P840" s="1" t="str">
        <f>IFERROR(__xludf.DUMMYFUNCTION("""COMPUTED_VALUE"""),"ID 25665")</f>
        <v>ID 25665</v>
      </c>
      <c r="Q840" s="1" t="str">
        <f>IFERROR(__xludf.DUMMYFUNCTION("""COMPUTED_VALUE"""),"B001E1V56W")</f>
        <v>B001E1V56W</v>
      </c>
    </row>
    <row r="841">
      <c r="A841" s="6">
        <f>IFERROR(__xludf.DUMMYFUNCTION("""COMPUTED_VALUE"""),43607.0)</f>
        <v>43607</v>
      </c>
      <c r="B841">
        <f>IFERROR(__xludf.DUMMYFUNCTION("""COMPUTED_VALUE"""),7971.0)</f>
        <v>7971</v>
      </c>
      <c r="C841" t="str">
        <f>IFERROR(__xludf.DUMMYFUNCTION("""COMPUTED_VALUE"""),"Dye Powdered Fabric Dye, White Wash, 1 7/8-Ounce")</f>
        <v>Dye Powdered Fabric Dye, White Wash, 1 7/8-Ounce</v>
      </c>
      <c r="D841" t="str">
        <f>IFERROR(__xludf.DUMMYFUNCTION("""COMPUTED_VALUE"""),"B005JQNHPU")</f>
        <v>B005JQNHPU</v>
      </c>
      <c r="E841" t="str">
        <f>IFERROR(__xludf.DUMMYFUNCTION("""COMPUTED_VALUE"""),"885967836509")</f>
        <v>885967836509</v>
      </c>
      <c r="F841">
        <f>IFERROR(__xludf.DUMMYFUNCTION("""COMPUTED_VALUE"""),576.0)</f>
        <v>576</v>
      </c>
      <c r="G841">
        <f>IFERROR(__xludf.DUMMYFUNCTION("""COMPUTED_VALUE"""),5000.0)</f>
        <v>5000</v>
      </c>
      <c r="H841" s="2">
        <f>IFERROR(__xludf.DUMMYFUNCTION("""COMPUTED_VALUE"""),2.25)</f>
        <v>2.25</v>
      </c>
      <c r="I841" s="2">
        <f>IFERROR(__xludf.DUMMYFUNCTION("""COMPUTED_VALUE"""),2.97)</f>
        <v>2.97</v>
      </c>
      <c r="J841" s="2">
        <f>IFERROR(__xludf.DUMMYFUNCTION("""COMPUTED_VALUE"""),0.7200000000000002)</f>
        <v>0.72</v>
      </c>
      <c r="K841" s="5">
        <f>IFERROR(__xludf.DUMMYFUNCTION("""COMPUTED_VALUE"""),0.32000000000000006)</f>
        <v>0.32</v>
      </c>
      <c r="L841">
        <f>IFERROR(__xludf.DUMMYFUNCTION("""COMPUTED_VALUE"""),31737.0)</f>
        <v>31737</v>
      </c>
      <c r="M841" t="str">
        <f>IFERROR(__xludf.DUMMYFUNCTION("""COMPUTED_VALUE"""),"Home")</f>
        <v>Home</v>
      </c>
      <c r="O841" t="str">
        <f>IFERROR(__xludf.DUMMYFUNCTION("""COMPUTED_VALUE"""),"N")</f>
        <v>N</v>
      </c>
      <c r="P841" s="1" t="str">
        <f>IFERROR(__xludf.DUMMYFUNCTION("""COMPUTED_VALUE"""),"ID 7971")</f>
        <v>ID 7971</v>
      </c>
      <c r="Q841" s="1" t="str">
        <f>IFERROR(__xludf.DUMMYFUNCTION("""COMPUTED_VALUE"""),"B005JQNHPU")</f>
        <v>B005JQNHPU</v>
      </c>
    </row>
    <row r="842">
      <c r="A842" s="6">
        <f>IFERROR(__xludf.DUMMYFUNCTION("""COMPUTED_VALUE"""),45142.0)</f>
        <v>45142</v>
      </c>
      <c r="B842">
        <f>IFERROR(__xludf.DUMMYFUNCTION("""COMPUTED_VALUE"""),11047.0)</f>
        <v>11047</v>
      </c>
      <c r="C842" t="str">
        <f>IFERROR(__xludf.DUMMYFUNCTION("""COMPUTED_VALUE"""),"Charlie Blue by Revlon for Women 3.4 oz Eau de Toilette Spray")</f>
        <v>Charlie Blue by Revlon for Women 3.4 oz Eau de Toilette Spray</v>
      </c>
      <c r="D842" t="str">
        <f>IFERROR(__xludf.DUMMYFUNCTION("""COMPUTED_VALUE"""),"B000C21A7I")</f>
        <v>B000C21A7I</v>
      </c>
      <c r="E842" t="str">
        <f>IFERROR(__xludf.DUMMYFUNCTION("""COMPUTED_VALUE"""),"5000386004628")</f>
        <v>5000386004628</v>
      </c>
      <c r="F842">
        <f>IFERROR(__xludf.DUMMYFUNCTION("""COMPUTED_VALUE"""),310.0)</f>
        <v>310</v>
      </c>
      <c r="G842">
        <f>IFERROR(__xludf.DUMMYFUNCTION("""COMPUTED_VALUE"""),10000.0)</f>
        <v>10000</v>
      </c>
      <c r="H842" s="2">
        <f>IFERROR(__xludf.DUMMYFUNCTION("""COMPUTED_VALUE"""),4.0)</f>
        <v>4</v>
      </c>
      <c r="I842" s="2">
        <f>IFERROR(__xludf.DUMMYFUNCTION("""COMPUTED_VALUE"""),4.72)</f>
        <v>4.72</v>
      </c>
      <c r="J842" s="2">
        <f>IFERROR(__xludf.DUMMYFUNCTION("""COMPUTED_VALUE"""),0.7199999999999998)</f>
        <v>0.72</v>
      </c>
      <c r="K842" s="5">
        <f>IFERROR(__xludf.DUMMYFUNCTION("""COMPUTED_VALUE"""),0.17999999999999994)</f>
        <v>0.18</v>
      </c>
      <c r="L842">
        <f>IFERROR(__xludf.DUMMYFUNCTION("""COMPUTED_VALUE"""),16964.0)</f>
        <v>16964</v>
      </c>
      <c r="M842" t="str">
        <f>IFERROR(__xludf.DUMMYFUNCTION("""COMPUTED_VALUE"""),"Beauty")</f>
        <v>Beauty</v>
      </c>
      <c r="O842" t="str">
        <f>IFERROR(__xludf.DUMMYFUNCTION("""COMPUTED_VALUE"""),"N")</f>
        <v>N</v>
      </c>
      <c r="P842" s="1" t="str">
        <f>IFERROR(__xludf.DUMMYFUNCTION("""COMPUTED_VALUE"""),"ID 11047")</f>
        <v>ID 11047</v>
      </c>
      <c r="Q842" s="1" t="str">
        <f>IFERROR(__xludf.DUMMYFUNCTION("""COMPUTED_VALUE"""),"B000C21A7I")</f>
        <v>B000C21A7I</v>
      </c>
    </row>
    <row r="843">
      <c r="A843" s="6">
        <f>IFERROR(__xludf.DUMMYFUNCTION("""COMPUTED_VALUE"""),45376.0)</f>
        <v>45376</v>
      </c>
      <c r="B843">
        <f>IFERROR(__xludf.DUMMYFUNCTION("""COMPUTED_VALUE"""),17061.0)</f>
        <v>17061</v>
      </c>
      <c r="C843" t="str">
        <f>IFERROR(__xludf.DUMMYFUNCTION("""COMPUTED_VALUE"""),"PRANG Refill Pans for Oval Watercolor Paint Set, 12 Pans per Box, White (00809)")</f>
        <v>PRANG Refill Pans for Oval Watercolor Paint Set, 12 Pans per Box, White (00809)</v>
      </c>
      <c r="D843" t="str">
        <f>IFERROR(__xludf.DUMMYFUNCTION("""COMPUTED_VALUE"""),"B000F8XBWQ")</f>
        <v>B000F8XBWQ</v>
      </c>
      <c r="E843" t="str">
        <f>IFERROR(__xludf.DUMMYFUNCTION("""COMPUTED_VALUE"""),"072067008091")</f>
        <v>072067008091</v>
      </c>
      <c r="F843">
        <f>IFERROR(__xludf.DUMMYFUNCTION("""COMPUTED_VALUE"""),816.0)</f>
        <v>816</v>
      </c>
      <c r="G843">
        <f>IFERROR(__xludf.DUMMYFUNCTION("""COMPUTED_VALUE"""),10000.0)</f>
        <v>10000</v>
      </c>
      <c r="H843" s="2">
        <f>IFERROR(__xludf.DUMMYFUNCTION("""COMPUTED_VALUE"""),4.5)</f>
        <v>4.5</v>
      </c>
      <c r="I843" s="2">
        <f>IFERROR(__xludf.DUMMYFUNCTION("""COMPUTED_VALUE"""),5.22)</f>
        <v>5.22</v>
      </c>
      <c r="J843" s="2">
        <f>IFERROR(__xludf.DUMMYFUNCTION("""COMPUTED_VALUE"""),0.7199999999999998)</f>
        <v>0.72</v>
      </c>
      <c r="K843" s="5">
        <f>IFERROR(__xludf.DUMMYFUNCTION("""COMPUTED_VALUE"""),0.15999999999999995)</f>
        <v>0.16</v>
      </c>
      <c r="L843">
        <f>IFERROR(__xludf.DUMMYFUNCTION("""COMPUTED_VALUE"""),19115.0)</f>
        <v>19115</v>
      </c>
      <c r="M843" t="str">
        <f>IFERROR(__xludf.DUMMYFUNCTION("""COMPUTED_VALUE"""),"Office Product")</f>
        <v>Office Product</v>
      </c>
      <c r="O843" t="str">
        <f>IFERROR(__xludf.DUMMYFUNCTION("""COMPUTED_VALUE"""),"Y")</f>
        <v>Y</v>
      </c>
      <c r="P843" s="1" t="str">
        <f>IFERROR(__xludf.DUMMYFUNCTION("""COMPUTED_VALUE"""),"ID 17061")</f>
        <v>ID 17061</v>
      </c>
      <c r="Q843" s="1" t="str">
        <f>IFERROR(__xludf.DUMMYFUNCTION("""COMPUTED_VALUE"""),"B000F8XBWQ")</f>
        <v>B000F8XBWQ</v>
      </c>
    </row>
    <row r="844">
      <c r="A844" s="6">
        <f>IFERROR(__xludf.DUMMYFUNCTION("""COMPUTED_VALUE"""),44763.0)</f>
        <v>44763</v>
      </c>
      <c r="B844">
        <f>IFERROR(__xludf.DUMMYFUNCTION("""COMPUTED_VALUE"""),18251.0)</f>
        <v>18251</v>
      </c>
      <c r="C844" t="str">
        <f>IFERROR(__xludf.DUMMYFUNCTION("""COMPUTED_VALUE"""),"Satco S1926 500 Watt 9500 Lumens T3 Halogen Double Ended R7S Base 130 Volt Clear 118mm Light Bulb, Dimmable")</f>
        <v>Satco S1926 500 Watt 9500 Lumens T3 Halogen Double Ended R7S Base 130 Volt Clear 118mm Light Bulb, Dimmable</v>
      </c>
      <c r="D844" t="str">
        <f>IFERROR(__xludf.DUMMYFUNCTION("""COMPUTED_VALUE"""),"B002OMHG04")</f>
        <v>B002OMHG04</v>
      </c>
      <c r="E844" t="str">
        <f>IFERROR(__xludf.DUMMYFUNCTION("""COMPUTED_VALUE"""),"045923019265")</f>
        <v>045923019265</v>
      </c>
      <c r="F844">
        <f>IFERROR(__xludf.DUMMYFUNCTION("""COMPUTED_VALUE"""),984.0)</f>
        <v>984</v>
      </c>
      <c r="G844">
        <f>IFERROR(__xludf.DUMMYFUNCTION("""COMPUTED_VALUE"""),5000.0)</f>
        <v>5000</v>
      </c>
      <c r="H844" s="2">
        <f>IFERROR(__xludf.DUMMYFUNCTION("""COMPUTED_VALUE"""),1.5)</f>
        <v>1.5</v>
      </c>
      <c r="I844" s="2">
        <f>IFERROR(__xludf.DUMMYFUNCTION("""COMPUTED_VALUE"""),2.22)</f>
        <v>2.22</v>
      </c>
      <c r="J844" s="2">
        <f>IFERROR(__xludf.DUMMYFUNCTION("""COMPUTED_VALUE"""),0.7200000000000002)</f>
        <v>0.72</v>
      </c>
      <c r="K844" s="5">
        <f>IFERROR(__xludf.DUMMYFUNCTION("""COMPUTED_VALUE"""),0.48000000000000015)</f>
        <v>0.48</v>
      </c>
      <c r="L844">
        <f>IFERROR(__xludf.DUMMYFUNCTION("""COMPUTED_VALUE"""),10360.0)</f>
        <v>10360</v>
      </c>
      <c r="M844" t="str">
        <f>IFERROR(__xludf.DUMMYFUNCTION("""COMPUTED_VALUE"""),"Home Improvement")</f>
        <v>Home Improvement</v>
      </c>
      <c r="O844" t="str">
        <f>IFERROR(__xludf.DUMMYFUNCTION("""COMPUTED_VALUE"""),"Y")</f>
        <v>Y</v>
      </c>
      <c r="P844" s="1" t="str">
        <f>IFERROR(__xludf.DUMMYFUNCTION("""COMPUTED_VALUE"""),"ID 18251")</f>
        <v>ID 18251</v>
      </c>
      <c r="Q844" s="1" t="str">
        <f>IFERROR(__xludf.DUMMYFUNCTION("""COMPUTED_VALUE"""),"B002OMHG04")</f>
        <v>B002OMHG04</v>
      </c>
    </row>
    <row r="845">
      <c r="A845" s="6">
        <f>IFERROR(__xludf.DUMMYFUNCTION("""COMPUTED_VALUE"""),45166.0)</f>
        <v>45166</v>
      </c>
      <c r="B845">
        <f>IFERROR(__xludf.DUMMYFUNCTION("""COMPUTED_VALUE"""),18433.0)</f>
        <v>18433</v>
      </c>
      <c r="C845" t="str">
        <f>IFERROR(__xludf.DUMMYFUNCTION("""COMPUTED_VALUE"""),"Cardinal Mini Round Ring Binder, 1-Inch, 8-1/2-Inch x 5-1/2-Inch, Black (07201)")</f>
        <v>Cardinal Mini Round Ring Binder, 1-Inch, 8-1/2-Inch x 5-1/2-Inch, Black (07201)</v>
      </c>
      <c r="D845" t="str">
        <f>IFERROR(__xludf.DUMMYFUNCTION("""COMPUTED_VALUE"""),"B00342VDZM")</f>
        <v>B00342VDZM</v>
      </c>
      <c r="E845" t="str">
        <f>IFERROR(__xludf.DUMMYFUNCTION("""COMPUTED_VALUE"""),"083086072017")</f>
        <v>083086072017</v>
      </c>
      <c r="F845">
        <f>IFERROR(__xludf.DUMMYFUNCTION("""COMPUTED_VALUE"""),600.0)</f>
        <v>600</v>
      </c>
      <c r="G845">
        <f>IFERROR(__xludf.DUMMYFUNCTION("""COMPUTED_VALUE"""),10000.0)</f>
        <v>10000</v>
      </c>
      <c r="H845" s="2">
        <f>IFERROR(__xludf.DUMMYFUNCTION("""COMPUTED_VALUE"""),4.0)</f>
        <v>4</v>
      </c>
      <c r="I845" s="2">
        <f>IFERROR(__xludf.DUMMYFUNCTION("""COMPUTED_VALUE"""),4.72)</f>
        <v>4.72</v>
      </c>
      <c r="J845" s="2">
        <f>IFERROR(__xludf.DUMMYFUNCTION("""COMPUTED_VALUE"""),0.7199999999999998)</f>
        <v>0.72</v>
      </c>
      <c r="K845" s="5">
        <f>IFERROR(__xludf.DUMMYFUNCTION("""COMPUTED_VALUE"""),0.17999999999999994)</f>
        <v>0.18</v>
      </c>
      <c r="L845">
        <f>IFERROR(__xludf.DUMMYFUNCTION("""COMPUTED_VALUE"""),15550.0)</f>
        <v>15550</v>
      </c>
      <c r="M845" t="str">
        <f>IFERROR(__xludf.DUMMYFUNCTION("""COMPUTED_VALUE"""),"Office Product")</f>
        <v>Office Product</v>
      </c>
      <c r="O845" t="str">
        <f>IFERROR(__xludf.DUMMYFUNCTION("""COMPUTED_VALUE"""),"Y")</f>
        <v>Y</v>
      </c>
      <c r="P845" s="1" t="str">
        <f>IFERROR(__xludf.DUMMYFUNCTION("""COMPUTED_VALUE"""),"ID 18433")</f>
        <v>ID 18433</v>
      </c>
      <c r="Q845" s="1" t="str">
        <f>IFERROR(__xludf.DUMMYFUNCTION("""COMPUTED_VALUE"""),"B00342VDZM")</f>
        <v>B00342VDZM</v>
      </c>
    </row>
    <row r="846">
      <c r="A846" s="6">
        <f>IFERROR(__xludf.DUMMYFUNCTION("""COMPUTED_VALUE"""),45113.0)</f>
        <v>45113</v>
      </c>
      <c r="B846">
        <f>IFERROR(__xludf.DUMMYFUNCTION("""COMPUTED_VALUE"""),24606.0)</f>
        <v>24606</v>
      </c>
      <c r="C846" t="str">
        <f>IFERROR(__xludf.DUMMYFUNCTION("""COMPUTED_VALUE"""),"rOtring Mechanical Pencil Tikky, Blue, 0.5mm (S0770560)")</f>
        <v>rOtring Mechanical Pencil Tikky, Blue, 0.5mm (S0770560)</v>
      </c>
      <c r="D846" t="str">
        <f>IFERROR(__xludf.DUMMYFUNCTION("""COMPUTED_VALUE"""),"B00138LXFY")</f>
        <v>B00138LXFY</v>
      </c>
      <c r="E846" t="str">
        <f>IFERROR(__xludf.DUMMYFUNCTION("""COMPUTED_VALUE"""),"3501170770566")</f>
        <v>3501170770566</v>
      </c>
      <c r="F846">
        <f>IFERROR(__xludf.DUMMYFUNCTION("""COMPUTED_VALUE"""),720.0)</f>
        <v>720</v>
      </c>
      <c r="G846">
        <f>IFERROR(__xludf.DUMMYFUNCTION("""COMPUTED_VALUE"""),10000.0)</f>
        <v>10000</v>
      </c>
      <c r="H846" s="2">
        <f>IFERROR(__xludf.DUMMYFUNCTION("""COMPUTED_VALUE"""),4.0)</f>
        <v>4</v>
      </c>
      <c r="I846" s="2">
        <f>IFERROR(__xludf.DUMMYFUNCTION("""COMPUTED_VALUE"""),4.72)</f>
        <v>4.72</v>
      </c>
      <c r="J846" s="2">
        <f>IFERROR(__xludf.DUMMYFUNCTION("""COMPUTED_VALUE"""),0.7199999999999998)</f>
        <v>0.72</v>
      </c>
      <c r="K846" s="5">
        <f>IFERROR(__xludf.DUMMYFUNCTION("""COMPUTED_VALUE"""),0.17999999999999994)</f>
        <v>0.18</v>
      </c>
      <c r="L846">
        <f>IFERROR(__xludf.DUMMYFUNCTION("""COMPUTED_VALUE"""),34892.0)</f>
        <v>34892</v>
      </c>
      <c r="M846" t="str">
        <f>IFERROR(__xludf.DUMMYFUNCTION("""COMPUTED_VALUE"""),"Office Product")</f>
        <v>Office Product</v>
      </c>
      <c r="O846" t="str">
        <f>IFERROR(__xludf.DUMMYFUNCTION("""COMPUTED_VALUE"""),"N")</f>
        <v>N</v>
      </c>
      <c r="P846" s="1" t="str">
        <f>IFERROR(__xludf.DUMMYFUNCTION("""COMPUTED_VALUE"""),"ID 24606")</f>
        <v>ID 24606</v>
      </c>
      <c r="Q846" s="1" t="str">
        <f>IFERROR(__xludf.DUMMYFUNCTION("""COMPUTED_VALUE"""),"B00138LXFY")</f>
        <v>B00138LXFY</v>
      </c>
    </row>
    <row r="847">
      <c r="A847" s="6">
        <f>IFERROR(__xludf.DUMMYFUNCTION("""COMPUTED_VALUE"""),45113.0)</f>
        <v>45113</v>
      </c>
      <c r="B847">
        <f>IFERROR(__xludf.DUMMYFUNCTION("""COMPUTED_VALUE"""),24957.0)</f>
        <v>24957</v>
      </c>
      <c r="C847" t="str">
        <f>IFERROR(__xludf.DUMMYFUNCTION("""COMPUTED_VALUE"""),"Elmer’s CraftBond Less Mess All-Temp Mini Glue Sticks, 4” x 0.27”, 1 Packs of 24")</f>
        <v>Elmer’s CraftBond Less Mess All-Temp Mini Glue Sticks, 4” x 0.27”, 1 Packs of 24</v>
      </c>
      <c r="D847" t="str">
        <f>IFERROR(__xludf.DUMMYFUNCTION("""COMPUTED_VALUE"""),"B00ZPW9ZCM")</f>
        <v>B00ZPW9ZCM</v>
      </c>
      <c r="E847" t="str">
        <f>IFERROR(__xludf.DUMMYFUNCTION("""COMPUTED_VALUE"""),"026000060554")</f>
        <v>026000060554</v>
      </c>
      <c r="F847">
        <f>IFERROR(__xludf.DUMMYFUNCTION("""COMPUTED_VALUE"""),800.0)</f>
        <v>800</v>
      </c>
      <c r="G847">
        <f>IFERROR(__xludf.DUMMYFUNCTION("""COMPUTED_VALUE"""),10000.0)</f>
        <v>10000</v>
      </c>
      <c r="H847" s="2">
        <f>IFERROR(__xludf.DUMMYFUNCTION("""COMPUTED_VALUE"""),4.0)</f>
        <v>4</v>
      </c>
      <c r="I847" s="2">
        <f>IFERROR(__xludf.DUMMYFUNCTION("""COMPUTED_VALUE"""),4.72)</f>
        <v>4.72</v>
      </c>
      <c r="J847" s="2">
        <f>IFERROR(__xludf.DUMMYFUNCTION("""COMPUTED_VALUE"""),0.7199999999999998)</f>
        <v>0.72</v>
      </c>
      <c r="K847" s="5">
        <f>IFERROR(__xludf.DUMMYFUNCTION("""COMPUTED_VALUE"""),0.17999999999999994)</f>
        <v>0.18</v>
      </c>
      <c r="L847">
        <f>IFERROR(__xludf.DUMMYFUNCTION("""COMPUTED_VALUE"""),82486.0)</f>
        <v>82486</v>
      </c>
      <c r="M847" t="str">
        <f>IFERROR(__xludf.DUMMYFUNCTION("""COMPUTED_VALUE"""),"Office Product")</f>
        <v>Office Product</v>
      </c>
      <c r="O847" t="str">
        <f>IFERROR(__xludf.DUMMYFUNCTION("""COMPUTED_VALUE"""),"N")</f>
        <v>N</v>
      </c>
      <c r="P847" s="1" t="str">
        <f>IFERROR(__xludf.DUMMYFUNCTION("""COMPUTED_VALUE"""),"ID 24957")</f>
        <v>ID 24957</v>
      </c>
      <c r="Q847" s="1" t="str">
        <f>IFERROR(__xludf.DUMMYFUNCTION("""COMPUTED_VALUE"""),"B00ZPW9ZCM")</f>
        <v>B00ZPW9ZCM</v>
      </c>
    </row>
    <row r="848">
      <c r="A848" s="6">
        <f>IFERROR(__xludf.DUMMYFUNCTION("""COMPUTED_VALUE"""),44458.0)</f>
        <v>44458</v>
      </c>
      <c r="B848">
        <f>IFERROR(__xludf.DUMMYFUNCTION("""COMPUTED_VALUE"""),18494.0)</f>
        <v>18494</v>
      </c>
      <c r="C848" t="str">
        <f>IFERROR(__xludf.DUMMYFUNCTION("""COMPUTED_VALUE"""),"Quality Park 38736 Fashion Color Clasp Envelope, 9 x 12, 28lb, Yellow (Pack of 10)")</f>
        <v>Quality Park 38736 Fashion Color Clasp Envelope, 9 x 12, 28lb, Yellow (Pack of 10)</v>
      </c>
      <c r="D848" t="str">
        <f>IFERROR(__xludf.DUMMYFUNCTION("""COMPUTED_VALUE"""),"B0013NRHYU")</f>
        <v>B0013NRHYU</v>
      </c>
      <c r="E848" t="str">
        <f>IFERROR(__xludf.DUMMYFUNCTION("""COMPUTED_VALUE"""),"85227387363")</f>
        <v>85227387363</v>
      </c>
      <c r="F848">
        <f>IFERROR(__xludf.DUMMYFUNCTION("""COMPUTED_VALUE"""),300.0)</f>
        <v>300</v>
      </c>
      <c r="G848">
        <f>IFERROR(__xludf.DUMMYFUNCTION("""COMPUTED_VALUE"""),5000.0)</f>
        <v>5000</v>
      </c>
      <c r="H848" s="2">
        <f>IFERROR(__xludf.DUMMYFUNCTION("""COMPUTED_VALUE"""),9.5)</f>
        <v>9.5</v>
      </c>
      <c r="I848" s="2">
        <f>IFERROR(__xludf.DUMMYFUNCTION("""COMPUTED_VALUE"""),10.21)</f>
        <v>10.21</v>
      </c>
      <c r="J848" s="2">
        <f>IFERROR(__xludf.DUMMYFUNCTION("""COMPUTED_VALUE"""),0.7100000000000009)</f>
        <v>0.71</v>
      </c>
      <c r="K848" s="5">
        <f>IFERROR(__xludf.DUMMYFUNCTION("""COMPUTED_VALUE"""),0.07473684210526325)</f>
        <v>0.07473684211</v>
      </c>
      <c r="L848">
        <f>IFERROR(__xludf.DUMMYFUNCTION("""COMPUTED_VALUE"""),56609.0)</f>
        <v>56609</v>
      </c>
      <c r="M848" t="str">
        <f>IFERROR(__xludf.DUMMYFUNCTION("""COMPUTED_VALUE"""),"Office Product")</f>
        <v>Office Product</v>
      </c>
      <c r="O848" t="str">
        <f>IFERROR(__xludf.DUMMYFUNCTION("""COMPUTED_VALUE"""),"N")</f>
        <v>N</v>
      </c>
      <c r="P848" s="1" t="str">
        <f>IFERROR(__xludf.DUMMYFUNCTION("""COMPUTED_VALUE"""),"ID 18494")</f>
        <v>ID 18494</v>
      </c>
      <c r="Q848" s="1" t="str">
        <f>IFERROR(__xludf.DUMMYFUNCTION("""COMPUTED_VALUE"""),"B0013NRHYU")</f>
        <v>B0013NRHYU</v>
      </c>
    </row>
    <row r="849">
      <c r="A849" s="6">
        <f>IFERROR(__xludf.DUMMYFUNCTION("""COMPUTED_VALUE"""),45160.0)</f>
        <v>45160</v>
      </c>
      <c r="B849">
        <f>IFERROR(__xludf.DUMMYFUNCTION("""COMPUTED_VALUE"""),21986.0)</f>
        <v>21986</v>
      </c>
      <c r="C849" t="str">
        <f>IFERROR(__xludf.DUMMYFUNCTION("""COMPUTED_VALUE"""),"Arrow Home Products Ultra Beverage Dispenser, 2-Gallon,Clear-White Top/Spigot")</f>
        <v>Arrow Home Products Ultra Beverage Dispenser, 2-Gallon,Clear-White Top/Spigot</v>
      </c>
      <c r="D849" t="str">
        <f>IFERROR(__xludf.DUMMYFUNCTION("""COMPUTED_VALUE"""),"B00G05AFYA")</f>
        <v>B00G05AFYA</v>
      </c>
      <c r="E849" t="str">
        <f>IFERROR(__xludf.DUMMYFUNCTION("""COMPUTED_VALUE"""),"070652007634")</f>
        <v>070652007634</v>
      </c>
      <c r="F849">
        <f>IFERROR(__xludf.DUMMYFUNCTION("""COMPUTED_VALUE"""),144.0)</f>
        <v>144</v>
      </c>
      <c r="G849">
        <f>IFERROR(__xludf.DUMMYFUNCTION("""COMPUTED_VALUE"""),10000.0)</f>
        <v>10000</v>
      </c>
      <c r="H849" s="2">
        <f>IFERROR(__xludf.DUMMYFUNCTION("""COMPUTED_VALUE"""),9.25)</f>
        <v>9.25</v>
      </c>
      <c r="I849" s="2">
        <f>IFERROR(__xludf.DUMMYFUNCTION("""COMPUTED_VALUE"""),9.96)</f>
        <v>9.96</v>
      </c>
      <c r="J849" s="2">
        <f>IFERROR(__xludf.DUMMYFUNCTION("""COMPUTED_VALUE"""),0.7100000000000009)</f>
        <v>0.71</v>
      </c>
      <c r="K849" s="5">
        <f>IFERROR(__xludf.DUMMYFUNCTION("""COMPUTED_VALUE"""),0.07675675675675685)</f>
        <v>0.07675675676</v>
      </c>
      <c r="L849">
        <f>IFERROR(__xludf.DUMMYFUNCTION("""COMPUTED_VALUE"""),12505.0)</f>
        <v>12505</v>
      </c>
      <c r="M849" t="str">
        <f>IFERROR(__xludf.DUMMYFUNCTION("""COMPUTED_VALUE"""),"Kitchen")</f>
        <v>Kitchen</v>
      </c>
      <c r="N849" t="str">
        <f>IFERROR(__xludf.DUMMYFUNCTION("""COMPUTED_VALUE"""),"Restricted for online resale")</f>
        <v>Restricted for online resale</v>
      </c>
      <c r="O849" t="str">
        <f>IFERROR(__xludf.DUMMYFUNCTION("""COMPUTED_VALUE"""),"N")</f>
        <v>N</v>
      </c>
      <c r="P849" s="1" t="str">
        <f>IFERROR(__xludf.DUMMYFUNCTION("""COMPUTED_VALUE"""),"ID 21986")</f>
        <v>ID 21986</v>
      </c>
      <c r="Q849" s="1" t="str">
        <f>IFERROR(__xludf.DUMMYFUNCTION("""COMPUTED_VALUE"""),"B00G05AFYA")</f>
        <v>B00G05AFYA</v>
      </c>
    </row>
    <row r="850">
      <c r="A850" s="6">
        <f>IFERROR(__xludf.DUMMYFUNCTION("""COMPUTED_VALUE"""),45429.0)</f>
        <v>45429</v>
      </c>
      <c r="B850">
        <f>IFERROR(__xludf.DUMMYFUNCTION("""COMPUTED_VALUE"""),22275.0)</f>
        <v>22275</v>
      </c>
      <c r="C850" t="str">
        <f>IFERROR(__xludf.DUMMYFUNCTION("""COMPUTED_VALUE"""),"Disney Sing It: Pop Hits - PlayStation 2")</f>
        <v>Disney Sing It: Pop Hits - PlayStation 2</v>
      </c>
      <c r="D850" t="str">
        <f>IFERROR(__xludf.DUMMYFUNCTION("""COMPUTED_VALUE"""),"B002I7A8IW")</f>
        <v>B002I7A8IW</v>
      </c>
      <c r="E850" t="str">
        <f>IFERROR(__xludf.DUMMYFUNCTION("""COMPUTED_VALUE"""),"712725018320")</f>
        <v>712725018320</v>
      </c>
      <c r="F850">
        <f>IFERROR(__xludf.DUMMYFUNCTION("""COMPUTED_VALUE"""),510.0)</f>
        <v>510</v>
      </c>
      <c r="G850">
        <f>IFERROR(__xludf.DUMMYFUNCTION("""COMPUTED_VALUE"""),1870.0)</f>
        <v>1870</v>
      </c>
      <c r="H850" s="2">
        <f>IFERROR(__xludf.DUMMYFUNCTION("""COMPUTED_VALUE"""),2.5)</f>
        <v>2.5</v>
      </c>
      <c r="I850" s="2">
        <f>IFERROR(__xludf.DUMMYFUNCTION("""COMPUTED_VALUE"""),3.21)</f>
        <v>3.21</v>
      </c>
      <c r="J850" s="2">
        <f>IFERROR(__xludf.DUMMYFUNCTION("""COMPUTED_VALUE"""),0.71)</f>
        <v>0.71</v>
      </c>
      <c r="K850" s="5">
        <f>IFERROR(__xludf.DUMMYFUNCTION("""COMPUTED_VALUE"""),0.284)</f>
        <v>0.284</v>
      </c>
      <c r="L850">
        <f>IFERROR(__xludf.DUMMYFUNCTION("""COMPUTED_VALUE"""),26143.0)</f>
        <v>26143</v>
      </c>
      <c r="M850" t="str">
        <f>IFERROR(__xludf.DUMMYFUNCTION("""COMPUTED_VALUE"""),"Video Games")</f>
        <v>Video Games</v>
      </c>
      <c r="O850" t="str">
        <f>IFERROR(__xludf.DUMMYFUNCTION("""COMPUTED_VALUE"""),"N")</f>
        <v>N</v>
      </c>
      <c r="P850" s="1" t="str">
        <f>IFERROR(__xludf.DUMMYFUNCTION("""COMPUTED_VALUE"""),"ID 22275")</f>
        <v>ID 22275</v>
      </c>
      <c r="Q850" s="1" t="str">
        <f>IFERROR(__xludf.DUMMYFUNCTION("""COMPUTED_VALUE"""),"B002I7A8IW")</f>
        <v>B002I7A8IW</v>
      </c>
    </row>
    <row r="851">
      <c r="A851" s="6">
        <f>IFERROR(__xludf.DUMMYFUNCTION("""COMPUTED_VALUE"""),44694.0)</f>
        <v>44694</v>
      </c>
      <c r="B851">
        <f>IFERROR(__xludf.DUMMYFUNCTION("""COMPUTED_VALUE"""),24781.0)</f>
        <v>24781</v>
      </c>
      <c r="C851" t="str">
        <f>IFERROR(__xludf.DUMMYFUNCTION("""COMPUTED_VALUE"""),"Duct Tape Woodgrain 10yd")</f>
        <v>Duct Tape Woodgrain 10yd</v>
      </c>
      <c r="D851" t="str">
        <f>IFERROR(__xludf.DUMMYFUNCTION("""COMPUTED_VALUE"""),"B0141QULJS")</f>
        <v>B0141QULJS</v>
      </c>
      <c r="E851" t="str">
        <f>IFERROR(__xludf.DUMMYFUNCTION("""COMPUTED_VALUE"""),"75353340189")</f>
        <v>75353340189</v>
      </c>
      <c r="F851">
        <f>IFERROR(__xludf.DUMMYFUNCTION("""COMPUTED_VALUE"""),336.0)</f>
        <v>336</v>
      </c>
      <c r="G851">
        <f>IFERROR(__xludf.DUMMYFUNCTION("""COMPUTED_VALUE"""),1000.0)</f>
        <v>1000</v>
      </c>
      <c r="H851" s="2">
        <f>IFERROR(__xludf.DUMMYFUNCTION("""COMPUTED_VALUE"""),3.75)</f>
        <v>3.75</v>
      </c>
      <c r="I851" s="2">
        <f>IFERROR(__xludf.DUMMYFUNCTION("""COMPUTED_VALUE"""),4.46)</f>
        <v>4.46</v>
      </c>
      <c r="J851" s="2">
        <f>IFERROR(__xludf.DUMMYFUNCTION("""COMPUTED_VALUE"""),0.71)</f>
        <v>0.71</v>
      </c>
      <c r="K851" s="5">
        <f>IFERROR(__xludf.DUMMYFUNCTION("""COMPUTED_VALUE"""),0.18933333333333333)</f>
        <v>0.1893333333</v>
      </c>
      <c r="L851">
        <f>IFERROR(__xludf.DUMMYFUNCTION("""COMPUTED_VALUE"""),16811.0)</f>
        <v>16811</v>
      </c>
      <c r="M851" t="str">
        <f>IFERROR(__xludf.DUMMYFUNCTION("""COMPUTED_VALUE"""),"Home Improvement")</f>
        <v>Home Improvement</v>
      </c>
      <c r="O851" t="str">
        <f>IFERROR(__xludf.DUMMYFUNCTION("""COMPUTED_VALUE"""),"N")</f>
        <v>N</v>
      </c>
      <c r="P851" s="1" t="str">
        <f>IFERROR(__xludf.DUMMYFUNCTION("""COMPUTED_VALUE"""),"ID 24781")</f>
        <v>ID 24781</v>
      </c>
      <c r="Q851" s="1" t="str">
        <f>IFERROR(__xludf.DUMMYFUNCTION("""COMPUTED_VALUE"""),"B0141QULJS")</f>
        <v>B0141QULJS</v>
      </c>
    </row>
    <row r="852">
      <c r="A852" s="6">
        <f>IFERROR(__xludf.DUMMYFUNCTION("""COMPUTED_VALUE"""),45105.0)</f>
        <v>45105</v>
      </c>
      <c r="B852">
        <f>IFERROR(__xludf.DUMMYFUNCTION("""COMPUTED_VALUE"""),18426.0)</f>
        <v>18426</v>
      </c>
      <c r="C852" t="str">
        <f>IFERROR(__xludf.DUMMYFUNCTION("""COMPUTED_VALUE"""),"Adams All-Purpose Statement Book, 2-Part with Carbon, 5.56 x 8.44 Inches, White/Canary, 50 Sets per Book (25812)")</f>
        <v>Adams All-Purpose Statement Book, 2-Part with Carbon, 5.56 x 8.44 Inches, White/Canary, 50 Sets per Book (25812)</v>
      </c>
      <c r="D852" t="str">
        <f>IFERROR(__xludf.DUMMYFUNCTION("""COMPUTED_VALUE"""),"B004ZKXSGO")</f>
        <v>B004ZKXSGO</v>
      </c>
      <c r="E852" t="str">
        <f>IFERROR(__xludf.DUMMYFUNCTION("""COMPUTED_VALUE"""),"087958258127")</f>
        <v>087958258127</v>
      </c>
      <c r="F852">
        <f>IFERROR(__xludf.DUMMYFUNCTION("""COMPUTED_VALUE"""),970.0)</f>
        <v>970</v>
      </c>
      <c r="G852">
        <f>IFERROR(__xludf.DUMMYFUNCTION("""COMPUTED_VALUE"""),10000.0)</f>
        <v>10000</v>
      </c>
      <c r="H852" s="2">
        <f>IFERROR(__xludf.DUMMYFUNCTION("""COMPUTED_VALUE"""),2.5)</f>
        <v>2.5</v>
      </c>
      <c r="I852" s="2">
        <f>IFERROR(__xludf.DUMMYFUNCTION("""COMPUTED_VALUE"""),3.2)</f>
        <v>3.2</v>
      </c>
      <c r="J852" s="2">
        <f>IFERROR(__xludf.DUMMYFUNCTION("""COMPUTED_VALUE"""),0.7000000000000002)</f>
        <v>0.7</v>
      </c>
      <c r="K852" s="5">
        <f>IFERROR(__xludf.DUMMYFUNCTION("""COMPUTED_VALUE"""),0.2800000000000001)</f>
        <v>0.28</v>
      </c>
      <c r="L852">
        <f>IFERROR(__xludf.DUMMYFUNCTION("""COMPUTED_VALUE"""),21213.0)</f>
        <v>21213</v>
      </c>
      <c r="M852" t="str">
        <f>IFERROR(__xludf.DUMMYFUNCTION("""COMPUTED_VALUE"""),"Office Product")</f>
        <v>Office Product</v>
      </c>
      <c r="O852" t="str">
        <f>IFERROR(__xludf.DUMMYFUNCTION("""COMPUTED_VALUE"""),"Y")</f>
        <v>Y</v>
      </c>
      <c r="P852" s="1" t="str">
        <f>IFERROR(__xludf.DUMMYFUNCTION("""COMPUTED_VALUE"""),"ID 18426")</f>
        <v>ID 18426</v>
      </c>
      <c r="Q852" s="1" t="str">
        <f>IFERROR(__xludf.DUMMYFUNCTION("""COMPUTED_VALUE"""),"B004ZKXSGO")</f>
        <v>B004ZKXSGO</v>
      </c>
    </row>
    <row r="853">
      <c r="A853" s="6">
        <f>IFERROR(__xludf.DUMMYFUNCTION("""COMPUTED_VALUE"""),44656.0)</f>
        <v>44656</v>
      </c>
      <c r="B853">
        <f>IFERROR(__xludf.DUMMYFUNCTION("""COMPUTED_VALUE"""),21694.0)</f>
        <v>21694</v>
      </c>
      <c r="C853" t="str">
        <f>IFERROR(__xludf.DUMMYFUNCTION("""COMPUTED_VALUE"""),"Cardinal Cardinal Nonstick Round -Ring Vue Binders (CRD67124)")</f>
        <v>Cardinal Cardinal Nonstick Round -Ring Vue Binders (CRD67124)</v>
      </c>
      <c r="D853" t="str">
        <f>IFERROR(__xludf.DUMMYFUNCTION("""COMPUTED_VALUE"""),"B004ZKXDCS")</f>
        <v>B004ZKXDCS</v>
      </c>
      <c r="E853" t="str">
        <f>IFERROR(__xludf.DUMMYFUNCTION("""COMPUTED_VALUE"""),"083086671241")</f>
        <v>083086671241</v>
      </c>
      <c r="F853">
        <f>IFERROR(__xludf.DUMMYFUNCTION("""COMPUTED_VALUE"""),816.0)</f>
        <v>816</v>
      </c>
      <c r="G853">
        <f>IFERROR(__xludf.DUMMYFUNCTION("""COMPUTED_VALUE"""),5000.0)</f>
        <v>5000</v>
      </c>
      <c r="H853" s="2">
        <f>IFERROR(__xludf.DUMMYFUNCTION("""COMPUTED_VALUE"""),3.0)</f>
        <v>3</v>
      </c>
      <c r="I853" s="2">
        <f>IFERROR(__xludf.DUMMYFUNCTION("""COMPUTED_VALUE"""),3.7)</f>
        <v>3.7</v>
      </c>
      <c r="J853" s="2">
        <f>IFERROR(__xludf.DUMMYFUNCTION("""COMPUTED_VALUE"""),0.7000000000000002)</f>
        <v>0.7</v>
      </c>
      <c r="K853" s="5">
        <f>IFERROR(__xludf.DUMMYFUNCTION("""COMPUTED_VALUE"""),0.2333333333333334)</f>
        <v>0.2333333333</v>
      </c>
      <c r="L853">
        <f>IFERROR(__xludf.DUMMYFUNCTION("""COMPUTED_VALUE"""),16494.0)</f>
        <v>16494</v>
      </c>
      <c r="M853" t="str">
        <f>IFERROR(__xludf.DUMMYFUNCTION("""COMPUTED_VALUE"""),"Office Product")</f>
        <v>Office Product</v>
      </c>
      <c r="O853" t="str">
        <f>IFERROR(__xludf.DUMMYFUNCTION("""COMPUTED_VALUE"""),"N")</f>
        <v>N</v>
      </c>
      <c r="P853" s="1" t="str">
        <f>IFERROR(__xludf.DUMMYFUNCTION("""COMPUTED_VALUE"""),"ID 21694")</f>
        <v>ID 21694</v>
      </c>
      <c r="Q853" s="1" t="str">
        <f>IFERROR(__xludf.DUMMYFUNCTION("""COMPUTED_VALUE"""),"B004ZKXDCS")</f>
        <v>B004ZKXDCS</v>
      </c>
    </row>
    <row r="854">
      <c r="A854" s="6">
        <f>IFERROR(__xludf.DUMMYFUNCTION("""COMPUTED_VALUE"""),45351.0)</f>
        <v>45351</v>
      </c>
      <c r="B854">
        <f>IFERROR(__xludf.DUMMYFUNCTION("""COMPUTED_VALUE"""),22180.0)</f>
        <v>22180</v>
      </c>
      <c r="C854" t="str">
        <f>IFERROR(__xludf.DUMMYFUNCTION("""COMPUTED_VALUE"""),"Alliance Rubber 26334 Advantage Rubber Bands Size #33, 1 lb Bag Contains Approx. 600 Bands (3 1/2"" x 1/8"", Natural Crepe)")</f>
        <v>Alliance Rubber 26334 Advantage Rubber Bands Size #33, 1 lb Bag Contains Approx. 600 Bands (3 1/2" x 1/8", Natural Crepe)</v>
      </c>
      <c r="D854" t="str">
        <f>IFERROR(__xludf.DUMMYFUNCTION("""COMPUTED_VALUE"""),"B010HZ9QCK")</f>
        <v>B010HZ9QCK</v>
      </c>
      <c r="E854" t="str">
        <f>IFERROR(__xludf.DUMMYFUNCTION("""COMPUTED_VALUE"""),"071815263348")</f>
        <v>071815263348</v>
      </c>
      <c r="F854">
        <f>IFERROR(__xludf.DUMMYFUNCTION("""COMPUTED_VALUE"""),450.0)</f>
        <v>450</v>
      </c>
      <c r="G854">
        <f>IFERROR(__xludf.DUMMYFUNCTION("""COMPUTED_VALUE"""),10000.0)</f>
        <v>10000</v>
      </c>
      <c r="H854" s="2">
        <f>IFERROR(__xludf.DUMMYFUNCTION("""COMPUTED_VALUE"""),3.0)</f>
        <v>3</v>
      </c>
      <c r="I854" s="2">
        <f>IFERROR(__xludf.DUMMYFUNCTION("""COMPUTED_VALUE"""),3.7)</f>
        <v>3.7</v>
      </c>
      <c r="J854" s="2">
        <f>IFERROR(__xludf.DUMMYFUNCTION("""COMPUTED_VALUE"""),0.7000000000000002)</f>
        <v>0.7</v>
      </c>
      <c r="K854" s="5">
        <f>IFERROR(__xludf.DUMMYFUNCTION("""COMPUTED_VALUE"""),0.2333333333333334)</f>
        <v>0.2333333333</v>
      </c>
      <c r="L854">
        <f>IFERROR(__xludf.DUMMYFUNCTION("""COMPUTED_VALUE"""),1056.0)</f>
        <v>1056</v>
      </c>
      <c r="M854" t="str">
        <f>IFERROR(__xludf.DUMMYFUNCTION("""COMPUTED_VALUE"""),"Office Product")</f>
        <v>Office Product</v>
      </c>
      <c r="O854" t="str">
        <f>IFERROR(__xludf.DUMMYFUNCTION("""COMPUTED_VALUE"""),"Y")</f>
        <v>Y</v>
      </c>
      <c r="P854" s="1" t="str">
        <f>IFERROR(__xludf.DUMMYFUNCTION("""COMPUTED_VALUE"""),"ID 22180")</f>
        <v>ID 22180</v>
      </c>
      <c r="Q854" s="1" t="str">
        <f>IFERROR(__xludf.DUMMYFUNCTION("""COMPUTED_VALUE"""),"B010HZ9QCK")</f>
        <v>B010HZ9QCK</v>
      </c>
    </row>
    <row r="855">
      <c r="A855" s="6">
        <f>IFERROR(__xludf.DUMMYFUNCTION("""COMPUTED_VALUE"""),45383.0)</f>
        <v>45383</v>
      </c>
      <c r="B855">
        <f>IFERROR(__xludf.DUMMYFUNCTION("""COMPUTED_VALUE"""),23566.0)</f>
        <v>23566</v>
      </c>
      <c r="C855" t="str">
        <f>IFERROR(__xludf.DUMMYFUNCTION("""COMPUTED_VALUE"""),"uni-ball Vision Rollerball Pens, Micro Point (0.5mm), Black, 4 Count")</f>
        <v>uni-ball Vision Rollerball Pens, Micro Point (0.5mm), Black, 4 Count</v>
      </c>
      <c r="D855" t="str">
        <f>IFERROR(__xludf.DUMMYFUNCTION("""COMPUTED_VALUE"""),"B001PLKQ3O")</f>
        <v>B001PLKQ3O</v>
      </c>
      <c r="E855" t="str">
        <f>IFERROR(__xludf.DUMMYFUNCTION("""COMPUTED_VALUE"""),"030246600160")</f>
        <v>030246600160</v>
      </c>
      <c r="F855">
        <f>IFERROR(__xludf.DUMMYFUNCTION("""COMPUTED_VALUE"""),288.0)</f>
        <v>288</v>
      </c>
      <c r="G855">
        <f>IFERROR(__xludf.DUMMYFUNCTION("""COMPUTED_VALUE"""),10000.0)</f>
        <v>10000</v>
      </c>
      <c r="H855" s="2">
        <f>IFERROR(__xludf.DUMMYFUNCTION("""COMPUTED_VALUE"""),6.0)</f>
        <v>6</v>
      </c>
      <c r="I855" s="2">
        <f>IFERROR(__xludf.DUMMYFUNCTION("""COMPUTED_VALUE"""),6.7)</f>
        <v>6.7</v>
      </c>
      <c r="J855" s="2">
        <f>IFERROR(__xludf.DUMMYFUNCTION("""COMPUTED_VALUE"""),0.7000000000000002)</f>
        <v>0.7</v>
      </c>
      <c r="K855" s="5">
        <f>IFERROR(__xludf.DUMMYFUNCTION("""COMPUTED_VALUE"""),0.1166666666666667)</f>
        <v>0.1166666667</v>
      </c>
      <c r="L855">
        <f>IFERROR(__xludf.DUMMYFUNCTION("""COMPUTED_VALUE"""),44865.0)</f>
        <v>44865</v>
      </c>
      <c r="M855" t="str">
        <f>IFERROR(__xludf.DUMMYFUNCTION("""COMPUTED_VALUE"""),"Office Product")</f>
        <v>Office Product</v>
      </c>
      <c r="O855" t="str">
        <f>IFERROR(__xludf.DUMMYFUNCTION("""COMPUTED_VALUE"""),"Y")</f>
        <v>Y</v>
      </c>
      <c r="P855" s="1" t="str">
        <f>IFERROR(__xludf.DUMMYFUNCTION("""COMPUTED_VALUE"""),"ID 23566")</f>
        <v>ID 23566</v>
      </c>
      <c r="Q855" s="1" t="str">
        <f>IFERROR(__xludf.DUMMYFUNCTION("""COMPUTED_VALUE"""),"B001PLKQ3O")</f>
        <v>B001PLKQ3O</v>
      </c>
    </row>
    <row r="856">
      <c r="A856" s="6">
        <f>IFERROR(__xludf.DUMMYFUNCTION("""COMPUTED_VALUE"""),45362.0)</f>
        <v>45362</v>
      </c>
      <c r="B856">
        <f>IFERROR(__xludf.DUMMYFUNCTION("""COMPUTED_VALUE"""),11848.0)</f>
        <v>11848</v>
      </c>
      <c r="C856" t="str">
        <f>IFERROR(__xludf.DUMMYFUNCTION("""COMPUTED_VALUE"""),"Pentel R.S.V.P. Ballpoint Pen, Fine Line, Green Ink, 2 Pack  (BK90BP2D)")</f>
        <v>Pentel R.S.V.P. Ballpoint Pen, Fine Line, Green Ink, 2 Pack  (BK90BP2D)</v>
      </c>
      <c r="D856" t="str">
        <f>IFERROR(__xludf.DUMMYFUNCTION("""COMPUTED_VALUE"""),"B0042ET09W")</f>
        <v>B0042ET09W</v>
      </c>
      <c r="E856" t="str">
        <f>IFERROR(__xludf.DUMMYFUNCTION("""COMPUTED_VALUE"""),"072512070994")</f>
        <v>072512070994</v>
      </c>
      <c r="F856">
        <f>IFERROR(__xludf.DUMMYFUNCTION("""COMPUTED_VALUE"""),570.0)</f>
        <v>570</v>
      </c>
      <c r="G856">
        <f>IFERROR(__xludf.DUMMYFUNCTION("""COMPUTED_VALUE"""),10000.0)</f>
        <v>10000</v>
      </c>
      <c r="H856" s="2">
        <f>IFERROR(__xludf.DUMMYFUNCTION("""COMPUTED_VALUE"""),1.25)</f>
        <v>1.25</v>
      </c>
      <c r="I856" s="2">
        <f>IFERROR(__xludf.DUMMYFUNCTION("""COMPUTED_VALUE"""),1.95)</f>
        <v>1.95</v>
      </c>
      <c r="J856" s="2">
        <f>IFERROR(__xludf.DUMMYFUNCTION("""COMPUTED_VALUE"""),0.7)</f>
        <v>0.7</v>
      </c>
      <c r="K856" s="5">
        <f>IFERROR(__xludf.DUMMYFUNCTION("""COMPUTED_VALUE"""),0.5599999999999999)</f>
        <v>0.56</v>
      </c>
      <c r="L856">
        <f>IFERROR(__xludf.DUMMYFUNCTION("""COMPUTED_VALUE"""),224.0)</f>
        <v>224</v>
      </c>
      <c r="M856" t="str">
        <f>IFERROR(__xludf.DUMMYFUNCTION("""COMPUTED_VALUE"""),"Office Product")</f>
        <v>Office Product</v>
      </c>
      <c r="O856" t="str">
        <f>IFERROR(__xludf.DUMMYFUNCTION("""COMPUTED_VALUE"""),"Y")</f>
        <v>Y</v>
      </c>
      <c r="P856" s="1" t="str">
        <f>IFERROR(__xludf.DUMMYFUNCTION("""COMPUTED_VALUE"""),"ID 11848")</f>
        <v>ID 11848</v>
      </c>
      <c r="Q856" s="1" t="str">
        <f>IFERROR(__xludf.DUMMYFUNCTION("""COMPUTED_VALUE"""),"B0042ET09W")</f>
        <v>B0042ET09W</v>
      </c>
    </row>
    <row r="857">
      <c r="A857" s="6">
        <f>IFERROR(__xludf.DUMMYFUNCTION("""COMPUTED_VALUE"""),45421.0)</f>
        <v>45421</v>
      </c>
      <c r="B857">
        <f>IFERROR(__xludf.DUMMYFUNCTION("""COMPUTED_VALUE"""),25550.0)</f>
        <v>25550</v>
      </c>
      <c r="C857" t="str">
        <f>IFERROR(__xludf.DUMMYFUNCTION("""COMPUTED_VALUE"""),"Grumbacher Academy Watercolor Paint, 7.5ml/0.25 Ounce, Alizarin Crimson (A001)")</f>
        <v>Grumbacher Academy Watercolor Paint, 7.5ml/0.25 Ounce, Alizarin Crimson (A001)</v>
      </c>
      <c r="D857" t="str">
        <f>IFERROR(__xludf.DUMMYFUNCTION("""COMPUTED_VALUE"""),"B000G2DBSA")</f>
        <v>B000G2DBSA</v>
      </c>
      <c r="E857" t="str">
        <f>IFERROR(__xludf.DUMMYFUNCTION("""COMPUTED_VALUE"""),"014173350497")</f>
        <v>014173350497</v>
      </c>
      <c r="F857">
        <f>IFERROR(__xludf.DUMMYFUNCTION("""COMPUTED_VALUE"""),864.0)</f>
        <v>864</v>
      </c>
      <c r="G857">
        <f>IFERROR(__xludf.DUMMYFUNCTION("""COMPUTED_VALUE"""),10000.0)</f>
        <v>10000</v>
      </c>
      <c r="H857" s="2">
        <f>IFERROR(__xludf.DUMMYFUNCTION("""COMPUTED_VALUE"""),2.5)</f>
        <v>2.5</v>
      </c>
      <c r="I857" s="2">
        <f>IFERROR(__xludf.DUMMYFUNCTION("""COMPUTED_VALUE"""),3.2)</f>
        <v>3.2</v>
      </c>
      <c r="J857" s="2">
        <f>IFERROR(__xludf.DUMMYFUNCTION("""COMPUTED_VALUE"""),0.7000000000000002)</f>
        <v>0.7</v>
      </c>
      <c r="K857" s="5">
        <f>IFERROR(__xludf.DUMMYFUNCTION("""COMPUTED_VALUE"""),0.2800000000000001)</f>
        <v>0.28</v>
      </c>
      <c r="L857">
        <f>IFERROR(__xludf.DUMMYFUNCTION("""COMPUTED_VALUE"""),28359.0)</f>
        <v>28359</v>
      </c>
      <c r="M857" t="str">
        <f>IFERROR(__xludf.DUMMYFUNCTION("""COMPUTED_VALUE"""),"Office Product")</f>
        <v>Office Product</v>
      </c>
      <c r="O857" t="str">
        <f>IFERROR(__xludf.DUMMYFUNCTION("""COMPUTED_VALUE"""),"Y")</f>
        <v>Y</v>
      </c>
      <c r="P857" s="1" t="str">
        <f>IFERROR(__xludf.DUMMYFUNCTION("""COMPUTED_VALUE"""),"ID 25550")</f>
        <v>ID 25550</v>
      </c>
      <c r="Q857" s="1" t="str">
        <f>IFERROR(__xludf.DUMMYFUNCTION("""COMPUTED_VALUE"""),"B000G2DBSA")</f>
        <v>B000G2DBSA</v>
      </c>
    </row>
    <row r="858">
      <c r="A858" s="6">
        <f>IFERROR(__xludf.DUMMYFUNCTION("""COMPUTED_VALUE"""),45335.0)</f>
        <v>45335</v>
      </c>
      <c r="B858">
        <f>IFERROR(__xludf.DUMMYFUNCTION("""COMPUTED_VALUE"""),25870.0)</f>
        <v>25870</v>
      </c>
      <c r="C858" t="str">
        <f>IFERROR(__xludf.DUMMYFUNCTION("""COMPUTED_VALUE"""),"Ticonderoga My First Wood-Cased Pencils , #2 HB Soft, Without Eraser, Yellow, 36 Count (X33036)")</f>
        <v>Ticonderoga My First Wood-Cased Pencils , #2 HB Soft, Without Eraser, Yellow, 36 Count (X33036)</v>
      </c>
      <c r="D858" t="str">
        <f>IFERROR(__xludf.DUMMYFUNCTION("""COMPUTED_VALUE"""),"B08YP2Z5BG")</f>
        <v>B08YP2Z5BG</v>
      </c>
      <c r="E858" t="str">
        <f>IFERROR(__xludf.DUMMYFUNCTION("""COMPUTED_VALUE"""),"072067330369")</f>
        <v>072067330369</v>
      </c>
      <c r="F858">
        <f>IFERROR(__xludf.DUMMYFUNCTION("""COMPUTED_VALUE"""),288.0)</f>
        <v>288</v>
      </c>
      <c r="G858">
        <f>IFERROR(__xludf.DUMMYFUNCTION("""COMPUTED_VALUE"""),10000.0)</f>
        <v>10000</v>
      </c>
      <c r="H858" s="2">
        <f>IFERROR(__xludf.DUMMYFUNCTION("""COMPUTED_VALUE"""),13.25)</f>
        <v>13.25</v>
      </c>
      <c r="I858" s="2">
        <f>IFERROR(__xludf.DUMMYFUNCTION("""COMPUTED_VALUE"""),13.95)</f>
        <v>13.95</v>
      </c>
      <c r="J858" s="2">
        <f>IFERROR(__xludf.DUMMYFUNCTION("""COMPUTED_VALUE"""),0.6999999999999993)</f>
        <v>0.7</v>
      </c>
      <c r="K858" s="5">
        <f>IFERROR(__xludf.DUMMYFUNCTION("""COMPUTED_VALUE"""),0.05283018867924523)</f>
        <v>0.05283018868</v>
      </c>
      <c r="L858">
        <f>IFERROR(__xludf.DUMMYFUNCTION("""COMPUTED_VALUE"""),21200.0)</f>
        <v>21200</v>
      </c>
      <c r="M858" t="str">
        <f>IFERROR(__xludf.DUMMYFUNCTION("""COMPUTED_VALUE"""),"Office Product")</f>
        <v>Office Product</v>
      </c>
      <c r="O858" t="str">
        <f>IFERROR(__xludf.DUMMYFUNCTION("""COMPUTED_VALUE"""),"Y")</f>
        <v>Y</v>
      </c>
      <c r="P858" s="1" t="str">
        <f>IFERROR(__xludf.DUMMYFUNCTION("""COMPUTED_VALUE"""),"ID 25870")</f>
        <v>ID 25870</v>
      </c>
      <c r="Q858" s="1" t="str">
        <f>IFERROR(__xludf.DUMMYFUNCTION("""COMPUTED_VALUE"""),"B08YP2Z5BG")</f>
        <v>B08YP2Z5BG</v>
      </c>
    </row>
    <row r="859">
      <c r="A859" s="6">
        <f>IFERROR(__xludf.DUMMYFUNCTION("""COMPUTED_VALUE"""),45376.0)</f>
        <v>45376</v>
      </c>
      <c r="B859">
        <f>IFERROR(__xludf.DUMMYFUNCTION("""COMPUTED_VALUE"""),17068.0)</f>
        <v>17068</v>
      </c>
      <c r="C859" t="str">
        <f>IFERROR(__xludf.DUMMYFUNCTION("""COMPUTED_VALUE"""),"PRANG Refill Pans for Half Pan Watercolor Paint Sets, 12 Pans per Box, Green (08004)")</f>
        <v>PRANG Refill Pans for Half Pan Watercolor Paint Sets, 12 Pans per Box, Green (08004)</v>
      </c>
      <c r="D859" t="str">
        <f>IFERROR(__xludf.DUMMYFUNCTION("""COMPUTED_VALUE"""),"B0044SES8Y")</f>
        <v>B0044SES8Y</v>
      </c>
      <c r="E859" t="str">
        <f>IFERROR(__xludf.DUMMYFUNCTION("""COMPUTED_VALUE"""),"072067080042")</f>
        <v>072067080042</v>
      </c>
      <c r="F859">
        <f>IFERROR(__xludf.DUMMYFUNCTION("""COMPUTED_VALUE"""),888.0)</f>
        <v>888</v>
      </c>
      <c r="G859">
        <f>IFERROR(__xludf.DUMMYFUNCTION("""COMPUTED_VALUE"""),10000.0)</f>
        <v>10000</v>
      </c>
      <c r="H859" s="2">
        <f>IFERROR(__xludf.DUMMYFUNCTION("""COMPUTED_VALUE"""),4.25)</f>
        <v>4.25</v>
      </c>
      <c r="I859" s="2">
        <f>IFERROR(__xludf.DUMMYFUNCTION("""COMPUTED_VALUE"""),4.94)</f>
        <v>4.94</v>
      </c>
      <c r="J859" s="2">
        <f>IFERROR(__xludf.DUMMYFUNCTION("""COMPUTED_VALUE"""),0.6900000000000004)</f>
        <v>0.69</v>
      </c>
      <c r="K859" s="5">
        <f>IFERROR(__xludf.DUMMYFUNCTION("""COMPUTED_VALUE"""),0.16235294117647067)</f>
        <v>0.1623529412</v>
      </c>
      <c r="L859">
        <f>IFERROR(__xludf.DUMMYFUNCTION("""COMPUTED_VALUE"""),13619.0)</f>
        <v>13619</v>
      </c>
      <c r="M859" t="str">
        <f>IFERROR(__xludf.DUMMYFUNCTION("""COMPUTED_VALUE"""),"Home Improvement")</f>
        <v>Home Improvement</v>
      </c>
      <c r="O859" t="str">
        <f>IFERROR(__xludf.DUMMYFUNCTION("""COMPUTED_VALUE"""),"N")</f>
        <v>N</v>
      </c>
      <c r="P859" s="1" t="str">
        <f>IFERROR(__xludf.DUMMYFUNCTION("""COMPUTED_VALUE"""),"ID 17068")</f>
        <v>ID 17068</v>
      </c>
      <c r="Q859" s="1" t="str">
        <f>IFERROR(__xludf.DUMMYFUNCTION("""COMPUTED_VALUE"""),"B0044SES8Y")</f>
        <v>B0044SES8Y</v>
      </c>
    </row>
    <row r="860">
      <c r="A860" s="6">
        <f>IFERROR(__xludf.DUMMYFUNCTION("""COMPUTED_VALUE"""),44941.0)</f>
        <v>44941</v>
      </c>
      <c r="B860">
        <f>IFERROR(__xludf.DUMMYFUNCTION("""COMPUTED_VALUE"""),17899.0)</f>
        <v>17899</v>
      </c>
      <c r="C860" t="str">
        <f>IFERROR(__xludf.DUMMYFUNCTION("""COMPUTED_VALUE"""),"Elmer's E617 Super Glue Gel 0.07-Ounce, 2-Pack")</f>
        <v>Elmer's E617 Super Glue Gel 0.07-Ounce, 2-Pack</v>
      </c>
      <c r="D860" t="str">
        <f>IFERROR(__xludf.DUMMYFUNCTION("""COMPUTED_VALUE"""),"B001G9C6HY")</f>
        <v>B001G9C6HY</v>
      </c>
      <c r="E860" t="str">
        <f>IFERROR(__xludf.DUMMYFUNCTION("""COMPUTED_VALUE"""),"26000006170")</f>
        <v>26000006170</v>
      </c>
      <c r="F860">
        <f>IFERROR(__xludf.DUMMYFUNCTION("""COMPUTED_VALUE"""),2400.0)</f>
        <v>2400</v>
      </c>
      <c r="G860">
        <f>IFERROR(__xludf.DUMMYFUNCTION("""COMPUTED_VALUE"""),5000.0)</f>
        <v>5000</v>
      </c>
      <c r="H860" s="2">
        <f>IFERROR(__xludf.DUMMYFUNCTION("""COMPUTED_VALUE"""),1.25)</f>
        <v>1.25</v>
      </c>
      <c r="I860" s="2">
        <f>IFERROR(__xludf.DUMMYFUNCTION("""COMPUTED_VALUE"""),1.94)</f>
        <v>1.94</v>
      </c>
      <c r="J860" s="2">
        <f>IFERROR(__xludf.DUMMYFUNCTION("""COMPUTED_VALUE"""),0.69)</f>
        <v>0.69</v>
      </c>
      <c r="K860" s="5">
        <f>IFERROR(__xludf.DUMMYFUNCTION("""COMPUTED_VALUE"""),0.5519999999999999)</f>
        <v>0.552</v>
      </c>
      <c r="L860">
        <f>IFERROR(__xludf.DUMMYFUNCTION("""COMPUTED_VALUE"""),27052.0)</f>
        <v>27052</v>
      </c>
      <c r="M860" t="str">
        <f>IFERROR(__xludf.DUMMYFUNCTION("""COMPUTED_VALUE"""),"Home Improvement")</f>
        <v>Home Improvement</v>
      </c>
      <c r="O860" t="str">
        <f>IFERROR(__xludf.DUMMYFUNCTION("""COMPUTED_VALUE"""),"N")</f>
        <v>N</v>
      </c>
      <c r="P860" s="1" t="str">
        <f>IFERROR(__xludf.DUMMYFUNCTION("""COMPUTED_VALUE"""),"ID 17899")</f>
        <v>ID 17899</v>
      </c>
      <c r="Q860" s="1" t="str">
        <f>IFERROR(__xludf.DUMMYFUNCTION("""COMPUTED_VALUE"""),"B001G9C6HY")</f>
        <v>B001G9C6HY</v>
      </c>
    </row>
    <row r="861">
      <c r="A861" s="6">
        <f>IFERROR(__xludf.DUMMYFUNCTION("""COMPUTED_VALUE"""),45229.0)</f>
        <v>45229</v>
      </c>
      <c r="B861">
        <f>IFERROR(__xludf.DUMMYFUNCTION("""COMPUTED_VALUE"""),21822.0)</f>
        <v>21822</v>
      </c>
      <c r="C861" t="str">
        <f>IFERROR(__xludf.DUMMYFUNCTION("""COMPUTED_VALUE"""),"Wilson Jones Sheet Protectors, Heavy Weight, Top-Loading, Non-Glare, 50 Sheets/Box (W21412)")</f>
        <v>Wilson Jones Sheet Protectors, Heavy Weight, Top-Loading, Non-Glare, 50 Sheets/Box (W21412)</v>
      </c>
      <c r="D861" t="str">
        <f>IFERROR(__xludf.DUMMYFUNCTION("""COMPUTED_VALUE"""),"B0000Y7TEQ")</f>
        <v>B0000Y7TEQ</v>
      </c>
      <c r="E861" t="str">
        <f>IFERROR(__xludf.DUMMYFUNCTION("""COMPUTED_VALUE"""),"078910214121")</f>
        <v>078910214121</v>
      </c>
      <c r="F861">
        <f>IFERROR(__xludf.DUMMYFUNCTION("""COMPUTED_VALUE"""),250.0)</f>
        <v>250</v>
      </c>
      <c r="G861">
        <f>IFERROR(__xludf.DUMMYFUNCTION("""COMPUTED_VALUE"""),10000.0)</f>
        <v>10000</v>
      </c>
      <c r="H861" s="2">
        <f>IFERROR(__xludf.DUMMYFUNCTION("""COMPUTED_VALUE"""),9.5)</f>
        <v>9.5</v>
      </c>
      <c r="I861" s="2">
        <f>IFERROR(__xludf.DUMMYFUNCTION("""COMPUTED_VALUE"""),10.19)</f>
        <v>10.19</v>
      </c>
      <c r="J861" s="2">
        <f>IFERROR(__xludf.DUMMYFUNCTION("""COMPUTED_VALUE"""),0.6899999999999995)</f>
        <v>0.69</v>
      </c>
      <c r="K861" s="5">
        <f>IFERROR(__xludf.DUMMYFUNCTION("""COMPUTED_VALUE"""),0.07263157894736837)</f>
        <v>0.07263157895</v>
      </c>
      <c r="L861">
        <f>IFERROR(__xludf.DUMMYFUNCTION("""COMPUTED_VALUE"""),77404.0)</f>
        <v>77404</v>
      </c>
      <c r="M861" t="str">
        <f>IFERROR(__xludf.DUMMYFUNCTION("""COMPUTED_VALUE"""),"Office Product")</f>
        <v>Office Product</v>
      </c>
      <c r="O861" t="str">
        <f>IFERROR(__xludf.DUMMYFUNCTION("""COMPUTED_VALUE"""),"N")</f>
        <v>N</v>
      </c>
      <c r="P861" s="1" t="str">
        <f>IFERROR(__xludf.DUMMYFUNCTION("""COMPUTED_VALUE"""),"ID 21822")</f>
        <v>ID 21822</v>
      </c>
      <c r="Q861" s="1" t="str">
        <f>IFERROR(__xludf.DUMMYFUNCTION("""COMPUTED_VALUE"""),"B0000Y7TEQ")</f>
        <v>B0000Y7TEQ</v>
      </c>
    </row>
    <row r="862">
      <c r="A862" s="6">
        <f>IFERROR(__xludf.DUMMYFUNCTION("""COMPUTED_VALUE"""),45429.0)</f>
        <v>45429</v>
      </c>
      <c r="B862">
        <f>IFERROR(__xludf.DUMMYFUNCTION("""COMPUTED_VALUE"""),25452.0)</f>
        <v>25452</v>
      </c>
      <c r="C862" t="str">
        <f>IFERROR(__xludf.DUMMYFUNCTION("""COMPUTED_VALUE"""),"Road Instant Fixes Flat Tire Easy Hose Tire Inflator Air Filler Sealant 16oz (1 Pack)")</f>
        <v>Road Instant Fixes Flat Tire Easy Hose Tire Inflator Air Filler Sealant 16oz (1 Pack)</v>
      </c>
      <c r="D862" t="str">
        <f>IFERROR(__xludf.DUMMYFUNCTION("""COMPUTED_VALUE"""),"B07R11YW3Q")</f>
        <v>B07R11YW3Q</v>
      </c>
      <c r="F862">
        <f>IFERROR(__xludf.DUMMYFUNCTION("""COMPUTED_VALUE"""),290.0)</f>
        <v>290</v>
      </c>
      <c r="G862">
        <f>IFERROR(__xludf.DUMMYFUNCTION("""COMPUTED_VALUE"""),10000.0)</f>
        <v>10000</v>
      </c>
      <c r="H862" s="2">
        <f>IFERROR(__xludf.DUMMYFUNCTION("""COMPUTED_VALUE"""),4.25)</f>
        <v>4.25</v>
      </c>
      <c r="I862" s="2">
        <f>IFERROR(__xludf.DUMMYFUNCTION("""COMPUTED_VALUE"""),4.94)</f>
        <v>4.94</v>
      </c>
      <c r="J862" s="2">
        <f>IFERROR(__xludf.DUMMYFUNCTION("""COMPUTED_VALUE"""),0.6900000000000004)</f>
        <v>0.69</v>
      </c>
      <c r="K862" s="5">
        <f>IFERROR(__xludf.DUMMYFUNCTION("""COMPUTED_VALUE"""),0.16235294117647067)</f>
        <v>0.1623529412</v>
      </c>
      <c r="L862">
        <f>IFERROR(__xludf.DUMMYFUNCTION("""COMPUTED_VALUE"""),5970.0)</f>
        <v>5970</v>
      </c>
      <c r="M862" t="str">
        <f>IFERROR(__xludf.DUMMYFUNCTION("""COMPUTED_VALUE"""),"Automotive Parts and Accessories")</f>
        <v>Automotive Parts and Accessories</v>
      </c>
      <c r="O862" t="str">
        <f>IFERROR(__xludf.DUMMYFUNCTION("""COMPUTED_VALUE"""),"N")</f>
        <v>N</v>
      </c>
      <c r="P862" s="1" t="str">
        <f>IFERROR(__xludf.DUMMYFUNCTION("""COMPUTED_VALUE"""),"ID 25452")</f>
        <v>ID 25452</v>
      </c>
      <c r="Q862" s="1" t="str">
        <f>IFERROR(__xludf.DUMMYFUNCTION("""COMPUTED_VALUE"""),"B07R11YW3Q")</f>
        <v>B07R11YW3Q</v>
      </c>
    </row>
    <row r="863">
      <c r="A863" s="6">
        <f>IFERROR(__xludf.DUMMYFUNCTION("""COMPUTED_VALUE"""),45308.0)</f>
        <v>45308</v>
      </c>
      <c r="B863">
        <f>IFERROR(__xludf.DUMMYFUNCTION("""COMPUTED_VALUE"""),25869.0)</f>
        <v>25869</v>
      </c>
      <c r="C863" t="str">
        <f>IFERROR(__xludf.DUMMYFUNCTION("""COMPUTED_VALUE"""),"LYRA Rembrandt Polycolor Art Pencils, Set of 12 Pencils, Assorted Greys (2001122)")</f>
        <v>LYRA Rembrandt Polycolor Art Pencils, Set of 12 Pencils, Assorted Greys (2001122)</v>
      </c>
      <c r="D863" t="str">
        <f>IFERROR(__xludf.DUMMYFUNCTION("""COMPUTED_VALUE"""),"B0012F0KNO")</f>
        <v>B0012F0KNO</v>
      </c>
      <c r="E863" t="str">
        <f>IFERROR(__xludf.DUMMYFUNCTION("""COMPUTED_VALUE"""),"4084900170342")</f>
        <v>4084900170342</v>
      </c>
      <c r="F863">
        <f>IFERROR(__xludf.DUMMYFUNCTION("""COMPUTED_VALUE"""),300.0)</f>
        <v>300</v>
      </c>
      <c r="G863">
        <f>IFERROR(__xludf.DUMMYFUNCTION("""COMPUTED_VALUE"""),10000.0)</f>
        <v>10000</v>
      </c>
      <c r="H863" s="2">
        <f>IFERROR(__xludf.DUMMYFUNCTION("""COMPUTED_VALUE"""),12.5)</f>
        <v>12.5</v>
      </c>
      <c r="I863" s="2">
        <f>IFERROR(__xludf.DUMMYFUNCTION("""COMPUTED_VALUE"""),13.19)</f>
        <v>13.19</v>
      </c>
      <c r="J863" s="2">
        <f>IFERROR(__xludf.DUMMYFUNCTION("""COMPUTED_VALUE"""),0.6899999999999995)</f>
        <v>0.69</v>
      </c>
      <c r="K863" s="5">
        <f>IFERROR(__xludf.DUMMYFUNCTION("""COMPUTED_VALUE"""),0.05519999999999996)</f>
        <v>0.0552</v>
      </c>
      <c r="L863">
        <f>IFERROR(__xludf.DUMMYFUNCTION("""COMPUTED_VALUE"""),30771.0)</f>
        <v>30771</v>
      </c>
      <c r="M863" t="str">
        <f>IFERROR(__xludf.DUMMYFUNCTION("""COMPUTED_VALUE"""),"Office Product")</f>
        <v>Office Product</v>
      </c>
      <c r="O863" t="str">
        <f>IFERROR(__xludf.DUMMYFUNCTION("""COMPUTED_VALUE"""),"N")</f>
        <v>N</v>
      </c>
      <c r="P863" s="1" t="str">
        <f>IFERROR(__xludf.DUMMYFUNCTION("""COMPUTED_VALUE"""),"ID 25869")</f>
        <v>ID 25869</v>
      </c>
      <c r="Q863" s="1" t="str">
        <f>IFERROR(__xludf.DUMMYFUNCTION("""COMPUTED_VALUE"""),"B0012F0KNO")</f>
        <v>B0012F0KNO</v>
      </c>
    </row>
    <row r="864">
      <c r="A864" s="6">
        <f>IFERROR(__xludf.DUMMYFUNCTION("""COMPUTED_VALUE"""),45390.0)</f>
        <v>45390</v>
      </c>
      <c r="B864">
        <f>IFERROR(__xludf.DUMMYFUNCTION("""COMPUTED_VALUE"""),10999.0)</f>
        <v>10999</v>
      </c>
      <c r="C864" t="str">
        <f>IFERROR(__xludf.DUMMYFUNCTION("""COMPUTED_VALUE"""),"Chef Craft 13565 Premium Silicone Spatula, 11, Purple")</f>
        <v>Chef Craft 13565 Premium Silicone Spatula, 11, Purple</v>
      </c>
      <c r="D864" t="str">
        <f>IFERROR(__xludf.DUMMYFUNCTION("""COMPUTED_VALUE"""),"B01BKAUKBW")</f>
        <v>B01BKAUKBW</v>
      </c>
      <c r="E864" t="str">
        <f>IFERROR(__xludf.DUMMYFUNCTION("""COMPUTED_VALUE"""),"085455135651")</f>
        <v>085455135651</v>
      </c>
      <c r="F864">
        <f>IFERROR(__xludf.DUMMYFUNCTION("""COMPUTED_VALUE"""),360.0)</f>
        <v>360</v>
      </c>
      <c r="G864">
        <f>IFERROR(__xludf.DUMMYFUNCTION("""COMPUTED_VALUE"""),10000.0)</f>
        <v>10000</v>
      </c>
      <c r="H864" s="2">
        <f>IFERROR(__xludf.DUMMYFUNCTION("""COMPUTED_VALUE"""),2.75)</f>
        <v>2.75</v>
      </c>
      <c r="I864" s="2">
        <f>IFERROR(__xludf.DUMMYFUNCTION("""COMPUTED_VALUE"""),3.43)</f>
        <v>3.43</v>
      </c>
      <c r="J864" s="2">
        <f>IFERROR(__xludf.DUMMYFUNCTION("""COMPUTED_VALUE"""),0.6800000000000002)</f>
        <v>0.68</v>
      </c>
      <c r="K864" s="5">
        <f>IFERROR(__xludf.DUMMYFUNCTION("""COMPUTED_VALUE"""),0.24727272727272734)</f>
        <v>0.2472727273</v>
      </c>
      <c r="L864">
        <f>IFERROR(__xludf.DUMMYFUNCTION("""COMPUTED_VALUE"""),65380.0)</f>
        <v>65380</v>
      </c>
      <c r="M864" t="str">
        <f>IFERROR(__xludf.DUMMYFUNCTION("""COMPUTED_VALUE"""),"Kitchen")</f>
        <v>Kitchen</v>
      </c>
      <c r="O864" t="str">
        <f>IFERROR(__xludf.DUMMYFUNCTION("""COMPUTED_VALUE"""),"Y")</f>
        <v>Y</v>
      </c>
      <c r="P864" s="1" t="str">
        <f>IFERROR(__xludf.DUMMYFUNCTION("""COMPUTED_VALUE"""),"ID 10999")</f>
        <v>ID 10999</v>
      </c>
      <c r="Q864" s="1" t="str">
        <f>IFERROR(__xludf.DUMMYFUNCTION("""COMPUTED_VALUE"""),"B01BKAUKBW")</f>
        <v>B01BKAUKBW</v>
      </c>
    </row>
    <row r="865">
      <c r="A865" s="6">
        <f>IFERROR(__xludf.DUMMYFUNCTION("""COMPUTED_VALUE"""),45113.0)</f>
        <v>45113</v>
      </c>
      <c r="B865">
        <f>IFERROR(__xludf.DUMMYFUNCTION("""COMPUTED_VALUE"""),17821.0)</f>
        <v>17821</v>
      </c>
      <c r="C865" t="str">
        <f>IFERROR(__xludf.DUMMYFUNCTION("""COMPUTED_VALUE"""),"Sharpie Extreme Permanent Markers, Black, 4-Count")</f>
        <v>Sharpie Extreme Permanent Markers, Black, 4-Count</v>
      </c>
      <c r="D865" t="str">
        <f>IFERROR(__xludf.DUMMYFUNCTION("""COMPUTED_VALUE"""),"B00UHJDFOM")</f>
        <v>B00UHJDFOM</v>
      </c>
      <c r="E865" t="str">
        <f>IFERROR(__xludf.DUMMYFUNCTION("""COMPUTED_VALUE"""),"71641087248")</f>
        <v>71641087248</v>
      </c>
      <c r="F865">
        <f>IFERROR(__xludf.DUMMYFUNCTION("""COMPUTED_VALUE"""),576.0)</f>
        <v>576</v>
      </c>
      <c r="G865">
        <f>IFERROR(__xludf.DUMMYFUNCTION("""COMPUTED_VALUE"""),10000.0)</f>
        <v>10000</v>
      </c>
      <c r="H865" s="2">
        <f>IFERROR(__xludf.DUMMYFUNCTION("""COMPUTED_VALUE"""),5.0)</f>
        <v>5</v>
      </c>
      <c r="I865" s="2">
        <f>IFERROR(__xludf.DUMMYFUNCTION("""COMPUTED_VALUE"""),5.68)</f>
        <v>5.68</v>
      </c>
      <c r="J865" s="2">
        <f>IFERROR(__xludf.DUMMYFUNCTION("""COMPUTED_VALUE"""),0.6799999999999997)</f>
        <v>0.68</v>
      </c>
      <c r="K865" s="5">
        <f>IFERROR(__xludf.DUMMYFUNCTION("""COMPUTED_VALUE"""),0.13599999999999995)</f>
        <v>0.136</v>
      </c>
      <c r="L865">
        <f>IFERROR(__xludf.DUMMYFUNCTION("""COMPUTED_VALUE"""),7490.0)</f>
        <v>7490</v>
      </c>
      <c r="M865" t="str">
        <f>IFERROR(__xludf.DUMMYFUNCTION("""COMPUTED_VALUE"""),"Office Product")</f>
        <v>Office Product</v>
      </c>
      <c r="O865" t="str">
        <f>IFERROR(__xludf.DUMMYFUNCTION("""COMPUTED_VALUE"""),"Y")</f>
        <v>Y</v>
      </c>
      <c r="P865" s="1" t="str">
        <f>IFERROR(__xludf.DUMMYFUNCTION("""COMPUTED_VALUE"""),"ID 17821")</f>
        <v>ID 17821</v>
      </c>
      <c r="Q865" s="1" t="str">
        <f>IFERROR(__xludf.DUMMYFUNCTION("""COMPUTED_VALUE"""),"B00UHJDFOM")</f>
        <v>B00UHJDFOM</v>
      </c>
    </row>
    <row r="866">
      <c r="A866" s="6">
        <f>IFERROR(__xludf.DUMMYFUNCTION("""COMPUTED_VALUE"""),44417.0)</f>
        <v>44417</v>
      </c>
      <c r="B866">
        <f>IFERROR(__xludf.DUMMYFUNCTION("""COMPUTED_VALUE"""),18083.0)</f>
        <v>18083</v>
      </c>
      <c r="C866" t="str">
        <f>IFERROR(__xludf.DUMMYFUNCTION("""COMPUTED_VALUE"""),"This Is The Police 2 PS4 - PlayStation 4")</f>
        <v>This Is The Police 2 PS4 - PlayStation 4</v>
      </c>
      <c r="D866" t="str">
        <f>IFERROR(__xludf.DUMMYFUNCTION("""COMPUTED_VALUE"""),"B079NPLGVY")</f>
        <v>B079NPLGVY</v>
      </c>
      <c r="E866" t="str">
        <f>IFERROR(__xludf.DUMMYFUNCTION("""COMPUTED_VALUE"""),"811994021526")</f>
        <v>811994021526</v>
      </c>
      <c r="F866">
        <f>IFERROR(__xludf.DUMMYFUNCTION("""COMPUTED_VALUE"""),240.0)</f>
        <v>240</v>
      </c>
      <c r="G866">
        <f>IFERROR(__xludf.DUMMYFUNCTION("""COMPUTED_VALUE"""),1159.0)</f>
        <v>1159</v>
      </c>
      <c r="H866" s="2">
        <f>IFERROR(__xludf.DUMMYFUNCTION("""COMPUTED_VALUE"""),5.5)</f>
        <v>5.5</v>
      </c>
      <c r="I866" s="2">
        <f>IFERROR(__xludf.DUMMYFUNCTION("""COMPUTED_VALUE"""),6.18)</f>
        <v>6.18</v>
      </c>
      <c r="J866" s="2">
        <f>IFERROR(__xludf.DUMMYFUNCTION("""COMPUTED_VALUE"""),0.6799999999999997)</f>
        <v>0.68</v>
      </c>
      <c r="K866" s="5">
        <f>IFERROR(__xludf.DUMMYFUNCTION("""COMPUTED_VALUE"""),0.12363636363636359)</f>
        <v>0.1236363636</v>
      </c>
      <c r="L866">
        <f>IFERROR(__xludf.DUMMYFUNCTION("""COMPUTED_VALUE"""),40749.0)</f>
        <v>40749</v>
      </c>
      <c r="M866" t="str">
        <f>IFERROR(__xludf.DUMMYFUNCTION("""COMPUTED_VALUE"""),"Video Games")</f>
        <v>Video Games</v>
      </c>
      <c r="O866" t="str">
        <f>IFERROR(__xludf.DUMMYFUNCTION("""COMPUTED_VALUE"""),"N")</f>
        <v>N</v>
      </c>
      <c r="P866" s="1" t="str">
        <f>IFERROR(__xludf.DUMMYFUNCTION("""COMPUTED_VALUE"""),"ID 18083")</f>
        <v>ID 18083</v>
      </c>
      <c r="Q866" s="1" t="str">
        <f>IFERROR(__xludf.DUMMYFUNCTION("""COMPUTED_VALUE"""),"B079NPLGVY")</f>
        <v>B079NPLGVY</v>
      </c>
    </row>
    <row r="867">
      <c r="A867" s="6">
        <f>IFERROR(__xludf.DUMMYFUNCTION("""COMPUTED_VALUE"""),44481.0)</f>
        <v>44481</v>
      </c>
      <c r="B867">
        <f>IFERROR(__xludf.DUMMYFUNCTION("""COMPUTED_VALUE"""),19484.0)</f>
        <v>19484</v>
      </c>
      <c r="C867" t="str">
        <f>IFERROR(__xludf.DUMMYFUNCTION("""COMPUTED_VALUE"""),"L'Oreal Paris Magic Root Cover Up Gray Concealer Spray Dark Brown 2 oz.")</f>
        <v>L'Oreal Paris Magic Root Cover Up Gray Concealer Spray Dark Brown 2 oz.</v>
      </c>
      <c r="D867" t="str">
        <f>IFERROR(__xludf.DUMMYFUNCTION("""COMPUTED_VALUE"""),"B01648QP3W")</f>
        <v>B01648QP3W</v>
      </c>
      <c r="E867" t="str">
        <f>IFERROR(__xludf.DUMMYFUNCTION("""COMPUTED_VALUE"""),"071249318560")</f>
        <v>071249318560</v>
      </c>
      <c r="F867">
        <f>IFERROR(__xludf.DUMMYFUNCTION("""COMPUTED_VALUE"""),200.0)</f>
        <v>200</v>
      </c>
      <c r="G867">
        <f>IFERROR(__xludf.DUMMYFUNCTION("""COMPUTED_VALUE"""),200.0)</f>
        <v>200</v>
      </c>
      <c r="H867" s="2">
        <f>IFERROR(__xludf.DUMMYFUNCTION("""COMPUTED_VALUE"""),4.75)</f>
        <v>4.75</v>
      </c>
      <c r="I867" s="2">
        <f>IFERROR(__xludf.DUMMYFUNCTION("""COMPUTED_VALUE"""),5.43)</f>
        <v>5.43</v>
      </c>
      <c r="J867" s="2">
        <f>IFERROR(__xludf.DUMMYFUNCTION("""COMPUTED_VALUE"""),0.6799999999999997)</f>
        <v>0.68</v>
      </c>
      <c r="K867" s="5">
        <f>IFERROR(__xludf.DUMMYFUNCTION("""COMPUTED_VALUE"""),0.14315789473684204)</f>
        <v>0.1431578947</v>
      </c>
      <c r="L867">
        <f>IFERROR(__xludf.DUMMYFUNCTION("""COMPUTED_VALUE"""),1543.0)</f>
        <v>1543</v>
      </c>
      <c r="M867" t="str">
        <f>IFERROR(__xludf.DUMMYFUNCTION("""COMPUTED_VALUE"""),"Beauty")</f>
        <v>Beauty</v>
      </c>
      <c r="O867" t="str">
        <f>IFERROR(__xludf.DUMMYFUNCTION("""COMPUTED_VALUE"""),"Y")</f>
        <v>Y</v>
      </c>
      <c r="P867" s="1" t="str">
        <f>IFERROR(__xludf.DUMMYFUNCTION("""COMPUTED_VALUE"""),"ID 19484")</f>
        <v>ID 19484</v>
      </c>
      <c r="Q867" s="1" t="str">
        <f>IFERROR(__xludf.DUMMYFUNCTION("""COMPUTED_VALUE"""),"B01648QP3W")</f>
        <v>B01648QP3W</v>
      </c>
    </row>
    <row r="868">
      <c r="A868" s="6">
        <f>IFERROR(__xludf.DUMMYFUNCTION("""COMPUTED_VALUE"""),45383.0)</f>
        <v>45383</v>
      </c>
      <c r="B868">
        <f>IFERROR(__xludf.DUMMYFUNCTION("""COMPUTED_VALUE"""),20139.0)</f>
        <v>20139</v>
      </c>
      <c r="C868" t="str">
        <f>IFERROR(__xludf.DUMMYFUNCTION("""COMPUTED_VALUE"""),"Uni-Ball 40108 207 Premier Retractable Gel Rollerball Pen, Medium Point, Black Ink, 1 Count")</f>
        <v>Uni-Ball 40108 207 Premier Retractable Gel Rollerball Pen, Medium Point, Black Ink, 1 Count</v>
      </c>
      <c r="D868" t="str">
        <f>IFERROR(__xludf.DUMMYFUNCTION("""COMPUTED_VALUE"""),"B001EQCJ4O")</f>
        <v>B001EQCJ4O</v>
      </c>
      <c r="E868" t="str">
        <f>IFERROR(__xludf.DUMMYFUNCTION("""COMPUTED_VALUE"""),"030246401088")</f>
        <v>030246401088</v>
      </c>
      <c r="F868">
        <f>IFERROR(__xludf.DUMMYFUNCTION("""COMPUTED_VALUE"""),240.0)</f>
        <v>240</v>
      </c>
      <c r="G868">
        <f>IFERROR(__xludf.DUMMYFUNCTION("""COMPUTED_VALUE"""),10000.0)</f>
        <v>10000</v>
      </c>
      <c r="H868" s="2">
        <f>IFERROR(__xludf.DUMMYFUNCTION("""COMPUTED_VALUE"""),5.5)</f>
        <v>5.5</v>
      </c>
      <c r="I868" s="2">
        <f>IFERROR(__xludf.DUMMYFUNCTION("""COMPUTED_VALUE"""),6.18)</f>
        <v>6.18</v>
      </c>
      <c r="J868" s="2">
        <f>IFERROR(__xludf.DUMMYFUNCTION("""COMPUTED_VALUE"""),0.6799999999999997)</f>
        <v>0.68</v>
      </c>
      <c r="K868" s="5">
        <f>IFERROR(__xludf.DUMMYFUNCTION("""COMPUTED_VALUE"""),0.12363636363636359)</f>
        <v>0.1236363636</v>
      </c>
      <c r="L868">
        <f>IFERROR(__xludf.DUMMYFUNCTION("""COMPUTED_VALUE"""),18930.0)</f>
        <v>18930</v>
      </c>
      <c r="M868" t="str">
        <f>IFERROR(__xludf.DUMMYFUNCTION("""COMPUTED_VALUE"""),"Office Product")</f>
        <v>Office Product</v>
      </c>
      <c r="O868" t="str">
        <f>IFERROR(__xludf.DUMMYFUNCTION("""COMPUTED_VALUE"""),"Y")</f>
        <v>Y</v>
      </c>
      <c r="P868" s="1" t="str">
        <f>IFERROR(__xludf.DUMMYFUNCTION("""COMPUTED_VALUE"""),"ID 20139")</f>
        <v>ID 20139</v>
      </c>
      <c r="Q868" s="1" t="str">
        <f>IFERROR(__xludf.DUMMYFUNCTION("""COMPUTED_VALUE"""),"B001EQCJ4O")</f>
        <v>B001EQCJ4O</v>
      </c>
    </row>
    <row r="869">
      <c r="A869" s="6">
        <f>IFERROR(__xludf.DUMMYFUNCTION("""COMPUTED_VALUE"""),44558.0)</f>
        <v>44558</v>
      </c>
      <c r="B869">
        <f>IFERROR(__xludf.DUMMYFUNCTION("""COMPUTED_VALUE"""),20358.0)</f>
        <v>20358</v>
      </c>
      <c r="C869" t="str">
        <f>IFERROR(__xludf.DUMMYFUNCTION("""COMPUTED_VALUE"""),"Mead Business Envelope, 3 5/8 6 1/2, 20 lb, White, 100/Box")</f>
        <v>Mead Business Envelope, 3 5/8 6 1/2, 20 lb, White, 100/Box</v>
      </c>
      <c r="D869" t="str">
        <f>IFERROR(__xludf.DUMMYFUNCTION("""COMPUTED_VALUE"""),"B005SFUUWA")</f>
        <v>B005SFUUWA</v>
      </c>
      <c r="E869" t="str">
        <f>IFERROR(__xludf.DUMMYFUNCTION("""COMPUTED_VALUE"""),"43100751007")</f>
        <v>43100751007</v>
      </c>
      <c r="F869">
        <f>IFERROR(__xludf.DUMMYFUNCTION("""COMPUTED_VALUE"""),11112.0)</f>
        <v>11112</v>
      </c>
      <c r="G869">
        <f>IFERROR(__xludf.DUMMYFUNCTION("""COMPUTED_VALUE"""),100000.0)</f>
        <v>100000</v>
      </c>
      <c r="H869" s="2">
        <f>IFERROR(__xludf.DUMMYFUNCTION("""COMPUTED_VALUE"""),0.75)</f>
        <v>0.75</v>
      </c>
      <c r="I869" s="2">
        <f>IFERROR(__xludf.DUMMYFUNCTION("""COMPUTED_VALUE"""),1.43)</f>
        <v>1.43</v>
      </c>
      <c r="J869" s="2">
        <f>IFERROR(__xludf.DUMMYFUNCTION("""COMPUTED_VALUE"""),0.6799999999999999)</f>
        <v>0.68</v>
      </c>
      <c r="K869" s="5">
        <f>IFERROR(__xludf.DUMMYFUNCTION("""COMPUTED_VALUE"""),0.9066666666666666)</f>
        <v>0.9066666667</v>
      </c>
      <c r="L869">
        <f>IFERROR(__xludf.DUMMYFUNCTION("""COMPUTED_VALUE"""),26374.0)</f>
        <v>26374</v>
      </c>
      <c r="M869" t="str">
        <f>IFERROR(__xludf.DUMMYFUNCTION("""COMPUTED_VALUE"""),"Office Product")</f>
        <v>Office Product</v>
      </c>
      <c r="N869" t="str">
        <f>IFERROR(__xludf.DUMMYFUNCTION("""COMPUTED_VALUE"""),"Promo: OSMI")</f>
        <v>Promo: OSMI</v>
      </c>
      <c r="O869" t="str">
        <f>IFERROR(__xludf.DUMMYFUNCTION("""COMPUTED_VALUE"""),"N")</f>
        <v>N</v>
      </c>
      <c r="P869" s="1" t="str">
        <f>IFERROR(__xludf.DUMMYFUNCTION("""COMPUTED_VALUE"""),"ID 20358")</f>
        <v>ID 20358</v>
      </c>
      <c r="Q869" s="1" t="str">
        <f>IFERROR(__xludf.DUMMYFUNCTION("""COMPUTED_VALUE"""),"B005SFUUWA")</f>
        <v>B005SFUUWA</v>
      </c>
    </row>
    <row r="870">
      <c r="A870" s="6">
        <f>IFERROR(__xludf.DUMMYFUNCTION("""COMPUTED_VALUE"""),45401.0)</f>
        <v>45401</v>
      </c>
      <c r="B870">
        <f>IFERROR(__xludf.DUMMYFUNCTION("""COMPUTED_VALUE"""),12228.0)</f>
        <v>12228</v>
      </c>
      <c r="C870" t="str">
        <f>IFERROR(__xludf.DUMMYFUNCTION("""COMPUTED_VALUE"""),"Home Basics PH45808 Sunflower Cast Iron Paper Towel Holder with Dispensing Side Bar Free-Standing Kitchen Countertop, Dinning, Blue")</f>
        <v>Home Basics PH45808 Sunflower Cast Iron Paper Towel Holder with Dispensing Side Bar Free-Standing Kitchen Countertop, Dinning, Blue</v>
      </c>
      <c r="D870" t="str">
        <f>IFERROR(__xludf.DUMMYFUNCTION("""COMPUTED_VALUE"""),"B07X5TVLLP")</f>
        <v>B07X5TVLLP</v>
      </c>
      <c r="E870" t="str">
        <f>IFERROR(__xludf.DUMMYFUNCTION("""COMPUTED_VALUE"""),"886466458087")</f>
        <v>886466458087</v>
      </c>
      <c r="F870">
        <f>IFERROR(__xludf.DUMMYFUNCTION("""COMPUTED_VALUE"""),138.0)</f>
        <v>138</v>
      </c>
      <c r="G870">
        <f>IFERROR(__xludf.DUMMYFUNCTION("""COMPUTED_VALUE"""),10000.0)</f>
        <v>10000</v>
      </c>
      <c r="H870" s="2">
        <f>IFERROR(__xludf.DUMMYFUNCTION("""COMPUTED_VALUE"""),9.5)</f>
        <v>9.5</v>
      </c>
      <c r="I870" s="2">
        <f>IFERROR(__xludf.DUMMYFUNCTION("""COMPUTED_VALUE"""),10.18)</f>
        <v>10.18</v>
      </c>
      <c r="J870" s="2">
        <f>IFERROR(__xludf.DUMMYFUNCTION("""COMPUTED_VALUE"""),0.6799999999999997)</f>
        <v>0.68</v>
      </c>
      <c r="K870" s="5">
        <f>IFERROR(__xludf.DUMMYFUNCTION("""COMPUTED_VALUE"""),0.07157894736842102)</f>
        <v>0.07157894737</v>
      </c>
      <c r="L870">
        <f>IFERROR(__xludf.DUMMYFUNCTION("""COMPUTED_VALUE"""),67456.0)</f>
        <v>67456</v>
      </c>
      <c r="M870" t="str">
        <f>IFERROR(__xludf.DUMMYFUNCTION("""COMPUTED_VALUE"""),"Kitchen")</f>
        <v>Kitchen</v>
      </c>
      <c r="O870" t="str">
        <f>IFERROR(__xludf.DUMMYFUNCTION("""COMPUTED_VALUE"""),"Y")</f>
        <v>Y</v>
      </c>
      <c r="P870" s="1" t="str">
        <f>IFERROR(__xludf.DUMMYFUNCTION("""COMPUTED_VALUE"""),"ID 12228")</f>
        <v>ID 12228</v>
      </c>
      <c r="Q870" s="1" t="str">
        <f>IFERROR(__xludf.DUMMYFUNCTION("""COMPUTED_VALUE"""),"B07X5TVLLP")</f>
        <v>B07X5TVLLP</v>
      </c>
    </row>
    <row r="871">
      <c r="A871" s="6">
        <f>IFERROR(__xludf.DUMMYFUNCTION("""COMPUTED_VALUE"""),45379.0)</f>
        <v>45379</v>
      </c>
      <c r="B871">
        <f>IFERROR(__xludf.DUMMYFUNCTION("""COMPUTED_VALUE"""),16477.0)</f>
        <v>16477</v>
      </c>
      <c r="C871" t="str">
        <f>IFERROR(__xludf.DUMMYFUNCTION("""COMPUTED_VALUE"""),"Funstuff 3pc Dive Sharks Pool Toy | Shark Pool Toys | Underwater Torpedo | Great Watertoy for Kids")</f>
        <v>Funstuff 3pc Dive Sharks Pool Toy | Shark Pool Toys | Underwater Torpedo | Great Watertoy for Kids</v>
      </c>
      <c r="D871" t="str">
        <f>IFERROR(__xludf.DUMMYFUNCTION("""COMPUTED_VALUE"""),"B086SFD4YB")</f>
        <v>B086SFD4YB</v>
      </c>
      <c r="E871" t="str">
        <f>IFERROR(__xludf.DUMMYFUNCTION("""COMPUTED_VALUE"""),"191124241582")</f>
        <v>191124241582</v>
      </c>
      <c r="F871">
        <f>IFERROR(__xludf.DUMMYFUNCTION("""COMPUTED_VALUE"""),504.0)</f>
        <v>504</v>
      </c>
      <c r="G871">
        <f>IFERROR(__xludf.DUMMYFUNCTION("""COMPUTED_VALUE"""),4000.0)</f>
        <v>4000</v>
      </c>
      <c r="H871" s="2">
        <f>IFERROR(__xludf.DUMMYFUNCTION("""COMPUTED_VALUE"""),2.5)</f>
        <v>2.5</v>
      </c>
      <c r="I871" s="2">
        <f>IFERROR(__xludf.DUMMYFUNCTION("""COMPUTED_VALUE"""),3.18)</f>
        <v>3.18</v>
      </c>
      <c r="J871" s="2">
        <f>IFERROR(__xludf.DUMMYFUNCTION("""COMPUTED_VALUE"""),0.6800000000000002)</f>
        <v>0.68</v>
      </c>
      <c r="K871" s="5">
        <f>IFERROR(__xludf.DUMMYFUNCTION("""COMPUTED_VALUE"""),0.2720000000000001)</f>
        <v>0.272</v>
      </c>
      <c r="L871">
        <f>IFERROR(__xludf.DUMMYFUNCTION("""COMPUTED_VALUE"""),33071.0)</f>
        <v>33071</v>
      </c>
      <c r="M871" t="str">
        <f>IFERROR(__xludf.DUMMYFUNCTION("""COMPUTED_VALUE"""),"Toy")</f>
        <v>Toy</v>
      </c>
      <c r="N871" t="str">
        <f>IFERROR(__xludf.DUMMYFUNCTION("""COMPUTED_VALUE"""),"ETA 4/18")</f>
        <v>ETA 4/18</v>
      </c>
      <c r="O871" t="str">
        <f>IFERROR(__xludf.DUMMYFUNCTION("""COMPUTED_VALUE"""),"Y")</f>
        <v>Y</v>
      </c>
      <c r="P871" s="1" t="str">
        <f>IFERROR(__xludf.DUMMYFUNCTION("""COMPUTED_VALUE"""),"ID 16477")</f>
        <v>ID 16477</v>
      </c>
      <c r="Q871" s="1" t="str">
        <f>IFERROR(__xludf.DUMMYFUNCTION("""COMPUTED_VALUE"""),"B086SFD4YB")</f>
        <v>B086SFD4YB</v>
      </c>
    </row>
    <row r="872">
      <c r="A872" s="6">
        <f>IFERROR(__xludf.DUMMYFUNCTION("""COMPUTED_VALUE"""),44941.0)</f>
        <v>44941</v>
      </c>
      <c r="B872">
        <f>IFERROR(__xludf.DUMMYFUNCTION("""COMPUTED_VALUE"""),24592.0)</f>
        <v>24592</v>
      </c>
      <c r="C872" t="str">
        <f>IFERROR(__xludf.DUMMYFUNCTION("""COMPUTED_VALUE"""),"EXPO Vis-A-Vis Wet-Erase Overhead Transparency Markers, Fine Point, Assorted Colors, 5-Count")</f>
        <v>EXPO Vis-A-Vis Wet-Erase Overhead Transparency Markers, Fine Point, Assorted Colors, 5-Count</v>
      </c>
      <c r="D872" t="str">
        <f>IFERROR(__xludf.DUMMYFUNCTION("""COMPUTED_VALUE"""),"B00006IFGX")</f>
        <v>B00006IFGX</v>
      </c>
      <c r="E872" t="str">
        <f>IFERROR(__xludf.DUMMYFUNCTION("""COMPUTED_VALUE"""),"071641166752")</f>
        <v>071641166752</v>
      </c>
      <c r="F872">
        <f>IFERROR(__xludf.DUMMYFUNCTION("""COMPUTED_VALUE"""),576.0)</f>
        <v>576</v>
      </c>
      <c r="G872">
        <f>IFERROR(__xludf.DUMMYFUNCTION("""COMPUTED_VALUE"""),1000.0)</f>
        <v>1000</v>
      </c>
      <c r="H872" s="2">
        <f>IFERROR(__xludf.DUMMYFUNCTION("""COMPUTED_VALUE"""),6.0)</f>
        <v>6</v>
      </c>
      <c r="I872" s="2">
        <f>IFERROR(__xludf.DUMMYFUNCTION("""COMPUTED_VALUE"""),6.68)</f>
        <v>6.68</v>
      </c>
      <c r="J872" s="2">
        <f>IFERROR(__xludf.DUMMYFUNCTION("""COMPUTED_VALUE"""),0.6799999999999997)</f>
        <v>0.68</v>
      </c>
      <c r="K872" s="5">
        <f>IFERROR(__xludf.DUMMYFUNCTION("""COMPUTED_VALUE"""),0.11333333333333329)</f>
        <v>0.1133333333</v>
      </c>
      <c r="L872">
        <f>IFERROR(__xludf.DUMMYFUNCTION("""COMPUTED_VALUE"""),80364.0)</f>
        <v>80364</v>
      </c>
      <c r="M872" t="str">
        <f>IFERROR(__xludf.DUMMYFUNCTION("""COMPUTED_VALUE"""),"Office Product")</f>
        <v>Office Product</v>
      </c>
      <c r="O872" t="str">
        <f>IFERROR(__xludf.DUMMYFUNCTION("""COMPUTED_VALUE"""),"N")</f>
        <v>N</v>
      </c>
      <c r="P872" s="1" t="str">
        <f>IFERROR(__xludf.DUMMYFUNCTION("""COMPUTED_VALUE"""),"ID 24592")</f>
        <v>ID 24592</v>
      </c>
      <c r="Q872" s="1" t="str">
        <f>IFERROR(__xludf.DUMMYFUNCTION("""COMPUTED_VALUE"""),"B00006IFGX")</f>
        <v>B00006IFGX</v>
      </c>
    </row>
    <row r="873">
      <c r="A873" s="6">
        <f>IFERROR(__xludf.DUMMYFUNCTION("""COMPUTED_VALUE"""),44941.0)</f>
        <v>44941</v>
      </c>
      <c r="B873">
        <f>IFERROR(__xludf.DUMMYFUNCTION("""COMPUTED_VALUE"""),24644.0)</f>
        <v>24644</v>
      </c>
      <c r="C873" t="str">
        <f>IFERROR(__xludf.DUMMYFUNCTION("""COMPUTED_VALUE"""),"Parker Jotter Originals Fountain Pen, Classic Finish, Medium Nib, Blue &amp; Black Ink")</f>
        <v>Parker Jotter Originals Fountain Pen, Classic Finish, Medium Nib, Blue &amp; Black Ink</v>
      </c>
      <c r="D873" t="str">
        <f>IFERROR(__xludf.DUMMYFUNCTION("""COMPUTED_VALUE"""),"B07TVTF8PG")</f>
        <v>B07TVTF8PG</v>
      </c>
      <c r="E873" t="str">
        <f>IFERROR(__xludf.DUMMYFUNCTION("""COMPUTED_VALUE"""),"3026980964306")</f>
        <v>3026980964306</v>
      </c>
      <c r="F873">
        <f>IFERROR(__xludf.DUMMYFUNCTION("""COMPUTED_VALUE"""),330.0)</f>
        <v>330</v>
      </c>
      <c r="G873">
        <f>IFERROR(__xludf.DUMMYFUNCTION("""COMPUTED_VALUE"""),1000.0)</f>
        <v>1000</v>
      </c>
      <c r="H873" s="2">
        <f>IFERROR(__xludf.DUMMYFUNCTION("""COMPUTED_VALUE"""),9.0)</f>
        <v>9</v>
      </c>
      <c r="I873" s="2">
        <f>IFERROR(__xludf.DUMMYFUNCTION("""COMPUTED_VALUE"""),9.68)</f>
        <v>9.68</v>
      </c>
      <c r="J873" s="2">
        <f>IFERROR(__xludf.DUMMYFUNCTION("""COMPUTED_VALUE"""),0.6799999999999997)</f>
        <v>0.68</v>
      </c>
      <c r="K873" s="5">
        <f>IFERROR(__xludf.DUMMYFUNCTION("""COMPUTED_VALUE"""),0.07555555555555553)</f>
        <v>0.07555555556</v>
      </c>
      <c r="L873">
        <f>IFERROR(__xludf.DUMMYFUNCTION("""COMPUTED_VALUE"""),59869.0)</f>
        <v>59869</v>
      </c>
      <c r="M873" t="str">
        <f>IFERROR(__xludf.DUMMYFUNCTION("""COMPUTED_VALUE"""),"Office Product")</f>
        <v>Office Product</v>
      </c>
      <c r="O873" t="str">
        <f>IFERROR(__xludf.DUMMYFUNCTION("""COMPUTED_VALUE"""),"Y")</f>
        <v>Y</v>
      </c>
      <c r="P873" s="1" t="str">
        <f>IFERROR(__xludf.DUMMYFUNCTION("""COMPUTED_VALUE"""),"ID 24644")</f>
        <v>ID 24644</v>
      </c>
      <c r="Q873" s="1" t="str">
        <f>IFERROR(__xludf.DUMMYFUNCTION("""COMPUTED_VALUE"""),"B07TVTF8PG")</f>
        <v>B07TVTF8PG</v>
      </c>
    </row>
    <row r="874">
      <c r="A874" s="6">
        <f>IFERROR(__xludf.DUMMYFUNCTION("""COMPUTED_VALUE"""),45114.0)</f>
        <v>45114</v>
      </c>
      <c r="B874">
        <f>IFERROR(__xludf.DUMMYFUNCTION("""COMPUTED_VALUE"""),8397.0)</f>
        <v>8397</v>
      </c>
      <c r="C874" t="str">
        <f>IFERROR(__xludf.DUMMYFUNCTION("""COMPUTED_VALUE"""),"Werther's Original - Coffee Caramel - Sugar Free Hard Candies")</f>
        <v>Werther's Original - Coffee Caramel - Sugar Free Hard Candies</v>
      </c>
      <c r="D874" t="str">
        <f>IFERROR(__xludf.DUMMYFUNCTION("""COMPUTED_VALUE"""),"B005UQWXMC")</f>
        <v>B005UQWXMC</v>
      </c>
      <c r="E874" t="str">
        <f>IFERROR(__xludf.DUMMYFUNCTION("""COMPUTED_VALUE"""),"72799035525")</f>
        <v>72799035525</v>
      </c>
      <c r="F874">
        <f>IFERROR(__xludf.DUMMYFUNCTION("""COMPUTED_VALUE"""),1272.0)</f>
        <v>1272</v>
      </c>
      <c r="G874">
        <f>IFERROR(__xludf.DUMMYFUNCTION("""COMPUTED_VALUE"""),360.0)</f>
        <v>360</v>
      </c>
      <c r="H874" s="2">
        <f>IFERROR(__xludf.DUMMYFUNCTION("""COMPUTED_VALUE"""),1.0)</f>
        <v>1</v>
      </c>
      <c r="I874" s="2">
        <f>IFERROR(__xludf.DUMMYFUNCTION("""COMPUTED_VALUE"""),1.67)</f>
        <v>1.67</v>
      </c>
      <c r="J874" s="2">
        <f>IFERROR(__xludf.DUMMYFUNCTION("""COMPUTED_VALUE"""),0.6699999999999999)</f>
        <v>0.67</v>
      </c>
      <c r="K874" s="5">
        <f>IFERROR(__xludf.DUMMYFUNCTION("""COMPUTED_VALUE"""),0.6699999999999999)</f>
        <v>0.67</v>
      </c>
      <c r="L874">
        <f>IFERROR(__xludf.DUMMYFUNCTION("""COMPUTED_VALUE"""),21894.0)</f>
        <v>21894</v>
      </c>
      <c r="M874" t="str">
        <f>IFERROR(__xludf.DUMMYFUNCTION("""COMPUTED_VALUE"""),"Grocery")</f>
        <v>Grocery</v>
      </c>
      <c r="O874" t="str">
        <f>IFERROR(__xludf.DUMMYFUNCTION("""COMPUTED_VALUE"""),"N")</f>
        <v>N</v>
      </c>
      <c r="P874" s="1" t="str">
        <f>IFERROR(__xludf.DUMMYFUNCTION("""COMPUTED_VALUE"""),"ID 8397")</f>
        <v>ID 8397</v>
      </c>
      <c r="Q874" s="1" t="str">
        <f>IFERROR(__xludf.DUMMYFUNCTION("""COMPUTED_VALUE"""),"B005UQWXMC")</f>
        <v>B005UQWXMC</v>
      </c>
    </row>
    <row r="875">
      <c r="A875" s="6">
        <f>IFERROR(__xludf.DUMMYFUNCTION("""COMPUTED_VALUE"""),45390.0)</f>
        <v>45390</v>
      </c>
      <c r="B875">
        <f>IFERROR(__xludf.DUMMYFUNCTION("""COMPUTED_VALUE"""),10992.0)</f>
        <v>10992</v>
      </c>
      <c r="C875" t="str">
        <f>IFERROR(__xludf.DUMMYFUNCTION("""COMPUTED_VALUE"""),"Chef Craft 13467 Premium Silicone Spoon Spatula, 11.5, Blue")</f>
        <v>Chef Craft 13467 Premium Silicone Spoon Spatula, 11.5, Blue</v>
      </c>
      <c r="D875" t="str">
        <f>IFERROR(__xludf.DUMMYFUNCTION("""COMPUTED_VALUE"""),"B01BKAUK9E")</f>
        <v>B01BKAUK9E</v>
      </c>
      <c r="E875" t="str">
        <f>IFERROR(__xludf.DUMMYFUNCTION("""COMPUTED_VALUE"""),"085455134678")</f>
        <v>085455134678</v>
      </c>
      <c r="F875">
        <f>IFERROR(__xludf.DUMMYFUNCTION("""COMPUTED_VALUE"""),360.0)</f>
        <v>360</v>
      </c>
      <c r="G875">
        <f>IFERROR(__xludf.DUMMYFUNCTION("""COMPUTED_VALUE"""),10000.0)</f>
        <v>10000</v>
      </c>
      <c r="H875" s="2">
        <f>IFERROR(__xludf.DUMMYFUNCTION("""COMPUTED_VALUE"""),2.75)</f>
        <v>2.75</v>
      </c>
      <c r="I875" s="2">
        <f>IFERROR(__xludf.DUMMYFUNCTION("""COMPUTED_VALUE"""),3.42)</f>
        <v>3.42</v>
      </c>
      <c r="J875" s="2">
        <f>IFERROR(__xludf.DUMMYFUNCTION("""COMPUTED_VALUE"""),0.6699999999999999)</f>
        <v>0.67</v>
      </c>
      <c r="K875" s="5">
        <f>IFERROR(__xludf.DUMMYFUNCTION("""COMPUTED_VALUE"""),0.24363636363636362)</f>
        <v>0.2436363636</v>
      </c>
      <c r="L875">
        <f>IFERROR(__xludf.DUMMYFUNCTION("""COMPUTED_VALUE"""),55865.0)</f>
        <v>55865</v>
      </c>
      <c r="M875" t="str">
        <f>IFERROR(__xludf.DUMMYFUNCTION("""COMPUTED_VALUE"""),"Kitchen")</f>
        <v>Kitchen</v>
      </c>
      <c r="O875" t="str">
        <f>IFERROR(__xludf.DUMMYFUNCTION("""COMPUTED_VALUE"""),"Y")</f>
        <v>Y</v>
      </c>
      <c r="P875" s="1" t="str">
        <f>IFERROR(__xludf.DUMMYFUNCTION("""COMPUTED_VALUE"""),"ID 10992")</f>
        <v>ID 10992</v>
      </c>
      <c r="Q875" s="1" t="str">
        <f>IFERROR(__xludf.DUMMYFUNCTION("""COMPUTED_VALUE"""),"B01BKAUK9E")</f>
        <v>B01BKAUK9E</v>
      </c>
    </row>
    <row r="876">
      <c r="A876" s="6">
        <f>IFERROR(__xludf.DUMMYFUNCTION("""COMPUTED_VALUE"""),45362.0)</f>
        <v>45362</v>
      </c>
      <c r="B876">
        <f>IFERROR(__xludf.DUMMYFUNCTION("""COMPUTED_VALUE"""),19652.0)</f>
        <v>19652</v>
      </c>
      <c r="C876" t="str">
        <f>IFERROR(__xludf.DUMMYFUNCTION("""COMPUTED_VALUE"""),"Pentel Oh! Gel Retractable Gel Pen, 0.7mm, Black Ink, 2 Pack (K497BP2A)")</f>
        <v>Pentel Oh! Gel Retractable Gel Pen, 0.7mm, Black Ink, 2 Pack (K497BP2A)</v>
      </c>
      <c r="D876" t="str">
        <f>IFERROR(__xludf.DUMMYFUNCTION("""COMPUTED_VALUE"""),"B0047CP8BS")</f>
        <v>B0047CP8BS</v>
      </c>
      <c r="E876" t="str">
        <f>IFERROR(__xludf.DUMMYFUNCTION("""COMPUTED_VALUE"""),"072512240793")</f>
        <v>072512240793</v>
      </c>
      <c r="F876">
        <f>IFERROR(__xludf.DUMMYFUNCTION("""COMPUTED_VALUE"""),864.0)</f>
        <v>864</v>
      </c>
      <c r="G876">
        <f>IFERROR(__xludf.DUMMYFUNCTION("""COMPUTED_VALUE"""),10000.0)</f>
        <v>10000</v>
      </c>
      <c r="H876" s="2">
        <f>IFERROR(__xludf.DUMMYFUNCTION("""COMPUTED_VALUE"""),1.5)</f>
        <v>1.5</v>
      </c>
      <c r="I876" s="2">
        <f>IFERROR(__xludf.DUMMYFUNCTION("""COMPUTED_VALUE"""),2.17)</f>
        <v>2.17</v>
      </c>
      <c r="J876" s="2">
        <f>IFERROR(__xludf.DUMMYFUNCTION("""COMPUTED_VALUE"""),0.6699999999999999)</f>
        <v>0.67</v>
      </c>
      <c r="K876" s="5">
        <f>IFERROR(__xludf.DUMMYFUNCTION("""COMPUTED_VALUE"""),0.4466666666666666)</f>
        <v>0.4466666667</v>
      </c>
      <c r="L876">
        <f>IFERROR(__xludf.DUMMYFUNCTION("""COMPUTED_VALUE"""),92114.0)</f>
        <v>92114</v>
      </c>
      <c r="M876" t="str">
        <f>IFERROR(__xludf.DUMMYFUNCTION("""COMPUTED_VALUE"""),"Office Product")</f>
        <v>Office Product</v>
      </c>
      <c r="O876" t="str">
        <f>IFERROR(__xludf.DUMMYFUNCTION("""COMPUTED_VALUE"""),"N")</f>
        <v>N</v>
      </c>
      <c r="P876" s="1" t="str">
        <f>IFERROR(__xludf.DUMMYFUNCTION("""COMPUTED_VALUE"""),"ID 19652")</f>
        <v>ID 19652</v>
      </c>
      <c r="Q876" s="1" t="str">
        <f>IFERROR(__xludf.DUMMYFUNCTION("""COMPUTED_VALUE"""),"B0047CP8BS")</f>
        <v>B0047CP8BS</v>
      </c>
    </row>
    <row r="877">
      <c r="A877" s="6">
        <f>IFERROR(__xludf.DUMMYFUNCTION("""COMPUTED_VALUE"""),45362.0)</f>
        <v>45362</v>
      </c>
      <c r="B877">
        <f>IFERROR(__xludf.DUMMYFUNCTION("""COMPUTED_VALUE"""),19679.0)</f>
        <v>19679</v>
      </c>
      <c r="C877" t="str">
        <f>IFERROR(__xludf.DUMMYFUNCTION("""COMPUTED_VALUE"""),"Pentel Arts Sunburst Metallic Gel Pen, Medium Line, Permanent, Gold Ink, 2 Pack (K908BP2X)")</f>
        <v>Pentel Arts Sunburst Metallic Gel Pen, Medium Line, Permanent, Gold Ink, 2 Pack (K908BP2X)</v>
      </c>
      <c r="D877" t="str">
        <f>IFERROR(__xludf.DUMMYFUNCTION("""COMPUTED_VALUE"""),"B003XQFW9C")</f>
        <v>B003XQFW9C</v>
      </c>
      <c r="E877" t="str">
        <f>IFERROR(__xludf.DUMMYFUNCTION("""COMPUTED_VALUE"""),"072512225875")</f>
        <v>072512225875</v>
      </c>
      <c r="F877">
        <f>IFERROR(__xludf.DUMMYFUNCTION("""COMPUTED_VALUE"""),576.0)</f>
        <v>576</v>
      </c>
      <c r="G877">
        <f>IFERROR(__xludf.DUMMYFUNCTION("""COMPUTED_VALUE"""),10000.0)</f>
        <v>10000</v>
      </c>
      <c r="H877" s="2">
        <f>IFERROR(__xludf.DUMMYFUNCTION("""COMPUTED_VALUE"""),2.0)</f>
        <v>2</v>
      </c>
      <c r="I877" s="2">
        <f>IFERROR(__xludf.DUMMYFUNCTION("""COMPUTED_VALUE"""),2.67)</f>
        <v>2.67</v>
      </c>
      <c r="J877" s="2">
        <f>IFERROR(__xludf.DUMMYFUNCTION("""COMPUTED_VALUE"""),0.6699999999999999)</f>
        <v>0.67</v>
      </c>
      <c r="K877" s="5">
        <f>IFERROR(__xludf.DUMMYFUNCTION("""COMPUTED_VALUE"""),0.33499999999999996)</f>
        <v>0.335</v>
      </c>
      <c r="L877">
        <f>IFERROR(__xludf.DUMMYFUNCTION("""COMPUTED_VALUE"""),14691.0)</f>
        <v>14691</v>
      </c>
      <c r="M877" t="str">
        <f>IFERROR(__xludf.DUMMYFUNCTION("""COMPUTED_VALUE"""),"Office Product")</f>
        <v>Office Product</v>
      </c>
      <c r="O877" t="str">
        <f>IFERROR(__xludf.DUMMYFUNCTION("""COMPUTED_VALUE"""),"Y")</f>
        <v>Y</v>
      </c>
      <c r="P877" s="1" t="str">
        <f>IFERROR(__xludf.DUMMYFUNCTION("""COMPUTED_VALUE"""),"ID 19679")</f>
        <v>ID 19679</v>
      </c>
      <c r="Q877" s="1" t="str">
        <f>IFERROR(__xludf.DUMMYFUNCTION("""COMPUTED_VALUE"""),"B003XQFW9C")</f>
        <v>B003XQFW9C</v>
      </c>
    </row>
    <row r="878">
      <c r="A878" s="6">
        <f>IFERROR(__xludf.DUMMYFUNCTION("""COMPUTED_VALUE"""),44475.0)</f>
        <v>44475</v>
      </c>
      <c r="B878">
        <f>IFERROR(__xludf.DUMMYFUNCTION("""COMPUTED_VALUE"""),22425.0)</f>
        <v>22425</v>
      </c>
      <c r="C878" t="str">
        <f>IFERROR(__xludf.DUMMYFUNCTION("""COMPUTED_VALUE"""),"Oxford 3"" x 5"" Ruled Index Cards, Cherry, Pack of 100")</f>
        <v>Oxford 3" x 5" Ruled Index Cards, Cherry, Pack of 100</v>
      </c>
      <c r="D878" t="str">
        <f>IFERROR(__xludf.DUMMYFUNCTION("""COMPUTED_VALUE"""),"B00006ICCJ")</f>
        <v>B00006ICCJ</v>
      </c>
      <c r="E878" t="str">
        <f>IFERROR(__xludf.DUMMYFUNCTION("""COMPUTED_VALUE"""),"078787731110")</f>
        <v>078787731110</v>
      </c>
      <c r="F878">
        <f>IFERROR(__xludf.DUMMYFUNCTION("""COMPUTED_VALUE"""),1800.0)</f>
        <v>1800</v>
      </c>
      <c r="G878">
        <f>IFERROR(__xludf.DUMMYFUNCTION("""COMPUTED_VALUE"""),5000.0)</f>
        <v>5000</v>
      </c>
      <c r="H878" s="2">
        <f>IFERROR(__xludf.DUMMYFUNCTION("""COMPUTED_VALUE"""),1.5)</f>
        <v>1.5</v>
      </c>
      <c r="I878" s="2">
        <f>IFERROR(__xludf.DUMMYFUNCTION("""COMPUTED_VALUE"""),2.17)</f>
        <v>2.17</v>
      </c>
      <c r="J878" s="2">
        <f>IFERROR(__xludf.DUMMYFUNCTION("""COMPUTED_VALUE"""),0.6699999999999999)</f>
        <v>0.67</v>
      </c>
      <c r="K878" s="5">
        <f>IFERROR(__xludf.DUMMYFUNCTION("""COMPUTED_VALUE"""),0.4466666666666666)</f>
        <v>0.4466666667</v>
      </c>
      <c r="L878">
        <f>IFERROR(__xludf.DUMMYFUNCTION("""COMPUTED_VALUE"""),36833.0)</f>
        <v>36833</v>
      </c>
      <c r="M878" t="str">
        <f>IFERROR(__xludf.DUMMYFUNCTION("""COMPUTED_VALUE"""),"Office Product")</f>
        <v>Office Product</v>
      </c>
      <c r="N878"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878" t="str">
        <f>IFERROR(__xludf.DUMMYFUNCTION("""COMPUTED_VALUE"""),"N")</f>
        <v>N</v>
      </c>
      <c r="P878" s="1" t="str">
        <f>IFERROR(__xludf.DUMMYFUNCTION("""COMPUTED_VALUE"""),"ID 22425")</f>
        <v>ID 22425</v>
      </c>
      <c r="Q878" s="1" t="str">
        <f>IFERROR(__xludf.DUMMYFUNCTION("""COMPUTED_VALUE"""),"B00006ICCJ")</f>
        <v>B00006ICCJ</v>
      </c>
    </row>
    <row r="879">
      <c r="A879" s="6">
        <f>IFERROR(__xludf.DUMMYFUNCTION("""COMPUTED_VALUE"""),45196.0)</f>
        <v>45196</v>
      </c>
      <c r="B879">
        <f>IFERROR(__xludf.DUMMYFUNCTION("""COMPUTED_VALUE"""),24678.0)</f>
        <v>24678</v>
      </c>
      <c r="C879" t="str">
        <f>IFERROR(__xludf.DUMMYFUNCTION("""COMPUTED_VALUE"""),"EXPO Vis-A-Vis Wet-Erase Overhead Transparency Markers, Fine Point, Black, 4-Count")</f>
        <v>EXPO Vis-A-Vis Wet-Erase Overhead Transparency Markers, Fine Point, Black, 4-Count</v>
      </c>
      <c r="D879" t="str">
        <f>IFERROR(__xludf.DUMMYFUNCTION("""COMPUTED_VALUE"""),"B093QC6253")</f>
        <v>B093QC6253</v>
      </c>
      <c r="E879" t="str">
        <f>IFERROR(__xludf.DUMMYFUNCTION("""COMPUTED_VALUE"""),"71641188693")</f>
        <v>71641188693</v>
      </c>
      <c r="F879">
        <f>IFERROR(__xludf.DUMMYFUNCTION("""COMPUTED_VALUE"""),648.0)</f>
        <v>648</v>
      </c>
      <c r="G879">
        <f>IFERROR(__xludf.DUMMYFUNCTION("""COMPUTED_VALUE"""),10000.0)</f>
        <v>10000</v>
      </c>
      <c r="H879" s="2">
        <f>IFERROR(__xludf.DUMMYFUNCTION("""COMPUTED_VALUE"""),4.25)</f>
        <v>4.25</v>
      </c>
      <c r="I879" s="2">
        <f>IFERROR(__xludf.DUMMYFUNCTION("""COMPUTED_VALUE"""),4.92)</f>
        <v>4.92</v>
      </c>
      <c r="J879" s="2">
        <f>IFERROR(__xludf.DUMMYFUNCTION("""COMPUTED_VALUE"""),0.6699999999999999)</f>
        <v>0.67</v>
      </c>
      <c r="K879" s="5">
        <f>IFERROR(__xludf.DUMMYFUNCTION("""COMPUTED_VALUE"""),0.1576470588235294)</f>
        <v>0.1576470588</v>
      </c>
      <c r="L879">
        <f>IFERROR(__xludf.DUMMYFUNCTION("""COMPUTED_VALUE"""),7297.0)</f>
        <v>7297</v>
      </c>
      <c r="M879" t="str">
        <f>IFERROR(__xludf.DUMMYFUNCTION("""COMPUTED_VALUE"""),"BISS Basic")</f>
        <v>BISS Basic</v>
      </c>
      <c r="O879" t="str">
        <f>IFERROR(__xludf.DUMMYFUNCTION("""COMPUTED_VALUE"""),"N")</f>
        <v>N</v>
      </c>
      <c r="P879" s="1" t="str">
        <f>IFERROR(__xludf.DUMMYFUNCTION("""COMPUTED_VALUE"""),"ID 24678")</f>
        <v>ID 24678</v>
      </c>
      <c r="Q879" s="1" t="str">
        <f>IFERROR(__xludf.DUMMYFUNCTION("""COMPUTED_VALUE"""),"B093QC6253")</f>
        <v>B093QC6253</v>
      </c>
    </row>
    <row r="880">
      <c r="A880" s="6">
        <f>IFERROR(__xludf.DUMMYFUNCTION("""COMPUTED_VALUE"""),45250.0)</f>
        <v>45250</v>
      </c>
      <c r="B880">
        <f>IFERROR(__xludf.DUMMYFUNCTION("""COMPUTED_VALUE"""),4202.0)</f>
        <v>4202</v>
      </c>
      <c r="C880" t="str">
        <f>IFERROR(__xludf.DUMMYFUNCTION("""COMPUTED_VALUE"""),"Chef Craft Stainless Steel Salad Server")</f>
        <v>Chef Craft Stainless Steel Salad Server</v>
      </c>
      <c r="D880" t="str">
        <f>IFERROR(__xludf.DUMMYFUNCTION("""COMPUTED_VALUE"""),"B00A98QX4K")</f>
        <v>B00A98QX4K</v>
      </c>
      <c r="E880" t="str">
        <f>IFERROR(__xludf.DUMMYFUNCTION("""COMPUTED_VALUE"""),"085455101410")</f>
        <v>085455101410</v>
      </c>
      <c r="F880">
        <f>IFERROR(__xludf.DUMMYFUNCTION("""COMPUTED_VALUE"""),864.0)</f>
        <v>864</v>
      </c>
      <c r="G880">
        <f>IFERROR(__xludf.DUMMYFUNCTION("""COMPUTED_VALUE"""),5921.0)</f>
        <v>5921</v>
      </c>
      <c r="H880" s="2">
        <f>IFERROR(__xludf.DUMMYFUNCTION("""COMPUTED_VALUE"""),1.25)</f>
        <v>1.25</v>
      </c>
      <c r="I880" s="2">
        <f>IFERROR(__xludf.DUMMYFUNCTION("""COMPUTED_VALUE"""),1.91)</f>
        <v>1.91</v>
      </c>
      <c r="J880" s="2">
        <f>IFERROR(__xludf.DUMMYFUNCTION("""COMPUTED_VALUE"""),0.6599999999999999)</f>
        <v>0.66</v>
      </c>
      <c r="K880" s="5">
        <f>IFERROR(__xludf.DUMMYFUNCTION("""COMPUTED_VALUE"""),0.5279999999999999)</f>
        <v>0.528</v>
      </c>
      <c r="L880">
        <f>IFERROR(__xludf.DUMMYFUNCTION("""COMPUTED_VALUE"""),5697.0)</f>
        <v>5697</v>
      </c>
      <c r="M880" t="str">
        <f>IFERROR(__xludf.DUMMYFUNCTION("""COMPUTED_VALUE"""),"Kitchen")</f>
        <v>Kitchen</v>
      </c>
      <c r="O880" t="str">
        <f>IFERROR(__xludf.DUMMYFUNCTION("""COMPUTED_VALUE"""),"Y")</f>
        <v>Y</v>
      </c>
      <c r="P880" s="1" t="str">
        <f>IFERROR(__xludf.DUMMYFUNCTION("""COMPUTED_VALUE"""),"ID 4202")</f>
        <v>ID 4202</v>
      </c>
      <c r="Q880" s="1" t="str">
        <f>IFERROR(__xludf.DUMMYFUNCTION("""COMPUTED_VALUE"""),"B00A98QX4K")</f>
        <v>B00A98QX4K</v>
      </c>
    </row>
    <row r="881">
      <c r="A881" s="6">
        <f>IFERROR(__xludf.DUMMYFUNCTION("""COMPUTED_VALUE"""),45390.0)</f>
        <v>45390</v>
      </c>
      <c r="B881">
        <f>IFERROR(__xludf.DUMMYFUNCTION("""COMPUTED_VALUE"""),6262.0)</f>
        <v>6262</v>
      </c>
      <c r="C881" t="str">
        <f>IFERROR(__xludf.DUMMYFUNCTION("""COMPUTED_VALUE"""),"Chef Craft 21359 Ice Cube Tray, Green/Clear/Blue")</f>
        <v>Chef Craft 21359 Ice Cube Tray, Green/Clear/Blue</v>
      </c>
      <c r="D881" t="str">
        <f>IFERROR(__xludf.DUMMYFUNCTION("""COMPUTED_VALUE"""),"B004OV4X1I")</f>
        <v>B004OV4X1I</v>
      </c>
      <c r="E881" t="str">
        <f>IFERROR(__xludf.DUMMYFUNCTION("""COMPUTED_VALUE"""),"085455213595")</f>
        <v>085455213595</v>
      </c>
      <c r="F881">
        <f>IFERROR(__xludf.DUMMYFUNCTION("""COMPUTED_VALUE"""),864.0)</f>
        <v>864</v>
      </c>
      <c r="G881">
        <f>IFERROR(__xludf.DUMMYFUNCTION("""COMPUTED_VALUE"""),10000.0)</f>
        <v>10000</v>
      </c>
      <c r="H881" s="2">
        <f>IFERROR(__xludf.DUMMYFUNCTION("""COMPUTED_VALUE"""),1.25)</f>
        <v>1.25</v>
      </c>
      <c r="I881" s="2">
        <f>IFERROR(__xludf.DUMMYFUNCTION("""COMPUTED_VALUE"""),1.91)</f>
        <v>1.91</v>
      </c>
      <c r="J881" s="2">
        <f>IFERROR(__xludf.DUMMYFUNCTION("""COMPUTED_VALUE"""),0.6599999999999999)</f>
        <v>0.66</v>
      </c>
      <c r="K881" s="5">
        <f>IFERROR(__xludf.DUMMYFUNCTION("""COMPUTED_VALUE"""),0.5279999999999999)</f>
        <v>0.528</v>
      </c>
      <c r="L881">
        <f>IFERROR(__xludf.DUMMYFUNCTION("""COMPUTED_VALUE"""),91123.0)</f>
        <v>91123</v>
      </c>
      <c r="M881" t="str">
        <f>IFERROR(__xludf.DUMMYFUNCTION("""COMPUTED_VALUE"""),"Kitchen")</f>
        <v>Kitchen</v>
      </c>
      <c r="O881" t="str">
        <f>IFERROR(__xludf.DUMMYFUNCTION("""COMPUTED_VALUE"""),"Y")</f>
        <v>Y</v>
      </c>
      <c r="P881" s="1" t="str">
        <f>IFERROR(__xludf.DUMMYFUNCTION("""COMPUTED_VALUE"""),"ID 6262")</f>
        <v>ID 6262</v>
      </c>
      <c r="Q881" s="1" t="str">
        <f>IFERROR(__xludf.DUMMYFUNCTION("""COMPUTED_VALUE"""),"B004OV4X1I")</f>
        <v>B004OV4X1I</v>
      </c>
    </row>
    <row r="882">
      <c r="A882" s="6">
        <f>IFERROR(__xludf.DUMMYFUNCTION("""COMPUTED_VALUE"""),44903.0)</f>
        <v>44903</v>
      </c>
      <c r="B882">
        <f>IFERROR(__xludf.DUMMYFUNCTION("""COMPUTED_VALUE"""),14785.0)</f>
        <v>14785</v>
      </c>
      <c r="C882" t="str">
        <f>IFERROR(__xludf.DUMMYFUNCTION("""COMPUTED_VALUE"""),"Perry Ellis Pure Blue Eau De Toilette Spray for Men, 3.4 Ounce")</f>
        <v>Perry Ellis Pure Blue Eau De Toilette Spray for Men, 3.4 Ounce</v>
      </c>
      <c r="D882" t="str">
        <f>IFERROR(__xludf.DUMMYFUNCTION("""COMPUTED_VALUE"""),"B07S97BNDS")</f>
        <v>B07S97BNDS</v>
      </c>
      <c r="E882" t="str">
        <f>IFERROR(__xludf.DUMMYFUNCTION("""COMPUTED_VALUE"""),"844061012417")</f>
        <v>844061012417</v>
      </c>
      <c r="F882">
        <f>IFERROR(__xludf.DUMMYFUNCTION("""COMPUTED_VALUE"""),70.0)</f>
        <v>70</v>
      </c>
      <c r="G882">
        <f>IFERROR(__xludf.DUMMYFUNCTION("""COMPUTED_VALUE"""),1000.0)</f>
        <v>1000</v>
      </c>
      <c r="H882" s="2">
        <f>IFERROR(__xludf.DUMMYFUNCTION("""COMPUTED_VALUE"""),21.25)</f>
        <v>21.25</v>
      </c>
      <c r="I882" s="2">
        <f>IFERROR(__xludf.DUMMYFUNCTION("""COMPUTED_VALUE"""),21.91)</f>
        <v>21.91</v>
      </c>
      <c r="J882" s="2">
        <f>IFERROR(__xludf.DUMMYFUNCTION("""COMPUTED_VALUE"""),0.6600000000000001)</f>
        <v>0.66</v>
      </c>
      <c r="K882" s="5">
        <f>IFERROR(__xludf.DUMMYFUNCTION("""COMPUTED_VALUE"""),0.03105882352941177)</f>
        <v>0.03105882353</v>
      </c>
      <c r="L882">
        <f>IFERROR(__xludf.DUMMYFUNCTION("""COMPUTED_VALUE"""),48500.0)</f>
        <v>48500</v>
      </c>
      <c r="M882" t="str">
        <f>IFERROR(__xludf.DUMMYFUNCTION("""COMPUTED_VALUE"""),"Beauty")</f>
        <v>Beauty</v>
      </c>
      <c r="O882" t="str">
        <f>IFERROR(__xludf.DUMMYFUNCTION("""COMPUTED_VALUE"""),"Y")</f>
        <v>Y</v>
      </c>
      <c r="P882" s="1" t="str">
        <f>IFERROR(__xludf.DUMMYFUNCTION("""COMPUTED_VALUE"""),"ID 14785")</f>
        <v>ID 14785</v>
      </c>
      <c r="Q882" s="1" t="str">
        <f>IFERROR(__xludf.DUMMYFUNCTION("""COMPUTED_VALUE"""),"B07S97BNDS")</f>
        <v>B07S97BNDS</v>
      </c>
    </row>
    <row r="883">
      <c r="A883" s="6">
        <f>IFERROR(__xludf.DUMMYFUNCTION("""COMPUTED_VALUE"""),45376.0)</f>
        <v>45376</v>
      </c>
      <c r="B883">
        <f>IFERROR(__xludf.DUMMYFUNCTION("""COMPUTED_VALUE"""),17087.0)</f>
        <v>17087</v>
      </c>
      <c r="C883" t="str">
        <f>IFERROR(__xludf.DUMMYFUNCTION("""COMPUTED_VALUE"""),"PRANG Ready-to-Use Washable Tempera Paint, 16-Ounce Bottle, Red (10701)")</f>
        <v>PRANG Ready-to-Use Washable Tempera Paint, 16-Ounce Bottle, Red (10701)</v>
      </c>
      <c r="D883" t="str">
        <f>IFERROR(__xludf.DUMMYFUNCTION("""COMPUTED_VALUE"""),"B000QE2WDS")</f>
        <v>B000QE2WDS</v>
      </c>
      <c r="E883" t="str">
        <f>IFERROR(__xludf.DUMMYFUNCTION("""COMPUTED_VALUE"""),"072067107015")</f>
        <v>072067107015</v>
      </c>
      <c r="F883">
        <f>IFERROR(__xludf.DUMMYFUNCTION("""COMPUTED_VALUE"""),1668.0)</f>
        <v>1668</v>
      </c>
      <c r="G883">
        <f>IFERROR(__xludf.DUMMYFUNCTION("""COMPUTED_VALUE"""),10000.0)</f>
        <v>10000</v>
      </c>
      <c r="H883" s="2">
        <f>IFERROR(__xludf.DUMMYFUNCTION("""COMPUTED_VALUE"""),2.25)</f>
        <v>2.25</v>
      </c>
      <c r="I883" s="2">
        <f>IFERROR(__xludf.DUMMYFUNCTION("""COMPUTED_VALUE"""),2.91)</f>
        <v>2.91</v>
      </c>
      <c r="J883" s="2">
        <f>IFERROR(__xludf.DUMMYFUNCTION("""COMPUTED_VALUE"""),0.6600000000000001)</f>
        <v>0.66</v>
      </c>
      <c r="K883" s="5">
        <f>IFERROR(__xludf.DUMMYFUNCTION("""COMPUTED_VALUE"""),0.2933333333333334)</f>
        <v>0.2933333333</v>
      </c>
      <c r="L883">
        <f>IFERROR(__xludf.DUMMYFUNCTION("""COMPUTED_VALUE"""),6349.0)</f>
        <v>6349</v>
      </c>
      <c r="M883" t="str">
        <f>IFERROR(__xludf.DUMMYFUNCTION("""COMPUTED_VALUE"""),"BISS Basic")</f>
        <v>BISS Basic</v>
      </c>
      <c r="O883" t="str">
        <f>IFERROR(__xludf.DUMMYFUNCTION("""COMPUTED_VALUE"""),"Y")</f>
        <v>Y</v>
      </c>
      <c r="P883" s="1" t="str">
        <f>IFERROR(__xludf.DUMMYFUNCTION("""COMPUTED_VALUE"""),"ID 17087")</f>
        <v>ID 17087</v>
      </c>
      <c r="Q883" s="1" t="str">
        <f>IFERROR(__xludf.DUMMYFUNCTION("""COMPUTED_VALUE"""),"B000QE2WDS")</f>
        <v>B000QE2WDS</v>
      </c>
    </row>
    <row r="884">
      <c r="A884" s="6">
        <f>IFERROR(__xludf.DUMMYFUNCTION("""COMPUTED_VALUE"""),45159.0)</f>
        <v>45159</v>
      </c>
      <c r="B884">
        <f>IFERROR(__xludf.DUMMYFUNCTION("""COMPUTED_VALUE"""),17941.0)</f>
        <v>17941</v>
      </c>
      <c r="C884" t="str">
        <f>IFERROR(__xludf.DUMMYFUNCTION("""COMPUTED_VALUE"""),"Northpoint 190613 Vintage Sand Castle Lantern 12 LED 150 Lumen")</f>
        <v>Northpoint 190613 Vintage Sand Castle Lantern 12 LED 150 Lumen</v>
      </c>
      <c r="D884" t="str">
        <f>IFERROR(__xludf.DUMMYFUNCTION("""COMPUTED_VALUE"""),"B07B66ZKPV")</f>
        <v>B07B66ZKPV</v>
      </c>
      <c r="E884" t="str">
        <f>IFERROR(__xludf.DUMMYFUNCTION("""COMPUTED_VALUE"""),"736386008094")</f>
        <v>736386008094</v>
      </c>
      <c r="F884">
        <f>IFERROR(__xludf.DUMMYFUNCTION("""COMPUTED_VALUE"""),240.0)</f>
        <v>240</v>
      </c>
      <c r="G884">
        <f>IFERROR(__xludf.DUMMYFUNCTION("""COMPUTED_VALUE"""),504.0)</f>
        <v>504</v>
      </c>
      <c r="H884" s="2">
        <f>IFERROR(__xludf.DUMMYFUNCTION("""COMPUTED_VALUE"""),6.5)</f>
        <v>6.5</v>
      </c>
      <c r="I884" s="2">
        <f>IFERROR(__xludf.DUMMYFUNCTION("""COMPUTED_VALUE"""),7.16)</f>
        <v>7.16</v>
      </c>
      <c r="J884" s="2">
        <f>IFERROR(__xludf.DUMMYFUNCTION("""COMPUTED_VALUE"""),0.6600000000000001)</f>
        <v>0.66</v>
      </c>
      <c r="K884" s="5">
        <f>IFERROR(__xludf.DUMMYFUNCTION("""COMPUTED_VALUE"""),0.10153846153846156)</f>
        <v>0.1015384615</v>
      </c>
      <c r="L884">
        <f>IFERROR(__xludf.DUMMYFUNCTION("""COMPUTED_VALUE"""),62727.0)</f>
        <v>62727</v>
      </c>
      <c r="M884" t="str">
        <f>IFERROR(__xludf.DUMMYFUNCTION("""COMPUTED_VALUE"""),"Home")</f>
        <v>Home</v>
      </c>
      <c r="N884" t="str">
        <f>IFERROR(__xludf.DUMMYFUNCTION("""COMPUTED_VALUE"""),"Prop 65 report avail. Not sellable in California")</f>
        <v>Prop 65 report avail. Not sellable in California</v>
      </c>
      <c r="O884" t="str">
        <f>IFERROR(__xludf.DUMMYFUNCTION("""COMPUTED_VALUE"""),"N")</f>
        <v>N</v>
      </c>
      <c r="P884" s="1" t="str">
        <f>IFERROR(__xludf.DUMMYFUNCTION("""COMPUTED_VALUE"""),"ID 17941")</f>
        <v>ID 17941</v>
      </c>
      <c r="Q884" s="1" t="str">
        <f>IFERROR(__xludf.DUMMYFUNCTION("""COMPUTED_VALUE"""),"B07B66ZKPV")</f>
        <v>B07B66ZKPV</v>
      </c>
    </row>
    <row r="885">
      <c r="A885" s="6">
        <f>IFERROR(__xludf.DUMMYFUNCTION("""COMPUTED_VALUE"""),45364.0)</f>
        <v>45364</v>
      </c>
      <c r="B885">
        <f>IFERROR(__xludf.DUMMYFUNCTION("""COMPUTED_VALUE"""),22364.0)</f>
        <v>22364</v>
      </c>
      <c r="C885" t="str">
        <f>IFERROR(__xludf.DUMMYFUNCTION("""COMPUTED_VALUE"""),"Rediform Visitors Log Book, Wirebound, White, 11 x 8.5 Inches, 50 Pages (9G620)")</f>
        <v>Rediform Visitors Log Book, Wirebound, White, 11 x 8.5 Inches, 50 Pages (9G620)</v>
      </c>
      <c r="D885" t="str">
        <f>IFERROR(__xludf.DUMMYFUNCTION("""COMPUTED_VALUE"""),"B000QHR12C")</f>
        <v>B000QHR12C</v>
      </c>
      <c r="E885" t="str">
        <f>IFERROR(__xludf.DUMMYFUNCTION("""COMPUTED_VALUE"""),"077925946201")</f>
        <v>077925946201</v>
      </c>
      <c r="F885">
        <f>IFERROR(__xludf.DUMMYFUNCTION("""COMPUTED_VALUE"""),144.0)</f>
        <v>144</v>
      </c>
      <c r="G885">
        <f>IFERROR(__xludf.DUMMYFUNCTION("""COMPUTED_VALUE"""),10000.0)</f>
        <v>10000</v>
      </c>
      <c r="H885" s="2">
        <f>IFERROR(__xludf.DUMMYFUNCTION("""COMPUTED_VALUE"""),8.5)</f>
        <v>8.5</v>
      </c>
      <c r="I885" s="2">
        <f>IFERROR(__xludf.DUMMYFUNCTION("""COMPUTED_VALUE"""),9.16)</f>
        <v>9.16</v>
      </c>
      <c r="J885" s="2">
        <f>IFERROR(__xludf.DUMMYFUNCTION("""COMPUTED_VALUE"""),0.6600000000000001)</f>
        <v>0.66</v>
      </c>
      <c r="K885" s="5">
        <f>IFERROR(__xludf.DUMMYFUNCTION("""COMPUTED_VALUE"""),0.07764705882352943)</f>
        <v>0.07764705882</v>
      </c>
      <c r="L885">
        <f>IFERROR(__xludf.DUMMYFUNCTION("""COMPUTED_VALUE"""),70393.0)</f>
        <v>70393</v>
      </c>
      <c r="M885" t="str">
        <f>IFERROR(__xludf.DUMMYFUNCTION("""COMPUTED_VALUE"""),"Office Product")</f>
        <v>Office Product</v>
      </c>
      <c r="O885" t="str">
        <f>IFERROR(__xludf.DUMMYFUNCTION("""COMPUTED_VALUE"""),"Y")</f>
        <v>Y</v>
      </c>
      <c r="P885" s="1" t="str">
        <f>IFERROR(__xludf.DUMMYFUNCTION("""COMPUTED_VALUE"""),"ID 22364")</f>
        <v>ID 22364</v>
      </c>
      <c r="Q885" s="1" t="str">
        <f>IFERROR(__xludf.DUMMYFUNCTION("""COMPUTED_VALUE"""),"B000QHR12C")</f>
        <v>B000QHR12C</v>
      </c>
    </row>
    <row r="886">
      <c r="A886" s="6">
        <f>IFERROR(__xludf.DUMMYFUNCTION("""COMPUTED_VALUE"""),45429.0)</f>
        <v>45429</v>
      </c>
      <c r="B886">
        <f>IFERROR(__xludf.DUMMYFUNCTION("""COMPUTED_VALUE"""),24364.0)</f>
        <v>24364</v>
      </c>
      <c r="C886" t="str">
        <f>IFERROR(__xludf.DUMMYFUNCTION("""COMPUTED_VALUE"""),"SKIN MUSK (Original Long Lasting Formula) Perfume Oil by Parfums de Coeur (formerly by Bonne Bell), 0.50 fl oz")</f>
        <v>SKIN MUSK (Original Long Lasting Formula) Perfume Oil by Parfums de Coeur (formerly by Bonne Bell), 0.50 fl oz</v>
      </c>
      <c r="D886" t="str">
        <f>IFERROR(__xludf.DUMMYFUNCTION("""COMPUTED_VALUE"""),"B00GS0OWSC")</f>
        <v>B00GS0OWSC</v>
      </c>
      <c r="E886" t="str">
        <f>IFERROR(__xludf.DUMMYFUNCTION("""COMPUTED_VALUE"""),"026169027016")</f>
        <v>026169027016</v>
      </c>
      <c r="F886">
        <f>IFERROR(__xludf.DUMMYFUNCTION("""COMPUTED_VALUE"""),160.0)</f>
        <v>160</v>
      </c>
      <c r="G886">
        <f>IFERROR(__xludf.DUMMYFUNCTION("""COMPUTED_VALUE"""),10000.0)</f>
        <v>10000</v>
      </c>
      <c r="H886" s="2">
        <f>IFERROR(__xludf.DUMMYFUNCTION("""COMPUTED_VALUE"""),8.25)</f>
        <v>8.25</v>
      </c>
      <c r="I886" s="2">
        <f>IFERROR(__xludf.DUMMYFUNCTION("""COMPUTED_VALUE"""),8.91)</f>
        <v>8.91</v>
      </c>
      <c r="J886" s="2">
        <f>IFERROR(__xludf.DUMMYFUNCTION("""COMPUTED_VALUE"""),0.6600000000000001)</f>
        <v>0.66</v>
      </c>
      <c r="K886" s="5">
        <f>IFERROR(__xludf.DUMMYFUNCTION("""COMPUTED_VALUE"""),0.08000000000000002)</f>
        <v>0.08</v>
      </c>
      <c r="L886">
        <f>IFERROR(__xludf.DUMMYFUNCTION("""COMPUTED_VALUE"""),27337.0)</f>
        <v>27337</v>
      </c>
      <c r="M886" t="str">
        <f>IFERROR(__xludf.DUMMYFUNCTION("""COMPUTED_VALUE"""),"Beauty")</f>
        <v>Beauty</v>
      </c>
      <c r="O886" t="str">
        <f>IFERROR(__xludf.DUMMYFUNCTION("""COMPUTED_VALUE"""),"N")</f>
        <v>N</v>
      </c>
      <c r="P886" s="1" t="str">
        <f>IFERROR(__xludf.DUMMYFUNCTION("""COMPUTED_VALUE"""),"ID 24364")</f>
        <v>ID 24364</v>
      </c>
      <c r="Q886" s="1" t="str">
        <f>IFERROR(__xludf.DUMMYFUNCTION("""COMPUTED_VALUE"""),"B00GS0OWSC")</f>
        <v>B00GS0OWSC</v>
      </c>
    </row>
    <row r="887">
      <c r="A887" s="6">
        <f>IFERROR(__xludf.DUMMYFUNCTION("""COMPUTED_VALUE"""),45113.0)</f>
        <v>45113</v>
      </c>
      <c r="B887">
        <f>IFERROR(__xludf.DUMMYFUNCTION("""COMPUTED_VALUE"""),24671.0)</f>
        <v>24671</v>
      </c>
      <c r="C887" t="str">
        <f>IFERROR(__xludf.DUMMYFUNCTION("""COMPUTED_VALUE"""),"Sharpie Fine Point Permanent Marker Open Stock-Berry")</f>
        <v>Sharpie Fine Point Permanent Marker Open Stock-Berry</v>
      </c>
      <c r="D887" t="str">
        <f>IFERROR(__xludf.DUMMYFUNCTION("""COMPUTED_VALUE"""),"B00ED3NG8S")</f>
        <v>B00ED3NG8S</v>
      </c>
      <c r="E887" t="str">
        <f>IFERROR(__xludf.DUMMYFUNCTION("""COMPUTED_VALUE"""),"071641301283")</f>
        <v>071641301283</v>
      </c>
      <c r="F887">
        <f>IFERROR(__xludf.DUMMYFUNCTION("""COMPUTED_VALUE"""),3600.0)</f>
        <v>3600</v>
      </c>
      <c r="G887">
        <f>IFERROR(__xludf.DUMMYFUNCTION("""COMPUTED_VALUE"""),10000.0)</f>
        <v>10000</v>
      </c>
      <c r="H887" s="2">
        <f>IFERROR(__xludf.DUMMYFUNCTION("""COMPUTED_VALUE"""),1.0)</f>
        <v>1</v>
      </c>
      <c r="I887" s="2">
        <f>IFERROR(__xludf.DUMMYFUNCTION("""COMPUTED_VALUE"""),1.66)</f>
        <v>1.66</v>
      </c>
      <c r="J887" s="2">
        <f>IFERROR(__xludf.DUMMYFUNCTION("""COMPUTED_VALUE"""),0.6599999999999999)</f>
        <v>0.66</v>
      </c>
      <c r="K887" s="5">
        <f>IFERROR(__xludf.DUMMYFUNCTION("""COMPUTED_VALUE"""),0.6599999999999999)</f>
        <v>0.66</v>
      </c>
      <c r="L887">
        <f>IFERROR(__xludf.DUMMYFUNCTION("""COMPUTED_VALUE"""),66300.0)</f>
        <v>66300</v>
      </c>
      <c r="M887" t="str">
        <f>IFERROR(__xludf.DUMMYFUNCTION("""COMPUTED_VALUE"""),"Office Product")</f>
        <v>Office Product</v>
      </c>
      <c r="N887" t="str">
        <f>IFERROR(__xludf.DUMMYFUNCTION("""COMPUTED_VALUE"""),"UOM: 1 single unit. Prep buyers responsibility")</f>
        <v>UOM: 1 single unit. Prep buyers responsibility</v>
      </c>
      <c r="O887" t="str">
        <f>IFERROR(__xludf.DUMMYFUNCTION("""COMPUTED_VALUE"""),"N")</f>
        <v>N</v>
      </c>
      <c r="P887" s="1" t="str">
        <f>IFERROR(__xludf.DUMMYFUNCTION("""COMPUTED_VALUE"""),"ID 24671")</f>
        <v>ID 24671</v>
      </c>
      <c r="Q887" s="1" t="str">
        <f>IFERROR(__xludf.DUMMYFUNCTION("""COMPUTED_VALUE"""),"B00ED3NG8S")</f>
        <v>B00ED3NG8S</v>
      </c>
    </row>
    <row r="888">
      <c r="A888" s="6">
        <f>IFERROR(__xludf.DUMMYFUNCTION("""COMPUTED_VALUE"""),45034.0)</f>
        <v>45034</v>
      </c>
      <c r="B888">
        <f>IFERROR(__xludf.DUMMYFUNCTION("""COMPUTED_VALUE"""),18350.0)</f>
        <v>18350</v>
      </c>
      <c r="C888" t="str">
        <f>IFERROR(__xludf.DUMMYFUNCTION("""COMPUTED_VALUE"""),"Swingline S.F. 13 Heavy-Duty 3/8 inch Leg Staples, 60-Sheet Capacity, 1000/Box")</f>
        <v>Swingline S.F. 13 Heavy-Duty 3/8 inch Leg Staples, 60-Sheet Capacity, 1000/Box</v>
      </c>
      <c r="D888" t="str">
        <f>IFERROR(__xludf.DUMMYFUNCTION("""COMPUTED_VALUE"""),"B003BLE7F4")</f>
        <v>B003BLE7F4</v>
      </c>
      <c r="E888" t="str">
        <f>IFERROR(__xludf.DUMMYFUNCTION("""COMPUTED_VALUE"""),"074711353182")</f>
        <v>074711353182</v>
      </c>
      <c r="F888">
        <f>IFERROR(__xludf.DUMMYFUNCTION("""COMPUTED_VALUE"""),460.0)</f>
        <v>460</v>
      </c>
      <c r="G888">
        <f>IFERROR(__xludf.DUMMYFUNCTION("""COMPUTED_VALUE"""),10000.0)</f>
        <v>10000</v>
      </c>
      <c r="H888" s="2">
        <f>IFERROR(__xludf.DUMMYFUNCTION("""COMPUTED_VALUE"""),5.25)</f>
        <v>5.25</v>
      </c>
      <c r="I888" s="2">
        <f>IFERROR(__xludf.DUMMYFUNCTION("""COMPUTED_VALUE"""),5.9)</f>
        <v>5.9</v>
      </c>
      <c r="J888" s="2">
        <f>IFERROR(__xludf.DUMMYFUNCTION("""COMPUTED_VALUE"""),0.6500000000000004)</f>
        <v>0.65</v>
      </c>
      <c r="K888" s="5">
        <f>IFERROR(__xludf.DUMMYFUNCTION("""COMPUTED_VALUE"""),0.12380952380952388)</f>
        <v>0.1238095238</v>
      </c>
      <c r="L888">
        <f>IFERROR(__xludf.DUMMYFUNCTION("""COMPUTED_VALUE"""),87174.0)</f>
        <v>87174</v>
      </c>
      <c r="M888" t="str">
        <f>IFERROR(__xludf.DUMMYFUNCTION("""COMPUTED_VALUE"""),"Office Product")</f>
        <v>Office Product</v>
      </c>
      <c r="O888" t="str">
        <f>IFERROR(__xludf.DUMMYFUNCTION("""COMPUTED_VALUE"""),"N")</f>
        <v>N</v>
      </c>
      <c r="P888" s="1" t="str">
        <f>IFERROR(__xludf.DUMMYFUNCTION("""COMPUTED_VALUE"""),"ID 18350")</f>
        <v>ID 18350</v>
      </c>
      <c r="Q888" s="1" t="str">
        <f>IFERROR(__xludf.DUMMYFUNCTION("""COMPUTED_VALUE"""),"B003BLE7F4")</f>
        <v>B003BLE7F4</v>
      </c>
    </row>
    <row r="889">
      <c r="A889" s="6">
        <f>IFERROR(__xludf.DUMMYFUNCTION("""COMPUTED_VALUE"""),45166.0)</f>
        <v>45166</v>
      </c>
      <c r="B889">
        <f>IFERROR(__xludf.DUMMYFUNCTION("""COMPUTED_VALUE"""),18485.0)</f>
        <v>18485</v>
      </c>
      <c r="C889" t="str">
        <f>IFERROR(__xludf.DUMMYFUNCTION("""COMPUTED_VALUE"""),"Cardinal OneStep 24 Tab Binder Dividers for 3 Ring Binder, Index Table of Content Dividers, 1 Set (60960)")</f>
        <v>Cardinal OneStep 24 Tab Binder Dividers for 3 Ring Binder, Index Table of Content Dividers, 1 Set (60960)</v>
      </c>
      <c r="D889" t="str">
        <f>IFERROR(__xludf.DUMMYFUNCTION("""COMPUTED_VALUE"""),"B009US20EW")</f>
        <v>B009US20EW</v>
      </c>
      <c r="E889" t="str">
        <f>IFERROR(__xludf.DUMMYFUNCTION("""COMPUTED_VALUE"""),"083086609602")</f>
        <v>083086609602</v>
      </c>
      <c r="F889">
        <f>IFERROR(__xludf.DUMMYFUNCTION("""COMPUTED_VALUE"""),490.0)</f>
        <v>490</v>
      </c>
      <c r="G889">
        <f>IFERROR(__xludf.DUMMYFUNCTION("""COMPUTED_VALUE"""),10000.0)</f>
        <v>10000</v>
      </c>
      <c r="H889" s="2">
        <f>IFERROR(__xludf.DUMMYFUNCTION("""COMPUTED_VALUE"""),5.0)</f>
        <v>5</v>
      </c>
      <c r="I889" s="2">
        <f>IFERROR(__xludf.DUMMYFUNCTION("""COMPUTED_VALUE"""),5.65)</f>
        <v>5.65</v>
      </c>
      <c r="J889" s="2">
        <f>IFERROR(__xludf.DUMMYFUNCTION("""COMPUTED_VALUE"""),0.6500000000000004)</f>
        <v>0.65</v>
      </c>
      <c r="K889" s="5">
        <f>IFERROR(__xludf.DUMMYFUNCTION("""COMPUTED_VALUE"""),0.13000000000000006)</f>
        <v>0.13</v>
      </c>
      <c r="L889">
        <f>IFERROR(__xludf.DUMMYFUNCTION("""COMPUTED_VALUE"""),70057.0)</f>
        <v>70057</v>
      </c>
      <c r="M889" t="str">
        <f>IFERROR(__xludf.DUMMYFUNCTION("""COMPUTED_VALUE"""),"Office Product")</f>
        <v>Office Product</v>
      </c>
      <c r="O889" t="str">
        <f>IFERROR(__xludf.DUMMYFUNCTION("""COMPUTED_VALUE"""),"Y")</f>
        <v>Y</v>
      </c>
      <c r="P889" s="1" t="str">
        <f>IFERROR(__xludf.DUMMYFUNCTION("""COMPUTED_VALUE"""),"ID 18485")</f>
        <v>ID 18485</v>
      </c>
      <c r="Q889" s="1" t="str">
        <f>IFERROR(__xludf.DUMMYFUNCTION("""COMPUTED_VALUE"""),"B009US20EW")</f>
        <v>B009US20EW</v>
      </c>
    </row>
    <row r="890">
      <c r="A890" s="6">
        <f>IFERROR(__xludf.DUMMYFUNCTION("""COMPUTED_VALUE"""),45362.0)</f>
        <v>45362</v>
      </c>
      <c r="B890">
        <f>IFERROR(__xludf.DUMMYFUNCTION("""COMPUTED_VALUE"""),19721.0)</f>
        <v>19721</v>
      </c>
      <c r="C890" t="str">
        <f>IFERROR(__xludf.DUMMYFUNCTION("""COMPUTED_VALUE"""),"Pentel EnerGel Gel Ink Pen, (1.0mm), Bold Point, Metal Tip, Black Ink, 2 Pack (BL60BP2A)")</f>
        <v>Pentel EnerGel Gel Ink Pen, (1.0mm), Bold Point, Metal Tip, Black Ink, 2 Pack (BL60BP2A)</v>
      </c>
      <c r="D890" t="str">
        <f>IFERROR(__xludf.DUMMYFUNCTION("""COMPUTED_VALUE"""),"B005PFEOAM")</f>
        <v>B005PFEOAM</v>
      </c>
      <c r="E890" t="str">
        <f>IFERROR(__xludf.DUMMYFUNCTION("""COMPUTED_VALUE"""),"072512234822")</f>
        <v>072512234822</v>
      </c>
      <c r="F890">
        <f>IFERROR(__xludf.DUMMYFUNCTION("""COMPUTED_VALUE"""),576.0)</f>
        <v>576</v>
      </c>
      <c r="G890">
        <f>IFERROR(__xludf.DUMMYFUNCTION("""COMPUTED_VALUE"""),10000.0)</f>
        <v>10000</v>
      </c>
      <c r="H890" s="2">
        <f>IFERROR(__xludf.DUMMYFUNCTION("""COMPUTED_VALUE"""),3.0)</f>
        <v>3</v>
      </c>
      <c r="I890" s="2">
        <f>IFERROR(__xludf.DUMMYFUNCTION("""COMPUTED_VALUE"""),3.65)</f>
        <v>3.65</v>
      </c>
      <c r="J890" s="2">
        <f>IFERROR(__xludf.DUMMYFUNCTION("""COMPUTED_VALUE"""),0.6499999999999999)</f>
        <v>0.65</v>
      </c>
      <c r="K890" s="5">
        <f>IFERROR(__xludf.DUMMYFUNCTION("""COMPUTED_VALUE"""),0.21666666666666665)</f>
        <v>0.2166666667</v>
      </c>
      <c r="L890">
        <f>IFERROR(__xludf.DUMMYFUNCTION("""COMPUTED_VALUE"""),40980.0)</f>
        <v>40980</v>
      </c>
      <c r="M890" t="str">
        <f>IFERROR(__xludf.DUMMYFUNCTION("""COMPUTED_VALUE"""),"Office Product")</f>
        <v>Office Product</v>
      </c>
      <c r="O890" t="str">
        <f>IFERROR(__xludf.DUMMYFUNCTION("""COMPUTED_VALUE"""),"Y")</f>
        <v>Y</v>
      </c>
      <c r="P890" s="1" t="str">
        <f>IFERROR(__xludf.DUMMYFUNCTION("""COMPUTED_VALUE"""),"ID 19721")</f>
        <v>ID 19721</v>
      </c>
      <c r="Q890" s="1" t="str">
        <f>IFERROR(__xludf.DUMMYFUNCTION("""COMPUTED_VALUE"""),"B005PFEOAM")</f>
        <v>B005PFEOAM</v>
      </c>
    </row>
    <row r="891">
      <c r="A891" s="6">
        <f>IFERROR(__xludf.DUMMYFUNCTION("""COMPUTED_VALUE"""),45364.0)</f>
        <v>45364</v>
      </c>
      <c r="B891">
        <f>IFERROR(__xludf.DUMMYFUNCTION("""COMPUTED_VALUE"""),22587.0)</f>
        <v>22587</v>
      </c>
      <c r="C891" t="str">
        <f>IFERROR(__xludf.DUMMYFUNCTION("""COMPUTED_VALUE"""),"Blueline Steno Pad/Note Pad, Spiral Binding with Flexible Blue Cover, 9 x 6 x 0.813 Inches, 360 Pages (AT35B)")</f>
        <v>Blueline Steno Pad/Note Pad, Spiral Binding with Flexible Blue Cover, 9 x 6 x 0.813 Inches, 360 Pages (AT35B)</v>
      </c>
      <c r="D891" t="str">
        <f>IFERROR(__xludf.DUMMYFUNCTION("""COMPUTED_VALUE"""),"B007Z7OXG8")</f>
        <v>B007Z7OXG8</v>
      </c>
      <c r="E891" t="str">
        <f>IFERROR(__xludf.DUMMYFUNCTION("""COMPUTED_VALUE"""),"069775440060")</f>
        <v>069775440060</v>
      </c>
      <c r="F891">
        <f>IFERROR(__xludf.DUMMYFUNCTION("""COMPUTED_VALUE"""),420.0)</f>
        <v>420</v>
      </c>
      <c r="G891">
        <f>IFERROR(__xludf.DUMMYFUNCTION("""COMPUTED_VALUE"""),10000.0)</f>
        <v>10000</v>
      </c>
      <c r="H891" s="2">
        <f>IFERROR(__xludf.DUMMYFUNCTION("""COMPUTED_VALUE"""),3.25)</f>
        <v>3.25</v>
      </c>
      <c r="I891" s="2">
        <f>IFERROR(__xludf.DUMMYFUNCTION("""COMPUTED_VALUE"""),3.9)</f>
        <v>3.9</v>
      </c>
      <c r="J891" s="2">
        <f>IFERROR(__xludf.DUMMYFUNCTION("""COMPUTED_VALUE"""),0.6499999999999999)</f>
        <v>0.65</v>
      </c>
      <c r="K891" s="5">
        <f>IFERROR(__xludf.DUMMYFUNCTION("""COMPUTED_VALUE"""),0.19999999999999998)</f>
        <v>0.2</v>
      </c>
      <c r="L891">
        <f>IFERROR(__xludf.DUMMYFUNCTION("""COMPUTED_VALUE"""),36349.0)</f>
        <v>36349</v>
      </c>
      <c r="M891" t="str">
        <f>IFERROR(__xludf.DUMMYFUNCTION("""COMPUTED_VALUE"""),"Office Product")</f>
        <v>Office Product</v>
      </c>
      <c r="O891" t="str">
        <f>IFERROR(__xludf.DUMMYFUNCTION("""COMPUTED_VALUE"""),"Y")</f>
        <v>Y</v>
      </c>
      <c r="P891" s="1" t="str">
        <f>IFERROR(__xludf.DUMMYFUNCTION("""COMPUTED_VALUE"""),"ID 22587")</f>
        <v>ID 22587</v>
      </c>
      <c r="Q891" s="1" t="str">
        <f>IFERROR(__xludf.DUMMYFUNCTION("""COMPUTED_VALUE"""),"B007Z7OXG8")</f>
        <v>B007Z7OXG8</v>
      </c>
    </row>
    <row r="892">
      <c r="A892" s="6">
        <f>IFERROR(__xludf.DUMMYFUNCTION("""COMPUTED_VALUE"""),45422.0)</f>
        <v>45422</v>
      </c>
      <c r="B892">
        <f>IFERROR(__xludf.DUMMYFUNCTION("""COMPUTED_VALUE"""),7383.0)</f>
        <v>7383</v>
      </c>
      <c r="C892" t="str">
        <f>IFERROR(__xludf.DUMMYFUNCTION("""COMPUTED_VALUE"""),"Marvel Ultimate Spider-Man Pool Swim Goggles")</f>
        <v>Marvel Ultimate Spider-Man Pool Swim Goggles</v>
      </c>
      <c r="D892" t="str">
        <f>IFERROR(__xludf.DUMMYFUNCTION("""COMPUTED_VALUE"""),"B071ZT4XBD")</f>
        <v>B071ZT4XBD</v>
      </c>
      <c r="E892" t="str">
        <f>IFERROR(__xludf.DUMMYFUNCTION("""COMPUTED_VALUE"""),"687554317213")</f>
        <v>687554317213</v>
      </c>
      <c r="F892">
        <f>IFERROR(__xludf.DUMMYFUNCTION("""COMPUTED_VALUE"""),600.0)</f>
        <v>600</v>
      </c>
      <c r="G892">
        <f>IFERROR(__xludf.DUMMYFUNCTION("""COMPUTED_VALUE"""),1200.0)</f>
        <v>1200</v>
      </c>
      <c r="H892" s="2">
        <f>IFERROR(__xludf.DUMMYFUNCTION("""COMPUTED_VALUE"""),1.25)</f>
        <v>1.25</v>
      </c>
      <c r="I892" s="2">
        <f>IFERROR(__xludf.DUMMYFUNCTION("""COMPUTED_VALUE"""),1.9)</f>
        <v>1.9</v>
      </c>
      <c r="J892" s="2">
        <f>IFERROR(__xludf.DUMMYFUNCTION("""COMPUTED_VALUE"""),0.6499999999999999)</f>
        <v>0.65</v>
      </c>
      <c r="K892" s="5">
        <f>IFERROR(__xludf.DUMMYFUNCTION("""COMPUTED_VALUE"""),0.5199999999999999)</f>
        <v>0.52</v>
      </c>
      <c r="L892">
        <f>IFERROR(__xludf.DUMMYFUNCTION("""COMPUTED_VALUE"""),29612.0)</f>
        <v>29612</v>
      </c>
      <c r="M892" t="str">
        <f>IFERROR(__xludf.DUMMYFUNCTION("""COMPUTED_VALUE"""),"Toy")</f>
        <v>Toy</v>
      </c>
      <c r="O892" t="str">
        <f>IFERROR(__xludf.DUMMYFUNCTION("""COMPUTED_VALUE"""),"N")</f>
        <v>N</v>
      </c>
      <c r="P892" s="1" t="str">
        <f>IFERROR(__xludf.DUMMYFUNCTION("""COMPUTED_VALUE"""),"ID 7383")</f>
        <v>ID 7383</v>
      </c>
      <c r="Q892" s="1" t="str">
        <f>IFERROR(__xludf.DUMMYFUNCTION("""COMPUTED_VALUE"""),"B071ZT4XBD")</f>
        <v>B071ZT4XBD</v>
      </c>
    </row>
    <row r="893">
      <c r="A893" s="6">
        <f>IFERROR(__xludf.DUMMYFUNCTION("""COMPUTED_VALUE"""),44433.0)</f>
        <v>44433</v>
      </c>
      <c r="B893">
        <f>IFERROR(__xludf.DUMMYFUNCTION("""COMPUTED_VALUE"""),15714.0)</f>
        <v>15714</v>
      </c>
      <c r="C893" t="str">
        <f>IFERROR(__xludf.DUMMYFUNCTION("""COMPUTED_VALUE"""),"Mead Ruled Index Cards, 5 X 8 Inches (63580)")</f>
        <v>Mead Ruled Index Cards, 5 X 8 Inches (63580)</v>
      </c>
      <c r="D893" t="str">
        <f>IFERROR(__xludf.DUMMYFUNCTION("""COMPUTED_VALUE"""),"B000NNXL5K")</f>
        <v>B000NNXL5K</v>
      </c>
      <c r="E893" t="str">
        <f>IFERROR(__xludf.DUMMYFUNCTION("""COMPUTED_VALUE"""),"43100635802")</f>
        <v>43100635802</v>
      </c>
      <c r="F893">
        <f>IFERROR(__xludf.DUMMYFUNCTION("""COMPUTED_VALUE"""),5328.0)</f>
        <v>5328</v>
      </c>
      <c r="G893">
        <f>IFERROR(__xludf.DUMMYFUNCTION("""COMPUTED_VALUE"""),100000.0)</f>
        <v>100000</v>
      </c>
      <c r="H893" s="2">
        <f>IFERROR(__xludf.DUMMYFUNCTION("""COMPUTED_VALUE"""),0.5)</f>
        <v>0.5</v>
      </c>
      <c r="I893" s="2">
        <f>IFERROR(__xludf.DUMMYFUNCTION("""COMPUTED_VALUE"""),1.15)</f>
        <v>1.15</v>
      </c>
      <c r="J893" s="2">
        <f>IFERROR(__xludf.DUMMYFUNCTION("""COMPUTED_VALUE"""),0.6499999999999999)</f>
        <v>0.65</v>
      </c>
      <c r="K893" s="5">
        <f>IFERROR(__xludf.DUMMYFUNCTION("""COMPUTED_VALUE"""),1.2999999999999998)</f>
        <v>1.3</v>
      </c>
      <c r="L893">
        <f>IFERROR(__xludf.DUMMYFUNCTION("""COMPUTED_VALUE"""),75502.0)</f>
        <v>75502</v>
      </c>
      <c r="M893" t="str">
        <f>IFERROR(__xludf.DUMMYFUNCTION("""COMPUTED_VALUE"""),"Office Product")</f>
        <v>Office Product</v>
      </c>
      <c r="N893" t="str">
        <f>IFERROR(__xludf.DUMMYFUNCTION("""COMPUTED_VALUE"""),"ZECM")</f>
        <v>ZECM</v>
      </c>
      <c r="O893" t="str">
        <f>IFERROR(__xludf.DUMMYFUNCTION("""COMPUTED_VALUE"""),"N")</f>
        <v>N</v>
      </c>
      <c r="P893" s="1" t="str">
        <f>IFERROR(__xludf.DUMMYFUNCTION("""COMPUTED_VALUE"""),"ID 15714")</f>
        <v>ID 15714</v>
      </c>
      <c r="Q893" s="1" t="str">
        <f>IFERROR(__xludf.DUMMYFUNCTION("""COMPUTED_VALUE"""),"B000NNXL5K")</f>
        <v>B000NNXL5K</v>
      </c>
    </row>
    <row r="894">
      <c r="A894" s="6">
        <f>IFERROR(__xludf.DUMMYFUNCTION("""COMPUTED_VALUE"""),45362.0)</f>
        <v>45362</v>
      </c>
      <c r="B894">
        <f>IFERROR(__xludf.DUMMYFUNCTION("""COMPUTED_VALUE"""),19700.0)</f>
        <v>19700</v>
      </c>
      <c r="C894" t="str">
        <f>IFERROR(__xludf.DUMMYFUNCTION("""COMPUTED_VALUE"""),"Pentel Arts Sign Pen Assorted Styles 3-PK")</f>
        <v>Pentel Arts Sign Pen Assorted Styles 3-PK</v>
      </c>
      <c r="D894" t="str">
        <f>IFERROR(__xludf.DUMMYFUNCTION("""COMPUTED_VALUE"""),"B00AVYCCL0")</f>
        <v>B00AVYCCL0</v>
      </c>
      <c r="E894" t="str">
        <f>IFERROR(__xludf.DUMMYFUNCTION("""COMPUTED_VALUE"""),"072512251065")</f>
        <v>072512251065</v>
      </c>
      <c r="F894">
        <f>IFERROR(__xludf.DUMMYFUNCTION("""COMPUTED_VALUE"""),288.0)</f>
        <v>288</v>
      </c>
      <c r="G894">
        <f>IFERROR(__xludf.DUMMYFUNCTION("""COMPUTED_VALUE"""),10000.0)</f>
        <v>10000</v>
      </c>
      <c r="H894" s="2">
        <f>IFERROR(__xludf.DUMMYFUNCTION("""COMPUTED_VALUE"""),4.25)</f>
        <v>4.25</v>
      </c>
      <c r="I894" s="2">
        <f>IFERROR(__xludf.DUMMYFUNCTION("""COMPUTED_VALUE"""),4.89)</f>
        <v>4.89</v>
      </c>
      <c r="J894" s="2">
        <f>IFERROR(__xludf.DUMMYFUNCTION("""COMPUTED_VALUE"""),0.6399999999999997)</f>
        <v>0.64</v>
      </c>
      <c r="K894" s="5">
        <f>IFERROR(__xludf.DUMMYFUNCTION("""COMPUTED_VALUE"""),0.15058823529411758)</f>
        <v>0.1505882353</v>
      </c>
      <c r="L894">
        <f>IFERROR(__xludf.DUMMYFUNCTION("""COMPUTED_VALUE"""),91185.0)</f>
        <v>91185</v>
      </c>
      <c r="M894" t="str">
        <f>IFERROR(__xludf.DUMMYFUNCTION("""COMPUTED_VALUE"""),"Office Product")</f>
        <v>Office Product</v>
      </c>
      <c r="O894" t="str">
        <f>IFERROR(__xludf.DUMMYFUNCTION("""COMPUTED_VALUE"""),"Y")</f>
        <v>Y</v>
      </c>
      <c r="P894" s="1" t="str">
        <f>IFERROR(__xludf.DUMMYFUNCTION("""COMPUTED_VALUE"""),"ID 19700")</f>
        <v>ID 19700</v>
      </c>
      <c r="Q894" s="1" t="str">
        <f>IFERROR(__xludf.DUMMYFUNCTION("""COMPUTED_VALUE"""),"B00AVYCCL0")</f>
        <v>B00AVYCCL0</v>
      </c>
    </row>
    <row r="895">
      <c r="A895" s="6">
        <f>IFERROR(__xludf.DUMMYFUNCTION("""COMPUTED_VALUE"""),45390.0)</f>
        <v>45390</v>
      </c>
      <c r="B895">
        <f>IFERROR(__xludf.DUMMYFUNCTION("""COMPUTED_VALUE"""),19788.0)</f>
        <v>19788</v>
      </c>
      <c r="C895" t="str">
        <f>IFERROR(__xludf.DUMMYFUNCTION("""COMPUTED_VALUE"""),"Chef Craft Premium Silicone Spaghetti/Pasta Fork, 11.5 inch, Pastel Blue")</f>
        <v>Chef Craft Premium Silicone Spaghetti/Pasta Fork, 11.5 inch, Pastel Blue</v>
      </c>
      <c r="D895" t="str">
        <f>IFERROR(__xludf.DUMMYFUNCTION("""COMPUTED_VALUE"""),"B08SJDNQ6T")</f>
        <v>B08SJDNQ6T</v>
      </c>
      <c r="E895" t="str">
        <f>IFERROR(__xludf.DUMMYFUNCTION("""COMPUTED_VALUE"""),"085455139413")</f>
        <v>085455139413</v>
      </c>
      <c r="F895">
        <f>IFERROR(__xludf.DUMMYFUNCTION("""COMPUTED_VALUE"""),360.0)</f>
        <v>360</v>
      </c>
      <c r="G895">
        <f>IFERROR(__xludf.DUMMYFUNCTION("""COMPUTED_VALUE"""),10000.0)</f>
        <v>10000</v>
      </c>
      <c r="H895" s="2">
        <f>IFERROR(__xludf.DUMMYFUNCTION("""COMPUTED_VALUE"""),2.75)</f>
        <v>2.75</v>
      </c>
      <c r="I895" s="2">
        <f>IFERROR(__xludf.DUMMYFUNCTION("""COMPUTED_VALUE"""),3.39)</f>
        <v>3.39</v>
      </c>
      <c r="J895" s="2">
        <f>IFERROR(__xludf.DUMMYFUNCTION("""COMPUTED_VALUE"""),0.6400000000000001)</f>
        <v>0.64</v>
      </c>
      <c r="K895" s="5">
        <f>IFERROR(__xludf.DUMMYFUNCTION("""COMPUTED_VALUE"""),0.23272727272727278)</f>
        <v>0.2327272727</v>
      </c>
      <c r="L895">
        <f>IFERROR(__xludf.DUMMYFUNCTION("""COMPUTED_VALUE"""),23772.0)</f>
        <v>23772</v>
      </c>
      <c r="M895" t="str">
        <f>IFERROR(__xludf.DUMMYFUNCTION("""COMPUTED_VALUE"""),"Kitchen")</f>
        <v>Kitchen</v>
      </c>
      <c r="O895" t="str">
        <f>IFERROR(__xludf.DUMMYFUNCTION("""COMPUTED_VALUE"""),"Y")</f>
        <v>Y</v>
      </c>
      <c r="P895" s="1" t="str">
        <f>IFERROR(__xludf.DUMMYFUNCTION("""COMPUTED_VALUE"""),"ID 19788")</f>
        <v>ID 19788</v>
      </c>
      <c r="Q895" s="1" t="str">
        <f>IFERROR(__xludf.DUMMYFUNCTION("""COMPUTED_VALUE"""),"B08SJDNQ6T")</f>
        <v>B08SJDNQ6T</v>
      </c>
    </row>
    <row r="896">
      <c r="A896" s="6">
        <f>IFERROR(__xludf.DUMMYFUNCTION("""COMPUTED_VALUE"""),45390.0)</f>
        <v>45390</v>
      </c>
      <c r="B896">
        <f>IFERROR(__xludf.DUMMYFUNCTION("""COMPUTED_VALUE"""),21115.0)</f>
        <v>21115</v>
      </c>
      <c r="C896" t="str">
        <f>IFERROR(__xludf.DUMMYFUNCTION("""COMPUTED_VALUE"""),"Chef Craft Select Meat and Potato Fork, 9.25 inch, Stainless Steel")</f>
        <v>Chef Craft Select Meat and Potato Fork, 9.25 inch, Stainless Steel</v>
      </c>
      <c r="D896" t="str">
        <f>IFERROR(__xludf.DUMMYFUNCTION("""COMPUTED_VALUE"""),"B0094IP5UY")</f>
        <v>B0094IP5UY</v>
      </c>
      <c r="E896" t="str">
        <f>IFERROR(__xludf.DUMMYFUNCTION("""COMPUTED_VALUE"""),"085455101403")</f>
        <v>085455101403</v>
      </c>
      <c r="F896">
        <f>IFERROR(__xludf.DUMMYFUNCTION("""COMPUTED_VALUE"""),864.0)</f>
        <v>864</v>
      </c>
      <c r="G896">
        <f>IFERROR(__xludf.DUMMYFUNCTION("""COMPUTED_VALUE"""),10000.0)</f>
        <v>10000</v>
      </c>
      <c r="H896" s="2">
        <f>IFERROR(__xludf.DUMMYFUNCTION("""COMPUTED_VALUE"""),1.25)</f>
        <v>1.25</v>
      </c>
      <c r="I896" s="2">
        <f>IFERROR(__xludf.DUMMYFUNCTION("""COMPUTED_VALUE"""),1.89)</f>
        <v>1.89</v>
      </c>
      <c r="J896" s="2">
        <f>IFERROR(__xludf.DUMMYFUNCTION("""COMPUTED_VALUE"""),0.6399999999999999)</f>
        <v>0.64</v>
      </c>
      <c r="K896" s="5">
        <f>IFERROR(__xludf.DUMMYFUNCTION("""COMPUTED_VALUE"""),0.5119999999999999)</f>
        <v>0.512</v>
      </c>
      <c r="L896">
        <f>IFERROR(__xludf.DUMMYFUNCTION("""COMPUTED_VALUE"""),6006.0)</f>
        <v>6006</v>
      </c>
      <c r="M896" t="str">
        <f>IFERROR(__xludf.DUMMYFUNCTION("""COMPUTED_VALUE"""),"Kitchen")</f>
        <v>Kitchen</v>
      </c>
      <c r="O896" t="str">
        <f>IFERROR(__xludf.DUMMYFUNCTION("""COMPUTED_VALUE"""),"Y")</f>
        <v>Y</v>
      </c>
      <c r="P896" s="1" t="str">
        <f>IFERROR(__xludf.DUMMYFUNCTION("""COMPUTED_VALUE"""),"ID 21115")</f>
        <v>ID 21115</v>
      </c>
      <c r="Q896" s="1" t="str">
        <f>IFERROR(__xludf.DUMMYFUNCTION("""COMPUTED_VALUE"""),"B0094IP5UY")</f>
        <v>B0094IP5UY</v>
      </c>
    </row>
    <row r="897">
      <c r="A897" s="6">
        <f>IFERROR(__xludf.DUMMYFUNCTION("""COMPUTED_VALUE"""),45390.0)</f>
        <v>45390</v>
      </c>
      <c r="B897">
        <f>IFERROR(__xludf.DUMMYFUNCTION("""COMPUTED_VALUE"""),21901.0)</f>
        <v>21901</v>
      </c>
      <c r="C897" t="str">
        <f>IFERROR(__xludf.DUMMYFUNCTION("""COMPUTED_VALUE"""),"Chef Craft Premium Silicone Cooking Tongs, 12 inch, Black")</f>
        <v>Chef Craft Premium Silicone Cooking Tongs, 12 inch, Black</v>
      </c>
      <c r="D897" t="str">
        <f>IFERROR(__xludf.DUMMYFUNCTION("""COMPUTED_VALUE"""),"B08SJR82WQ")</f>
        <v>B08SJR82WQ</v>
      </c>
      <c r="E897" t="str">
        <f>IFERROR(__xludf.DUMMYFUNCTION("""COMPUTED_VALUE"""),"085455136856")</f>
        <v>085455136856</v>
      </c>
      <c r="F897">
        <f>IFERROR(__xludf.DUMMYFUNCTION("""COMPUTED_VALUE"""),408.0)</f>
        <v>408</v>
      </c>
      <c r="G897">
        <f>IFERROR(__xludf.DUMMYFUNCTION("""COMPUTED_VALUE"""),10000.0)</f>
        <v>10000</v>
      </c>
      <c r="H897" s="2">
        <f>IFERROR(__xludf.DUMMYFUNCTION("""COMPUTED_VALUE"""),3.25)</f>
        <v>3.25</v>
      </c>
      <c r="I897" s="2">
        <f>IFERROR(__xludf.DUMMYFUNCTION("""COMPUTED_VALUE"""),3.89)</f>
        <v>3.89</v>
      </c>
      <c r="J897" s="2">
        <f>IFERROR(__xludf.DUMMYFUNCTION("""COMPUTED_VALUE"""),0.6400000000000001)</f>
        <v>0.64</v>
      </c>
      <c r="K897" s="5">
        <f>IFERROR(__xludf.DUMMYFUNCTION("""COMPUTED_VALUE"""),0.19692307692307695)</f>
        <v>0.1969230769</v>
      </c>
      <c r="L897">
        <f>IFERROR(__xludf.DUMMYFUNCTION("""COMPUTED_VALUE"""),34816.0)</f>
        <v>34816</v>
      </c>
      <c r="M897" t="str">
        <f>IFERROR(__xludf.DUMMYFUNCTION("""COMPUTED_VALUE"""),"Kitchen")</f>
        <v>Kitchen</v>
      </c>
      <c r="O897" t="str">
        <f>IFERROR(__xludf.DUMMYFUNCTION("""COMPUTED_VALUE"""),"Y")</f>
        <v>Y</v>
      </c>
      <c r="P897" s="1" t="str">
        <f>IFERROR(__xludf.DUMMYFUNCTION("""COMPUTED_VALUE"""),"ID 21901")</f>
        <v>ID 21901</v>
      </c>
      <c r="Q897" s="1" t="str">
        <f>IFERROR(__xludf.DUMMYFUNCTION("""COMPUTED_VALUE"""),"B08SJR82WQ")</f>
        <v>B08SJR82WQ</v>
      </c>
    </row>
    <row r="898">
      <c r="A898" s="6">
        <f>IFERROR(__xludf.DUMMYFUNCTION("""COMPUTED_VALUE"""),45351.0)</f>
        <v>45351</v>
      </c>
      <c r="B898">
        <f>IFERROR(__xludf.DUMMYFUNCTION("""COMPUTED_VALUE"""),22186.0)</f>
        <v>22186</v>
      </c>
      <c r="C898" t="str">
        <f>IFERROR(__xludf.DUMMYFUNCTION("""COMPUTED_VALUE"""),"Alliance Rubber 37178#117B Non-Latex Rubber Bands, 1/4 lb Poly Bag Contains Approx. 63 Bands (7"" x 1/8"", Orange)")</f>
        <v>Alliance Rubber 37178#117B Non-Latex Rubber Bands, 1/4 lb Poly Bag Contains Approx. 63 Bands (7" x 1/8", Orange)</v>
      </c>
      <c r="D898" t="str">
        <f>IFERROR(__xludf.DUMMYFUNCTION("""COMPUTED_VALUE"""),"B008X09W26")</f>
        <v>B008X09W26</v>
      </c>
      <c r="E898" t="str">
        <f>IFERROR(__xludf.DUMMYFUNCTION("""COMPUTED_VALUE"""),"071815371784")</f>
        <v>071815371784</v>
      </c>
      <c r="F898">
        <f>IFERROR(__xludf.DUMMYFUNCTION("""COMPUTED_VALUE"""),800.0)</f>
        <v>800</v>
      </c>
      <c r="G898">
        <f>IFERROR(__xludf.DUMMYFUNCTION("""COMPUTED_VALUE"""),10000.0)</f>
        <v>10000</v>
      </c>
      <c r="H898" s="2">
        <f>IFERROR(__xludf.DUMMYFUNCTION("""COMPUTED_VALUE"""),1.75)</f>
        <v>1.75</v>
      </c>
      <c r="I898" s="2">
        <f>IFERROR(__xludf.DUMMYFUNCTION("""COMPUTED_VALUE"""),2.39)</f>
        <v>2.39</v>
      </c>
      <c r="J898" s="2">
        <f>IFERROR(__xludf.DUMMYFUNCTION("""COMPUTED_VALUE"""),0.6400000000000001)</f>
        <v>0.64</v>
      </c>
      <c r="K898" s="5">
        <f>IFERROR(__xludf.DUMMYFUNCTION("""COMPUTED_VALUE"""),0.36571428571428577)</f>
        <v>0.3657142857</v>
      </c>
      <c r="L898">
        <f>IFERROR(__xludf.DUMMYFUNCTION("""COMPUTED_VALUE"""),60177.0)</f>
        <v>60177</v>
      </c>
      <c r="M898" t="str">
        <f>IFERROR(__xludf.DUMMYFUNCTION("""COMPUTED_VALUE"""),"Office Product")</f>
        <v>Office Product</v>
      </c>
      <c r="O898" t="str">
        <f>IFERROR(__xludf.DUMMYFUNCTION("""COMPUTED_VALUE"""),"Y")</f>
        <v>Y</v>
      </c>
      <c r="P898" s="1" t="str">
        <f>IFERROR(__xludf.DUMMYFUNCTION("""COMPUTED_VALUE"""),"ID 22186")</f>
        <v>ID 22186</v>
      </c>
      <c r="Q898" s="1" t="str">
        <f>IFERROR(__xludf.DUMMYFUNCTION("""COMPUTED_VALUE"""),"B008X09W26")</f>
        <v>B008X09W26</v>
      </c>
    </row>
    <row r="899">
      <c r="A899" s="6">
        <f>IFERROR(__xludf.DUMMYFUNCTION("""COMPUTED_VALUE"""),45342.0)</f>
        <v>45342</v>
      </c>
      <c r="B899">
        <f>IFERROR(__xludf.DUMMYFUNCTION("""COMPUTED_VALUE"""),18177.0)</f>
        <v>18177</v>
      </c>
      <c r="C899" t="str">
        <f>IFERROR(__xludf.DUMMYFUNCTION("""COMPUTED_VALUE"""),"Johnson's Baby Cotton Buds - 1 X 200 Drum")</f>
        <v>Johnson's Baby Cotton Buds - 1 X 200 Drum</v>
      </c>
      <c r="D899" t="str">
        <f>IFERROR(__xludf.DUMMYFUNCTION("""COMPUTED_VALUE"""),"B00125KZN4")</f>
        <v>B00125KZN4</v>
      </c>
      <c r="E899" t="str">
        <f>IFERROR(__xludf.DUMMYFUNCTION("""COMPUTED_VALUE"""),"3574661440477")</f>
        <v>3574661440477</v>
      </c>
      <c r="F899">
        <f>IFERROR(__xludf.DUMMYFUNCTION("""COMPUTED_VALUE"""),672.0)</f>
        <v>672</v>
      </c>
      <c r="G899">
        <f>IFERROR(__xludf.DUMMYFUNCTION("""COMPUTED_VALUE"""),1440.0)</f>
        <v>1440</v>
      </c>
      <c r="H899" s="2">
        <f>IFERROR(__xludf.DUMMYFUNCTION("""COMPUTED_VALUE"""),2.0)</f>
        <v>2</v>
      </c>
      <c r="I899" s="2">
        <f>IFERROR(__xludf.DUMMYFUNCTION("""COMPUTED_VALUE"""),2.64)</f>
        <v>2.64</v>
      </c>
      <c r="J899" s="2">
        <f>IFERROR(__xludf.DUMMYFUNCTION("""COMPUTED_VALUE"""),0.6400000000000001)</f>
        <v>0.64</v>
      </c>
      <c r="K899" s="5">
        <f>IFERROR(__xludf.DUMMYFUNCTION("""COMPUTED_VALUE"""),0.32000000000000006)</f>
        <v>0.32</v>
      </c>
      <c r="L899">
        <f>IFERROR(__xludf.DUMMYFUNCTION("""COMPUTED_VALUE"""),12697.0)</f>
        <v>12697</v>
      </c>
      <c r="M899" t="str">
        <f>IFERROR(__xludf.DUMMYFUNCTION("""COMPUTED_VALUE"""),"Health and Beauty")</f>
        <v>Health and Beauty</v>
      </c>
      <c r="O899" t="str">
        <f>IFERROR(__xludf.DUMMYFUNCTION("""COMPUTED_VALUE"""),"Y")</f>
        <v>Y</v>
      </c>
      <c r="P899" s="1" t="str">
        <f>IFERROR(__xludf.DUMMYFUNCTION("""COMPUTED_VALUE"""),"ID 18177")</f>
        <v>ID 18177</v>
      </c>
      <c r="Q899" s="1" t="str">
        <f>IFERROR(__xludf.DUMMYFUNCTION("""COMPUTED_VALUE"""),"B00125KZN4")</f>
        <v>B00125KZN4</v>
      </c>
    </row>
    <row r="900">
      <c r="A900" s="6">
        <f>IFERROR(__xludf.DUMMYFUNCTION("""COMPUTED_VALUE"""),45421.0)</f>
        <v>45421</v>
      </c>
      <c r="B900">
        <f>IFERROR(__xludf.DUMMYFUNCTION("""COMPUTED_VALUE"""),25557.0)</f>
        <v>25557</v>
      </c>
      <c r="C900" t="str">
        <f>IFERROR(__xludf.DUMMYFUNCTION("""COMPUTED_VALUE"""),"Grumbacher Academy Watercolor Paint, 7.5ml/0.25 Ounce, Vermilion Hue (A224)")</f>
        <v>Grumbacher Academy Watercolor Paint, 7.5ml/0.25 Ounce, Vermilion Hue (A224)</v>
      </c>
      <c r="D900" t="str">
        <f>IFERROR(__xludf.DUMMYFUNCTION("""COMPUTED_VALUE"""),"B000G2H7DK")</f>
        <v>B000G2H7DK</v>
      </c>
      <c r="E900" t="str">
        <f>IFERROR(__xludf.DUMMYFUNCTION("""COMPUTED_VALUE"""),"014173351081")</f>
        <v>014173351081</v>
      </c>
      <c r="F900">
        <f>IFERROR(__xludf.DUMMYFUNCTION("""COMPUTED_VALUE"""),864.0)</f>
        <v>864</v>
      </c>
      <c r="G900">
        <f>IFERROR(__xludf.DUMMYFUNCTION("""COMPUTED_VALUE"""),10000.0)</f>
        <v>10000</v>
      </c>
      <c r="H900" s="2">
        <f>IFERROR(__xludf.DUMMYFUNCTION("""COMPUTED_VALUE"""),2.5)</f>
        <v>2.5</v>
      </c>
      <c r="I900" s="2">
        <f>IFERROR(__xludf.DUMMYFUNCTION("""COMPUTED_VALUE"""),3.14)</f>
        <v>3.14</v>
      </c>
      <c r="J900" s="2">
        <f>IFERROR(__xludf.DUMMYFUNCTION("""COMPUTED_VALUE"""),0.6400000000000001)</f>
        <v>0.64</v>
      </c>
      <c r="K900" s="5">
        <f>IFERROR(__xludf.DUMMYFUNCTION("""COMPUTED_VALUE"""),0.25600000000000006)</f>
        <v>0.256</v>
      </c>
      <c r="L900">
        <f>IFERROR(__xludf.DUMMYFUNCTION("""COMPUTED_VALUE"""),40326.0)</f>
        <v>40326</v>
      </c>
      <c r="M900" t="str">
        <f>IFERROR(__xludf.DUMMYFUNCTION("""COMPUTED_VALUE"""),"Office Product")</f>
        <v>Office Product</v>
      </c>
      <c r="O900" t="str">
        <f>IFERROR(__xludf.DUMMYFUNCTION("""COMPUTED_VALUE"""),"N")</f>
        <v>N</v>
      </c>
      <c r="P900" s="1" t="str">
        <f>IFERROR(__xludf.DUMMYFUNCTION("""COMPUTED_VALUE"""),"ID 25557")</f>
        <v>ID 25557</v>
      </c>
      <c r="Q900" s="1" t="str">
        <f>IFERROR(__xludf.DUMMYFUNCTION("""COMPUTED_VALUE"""),"B000G2H7DK")</f>
        <v>B000G2H7DK</v>
      </c>
    </row>
    <row r="901">
      <c r="A901" s="6">
        <f>IFERROR(__xludf.DUMMYFUNCTION("""COMPUTED_VALUE"""),44998.0)</f>
        <v>44998</v>
      </c>
      <c r="B901">
        <f>IFERROR(__xludf.DUMMYFUNCTION("""COMPUTED_VALUE"""),12318.0)</f>
        <v>12318</v>
      </c>
      <c r="C901" t="str">
        <f>IFERROR(__xludf.DUMMYFUNCTION("""COMPUTED_VALUE"""),"Xyron 23675 Adhesive 2 Inch by 2 Inch Eraser")</f>
        <v>Xyron 23675 Adhesive 2 Inch by 2 Inch Eraser</v>
      </c>
      <c r="D901" t="str">
        <f>IFERROR(__xludf.DUMMYFUNCTION("""COMPUTED_VALUE"""),"B000WWGMSK")</f>
        <v>B000WWGMSK</v>
      </c>
      <c r="E901" t="str">
        <f>IFERROR(__xludf.DUMMYFUNCTION("""COMPUTED_VALUE"""),"05706831236759")</f>
        <v>05706831236759</v>
      </c>
      <c r="F901">
        <f>IFERROR(__xludf.DUMMYFUNCTION("""COMPUTED_VALUE"""),1440.0)</f>
        <v>1440</v>
      </c>
      <c r="G901">
        <f>IFERROR(__xludf.DUMMYFUNCTION("""COMPUTED_VALUE"""),10000.0)</f>
        <v>10000</v>
      </c>
      <c r="H901" s="2">
        <f>IFERROR(__xludf.DUMMYFUNCTION("""COMPUTED_VALUE"""),1.75)</f>
        <v>1.75</v>
      </c>
      <c r="I901" s="2">
        <f>IFERROR(__xludf.DUMMYFUNCTION("""COMPUTED_VALUE"""),2.38)</f>
        <v>2.38</v>
      </c>
      <c r="J901" s="2">
        <f>IFERROR(__xludf.DUMMYFUNCTION("""COMPUTED_VALUE"""),0.6299999999999999)</f>
        <v>0.63</v>
      </c>
      <c r="K901" s="5">
        <f>IFERROR(__xludf.DUMMYFUNCTION("""COMPUTED_VALUE"""),0.35999999999999993)</f>
        <v>0.36</v>
      </c>
      <c r="L901">
        <f>IFERROR(__xludf.DUMMYFUNCTION("""COMPUTED_VALUE"""),85947.0)</f>
        <v>85947</v>
      </c>
      <c r="M901" t="str">
        <f>IFERROR(__xludf.DUMMYFUNCTION("""COMPUTED_VALUE"""),"Art and Craft Supply")</f>
        <v>Art and Craft Supply</v>
      </c>
      <c r="O901" t="str">
        <f>IFERROR(__xludf.DUMMYFUNCTION("""COMPUTED_VALUE"""),"N")</f>
        <v>N</v>
      </c>
      <c r="P901" s="1" t="str">
        <f>IFERROR(__xludf.DUMMYFUNCTION("""COMPUTED_VALUE"""),"ID 12318")</f>
        <v>ID 12318</v>
      </c>
      <c r="Q901" s="1" t="str">
        <f>IFERROR(__xludf.DUMMYFUNCTION("""COMPUTED_VALUE"""),"B000WWGMSK")</f>
        <v>B000WWGMSK</v>
      </c>
    </row>
    <row r="902">
      <c r="A902" s="6">
        <f>IFERROR(__xludf.DUMMYFUNCTION("""COMPUTED_VALUE"""),45390.0)</f>
        <v>45390</v>
      </c>
      <c r="B902">
        <f>IFERROR(__xludf.DUMMYFUNCTION("""COMPUTED_VALUE"""),15749.0)</f>
        <v>15749</v>
      </c>
      <c r="C902" t="str">
        <f>IFERROR(__xludf.DUMMYFUNCTION("""COMPUTED_VALUE"""),"Chef Craft 21374 Small Silicone Spatula - Wood, 9.5"", Color May Vary")</f>
        <v>Chef Craft 21374 Small Silicone Spatula - Wood, 9.5", Color May Vary</v>
      </c>
      <c r="D902" t="str">
        <f>IFERROR(__xludf.DUMMYFUNCTION("""COMPUTED_VALUE"""),"B002CCAENM")</f>
        <v>B002CCAENM</v>
      </c>
      <c r="E902" t="str">
        <f>IFERROR(__xludf.DUMMYFUNCTION("""COMPUTED_VALUE"""),"085455213748")</f>
        <v>085455213748</v>
      </c>
      <c r="F902">
        <f>IFERROR(__xludf.DUMMYFUNCTION("""COMPUTED_VALUE"""),864.0)</f>
        <v>864</v>
      </c>
      <c r="G902">
        <f>IFERROR(__xludf.DUMMYFUNCTION("""COMPUTED_VALUE"""),10000.0)</f>
        <v>10000</v>
      </c>
      <c r="H902" s="2">
        <f>IFERROR(__xludf.DUMMYFUNCTION("""COMPUTED_VALUE"""),1.0)</f>
        <v>1</v>
      </c>
      <c r="I902" s="2">
        <f>IFERROR(__xludf.DUMMYFUNCTION("""COMPUTED_VALUE"""),1.63)</f>
        <v>1.63</v>
      </c>
      <c r="J902" s="2">
        <f>IFERROR(__xludf.DUMMYFUNCTION("""COMPUTED_VALUE"""),0.6299999999999999)</f>
        <v>0.63</v>
      </c>
      <c r="K902" s="5">
        <f>IFERROR(__xludf.DUMMYFUNCTION("""COMPUTED_VALUE"""),0.6299999999999999)</f>
        <v>0.63</v>
      </c>
      <c r="L902">
        <f>IFERROR(__xludf.DUMMYFUNCTION("""COMPUTED_VALUE"""),75398.0)</f>
        <v>75398</v>
      </c>
      <c r="M902" t="str">
        <f>IFERROR(__xludf.DUMMYFUNCTION("""COMPUTED_VALUE"""),"Kitchen")</f>
        <v>Kitchen</v>
      </c>
      <c r="O902" t="str">
        <f>IFERROR(__xludf.DUMMYFUNCTION("""COMPUTED_VALUE"""),"Y")</f>
        <v>Y</v>
      </c>
      <c r="P902" s="1" t="str">
        <f>IFERROR(__xludf.DUMMYFUNCTION("""COMPUTED_VALUE"""),"ID 15749")</f>
        <v>ID 15749</v>
      </c>
      <c r="Q902" s="1" t="str">
        <f>IFERROR(__xludf.DUMMYFUNCTION("""COMPUTED_VALUE"""),"B002CCAENM")</f>
        <v>B002CCAENM</v>
      </c>
    </row>
    <row r="903">
      <c r="A903" s="6">
        <f>IFERROR(__xludf.DUMMYFUNCTION("""COMPUTED_VALUE"""),45118.0)</f>
        <v>45118</v>
      </c>
      <c r="B903">
        <f>IFERROR(__xludf.DUMMYFUNCTION("""COMPUTED_VALUE"""),17815.0)</f>
        <v>17815</v>
      </c>
      <c r="C903" t="str">
        <f>IFERROR(__xludf.DUMMYFUNCTION("""COMPUTED_VALUE"""),"Paper Mate InkJoy 100RT Retractable Ballpoint Pens, Medium Point, Assorted Ink, 8 Pack (1945935)")</f>
        <v>Paper Mate InkJoy 100RT Retractable Ballpoint Pens, Medium Point, Assorted Ink, 8 Pack (1945935)</v>
      </c>
      <c r="D903" t="str">
        <f>IFERROR(__xludf.DUMMYFUNCTION("""COMPUTED_VALUE"""),"B01EBAKHE8")</f>
        <v>B01EBAKHE8</v>
      </c>
      <c r="E903" t="str">
        <f>IFERROR(__xludf.DUMMYFUNCTION("""COMPUTED_VALUE"""),"71641104044")</f>
        <v>71641104044</v>
      </c>
      <c r="F903">
        <f>IFERROR(__xludf.DUMMYFUNCTION("""COMPUTED_VALUE"""),1296.0)</f>
        <v>1296</v>
      </c>
      <c r="G903">
        <f>IFERROR(__xludf.DUMMYFUNCTION("""COMPUTED_VALUE"""),10000.0)</f>
        <v>10000</v>
      </c>
      <c r="H903" s="2">
        <f>IFERROR(__xludf.DUMMYFUNCTION("""COMPUTED_VALUE"""),2.5)</f>
        <v>2.5</v>
      </c>
      <c r="I903" s="2">
        <f>IFERROR(__xludf.DUMMYFUNCTION("""COMPUTED_VALUE"""),3.13)</f>
        <v>3.13</v>
      </c>
      <c r="J903" s="2">
        <f>IFERROR(__xludf.DUMMYFUNCTION("""COMPUTED_VALUE"""),0.6299999999999999)</f>
        <v>0.63</v>
      </c>
      <c r="K903" s="5">
        <f>IFERROR(__xludf.DUMMYFUNCTION("""COMPUTED_VALUE"""),0.25199999999999995)</f>
        <v>0.252</v>
      </c>
      <c r="L903">
        <f>IFERROR(__xludf.DUMMYFUNCTION("""COMPUTED_VALUE"""),78763.0)</f>
        <v>78763</v>
      </c>
      <c r="M903" t="str">
        <f>IFERROR(__xludf.DUMMYFUNCTION("""COMPUTED_VALUE"""),"Office Product")</f>
        <v>Office Product</v>
      </c>
      <c r="O903" t="str">
        <f>IFERROR(__xludf.DUMMYFUNCTION("""COMPUTED_VALUE"""),"N")</f>
        <v>N</v>
      </c>
      <c r="P903" s="1" t="str">
        <f>IFERROR(__xludf.DUMMYFUNCTION("""COMPUTED_VALUE"""),"ID 17815")</f>
        <v>ID 17815</v>
      </c>
      <c r="Q903" s="1" t="str">
        <f>IFERROR(__xludf.DUMMYFUNCTION("""COMPUTED_VALUE"""),"B01EBAKHE8")</f>
        <v>B01EBAKHE8</v>
      </c>
    </row>
    <row r="904">
      <c r="A904" s="6">
        <f>IFERROR(__xludf.DUMMYFUNCTION("""COMPUTED_VALUE"""),44475.0)</f>
        <v>44475</v>
      </c>
      <c r="B904">
        <f>IFERROR(__xludf.DUMMYFUNCTION("""COMPUTED_VALUE"""),22468.0)</f>
        <v>22468</v>
      </c>
      <c r="C904" t="str">
        <f>IFERROR(__xludf.DUMMYFUNCTION("""COMPUTED_VALUE"""),"Adams Password Journal, 6.25 x 3.25 Inches (APJ99), Blue")</f>
        <v>Adams Password Journal, 6.25 x 3.25 Inches (APJ99), Blue</v>
      </c>
      <c r="D904" t="str">
        <f>IFERROR(__xludf.DUMMYFUNCTION("""COMPUTED_VALUE"""),"B006J2HPKQ")</f>
        <v>B006J2HPKQ</v>
      </c>
      <c r="E904" t="str">
        <f>IFERROR(__xludf.DUMMYFUNCTION("""COMPUTED_VALUE"""),"087958000993")</f>
        <v>087958000993</v>
      </c>
      <c r="F904">
        <f>IFERROR(__xludf.DUMMYFUNCTION("""COMPUTED_VALUE"""),1248.0)</f>
        <v>1248</v>
      </c>
      <c r="G904">
        <f>IFERROR(__xludf.DUMMYFUNCTION("""COMPUTED_VALUE"""),5000.0)</f>
        <v>5000</v>
      </c>
      <c r="H904" s="2">
        <f>IFERROR(__xludf.DUMMYFUNCTION("""COMPUTED_VALUE"""),2.0)</f>
        <v>2</v>
      </c>
      <c r="I904" s="2">
        <f>IFERROR(__xludf.DUMMYFUNCTION("""COMPUTED_VALUE"""),2.63)</f>
        <v>2.63</v>
      </c>
      <c r="J904" s="2">
        <f>IFERROR(__xludf.DUMMYFUNCTION("""COMPUTED_VALUE"""),0.6299999999999999)</f>
        <v>0.63</v>
      </c>
      <c r="K904" s="5">
        <f>IFERROR(__xludf.DUMMYFUNCTION("""COMPUTED_VALUE"""),0.31499999999999995)</f>
        <v>0.315</v>
      </c>
      <c r="L904">
        <f>IFERROR(__xludf.DUMMYFUNCTION("""COMPUTED_VALUE"""),18688.0)</f>
        <v>18688</v>
      </c>
      <c r="M904" t="str">
        <f>IFERROR(__xludf.DUMMYFUNCTION("""COMPUTED_VALUE"""),"Office Product")</f>
        <v>Office Product</v>
      </c>
      <c r="O904" t="str">
        <f>IFERROR(__xludf.DUMMYFUNCTION("""COMPUTED_VALUE"""),"Y")</f>
        <v>Y</v>
      </c>
      <c r="P904" s="1" t="str">
        <f>IFERROR(__xludf.DUMMYFUNCTION("""COMPUTED_VALUE"""),"ID 22468")</f>
        <v>ID 22468</v>
      </c>
      <c r="Q904" s="1" t="str">
        <f>IFERROR(__xludf.DUMMYFUNCTION("""COMPUTED_VALUE"""),"B006J2HPKQ")</f>
        <v>B006J2HPKQ</v>
      </c>
    </row>
    <row r="905">
      <c r="A905" s="6">
        <f>IFERROR(__xludf.DUMMYFUNCTION("""COMPUTED_VALUE"""),45383.0)</f>
        <v>45383</v>
      </c>
      <c r="B905">
        <f>IFERROR(__xludf.DUMMYFUNCTION("""COMPUTED_VALUE"""),23196.0)</f>
        <v>23196</v>
      </c>
      <c r="C905" t="str">
        <f>IFERROR(__xludf.DUMMYFUNCTION("""COMPUTED_VALUE"""),"Zebra F-301 Stainless Steel Retractable Ballpoint Pen, 0.7mm, BCA Pink Barrel, Black Ink, 1-Count")</f>
        <v>Zebra F-301 Stainless Steel Retractable Ballpoint Pen, 0.7mm, BCA Pink Barrel, Black Ink, 1-Count</v>
      </c>
      <c r="D905" t="str">
        <f>IFERROR(__xludf.DUMMYFUNCTION("""COMPUTED_VALUE"""),"B017PFGH3G")</f>
        <v>B017PFGH3G</v>
      </c>
      <c r="E905" t="str">
        <f>IFERROR(__xludf.DUMMYFUNCTION("""COMPUTED_VALUE"""),"045888371118")</f>
        <v>045888371118</v>
      </c>
      <c r="F905">
        <f>IFERROR(__xludf.DUMMYFUNCTION("""COMPUTED_VALUE"""),576.0)</f>
        <v>576</v>
      </c>
      <c r="G905">
        <f>IFERROR(__xludf.DUMMYFUNCTION("""COMPUTED_VALUE"""),10000.0)</f>
        <v>10000</v>
      </c>
      <c r="H905" s="2">
        <f>IFERROR(__xludf.DUMMYFUNCTION("""COMPUTED_VALUE"""),1.75)</f>
        <v>1.75</v>
      </c>
      <c r="I905" s="2">
        <f>IFERROR(__xludf.DUMMYFUNCTION("""COMPUTED_VALUE"""),2.38)</f>
        <v>2.38</v>
      </c>
      <c r="J905" s="2">
        <f>IFERROR(__xludf.DUMMYFUNCTION("""COMPUTED_VALUE"""),0.6299999999999999)</f>
        <v>0.63</v>
      </c>
      <c r="K905" s="5">
        <f>IFERROR(__xludf.DUMMYFUNCTION("""COMPUTED_VALUE"""),0.35999999999999993)</f>
        <v>0.36</v>
      </c>
      <c r="L905">
        <f>IFERROR(__xludf.DUMMYFUNCTION("""COMPUTED_VALUE"""),27351.0)</f>
        <v>27351</v>
      </c>
      <c r="M905" t="str">
        <f>IFERROR(__xludf.DUMMYFUNCTION("""COMPUTED_VALUE"""),"Office Product")</f>
        <v>Office Product</v>
      </c>
      <c r="O905" t="str">
        <f>IFERROR(__xludf.DUMMYFUNCTION("""COMPUTED_VALUE"""),"Y")</f>
        <v>Y</v>
      </c>
      <c r="P905" s="1" t="str">
        <f>IFERROR(__xludf.DUMMYFUNCTION("""COMPUTED_VALUE"""),"ID 23196")</f>
        <v>ID 23196</v>
      </c>
      <c r="Q905" s="1" t="str">
        <f>IFERROR(__xludf.DUMMYFUNCTION("""COMPUTED_VALUE"""),"B017PFGH3G")</f>
        <v>B017PFGH3G</v>
      </c>
    </row>
    <row r="906">
      <c r="A906" s="6">
        <f>IFERROR(__xludf.DUMMYFUNCTION("""COMPUTED_VALUE"""),45299.0)</f>
        <v>45299</v>
      </c>
      <c r="B906">
        <f>IFERROR(__xludf.DUMMYFUNCTION("""COMPUTED_VALUE"""),15645.0)</f>
        <v>15645</v>
      </c>
      <c r="C906" t="str">
        <f>IFERROR(__xludf.DUMMYFUNCTION("""COMPUTED_VALUE"""),"Dsquared2 Wood - Eau de Toilette Spray 3.4 Oz")</f>
        <v>Dsquared2 Wood - Eau de Toilette Spray 3.4 Oz</v>
      </c>
      <c r="D906" t="str">
        <f>IFERROR(__xludf.DUMMYFUNCTION("""COMPUTED_VALUE"""),"B07J1GZR4J")</f>
        <v>B07J1GZR4J</v>
      </c>
      <c r="E906" t="str">
        <f>IFERROR(__xludf.DUMMYFUNCTION("""COMPUTED_VALUE"""),"8011003845583")</f>
        <v>8011003845583</v>
      </c>
      <c r="F906">
        <f>IFERROR(__xludf.DUMMYFUNCTION("""COMPUTED_VALUE"""),50.0)</f>
        <v>50</v>
      </c>
      <c r="G906">
        <f>IFERROR(__xludf.DUMMYFUNCTION("""COMPUTED_VALUE"""),10000.0)</f>
        <v>10000</v>
      </c>
      <c r="H906" s="2">
        <f>IFERROR(__xludf.DUMMYFUNCTION("""COMPUTED_VALUE"""),27.75)</f>
        <v>27.75</v>
      </c>
      <c r="I906" s="2">
        <f>IFERROR(__xludf.DUMMYFUNCTION("""COMPUTED_VALUE"""),28.38)</f>
        <v>28.38</v>
      </c>
      <c r="J906" s="2">
        <f>IFERROR(__xludf.DUMMYFUNCTION("""COMPUTED_VALUE"""),0.629999999999999)</f>
        <v>0.63</v>
      </c>
      <c r="K906" s="5">
        <f>IFERROR(__xludf.DUMMYFUNCTION("""COMPUTED_VALUE"""),0.02270270270270267)</f>
        <v>0.0227027027</v>
      </c>
      <c r="L906">
        <f>IFERROR(__xludf.DUMMYFUNCTION("""COMPUTED_VALUE"""),87297.0)</f>
        <v>87297</v>
      </c>
      <c r="M906" t="str">
        <f>IFERROR(__xludf.DUMMYFUNCTION("""COMPUTED_VALUE"""),"Beauty")</f>
        <v>Beauty</v>
      </c>
      <c r="O906" t="str">
        <f>IFERROR(__xludf.DUMMYFUNCTION("""COMPUTED_VALUE"""),"Y")</f>
        <v>Y</v>
      </c>
      <c r="P906" s="1" t="str">
        <f>IFERROR(__xludf.DUMMYFUNCTION("""COMPUTED_VALUE"""),"ID 15645")</f>
        <v>ID 15645</v>
      </c>
      <c r="Q906" s="1" t="str">
        <f>IFERROR(__xludf.DUMMYFUNCTION("""COMPUTED_VALUE"""),"B07J1GZR4J")</f>
        <v>B07J1GZR4J</v>
      </c>
    </row>
    <row r="907">
      <c r="A907" s="6">
        <f>IFERROR(__xludf.DUMMYFUNCTION("""COMPUTED_VALUE"""),45348.0)</f>
        <v>45348</v>
      </c>
      <c r="B907">
        <f>IFERROR(__xludf.DUMMYFUNCTION("""COMPUTED_VALUE"""),21199.0)</f>
        <v>21199</v>
      </c>
      <c r="C907" t="str">
        <f>IFERROR(__xludf.DUMMYFUNCTION("""COMPUTED_VALUE"""),"Wilson Jones 3 Ring Binder 1-1/2 Inch, Ultra Duty D-Ring View Binder with Extra Durable Hinge, Customizable, White (W86660)")</f>
        <v>Wilson Jones 3 Ring Binder 1-1/2 Inch, Ultra Duty D-Ring View Binder with Extra Durable Hinge, Customizable, White (W86660)</v>
      </c>
      <c r="D907" t="str">
        <f>IFERROR(__xludf.DUMMYFUNCTION("""COMPUTED_VALUE"""),"B00CPXDSGS")</f>
        <v>B00CPXDSGS</v>
      </c>
      <c r="E907" t="str">
        <f>IFERROR(__xludf.DUMMYFUNCTION("""COMPUTED_VALUE"""),"078910000267")</f>
        <v>078910000267</v>
      </c>
      <c r="F907">
        <f>IFERROR(__xludf.DUMMYFUNCTION("""COMPUTED_VALUE"""),252.0)</f>
        <v>252</v>
      </c>
      <c r="G907">
        <f>IFERROR(__xludf.DUMMYFUNCTION("""COMPUTED_VALUE"""),10000.0)</f>
        <v>10000</v>
      </c>
      <c r="H907" s="2">
        <f>IFERROR(__xludf.DUMMYFUNCTION("""COMPUTED_VALUE"""),16.0)</f>
        <v>16</v>
      </c>
      <c r="I907" s="2">
        <f>IFERROR(__xludf.DUMMYFUNCTION("""COMPUTED_VALUE"""),16.62)</f>
        <v>16.62</v>
      </c>
      <c r="J907" s="2">
        <f>IFERROR(__xludf.DUMMYFUNCTION("""COMPUTED_VALUE"""),0.620000000000001)</f>
        <v>0.62</v>
      </c>
      <c r="K907" s="5">
        <f>IFERROR(__xludf.DUMMYFUNCTION("""COMPUTED_VALUE"""),0.03875000000000006)</f>
        <v>0.03875</v>
      </c>
      <c r="L907">
        <f>IFERROR(__xludf.DUMMYFUNCTION("""COMPUTED_VALUE"""),84146.0)</f>
        <v>84146</v>
      </c>
      <c r="M907" t="str">
        <f>IFERROR(__xludf.DUMMYFUNCTION("""COMPUTED_VALUE"""),"Office Product")</f>
        <v>Office Product</v>
      </c>
      <c r="O907" t="str">
        <f>IFERROR(__xludf.DUMMYFUNCTION("""COMPUTED_VALUE"""),"N")</f>
        <v>N</v>
      </c>
      <c r="P907" s="1" t="str">
        <f>IFERROR(__xludf.DUMMYFUNCTION("""COMPUTED_VALUE"""),"ID 21199")</f>
        <v>ID 21199</v>
      </c>
      <c r="Q907" s="1" t="str">
        <f>IFERROR(__xludf.DUMMYFUNCTION("""COMPUTED_VALUE"""),"B00CPXDSGS")</f>
        <v>B00CPXDSGS</v>
      </c>
    </row>
    <row r="908">
      <c r="A908" s="6">
        <f>IFERROR(__xludf.DUMMYFUNCTION("""COMPUTED_VALUE"""),45362.0)</f>
        <v>45362</v>
      </c>
      <c r="B908">
        <f>IFERROR(__xludf.DUMMYFUNCTION("""COMPUTED_VALUE"""),19667.0)</f>
        <v>19667</v>
      </c>
      <c r="C908" t="str">
        <f>IFERROR(__xludf.DUMMYFUNCTION("""COMPUTED_VALUE"""),"Pentel Arts Hybrid Technica 0.3 mm Pen, Ultra Fine Point, Black Ink, 1 Pack (KN103BPA)")</f>
        <v>Pentel Arts Hybrid Technica 0.3 mm Pen, Ultra Fine Point, Black Ink, 1 Pack (KN103BPA)</v>
      </c>
      <c r="D908" t="str">
        <f>IFERROR(__xludf.DUMMYFUNCTION("""COMPUTED_VALUE"""),"B003XQFWE2")</f>
        <v>B003XQFWE2</v>
      </c>
      <c r="E908" t="str">
        <f>IFERROR(__xludf.DUMMYFUNCTION("""COMPUTED_VALUE"""),"072512241875")</f>
        <v>072512241875</v>
      </c>
      <c r="F908">
        <f>IFERROR(__xludf.DUMMYFUNCTION("""COMPUTED_VALUE"""),720.0)</f>
        <v>720</v>
      </c>
      <c r="G908">
        <f>IFERROR(__xludf.DUMMYFUNCTION("""COMPUTED_VALUE"""),10000.0)</f>
        <v>10000</v>
      </c>
      <c r="H908" s="2">
        <f>IFERROR(__xludf.DUMMYFUNCTION("""COMPUTED_VALUE"""),1.5)</f>
        <v>1.5</v>
      </c>
      <c r="I908" s="2">
        <f>IFERROR(__xludf.DUMMYFUNCTION("""COMPUTED_VALUE"""),2.12)</f>
        <v>2.12</v>
      </c>
      <c r="J908" s="2">
        <f>IFERROR(__xludf.DUMMYFUNCTION("""COMPUTED_VALUE"""),0.6200000000000001)</f>
        <v>0.62</v>
      </c>
      <c r="K908" s="5">
        <f>IFERROR(__xludf.DUMMYFUNCTION("""COMPUTED_VALUE"""),0.4133333333333334)</f>
        <v>0.4133333333</v>
      </c>
      <c r="L908">
        <f>IFERROR(__xludf.DUMMYFUNCTION("""COMPUTED_VALUE"""),22772.0)</f>
        <v>22772</v>
      </c>
      <c r="M908" t="str">
        <f>IFERROR(__xludf.DUMMYFUNCTION("""COMPUTED_VALUE"""),"Office Product")</f>
        <v>Office Product</v>
      </c>
      <c r="O908" t="str">
        <f>IFERROR(__xludf.DUMMYFUNCTION("""COMPUTED_VALUE"""),"Y")</f>
        <v>Y</v>
      </c>
      <c r="P908" s="1" t="str">
        <f>IFERROR(__xludf.DUMMYFUNCTION("""COMPUTED_VALUE"""),"ID 19667")</f>
        <v>ID 19667</v>
      </c>
      <c r="Q908" s="1" t="str">
        <f>IFERROR(__xludf.DUMMYFUNCTION("""COMPUTED_VALUE"""),"B003XQFWE2")</f>
        <v>B003XQFWE2</v>
      </c>
    </row>
    <row r="909">
      <c r="A909" s="6">
        <f>IFERROR(__xludf.DUMMYFUNCTION("""COMPUTED_VALUE"""),45390.0)</f>
        <v>45390</v>
      </c>
      <c r="B909">
        <f>IFERROR(__xludf.DUMMYFUNCTION("""COMPUTED_VALUE"""),19787.0)</f>
        <v>19787</v>
      </c>
      <c r="C909" t="str">
        <f>IFERROR(__xludf.DUMMYFUNCTION("""COMPUTED_VALUE"""),"Chef Craft Premium Silicone Spaghetti/Pasta Fork, 11.5 inch, Pink")</f>
        <v>Chef Craft Premium Silicone Spaghetti/Pasta Fork, 11.5 inch, Pink</v>
      </c>
      <c r="D909" t="str">
        <f>IFERROR(__xludf.DUMMYFUNCTION("""COMPUTED_VALUE"""),"B08SJ61SFY")</f>
        <v>B08SJ61SFY</v>
      </c>
      <c r="E909" t="str">
        <f>IFERROR(__xludf.DUMMYFUNCTION("""COMPUTED_VALUE"""),"085455137419")</f>
        <v>085455137419</v>
      </c>
      <c r="F909">
        <f>IFERROR(__xludf.DUMMYFUNCTION("""COMPUTED_VALUE"""),360.0)</f>
        <v>360</v>
      </c>
      <c r="G909">
        <f>IFERROR(__xludf.DUMMYFUNCTION("""COMPUTED_VALUE"""),10000.0)</f>
        <v>10000</v>
      </c>
      <c r="H909" s="2">
        <f>IFERROR(__xludf.DUMMYFUNCTION("""COMPUTED_VALUE"""),2.75)</f>
        <v>2.75</v>
      </c>
      <c r="I909" s="2">
        <f>IFERROR(__xludf.DUMMYFUNCTION("""COMPUTED_VALUE"""),3.37)</f>
        <v>3.37</v>
      </c>
      <c r="J909" s="2">
        <f>IFERROR(__xludf.DUMMYFUNCTION("""COMPUTED_VALUE"""),0.6200000000000001)</f>
        <v>0.62</v>
      </c>
      <c r="K909" s="5">
        <f>IFERROR(__xludf.DUMMYFUNCTION("""COMPUTED_VALUE"""),0.2254545454545455)</f>
        <v>0.2254545455</v>
      </c>
      <c r="L909">
        <f>IFERROR(__xludf.DUMMYFUNCTION("""COMPUTED_VALUE"""),22468.0)</f>
        <v>22468</v>
      </c>
      <c r="M909" t="str">
        <f>IFERROR(__xludf.DUMMYFUNCTION("""COMPUTED_VALUE"""),"Kitchen")</f>
        <v>Kitchen</v>
      </c>
      <c r="O909" t="str">
        <f>IFERROR(__xludf.DUMMYFUNCTION("""COMPUTED_VALUE"""),"Y")</f>
        <v>Y</v>
      </c>
      <c r="P909" s="1" t="str">
        <f>IFERROR(__xludf.DUMMYFUNCTION("""COMPUTED_VALUE"""),"ID 19787")</f>
        <v>ID 19787</v>
      </c>
      <c r="Q909" s="1" t="str">
        <f>IFERROR(__xludf.DUMMYFUNCTION("""COMPUTED_VALUE"""),"B08SJ61SFY")</f>
        <v>B08SJ61SFY</v>
      </c>
    </row>
    <row r="910">
      <c r="A910" s="6">
        <f>IFERROR(__xludf.DUMMYFUNCTION("""COMPUTED_VALUE"""),45383.0)</f>
        <v>45383</v>
      </c>
      <c r="B910">
        <f>IFERROR(__xludf.DUMMYFUNCTION("""COMPUTED_VALUE"""),23176.0)</f>
        <v>23176</v>
      </c>
      <c r="C910" t="str">
        <f>IFERROR(__xludf.DUMMYFUNCTION("""COMPUTED_VALUE"""),"Zebra StylusPen Telescopic Ballpoint Pen, Medium Point, 1.0mm, Black Ink, Grey and Navy Barrels, 2-Count")</f>
        <v>Zebra StylusPen Telescopic Ballpoint Pen, Medium Point, 1.0mm, Black Ink, Grey and Navy Barrels, 2-Count</v>
      </c>
      <c r="D910" t="str">
        <f>IFERROR(__xludf.DUMMYFUNCTION("""COMPUTED_VALUE"""),"B00NACZB1S")</f>
        <v>B00NACZB1S</v>
      </c>
      <c r="E910" t="str">
        <f>IFERROR(__xludf.DUMMYFUNCTION("""COMPUTED_VALUE"""),"045888336025")</f>
        <v>045888336025</v>
      </c>
      <c r="F910">
        <f>IFERROR(__xludf.DUMMYFUNCTION("""COMPUTED_VALUE"""),216.0)</f>
        <v>216</v>
      </c>
      <c r="G910">
        <f>IFERROR(__xludf.DUMMYFUNCTION("""COMPUTED_VALUE"""),10000.0)</f>
        <v>10000</v>
      </c>
      <c r="H910" s="2">
        <f>IFERROR(__xludf.DUMMYFUNCTION("""COMPUTED_VALUE"""),5.75)</f>
        <v>5.75</v>
      </c>
      <c r="I910" s="2">
        <f>IFERROR(__xludf.DUMMYFUNCTION("""COMPUTED_VALUE"""),6.37)</f>
        <v>6.37</v>
      </c>
      <c r="J910" s="2">
        <f>IFERROR(__xludf.DUMMYFUNCTION("""COMPUTED_VALUE"""),0.6200000000000001)</f>
        <v>0.62</v>
      </c>
      <c r="K910" s="5">
        <f>IFERROR(__xludf.DUMMYFUNCTION("""COMPUTED_VALUE"""),0.10782608695652175)</f>
        <v>0.107826087</v>
      </c>
      <c r="L910">
        <f>IFERROR(__xludf.DUMMYFUNCTION("""COMPUTED_VALUE"""),34615.0)</f>
        <v>34615</v>
      </c>
      <c r="M910" t="str">
        <f>IFERROR(__xludf.DUMMYFUNCTION("""COMPUTED_VALUE"""),"Office Product")</f>
        <v>Office Product</v>
      </c>
      <c r="O910" t="str">
        <f>IFERROR(__xludf.DUMMYFUNCTION("""COMPUTED_VALUE"""),"Y")</f>
        <v>Y</v>
      </c>
      <c r="P910" s="1" t="str">
        <f>IFERROR(__xludf.DUMMYFUNCTION("""COMPUTED_VALUE"""),"ID 23176")</f>
        <v>ID 23176</v>
      </c>
      <c r="Q910" s="1" t="str">
        <f>IFERROR(__xludf.DUMMYFUNCTION("""COMPUTED_VALUE"""),"B00NACZB1S")</f>
        <v>B00NACZB1S</v>
      </c>
    </row>
    <row r="911">
      <c r="A911" s="6">
        <f>IFERROR(__xludf.DUMMYFUNCTION("""COMPUTED_VALUE"""),45390.0)</f>
        <v>45390</v>
      </c>
      <c r="B911">
        <f>IFERROR(__xludf.DUMMYFUNCTION("""COMPUTED_VALUE"""),4128.0)</f>
        <v>4128</v>
      </c>
      <c r="C911" t="str">
        <f>IFERROR(__xludf.DUMMYFUNCTION("""COMPUTED_VALUE"""),"Chef Craft 21460 6-Piece Plastic Measuring Spoons, White with Blue, 4-1/2-Inch")</f>
        <v>Chef Craft 21460 6-Piece Plastic Measuring Spoons, White with Blue, 4-1/2-Inch</v>
      </c>
      <c r="D911" t="str">
        <f>IFERROR(__xludf.DUMMYFUNCTION("""COMPUTED_VALUE"""),"B003UGC4MS")</f>
        <v>B003UGC4MS</v>
      </c>
      <c r="E911" t="str">
        <f>IFERROR(__xludf.DUMMYFUNCTION("""COMPUTED_VALUE"""),"085455214608")</f>
        <v>085455214608</v>
      </c>
      <c r="F911">
        <f>IFERROR(__xludf.DUMMYFUNCTION("""COMPUTED_VALUE"""),720.0)</f>
        <v>720</v>
      </c>
      <c r="G911">
        <f>IFERROR(__xludf.DUMMYFUNCTION("""COMPUTED_VALUE"""),10000.0)</f>
        <v>10000</v>
      </c>
      <c r="H911" s="2">
        <f>IFERROR(__xludf.DUMMYFUNCTION("""COMPUTED_VALUE"""),1.0)</f>
        <v>1</v>
      </c>
      <c r="I911" s="2">
        <f>IFERROR(__xludf.DUMMYFUNCTION("""COMPUTED_VALUE"""),1.62)</f>
        <v>1.62</v>
      </c>
      <c r="J911" s="2">
        <f>IFERROR(__xludf.DUMMYFUNCTION("""COMPUTED_VALUE"""),0.6200000000000001)</f>
        <v>0.62</v>
      </c>
      <c r="K911" s="5">
        <f>IFERROR(__xludf.DUMMYFUNCTION("""COMPUTED_VALUE"""),0.6200000000000001)</f>
        <v>0.62</v>
      </c>
      <c r="L911">
        <f>IFERROR(__xludf.DUMMYFUNCTION("""COMPUTED_VALUE"""),20685.0)</f>
        <v>20685</v>
      </c>
      <c r="M911" t="str">
        <f>IFERROR(__xludf.DUMMYFUNCTION("""COMPUTED_VALUE"""),"Kitchen")</f>
        <v>Kitchen</v>
      </c>
      <c r="O911" t="str">
        <f>IFERROR(__xludf.DUMMYFUNCTION("""COMPUTED_VALUE"""),"Y")</f>
        <v>Y</v>
      </c>
      <c r="P911" s="1" t="str">
        <f>IFERROR(__xludf.DUMMYFUNCTION("""COMPUTED_VALUE"""),"ID 4128")</f>
        <v>ID 4128</v>
      </c>
      <c r="Q911" s="1" t="str">
        <f>IFERROR(__xludf.DUMMYFUNCTION("""COMPUTED_VALUE"""),"B003UGC4MS")</f>
        <v>B003UGC4MS</v>
      </c>
    </row>
    <row r="912">
      <c r="A912" s="6">
        <f>IFERROR(__xludf.DUMMYFUNCTION("""COMPUTED_VALUE"""),44258.0)</f>
        <v>44258</v>
      </c>
      <c r="B912">
        <f>IFERROR(__xludf.DUMMYFUNCTION("""COMPUTED_VALUE"""),15044.0)</f>
        <v>15044</v>
      </c>
      <c r="C912" t="str">
        <f>IFERROR(__xludf.DUMMYFUNCTION("""COMPUTED_VALUE"""),"Anchor Hocking 95141 Glassware Glass Set, 15 Oz, White Wine")</f>
        <v>Anchor Hocking 95141 Glassware Glass Set, 15 Oz, White Wine</v>
      </c>
      <c r="D912" t="str">
        <f>IFERROR(__xludf.DUMMYFUNCTION("""COMPUTED_VALUE"""),"B00F876XJ2")</f>
        <v>B00F876XJ2</v>
      </c>
      <c r="E912" t="str">
        <f>IFERROR(__xludf.DUMMYFUNCTION("""COMPUTED_VALUE"""),"76440951417")</f>
        <v>76440951417</v>
      </c>
      <c r="F912">
        <f>IFERROR(__xludf.DUMMYFUNCTION("""COMPUTED_VALUE"""),471.0)</f>
        <v>471</v>
      </c>
      <c r="G912">
        <f>IFERROR(__xludf.DUMMYFUNCTION("""COMPUTED_VALUE"""),1314.0)</f>
        <v>1314</v>
      </c>
      <c r="H912" s="2">
        <f>IFERROR(__xludf.DUMMYFUNCTION("""COMPUTED_VALUE"""),6.5)</f>
        <v>6.5</v>
      </c>
      <c r="I912" s="2">
        <f>IFERROR(__xludf.DUMMYFUNCTION("""COMPUTED_VALUE"""),7.11)</f>
        <v>7.11</v>
      </c>
      <c r="J912" s="2">
        <f>IFERROR(__xludf.DUMMYFUNCTION("""COMPUTED_VALUE"""),0.6100000000000003)</f>
        <v>0.61</v>
      </c>
      <c r="K912" s="5">
        <f>IFERROR(__xludf.DUMMYFUNCTION("""COMPUTED_VALUE"""),0.0938461538461539)</f>
        <v>0.09384615385</v>
      </c>
      <c r="L912">
        <f>IFERROR(__xludf.DUMMYFUNCTION("""COMPUTED_VALUE"""),71106.0)</f>
        <v>71106</v>
      </c>
      <c r="M912" t="str">
        <f>IFERROR(__xludf.DUMMYFUNCTION("""COMPUTED_VALUE"""),"Kitchen")</f>
        <v>Kitchen</v>
      </c>
      <c r="O912" t="str">
        <f>IFERROR(__xludf.DUMMYFUNCTION("""COMPUTED_VALUE"""),"N")</f>
        <v>N</v>
      </c>
      <c r="P912" s="1" t="str">
        <f>IFERROR(__xludf.DUMMYFUNCTION("""COMPUTED_VALUE"""),"ID 15044")</f>
        <v>ID 15044</v>
      </c>
      <c r="Q912" s="1" t="str">
        <f>IFERROR(__xludf.DUMMYFUNCTION("""COMPUTED_VALUE"""),"B00F876XJ2")</f>
        <v>B00F876XJ2</v>
      </c>
    </row>
    <row r="913">
      <c r="A913" s="6">
        <f>IFERROR(__xludf.DUMMYFUNCTION("""COMPUTED_VALUE"""),45355.0)</f>
        <v>45355</v>
      </c>
      <c r="B913">
        <f>IFERROR(__xludf.DUMMYFUNCTION("""COMPUTED_VALUE"""),15447.0)</f>
        <v>15447</v>
      </c>
      <c r="C913" t="str">
        <f>IFERROR(__xludf.DUMMYFUNCTION("""COMPUTED_VALUE"""),"Elmer's Carpenter's Color Change Wood Filler, 8 oz., White (E916)")</f>
        <v>Elmer's Carpenter's Color Change Wood Filler, 8 oz., White (E916)</v>
      </c>
      <c r="D913" t="str">
        <f>IFERROR(__xludf.DUMMYFUNCTION("""COMPUTED_VALUE"""),"B00JKAZYIO")</f>
        <v>B00JKAZYIO</v>
      </c>
      <c r="E913" t="str">
        <f>IFERROR(__xludf.DUMMYFUNCTION("""COMPUTED_VALUE"""),"026000009164")</f>
        <v>026000009164</v>
      </c>
      <c r="F913">
        <f>IFERROR(__xludf.DUMMYFUNCTION("""COMPUTED_VALUE"""),736.0)</f>
        <v>736</v>
      </c>
      <c r="G913">
        <f>IFERROR(__xludf.DUMMYFUNCTION("""COMPUTED_VALUE"""),10000.0)</f>
        <v>10000</v>
      </c>
      <c r="H913" s="2">
        <f>IFERROR(__xludf.DUMMYFUNCTION("""COMPUTED_VALUE"""),4.25)</f>
        <v>4.25</v>
      </c>
      <c r="I913" s="2">
        <f>IFERROR(__xludf.DUMMYFUNCTION("""COMPUTED_VALUE"""),4.86)</f>
        <v>4.86</v>
      </c>
      <c r="J913" s="2">
        <f>IFERROR(__xludf.DUMMYFUNCTION("""COMPUTED_VALUE"""),0.6100000000000003)</f>
        <v>0.61</v>
      </c>
      <c r="K913" s="5">
        <f>IFERROR(__xludf.DUMMYFUNCTION("""COMPUTED_VALUE"""),0.14352941176470596)</f>
        <v>0.1435294118</v>
      </c>
      <c r="L913">
        <f>IFERROR(__xludf.DUMMYFUNCTION("""COMPUTED_VALUE"""),42896.0)</f>
        <v>42896</v>
      </c>
      <c r="M913" t="str">
        <f>IFERROR(__xludf.DUMMYFUNCTION("""COMPUTED_VALUE"""),"Office Product")</f>
        <v>Office Product</v>
      </c>
      <c r="O913" t="str">
        <f>IFERROR(__xludf.DUMMYFUNCTION("""COMPUTED_VALUE"""),"N")</f>
        <v>N</v>
      </c>
      <c r="P913" s="1" t="str">
        <f>IFERROR(__xludf.DUMMYFUNCTION("""COMPUTED_VALUE"""),"ID 15447")</f>
        <v>ID 15447</v>
      </c>
      <c r="Q913" s="1" t="str">
        <f>IFERROR(__xludf.DUMMYFUNCTION("""COMPUTED_VALUE"""),"B00JKAZYIO")</f>
        <v>B00JKAZYIO</v>
      </c>
    </row>
    <row r="914">
      <c r="A914" s="6">
        <f>IFERROR(__xludf.DUMMYFUNCTION("""COMPUTED_VALUE"""),44958.0)</f>
        <v>44958</v>
      </c>
      <c r="B914">
        <f>IFERROR(__xludf.DUMMYFUNCTION("""COMPUTED_VALUE"""),18463.0)</f>
        <v>18463</v>
      </c>
      <c r="C914" t="str">
        <f>IFERROR(__xludf.DUMMYFUNCTION("""COMPUTED_VALUE"""),"Adams ARB8003M Account Book, 3 Column, Black Cover, 80 Pages, 7 X 9 1/4")</f>
        <v>Adams ARB8003M Account Book, 3 Column, Black Cover, 80 Pages, 7 X 9 1/4</v>
      </c>
      <c r="D914" t="str">
        <f>IFERROR(__xludf.DUMMYFUNCTION("""COMPUTED_VALUE"""),"B0765D8LY4")</f>
        <v>B0765D8LY4</v>
      </c>
      <c r="E914" t="str">
        <f>IFERROR(__xludf.DUMMYFUNCTION("""COMPUTED_VALUE"""),"087958721300")</f>
        <v>087958721300</v>
      </c>
      <c r="F914">
        <f>IFERROR(__xludf.DUMMYFUNCTION("""COMPUTED_VALUE"""),402.0)</f>
        <v>402</v>
      </c>
      <c r="G914">
        <f>IFERROR(__xludf.DUMMYFUNCTION("""COMPUTED_VALUE"""),10000.0)</f>
        <v>10000</v>
      </c>
      <c r="H914" s="2">
        <f>IFERROR(__xludf.DUMMYFUNCTION("""COMPUTED_VALUE"""),6.0)</f>
        <v>6</v>
      </c>
      <c r="I914" s="2">
        <f>IFERROR(__xludf.DUMMYFUNCTION("""COMPUTED_VALUE"""),6.61)</f>
        <v>6.61</v>
      </c>
      <c r="J914" s="2">
        <f>IFERROR(__xludf.DUMMYFUNCTION("""COMPUTED_VALUE"""),0.6100000000000003)</f>
        <v>0.61</v>
      </c>
      <c r="K914" s="5">
        <f>IFERROR(__xludf.DUMMYFUNCTION("""COMPUTED_VALUE"""),0.10166666666666672)</f>
        <v>0.1016666667</v>
      </c>
      <c r="L914">
        <f>IFERROR(__xludf.DUMMYFUNCTION("""COMPUTED_VALUE"""),20117.0)</f>
        <v>20117</v>
      </c>
      <c r="M914" t="str">
        <f>IFERROR(__xludf.DUMMYFUNCTION("""COMPUTED_VALUE"""),"Office Product")</f>
        <v>Office Product</v>
      </c>
      <c r="O914" t="str">
        <f>IFERROR(__xludf.DUMMYFUNCTION("""COMPUTED_VALUE"""),"N")</f>
        <v>N</v>
      </c>
      <c r="P914" s="1" t="str">
        <f>IFERROR(__xludf.DUMMYFUNCTION("""COMPUTED_VALUE"""),"ID 18463")</f>
        <v>ID 18463</v>
      </c>
      <c r="Q914" s="1" t="str">
        <f>IFERROR(__xludf.DUMMYFUNCTION("""COMPUTED_VALUE"""),"B0765D8LY4")</f>
        <v>B0765D8LY4</v>
      </c>
    </row>
    <row r="915">
      <c r="A915" s="6">
        <f>IFERROR(__xludf.DUMMYFUNCTION("""COMPUTED_VALUE"""),45429.0)</f>
        <v>45429</v>
      </c>
      <c r="B915">
        <f>IFERROR(__xludf.DUMMYFUNCTION("""COMPUTED_VALUE"""),21150.0)</f>
        <v>21150</v>
      </c>
      <c r="C915" t="str">
        <f>IFERROR(__xludf.DUMMYFUNCTION("""COMPUTED_VALUE"""),"Moschino Toy Boy for Men Mini Perfume Splash 0.17 oz")</f>
        <v>Moschino Toy Boy for Men Mini Perfume Splash 0.17 oz</v>
      </c>
      <c r="D915" t="str">
        <f>IFERROR(__xludf.DUMMYFUNCTION("""COMPUTED_VALUE"""),"B088BC1YRC")</f>
        <v>B088BC1YRC</v>
      </c>
      <c r="E915" t="str">
        <f>IFERROR(__xludf.DUMMYFUNCTION("""COMPUTED_VALUE"""),"8011003845187")</f>
        <v>8011003845187</v>
      </c>
      <c r="F915">
        <f>IFERROR(__xludf.DUMMYFUNCTION("""COMPUTED_VALUE"""),280.0)</f>
        <v>280</v>
      </c>
      <c r="G915">
        <f>IFERROR(__xludf.DUMMYFUNCTION("""COMPUTED_VALUE"""),10000.0)</f>
        <v>10000</v>
      </c>
      <c r="H915" s="2">
        <f>IFERROR(__xludf.DUMMYFUNCTION("""COMPUTED_VALUE"""),4.75)</f>
        <v>4.75</v>
      </c>
      <c r="I915" s="2">
        <f>IFERROR(__xludf.DUMMYFUNCTION("""COMPUTED_VALUE"""),5.36)</f>
        <v>5.36</v>
      </c>
      <c r="J915" s="2">
        <f>IFERROR(__xludf.DUMMYFUNCTION("""COMPUTED_VALUE"""),0.6100000000000003)</f>
        <v>0.61</v>
      </c>
      <c r="K915" s="5">
        <f>IFERROR(__xludf.DUMMYFUNCTION("""COMPUTED_VALUE"""),0.12842105263157902)</f>
        <v>0.1284210526</v>
      </c>
      <c r="L915">
        <f>IFERROR(__xludf.DUMMYFUNCTION("""COMPUTED_VALUE"""),21551.0)</f>
        <v>21551</v>
      </c>
      <c r="M915" t="str">
        <f>IFERROR(__xludf.DUMMYFUNCTION("""COMPUTED_VALUE"""),"BISS Basic")</f>
        <v>BISS Basic</v>
      </c>
      <c r="O915" t="str">
        <f>IFERROR(__xludf.DUMMYFUNCTION("""COMPUTED_VALUE"""),"N")</f>
        <v>N</v>
      </c>
      <c r="P915" s="1" t="str">
        <f>IFERROR(__xludf.DUMMYFUNCTION("""COMPUTED_VALUE"""),"ID 21150")</f>
        <v>ID 21150</v>
      </c>
      <c r="Q915" s="1" t="str">
        <f>IFERROR(__xludf.DUMMYFUNCTION("""COMPUTED_VALUE"""),"B088BC1YRC")</f>
        <v>B088BC1YRC</v>
      </c>
    </row>
    <row r="916">
      <c r="A916" s="6">
        <f>IFERROR(__xludf.DUMMYFUNCTION("""COMPUTED_VALUE"""),45421.0)</f>
        <v>45421</v>
      </c>
      <c r="B916">
        <f>IFERROR(__xludf.DUMMYFUNCTION("""COMPUTED_VALUE"""),25560.0)</f>
        <v>25560</v>
      </c>
      <c r="C916" t="str">
        <f>IFERROR(__xludf.DUMMYFUNCTION("""COMPUTED_VALUE"""),"Grumbacher Academy Watercolor Paint, 7.5ml/0.25 Ounce, Prussian Blue (A168)")</f>
        <v>Grumbacher Academy Watercolor Paint, 7.5ml/0.25 Ounce, Prussian Blue (A168)</v>
      </c>
      <c r="D916" t="str">
        <f>IFERROR(__xludf.DUMMYFUNCTION("""COMPUTED_VALUE"""),"B004M521BA")</f>
        <v>B004M521BA</v>
      </c>
      <c r="E916" t="str">
        <f>IFERROR(__xludf.DUMMYFUNCTION("""COMPUTED_VALUE"""),"014173350916")</f>
        <v>014173350916</v>
      </c>
      <c r="F916">
        <f>IFERROR(__xludf.DUMMYFUNCTION("""COMPUTED_VALUE"""),864.0)</f>
        <v>864</v>
      </c>
      <c r="G916">
        <f>IFERROR(__xludf.DUMMYFUNCTION("""COMPUTED_VALUE"""),10000.0)</f>
        <v>10000</v>
      </c>
      <c r="H916" s="2">
        <f>IFERROR(__xludf.DUMMYFUNCTION("""COMPUTED_VALUE"""),2.5)</f>
        <v>2.5</v>
      </c>
      <c r="I916" s="2">
        <f>IFERROR(__xludf.DUMMYFUNCTION("""COMPUTED_VALUE"""),3.11)</f>
        <v>3.11</v>
      </c>
      <c r="J916" s="2">
        <f>IFERROR(__xludf.DUMMYFUNCTION("""COMPUTED_VALUE"""),0.6099999999999999)</f>
        <v>0.61</v>
      </c>
      <c r="K916" s="5">
        <f>IFERROR(__xludf.DUMMYFUNCTION("""COMPUTED_VALUE"""),0.24399999999999994)</f>
        <v>0.244</v>
      </c>
      <c r="L916">
        <f>IFERROR(__xludf.DUMMYFUNCTION("""COMPUTED_VALUE"""),36919.0)</f>
        <v>36919</v>
      </c>
      <c r="M916" t="str">
        <f>IFERROR(__xludf.DUMMYFUNCTION("""COMPUTED_VALUE"""),"Office Product")</f>
        <v>Office Product</v>
      </c>
      <c r="O916" t="str">
        <f>IFERROR(__xludf.DUMMYFUNCTION("""COMPUTED_VALUE"""),"N")</f>
        <v>N</v>
      </c>
      <c r="P916" s="1" t="str">
        <f>IFERROR(__xludf.DUMMYFUNCTION("""COMPUTED_VALUE"""),"ID 25560")</f>
        <v>ID 25560</v>
      </c>
      <c r="Q916" s="1" t="str">
        <f>IFERROR(__xludf.DUMMYFUNCTION("""COMPUTED_VALUE"""),"B004M521BA")</f>
        <v>B004M521BA</v>
      </c>
    </row>
    <row r="917">
      <c r="A917" s="6">
        <f>IFERROR(__xludf.DUMMYFUNCTION("""COMPUTED_VALUE"""),45182.0)</f>
        <v>45182</v>
      </c>
      <c r="B917">
        <f>IFERROR(__xludf.DUMMYFUNCTION("""COMPUTED_VALUE"""),23050.0)</f>
        <v>23050</v>
      </c>
      <c r="C917" t="str">
        <f>IFERROR(__xludf.DUMMYFUNCTION("""COMPUTED_VALUE"""),"C-Line 3-Pocket Tri-Fold Heavyweight Poly Portfolios, Assorted Colors, Pack of 24 (33940-24)")</f>
        <v>C-Line 3-Pocket Tri-Fold Heavyweight Poly Portfolios, Assorted Colors, Pack of 24 (33940-24)</v>
      </c>
      <c r="D917" t="str">
        <f>IFERROR(__xludf.DUMMYFUNCTION("""COMPUTED_VALUE"""),"B07DX8WLL6")</f>
        <v>B07DX8WLL6</v>
      </c>
      <c r="E917" t="str">
        <f>IFERROR(__xludf.DUMMYFUNCTION("""COMPUTED_VALUE"""),"38944339405")</f>
        <v>38944339405</v>
      </c>
      <c r="F917">
        <f>IFERROR(__xludf.DUMMYFUNCTION("""COMPUTED_VALUE"""),984.0)</f>
        <v>984</v>
      </c>
      <c r="G917">
        <f>IFERROR(__xludf.DUMMYFUNCTION("""COMPUTED_VALUE"""),10000.0)</f>
        <v>10000</v>
      </c>
      <c r="H917" s="2">
        <f>IFERROR(__xludf.DUMMYFUNCTION("""COMPUTED_VALUE"""),21.75)</f>
        <v>21.75</v>
      </c>
      <c r="I917" s="2">
        <f>IFERROR(__xludf.DUMMYFUNCTION("""COMPUTED_VALUE"""),22.36)</f>
        <v>22.36</v>
      </c>
      <c r="J917" s="2">
        <f>IFERROR(__xludf.DUMMYFUNCTION("""COMPUTED_VALUE"""),0.6099999999999994)</f>
        <v>0.61</v>
      </c>
      <c r="K917" s="5">
        <f>IFERROR(__xludf.DUMMYFUNCTION("""COMPUTED_VALUE"""),0.028045977011494225)</f>
        <v>0.02804597701</v>
      </c>
      <c r="L917">
        <f>IFERROR(__xludf.DUMMYFUNCTION("""COMPUTED_VALUE"""),37907.0)</f>
        <v>37907</v>
      </c>
      <c r="M917" t="str">
        <f>IFERROR(__xludf.DUMMYFUNCTION("""COMPUTED_VALUE"""),"Office Product")</f>
        <v>Office Product</v>
      </c>
      <c r="N917" t="str">
        <f>IFERROR(__xludf.DUMMYFUNCTION("""COMPUTED_VALUE"""),"UOM: 1 box of 24 folders")</f>
        <v>UOM: 1 box of 24 folders</v>
      </c>
      <c r="O917" t="str">
        <f>IFERROR(__xludf.DUMMYFUNCTION("""COMPUTED_VALUE"""),"Y")</f>
        <v>Y</v>
      </c>
      <c r="P917" s="1" t="str">
        <f>IFERROR(__xludf.DUMMYFUNCTION("""COMPUTED_VALUE"""),"ID 23050")</f>
        <v>ID 23050</v>
      </c>
      <c r="Q917" s="1" t="str">
        <f>IFERROR(__xludf.DUMMYFUNCTION("""COMPUTED_VALUE"""),"B07DX8WLL6")</f>
        <v>B07DX8WLL6</v>
      </c>
    </row>
    <row r="918">
      <c r="A918" s="6">
        <f>IFERROR(__xludf.DUMMYFUNCTION("""COMPUTED_VALUE"""),45103.0)</f>
        <v>45103</v>
      </c>
      <c r="B918">
        <f>IFERROR(__xludf.DUMMYFUNCTION("""COMPUTED_VALUE"""),16570.0)</f>
        <v>16570</v>
      </c>
      <c r="C918" t="str">
        <f>IFERROR(__xludf.DUMMYFUNCTION("""COMPUTED_VALUE"""),"Febreze 300 ml Lavender Air Freshener Spray - Pack of 6")</f>
        <v>Febreze 300 ml Lavender Air Freshener Spray - Pack of 6</v>
      </c>
      <c r="D918" t="str">
        <f>IFERROR(__xludf.DUMMYFUNCTION("""COMPUTED_VALUE"""),"B01N9KRQ0O")</f>
        <v>B01N9KRQ0O</v>
      </c>
      <c r="E918" t="str">
        <f>IFERROR(__xludf.DUMMYFUNCTION("""COMPUTED_VALUE"""),"4015400784494")</f>
        <v>4015400784494</v>
      </c>
      <c r="F918">
        <f>IFERROR(__xludf.DUMMYFUNCTION("""COMPUTED_VALUE"""),80.0)</f>
        <v>80</v>
      </c>
      <c r="G918">
        <f>IFERROR(__xludf.DUMMYFUNCTION("""COMPUTED_VALUE"""),1812.0)</f>
        <v>1812</v>
      </c>
      <c r="H918" s="2">
        <f>IFERROR(__xludf.DUMMYFUNCTION("""COMPUTED_VALUE"""),16.0)</f>
        <v>16</v>
      </c>
      <c r="I918" s="2">
        <f>IFERROR(__xludf.DUMMYFUNCTION("""COMPUTED_VALUE"""),16.6)</f>
        <v>16.6</v>
      </c>
      <c r="J918" s="2">
        <f>IFERROR(__xludf.DUMMYFUNCTION("""COMPUTED_VALUE"""),0.6000000000000014)</f>
        <v>0.6</v>
      </c>
      <c r="K918" s="5">
        <f>IFERROR(__xludf.DUMMYFUNCTION("""COMPUTED_VALUE"""),0.03750000000000009)</f>
        <v>0.0375</v>
      </c>
      <c r="L918">
        <f>IFERROR(__xludf.DUMMYFUNCTION("""COMPUTED_VALUE"""),261.0)</f>
        <v>261</v>
      </c>
      <c r="M918" t="str">
        <f>IFERROR(__xludf.DUMMYFUNCTION("""COMPUTED_VALUE"""),"BISS Basic")</f>
        <v>BISS Basic</v>
      </c>
      <c r="N918" t="str">
        <f>IFERROR(__xludf.DUMMYFUNCTION("""COMPUTED_VALUE"""),"UOM: 1 case of 6")</f>
        <v>UOM: 1 case of 6</v>
      </c>
      <c r="O918" t="str">
        <f>IFERROR(__xludf.DUMMYFUNCTION("""COMPUTED_VALUE"""),"N")</f>
        <v>N</v>
      </c>
      <c r="P918" s="1" t="str">
        <f>IFERROR(__xludf.DUMMYFUNCTION("""COMPUTED_VALUE"""),"ID 16570")</f>
        <v>ID 16570</v>
      </c>
      <c r="Q918" s="1" t="str">
        <f>IFERROR(__xludf.DUMMYFUNCTION("""COMPUTED_VALUE"""),"B01N9KRQ0O")</f>
        <v>B01N9KRQ0O</v>
      </c>
    </row>
    <row r="919">
      <c r="A919" s="6">
        <f>IFERROR(__xludf.DUMMYFUNCTION("""COMPUTED_VALUE"""),45390.0)</f>
        <v>45390</v>
      </c>
      <c r="B919">
        <f>IFERROR(__xludf.DUMMYFUNCTION("""COMPUTED_VALUE"""),4133.0)</f>
        <v>4133</v>
      </c>
      <c r="C919" t="str">
        <f>IFERROR(__xludf.DUMMYFUNCTION("""COMPUTED_VALUE"""),"Chef Craft Can Opener with Tapper")</f>
        <v>Chef Craft Can Opener with Tapper</v>
      </c>
      <c r="D919" t="str">
        <f>IFERROR(__xludf.DUMMYFUNCTION("""COMPUTED_VALUE"""),"B00LSD7KIS")</f>
        <v>B00LSD7KIS</v>
      </c>
      <c r="E919" t="str">
        <f>IFERROR(__xludf.DUMMYFUNCTION("""COMPUTED_VALUE"""),"085455212949")</f>
        <v>085455212949</v>
      </c>
      <c r="F919">
        <f>IFERROR(__xludf.DUMMYFUNCTION("""COMPUTED_VALUE"""),1008.0)</f>
        <v>1008</v>
      </c>
      <c r="G919">
        <f>IFERROR(__xludf.DUMMYFUNCTION("""COMPUTED_VALUE"""),10000.0)</f>
        <v>10000</v>
      </c>
      <c r="H919" s="2">
        <f>IFERROR(__xludf.DUMMYFUNCTION("""COMPUTED_VALUE"""),1.25)</f>
        <v>1.25</v>
      </c>
      <c r="I919" s="2">
        <f>IFERROR(__xludf.DUMMYFUNCTION("""COMPUTED_VALUE"""),1.85)</f>
        <v>1.85</v>
      </c>
      <c r="J919" s="2">
        <f>IFERROR(__xludf.DUMMYFUNCTION("""COMPUTED_VALUE"""),0.6000000000000001)</f>
        <v>0.6</v>
      </c>
      <c r="K919" s="5">
        <f>IFERROR(__xludf.DUMMYFUNCTION("""COMPUTED_VALUE"""),0.4800000000000001)</f>
        <v>0.48</v>
      </c>
      <c r="L919">
        <f>IFERROR(__xludf.DUMMYFUNCTION("""COMPUTED_VALUE"""),2494.0)</f>
        <v>2494</v>
      </c>
      <c r="M919" t="str">
        <f>IFERROR(__xludf.DUMMYFUNCTION("""COMPUTED_VALUE"""),"Kitchen")</f>
        <v>Kitchen</v>
      </c>
      <c r="O919" t="str">
        <f>IFERROR(__xludf.DUMMYFUNCTION("""COMPUTED_VALUE"""),"Y")</f>
        <v>Y</v>
      </c>
      <c r="P919" s="1" t="str">
        <f>IFERROR(__xludf.DUMMYFUNCTION("""COMPUTED_VALUE"""),"ID 4133")</f>
        <v>ID 4133</v>
      </c>
      <c r="Q919" s="1" t="str">
        <f>IFERROR(__xludf.DUMMYFUNCTION("""COMPUTED_VALUE"""),"B00LSD7KIS")</f>
        <v>B00LSD7KIS</v>
      </c>
    </row>
    <row r="920">
      <c r="A920" s="6">
        <f>IFERROR(__xludf.DUMMYFUNCTION("""COMPUTED_VALUE"""),45390.0)</f>
        <v>45390</v>
      </c>
      <c r="B920">
        <f>IFERROR(__xludf.DUMMYFUNCTION("""COMPUTED_VALUE"""),9007.0)</f>
        <v>9007</v>
      </c>
      <c r="C920" t="str">
        <f>IFERROR(__xludf.DUMMYFUNCTION("""COMPUTED_VALUE"""),"Chef Craft 13567 Premium Silicone Spoon Spatula, 11.5, Purple")</f>
        <v>Chef Craft 13567 Premium Silicone Spoon Spatula, 11.5, Purple</v>
      </c>
      <c r="D920" t="str">
        <f>IFERROR(__xludf.DUMMYFUNCTION("""COMPUTED_VALUE"""),"B01BKAUNGY")</f>
        <v>B01BKAUNGY</v>
      </c>
      <c r="E920" t="str">
        <f>IFERROR(__xludf.DUMMYFUNCTION("""COMPUTED_VALUE"""),"085455135675")</f>
        <v>085455135675</v>
      </c>
      <c r="F920">
        <f>IFERROR(__xludf.DUMMYFUNCTION("""COMPUTED_VALUE"""),360.0)</f>
        <v>360</v>
      </c>
      <c r="G920">
        <f>IFERROR(__xludf.DUMMYFUNCTION("""COMPUTED_VALUE"""),10000.0)</f>
        <v>10000</v>
      </c>
      <c r="H920" s="2">
        <f>IFERROR(__xludf.DUMMYFUNCTION("""COMPUTED_VALUE"""),2.75)</f>
        <v>2.75</v>
      </c>
      <c r="I920" s="2">
        <f>IFERROR(__xludf.DUMMYFUNCTION("""COMPUTED_VALUE"""),3.35)</f>
        <v>3.35</v>
      </c>
      <c r="J920" s="2">
        <f>IFERROR(__xludf.DUMMYFUNCTION("""COMPUTED_VALUE"""),0.6000000000000001)</f>
        <v>0.6</v>
      </c>
      <c r="K920" s="5">
        <f>IFERROR(__xludf.DUMMYFUNCTION("""COMPUTED_VALUE"""),0.21818181818181823)</f>
        <v>0.2181818182</v>
      </c>
      <c r="L920">
        <f>IFERROR(__xludf.DUMMYFUNCTION("""COMPUTED_VALUE"""),43052.0)</f>
        <v>43052</v>
      </c>
      <c r="M920" t="str">
        <f>IFERROR(__xludf.DUMMYFUNCTION("""COMPUTED_VALUE"""),"Kitchen")</f>
        <v>Kitchen</v>
      </c>
      <c r="O920" t="str">
        <f>IFERROR(__xludf.DUMMYFUNCTION("""COMPUTED_VALUE"""),"Y")</f>
        <v>Y</v>
      </c>
      <c r="P920" s="1" t="str">
        <f>IFERROR(__xludf.DUMMYFUNCTION("""COMPUTED_VALUE"""),"ID 9007")</f>
        <v>ID 9007</v>
      </c>
      <c r="Q920" s="1" t="str">
        <f>IFERROR(__xludf.DUMMYFUNCTION("""COMPUTED_VALUE"""),"B01BKAUNGY")</f>
        <v>B01BKAUNGY</v>
      </c>
    </row>
    <row r="921">
      <c r="A921" s="6">
        <f>IFERROR(__xludf.DUMMYFUNCTION("""COMPUTED_VALUE"""),45421.0)</f>
        <v>45421</v>
      </c>
      <c r="B921">
        <f>IFERROR(__xludf.DUMMYFUNCTION("""COMPUTED_VALUE"""),23098.0)</f>
        <v>23098</v>
      </c>
      <c r="C921" t="str">
        <f>IFERROR(__xludf.DUMMYFUNCTION("""COMPUTED_VALUE"""),"Grumbacher Academy Acrylic Paint, 200ml/6.8 oz. Plastic Tube, Cobalt Blue Hue (C049P200)")</f>
        <v>Grumbacher Academy Acrylic Paint, 200ml/6.8 oz. Plastic Tube, Cobalt Blue Hue (C049P200)</v>
      </c>
      <c r="D921" t="str">
        <f>IFERROR(__xludf.DUMMYFUNCTION("""COMPUTED_VALUE"""),"B00EO79D12")</f>
        <v>B00EO79D12</v>
      </c>
      <c r="E921" t="str">
        <f>IFERROR(__xludf.DUMMYFUNCTION("""COMPUTED_VALUE"""),"014173376183")</f>
        <v>014173376183</v>
      </c>
      <c r="F921">
        <f>IFERROR(__xludf.DUMMYFUNCTION("""COMPUTED_VALUE"""),324.0)</f>
        <v>324</v>
      </c>
      <c r="G921">
        <f>IFERROR(__xludf.DUMMYFUNCTION("""COMPUTED_VALUE"""),10000.0)</f>
        <v>10000</v>
      </c>
      <c r="H921" s="2">
        <f>IFERROR(__xludf.DUMMYFUNCTION("""COMPUTED_VALUE"""),7.0)</f>
        <v>7</v>
      </c>
      <c r="I921" s="2">
        <f>IFERROR(__xludf.DUMMYFUNCTION("""COMPUTED_VALUE"""),7.6)</f>
        <v>7.6</v>
      </c>
      <c r="J921" s="2">
        <f>IFERROR(__xludf.DUMMYFUNCTION("""COMPUTED_VALUE"""),0.5999999999999996)</f>
        <v>0.6</v>
      </c>
      <c r="K921" s="5">
        <f>IFERROR(__xludf.DUMMYFUNCTION("""COMPUTED_VALUE"""),0.08571428571428566)</f>
        <v>0.08571428571</v>
      </c>
      <c r="L921">
        <f>IFERROR(__xludf.DUMMYFUNCTION("""COMPUTED_VALUE"""),37440.0)</f>
        <v>37440</v>
      </c>
      <c r="M921" t="str">
        <f>IFERROR(__xludf.DUMMYFUNCTION("""COMPUTED_VALUE"""),"Office Product")</f>
        <v>Office Product</v>
      </c>
      <c r="O921" t="str">
        <f>IFERROR(__xludf.DUMMYFUNCTION("""COMPUTED_VALUE"""),"N")</f>
        <v>N</v>
      </c>
      <c r="P921" s="1" t="str">
        <f>IFERROR(__xludf.DUMMYFUNCTION("""COMPUTED_VALUE"""),"ID 23098")</f>
        <v>ID 23098</v>
      </c>
      <c r="Q921" s="1" t="str">
        <f>IFERROR(__xludf.DUMMYFUNCTION("""COMPUTED_VALUE"""),"B00EO79D12")</f>
        <v>B00EO79D12</v>
      </c>
    </row>
    <row r="922">
      <c r="A922" s="6">
        <f>IFERROR(__xludf.DUMMYFUNCTION("""COMPUTED_VALUE"""),45113.0)</f>
        <v>45113</v>
      </c>
      <c r="B922">
        <f>IFERROR(__xludf.DUMMYFUNCTION("""COMPUTED_VALUE"""),24960.0)</f>
        <v>24960</v>
      </c>
      <c r="C922" t="str">
        <f>IFERROR(__xludf.DUMMYFUNCTION("""COMPUTED_VALUE"""),"Elmers/X-Acto PRE Made Slime CTTN, Cotton Candy Fizz")</f>
        <v>Elmers/X-Acto PRE Made Slime CTTN, Cotton Candy Fizz</v>
      </c>
      <c r="D922" t="str">
        <f>IFERROR(__xludf.DUMMYFUNCTION("""COMPUTED_VALUE"""),"B08Z32NBCS")</f>
        <v>B08Z32NBCS</v>
      </c>
      <c r="E922" t="str">
        <f>IFERROR(__xludf.DUMMYFUNCTION("""COMPUTED_VALUE"""),"026000191470")</f>
        <v>026000191470</v>
      </c>
      <c r="F922">
        <f>IFERROR(__xludf.DUMMYFUNCTION("""COMPUTED_VALUE"""),664.0)</f>
        <v>664</v>
      </c>
      <c r="G922">
        <f>IFERROR(__xludf.DUMMYFUNCTION("""COMPUTED_VALUE"""),10000.0)</f>
        <v>10000</v>
      </c>
      <c r="H922" s="2">
        <f>IFERROR(__xludf.DUMMYFUNCTION("""COMPUTED_VALUE"""),4.5)</f>
        <v>4.5</v>
      </c>
      <c r="I922" s="2">
        <f>IFERROR(__xludf.DUMMYFUNCTION("""COMPUTED_VALUE"""),5.1)</f>
        <v>5.1</v>
      </c>
      <c r="J922" s="2">
        <f>IFERROR(__xludf.DUMMYFUNCTION("""COMPUTED_VALUE"""),0.5999999999999996)</f>
        <v>0.6</v>
      </c>
      <c r="K922" s="5">
        <f>IFERROR(__xludf.DUMMYFUNCTION("""COMPUTED_VALUE"""),0.13333333333333325)</f>
        <v>0.1333333333</v>
      </c>
      <c r="L922">
        <f>IFERROR(__xludf.DUMMYFUNCTION("""COMPUTED_VALUE"""),71792.0)</f>
        <v>71792</v>
      </c>
      <c r="M922" t="str">
        <f>IFERROR(__xludf.DUMMYFUNCTION("""COMPUTED_VALUE"""),"Art and Craft Supply")</f>
        <v>Art and Craft Supply</v>
      </c>
      <c r="O922" t="str">
        <f>IFERROR(__xludf.DUMMYFUNCTION("""COMPUTED_VALUE"""),"Y")</f>
        <v>Y</v>
      </c>
      <c r="P922" s="1" t="str">
        <f>IFERROR(__xludf.DUMMYFUNCTION("""COMPUTED_VALUE"""),"ID 24960")</f>
        <v>ID 24960</v>
      </c>
      <c r="Q922" s="1" t="str">
        <f>IFERROR(__xludf.DUMMYFUNCTION("""COMPUTED_VALUE"""),"B08Z32NBCS")</f>
        <v>B08Z32NBCS</v>
      </c>
    </row>
    <row r="923">
      <c r="A923" s="6">
        <f>IFERROR(__xludf.DUMMYFUNCTION("""COMPUTED_VALUE"""),44469.0)</f>
        <v>44469</v>
      </c>
      <c r="B923">
        <f>IFERROR(__xludf.DUMMYFUNCTION("""COMPUTED_VALUE"""),19327.0)</f>
        <v>19327</v>
      </c>
      <c r="C923" t="str">
        <f>IFERROR(__xludf.DUMMYFUNCTION("""COMPUTED_VALUE"""),"Battlefield 3 - Xbox 360")</f>
        <v>Battlefield 3 - Xbox 360</v>
      </c>
      <c r="D923" t="str">
        <f>IFERROR(__xludf.DUMMYFUNCTION("""COMPUTED_VALUE"""),"B003O6G5TW")</f>
        <v>B003O6G5TW</v>
      </c>
      <c r="E923" t="str">
        <f>IFERROR(__xludf.DUMMYFUNCTION("""COMPUTED_VALUE"""),"014633197372")</f>
        <v>014633197372</v>
      </c>
      <c r="F923">
        <f>IFERROR(__xludf.DUMMYFUNCTION("""COMPUTED_VALUE"""),135.0)</f>
        <v>135</v>
      </c>
      <c r="G923">
        <f>IFERROR(__xludf.DUMMYFUNCTION("""COMPUTED_VALUE"""),135.0)</f>
        <v>135</v>
      </c>
      <c r="H923" s="2">
        <f>IFERROR(__xludf.DUMMYFUNCTION("""COMPUTED_VALUE"""),7.0)</f>
        <v>7</v>
      </c>
      <c r="I923" s="2">
        <f>IFERROR(__xludf.DUMMYFUNCTION("""COMPUTED_VALUE"""),7.59)</f>
        <v>7.59</v>
      </c>
      <c r="J923" s="2">
        <f>IFERROR(__xludf.DUMMYFUNCTION("""COMPUTED_VALUE"""),0.5899999999999999)</f>
        <v>0.59</v>
      </c>
      <c r="K923" s="5">
        <f>IFERROR(__xludf.DUMMYFUNCTION("""COMPUTED_VALUE"""),0.08428571428571427)</f>
        <v>0.08428571429</v>
      </c>
      <c r="L923">
        <f>IFERROR(__xludf.DUMMYFUNCTION("""COMPUTED_VALUE"""),13050.0)</f>
        <v>13050</v>
      </c>
      <c r="M923" t="str">
        <f>IFERROR(__xludf.DUMMYFUNCTION("""COMPUTED_VALUE"""),"Video Games")</f>
        <v>Video Games</v>
      </c>
      <c r="O923" t="str">
        <f>IFERROR(__xludf.DUMMYFUNCTION("""COMPUTED_VALUE"""),"N")</f>
        <v>N</v>
      </c>
      <c r="P923" s="1" t="str">
        <f>IFERROR(__xludf.DUMMYFUNCTION("""COMPUTED_VALUE"""),"ID 19327")</f>
        <v>ID 19327</v>
      </c>
      <c r="Q923" s="1" t="str">
        <f>IFERROR(__xludf.DUMMYFUNCTION("""COMPUTED_VALUE"""),"B003O6G5TW")</f>
        <v>B003O6G5TW</v>
      </c>
    </row>
    <row r="924">
      <c r="A924" s="6">
        <f>IFERROR(__xludf.DUMMYFUNCTION("""COMPUTED_VALUE"""),44882.0)</f>
        <v>44882</v>
      </c>
      <c r="B924">
        <f>IFERROR(__xludf.DUMMYFUNCTION("""COMPUTED_VALUE"""),19806.0)</f>
        <v>19806</v>
      </c>
      <c r="C924" t="str">
        <f>IFERROR(__xludf.DUMMYFUNCTION("""COMPUTED_VALUE"""),"Mr Coffee Bareggio Mug and Spoon Set, Set of 4, Black and White")</f>
        <v>Mr Coffee Bareggio Mug and Spoon Set, Set of 4, Black and White</v>
      </c>
      <c r="D924" t="str">
        <f>IFERROR(__xludf.DUMMYFUNCTION("""COMPUTED_VALUE"""),"B01ASRINX0")</f>
        <v>B01ASRINX0</v>
      </c>
      <c r="E924" t="str">
        <f>IFERROR(__xludf.DUMMYFUNCTION("""COMPUTED_VALUE"""),"8508120791 3")</f>
        <v>8508120791 3</v>
      </c>
      <c r="F924">
        <f>IFERROR(__xludf.DUMMYFUNCTION("""COMPUTED_VALUE"""),193.0)</f>
        <v>193</v>
      </c>
      <c r="G924">
        <f>IFERROR(__xludf.DUMMYFUNCTION("""COMPUTED_VALUE"""),2823.0)</f>
        <v>2823</v>
      </c>
      <c r="H924" s="2">
        <f>IFERROR(__xludf.DUMMYFUNCTION("""COMPUTED_VALUE"""),9.25)</f>
        <v>9.25</v>
      </c>
      <c r="I924" s="2">
        <f>IFERROR(__xludf.DUMMYFUNCTION("""COMPUTED_VALUE"""),9.84)</f>
        <v>9.84</v>
      </c>
      <c r="J924" s="2">
        <f>IFERROR(__xludf.DUMMYFUNCTION("""COMPUTED_VALUE"""),0.5899999999999999)</f>
        <v>0.59</v>
      </c>
      <c r="K924" s="5">
        <f>IFERROR(__xludf.DUMMYFUNCTION("""COMPUTED_VALUE"""),0.06378378378378377)</f>
        <v>0.06378378378</v>
      </c>
      <c r="L924">
        <f>IFERROR(__xludf.DUMMYFUNCTION("""COMPUTED_VALUE"""),9163.0)</f>
        <v>9163</v>
      </c>
      <c r="M924" t="str">
        <f>IFERROR(__xludf.DUMMYFUNCTION("""COMPUTED_VALUE"""),"Kitchen")</f>
        <v>Kitchen</v>
      </c>
      <c r="O924" t="str">
        <f>IFERROR(__xludf.DUMMYFUNCTION("""COMPUTED_VALUE"""),"Y")</f>
        <v>Y</v>
      </c>
      <c r="P924" s="1" t="str">
        <f>IFERROR(__xludf.DUMMYFUNCTION("""COMPUTED_VALUE"""),"ID 19806")</f>
        <v>ID 19806</v>
      </c>
      <c r="Q924" s="1" t="str">
        <f>IFERROR(__xludf.DUMMYFUNCTION("""COMPUTED_VALUE"""),"B01ASRINX0")</f>
        <v>B01ASRINX0</v>
      </c>
    </row>
    <row r="925">
      <c r="A925" s="6">
        <f>IFERROR(__xludf.DUMMYFUNCTION("""COMPUTED_VALUE"""),45222.0)</f>
        <v>45222</v>
      </c>
      <c r="B925">
        <f>IFERROR(__xludf.DUMMYFUNCTION("""COMPUTED_VALUE"""),22752.0)</f>
        <v>22752</v>
      </c>
      <c r="C925" t="str">
        <f>IFERROR(__xludf.DUMMYFUNCTION("""COMPUTED_VALUE"""),"Westcott Letter Stenciling Guides (4 sizes)")</f>
        <v>Westcott Letter Stenciling Guides (4 sizes)</v>
      </c>
      <c r="D925" t="str">
        <f>IFERROR(__xludf.DUMMYFUNCTION("""COMPUTED_VALUE"""),"B005IRCB3Y")</f>
        <v>B005IRCB3Y</v>
      </c>
      <c r="E925" t="str">
        <f>IFERROR(__xludf.DUMMYFUNCTION("""COMPUTED_VALUE"""),"088359021457")</f>
        <v>088359021457</v>
      </c>
      <c r="F925">
        <f>IFERROR(__xludf.DUMMYFUNCTION("""COMPUTED_VALUE"""),288.0)</f>
        <v>288</v>
      </c>
      <c r="G925">
        <f>IFERROR(__xludf.DUMMYFUNCTION("""COMPUTED_VALUE"""),10000.0)</f>
        <v>10000</v>
      </c>
      <c r="H925" s="2">
        <f>IFERROR(__xludf.DUMMYFUNCTION("""COMPUTED_VALUE"""),5.25)</f>
        <v>5.25</v>
      </c>
      <c r="I925" s="2">
        <f>IFERROR(__xludf.DUMMYFUNCTION("""COMPUTED_VALUE"""),5.84)</f>
        <v>5.84</v>
      </c>
      <c r="J925" s="2">
        <f>IFERROR(__xludf.DUMMYFUNCTION("""COMPUTED_VALUE"""),0.5899999999999999)</f>
        <v>0.59</v>
      </c>
      <c r="K925" s="5">
        <f>IFERROR(__xludf.DUMMYFUNCTION("""COMPUTED_VALUE"""),0.11238095238095236)</f>
        <v>0.1123809524</v>
      </c>
      <c r="L925">
        <f>IFERROR(__xludf.DUMMYFUNCTION("""COMPUTED_VALUE"""),88618.0)</f>
        <v>88618</v>
      </c>
      <c r="M925" t="str">
        <f>IFERROR(__xludf.DUMMYFUNCTION("""COMPUTED_VALUE"""),"Office Product")</f>
        <v>Office Product</v>
      </c>
      <c r="O925" t="str">
        <f>IFERROR(__xludf.DUMMYFUNCTION("""COMPUTED_VALUE"""),"Y")</f>
        <v>Y</v>
      </c>
      <c r="P925" s="1" t="str">
        <f>IFERROR(__xludf.DUMMYFUNCTION("""COMPUTED_VALUE"""),"ID 22752")</f>
        <v>ID 22752</v>
      </c>
      <c r="Q925" s="1" t="str">
        <f>IFERROR(__xludf.DUMMYFUNCTION("""COMPUTED_VALUE"""),"B005IRCB3Y")</f>
        <v>B005IRCB3Y</v>
      </c>
    </row>
    <row r="926">
      <c r="A926" s="6">
        <f>IFERROR(__xludf.DUMMYFUNCTION("""COMPUTED_VALUE"""),45229.0)</f>
        <v>45229</v>
      </c>
      <c r="B926">
        <f>IFERROR(__xludf.DUMMYFUNCTION("""COMPUTED_VALUE"""),22826.0)</f>
        <v>22826</v>
      </c>
      <c r="C926" t="str">
        <f>IFERROR(__xludf.DUMMYFUNCTION("""COMPUTED_VALUE"""),"Xyron 150 Refill Cartridge 1.5 inch x 20 inch Permanent AT155-20 (2-Pack)")</f>
        <v>Xyron 150 Refill Cartridge 1.5 inch x 20 inch Permanent AT155-20 (2-Pack)</v>
      </c>
      <c r="D926" t="str">
        <f>IFERROR(__xludf.DUMMYFUNCTION("""COMPUTED_VALUE"""),"B0033PF716")</f>
        <v>B0033PF716</v>
      </c>
      <c r="E926" t="str">
        <f>IFERROR(__xludf.DUMMYFUNCTION("""COMPUTED_VALUE"""),"608931000771")</f>
        <v>608931000771</v>
      </c>
      <c r="F926">
        <f>IFERROR(__xludf.DUMMYFUNCTION("""COMPUTED_VALUE"""),276.0)</f>
        <v>276</v>
      </c>
      <c r="G926">
        <f>IFERROR(__xludf.DUMMYFUNCTION("""COMPUTED_VALUE"""),10000.0)</f>
        <v>10000</v>
      </c>
      <c r="H926" s="2">
        <f>IFERROR(__xludf.DUMMYFUNCTION("""COMPUTED_VALUE"""),9.0)</f>
        <v>9</v>
      </c>
      <c r="I926" s="2">
        <f>IFERROR(__xludf.DUMMYFUNCTION("""COMPUTED_VALUE"""),9.59)</f>
        <v>9.59</v>
      </c>
      <c r="J926" s="2">
        <f>IFERROR(__xludf.DUMMYFUNCTION("""COMPUTED_VALUE"""),0.5899999999999999)</f>
        <v>0.59</v>
      </c>
      <c r="K926" s="5">
        <f>IFERROR(__xludf.DUMMYFUNCTION("""COMPUTED_VALUE"""),0.06555555555555553)</f>
        <v>0.06555555556</v>
      </c>
      <c r="L926">
        <f>IFERROR(__xludf.DUMMYFUNCTION("""COMPUTED_VALUE"""),35891.0)</f>
        <v>35891</v>
      </c>
      <c r="M926" t="str">
        <f>IFERROR(__xludf.DUMMYFUNCTION("""COMPUTED_VALUE"""),"Art and Craft Supply")</f>
        <v>Art and Craft Supply</v>
      </c>
      <c r="N926" t="str">
        <f>IFERROR(__xludf.DUMMYFUNCTION("""COMPUTED_VALUE"""),"UOM: 2 single units. Bundling &amp; other prep buyers responsibility")</f>
        <v>UOM: 2 single units. Bundling &amp; other prep buyers responsibility</v>
      </c>
      <c r="O926" t="str">
        <f>IFERROR(__xludf.DUMMYFUNCTION("""COMPUTED_VALUE"""),"N")</f>
        <v>N</v>
      </c>
      <c r="P926" s="1" t="str">
        <f>IFERROR(__xludf.DUMMYFUNCTION("""COMPUTED_VALUE"""),"ID 22826")</f>
        <v>ID 22826</v>
      </c>
      <c r="Q926" s="1" t="str">
        <f>IFERROR(__xludf.DUMMYFUNCTION("""COMPUTED_VALUE"""),"B0033PF716")</f>
        <v>B0033PF716</v>
      </c>
    </row>
    <row r="927">
      <c r="A927" s="6">
        <f>IFERROR(__xludf.DUMMYFUNCTION("""COMPUTED_VALUE"""),45429.0)</f>
        <v>45429</v>
      </c>
      <c r="B927">
        <f>IFERROR(__xludf.DUMMYFUNCTION("""COMPUTED_VALUE"""),16381.0)</f>
        <v>16381</v>
      </c>
      <c r="C927" t="str">
        <f>IFERROR(__xludf.DUMMYFUNCTION("""COMPUTED_VALUE"""),"Tommy Hilfiger Tommy Cologne Spray for Men - 1.7 fl oz")</f>
        <v>Tommy Hilfiger Tommy Cologne Spray for Men - 1.7 fl oz</v>
      </c>
      <c r="D927" t="str">
        <f>IFERROR(__xludf.DUMMYFUNCTION("""COMPUTED_VALUE"""),"B005IQ4AZ2")</f>
        <v>B005IQ4AZ2</v>
      </c>
      <c r="E927" t="str">
        <f>IFERROR(__xludf.DUMMYFUNCTION("""COMPUTED_VALUE"""),"022548024317")</f>
        <v>022548024317</v>
      </c>
      <c r="F927">
        <f>IFERROR(__xludf.DUMMYFUNCTION("""COMPUTED_VALUE"""),80.0)</f>
        <v>80</v>
      </c>
      <c r="G927">
        <f>IFERROR(__xludf.DUMMYFUNCTION("""COMPUTED_VALUE"""),10000.0)</f>
        <v>10000</v>
      </c>
      <c r="H927" s="2">
        <f>IFERROR(__xludf.DUMMYFUNCTION("""COMPUTED_VALUE"""),15.5)</f>
        <v>15.5</v>
      </c>
      <c r="I927" s="2">
        <f>IFERROR(__xludf.DUMMYFUNCTION("""COMPUTED_VALUE"""),16.09)</f>
        <v>16.09</v>
      </c>
      <c r="J927" s="2">
        <f>IFERROR(__xludf.DUMMYFUNCTION("""COMPUTED_VALUE"""),0.5899999999999999)</f>
        <v>0.59</v>
      </c>
      <c r="K927" s="5">
        <f>IFERROR(__xludf.DUMMYFUNCTION("""COMPUTED_VALUE"""),0.03806451612903225)</f>
        <v>0.03806451613</v>
      </c>
      <c r="L927">
        <f>IFERROR(__xludf.DUMMYFUNCTION("""COMPUTED_VALUE"""),47197.0)</f>
        <v>47197</v>
      </c>
      <c r="M927" t="str">
        <f>IFERROR(__xludf.DUMMYFUNCTION("""COMPUTED_VALUE"""),"Beauty")</f>
        <v>Beauty</v>
      </c>
      <c r="O927" t="str">
        <f>IFERROR(__xludf.DUMMYFUNCTION("""COMPUTED_VALUE"""),"N")</f>
        <v>N</v>
      </c>
      <c r="P927" s="1" t="str">
        <f>IFERROR(__xludf.DUMMYFUNCTION("""COMPUTED_VALUE"""),"ID 16381")</f>
        <v>ID 16381</v>
      </c>
      <c r="Q927" s="1" t="str">
        <f>IFERROR(__xludf.DUMMYFUNCTION("""COMPUTED_VALUE"""),"B005IQ4AZ2")</f>
        <v>B005IQ4AZ2</v>
      </c>
    </row>
    <row r="928">
      <c r="A928" s="6">
        <f>IFERROR(__xludf.DUMMYFUNCTION("""COMPUTED_VALUE"""),45429.0)</f>
        <v>45429</v>
      </c>
      <c r="B928">
        <f>IFERROR(__xludf.DUMMYFUNCTION("""COMPUTED_VALUE"""),25170.0)</f>
        <v>25170</v>
      </c>
      <c r="C928" t="str">
        <f>IFERROR(__xludf.DUMMYFUNCTION("""COMPUTED_VALUE"""),"The Loyal Subjects AGGRETSUKO Retsuko Death Metal Wing Eyes Action Vinyl")</f>
        <v>The Loyal Subjects AGGRETSUKO Retsuko Death Metal Wing Eyes Action Vinyl</v>
      </c>
      <c r="D928" t="str">
        <f>IFERROR(__xludf.DUMMYFUNCTION("""COMPUTED_VALUE"""),"B07PFG8FVS")</f>
        <v>B07PFG8FVS</v>
      </c>
      <c r="E928" t="str">
        <f>IFERROR(__xludf.DUMMYFUNCTION("""COMPUTED_VALUE"""),"045557870591")</f>
        <v>045557870591</v>
      </c>
      <c r="F928">
        <f>IFERROR(__xludf.DUMMYFUNCTION("""COMPUTED_VALUE"""),276.0)</f>
        <v>276</v>
      </c>
      <c r="G928">
        <f>IFERROR(__xludf.DUMMYFUNCTION("""COMPUTED_VALUE"""),420.0)</f>
        <v>420</v>
      </c>
      <c r="H928" s="2">
        <f>IFERROR(__xludf.DUMMYFUNCTION("""COMPUTED_VALUE"""),4.75)</f>
        <v>4.75</v>
      </c>
      <c r="I928" s="2">
        <f>IFERROR(__xludf.DUMMYFUNCTION("""COMPUTED_VALUE"""),5.34)</f>
        <v>5.34</v>
      </c>
      <c r="J928" s="2">
        <f>IFERROR(__xludf.DUMMYFUNCTION("""COMPUTED_VALUE"""),0.5899999999999999)</f>
        <v>0.59</v>
      </c>
      <c r="K928" s="5">
        <f>IFERROR(__xludf.DUMMYFUNCTION("""COMPUTED_VALUE"""),0.12421052631578944)</f>
        <v>0.1242105263</v>
      </c>
      <c r="L928">
        <f>IFERROR(__xludf.DUMMYFUNCTION("""COMPUTED_VALUE"""),96053.0)</f>
        <v>96053</v>
      </c>
      <c r="M928" t="str">
        <f>IFERROR(__xludf.DUMMYFUNCTION("""COMPUTED_VALUE"""),"Toy")</f>
        <v>Toy</v>
      </c>
      <c r="O928" t="str">
        <f>IFERROR(__xludf.DUMMYFUNCTION("""COMPUTED_VALUE"""),"N")</f>
        <v>N</v>
      </c>
      <c r="P928" s="1" t="str">
        <f>IFERROR(__xludf.DUMMYFUNCTION("""COMPUTED_VALUE"""),"ID 25170")</f>
        <v>ID 25170</v>
      </c>
      <c r="Q928" s="1" t="str">
        <f>IFERROR(__xludf.DUMMYFUNCTION("""COMPUTED_VALUE"""),"B07PFG8FVS")</f>
        <v>B07PFG8FVS</v>
      </c>
    </row>
    <row r="929">
      <c r="A929" s="6">
        <f>IFERROR(__xludf.DUMMYFUNCTION("""COMPUTED_VALUE"""),45362.0)</f>
        <v>45362</v>
      </c>
      <c r="B929">
        <f>IFERROR(__xludf.DUMMYFUNCTION("""COMPUTED_VALUE"""),19634.0)</f>
        <v>19634</v>
      </c>
      <c r="C929" t="str">
        <f>IFERROR(__xludf.DUMMYFUNCTION("""COMPUTED_VALUE"""),"Pentel Energel RTX Retractable Liquid Gel Pen, Bold Line, Metal Tip, Blue Ink Pack of 2 (BL80BP2C)")</f>
        <v>Pentel Energel RTX Retractable Liquid Gel Pen, Bold Line, Metal Tip, Blue Ink Pack of 2 (BL80BP2C)</v>
      </c>
      <c r="D929" t="str">
        <f>IFERROR(__xludf.DUMMYFUNCTION("""COMPUTED_VALUE"""),"B01G7C1BG6")</f>
        <v>B01G7C1BG6</v>
      </c>
      <c r="E929" t="str">
        <f>IFERROR(__xludf.DUMMYFUNCTION("""COMPUTED_VALUE"""),"072512262351")</f>
        <v>072512262351</v>
      </c>
      <c r="F929">
        <f>IFERROR(__xludf.DUMMYFUNCTION("""COMPUTED_VALUE"""),432.0)</f>
        <v>432</v>
      </c>
      <c r="G929">
        <f>IFERROR(__xludf.DUMMYFUNCTION("""COMPUTED_VALUE"""),10000.0)</f>
        <v>10000</v>
      </c>
      <c r="H929" s="2">
        <f>IFERROR(__xludf.DUMMYFUNCTION("""COMPUTED_VALUE"""),3.25)</f>
        <v>3.25</v>
      </c>
      <c r="I929" s="2">
        <f>IFERROR(__xludf.DUMMYFUNCTION("""COMPUTED_VALUE"""),3.83)</f>
        <v>3.83</v>
      </c>
      <c r="J929" s="2">
        <f>IFERROR(__xludf.DUMMYFUNCTION("""COMPUTED_VALUE"""),0.5800000000000001)</f>
        <v>0.58</v>
      </c>
      <c r="K929" s="5">
        <f>IFERROR(__xludf.DUMMYFUNCTION("""COMPUTED_VALUE"""),0.17846153846153848)</f>
        <v>0.1784615385</v>
      </c>
      <c r="L929">
        <f>IFERROR(__xludf.DUMMYFUNCTION("""COMPUTED_VALUE"""),6972.0)</f>
        <v>6972</v>
      </c>
      <c r="M929" t="str">
        <f>IFERROR(__xludf.DUMMYFUNCTION("""COMPUTED_VALUE"""),"Office Product")</f>
        <v>Office Product</v>
      </c>
      <c r="O929" t="str">
        <f>IFERROR(__xludf.DUMMYFUNCTION("""COMPUTED_VALUE"""),"Y")</f>
        <v>Y</v>
      </c>
      <c r="P929" s="1" t="str">
        <f>IFERROR(__xludf.DUMMYFUNCTION("""COMPUTED_VALUE"""),"ID 19634")</f>
        <v>ID 19634</v>
      </c>
      <c r="Q929" s="1" t="str">
        <f>IFERROR(__xludf.DUMMYFUNCTION("""COMPUTED_VALUE"""),"B01G7C1BG6")</f>
        <v>B01G7C1BG6</v>
      </c>
    </row>
    <row r="930">
      <c r="A930" s="6">
        <f>IFERROR(__xludf.DUMMYFUNCTION("""COMPUTED_VALUE"""),45362.0)</f>
        <v>45362</v>
      </c>
      <c r="B930">
        <f>IFERROR(__xludf.DUMMYFUNCTION("""COMPUTED_VALUE"""),19638.0)</f>
        <v>19638</v>
      </c>
      <c r="C930" t="str">
        <f>IFERROR(__xludf.DUMMYFUNCTION("""COMPUTED_VALUE"""),"Pentel BK90BP2B RSVP Red Ballpoint Pen 2 Count")</f>
        <v>Pentel BK90BP2B RSVP Red Ballpoint Pen 2 Count</v>
      </c>
      <c r="D930" t="str">
        <f>IFERROR(__xludf.DUMMYFUNCTION("""COMPUTED_VALUE"""),"B00SAHXU34")</f>
        <v>B00SAHXU34</v>
      </c>
      <c r="E930" t="str">
        <f>IFERROR(__xludf.DUMMYFUNCTION("""COMPUTED_VALUE"""),"072512070185")</f>
        <v>072512070185</v>
      </c>
      <c r="F930">
        <f>IFERROR(__xludf.DUMMYFUNCTION("""COMPUTED_VALUE"""),576.0)</f>
        <v>576</v>
      </c>
      <c r="G930">
        <f>IFERROR(__xludf.DUMMYFUNCTION("""COMPUTED_VALUE"""),10000.0)</f>
        <v>10000</v>
      </c>
      <c r="H930" s="2">
        <f>IFERROR(__xludf.DUMMYFUNCTION("""COMPUTED_VALUE"""),1.25)</f>
        <v>1.25</v>
      </c>
      <c r="I930" s="2">
        <f>IFERROR(__xludf.DUMMYFUNCTION("""COMPUTED_VALUE"""),1.83)</f>
        <v>1.83</v>
      </c>
      <c r="J930" s="2">
        <f>IFERROR(__xludf.DUMMYFUNCTION("""COMPUTED_VALUE"""),0.5800000000000001)</f>
        <v>0.58</v>
      </c>
      <c r="K930" s="5">
        <f>IFERROR(__xludf.DUMMYFUNCTION("""COMPUTED_VALUE"""),0.4640000000000001)</f>
        <v>0.464</v>
      </c>
      <c r="L930">
        <f>IFERROR(__xludf.DUMMYFUNCTION("""COMPUTED_VALUE"""),90250.0)</f>
        <v>90250</v>
      </c>
      <c r="M930" t="str">
        <f>IFERROR(__xludf.DUMMYFUNCTION("""COMPUTED_VALUE"""),"Office Product")</f>
        <v>Office Product</v>
      </c>
      <c r="O930" t="str">
        <f>IFERROR(__xludf.DUMMYFUNCTION("""COMPUTED_VALUE"""),"N")</f>
        <v>N</v>
      </c>
      <c r="P930" s="1" t="str">
        <f>IFERROR(__xludf.DUMMYFUNCTION("""COMPUTED_VALUE"""),"ID 19638")</f>
        <v>ID 19638</v>
      </c>
      <c r="Q930" s="1" t="str">
        <f>IFERROR(__xludf.DUMMYFUNCTION("""COMPUTED_VALUE"""),"B00SAHXU34")</f>
        <v>B00SAHXU34</v>
      </c>
    </row>
    <row r="931">
      <c r="A931" s="6">
        <f>IFERROR(__xludf.DUMMYFUNCTION("""COMPUTED_VALUE"""),45362.0)</f>
        <v>45362</v>
      </c>
      <c r="B931">
        <f>IFERROR(__xludf.DUMMYFUNCTION("""COMPUTED_VALUE"""),19659.0)</f>
        <v>19659</v>
      </c>
      <c r="C931" t="str">
        <f>IFERROR(__xludf.DUMMYFUNCTION("""COMPUTED_VALUE"""),"Pentel Energel RTX Retractable Liquid Gel Pen, Bold Line, Metal Tip, Violet Ink Pack of 2 (BL80BP2V)")</f>
        <v>Pentel Energel RTX Retractable Liquid Gel Pen, Bold Line, Metal Tip, Violet Ink Pack of 2 (BL80BP2V)</v>
      </c>
      <c r="D931" t="str">
        <f>IFERROR(__xludf.DUMMYFUNCTION("""COMPUTED_VALUE"""),"B01G7C1F94")</f>
        <v>B01G7C1F94</v>
      </c>
      <c r="E931" t="str">
        <f>IFERROR(__xludf.DUMMYFUNCTION("""COMPUTED_VALUE"""),"072512262375")</f>
        <v>072512262375</v>
      </c>
      <c r="F931">
        <f>IFERROR(__xludf.DUMMYFUNCTION("""COMPUTED_VALUE"""),432.0)</f>
        <v>432</v>
      </c>
      <c r="G931">
        <f>IFERROR(__xludf.DUMMYFUNCTION("""COMPUTED_VALUE"""),10000.0)</f>
        <v>10000</v>
      </c>
      <c r="H931" s="2">
        <f>IFERROR(__xludf.DUMMYFUNCTION("""COMPUTED_VALUE"""),3.25)</f>
        <v>3.25</v>
      </c>
      <c r="I931" s="2">
        <f>IFERROR(__xludf.DUMMYFUNCTION("""COMPUTED_VALUE"""),3.83)</f>
        <v>3.83</v>
      </c>
      <c r="J931" s="2">
        <f>IFERROR(__xludf.DUMMYFUNCTION("""COMPUTED_VALUE"""),0.5800000000000001)</f>
        <v>0.58</v>
      </c>
      <c r="K931" s="5">
        <f>IFERROR(__xludf.DUMMYFUNCTION("""COMPUTED_VALUE"""),0.17846153846153848)</f>
        <v>0.1784615385</v>
      </c>
      <c r="L931">
        <f>IFERROR(__xludf.DUMMYFUNCTION("""COMPUTED_VALUE"""),6847.0)</f>
        <v>6847</v>
      </c>
      <c r="M931" t="str">
        <f>IFERROR(__xludf.DUMMYFUNCTION("""COMPUTED_VALUE"""),"Office Product")</f>
        <v>Office Product</v>
      </c>
      <c r="O931" t="str">
        <f>IFERROR(__xludf.DUMMYFUNCTION("""COMPUTED_VALUE"""),"Y")</f>
        <v>Y</v>
      </c>
      <c r="P931" s="1" t="str">
        <f>IFERROR(__xludf.DUMMYFUNCTION("""COMPUTED_VALUE"""),"ID 19659")</f>
        <v>ID 19659</v>
      </c>
      <c r="Q931" s="1" t="str">
        <f>IFERROR(__xludf.DUMMYFUNCTION("""COMPUTED_VALUE"""),"B01G7C1F94")</f>
        <v>B01G7C1F94</v>
      </c>
    </row>
    <row r="932">
      <c r="A932" s="6">
        <f>IFERROR(__xludf.DUMMYFUNCTION("""COMPUTED_VALUE"""),45362.0)</f>
        <v>45362</v>
      </c>
      <c r="B932">
        <f>IFERROR(__xludf.DUMMYFUNCTION("""COMPUTED_VALUE"""),19719.0)</f>
        <v>19719</v>
      </c>
      <c r="C932" t="str">
        <f>IFERROR(__xludf.DUMMYFUNCTION("""COMPUTED_VALUE"""),"Pentel EnerGel Pearl Retractable Liquid Gel Pen, Needle Tip (0.7mm) Medium Line, Blue Ink, 2-Pk (BLN77WBP2C)")</f>
        <v>Pentel EnerGel Pearl Retractable Liquid Gel Pen, Needle Tip (0.7mm) Medium Line, Blue Ink, 2-Pk (BLN77WBP2C)</v>
      </c>
      <c r="D932" t="str">
        <f>IFERROR(__xludf.DUMMYFUNCTION("""COMPUTED_VALUE"""),"B01N7WGNY4")</f>
        <v>B01N7WGNY4</v>
      </c>
      <c r="E932" t="str">
        <f>IFERROR(__xludf.DUMMYFUNCTION("""COMPUTED_VALUE"""),"072512265871")</f>
        <v>072512265871</v>
      </c>
      <c r="F932">
        <f>IFERROR(__xludf.DUMMYFUNCTION("""COMPUTED_VALUE"""),432.0)</f>
        <v>432</v>
      </c>
      <c r="G932">
        <f>IFERROR(__xludf.DUMMYFUNCTION("""COMPUTED_VALUE"""),10000.0)</f>
        <v>10000</v>
      </c>
      <c r="H932" s="2">
        <f>IFERROR(__xludf.DUMMYFUNCTION("""COMPUTED_VALUE"""),3.25)</f>
        <v>3.25</v>
      </c>
      <c r="I932" s="2">
        <f>IFERROR(__xludf.DUMMYFUNCTION("""COMPUTED_VALUE"""),3.83)</f>
        <v>3.83</v>
      </c>
      <c r="J932" s="2">
        <f>IFERROR(__xludf.DUMMYFUNCTION("""COMPUTED_VALUE"""),0.5800000000000001)</f>
        <v>0.58</v>
      </c>
      <c r="K932" s="5">
        <f>IFERROR(__xludf.DUMMYFUNCTION("""COMPUTED_VALUE"""),0.17846153846153848)</f>
        <v>0.1784615385</v>
      </c>
      <c r="L932">
        <f>IFERROR(__xludf.DUMMYFUNCTION("""COMPUTED_VALUE"""),14594.0)</f>
        <v>14594</v>
      </c>
      <c r="M932" t="str">
        <f>IFERROR(__xludf.DUMMYFUNCTION("""COMPUTED_VALUE"""),"Office Product")</f>
        <v>Office Product</v>
      </c>
      <c r="O932" t="str">
        <f>IFERROR(__xludf.DUMMYFUNCTION("""COMPUTED_VALUE"""),"Y")</f>
        <v>Y</v>
      </c>
      <c r="P932" s="1" t="str">
        <f>IFERROR(__xludf.DUMMYFUNCTION("""COMPUTED_VALUE"""),"ID 19719")</f>
        <v>ID 19719</v>
      </c>
      <c r="Q932" s="1" t="str">
        <f>IFERROR(__xludf.DUMMYFUNCTION("""COMPUTED_VALUE"""),"B01N7WGNY4")</f>
        <v>B01N7WGNY4</v>
      </c>
    </row>
    <row r="933">
      <c r="A933" s="6">
        <f>IFERROR(__xludf.DUMMYFUNCTION("""COMPUTED_VALUE"""),45362.0)</f>
        <v>45362</v>
      </c>
      <c r="B933">
        <f>IFERROR(__xludf.DUMMYFUNCTION("""COMPUTED_VALUE"""),19729.0)</f>
        <v>19729</v>
      </c>
      <c r="C933" t="str">
        <f>IFERROR(__xludf.DUMMYFUNCTION("""COMPUTED_VALUE"""),"Pentel EnerGel Deluxe RTX Retractable Liquid Gel Pen, 0.5mm, Fine Line, Needle Tip, Violet Ink (BLN75BP2V)")</f>
        <v>Pentel EnerGel Deluxe RTX Retractable Liquid Gel Pen, 0.5mm, Fine Line, Needle Tip, Violet Ink (BLN75BP2V)</v>
      </c>
      <c r="D933" t="str">
        <f>IFERROR(__xludf.DUMMYFUNCTION("""COMPUTED_VALUE"""),"B00LWFJ4UO")</f>
        <v>B00LWFJ4UO</v>
      </c>
      <c r="E933" t="str">
        <f>IFERROR(__xludf.DUMMYFUNCTION("""COMPUTED_VALUE"""),"072512254608")</f>
        <v>072512254608</v>
      </c>
      <c r="F933">
        <f>IFERROR(__xludf.DUMMYFUNCTION("""COMPUTED_VALUE"""),432.0)</f>
        <v>432</v>
      </c>
      <c r="G933">
        <f>IFERROR(__xludf.DUMMYFUNCTION("""COMPUTED_VALUE"""),10000.0)</f>
        <v>10000</v>
      </c>
      <c r="H933" s="2">
        <f>IFERROR(__xludf.DUMMYFUNCTION("""COMPUTED_VALUE"""),3.25)</f>
        <v>3.25</v>
      </c>
      <c r="I933" s="2">
        <f>IFERROR(__xludf.DUMMYFUNCTION("""COMPUTED_VALUE"""),3.83)</f>
        <v>3.83</v>
      </c>
      <c r="J933" s="2">
        <f>IFERROR(__xludf.DUMMYFUNCTION("""COMPUTED_VALUE"""),0.5800000000000001)</f>
        <v>0.58</v>
      </c>
      <c r="K933" s="5">
        <f>IFERROR(__xludf.DUMMYFUNCTION("""COMPUTED_VALUE"""),0.17846153846153848)</f>
        <v>0.1784615385</v>
      </c>
      <c r="L933">
        <f>IFERROR(__xludf.DUMMYFUNCTION("""COMPUTED_VALUE"""),327.0)</f>
        <v>327</v>
      </c>
      <c r="M933" t="str">
        <f>IFERROR(__xludf.DUMMYFUNCTION("""COMPUTED_VALUE"""),"Office Product")</f>
        <v>Office Product</v>
      </c>
      <c r="O933" t="str">
        <f>IFERROR(__xludf.DUMMYFUNCTION("""COMPUTED_VALUE"""),"Y")</f>
        <v>Y</v>
      </c>
      <c r="P933" s="1" t="str">
        <f>IFERROR(__xludf.DUMMYFUNCTION("""COMPUTED_VALUE"""),"ID 19729")</f>
        <v>ID 19729</v>
      </c>
      <c r="Q933" s="1" t="str">
        <f>IFERROR(__xludf.DUMMYFUNCTION("""COMPUTED_VALUE"""),"B00LWFJ4UO")</f>
        <v>B00LWFJ4UO</v>
      </c>
    </row>
    <row r="934">
      <c r="A934" s="6">
        <f>IFERROR(__xludf.DUMMYFUNCTION("""COMPUTED_VALUE"""),45390.0)</f>
        <v>45390</v>
      </c>
      <c r="B934">
        <f>IFERROR(__xludf.DUMMYFUNCTION("""COMPUTED_VALUE"""),14129.0)</f>
        <v>14129</v>
      </c>
      <c r="C934" t="str">
        <f>IFERROR(__xludf.DUMMYFUNCTION("""COMPUTED_VALUE"""),"Chef Craft 13165 Premium Silicone Spatula, 11"", Orange")</f>
        <v>Chef Craft 13165 Premium Silicone Spatula, 11", Orange</v>
      </c>
      <c r="D934" t="str">
        <f>IFERROR(__xludf.DUMMYFUNCTION("""COMPUTED_VALUE"""),"B01BKAUGVG")</f>
        <v>B01BKAUGVG</v>
      </c>
      <c r="E934" t="str">
        <f>IFERROR(__xludf.DUMMYFUNCTION("""COMPUTED_VALUE"""),"085455131653")</f>
        <v>085455131653</v>
      </c>
      <c r="F934">
        <f>IFERROR(__xludf.DUMMYFUNCTION("""COMPUTED_VALUE"""),360.0)</f>
        <v>360</v>
      </c>
      <c r="G934">
        <f>IFERROR(__xludf.DUMMYFUNCTION("""COMPUTED_VALUE"""),10000.0)</f>
        <v>10000</v>
      </c>
      <c r="H934" s="2">
        <f>IFERROR(__xludf.DUMMYFUNCTION("""COMPUTED_VALUE"""),2.75)</f>
        <v>2.75</v>
      </c>
      <c r="I934" s="2">
        <f>IFERROR(__xludf.DUMMYFUNCTION("""COMPUTED_VALUE"""),3.32)</f>
        <v>3.32</v>
      </c>
      <c r="J934" s="2">
        <f>IFERROR(__xludf.DUMMYFUNCTION("""COMPUTED_VALUE"""),0.5699999999999998)</f>
        <v>0.57</v>
      </c>
      <c r="K934" s="5">
        <f>IFERROR(__xludf.DUMMYFUNCTION("""COMPUTED_VALUE"""),0.20727272727272722)</f>
        <v>0.2072727273</v>
      </c>
      <c r="L934">
        <f>IFERROR(__xludf.DUMMYFUNCTION("""COMPUTED_VALUE"""),65380.0)</f>
        <v>65380</v>
      </c>
      <c r="M934" t="str">
        <f>IFERROR(__xludf.DUMMYFUNCTION("""COMPUTED_VALUE"""),"Kitchen")</f>
        <v>Kitchen</v>
      </c>
      <c r="O934" t="str">
        <f>IFERROR(__xludf.DUMMYFUNCTION("""COMPUTED_VALUE"""),"Y")</f>
        <v>Y</v>
      </c>
      <c r="P934" s="1" t="str">
        <f>IFERROR(__xludf.DUMMYFUNCTION("""COMPUTED_VALUE"""),"ID 14129")</f>
        <v>ID 14129</v>
      </c>
      <c r="Q934" s="1" t="str">
        <f>IFERROR(__xludf.DUMMYFUNCTION("""COMPUTED_VALUE"""),"B01BKAUGVG")</f>
        <v>B01BKAUGVG</v>
      </c>
    </row>
    <row r="935">
      <c r="A935" s="6">
        <f>IFERROR(__xludf.DUMMYFUNCTION("""COMPUTED_VALUE"""),45076.0)</f>
        <v>45076</v>
      </c>
      <c r="B935">
        <f>IFERROR(__xludf.DUMMYFUNCTION("""COMPUTED_VALUE"""),16769.0)</f>
        <v>16769</v>
      </c>
      <c r="C935" t="str">
        <f>IFERROR(__xludf.DUMMYFUNCTION("""COMPUTED_VALUE"""),"Wilton 10 Inch Cake Boards for 8 or 9 Inch Cakes - 3 Count")</f>
        <v>Wilton 10 Inch Cake Boards for 8 or 9 Inch Cakes - 3 Count</v>
      </c>
      <c r="D935" t="str">
        <f>IFERROR(__xludf.DUMMYFUNCTION("""COMPUTED_VALUE"""),"B08FCLMJVY")</f>
        <v>B08FCLMJVY</v>
      </c>
      <c r="E935" t="str">
        <f>IFERROR(__xludf.DUMMYFUNCTION("""COMPUTED_VALUE"""),"070896096791")</f>
        <v>070896096791</v>
      </c>
      <c r="F935">
        <f>IFERROR(__xludf.DUMMYFUNCTION("""COMPUTED_VALUE"""),2424.0)</f>
        <v>2424</v>
      </c>
      <c r="G935">
        <f>IFERROR(__xludf.DUMMYFUNCTION("""COMPUTED_VALUE"""),2424.0)</f>
        <v>2424</v>
      </c>
      <c r="H935" s="2">
        <f>IFERROR(__xludf.DUMMYFUNCTION("""COMPUTED_VALUE"""),0.75)</f>
        <v>0.75</v>
      </c>
      <c r="I935" s="2">
        <f>IFERROR(__xludf.DUMMYFUNCTION("""COMPUTED_VALUE"""),1.32)</f>
        <v>1.32</v>
      </c>
      <c r="J935" s="2">
        <f>IFERROR(__xludf.DUMMYFUNCTION("""COMPUTED_VALUE"""),0.5700000000000001)</f>
        <v>0.57</v>
      </c>
      <c r="K935" s="5">
        <f>IFERROR(__xludf.DUMMYFUNCTION("""COMPUTED_VALUE"""),0.7600000000000001)</f>
        <v>0.76</v>
      </c>
      <c r="L935">
        <f>IFERROR(__xludf.DUMMYFUNCTION("""COMPUTED_VALUE"""),70619.0)</f>
        <v>70619</v>
      </c>
      <c r="M935" t="str">
        <f>IFERROR(__xludf.DUMMYFUNCTION("""COMPUTED_VALUE"""),"BISS Basic")</f>
        <v>BISS Basic</v>
      </c>
      <c r="O935" t="str">
        <f>IFERROR(__xludf.DUMMYFUNCTION("""COMPUTED_VALUE"""),"N")</f>
        <v>N</v>
      </c>
      <c r="P935" s="1" t="str">
        <f>IFERROR(__xludf.DUMMYFUNCTION("""COMPUTED_VALUE"""),"ID 16769")</f>
        <v>ID 16769</v>
      </c>
      <c r="Q935" s="1" t="str">
        <f>IFERROR(__xludf.DUMMYFUNCTION("""COMPUTED_VALUE"""),"B08FCLMJVY")</f>
        <v>B08FCLMJVY</v>
      </c>
    </row>
    <row r="936">
      <c r="A936" s="6">
        <f>IFERROR(__xludf.DUMMYFUNCTION("""COMPUTED_VALUE"""),45362.0)</f>
        <v>45362</v>
      </c>
      <c r="B936">
        <f>IFERROR(__xludf.DUMMYFUNCTION("""COMPUTED_VALUE"""),19688.0)</f>
        <v>19688</v>
      </c>
      <c r="C936" t="str">
        <f>IFERROR(__xludf.DUMMYFUNCTION("""COMPUTED_VALUE"""),"Pentel EnerGel Deluxe RTX Retractable Liquid Gel Pen, Medium Line, Metal Tip, Sky Blue Ink, 2 Pack (BL77BP2S)")</f>
        <v>Pentel EnerGel Deluxe RTX Retractable Liquid Gel Pen, Medium Line, Metal Tip, Sky Blue Ink, 2 Pack (BL77BP2S)</v>
      </c>
      <c r="D936" t="str">
        <f>IFERROR(__xludf.DUMMYFUNCTION("""COMPUTED_VALUE"""),"B00LWFJ51M")</f>
        <v>B00LWFJ51M</v>
      </c>
      <c r="E936" t="str">
        <f>IFERROR(__xludf.DUMMYFUNCTION("""COMPUTED_VALUE"""),"072512254646")</f>
        <v>072512254646</v>
      </c>
      <c r="F936">
        <f>IFERROR(__xludf.DUMMYFUNCTION("""COMPUTED_VALUE"""),432.0)</f>
        <v>432</v>
      </c>
      <c r="G936">
        <f>IFERROR(__xludf.DUMMYFUNCTION("""COMPUTED_VALUE"""),10000.0)</f>
        <v>10000</v>
      </c>
      <c r="H936" s="2">
        <f>IFERROR(__xludf.DUMMYFUNCTION("""COMPUTED_VALUE"""),3.25)</f>
        <v>3.25</v>
      </c>
      <c r="I936" s="2">
        <f>IFERROR(__xludf.DUMMYFUNCTION("""COMPUTED_VALUE"""),3.82)</f>
        <v>3.82</v>
      </c>
      <c r="J936" s="2">
        <f>IFERROR(__xludf.DUMMYFUNCTION("""COMPUTED_VALUE"""),0.5699999999999998)</f>
        <v>0.57</v>
      </c>
      <c r="K936" s="5">
        <f>IFERROR(__xludf.DUMMYFUNCTION("""COMPUTED_VALUE"""),0.17538461538461533)</f>
        <v>0.1753846154</v>
      </c>
      <c r="L936">
        <f>IFERROR(__xludf.DUMMYFUNCTION("""COMPUTED_VALUE"""),1490.0)</f>
        <v>1490</v>
      </c>
      <c r="M936" t="str">
        <f>IFERROR(__xludf.DUMMYFUNCTION("""COMPUTED_VALUE"""),"Office Product")</f>
        <v>Office Product</v>
      </c>
      <c r="O936" t="str">
        <f>IFERROR(__xludf.DUMMYFUNCTION("""COMPUTED_VALUE"""),"Y")</f>
        <v>Y</v>
      </c>
      <c r="P936" s="1" t="str">
        <f>IFERROR(__xludf.DUMMYFUNCTION("""COMPUTED_VALUE"""),"ID 19688")</f>
        <v>ID 19688</v>
      </c>
      <c r="Q936" s="1" t="str">
        <f>IFERROR(__xludf.DUMMYFUNCTION("""COMPUTED_VALUE"""),"B00LWFJ51M")</f>
        <v>B00LWFJ51M</v>
      </c>
    </row>
    <row r="937">
      <c r="A937" s="6">
        <f>IFERROR(__xludf.DUMMYFUNCTION("""COMPUTED_VALUE"""),44762.0)</f>
        <v>44762</v>
      </c>
      <c r="B937">
        <f>IFERROR(__xludf.DUMMYFUNCTION("""COMPUTED_VALUE"""),21045.0)</f>
        <v>21045</v>
      </c>
      <c r="C937" t="str">
        <f>IFERROR(__xludf.DUMMYFUNCTION("""COMPUTED_VALUE"""),"Saunders US-Works 05613 Recycled Hardboard Clipboard - Brown, Legal Size Writing Board with High Capacity Clip")</f>
        <v>Saunders US-Works 05613 Recycled Hardboard Clipboard - Brown, Legal Size Writing Board with High Capacity Clip</v>
      </c>
      <c r="D937" t="str">
        <f>IFERROR(__xludf.DUMMYFUNCTION("""COMPUTED_VALUE"""),"B000W71LB8")</f>
        <v>B000W71LB8</v>
      </c>
      <c r="E937" t="str">
        <f>IFERROR(__xludf.DUMMYFUNCTION("""COMPUTED_VALUE"""),"44357056136")</f>
        <v>44357056136</v>
      </c>
      <c r="F937">
        <f>IFERROR(__xludf.DUMMYFUNCTION("""COMPUTED_VALUE"""),648.0)</f>
        <v>648</v>
      </c>
      <c r="G937">
        <f>IFERROR(__xludf.DUMMYFUNCTION("""COMPUTED_VALUE"""),1000.0)</f>
        <v>1000</v>
      </c>
      <c r="H937" s="2">
        <f>IFERROR(__xludf.DUMMYFUNCTION("""COMPUTED_VALUE"""),1.75)</f>
        <v>1.75</v>
      </c>
      <c r="I937" s="2">
        <f>IFERROR(__xludf.DUMMYFUNCTION("""COMPUTED_VALUE"""),2.32)</f>
        <v>2.32</v>
      </c>
      <c r="J937" s="2">
        <f>IFERROR(__xludf.DUMMYFUNCTION("""COMPUTED_VALUE"""),0.5699999999999998)</f>
        <v>0.57</v>
      </c>
      <c r="K937" s="5">
        <f>IFERROR(__xludf.DUMMYFUNCTION("""COMPUTED_VALUE"""),0.3257142857142856)</f>
        <v>0.3257142857</v>
      </c>
      <c r="L937">
        <f>IFERROR(__xludf.DUMMYFUNCTION("""COMPUTED_VALUE"""),51500.0)</f>
        <v>51500</v>
      </c>
      <c r="M937" t="str">
        <f>IFERROR(__xludf.DUMMYFUNCTION("""COMPUTED_VALUE"""),"Office Product")</f>
        <v>Office Product</v>
      </c>
      <c r="O937" t="str">
        <f>IFERROR(__xludf.DUMMYFUNCTION("""COMPUTED_VALUE"""),"Y")</f>
        <v>Y</v>
      </c>
      <c r="P937" s="1" t="str">
        <f>IFERROR(__xludf.DUMMYFUNCTION("""COMPUTED_VALUE"""),"ID 21045")</f>
        <v>ID 21045</v>
      </c>
      <c r="Q937" s="1" t="str">
        <f>IFERROR(__xludf.DUMMYFUNCTION("""COMPUTED_VALUE"""),"B000W71LB8")</f>
        <v>B000W71LB8</v>
      </c>
    </row>
    <row r="938">
      <c r="A938" s="6">
        <f>IFERROR(__xludf.DUMMYFUNCTION("""COMPUTED_VALUE"""),44694.0)</f>
        <v>44694</v>
      </c>
      <c r="B938">
        <f>IFERROR(__xludf.DUMMYFUNCTION("""COMPUTED_VALUE"""),24777.0)</f>
        <v>24777</v>
      </c>
      <c r="C938" t="str">
        <f>IFERROR(__xludf.DUMMYFUNCTION("""COMPUTED_VALUE"""),"Duck Brand 300877 Professional Grade Electrical Tape, 3/4-Inch by 66 Feet, Single Roll, White")</f>
        <v>Duck Brand 300877 Professional Grade Electrical Tape, 3/4-Inch by 66 Feet, Single Roll, White</v>
      </c>
      <c r="D938" t="str">
        <f>IFERROR(__xludf.DUMMYFUNCTION("""COMPUTED_VALUE"""),"B000BO59M4")</f>
        <v>B000BO59M4</v>
      </c>
      <c r="E938" t="str">
        <f>IFERROR(__xludf.DUMMYFUNCTION("""COMPUTED_VALUE"""),"75353041413")</f>
        <v>75353041413</v>
      </c>
      <c r="F938">
        <f>IFERROR(__xludf.DUMMYFUNCTION("""COMPUTED_VALUE"""),444.0)</f>
        <v>444</v>
      </c>
      <c r="G938">
        <f>IFERROR(__xludf.DUMMYFUNCTION("""COMPUTED_VALUE"""),1000.0)</f>
        <v>1000</v>
      </c>
      <c r="H938" s="2">
        <f>IFERROR(__xludf.DUMMYFUNCTION("""COMPUTED_VALUE"""),2.75)</f>
        <v>2.75</v>
      </c>
      <c r="I938" s="2">
        <f>IFERROR(__xludf.DUMMYFUNCTION("""COMPUTED_VALUE"""),3.32)</f>
        <v>3.32</v>
      </c>
      <c r="J938" s="2">
        <f>IFERROR(__xludf.DUMMYFUNCTION("""COMPUTED_VALUE"""),0.5699999999999998)</f>
        <v>0.57</v>
      </c>
      <c r="K938" s="5">
        <f>IFERROR(__xludf.DUMMYFUNCTION("""COMPUTED_VALUE"""),0.20727272727272722)</f>
        <v>0.2072727273</v>
      </c>
      <c r="L938">
        <f>IFERROR(__xludf.DUMMYFUNCTION("""COMPUTED_VALUE"""),17547.0)</f>
        <v>17547</v>
      </c>
      <c r="M938" t="str">
        <f>IFERROR(__xludf.DUMMYFUNCTION("""COMPUTED_VALUE"""),"Home Improvement")</f>
        <v>Home Improvement</v>
      </c>
      <c r="O938" t="str">
        <f>IFERROR(__xludf.DUMMYFUNCTION("""COMPUTED_VALUE"""),"Y")</f>
        <v>Y</v>
      </c>
      <c r="P938" s="1" t="str">
        <f>IFERROR(__xludf.DUMMYFUNCTION("""COMPUTED_VALUE"""),"ID 24777")</f>
        <v>ID 24777</v>
      </c>
      <c r="Q938" s="1" t="str">
        <f>IFERROR(__xludf.DUMMYFUNCTION("""COMPUTED_VALUE"""),"B000BO59M4")</f>
        <v>B000BO59M4</v>
      </c>
    </row>
    <row r="939">
      <c r="A939" s="6">
        <f>IFERROR(__xludf.DUMMYFUNCTION("""COMPUTED_VALUE"""),45293.0)</f>
        <v>45293</v>
      </c>
      <c r="B939">
        <f>IFERROR(__xludf.DUMMYFUNCTION("""COMPUTED_VALUE"""),21507.0)</f>
        <v>21507</v>
      </c>
      <c r="C939" t="str">
        <f>IFERROR(__xludf.DUMMYFUNCTION("""COMPUTED_VALUE"""),"Geir for Men Eau de Parfum 3.4-Ounce Bottle")</f>
        <v>Geir for Men Eau de Parfum 3.4-Ounce Bottle</v>
      </c>
      <c r="D939" t="str">
        <f>IFERROR(__xludf.DUMMYFUNCTION("""COMPUTED_VALUE"""),"B000VOJOLQ")</f>
        <v>B000VOJOLQ</v>
      </c>
      <c r="E939" t="str">
        <f>IFERROR(__xludf.DUMMYFUNCTION("""COMPUTED_VALUE"""),"0711376150014")</f>
        <v>0711376150014</v>
      </c>
      <c r="F939">
        <f>IFERROR(__xludf.DUMMYFUNCTION("""COMPUTED_VALUE"""),12.0)</f>
        <v>12</v>
      </c>
      <c r="G939">
        <f>IFERROR(__xludf.DUMMYFUNCTION("""COMPUTED_VALUE"""),12.0)</f>
        <v>12</v>
      </c>
      <c r="H939" s="2">
        <f>IFERROR(__xludf.DUMMYFUNCTION("""COMPUTED_VALUE"""),76.75)</f>
        <v>76.75</v>
      </c>
      <c r="I939" s="2">
        <f>IFERROR(__xludf.DUMMYFUNCTION("""COMPUTED_VALUE"""),77.31)</f>
        <v>77.31</v>
      </c>
      <c r="J939" s="2">
        <f>IFERROR(__xludf.DUMMYFUNCTION("""COMPUTED_VALUE"""),0.5600000000000023)</f>
        <v>0.56</v>
      </c>
      <c r="K939" s="5">
        <f>IFERROR(__xludf.DUMMYFUNCTION("""COMPUTED_VALUE"""),0.007296416938110779)</f>
        <v>0.007296416938</v>
      </c>
      <c r="L939">
        <f>IFERROR(__xludf.DUMMYFUNCTION("""COMPUTED_VALUE"""),55656.0)</f>
        <v>55656</v>
      </c>
      <c r="M939" t="str">
        <f>IFERROR(__xludf.DUMMYFUNCTION("""COMPUTED_VALUE"""),"Beauty")</f>
        <v>Beauty</v>
      </c>
      <c r="O939" t="str">
        <f>IFERROR(__xludf.DUMMYFUNCTION("""COMPUTED_VALUE"""),"N")</f>
        <v>N</v>
      </c>
      <c r="P939" s="1" t="str">
        <f>IFERROR(__xludf.DUMMYFUNCTION("""COMPUTED_VALUE"""),"ID 21507")</f>
        <v>ID 21507</v>
      </c>
      <c r="Q939" s="1" t="str">
        <f>IFERROR(__xludf.DUMMYFUNCTION("""COMPUTED_VALUE"""),"B000VOJOLQ")</f>
        <v>B000VOJOLQ</v>
      </c>
    </row>
    <row r="940">
      <c r="A940" s="6">
        <f>IFERROR(__xludf.DUMMYFUNCTION("""COMPUTED_VALUE"""),45390.0)</f>
        <v>45390</v>
      </c>
      <c r="B940">
        <f>IFERROR(__xludf.DUMMYFUNCTION("""COMPUTED_VALUE"""),4130.0)</f>
        <v>4130</v>
      </c>
      <c r="C940" t="str">
        <f>IFERROR(__xludf.DUMMYFUNCTION("""COMPUTED_VALUE"""),"Chef Craft 50 Count Cupcake Liners, Halloween")</f>
        <v>Chef Craft 50 Count Cupcake Liners, Halloween</v>
      </c>
      <c r="D940" t="str">
        <f>IFERROR(__xludf.DUMMYFUNCTION("""COMPUTED_VALUE"""),"B00KS9T7HA")</f>
        <v>B00KS9T7HA</v>
      </c>
      <c r="E940" t="str">
        <f>IFERROR(__xludf.DUMMYFUNCTION("""COMPUTED_VALUE"""),"085455218200")</f>
        <v>085455218200</v>
      </c>
      <c r="F940">
        <f>IFERROR(__xludf.DUMMYFUNCTION("""COMPUTED_VALUE"""),576.0)</f>
        <v>576</v>
      </c>
      <c r="G940">
        <f>IFERROR(__xludf.DUMMYFUNCTION("""COMPUTED_VALUE"""),10000.0)</f>
        <v>10000</v>
      </c>
      <c r="H940" s="2">
        <f>IFERROR(__xludf.DUMMYFUNCTION("""COMPUTED_VALUE"""),1.25)</f>
        <v>1.25</v>
      </c>
      <c r="I940" s="2">
        <f>IFERROR(__xludf.DUMMYFUNCTION("""COMPUTED_VALUE"""),1.81)</f>
        <v>1.81</v>
      </c>
      <c r="J940" s="2">
        <f>IFERROR(__xludf.DUMMYFUNCTION("""COMPUTED_VALUE"""),0.56)</f>
        <v>0.56</v>
      </c>
      <c r="K940" s="5">
        <f>IFERROR(__xludf.DUMMYFUNCTION("""COMPUTED_VALUE"""),0.44800000000000006)</f>
        <v>0.448</v>
      </c>
      <c r="L940">
        <f>IFERROR(__xludf.DUMMYFUNCTION("""COMPUTED_VALUE"""),36126.0)</f>
        <v>36126</v>
      </c>
      <c r="M940" t="str">
        <f>IFERROR(__xludf.DUMMYFUNCTION("""COMPUTED_VALUE"""),"Kitchen")</f>
        <v>Kitchen</v>
      </c>
      <c r="O940" t="str">
        <f>IFERROR(__xludf.DUMMYFUNCTION("""COMPUTED_VALUE"""),"Y")</f>
        <v>Y</v>
      </c>
      <c r="P940" s="1" t="str">
        <f>IFERROR(__xludf.DUMMYFUNCTION("""COMPUTED_VALUE"""),"ID 4130")</f>
        <v>ID 4130</v>
      </c>
      <c r="Q940" s="1" t="str">
        <f>IFERROR(__xludf.DUMMYFUNCTION("""COMPUTED_VALUE"""),"B00KS9T7HA")</f>
        <v>B00KS9T7HA</v>
      </c>
    </row>
    <row r="941">
      <c r="A941" s="6">
        <f>IFERROR(__xludf.DUMMYFUNCTION("""COMPUTED_VALUE"""),45376.0)</f>
        <v>45376</v>
      </c>
      <c r="B941">
        <f>IFERROR(__xludf.DUMMYFUNCTION("""COMPUTED_VALUE"""),4267.0)</f>
        <v>4267</v>
      </c>
      <c r="C941" t="str">
        <f>IFERROR(__xludf.DUMMYFUNCTION("""COMPUTED_VALUE"""),"US Toy Assorted Insect Bug Design Clicker Noise Makers (1 Dozen), Green, 1-Pack of 12")</f>
        <v>US Toy Assorted Insect Bug Design Clicker Noise Makers (1 Dozen), Green, 1-Pack of 12</v>
      </c>
      <c r="D941" t="str">
        <f>IFERROR(__xludf.DUMMYFUNCTION("""COMPUTED_VALUE"""),"B002LH9JCA")</f>
        <v>B002LH9JCA</v>
      </c>
      <c r="E941" t="str">
        <f>IFERROR(__xludf.DUMMYFUNCTION("""COMPUTED_VALUE"""),"049392010662")</f>
        <v>049392010662</v>
      </c>
      <c r="F941">
        <f>IFERROR(__xludf.DUMMYFUNCTION("""COMPUTED_VALUE"""),480.0)</f>
        <v>480</v>
      </c>
      <c r="G941">
        <f>IFERROR(__xludf.DUMMYFUNCTION("""COMPUTED_VALUE"""),680.0)</f>
        <v>680</v>
      </c>
      <c r="H941" s="2">
        <f>IFERROR(__xludf.DUMMYFUNCTION("""COMPUTED_VALUE"""),3.0)</f>
        <v>3</v>
      </c>
      <c r="I941" s="2">
        <f>IFERROR(__xludf.DUMMYFUNCTION("""COMPUTED_VALUE"""),3.56)</f>
        <v>3.56</v>
      </c>
      <c r="J941" s="2">
        <f>IFERROR(__xludf.DUMMYFUNCTION("""COMPUTED_VALUE"""),0.56)</f>
        <v>0.56</v>
      </c>
      <c r="K941" s="5">
        <f>IFERROR(__xludf.DUMMYFUNCTION("""COMPUTED_VALUE"""),0.18666666666666668)</f>
        <v>0.1866666667</v>
      </c>
      <c r="L941">
        <f>IFERROR(__xludf.DUMMYFUNCTION("""COMPUTED_VALUE"""),69414.0)</f>
        <v>69414</v>
      </c>
      <c r="M941" t="str">
        <f>IFERROR(__xludf.DUMMYFUNCTION("""COMPUTED_VALUE"""),"Toy")</f>
        <v>Toy</v>
      </c>
      <c r="N941" t="str">
        <f>IFERROR(__xludf.DUMMYFUNCTION("""COMPUTED_VALUE"""),"MAP $7.99. If you violate the MAP pricing the brand may choose to remove you from the listing")</f>
        <v>MAP $7.99. If you violate the MAP pricing the brand may choose to remove you from the listing</v>
      </c>
      <c r="O941" t="str">
        <f>IFERROR(__xludf.DUMMYFUNCTION("""COMPUTED_VALUE"""),"N")</f>
        <v>N</v>
      </c>
      <c r="P941" s="1" t="str">
        <f>IFERROR(__xludf.DUMMYFUNCTION("""COMPUTED_VALUE"""),"ID 4267")</f>
        <v>ID 4267</v>
      </c>
      <c r="Q941" s="1" t="str">
        <f>IFERROR(__xludf.DUMMYFUNCTION("""COMPUTED_VALUE"""),"B002LH9JCA")</f>
        <v>B002LH9JCA</v>
      </c>
    </row>
    <row r="942">
      <c r="A942" s="6">
        <f>IFERROR(__xludf.DUMMYFUNCTION("""COMPUTED_VALUE"""),44012.0)</f>
        <v>44012</v>
      </c>
      <c r="B942">
        <f>IFERROR(__xludf.DUMMYFUNCTION("""COMPUTED_VALUE"""),15462.0)</f>
        <v>15462</v>
      </c>
      <c r="C942" t="str">
        <f>IFERROR(__xludf.DUMMYFUNCTION("""COMPUTED_VALUE"""),"ChapStick (1) Stick Cotton Candy Flavored Lip Balm")</f>
        <v>ChapStick (1) Stick Cotton Candy Flavored Lip Balm</v>
      </c>
      <c r="D942" t="str">
        <f>IFERROR(__xludf.DUMMYFUNCTION("""COMPUTED_VALUE"""),"B07T32WSMN")</f>
        <v>B07T32WSMN</v>
      </c>
      <c r="E942" t="str">
        <f>IFERROR(__xludf.DUMMYFUNCTION("""COMPUTED_VALUE"""),"305732059518")</f>
        <v>305732059518</v>
      </c>
      <c r="F942">
        <f>IFERROR(__xludf.DUMMYFUNCTION("""COMPUTED_VALUE"""),288.0)</f>
        <v>288</v>
      </c>
      <c r="G942">
        <f>IFERROR(__xludf.DUMMYFUNCTION("""COMPUTED_VALUE"""),144.0)</f>
        <v>144</v>
      </c>
      <c r="H942" s="2">
        <f>IFERROR(__xludf.DUMMYFUNCTION("""COMPUTED_VALUE"""),1.75)</f>
        <v>1.75</v>
      </c>
      <c r="I942" s="2">
        <f>IFERROR(__xludf.DUMMYFUNCTION("""COMPUTED_VALUE"""),2.31)</f>
        <v>2.31</v>
      </c>
      <c r="J942" s="2">
        <f>IFERROR(__xludf.DUMMYFUNCTION("""COMPUTED_VALUE"""),0.56)</f>
        <v>0.56</v>
      </c>
      <c r="K942" s="5">
        <f>IFERROR(__xludf.DUMMYFUNCTION("""COMPUTED_VALUE"""),0.32)</f>
        <v>0.32</v>
      </c>
      <c r="L942">
        <f>IFERROR(__xludf.DUMMYFUNCTION("""COMPUTED_VALUE"""),48118.0)</f>
        <v>48118</v>
      </c>
      <c r="M942" t="str">
        <f>IFERROR(__xludf.DUMMYFUNCTION("""COMPUTED_VALUE"""),"Beauty")</f>
        <v>Beauty</v>
      </c>
      <c r="N942" t="str">
        <f>IFERROR(__xludf.DUMMYFUNCTION("""COMPUTED_VALUE"""),"XP 2/28/2022")</f>
        <v>XP 2/28/2022</v>
      </c>
      <c r="O942" t="str">
        <f>IFERROR(__xludf.DUMMYFUNCTION("""COMPUTED_VALUE"""),"Y")</f>
        <v>Y</v>
      </c>
      <c r="P942" s="1" t="str">
        <f>IFERROR(__xludf.DUMMYFUNCTION("""COMPUTED_VALUE"""),"ID 15462")</f>
        <v>ID 15462</v>
      </c>
      <c r="Q942" s="1" t="str">
        <f>IFERROR(__xludf.DUMMYFUNCTION("""COMPUTED_VALUE"""),"B07T32WSMN")</f>
        <v>B07T32WSMN</v>
      </c>
    </row>
    <row r="943">
      <c r="A943" s="6">
        <f>IFERROR(__xludf.DUMMYFUNCTION("""COMPUTED_VALUE"""),45350.0)</f>
        <v>45350</v>
      </c>
      <c r="B943">
        <f>IFERROR(__xludf.DUMMYFUNCTION("""COMPUTED_VALUE"""),16604.0)</f>
        <v>16604</v>
      </c>
      <c r="C943" t="str">
        <f>IFERROR(__xludf.DUMMYFUNCTION("""COMPUTED_VALUE"""),"ADVANTUS 40307Super Stacker 3"" x 5"" Index Card Box, Clear, 1 Box")</f>
        <v>ADVANTUS 40307Super Stacker 3" x 5" Index Card Box, Clear, 1 Box</v>
      </c>
      <c r="D943" t="str">
        <f>IFERROR(__xludf.DUMMYFUNCTION("""COMPUTED_VALUE"""),"B00H3E9TM6")</f>
        <v>B00H3E9TM6</v>
      </c>
      <c r="E943" t="str">
        <f>IFERROR(__xludf.DUMMYFUNCTION("""COMPUTED_VALUE"""),"091141403072")</f>
        <v>091141403072</v>
      </c>
      <c r="F943">
        <f>IFERROR(__xludf.DUMMYFUNCTION("""COMPUTED_VALUE"""),588.0)</f>
        <v>588</v>
      </c>
      <c r="G943">
        <f>IFERROR(__xludf.DUMMYFUNCTION("""COMPUTED_VALUE"""),10000.0)</f>
        <v>10000</v>
      </c>
      <c r="H943" s="2">
        <f>IFERROR(__xludf.DUMMYFUNCTION("""COMPUTED_VALUE"""),2.25)</f>
        <v>2.25</v>
      </c>
      <c r="I943" s="2">
        <f>IFERROR(__xludf.DUMMYFUNCTION("""COMPUTED_VALUE"""),2.81)</f>
        <v>2.81</v>
      </c>
      <c r="J943" s="2">
        <f>IFERROR(__xludf.DUMMYFUNCTION("""COMPUTED_VALUE"""),0.56)</f>
        <v>0.56</v>
      </c>
      <c r="K943" s="5">
        <f>IFERROR(__xludf.DUMMYFUNCTION("""COMPUTED_VALUE"""),0.2488888888888889)</f>
        <v>0.2488888889</v>
      </c>
      <c r="L943">
        <f>IFERROR(__xludf.DUMMYFUNCTION("""COMPUTED_VALUE"""),57750.0)</f>
        <v>57750</v>
      </c>
      <c r="M943" t="str">
        <f>IFERROR(__xludf.DUMMYFUNCTION("""COMPUTED_VALUE"""),"Office Product")</f>
        <v>Office Product</v>
      </c>
      <c r="O943" t="str">
        <f>IFERROR(__xludf.DUMMYFUNCTION("""COMPUTED_VALUE"""),"Y")</f>
        <v>Y</v>
      </c>
      <c r="P943" s="1" t="str">
        <f>IFERROR(__xludf.DUMMYFUNCTION("""COMPUTED_VALUE"""),"ID 16604")</f>
        <v>ID 16604</v>
      </c>
      <c r="Q943" s="1" t="str">
        <f>IFERROR(__xludf.DUMMYFUNCTION("""COMPUTED_VALUE"""),"B00H3E9TM6")</f>
        <v>B00H3E9TM6</v>
      </c>
    </row>
    <row r="944">
      <c r="A944" s="6">
        <f>IFERROR(__xludf.DUMMYFUNCTION("""COMPUTED_VALUE"""),44441.0)</f>
        <v>44441</v>
      </c>
      <c r="B944">
        <f>IFERROR(__xludf.DUMMYFUNCTION("""COMPUTED_VALUE"""),21164.0)</f>
        <v>21164</v>
      </c>
      <c r="C944" t="str">
        <f>IFERROR(__xludf.DUMMYFUNCTION("""COMPUTED_VALUE"""),"Mead Composition Notebook, Comp Book, Wide Ruled Paper, 100 Sheets, 9-3/4"" x 7-1/2"", Fashion, Assorted Colors, Color Selected May Vary, 1 Book (9918)")</f>
        <v>Mead Composition Notebook, Comp Book, Wide Ruled Paper, 100 Sheets, 9-3/4" x 7-1/2", Fashion, Assorted Colors, Color Selected May Vary, 1 Book (9918)</v>
      </c>
      <c r="D944" t="str">
        <f>IFERROR(__xludf.DUMMYFUNCTION("""COMPUTED_VALUE"""),"B000W2CR0C")</f>
        <v>B000W2CR0C</v>
      </c>
      <c r="E944" t="str">
        <f>IFERROR(__xludf.DUMMYFUNCTION("""COMPUTED_VALUE"""),"043100099185")</f>
        <v>043100099185</v>
      </c>
      <c r="F944">
        <f>IFERROR(__xludf.DUMMYFUNCTION("""COMPUTED_VALUE"""),1548.0)</f>
        <v>1548</v>
      </c>
      <c r="G944">
        <f>IFERROR(__xludf.DUMMYFUNCTION("""COMPUTED_VALUE"""),5000.0)</f>
        <v>5000</v>
      </c>
      <c r="H944" s="2">
        <f>IFERROR(__xludf.DUMMYFUNCTION("""COMPUTED_VALUE"""),1.75)</f>
        <v>1.75</v>
      </c>
      <c r="I944" s="2">
        <f>IFERROR(__xludf.DUMMYFUNCTION("""COMPUTED_VALUE"""),2.31)</f>
        <v>2.31</v>
      </c>
      <c r="J944" s="2">
        <f>IFERROR(__xludf.DUMMYFUNCTION("""COMPUTED_VALUE"""),0.56)</f>
        <v>0.56</v>
      </c>
      <c r="K944" s="5">
        <f>IFERROR(__xludf.DUMMYFUNCTION("""COMPUTED_VALUE"""),0.32)</f>
        <v>0.32</v>
      </c>
      <c r="L944">
        <f>IFERROR(__xludf.DUMMYFUNCTION("""COMPUTED_VALUE"""),23890.0)</f>
        <v>23890</v>
      </c>
      <c r="M944" t="str">
        <f>IFERROR(__xludf.DUMMYFUNCTION("""COMPUTED_VALUE"""),"Office Product")</f>
        <v>Office Product</v>
      </c>
      <c r="N944" t="str">
        <f>IFERROR(__xludf.DUMMYFUNCTION("""COMPUTED_VALUE"""),"On backorder. Pre-order available for 1/2022 ETA")</f>
        <v>On backorder. Pre-order available for 1/2022 ETA</v>
      </c>
      <c r="O944" t="str">
        <f>IFERROR(__xludf.DUMMYFUNCTION("""COMPUTED_VALUE"""),"Y")</f>
        <v>Y</v>
      </c>
      <c r="P944" s="1" t="str">
        <f>IFERROR(__xludf.DUMMYFUNCTION("""COMPUTED_VALUE"""),"ID 21164")</f>
        <v>ID 21164</v>
      </c>
      <c r="Q944" s="1" t="str">
        <f>IFERROR(__xludf.DUMMYFUNCTION("""COMPUTED_VALUE"""),"B000W2CR0C")</f>
        <v>B000W2CR0C</v>
      </c>
    </row>
    <row r="945">
      <c r="A945" s="6">
        <f>IFERROR(__xludf.DUMMYFUNCTION("""COMPUTED_VALUE"""),45383.0)</f>
        <v>45383</v>
      </c>
      <c r="B945">
        <f>IFERROR(__xludf.DUMMYFUNCTION("""COMPUTED_VALUE"""),23172.0)</f>
        <v>23172</v>
      </c>
      <c r="C945" t="str">
        <f>IFERROR(__xludf.DUMMYFUNCTION("""COMPUTED_VALUE"""),"Zebra Pen Z-Grip Plus Mechanical Pencil, 0.7mm, Bonus Lead and Erasers, Assorted Barrel Colors, Green, Yellow, Blue, 3 Pack (55403), Blue, green, Yellow")</f>
        <v>Zebra Pen Z-Grip Plus Mechanical Pencil, 0.7mm, Bonus Lead and Erasers, Assorted Barrel Colors, Green, Yellow, Blue, 3 Pack (55403), Blue, green, Yellow</v>
      </c>
      <c r="D945" t="str">
        <f>IFERROR(__xludf.DUMMYFUNCTION("""COMPUTED_VALUE"""),"B074HVKHNQ")</f>
        <v>B074HVKHNQ</v>
      </c>
      <c r="E945" t="str">
        <f>IFERROR(__xludf.DUMMYFUNCTION("""COMPUTED_VALUE"""),"045888554030")</f>
        <v>045888554030</v>
      </c>
      <c r="F945">
        <f>IFERROR(__xludf.DUMMYFUNCTION("""COMPUTED_VALUE"""),228.0)</f>
        <v>228</v>
      </c>
      <c r="G945">
        <f>IFERROR(__xludf.DUMMYFUNCTION("""COMPUTED_VALUE"""),10000.0)</f>
        <v>10000</v>
      </c>
      <c r="H945" s="2">
        <f>IFERROR(__xludf.DUMMYFUNCTION("""COMPUTED_VALUE"""),4.25)</f>
        <v>4.25</v>
      </c>
      <c r="I945" s="2">
        <f>IFERROR(__xludf.DUMMYFUNCTION("""COMPUTED_VALUE"""),4.81)</f>
        <v>4.81</v>
      </c>
      <c r="J945" s="2">
        <f>IFERROR(__xludf.DUMMYFUNCTION("""COMPUTED_VALUE"""),0.5599999999999996)</f>
        <v>0.56</v>
      </c>
      <c r="K945" s="5">
        <f>IFERROR(__xludf.DUMMYFUNCTION("""COMPUTED_VALUE"""),0.13176470588235284)</f>
        <v>0.1317647059</v>
      </c>
      <c r="L945">
        <f>IFERROR(__xludf.DUMMYFUNCTION("""COMPUTED_VALUE"""),20793.0)</f>
        <v>20793</v>
      </c>
      <c r="M945" t="str">
        <f>IFERROR(__xludf.DUMMYFUNCTION("""COMPUTED_VALUE"""),"Office Product")</f>
        <v>Office Product</v>
      </c>
      <c r="O945" t="str">
        <f>IFERROR(__xludf.DUMMYFUNCTION("""COMPUTED_VALUE"""),"Y")</f>
        <v>Y</v>
      </c>
      <c r="P945" s="1" t="str">
        <f>IFERROR(__xludf.DUMMYFUNCTION("""COMPUTED_VALUE"""),"ID 23172")</f>
        <v>ID 23172</v>
      </c>
      <c r="Q945" s="1" t="str">
        <f>IFERROR(__xludf.DUMMYFUNCTION("""COMPUTED_VALUE"""),"B074HVKHNQ")</f>
        <v>B074HVKHNQ</v>
      </c>
    </row>
    <row r="946">
      <c r="A946" s="6">
        <f>IFERROR(__xludf.DUMMYFUNCTION("""COMPUTED_VALUE"""),45390.0)</f>
        <v>45390</v>
      </c>
      <c r="B946">
        <f>IFERROR(__xludf.DUMMYFUNCTION("""COMPUTED_VALUE"""),21570.0)</f>
        <v>21570</v>
      </c>
      <c r="C946" t="str">
        <f>IFERROR(__xludf.DUMMYFUNCTION("""COMPUTED_VALUE"""),"Chef Craft Premium Silicone Spoon Spatula, 11.5 inch, Black")</f>
        <v>Chef Craft Premium Silicone Spoon Spatula, 11.5 inch, Black</v>
      </c>
      <c r="D946" t="str">
        <f>IFERROR(__xludf.DUMMYFUNCTION("""COMPUTED_VALUE"""),"B08SJ614F5")</f>
        <v>B08SJ614F5</v>
      </c>
      <c r="E946" t="str">
        <f>IFERROR(__xludf.DUMMYFUNCTION("""COMPUTED_VALUE"""),"085455136672")</f>
        <v>085455136672</v>
      </c>
      <c r="F946">
        <f>IFERROR(__xludf.DUMMYFUNCTION("""COMPUTED_VALUE"""),360.0)</f>
        <v>360</v>
      </c>
      <c r="G946">
        <f>IFERROR(__xludf.DUMMYFUNCTION("""COMPUTED_VALUE"""),10000.0)</f>
        <v>10000</v>
      </c>
      <c r="H946" s="2">
        <f>IFERROR(__xludf.DUMMYFUNCTION("""COMPUTED_VALUE"""),2.75)</f>
        <v>2.75</v>
      </c>
      <c r="I946" s="2">
        <f>IFERROR(__xludf.DUMMYFUNCTION("""COMPUTED_VALUE"""),3.3)</f>
        <v>3.3</v>
      </c>
      <c r="J946" s="2">
        <f>IFERROR(__xludf.DUMMYFUNCTION("""COMPUTED_VALUE"""),0.5499999999999998)</f>
        <v>0.55</v>
      </c>
      <c r="K946" s="5">
        <f>IFERROR(__xludf.DUMMYFUNCTION("""COMPUTED_VALUE"""),0.19999999999999993)</f>
        <v>0.2</v>
      </c>
      <c r="L946">
        <f>IFERROR(__xludf.DUMMYFUNCTION("""COMPUTED_VALUE"""),55865.0)</f>
        <v>55865</v>
      </c>
      <c r="M946" t="str">
        <f>IFERROR(__xludf.DUMMYFUNCTION("""COMPUTED_VALUE"""),"Kitchen")</f>
        <v>Kitchen</v>
      </c>
      <c r="O946" t="str">
        <f>IFERROR(__xludf.DUMMYFUNCTION("""COMPUTED_VALUE"""),"Y")</f>
        <v>Y</v>
      </c>
      <c r="P946" s="1" t="str">
        <f>IFERROR(__xludf.DUMMYFUNCTION("""COMPUTED_VALUE"""),"ID 21570")</f>
        <v>ID 21570</v>
      </c>
      <c r="Q946" s="1" t="str">
        <f>IFERROR(__xludf.DUMMYFUNCTION("""COMPUTED_VALUE"""),"B08SJ614F5")</f>
        <v>B08SJ614F5</v>
      </c>
    </row>
    <row r="947">
      <c r="A947" s="6">
        <f>IFERROR(__xludf.DUMMYFUNCTION("""COMPUTED_VALUE"""),44434.0)</f>
        <v>44434</v>
      </c>
      <c r="B947">
        <f>IFERROR(__xludf.DUMMYFUNCTION("""COMPUTED_VALUE"""),21663.0)</f>
        <v>21663</v>
      </c>
      <c r="C947" t="str">
        <f>IFERROR(__xludf.DUMMYFUNCTION("""COMPUTED_VALUE"""),"Sedal Liso Perfecto con proteina Hidrolizado 300 ml [SEALED]")</f>
        <v>Sedal Liso Perfecto con proteina Hidrolizado 300 ml [SEALED]</v>
      </c>
      <c r="D947" t="str">
        <f>IFERROR(__xludf.DUMMYFUNCTION("""COMPUTED_VALUE"""),"B004NWG596")</f>
        <v>B004NWG596</v>
      </c>
      <c r="E947" t="str">
        <f>IFERROR(__xludf.DUMMYFUNCTION("""COMPUTED_VALUE"""),"7501056340117")</f>
        <v>7501056340117</v>
      </c>
      <c r="F947">
        <f>IFERROR(__xludf.DUMMYFUNCTION("""COMPUTED_VALUE"""),468.0)</f>
        <v>468</v>
      </c>
      <c r="G947">
        <f>IFERROR(__xludf.DUMMYFUNCTION("""COMPUTED_VALUE"""),5000.0)</f>
        <v>5000</v>
      </c>
      <c r="H947" s="2">
        <f>IFERROR(__xludf.DUMMYFUNCTION("""COMPUTED_VALUE"""),2.75)</f>
        <v>2.75</v>
      </c>
      <c r="I947" s="2">
        <f>IFERROR(__xludf.DUMMYFUNCTION("""COMPUTED_VALUE"""),3.3)</f>
        <v>3.3</v>
      </c>
      <c r="J947" s="2">
        <f>IFERROR(__xludf.DUMMYFUNCTION("""COMPUTED_VALUE"""),0.5499999999999998)</f>
        <v>0.55</v>
      </c>
      <c r="K947" s="5">
        <f>IFERROR(__xludf.DUMMYFUNCTION("""COMPUTED_VALUE"""),0.19999999999999993)</f>
        <v>0.2</v>
      </c>
      <c r="L947">
        <f>IFERROR(__xludf.DUMMYFUNCTION("""COMPUTED_VALUE"""),59883.0)</f>
        <v>59883</v>
      </c>
      <c r="M947" t="str">
        <f>IFERROR(__xludf.DUMMYFUNCTION("""COMPUTED_VALUE"""),"Beauty")</f>
        <v>Beauty</v>
      </c>
      <c r="O947" t="str">
        <f>IFERROR(__xludf.DUMMYFUNCTION("""COMPUTED_VALUE"""),"N")</f>
        <v>N</v>
      </c>
      <c r="P947" s="1" t="str">
        <f>IFERROR(__xludf.DUMMYFUNCTION("""COMPUTED_VALUE"""),"ID 21663")</f>
        <v>ID 21663</v>
      </c>
      <c r="Q947" s="1" t="str">
        <f>IFERROR(__xludf.DUMMYFUNCTION("""COMPUTED_VALUE"""),"B004NWG596")</f>
        <v>B004NWG596</v>
      </c>
    </row>
    <row r="948">
      <c r="A948" s="6">
        <f>IFERROR(__xludf.DUMMYFUNCTION("""COMPUTED_VALUE"""),45390.0)</f>
        <v>45390</v>
      </c>
      <c r="B948">
        <f>IFERROR(__xludf.DUMMYFUNCTION("""COMPUTED_VALUE"""),4139.0)</f>
        <v>4139</v>
      </c>
      <c r="C948" t="str">
        <f>IFERROR(__xludf.DUMMYFUNCTION("""COMPUTED_VALUE"""),"Chef Craft Paper Towel Holder 20722")</f>
        <v>Chef Craft Paper Towel Holder 20722</v>
      </c>
      <c r="D948" t="str">
        <f>IFERROR(__xludf.DUMMYFUNCTION("""COMPUTED_VALUE"""),"B000KKM3DC")</f>
        <v>B000KKM3DC</v>
      </c>
      <c r="E948" t="str">
        <f>IFERROR(__xludf.DUMMYFUNCTION("""COMPUTED_VALUE"""),"085455207228")</f>
        <v>085455207228</v>
      </c>
      <c r="F948">
        <f>IFERROR(__xludf.DUMMYFUNCTION("""COMPUTED_VALUE"""),864.0)</f>
        <v>864</v>
      </c>
      <c r="G948">
        <f>IFERROR(__xludf.DUMMYFUNCTION("""COMPUTED_VALUE"""),10000.0)</f>
        <v>10000</v>
      </c>
      <c r="H948" s="2">
        <f>IFERROR(__xludf.DUMMYFUNCTION("""COMPUTED_VALUE"""),1.25)</f>
        <v>1.25</v>
      </c>
      <c r="I948" s="2">
        <f>IFERROR(__xludf.DUMMYFUNCTION("""COMPUTED_VALUE"""),1.79)</f>
        <v>1.79</v>
      </c>
      <c r="J948" s="2">
        <f>IFERROR(__xludf.DUMMYFUNCTION("""COMPUTED_VALUE"""),0.54)</f>
        <v>0.54</v>
      </c>
      <c r="K948" s="5">
        <f>IFERROR(__xludf.DUMMYFUNCTION("""COMPUTED_VALUE"""),0.43200000000000005)</f>
        <v>0.432</v>
      </c>
      <c r="L948">
        <f>IFERROR(__xludf.DUMMYFUNCTION("""COMPUTED_VALUE"""),87332.0)</f>
        <v>87332</v>
      </c>
      <c r="M948" t="str">
        <f>IFERROR(__xludf.DUMMYFUNCTION("""COMPUTED_VALUE"""),"Kitchen")</f>
        <v>Kitchen</v>
      </c>
      <c r="O948" t="str">
        <f>IFERROR(__xludf.DUMMYFUNCTION("""COMPUTED_VALUE"""),"N")</f>
        <v>N</v>
      </c>
      <c r="P948" s="1" t="str">
        <f>IFERROR(__xludf.DUMMYFUNCTION("""COMPUTED_VALUE"""),"ID 4139")</f>
        <v>ID 4139</v>
      </c>
      <c r="Q948" s="1" t="str">
        <f>IFERROR(__xludf.DUMMYFUNCTION("""COMPUTED_VALUE"""),"B000KKM3DC")</f>
        <v>B000KKM3DC</v>
      </c>
    </row>
    <row r="949">
      <c r="A949" s="6">
        <f>IFERROR(__xludf.DUMMYFUNCTION("""COMPUTED_VALUE"""),45376.0)</f>
        <v>45376</v>
      </c>
      <c r="B949">
        <f>IFERROR(__xludf.DUMMYFUNCTION("""COMPUTED_VALUE"""),17067.0)</f>
        <v>17067</v>
      </c>
      <c r="C949" t="str">
        <f>IFERROR(__xludf.DUMMYFUNCTION("""COMPUTED_VALUE"""),"PRANG Refill Pans for Half Pan Watercolor Paint Sets, 12 Pans per Box, Blue Green (08015)")</f>
        <v>PRANG Refill Pans for Half Pan Watercolor Paint Sets, 12 Pans per Box, Blue Green (08015)</v>
      </c>
      <c r="D949" t="str">
        <f>IFERROR(__xludf.DUMMYFUNCTION("""COMPUTED_VALUE"""),"B0050A62O8")</f>
        <v>B0050A62O8</v>
      </c>
      <c r="E949" t="str">
        <f>IFERROR(__xludf.DUMMYFUNCTION("""COMPUTED_VALUE"""),"072067080158")</f>
        <v>072067080158</v>
      </c>
      <c r="F949">
        <f>IFERROR(__xludf.DUMMYFUNCTION("""COMPUTED_VALUE"""),888.0)</f>
        <v>888</v>
      </c>
      <c r="G949">
        <f>IFERROR(__xludf.DUMMYFUNCTION("""COMPUTED_VALUE"""),10000.0)</f>
        <v>10000</v>
      </c>
      <c r="H949" s="2">
        <f>IFERROR(__xludf.DUMMYFUNCTION("""COMPUTED_VALUE"""),4.25)</f>
        <v>4.25</v>
      </c>
      <c r="I949" s="2">
        <f>IFERROR(__xludf.DUMMYFUNCTION("""COMPUTED_VALUE"""),4.79)</f>
        <v>4.79</v>
      </c>
      <c r="J949" s="2">
        <f>IFERROR(__xludf.DUMMYFUNCTION("""COMPUTED_VALUE"""),0.54)</f>
        <v>0.54</v>
      </c>
      <c r="K949" s="5">
        <f>IFERROR(__xludf.DUMMYFUNCTION("""COMPUTED_VALUE"""),0.12705882352941178)</f>
        <v>0.1270588235</v>
      </c>
      <c r="L949">
        <f>IFERROR(__xludf.DUMMYFUNCTION("""COMPUTED_VALUE"""),13619.0)</f>
        <v>13619</v>
      </c>
      <c r="M949" t="str">
        <f>IFERROR(__xludf.DUMMYFUNCTION("""COMPUTED_VALUE"""),"Home Improvement")</f>
        <v>Home Improvement</v>
      </c>
      <c r="O949" t="str">
        <f>IFERROR(__xludf.DUMMYFUNCTION("""COMPUTED_VALUE"""),"Y")</f>
        <v>Y</v>
      </c>
      <c r="P949" s="1" t="str">
        <f>IFERROR(__xludf.DUMMYFUNCTION("""COMPUTED_VALUE"""),"ID 17067")</f>
        <v>ID 17067</v>
      </c>
      <c r="Q949" s="1" t="str">
        <f>IFERROR(__xludf.DUMMYFUNCTION("""COMPUTED_VALUE"""),"B0050A62O8")</f>
        <v>B0050A62O8</v>
      </c>
    </row>
    <row r="950">
      <c r="A950" s="6">
        <f>IFERROR(__xludf.DUMMYFUNCTION("""COMPUTED_VALUE"""),45376.0)</f>
        <v>45376</v>
      </c>
      <c r="B950">
        <f>IFERROR(__xludf.DUMMYFUNCTION("""COMPUTED_VALUE"""),17075.0)</f>
        <v>17075</v>
      </c>
      <c r="C950" t="str">
        <f>IFERROR(__xludf.DUMMYFUNCTION("""COMPUTED_VALUE"""),"PRANG Artist Charcoal Pencil Sets, Set of 2 Charcoal Pencils, 1 Medium and 1 Soft, Black (60300)")</f>
        <v>PRANG Artist Charcoal Pencil Sets, Set of 2 Charcoal Pencils, 1 Medium and 1 Soft, Black (60300)</v>
      </c>
      <c r="D950" t="str">
        <f>IFERROR(__xludf.DUMMYFUNCTION("""COMPUTED_VALUE"""),"B0027AEHWI")</f>
        <v>B0027AEHWI</v>
      </c>
      <c r="E950" t="str">
        <f>IFERROR(__xludf.DUMMYFUNCTION("""COMPUTED_VALUE"""),"072067603005")</f>
        <v>072067603005</v>
      </c>
      <c r="F950">
        <f>IFERROR(__xludf.DUMMYFUNCTION("""COMPUTED_VALUE"""),2016.0)</f>
        <v>2016</v>
      </c>
      <c r="G950">
        <f>IFERROR(__xludf.DUMMYFUNCTION("""COMPUTED_VALUE"""),10000.0)</f>
        <v>10000</v>
      </c>
      <c r="H950" s="2">
        <f>IFERROR(__xludf.DUMMYFUNCTION("""COMPUTED_VALUE"""),2.0)</f>
        <v>2</v>
      </c>
      <c r="I950" s="2">
        <f>IFERROR(__xludf.DUMMYFUNCTION("""COMPUTED_VALUE"""),2.54)</f>
        <v>2.54</v>
      </c>
      <c r="J950" s="2">
        <f>IFERROR(__xludf.DUMMYFUNCTION("""COMPUTED_VALUE"""),0.54)</f>
        <v>0.54</v>
      </c>
      <c r="K950" s="5">
        <f>IFERROR(__xludf.DUMMYFUNCTION("""COMPUTED_VALUE"""),0.27)</f>
        <v>0.27</v>
      </c>
      <c r="L950">
        <f>IFERROR(__xludf.DUMMYFUNCTION("""COMPUTED_VALUE"""),57968.0)</f>
        <v>57968</v>
      </c>
      <c r="M950" t="str">
        <f>IFERROR(__xludf.DUMMYFUNCTION("""COMPUTED_VALUE"""),"Office Product")</f>
        <v>Office Product</v>
      </c>
      <c r="O950" t="str">
        <f>IFERROR(__xludf.DUMMYFUNCTION("""COMPUTED_VALUE"""),"Y")</f>
        <v>Y</v>
      </c>
      <c r="P950" s="1" t="str">
        <f>IFERROR(__xludf.DUMMYFUNCTION("""COMPUTED_VALUE"""),"ID 17075")</f>
        <v>ID 17075</v>
      </c>
      <c r="Q950" s="1" t="str">
        <f>IFERROR(__xludf.DUMMYFUNCTION("""COMPUTED_VALUE"""),"B0027AEHWI")</f>
        <v>B0027AEHWI</v>
      </c>
    </row>
    <row r="951">
      <c r="A951" s="6">
        <f>IFERROR(__xludf.DUMMYFUNCTION("""COMPUTED_VALUE"""),44312.0)</f>
        <v>44312</v>
      </c>
      <c r="B951">
        <f>IFERROR(__xludf.DUMMYFUNCTION("""COMPUTED_VALUE"""),13198.0)</f>
        <v>13198</v>
      </c>
      <c r="C951" t="str">
        <f>IFERROR(__xludf.DUMMYFUNCTION("""COMPUTED_VALUE"""),"Arm &amp; Hammer 3320094170 Baking Soda Air Freshener, Aerosol, Light Fresh Scent, 7oz")</f>
        <v>Arm &amp; Hammer 3320094170 Baking Soda Air Freshener, Aerosol, Light Fresh Scent, 7oz</v>
      </c>
      <c r="D951" t="str">
        <f>IFERROR(__xludf.DUMMYFUNCTION("""COMPUTED_VALUE"""),"B00DJY1RX8")</f>
        <v>B00DJY1RX8</v>
      </c>
      <c r="E951" t="str">
        <f>IFERROR(__xludf.DUMMYFUNCTION("""COMPUTED_VALUE"""),"33200941705")</f>
        <v>33200941705</v>
      </c>
      <c r="F951">
        <f>IFERROR(__xludf.DUMMYFUNCTION("""COMPUTED_VALUE"""),430.0)</f>
        <v>430</v>
      </c>
      <c r="G951">
        <f>IFERROR(__xludf.DUMMYFUNCTION("""COMPUTED_VALUE"""),5000.0)</f>
        <v>5000</v>
      </c>
      <c r="H951" s="2">
        <f>IFERROR(__xludf.DUMMYFUNCTION("""COMPUTED_VALUE"""),3.0)</f>
        <v>3</v>
      </c>
      <c r="I951" s="2">
        <f>IFERROR(__xludf.DUMMYFUNCTION("""COMPUTED_VALUE"""),3.54)</f>
        <v>3.54</v>
      </c>
      <c r="J951" s="2">
        <f>IFERROR(__xludf.DUMMYFUNCTION("""COMPUTED_VALUE"""),0.54)</f>
        <v>0.54</v>
      </c>
      <c r="K951" s="5">
        <f>IFERROR(__xludf.DUMMYFUNCTION("""COMPUTED_VALUE"""),0.18000000000000002)</f>
        <v>0.18</v>
      </c>
      <c r="L951">
        <f>IFERROR(__xludf.DUMMYFUNCTION("""COMPUTED_VALUE"""),28219.0)</f>
        <v>28219</v>
      </c>
      <c r="M951" t="str">
        <f>IFERROR(__xludf.DUMMYFUNCTION("""COMPUTED_VALUE"""),"Health and Beauty")</f>
        <v>Health and Beauty</v>
      </c>
      <c r="O951" t="str">
        <f>IFERROR(__xludf.DUMMYFUNCTION("""COMPUTED_VALUE"""),"N")</f>
        <v>N</v>
      </c>
      <c r="P951" s="1" t="str">
        <f>IFERROR(__xludf.DUMMYFUNCTION("""COMPUTED_VALUE"""),"ID 13198")</f>
        <v>ID 13198</v>
      </c>
      <c r="Q951" s="1" t="str">
        <f>IFERROR(__xludf.DUMMYFUNCTION("""COMPUTED_VALUE"""),"B00DJY1RX8")</f>
        <v>B00DJY1RX8</v>
      </c>
    </row>
    <row r="952">
      <c r="A952" s="6">
        <f>IFERROR(__xludf.DUMMYFUNCTION("""COMPUTED_VALUE"""),45429.0)</f>
        <v>45429</v>
      </c>
      <c r="B952">
        <f>IFERROR(__xludf.DUMMYFUNCTION("""COMPUTED_VALUE"""),20806.0)</f>
        <v>20806</v>
      </c>
      <c r="C952" t="str">
        <f>IFERROR(__xludf.DUMMYFUNCTION("""COMPUTED_VALUE"""),"Paul Sebastian PS for Men, Aftershave Balm, 4-Ounce")</f>
        <v>Paul Sebastian PS for Men, Aftershave Balm, 4-Ounce</v>
      </c>
      <c r="D952" t="str">
        <f>IFERROR(__xludf.DUMMYFUNCTION("""COMPUTED_VALUE"""),"B000VOPITS")</f>
        <v>B000VOPITS</v>
      </c>
      <c r="E952" t="str">
        <f>IFERROR(__xludf.DUMMYFUNCTION("""COMPUTED_VALUE"""),"0716393029275")</f>
        <v>0716393029275</v>
      </c>
      <c r="F952">
        <f>IFERROR(__xludf.DUMMYFUNCTION("""COMPUTED_VALUE"""),180.0)</f>
        <v>180</v>
      </c>
      <c r="G952">
        <f>IFERROR(__xludf.DUMMYFUNCTION("""COMPUTED_VALUE"""),10000.0)</f>
        <v>10000</v>
      </c>
      <c r="H952" s="2">
        <f>IFERROR(__xludf.DUMMYFUNCTION("""COMPUTED_VALUE"""),7.0)</f>
        <v>7</v>
      </c>
      <c r="I952" s="2">
        <f>IFERROR(__xludf.DUMMYFUNCTION("""COMPUTED_VALUE"""),7.54)</f>
        <v>7.54</v>
      </c>
      <c r="J952" s="2">
        <f>IFERROR(__xludf.DUMMYFUNCTION("""COMPUTED_VALUE"""),0.54)</f>
        <v>0.54</v>
      </c>
      <c r="K952" s="5">
        <f>IFERROR(__xludf.DUMMYFUNCTION("""COMPUTED_VALUE"""),0.07714285714285715)</f>
        <v>0.07714285714</v>
      </c>
      <c r="L952">
        <f>IFERROR(__xludf.DUMMYFUNCTION("""COMPUTED_VALUE"""),49767.0)</f>
        <v>49767</v>
      </c>
      <c r="M952" t="str">
        <f>IFERROR(__xludf.DUMMYFUNCTION("""COMPUTED_VALUE"""),"Beauty")</f>
        <v>Beauty</v>
      </c>
      <c r="O952" t="str">
        <f>IFERROR(__xludf.DUMMYFUNCTION("""COMPUTED_VALUE"""),"Y")</f>
        <v>Y</v>
      </c>
      <c r="P952" s="1" t="str">
        <f>IFERROR(__xludf.DUMMYFUNCTION("""COMPUTED_VALUE"""),"ID 20806")</f>
        <v>ID 20806</v>
      </c>
      <c r="Q952" s="1" t="str">
        <f>IFERROR(__xludf.DUMMYFUNCTION("""COMPUTED_VALUE"""),"B000VOPITS")</f>
        <v>B000VOPITS</v>
      </c>
    </row>
    <row r="953">
      <c r="A953" s="6">
        <f>IFERROR(__xludf.DUMMYFUNCTION("""COMPUTED_VALUE"""),45383.0)</f>
        <v>45383</v>
      </c>
      <c r="B953">
        <f>IFERROR(__xludf.DUMMYFUNCTION("""COMPUTED_VALUE"""),23175.0)</f>
        <v>23175</v>
      </c>
      <c r="C953" t="str">
        <f>IFERROR(__xludf.DUMMYFUNCTION("""COMPUTED_VALUE"""),"Zebra Pen Fountain Pen Set, Fine Point 0.6mm, Black Non-Toxic Ink, Stainless Steel Nib, Disposable, 2-Pack (48312)")</f>
        <v>Zebra Pen Fountain Pen Set, Fine Point 0.6mm, Black Non-Toxic Ink, Stainless Steel Nib, Disposable, 2-Pack (48312)</v>
      </c>
      <c r="D953" t="str">
        <f>IFERROR(__xludf.DUMMYFUNCTION("""COMPUTED_VALUE"""),"B074HP7HBZ")</f>
        <v>B074HP7HBZ</v>
      </c>
      <c r="E953" t="str">
        <f>IFERROR(__xludf.DUMMYFUNCTION("""COMPUTED_VALUE"""),"045888483125")</f>
        <v>045888483125</v>
      </c>
      <c r="F953">
        <f>IFERROR(__xludf.DUMMYFUNCTION("""COMPUTED_VALUE"""),372.0)</f>
        <v>372</v>
      </c>
      <c r="G953">
        <f>IFERROR(__xludf.DUMMYFUNCTION("""COMPUTED_VALUE"""),10000.0)</f>
        <v>10000</v>
      </c>
      <c r="H953" s="2">
        <f>IFERROR(__xludf.DUMMYFUNCTION("""COMPUTED_VALUE"""),3.25)</f>
        <v>3.25</v>
      </c>
      <c r="I953" s="2">
        <f>IFERROR(__xludf.DUMMYFUNCTION("""COMPUTED_VALUE"""),3.79)</f>
        <v>3.79</v>
      </c>
      <c r="J953" s="2">
        <f>IFERROR(__xludf.DUMMYFUNCTION("""COMPUTED_VALUE"""),0.54)</f>
        <v>0.54</v>
      </c>
      <c r="K953" s="5">
        <f>IFERROR(__xludf.DUMMYFUNCTION("""COMPUTED_VALUE"""),0.16615384615384615)</f>
        <v>0.1661538462</v>
      </c>
      <c r="L953">
        <f>IFERROR(__xludf.DUMMYFUNCTION("""COMPUTED_VALUE"""),83282.0)</f>
        <v>83282</v>
      </c>
      <c r="M953" t="str">
        <f>IFERROR(__xludf.DUMMYFUNCTION("""COMPUTED_VALUE"""),"Office Product")</f>
        <v>Office Product</v>
      </c>
      <c r="O953" t="str">
        <f>IFERROR(__xludf.DUMMYFUNCTION("""COMPUTED_VALUE"""),"Y")</f>
        <v>Y</v>
      </c>
      <c r="P953" s="1" t="str">
        <f>IFERROR(__xludf.DUMMYFUNCTION("""COMPUTED_VALUE"""),"ID 23175")</f>
        <v>ID 23175</v>
      </c>
      <c r="Q953" s="1" t="str">
        <f>IFERROR(__xludf.DUMMYFUNCTION("""COMPUTED_VALUE"""),"B074HP7HBZ")</f>
        <v>B074HP7HBZ</v>
      </c>
    </row>
    <row r="954">
      <c r="A954" s="6">
        <f>IFERROR(__xludf.DUMMYFUNCTION("""COMPUTED_VALUE"""),45383.0)</f>
        <v>45383</v>
      </c>
      <c r="B954">
        <f>IFERROR(__xludf.DUMMYFUNCTION("""COMPUTED_VALUE"""),23783.0)</f>
        <v>23783</v>
      </c>
      <c r="C954" t="str">
        <f>IFERROR(__xludf.DUMMYFUNCTION("""COMPUTED_VALUE"""),"Smead Poly Expanding File, 6 Dividers, Flap and Cord Closure, Letter Size, Wave Pattern Teal/Clear (70873)")</f>
        <v>Smead Poly Expanding File, 6 Dividers, Flap and Cord Closure, Letter Size, Wave Pattern Teal/Clear (70873)</v>
      </c>
      <c r="D954" t="str">
        <f>IFERROR(__xludf.DUMMYFUNCTION("""COMPUTED_VALUE"""),"B085H91V95")</f>
        <v>B085H91V95</v>
      </c>
      <c r="E954" t="str">
        <f>IFERROR(__xludf.DUMMYFUNCTION("""COMPUTED_VALUE"""),"086486708739")</f>
        <v>086486708739</v>
      </c>
      <c r="F954">
        <f>IFERROR(__xludf.DUMMYFUNCTION("""COMPUTED_VALUE"""),336.0)</f>
        <v>336</v>
      </c>
      <c r="G954">
        <f>IFERROR(__xludf.DUMMYFUNCTION("""COMPUTED_VALUE"""),10000.0)</f>
        <v>10000</v>
      </c>
      <c r="H954" s="2">
        <f>IFERROR(__xludf.DUMMYFUNCTION("""COMPUTED_VALUE"""),4.0)</f>
        <v>4</v>
      </c>
      <c r="I954" s="2">
        <f>IFERROR(__xludf.DUMMYFUNCTION("""COMPUTED_VALUE"""),4.54)</f>
        <v>4.54</v>
      </c>
      <c r="J954" s="2">
        <f>IFERROR(__xludf.DUMMYFUNCTION("""COMPUTED_VALUE"""),0.54)</f>
        <v>0.54</v>
      </c>
      <c r="K954" s="5">
        <f>IFERROR(__xludf.DUMMYFUNCTION("""COMPUTED_VALUE"""),0.135)</f>
        <v>0.135</v>
      </c>
      <c r="L954">
        <f>IFERROR(__xludf.DUMMYFUNCTION("""COMPUTED_VALUE"""),78624.0)</f>
        <v>78624</v>
      </c>
      <c r="M954" t="str">
        <f>IFERROR(__xludf.DUMMYFUNCTION("""COMPUTED_VALUE"""),"Office Product")</f>
        <v>Office Product</v>
      </c>
      <c r="O954" t="str">
        <f>IFERROR(__xludf.DUMMYFUNCTION("""COMPUTED_VALUE"""),"Y")</f>
        <v>Y</v>
      </c>
      <c r="P954" s="1" t="str">
        <f>IFERROR(__xludf.DUMMYFUNCTION("""COMPUTED_VALUE"""),"ID 23783")</f>
        <v>ID 23783</v>
      </c>
      <c r="Q954" s="1" t="str">
        <f>IFERROR(__xludf.DUMMYFUNCTION("""COMPUTED_VALUE"""),"B085H91V95")</f>
        <v>B085H91V95</v>
      </c>
    </row>
    <row r="955">
      <c r="A955" s="6">
        <f>IFERROR(__xludf.DUMMYFUNCTION("""COMPUTED_VALUE"""),45113.0)</f>
        <v>45113</v>
      </c>
      <c r="B955">
        <f>IFERROR(__xludf.DUMMYFUNCTION("""COMPUTED_VALUE"""),24673.0)</f>
        <v>24673</v>
      </c>
      <c r="C955" t="str">
        <f>IFERROR(__xludf.DUMMYFUNCTION("""COMPUTED_VALUE"""),"Sanford Magic Rub 1954 Block Eraser")</f>
        <v>Sanford Magic Rub 1954 Block Eraser</v>
      </c>
      <c r="D955" t="str">
        <f>IFERROR(__xludf.DUMMYFUNCTION("""COMPUTED_VALUE"""),"B002VCV4OQ")</f>
        <v>B002VCV4OQ</v>
      </c>
      <c r="E955" t="str">
        <f>IFERROR(__xludf.DUMMYFUNCTION("""COMPUTED_VALUE"""),"070530732016")</f>
        <v>070530732016</v>
      </c>
      <c r="F955">
        <f>IFERROR(__xludf.DUMMYFUNCTION("""COMPUTED_VALUE"""),5616.0)</f>
        <v>5616</v>
      </c>
      <c r="G955">
        <f>IFERROR(__xludf.DUMMYFUNCTION("""COMPUTED_VALUE"""),150000.0)</f>
        <v>150000</v>
      </c>
      <c r="H955" s="2">
        <f>IFERROR(__xludf.DUMMYFUNCTION("""COMPUTED_VALUE"""),0.5)</f>
        <v>0.5</v>
      </c>
      <c r="I955" s="2">
        <f>IFERROR(__xludf.DUMMYFUNCTION("""COMPUTED_VALUE"""),1.04)</f>
        <v>1.04</v>
      </c>
      <c r="J955" s="2">
        <f>IFERROR(__xludf.DUMMYFUNCTION("""COMPUTED_VALUE"""),0.54)</f>
        <v>0.54</v>
      </c>
      <c r="K955" s="5">
        <f>IFERROR(__xludf.DUMMYFUNCTION("""COMPUTED_VALUE"""),1.08)</f>
        <v>1.08</v>
      </c>
      <c r="L955">
        <f>IFERROR(__xludf.DUMMYFUNCTION("""COMPUTED_VALUE"""),21836.0)</f>
        <v>21836</v>
      </c>
      <c r="M955" t="str">
        <f>IFERROR(__xludf.DUMMYFUNCTION("""COMPUTED_VALUE"""),"Home")</f>
        <v>Home</v>
      </c>
      <c r="N955" t="str">
        <f>IFERROR(__xludf.DUMMYFUNCTION("""COMPUTED_VALUE"""),"UOM: 1 single unit. Prep buyers responsibility. UPC varies from the one published on amazon. This product will pull up if you enter our UPC into seller central. Styling/Packaging may vary")</f>
        <v>UOM: 1 single unit. Prep buyers responsibility. UPC varies from the one published on amazon. This product will pull up if you enter our UPC into seller central. Styling/Packaging may vary</v>
      </c>
      <c r="O955" t="str">
        <f>IFERROR(__xludf.DUMMYFUNCTION("""COMPUTED_VALUE"""),"N")</f>
        <v>N</v>
      </c>
      <c r="P955" s="1" t="str">
        <f>IFERROR(__xludf.DUMMYFUNCTION("""COMPUTED_VALUE"""),"ID 24673")</f>
        <v>ID 24673</v>
      </c>
      <c r="Q955" s="1" t="str">
        <f>IFERROR(__xludf.DUMMYFUNCTION("""COMPUTED_VALUE"""),"B002VCV4OQ")</f>
        <v>B002VCV4OQ</v>
      </c>
    </row>
    <row r="956">
      <c r="A956" s="6">
        <f>IFERROR(__xludf.DUMMYFUNCTION("""COMPUTED_VALUE"""),45348.0)</f>
        <v>45348</v>
      </c>
      <c r="B956">
        <f>IFERROR(__xludf.DUMMYFUNCTION("""COMPUTED_VALUE"""),14636.0)</f>
        <v>14636</v>
      </c>
      <c r="C956" t="str">
        <f>IFERROR(__xludf.DUMMYFUNCTION("""COMPUTED_VALUE"""),"Muelhens 4711 Unisex Eea De Cologne Splash, 5.1 Ounce")</f>
        <v>Muelhens 4711 Unisex Eea De Cologne Splash, 5.1 Ounce</v>
      </c>
      <c r="D956" t="str">
        <f>IFERROR(__xludf.DUMMYFUNCTION("""COMPUTED_VALUE"""),"B008DBZRR4")</f>
        <v>B008DBZRR4</v>
      </c>
      <c r="E956" t="str">
        <f>IFERROR(__xludf.DUMMYFUNCTION("""COMPUTED_VALUE"""),"4011700740635")</f>
        <v>4011700740635</v>
      </c>
      <c r="F956">
        <f>IFERROR(__xludf.DUMMYFUNCTION("""COMPUTED_VALUE"""),150.0)</f>
        <v>150</v>
      </c>
      <c r="G956">
        <f>IFERROR(__xludf.DUMMYFUNCTION("""COMPUTED_VALUE"""),999.0)</f>
        <v>999</v>
      </c>
      <c r="H956" s="2">
        <f>IFERROR(__xludf.DUMMYFUNCTION("""COMPUTED_VALUE"""),8.25)</f>
        <v>8.25</v>
      </c>
      <c r="I956" s="2">
        <f>IFERROR(__xludf.DUMMYFUNCTION("""COMPUTED_VALUE"""),8.79)</f>
        <v>8.79</v>
      </c>
      <c r="J956" s="2">
        <f>IFERROR(__xludf.DUMMYFUNCTION("""COMPUTED_VALUE"""),0.5399999999999991)</f>
        <v>0.54</v>
      </c>
      <c r="K956" s="5">
        <f>IFERROR(__xludf.DUMMYFUNCTION("""COMPUTED_VALUE"""),0.06545454545454535)</f>
        <v>0.06545454545</v>
      </c>
      <c r="L956">
        <f>IFERROR(__xludf.DUMMYFUNCTION("""COMPUTED_VALUE"""),93599.0)</f>
        <v>93599</v>
      </c>
      <c r="M956" t="str">
        <f>IFERROR(__xludf.DUMMYFUNCTION("""COMPUTED_VALUE"""),"Beauty")</f>
        <v>Beauty</v>
      </c>
      <c r="O956" t="str">
        <f>IFERROR(__xludf.DUMMYFUNCTION("""COMPUTED_VALUE"""),"N")</f>
        <v>N</v>
      </c>
      <c r="P956" s="1" t="str">
        <f>IFERROR(__xludf.DUMMYFUNCTION("""COMPUTED_VALUE"""),"ID 14636")</f>
        <v>ID 14636</v>
      </c>
      <c r="Q956" s="1" t="str">
        <f>IFERROR(__xludf.DUMMYFUNCTION("""COMPUTED_VALUE"""),"B008DBZRR4")</f>
        <v>B008DBZRR4</v>
      </c>
    </row>
    <row r="957">
      <c r="A957" s="6">
        <f>IFERROR(__xludf.DUMMYFUNCTION("""COMPUTED_VALUE"""),45421.0)</f>
        <v>45421</v>
      </c>
      <c r="B957">
        <f>IFERROR(__xludf.DUMMYFUNCTION("""COMPUTED_VALUE"""),25657.0)</f>
        <v>25657</v>
      </c>
      <c r="C957" t="str">
        <f>IFERROR(__xludf.DUMMYFUNCTION("""COMPUTED_VALUE"""),"Rapidesign Metric Sketch Mate Template, 1 Each (R2019)")</f>
        <v>Rapidesign Metric Sketch Mate Template, 1 Each (R2019)</v>
      </c>
      <c r="D957" t="str">
        <f>IFERROR(__xludf.DUMMYFUNCTION("""COMPUTED_VALUE"""),"B000KNJ724")</f>
        <v>B000KNJ724</v>
      </c>
      <c r="E957" t="str">
        <f>IFERROR(__xludf.DUMMYFUNCTION("""COMPUTED_VALUE"""),"014173252814")</f>
        <v>014173252814</v>
      </c>
      <c r="F957">
        <f>IFERROR(__xludf.DUMMYFUNCTION("""COMPUTED_VALUE"""),288.0)</f>
        <v>288</v>
      </c>
      <c r="G957">
        <f>IFERROR(__xludf.DUMMYFUNCTION("""COMPUTED_VALUE"""),10000.0)</f>
        <v>10000</v>
      </c>
      <c r="H957" s="2">
        <f>IFERROR(__xludf.DUMMYFUNCTION("""COMPUTED_VALUE"""),8.5)</f>
        <v>8.5</v>
      </c>
      <c r="I957" s="2">
        <f>IFERROR(__xludf.DUMMYFUNCTION("""COMPUTED_VALUE"""),9.04)</f>
        <v>9.04</v>
      </c>
      <c r="J957" s="2">
        <f>IFERROR(__xludf.DUMMYFUNCTION("""COMPUTED_VALUE"""),0.5399999999999991)</f>
        <v>0.54</v>
      </c>
      <c r="K957" s="5">
        <f>IFERROR(__xludf.DUMMYFUNCTION("""COMPUTED_VALUE"""),0.06352941176470578)</f>
        <v>0.06352941176</v>
      </c>
      <c r="L957">
        <f>IFERROR(__xludf.DUMMYFUNCTION("""COMPUTED_VALUE"""),88839.0)</f>
        <v>88839</v>
      </c>
      <c r="M957" t="str">
        <f>IFERROR(__xludf.DUMMYFUNCTION("""COMPUTED_VALUE"""),"Office Product")</f>
        <v>Office Product</v>
      </c>
      <c r="O957" t="str">
        <f>IFERROR(__xludf.DUMMYFUNCTION("""COMPUTED_VALUE"""),"N")</f>
        <v>N</v>
      </c>
      <c r="P957" s="1" t="str">
        <f>IFERROR(__xludf.DUMMYFUNCTION("""COMPUTED_VALUE"""),"ID 25657")</f>
        <v>ID 25657</v>
      </c>
      <c r="Q957" s="1" t="str">
        <f>IFERROR(__xludf.DUMMYFUNCTION("""COMPUTED_VALUE"""),"B000KNJ724")</f>
        <v>B000KNJ724</v>
      </c>
    </row>
    <row r="958">
      <c r="A958" s="6">
        <f>IFERROR(__xludf.DUMMYFUNCTION("""COMPUTED_VALUE"""),45390.0)</f>
        <v>45390</v>
      </c>
      <c r="B958">
        <f>IFERROR(__xludf.DUMMYFUNCTION("""COMPUTED_VALUE"""),4399.0)</f>
        <v>4399</v>
      </c>
      <c r="C958" t="str">
        <f>IFERROR(__xludf.DUMMYFUNCTION("""COMPUTED_VALUE"""),"Chef Craft 1-Cup Measuring Cup, Clear")</f>
        <v>Chef Craft 1-Cup Measuring Cup, Clear</v>
      </c>
      <c r="D958" t="str">
        <f>IFERROR(__xludf.DUMMYFUNCTION("""COMPUTED_VALUE"""),"B0038KQ17K")</f>
        <v>B0038KQ17K</v>
      </c>
      <c r="E958" t="str">
        <f>IFERROR(__xludf.DUMMYFUNCTION("""COMPUTED_VALUE"""),"085455207891")</f>
        <v>085455207891</v>
      </c>
      <c r="F958">
        <f>IFERROR(__xludf.DUMMYFUNCTION("""COMPUTED_VALUE"""),576.0)</f>
        <v>576</v>
      </c>
      <c r="G958">
        <f>IFERROR(__xludf.DUMMYFUNCTION("""COMPUTED_VALUE"""),10000.0)</f>
        <v>10000</v>
      </c>
      <c r="H958" s="2">
        <f>IFERROR(__xludf.DUMMYFUNCTION("""COMPUTED_VALUE"""),1.25)</f>
        <v>1.25</v>
      </c>
      <c r="I958" s="2">
        <f>IFERROR(__xludf.DUMMYFUNCTION("""COMPUTED_VALUE"""),1.78)</f>
        <v>1.78</v>
      </c>
      <c r="J958" s="2">
        <f>IFERROR(__xludf.DUMMYFUNCTION("""COMPUTED_VALUE"""),0.53)</f>
        <v>0.53</v>
      </c>
      <c r="K958" s="5">
        <f>IFERROR(__xludf.DUMMYFUNCTION("""COMPUTED_VALUE"""),0.42400000000000004)</f>
        <v>0.424</v>
      </c>
      <c r="L958">
        <f>IFERROR(__xludf.DUMMYFUNCTION("""COMPUTED_VALUE"""),2011.0)</f>
        <v>2011</v>
      </c>
      <c r="M958" t="str">
        <f>IFERROR(__xludf.DUMMYFUNCTION("""COMPUTED_VALUE"""),"Kitchen")</f>
        <v>Kitchen</v>
      </c>
      <c r="O958" t="str">
        <f>IFERROR(__xludf.DUMMYFUNCTION("""COMPUTED_VALUE"""),"Y")</f>
        <v>Y</v>
      </c>
      <c r="P958" s="1" t="str">
        <f>IFERROR(__xludf.DUMMYFUNCTION("""COMPUTED_VALUE"""),"ID 4399")</f>
        <v>ID 4399</v>
      </c>
      <c r="Q958" s="1" t="str">
        <f>IFERROR(__xludf.DUMMYFUNCTION("""COMPUTED_VALUE"""),"B0038KQ17K")</f>
        <v>B0038KQ17K</v>
      </c>
    </row>
    <row r="959">
      <c r="A959" s="6">
        <f>IFERROR(__xludf.DUMMYFUNCTION("""COMPUTED_VALUE"""),44441.0)</f>
        <v>44441</v>
      </c>
      <c r="B959">
        <f>IFERROR(__xludf.DUMMYFUNCTION("""COMPUTED_VALUE"""),16619.0)</f>
        <v>16619</v>
      </c>
      <c r="C959" t="str">
        <f>IFERROR(__xludf.DUMMYFUNCTION("""COMPUTED_VALUE"""),"PRANG Washable Watercolor Paint Set, 8 Metallic Colors with Brush, Assorted Colors (80516)")</f>
        <v>PRANG Washable Watercolor Paint Set, 8 Metallic Colors with Brush, Assorted Colors (80516)</v>
      </c>
      <c r="D959" t="str">
        <f>IFERROR(__xludf.DUMMYFUNCTION("""COMPUTED_VALUE"""),"B0026T8JEW")</f>
        <v>B0026T8JEW</v>
      </c>
      <c r="E959" t="str">
        <f>IFERROR(__xludf.DUMMYFUNCTION("""COMPUTED_VALUE"""),"72067805164")</f>
        <v>72067805164</v>
      </c>
      <c r="F959">
        <f>IFERROR(__xludf.DUMMYFUNCTION("""COMPUTED_VALUE"""),528.0)</f>
        <v>528</v>
      </c>
      <c r="G959">
        <f>IFERROR(__xludf.DUMMYFUNCTION("""COMPUTED_VALUE"""),5000.0)</f>
        <v>5000</v>
      </c>
      <c r="H959" s="2">
        <f>IFERROR(__xludf.DUMMYFUNCTION("""COMPUTED_VALUE"""),2.5)</f>
        <v>2.5</v>
      </c>
      <c r="I959" s="2">
        <f>IFERROR(__xludf.DUMMYFUNCTION("""COMPUTED_VALUE"""),3.03)</f>
        <v>3.03</v>
      </c>
      <c r="J959" s="2">
        <f>IFERROR(__xludf.DUMMYFUNCTION("""COMPUTED_VALUE"""),0.5299999999999998)</f>
        <v>0.53</v>
      </c>
      <c r="K959" s="5">
        <f>IFERROR(__xludf.DUMMYFUNCTION("""COMPUTED_VALUE"""),0.2119999999999999)</f>
        <v>0.212</v>
      </c>
      <c r="L959">
        <f>IFERROR(__xludf.DUMMYFUNCTION("""COMPUTED_VALUE"""),51786.0)</f>
        <v>51786</v>
      </c>
      <c r="M959" t="str">
        <f>IFERROR(__xludf.DUMMYFUNCTION("""COMPUTED_VALUE"""),"Office Product")</f>
        <v>Office Product</v>
      </c>
      <c r="O959" t="str">
        <f>IFERROR(__xludf.DUMMYFUNCTION("""COMPUTED_VALUE"""),"Y")</f>
        <v>Y</v>
      </c>
      <c r="P959" s="1" t="str">
        <f>IFERROR(__xludf.DUMMYFUNCTION("""COMPUTED_VALUE"""),"ID 16619")</f>
        <v>ID 16619</v>
      </c>
      <c r="Q959" s="1" t="str">
        <f>IFERROR(__xludf.DUMMYFUNCTION("""COMPUTED_VALUE"""),"B0026T8JEW")</f>
        <v>B0026T8JEW</v>
      </c>
    </row>
    <row r="960">
      <c r="A960" s="6">
        <f>IFERROR(__xludf.DUMMYFUNCTION("""COMPUTED_VALUE"""),44659.0)</f>
        <v>44659</v>
      </c>
      <c r="B960">
        <f>IFERROR(__xludf.DUMMYFUNCTION("""COMPUTED_VALUE"""),19939.0)</f>
        <v>19939</v>
      </c>
      <c r="C960" t="str">
        <f>IFERROR(__xludf.DUMMYFUNCTION("""COMPUTED_VALUE"""),"Adams Invoice Book, 3-Part, Carbonless, 5-9/16 x 8-7/16 Inches, 50 Sets per Book (T5080),White/Canary/Pink")</f>
        <v>Adams Invoice Book, 3-Part, Carbonless, 5-9/16 x 8-7/16 Inches, 50 Sets per Book (T5080),White/Canary/Pink</v>
      </c>
      <c r="D960" t="str">
        <f>IFERROR(__xludf.DUMMYFUNCTION("""COMPUTED_VALUE"""),"B00006ICT3")</f>
        <v>B00006ICT3</v>
      </c>
      <c r="E960" t="str">
        <f>IFERROR(__xludf.DUMMYFUNCTION("""COMPUTED_VALUE"""),"087958350807")</f>
        <v>087958350807</v>
      </c>
      <c r="F960">
        <f>IFERROR(__xludf.DUMMYFUNCTION("""COMPUTED_VALUE"""),560.0)</f>
        <v>560</v>
      </c>
      <c r="G960">
        <f>IFERROR(__xludf.DUMMYFUNCTION("""COMPUTED_VALUE"""),5000.0)</f>
        <v>5000</v>
      </c>
      <c r="H960" s="2">
        <f>IFERROR(__xludf.DUMMYFUNCTION("""COMPUTED_VALUE"""),4.25)</f>
        <v>4.25</v>
      </c>
      <c r="I960" s="2">
        <f>IFERROR(__xludf.DUMMYFUNCTION("""COMPUTED_VALUE"""),4.78)</f>
        <v>4.78</v>
      </c>
      <c r="J960" s="2">
        <f>IFERROR(__xludf.DUMMYFUNCTION("""COMPUTED_VALUE"""),0.5300000000000002)</f>
        <v>0.53</v>
      </c>
      <c r="K960" s="5">
        <f>IFERROR(__xludf.DUMMYFUNCTION("""COMPUTED_VALUE"""),0.12470588235294124)</f>
        <v>0.1247058824</v>
      </c>
      <c r="L960">
        <f>IFERROR(__xludf.DUMMYFUNCTION("""COMPUTED_VALUE"""),40195.0)</f>
        <v>40195</v>
      </c>
      <c r="M960" t="str">
        <f>IFERROR(__xludf.DUMMYFUNCTION("""COMPUTED_VALUE"""),"Office Product")</f>
        <v>Office Product</v>
      </c>
      <c r="O960" t="str">
        <f>IFERROR(__xludf.DUMMYFUNCTION("""COMPUTED_VALUE"""),"Y")</f>
        <v>Y</v>
      </c>
      <c r="P960" s="1" t="str">
        <f>IFERROR(__xludf.DUMMYFUNCTION("""COMPUTED_VALUE"""),"ID 19939")</f>
        <v>ID 19939</v>
      </c>
      <c r="Q960" s="1" t="str">
        <f>IFERROR(__xludf.DUMMYFUNCTION("""COMPUTED_VALUE"""),"B00006ICT3")</f>
        <v>B00006ICT3</v>
      </c>
    </row>
    <row r="961">
      <c r="A961" s="6">
        <f>IFERROR(__xludf.DUMMYFUNCTION("""COMPUTED_VALUE"""),44958.0)</f>
        <v>44958</v>
      </c>
      <c r="B961">
        <f>IFERROR(__xludf.DUMMYFUNCTION("""COMPUTED_VALUE"""),22472.0)</f>
        <v>22472</v>
      </c>
      <c r="C961" t="str">
        <f>IFERROR(__xludf.DUMMYFUNCTION("""COMPUTED_VALUE"""),"Adams Analysis Pad, 8 1/2"" x 11"", 100 Pages (50 Sheets), 4 Columns, Green")</f>
        <v>Adams Analysis Pad, 8 1/2" x 11", 100 Pages (50 Sheets), 4 Columns, Green</v>
      </c>
      <c r="D961" t="str">
        <f>IFERROR(__xludf.DUMMYFUNCTION("""COMPUTED_VALUE"""),"B01BHHI5XS")</f>
        <v>B01BHHI5XS</v>
      </c>
      <c r="E961" t="str">
        <f>IFERROR(__xludf.DUMMYFUNCTION("""COMPUTED_VALUE"""),"087958000474")</f>
        <v>087958000474</v>
      </c>
      <c r="F961">
        <f>IFERROR(__xludf.DUMMYFUNCTION("""COMPUTED_VALUE"""),528.0)</f>
        <v>528</v>
      </c>
      <c r="G961">
        <f>IFERROR(__xludf.DUMMYFUNCTION("""COMPUTED_VALUE"""),10000.0)</f>
        <v>10000</v>
      </c>
      <c r="H961" s="2">
        <f>IFERROR(__xludf.DUMMYFUNCTION("""COMPUTED_VALUE"""),4.75)</f>
        <v>4.75</v>
      </c>
      <c r="I961" s="2">
        <f>IFERROR(__xludf.DUMMYFUNCTION("""COMPUTED_VALUE"""),5.28)</f>
        <v>5.28</v>
      </c>
      <c r="J961" s="2">
        <f>IFERROR(__xludf.DUMMYFUNCTION("""COMPUTED_VALUE"""),0.5300000000000002)</f>
        <v>0.53</v>
      </c>
      <c r="K961" s="5">
        <f>IFERROR(__xludf.DUMMYFUNCTION("""COMPUTED_VALUE"""),0.11157894736842111)</f>
        <v>0.1115789474</v>
      </c>
      <c r="L961">
        <f>IFERROR(__xludf.DUMMYFUNCTION("""COMPUTED_VALUE"""),15239.0)</f>
        <v>15239</v>
      </c>
      <c r="M961" t="str">
        <f>IFERROR(__xludf.DUMMYFUNCTION("""COMPUTED_VALUE"""),"Office Product")</f>
        <v>Office Product</v>
      </c>
      <c r="O961" t="str">
        <f>IFERROR(__xludf.DUMMYFUNCTION("""COMPUTED_VALUE"""),"Y")</f>
        <v>Y</v>
      </c>
      <c r="P961" s="1" t="str">
        <f>IFERROR(__xludf.DUMMYFUNCTION("""COMPUTED_VALUE"""),"ID 22472")</f>
        <v>ID 22472</v>
      </c>
      <c r="Q961" s="1" t="str">
        <f>IFERROR(__xludf.DUMMYFUNCTION("""COMPUTED_VALUE"""),"B01BHHI5XS")</f>
        <v>B01BHHI5XS</v>
      </c>
    </row>
    <row r="962">
      <c r="A962" s="6">
        <f>IFERROR(__xludf.DUMMYFUNCTION("""COMPUTED_VALUE"""),45351.0)</f>
        <v>45351</v>
      </c>
      <c r="B962">
        <f>IFERROR(__xludf.DUMMYFUNCTION("""COMPUTED_VALUE"""),22994.0)</f>
        <v>22994</v>
      </c>
      <c r="C962" t="str">
        <f>IFERROR(__xludf.DUMMYFUNCTION("""COMPUTED_VALUE"""),"Alliance Rubber 07755 Non-Latex Brites File Bands, Colored Elastic Bands, 24 Pack (7"" x 1/8"", Assorted Colors)")</f>
        <v>Alliance Rubber 07755 Non-Latex Brites File Bands, Colored Elastic Bands, 24 Pack (7" x 1/8", Assorted Colors)</v>
      </c>
      <c r="D962" t="str">
        <f>IFERROR(__xludf.DUMMYFUNCTION("""COMPUTED_VALUE"""),"B00006IBR3")</f>
        <v>B00006IBR3</v>
      </c>
      <c r="E962" t="str">
        <f>IFERROR(__xludf.DUMMYFUNCTION("""COMPUTED_VALUE"""),"071815077556")</f>
        <v>071815077556</v>
      </c>
      <c r="F962">
        <f>IFERROR(__xludf.DUMMYFUNCTION("""COMPUTED_VALUE"""),768.0)</f>
        <v>768</v>
      </c>
      <c r="G962">
        <f>IFERROR(__xludf.DUMMYFUNCTION("""COMPUTED_VALUE"""),10000.0)</f>
        <v>10000</v>
      </c>
      <c r="H962" s="2">
        <f>IFERROR(__xludf.DUMMYFUNCTION("""COMPUTED_VALUE"""),1.75)</f>
        <v>1.75</v>
      </c>
      <c r="I962" s="2">
        <f>IFERROR(__xludf.DUMMYFUNCTION("""COMPUTED_VALUE"""),2.28)</f>
        <v>2.28</v>
      </c>
      <c r="J962" s="2">
        <f>IFERROR(__xludf.DUMMYFUNCTION("""COMPUTED_VALUE"""),0.5299999999999998)</f>
        <v>0.53</v>
      </c>
      <c r="K962" s="5">
        <f>IFERROR(__xludf.DUMMYFUNCTION("""COMPUTED_VALUE"""),0.30285714285714277)</f>
        <v>0.3028571429</v>
      </c>
      <c r="L962">
        <f>IFERROR(__xludf.DUMMYFUNCTION("""COMPUTED_VALUE"""),94762.0)</f>
        <v>94762</v>
      </c>
      <c r="M962" t="str">
        <f>IFERROR(__xludf.DUMMYFUNCTION("""COMPUTED_VALUE"""),"Office Product")</f>
        <v>Office Product</v>
      </c>
      <c r="O962" t="str">
        <f>IFERROR(__xludf.DUMMYFUNCTION("""COMPUTED_VALUE"""),"Y")</f>
        <v>Y</v>
      </c>
      <c r="P962" s="1" t="str">
        <f>IFERROR(__xludf.DUMMYFUNCTION("""COMPUTED_VALUE"""),"ID 22994")</f>
        <v>ID 22994</v>
      </c>
      <c r="Q962" s="1" t="str">
        <f>IFERROR(__xludf.DUMMYFUNCTION("""COMPUTED_VALUE"""),"B00006IBR3")</f>
        <v>B00006IBR3</v>
      </c>
    </row>
    <row r="963">
      <c r="A963" s="6">
        <f>IFERROR(__xludf.DUMMYFUNCTION("""COMPUTED_VALUE"""),45390.0)</f>
        <v>45390</v>
      </c>
      <c r="B963">
        <f>IFERROR(__xludf.DUMMYFUNCTION("""COMPUTED_VALUE"""),5567.0)</f>
        <v>5567</v>
      </c>
      <c r="C963" t="str">
        <f>IFERROR(__xludf.DUMMYFUNCTION("""COMPUTED_VALUE"""),"Chef Craft 13130, 11, Orange")</f>
        <v>Chef Craft 13130, 11, Orange</v>
      </c>
      <c r="D963" t="str">
        <f>IFERROR(__xludf.DUMMYFUNCTION("""COMPUTED_VALUE"""),"B01BKAUALW")</f>
        <v>B01BKAUALW</v>
      </c>
      <c r="E963" t="str">
        <f>IFERROR(__xludf.DUMMYFUNCTION("""COMPUTED_VALUE"""),"085455131301")</f>
        <v>085455131301</v>
      </c>
      <c r="F963">
        <f>IFERROR(__xludf.DUMMYFUNCTION("""COMPUTED_VALUE"""),360.0)</f>
        <v>360</v>
      </c>
      <c r="G963">
        <f>IFERROR(__xludf.DUMMYFUNCTION("""COMPUTED_VALUE"""),10000.0)</f>
        <v>10000</v>
      </c>
      <c r="H963" s="2">
        <f>IFERROR(__xludf.DUMMYFUNCTION("""COMPUTED_VALUE"""),2.75)</f>
        <v>2.75</v>
      </c>
      <c r="I963" s="2">
        <f>IFERROR(__xludf.DUMMYFUNCTION("""COMPUTED_VALUE"""),3.27)</f>
        <v>3.27</v>
      </c>
      <c r="J963" s="2">
        <f>IFERROR(__xludf.DUMMYFUNCTION("""COMPUTED_VALUE"""),0.52)</f>
        <v>0.52</v>
      </c>
      <c r="K963" s="5">
        <f>IFERROR(__xludf.DUMMYFUNCTION("""COMPUTED_VALUE"""),0.1890909090909091)</f>
        <v>0.1890909091</v>
      </c>
      <c r="L963">
        <f>IFERROR(__xludf.DUMMYFUNCTION("""COMPUTED_VALUE"""),43285.0)</f>
        <v>43285</v>
      </c>
      <c r="M963" t="str">
        <f>IFERROR(__xludf.DUMMYFUNCTION("""COMPUTED_VALUE"""),"Kitchen")</f>
        <v>Kitchen</v>
      </c>
      <c r="O963" t="str">
        <f>IFERROR(__xludf.DUMMYFUNCTION("""COMPUTED_VALUE"""),"Y")</f>
        <v>Y</v>
      </c>
      <c r="P963" s="1" t="str">
        <f>IFERROR(__xludf.DUMMYFUNCTION("""COMPUTED_VALUE"""),"ID 5567")</f>
        <v>ID 5567</v>
      </c>
      <c r="Q963" s="1" t="str">
        <f>IFERROR(__xludf.DUMMYFUNCTION("""COMPUTED_VALUE"""),"B01BKAUALW")</f>
        <v>B01BKAUALW</v>
      </c>
    </row>
    <row r="964">
      <c r="A964" s="6">
        <f>IFERROR(__xludf.DUMMYFUNCTION("""COMPUTED_VALUE"""),45390.0)</f>
        <v>45390</v>
      </c>
      <c r="B964">
        <f>IFERROR(__xludf.DUMMYFUNCTION("""COMPUTED_VALUE"""),6247.0)</f>
        <v>6247</v>
      </c>
      <c r="C964" t="str">
        <f>IFERROR(__xludf.DUMMYFUNCTION("""COMPUTED_VALUE"""),"Chef Craft Micro Bag Clips, Purple/Orange/Green/Blue")</f>
        <v>Chef Craft Micro Bag Clips, Purple/Orange/Green/Blue</v>
      </c>
      <c r="D964" t="str">
        <f>IFERROR(__xludf.DUMMYFUNCTION("""COMPUTED_VALUE"""),"B00LWXNTQQ")</f>
        <v>B00LWXNTQQ</v>
      </c>
      <c r="E964" t="str">
        <f>IFERROR(__xludf.DUMMYFUNCTION("""COMPUTED_VALUE"""),"085455217906")</f>
        <v>085455217906</v>
      </c>
      <c r="F964">
        <f>IFERROR(__xludf.DUMMYFUNCTION("""COMPUTED_VALUE"""),864.0)</f>
        <v>864</v>
      </c>
      <c r="G964">
        <f>IFERROR(__xludf.DUMMYFUNCTION("""COMPUTED_VALUE"""),10000.0)</f>
        <v>10000</v>
      </c>
      <c r="H964" s="2">
        <f>IFERROR(__xludf.DUMMYFUNCTION("""COMPUTED_VALUE"""),1.0)</f>
        <v>1</v>
      </c>
      <c r="I964" s="2">
        <f>IFERROR(__xludf.DUMMYFUNCTION("""COMPUTED_VALUE"""),1.52)</f>
        <v>1.52</v>
      </c>
      <c r="J964" s="2">
        <f>IFERROR(__xludf.DUMMYFUNCTION("""COMPUTED_VALUE"""),0.52)</f>
        <v>0.52</v>
      </c>
      <c r="K964" s="5">
        <f>IFERROR(__xludf.DUMMYFUNCTION("""COMPUTED_VALUE"""),0.52)</f>
        <v>0.52</v>
      </c>
      <c r="L964">
        <f>IFERROR(__xludf.DUMMYFUNCTION("""COMPUTED_VALUE"""),42871.0)</f>
        <v>42871</v>
      </c>
      <c r="M964" t="str">
        <f>IFERROR(__xludf.DUMMYFUNCTION("""COMPUTED_VALUE"""),"Toy")</f>
        <v>Toy</v>
      </c>
      <c r="O964" t="str">
        <f>IFERROR(__xludf.DUMMYFUNCTION("""COMPUTED_VALUE"""),"Y")</f>
        <v>Y</v>
      </c>
      <c r="P964" s="1" t="str">
        <f>IFERROR(__xludf.DUMMYFUNCTION("""COMPUTED_VALUE"""),"ID 6247")</f>
        <v>ID 6247</v>
      </c>
      <c r="Q964" s="1" t="str">
        <f>IFERROR(__xludf.DUMMYFUNCTION("""COMPUTED_VALUE"""),"B00LWXNTQQ")</f>
        <v>B00LWXNTQQ</v>
      </c>
    </row>
    <row r="965">
      <c r="A965" s="6">
        <f>IFERROR(__xludf.DUMMYFUNCTION("""COMPUTED_VALUE"""),45390.0)</f>
        <v>45390</v>
      </c>
      <c r="B965">
        <f>IFERROR(__xludf.DUMMYFUNCTION("""COMPUTED_VALUE"""),7512.0)</f>
        <v>7512</v>
      </c>
      <c r="C965" t="str">
        <f>IFERROR(__xludf.DUMMYFUNCTION("""COMPUTED_VALUE"""),"Chef Craft 20808 Flexible Dough Scraper, Plastic 6 in L x 4 in W White")</f>
        <v>Chef Craft 20808 Flexible Dough Scraper, Plastic 6 in L x 4 in W White</v>
      </c>
      <c r="D965" t="str">
        <f>IFERROR(__xludf.DUMMYFUNCTION("""COMPUTED_VALUE"""),"B000KKI4YO")</f>
        <v>B000KKI4YO</v>
      </c>
      <c r="E965" t="str">
        <f>IFERROR(__xludf.DUMMYFUNCTION("""COMPUTED_VALUE"""),"085455208089")</f>
        <v>085455208089</v>
      </c>
      <c r="F965">
        <f>IFERROR(__xludf.DUMMYFUNCTION("""COMPUTED_VALUE"""),2016.0)</f>
        <v>2016</v>
      </c>
      <c r="G965">
        <f>IFERROR(__xludf.DUMMYFUNCTION("""COMPUTED_VALUE"""),10000.0)</f>
        <v>10000</v>
      </c>
      <c r="H965" s="2">
        <f>IFERROR(__xludf.DUMMYFUNCTION("""COMPUTED_VALUE"""),0.5)</f>
        <v>0.5</v>
      </c>
      <c r="I965" s="2">
        <f>IFERROR(__xludf.DUMMYFUNCTION("""COMPUTED_VALUE"""),1.02)</f>
        <v>1.02</v>
      </c>
      <c r="J965" s="2">
        <f>IFERROR(__xludf.DUMMYFUNCTION("""COMPUTED_VALUE"""),0.52)</f>
        <v>0.52</v>
      </c>
      <c r="K965" s="5">
        <f>IFERROR(__xludf.DUMMYFUNCTION("""COMPUTED_VALUE"""),1.04)</f>
        <v>1.04</v>
      </c>
      <c r="L965">
        <f>IFERROR(__xludf.DUMMYFUNCTION("""COMPUTED_VALUE"""),55678.0)</f>
        <v>55678</v>
      </c>
      <c r="M965" t="str">
        <f>IFERROR(__xludf.DUMMYFUNCTION("""COMPUTED_VALUE"""),"Single Detail Page Misc")</f>
        <v>Single Detail Page Misc</v>
      </c>
      <c r="O965" t="str">
        <f>IFERROR(__xludf.DUMMYFUNCTION("""COMPUTED_VALUE"""),"Y")</f>
        <v>Y</v>
      </c>
      <c r="P965" s="1" t="str">
        <f>IFERROR(__xludf.DUMMYFUNCTION("""COMPUTED_VALUE"""),"ID 7512")</f>
        <v>ID 7512</v>
      </c>
      <c r="Q965" s="1" t="str">
        <f>IFERROR(__xludf.DUMMYFUNCTION("""COMPUTED_VALUE"""),"B000KKI4YO")</f>
        <v>B000KKI4YO</v>
      </c>
    </row>
    <row r="966">
      <c r="A966" s="6">
        <f>IFERROR(__xludf.DUMMYFUNCTION("""COMPUTED_VALUE"""),44123.0)</f>
        <v>44123</v>
      </c>
      <c r="B966">
        <f>IFERROR(__xludf.DUMMYFUNCTION("""COMPUTED_VALUE"""),17003.0)</f>
        <v>17003</v>
      </c>
      <c r="C966" t="str">
        <f>IFERROR(__xludf.DUMMYFUNCTION("""COMPUTED_VALUE"""),"Revlon Nail Enamel, Chip Resistant Nail Polish, Glossy Shine Finish, in Blue/Green, 522 Magnetic, 0.5 oz")</f>
        <v>Revlon Nail Enamel, Chip Resistant Nail Polish, Glossy Shine Finish, in Blue/Green, 522 Magnetic, 0.5 oz</v>
      </c>
      <c r="D966" t="str">
        <f>IFERROR(__xludf.DUMMYFUNCTION("""COMPUTED_VALUE"""),"B01N461M2T")</f>
        <v>B01N461M2T</v>
      </c>
      <c r="E966" t="str">
        <f>IFERROR(__xludf.DUMMYFUNCTION("""COMPUTED_VALUE"""),"309978435655")</f>
        <v>309978435655</v>
      </c>
      <c r="F966">
        <f>IFERROR(__xludf.DUMMYFUNCTION("""COMPUTED_VALUE"""),1944.0)</f>
        <v>1944</v>
      </c>
      <c r="G966">
        <f>IFERROR(__xludf.DUMMYFUNCTION("""COMPUTED_VALUE"""),2880.0)</f>
        <v>2880</v>
      </c>
      <c r="H966" s="2">
        <f>IFERROR(__xludf.DUMMYFUNCTION("""COMPUTED_VALUE"""),1.25)</f>
        <v>1.25</v>
      </c>
      <c r="I966" s="2">
        <f>IFERROR(__xludf.DUMMYFUNCTION("""COMPUTED_VALUE"""),1.77)</f>
        <v>1.77</v>
      </c>
      <c r="J966" s="2">
        <f>IFERROR(__xludf.DUMMYFUNCTION("""COMPUTED_VALUE"""),0.52)</f>
        <v>0.52</v>
      </c>
      <c r="K966" s="5">
        <f>IFERROR(__xludf.DUMMYFUNCTION("""COMPUTED_VALUE"""),0.41600000000000004)</f>
        <v>0.416</v>
      </c>
      <c r="L966">
        <f>IFERROR(__xludf.DUMMYFUNCTION("""COMPUTED_VALUE"""),16688.0)</f>
        <v>16688</v>
      </c>
      <c r="M966" t="str">
        <f>IFERROR(__xludf.DUMMYFUNCTION("""COMPUTED_VALUE"""),"Beauty")</f>
        <v>Beauty</v>
      </c>
      <c r="O966" t="str">
        <f>IFERROR(__xludf.DUMMYFUNCTION("""COMPUTED_VALUE"""),"N")</f>
        <v>N</v>
      </c>
      <c r="P966" s="1" t="str">
        <f>IFERROR(__xludf.DUMMYFUNCTION("""COMPUTED_VALUE"""),"ID 17003")</f>
        <v>ID 17003</v>
      </c>
      <c r="Q966" s="1" t="str">
        <f>IFERROR(__xludf.DUMMYFUNCTION("""COMPUTED_VALUE"""),"B01N461M2T")</f>
        <v>B01N461M2T</v>
      </c>
    </row>
    <row r="967">
      <c r="A967" s="6">
        <f>IFERROR(__xludf.DUMMYFUNCTION("""COMPUTED_VALUE"""),45376.0)</f>
        <v>45376</v>
      </c>
      <c r="B967">
        <f>IFERROR(__xludf.DUMMYFUNCTION("""COMPUTED_VALUE"""),17079.0)</f>
        <v>17079</v>
      </c>
      <c r="C967" t="str">
        <f>IFERROR(__xludf.DUMMYFUNCTION("""COMPUTED_VALUE"""),"Prang Half Pan Watercolor Set, Assorted Colors")</f>
        <v>Prang Half Pan Watercolor Set, Assorted Colors</v>
      </c>
      <c r="D967" t="str">
        <f>IFERROR(__xludf.DUMMYFUNCTION("""COMPUTED_VALUE"""),"B0017D99Q0")</f>
        <v>B0017D99Q0</v>
      </c>
      <c r="E967" t="str">
        <f>IFERROR(__xludf.DUMMYFUNCTION("""COMPUTED_VALUE"""),"072067080004")</f>
        <v>072067080004</v>
      </c>
      <c r="F967">
        <f>IFERROR(__xludf.DUMMYFUNCTION("""COMPUTED_VALUE"""),1152.0)</f>
        <v>1152</v>
      </c>
      <c r="G967">
        <f>IFERROR(__xludf.DUMMYFUNCTION("""COMPUTED_VALUE"""),10000.0)</f>
        <v>10000</v>
      </c>
      <c r="H967" s="2">
        <f>IFERROR(__xludf.DUMMYFUNCTION("""COMPUTED_VALUE"""),3.5)</f>
        <v>3.5</v>
      </c>
      <c r="I967" s="2">
        <f>IFERROR(__xludf.DUMMYFUNCTION("""COMPUTED_VALUE"""),4.02)</f>
        <v>4.02</v>
      </c>
      <c r="J967" s="2">
        <f>IFERROR(__xludf.DUMMYFUNCTION("""COMPUTED_VALUE"""),0.5199999999999996)</f>
        <v>0.52</v>
      </c>
      <c r="K967" s="5">
        <f>IFERROR(__xludf.DUMMYFUNCTION("""COMPUTED_VALUE"""),0.14857142857142844)</f>
        <v>0.1485714286</v>
      </c>
      <c r="L967">
        <f>IFERROR(__xludf.DUMMYFUNCTION("""COMPUTED_VALUE"""),12972.0)</f>
        <v>12972</v>
      </c>
      <c r="M967" t="str">
        <f>IFERROR(__xludf.DUMMYFUNCTION("""COMPUTED_VALUE"""),"Office Product")</f>
        <v>Office Product</v>
      </c>
      <c r="O967" t="str">
        <f>IFERROR(__xludf.DUMMYFUNCTION("""COMPUTED_VALUE"""),"Y")</f>
        <v>Y</v>
      </c>
      <c r="P967" s="1" t="str">
        <f>IFERROR(__xludf.DUMMYFUNCTION("""COMPUTED_VALUE"""),"ID 17079")</f>
        <v>ID 17079</v>
      </c>
      <c r="Q967" s="1" t="str">
        <f>IFERROR(__xludf.DUMMYFUNCTION("""COMPUTED_VALUE"""),"B0017D99Q0")</f>
        <v>B0017D99Q0</v>
      </c>
    </row>
    <row r="968">
      <c r="A968" s="6">
        <f>IFERROR(__xludf.DUMMYFUNCTION("""COMPUTED_VALUE"""),45166.0)</f>
        <v>45166</v>
      </c>
      <c r="B968">
        <f>IFERROR(__xludf.DUMMYFUNCTION("""COMPUTED_VALUE"""),18450.0)</f>
        <v>18450</v>
      </c>
      <c r="C968" t="str">
        <f>IFERROR(__xludf.DUMMYFUNCTION("""COMPUTED_VALUE"""),"Adams ARB8002M Account Book, 2 Column, Black Cover, 80 Pages, 7 X 9 1/4")</f>
        <v>Adams ARB8002M Account Book, 2 Column, Black Cover, 80 Pages, 7 X 9 1/4</v>
      </c>
      <c r="D968" t="str">
        <f>IFERROR(__xludf.DUMMYFUNCTION("""COMPUTED_VALUE"""),"B0765DB83S")</f>
        <v>B0765DB83S</v>
      </c>
      <c r="E968" t="str">
        <f>IFERROR(__xludf.DUMMYFUNCTION("""COMPUTED_VALUE"""),"087958721294")</f>
        <v>087958721294</v>
      </c>
      <c r="F968">
        <f>IFERROR(__xludf.DUMMYFUNCTION("""COMPUTED_VALUE"""),402.0)</f>
        <v>402</v>
      </c>
      <c r="G968">
        <f>IFERROR(__xludf.DUMMYFUNCTION("""COMPUTED_VALUE"""),5000.0)</f>
        <v>5000</v>
      </c>
      <c r="H968" s="2">
        <f>IFERROR(__xludf.DUMMYFUNCTION("""COMPUTED_VALUE"""),6.25)</f>
        <v>6.25</v>
      </c>
      <c r="I968" s="2">
        <f>IFERROR(__xludf.DUMMYFUNCTION("""COMPUTED_VALUE"""),6.77)</f>
        <v>6.77</v>
      </c>
      <c r="J968" s="2">
        <f>IFERROR(__xludf.DUMMYFUNCTION("""COMPUTED_VALUE"""),0.5199999999999996)</f>
        <v>0.52</v>
      </c>
      <c r="K968" s="5">
        <f>IFERROR(__xludf.DUMMYFUNCTION("""COMPUTED_VALUE"""),0.08319999999999993)</f>
        <v>0.0832</v>
      </c>
      <c r="L968">
        <f>IFERROR(__xludf.DUMMYFUNCTION("""COMPUTED_VALUE"""),17426.0)</f>
        <v>17426</v>
      </c>
      <c r="M968" t="str">
        <f>IFERROR(__xludf.DUMMYFUNCTION("""COMPUTED_VALUE"""),"Office Product")</f>
        <v>Office Product</v>
      </c>
      <c r="O968" t="str">
        <f>IFERROR(__xludf.DUMMYFUNCTION("""COMPUTED_VALUE"""),"N")</f>
        <v>N</v>
      </c>
      <c r="P968" s="1" t="str">
        <f>IFERROR(__xludf.DUMMYFUNCTION("""COMPUTED_VALUE"""),"ID 18450")</f>
        <v>ID 18450</v>
      </c>
      <c r="Q968" s="1" t="str">
        <f>IFERROR(__xludf.DUMMYFUNCTION("""COMPUTED_VALUE"""),"B0765DB83S")</f>
        <v>B0765DB83S</v>
      </c>
    </row>
    <row r="969">
      <c r="A969" s="6">
        <f>IFERROR(__xludf.DUMMYFUNCTION("""COMPUTED_VALUE"""),44469.0)</f>
        <v>44469</v>
      </c>
      <c r="B969">
        <f>IFERROR(__xludf.DUMMYFUNCTION("""COMPUTED_VALUE"""),19325.0)</f>
        <v>19325</v>
      </c>
      <c r="C969" t="str">
        <f>IFERROR(__xludf.DUMMYFUNCTION("""COMPUTED_VALUE"""),"Titan Quest Xbox One - Xbox One")</f>
        <v>Titan Quest Xbox One - Xbox One</v>
      </c>
      <c r="D969" t="str">
        <f>IFERROR(__xludf.DUMMYFUNCTION("""COMPUTED_VALUE"""),"B0785P5D6N")</f>
        <v>B0785P5D6N</v>
      </c>
      <c r="E969" t="str">
        <f>IFERROR(__xludf.DUMMYFUNCTION("""COMPUTED_VALUE"""),"811994021359")</f>
        <v>811994021359</v>
      </c>
      <c r="F969">
        <f>IFERROR(__xludf.DUMMYFUNCTION("""COMPUTED_VALUE"""),170.0)</f>
        <v>170</v>
      </c>
      <c r="G969">
        <f>IFERROR(__xludf.DUMMYFUNCTION("""COMPUTED_VALUE"""),1916.0)</f>
        <v>1916</v>
      </c>
      <c r="H969" s="2">
        <f>IFERROR(__xludf.DUMMYFUNCTION("""COMPUTED_VALUE"""),7.25)</f>
        <v>7.25</v>
      </c>
      <c r="I969" s="2">
        <f>IFERROR(__xludf.DUMMYFUNCTION("""COMPUTED_VALUE"""),7.77)</f>
        <v>7.77</v>
      </c>
      <c r="J969" s="2">
        <f>IFERROR(__xludf.DUMMYFUNCTION("""COMPUTED_VALUE"""),0.5199999999999996)</f>
        <v>0.52</v>
      </c>
      <c r="K969" s="5">
        <f>IFERROR(__xludf.DUMMYFUNCTION("""COMPUTED_VALUE"""),0.07172413793103442)</f>
        <v>0.07172413793</v>
      </c>
      <c r="L969">
        <f>IFERROR(__xludf.DUMMYFUNCTION("""COMPUTED_VALUE"""),61851.0)</f>
        <v>61851</v>
      </c>
      <c r="M969" t="str">
        <f>IFERROR(__xludf.DUMMYFUNCTION("""COMPUTED_VALUE"""),"Video Games")</f>
        <v>Video Games</v>
      </c>
      <c r="O969" t="str">
        <f>IFERROR(__xludf.DUMMYFUNCTION("""COMPUTED_VALUE"""),"N")</f>
        <v>N</v>
      </c>
      <c r="P969" s="1" t="str">
        <f>IFERROR(__xludf.DUMMYFUNCTION("""COMPUTED_VALUE"""),"ID 19325")</f>
        <v>ID 19325</v>
      </c>
      <c r="Q969" s="1" t="str">
        <f>IFERROR(__xludf.DUMMYFUNCTION("""COMPUTED_VALUE"""),"B0785P5D6N")</f>
        <v>B0785P5D6N</v>
      </c>
    </row>
    <row r="970">
      <c r="A970" s="6">
        <f>IFERROR(__xludf.DUMMYFUNCTION("""COMPUTED_VALUE"""),44776.0)</f>
        <v>44776</v>
      </c>
      <c r="B970">
        <f>IFERROR(__xludf.DUMMYFUNCTION("""COMPUTED_VALUE"""),23002.0)</f>
        <v>23002</v>
      </c>
      <c r="C970" t="str">
        <f>IFERROR(__xludf.DUMMYFUNCTION("""COMPUTED_VALUE"""),"BAZIC Multipurpose Paper. White Printer Paper for Office and School Use (80 Sheets. 8.5 x 11 in)")</f>
        <v>BAZIC Multipurpose Paper. White Printer Paper for Office and School Use (80 Sheets. 8.5 x 11 in)</v>
      </c>
      <c r="D970" t="str">
        <f>IFERROR(__xludf.DUMMYFUNCTION("""COMPUTED_VALUE"""),"B0018MN4RA")</f>
        <v>B0018MN4RA</v>
      </c>
      <c r="E970" t="str">
        <f>IFERROR(__xludf.DUMMYFUNCTION("""COMPUTED_VALUE"""),"764608005101")</f>
        <v>764608005101</v>
      </c>
      <c r="F970">
        <f>IFERROR(__xludf.DUMMYFUNCTION("""COMPUTED_VALUE"""),1350.0)</f>
        <v>1350</v>
      </c>
      <c r="G970">
        <f>IFERROR(__xludf.DUMMYFUNCTION("""COMPUTED_VALUE"""),5000.0)</f>
        <v>5000</v>
      </c>
      <c r="H970" s="2">
        <f>IFERROR(__xludf.DUMMYFUNCTION("""COMPUTED_VALUE"""),2.0)</f>
        <v>2</v>
      </c>
      <c r="I970" s="2">
        <f>IFERROR(__xludf.DUMMYFUNCTION("""COMPUTED_VALUE"""),2.52)</f>
        <v>2.52</v>
      </c>
      <c r="J970" s="2">
        <f>IFERROR(__xludf.DUMMYFUNCTION("""COMPUTED_VALUE"""),0.52)</f>
        <v>0.52</v>
      </c>
      <c r="K970" s="5">
        <f>IFERROR(__xludf.DUMMYFUNCTION("""COMPUTED_VALUE"""),0.26)</f>
        <v>0.26</v>
      </c>
      <c r="L970">
        <f>IFERROR(__xludf.DUMMYFUNCTION("""COMPUTED_VALUE"""),7661.0)</f>
        <v>7661</v>
      </c>
      <c r="M970" t="str">
        <f>IFERROR(__xludf.DUMMYFUNCTION("""COMPUTED_VALUE"""),"Office Product")</f>
        <v>Office Product</v>
      </c>
      <c r="O970" t="str">
        <f>IFERROR(__xludf.DUMMYFUNCTION("""COMPUTED_VALUE"""),"N")</f>
        <v>N</v>
      </c>
      <c r="P970" s="1" t="str">
        <f>IFERROR(__xludf.DUMMYFUNCTION("""COMPUTED_VALUE"""),"ID 23002")</f>
        <v>ID 23002</v>
      </c>
      <c r="Q970" s="1" t="str">
        <f>IFERROR(__xludf.DUMMYFUNCTION("""COMPUTED_VALUE"""),"B0018MN4RA")</f>
        <v>B0018MN4RA</v>
      </c>
    </row>
    <row r="971">
      <c r="A971" s="6">
        <f>IFERROR(__xludf.DUMMYFUNCTION("""COMPUTED_VALUE"""),45392.0)</f>
        <v>45392</v>
      </c>
      <c r="B971">
        <f>IFERROR(__xludf.DUMMYFUNCTION("""COMPUTED_VALUE"""),3891.0)</f>
        <v>3891</v>
      </c>
      <c r="C971" t="str">
        <f>IFERROR(__xludf.DUMMYFUNCTION("""COMPUTED_VALUE"""),"Play-Doh Sparkle Compound Collection")</f>
        <v>Play-Doh Sparkle Compound Collection</v>
      </c>
      <c r="D971" t="str">
        <f>IFERROR(__xludf.DUMMYFUNCTION("""COMPUTED_VALUE"""),"B00IGNWYNE")</f>
        <v>B00IGNWYNE</v>
      </c>
      <c r="E971" t="str">
        <f>IFERROR(__xludf.DUMMYFUNCTION("""COMPUTED_VALUE"""),"630509346271")</f>
        <v>630509346271</v>
      </c>
      <c r="F971">
        <f>IFERROR(__xludf.DUMMYFUNCTION("""COMPUTED_VALUE"""),244.0)</f>
        <v>244</v>
      </c>
      <c r="G971">
        <f>IFERROR(__xludf.DUMMYFUNCTION("""COMPUTED_VALUE"""),1528.0)</f>
        <v>1528</v>
      </c>
      <c r="H971" s="2">
        <f>IFERROR(__xludf.DUMMYFUNCTION("""COMPUTED_VALUE"""),5.5)</f>
        <v>5.5</v>
      </c>
      <c r="I971" s="2">
        <f>IFERROR(__xludf.DUMMYFUNCTION("""COMPUTED_VALUE"""),6.02)</f>
        <v>6.02</v>
      </c>
      <c r="J971" s="2">
        <f>IFERROR(__xludf.DUMMYFUNCTION("""COMPUTED_VALUE"""),0.5199999999999996)</f>
        <v>0.52</v>
      </c>
      <c r="K971" s="5">
        <f>IFERROR(__xludf.DUMMYFUNCTION("""COMPUTED_VALUE"""),0.09454545454545447)</f>
        <v>0.09454545455</v>
      </c>
      <c r="L971">
        <f>IFERROR(__xludf.DUMMYFUNCTION("""COMPUTED_VALUE"""),93339.0)</f>
        <v>93339</v>
      </c>
      <c r="M971" t="str">
        <f>IFERROR(__xludf.DUMMYFUNCTION("""COMPUTED_VALUE"""),"Toy")</f>
        <v>Toy</v>
      </c>
      <c r="O971" t="str">
        <f>IFERROR(__xludf.DUMMYFUNCTION("""COMPUTED_VALUE"""),"Y")</f>
        <v>Y</v>
      </c>
      <c r="P971" s="1" t="str">
        <f>IFERROR(__xludf.DUMMYFUNCTION("""COMPUTED_VALUE"""),"ID 3891")</f>
        <v>ID 3891</v>
      </c>
      <c r="Q971" s="1" t="str">
        <f>IFERROR(__xludf.DUMMYFUNCTION("""COMPUTED_VALUE"""),"B00IGNWYNE")</f>
        <v>B00IGNWYNE</v>
      </c>
    </row>
    <row r="972">
      <c r="A972" s="6">
        <f>IFERROR(__xludf.DUMMYFUNCTION("""COMPUTED_VALUE"""),45358.0)</f>
        <v>45358</v>
      </c>
      <c r="B972">
        <f>IFERROR(__xludf.DUMMYFUNCTION("""COMPUTED_VALUE"""),24999.0)</f>
        <v>24999</v>
      </c>
      <c r="C972" t="str">
        <f>IFERROR(__xludf.DUMMYFUNCTION("""COMPUTED_VALUE"""),"[3-Pack] Disney Minnie Mouse 16.5oz Kids Sullivan Sports Water Bottle, BPA-free, Pink/Blue/Yellow")</f>
        <v>[3-Pack] Disney Minnie Mouse 16.5oz Kids Sullivan Sports Water Bottle, BPA-free, Pink/Blue/Yellow</v>
      </c>
      <c r="D972" t="str">
        <f>IFERROR(__xludf.DUMMYFUNCTION("""COMPUTED_VALUE"""),"B08YD78RR3")</f>
        <v>B08YD78RR3</v>
      </c>
      <c r="E972" t="str">
        <f>IFERROR(__xludf.DUMMYFUNCTION("""COMPUTED_VALUE"""),"707226988708")</f>
        <v>707226988708</v>
      </c>
      <c r="F972">
        <f>IFERROR(__xludf.DUMMYFUNCTION("""COMPUTED_VALUE"""),240.0)</f>
        <v>240</v>
      </c>
      <c r="G972">
        <f>IFERROR(__xludf.DUMMYFUNCTION("""COMPUTED_VALUE"""),1671.0)</f>
        <v>1671</v>
      </c>
      <c r="H972" s="2">
        <f>IFERROR(__xludf.DUMMYFUNCTION("""COMPUTED_VALUE"""),5.25)</f>
        <v>5.25</v>
      </c>
      <c r="I972" s="2">
        <f>IFERROR(__xludf.DUMMYFUNCTION("""COMPUTED_VALUE"""),5.77)</f>
        <v>5.77</v>
      </c>
      <c r="J972" s="2">
        <f>IFERROR(__xludf.DUMMYFUNCTION("""COMPUTED_VALUE"""),0.5199999999999996)</f>
        <v>0.52</v>
      </c>
      <c r="K972" s="5">
        <f>IFERROR(__xludf.DUMMYFUNCTION("""COMPUTED_VALUE"""),0.09904761904761897)</f>
        <v>0.09904761905</v>
      </c>
      <c r="L972">
        <f>IFERROR(__xludf.DUMMYFUNCTION("""COMPUTED_VALUE"""),41060.0)</f>
        <v>41060</v>
      </c>
      <c r="M972" t="str">
        <f>IFERROR(__xludf.DUMMYFUNCTION("""COMPUTED_VALUE"""),"Home Improvement")</f>
        <v>Home Improvement</v>
      </c>
      <c r="N972" t="str">
        <f>IFERROR(__xludf.DUMMYFUNCTION("""COMPUTED_VALUE"""),"UOM: 3 single units. Bundling &amp; other prep buyers responsibility")</f>
        <v>UOM: 3 single units. Bundling &amp; other prep buyers responsibility</v>
      </c>
      <c r="O972" t="str">
        <f>IFERROR(__xludf.DUMMYFUNCTION("""COMPUTED_VALUE"""),"N")</f>
        <v>N</v>
      </c>
      <c r="P972" s="1" t="str">
        <f>IFERROR(__xludf.DUMMYFUNCTION("""COMPUTED_VALUE"""),"ID 24999")</f>
        <v>ID 24999</v>
      </c>
      <c r="Q972" s="1" t="str">
        <f>IFERROR(__xludf.DUMMYFUNCTION("""COMPUTED_VALUE"""),"B08YD78RR3")</f>
        <v>B08YD78RR3</v>
      </c>
    </row>
    <row r="973">
      <c r="A973" s="6">
        <f>IFERROR(__xludf.DUMMYFUNCTION("""COMPUTED_VALUE"""),45323.0)</f>
        <v>45323</v>
      </c>
      <c r="B973">
        <f>IFERROR(__xludf.DUMMYFUNCTION("""COMPUTED_VALUE"""),25421.0)</f>
        <v>25421</v>
      </c>
      <c r="C973" t="str">
        <f>IFERROR(__xludf.DUMMYFUNCTION("""COMPUTED_VALUE"""),"uni-ball ONYX Rollerball Pen, Fine Point (0.7mm), Black, 12 Count")</f>
        <v>uni-ball ONYX Rollerball Pen, Fine Point (0.7mm), Black, 12 Count</v>
      </c>
      <c r="D973" t="str">
        <f>IFERROR(__xludf.DUMMYFUNCTION("""COMPUTED_VALUE"""),"B00006IE8M")</f>
        <v>B00006IE8M</v>
      </c>
      <c r="E973" t="str">
        <f>IFERROR(__xludf.DUMMYFUNCTION("""COMPUTED_VALUE"""),"030246601433")</f>
        <v>030246601433</v>
      </c>
      <c r="F973">
        <f>IFERROR(__xludf.DUMMYFUNCTION("""COMPUTED_VALUE"""),252.0)</f>
        <v>252</v>
      </c>
      <c r="G973">
        <f>IFERROR(__xludf.DUMMYFUNCTION("""COMPUTED_VALUE"""),833.0)</f>
        <v>833</v>
      </c>
      <c r="H973" s="2">
        <f>IFERROR(__xludf.DUMMYFUNCTION("""COMPUTED_VALUE"""),5.25)</f>
        <v>5.25</v>
      </c>
      <c r="I973" s="2">
        <f>IFERROR(__xludf.DUMMYFUNCTION("""COMPUTED_VALUE"""),5.77)</f>
        <v>5.77</v>
      </c>
      <c r="J973" s="2">
        <f>IFERROR(__xludf.DUMMYFUNCTION("""COMPUTED_VALUE"""),0.5199999999999996)</f>
        <v>0.52</v>
      </c>
      <c r="K973" s="5">
        <f>IFERROR(__xludf.DUMMYFUNCTION("""COMPUTED_VALUE"""),0.09904761904761897)</f>
        <v>0.09904761905</v>
      </c>
      <c r="L973">
        <f>IFERROR(__xludf.DUMMYFUNCTION("""COMPUTED_VALUE"""),6903.0)</f>
        <v>6903</v>
      </c>
      <c r="M973" t="str">
        <f>IFERROR(__xludf.DUMMYFUNCTION("""COMPUTED_VALUE"""),"Office Product")</f>
        <v>Office Product</v>
      </c>
      <c r="N973" t="str">
        <f>IFERROR(__xludf.DUMMYFUNCTION("""COMPUTED_VALUE"""),"UOM: 1 box of 12")</f>
        <v>UOM: 1 box of 12</v>
      </c>
      <c r="O973" t="str">
        <f>IFERROR(__xludf.DUMMYFUNCTION("""COMPUTED_VALUE"""),"Y")</f>
        <v>Y</v>
      </c>
      <c r="P973" s="1" t="str">
        <f>IFERROR(__xludf.DUMMYFUNCTION("""COMPUTED_VALUE"""),"ID 25421")</f>
        <v>ID 25421</v>
      </c>
      <c r="Q973" s="1" t="str">
        <f>IFERROR(__xludf.DUMMYFUNCTION("""COMPUTED_VALUE"""),"B00006IE8M")</f>
        <v>B00006IE8M</v>
      </c>
    </row>
    <row r="974">
      <c r="A974" s="6">
        <f>IFERROR(__xludf.DUMMYFUNCTION("""COMPUTED_VALUE"""),45105.0)</f>
        <v>45105</v>
      </c>
      <c r="B974">
        <f>IFERROR(__xludf.DUMMYFUNCTION("""COMPUTED_VALUE"""),18432.0)</f>
        <v>18432</v>
      </c>
      <c r="C974" t="str">
        <f>IFERROR(__xludf.DUMMYFUNCTION("""COMPUTED_VALUE"""),"Pendaflex Blank Inserts for 1/5 Cut Hanging File Folders, 2 in, White, 100/Pack (242)")</f>
        <v>Pendaflex Blank Inserts for 1/5 Cut Hanging File Folders, 2 in, White, 100/Pack (242)</v>
      </c>
      <c r="D974" t="str">
        <f>IFERROR(__xludf.DUMMYFUNCTION("""COMPUTED_VALUE"""),"B009R5JDIY")</f>
        <v>B009R5JDIY</v>
      </c>
      <c r="E974" t="str">
        <f>IFERROR(__xludf.DUMMYFUNCTION("""COMPUTED_VALUE"""),"078787242005")</f>
        <v>078787242005</v>
      </c>
      <c r="F974">
        <f>IFERROR(__xludf.DUMMYFUNCTION("""COMPUTED_VALUE"""),1370.0)</f>
        <v>1370</v>
      </c>
      <c r="G974">
        <f>IFERROR(__xludf.DUMMYFUNCTION("""COMPUTED_VALUE"""),10000.0)</f>
        <v>10000</v>
      </c>
      <c r="H974" s="2">
        <f>IFERROR(__xludf.DUMMYFUNCTION("""COMPUTED_VALUE"""),1.75)</f>
        <v>1.75</v>
      </c>
      <c r="I974" s="2">
        <f>IFERROR(__xludf.DUMMYFUNCTION("""COMPUTED_VALUE"""),2.26)</f>
        <v>2.26</v>
      </c>
      <c r="J974" s="2">
        <f>IFERROR(__xludf.DUMMYFUNCTION("""COMPUTED_VALUE"""),0.5099999999999998)</f>
        <v>0.51</v>
      </c>
      <c r="K974" s="5">
        <f>IFERROR(__xludf.DUMMYFUNCTION("""COMPUTED_VALUE"""),0.2914285714285713)</f>
        <v>0.2914285714</v>
      </c>
      <c r="L974">
        <f>IFERROR(__xludf.DUMMYFUNCTION("""COMPUTED_VALUE"""),18967.0)</f>
        <v>18967</v>
      </c>
      <c r="M974" t="str">
        <f>IFERROR(__xludf.DUMMYFUNCTION("""COMPUTED_VALUE"""),"Office Product")</f>
        <v>Office Product</v>
      </c>
      <c r="O974" t="str">
        <f>IFERROR(__xludf.DUMMYFUNCTION("""COMPUTED_VALUE"""),"N")</f>
        <v>N</v>
      </c>
      <c r="P974" s="1" t="str">
        <f>IFERROR(__xludf.DUMMYFUNCTION("""COMPUTED_VALUE"""),"ID 18432")</f>
        <v>ID 18432</v>
      </c>
      <c r="Q974" s="1" t="str">
        <f>IFERROR(__xludf.DUMMYFUNCTION("""COMPUTED_VALUE"""),"B009R5JDIY")</f>
        <v>B009R5JDIY</v>
      </c>
    </row>
    <row r="975">
      <c r="A975" s="6">
        <f>IFERROR(__xludf.DUMMYFUNCTION("""COMPUTED_VALUE"""),45399.0)</f>
        <v>45399</v>
      </c>
      <c r="B975">
        <f>IFERROR(__xludf.DUMMYFUNCTION("""COMPUTED_VALUE"""),21652.0)</f>
        <v>21652</v>
      </c>
      <c r="C975" t="str">
        <f>IFERROR(__xludf.DUMMYFUNCTION("""COMPUTED_VALUE"""),"Trolls DreamWorks World Tour 192-Page Coloring and Activity Book with Stickers 47362, Bendon")</f>
        <v>Trolls DreamWorks World Tour 192-Page Coloring and Activity Book with Stickers 47362, Bendon</v>
      </c>
      <c r="D975">
        <f>IFERROR(__xludf.DUMMYFUNCTION("""COMPUTED_VALUE"""),1.505087155E9)</f>
        <v>1505087155</v>
      </c>
      <c r="E975" t="str">
        <f>IFERROR(__xludf.DUMMYFUNCTION("""COMPUTED_VALUE"""),"9781505087154")</f>
        <v>9781505087154</v>
      </c>
      <c r="F975">
        <f>IFERROR(__xludf.DUMMYFUNCTION("""COMPUTED_VALUE"""),600.0)</f>
        <v>600</v>
      </c>
      <c r="G975">
        <f>IFERROR(__xludf.DUMMYFUNCTION("""COMPUTED_VALUE"""),9371.0)</f>
        <v>9371</v>
      </c>
      <c r="H975" s="2">
        <f>IFERROR(__xludf.DUMMYFUNCTION("""COMPUTED_VALUE"""),2.25)</f>
        <v>2.25</v>
      </c>
      <c r="I975" s="2">
        <f>IFERROR(__xludf.DUMMYFUNCTION("""COMPUTED_VALUE"""),2.76)</f>
        <v>2.76</v>
      </c>
      <c r="J975" s="2">
        <f>IFERROR(__xludf.DUMMYFUNCTION("""COMPUTED_VALUE"""),0.5099999999999998)</f>
        <v>0.51</v>
      </c>
      <c r="K975" s="5">
        <f>IFERROR(__xludf.DUMMYFUNCTION("""COMPUTED_VALUE"""),0.22666666666666657)</f>
        <v>0.2266666667</v>
      </c>
      <c r="L975">
        <f>IFERROR(__xludf.DUMMYFUNCTION("""COMPUTED_VALUE"""),22685.0)</f>
        <v>22685</v>
      </c>
      <c r="M975" t="str">
        <f>IFERROR(__xludf.DUMMYFUNCTION("""COMPUTED_VALUE"""),"Toy")</f>
        <v>Toy</v>
      </c>
      <c r="O975" t="str">
        <f>IFERROR(__xludf.DUMMYFUNCTION("""COMPUTED_VALUE"""),"N")</f>
        <v>N</v>
      </c>
      <c r="P975" s="1" t="str">
        <f>IFERROR(__xludf.DUMMYFUNCTION("""COMPUTED_VALUE"""),"ID 21652")</f>
        <v>ID 21652</v>
      </c>
      <c r="Q975" s="1">
        <f>IFERROR(__xludf.DUMMYFUNCTION("""COMPUTED_VALUE"""),1.505087155E9)</f>
        <v>1505087155</v>
      </c>
    </row>
    <row r="976">
      <c r="A976" s="6">
        <f>IFERROR(__xludf.DUMMYFUNCTION("""COMPUTED_VALUE"""),45362.0)</f>
        <v>45362</v>
      </c>
      <c r="B976">
        <f>IFERROR(__xludf.DUMMYFUNCTION("""COMPUTED_VALUE"""),7157.0)</f>
        <v>7157</v>
      </c>
      <c r="C976" t="str">
        <f>IFERROR(__xludf.DUMMYFUNCTION("""COMPUTED_VALUE"""),"Hidden Message Word-Finds Set of 2, Volumes may vary (See Seller Comments for Volumes) by Kappa")</f>
        <v>Hidden Message Word-Finds Set of 2, Volumes may vary (See Seller Comments for Volumes) by Kappa</v>
      </c>
      <c r="D976" t="str">
        <f>IFERROR(__xludf.DUMMYFUNCTION("""COMPUTED_VALUE"""),"B00G62AY02")</f>
        <v>B00G62AY02</v>
      </c>
      <c r="E976" t="str">
        <f>IFERROR(__xludf.DUMMYFUNCTION("""COMPUTED_VALUE"""),"088908314009")</f>
        <v>088908314009</v>
      </c>
      <c r="F976">
        <f>IFERROR(__xludf.DUMMYFUNCTION("""COMPUTED_VALUE"""),588.0)</f>
        <v>588</v>
      </c>
      <c r="G976">
        <f>IFERROR(__xludf.DUMMYFUNCTION("""COMPUTED_VALUE"""),713.0)</f>
        <v>713</v>
      </c>
      <c r="H976" s="2">
        <f>IFERROR(__xludf.DUMMYFUNCTION("""COMPUTED_VALUE"""),1.75)</f>
        <v>1.75</v>
      </c>
      <c r="I976" s="2">
        <f>IFERROR(__xludf.DUMMYFUNCTION("""COMPUTED_VALUE"""),2.26)</f>
        <v>2.26</v>
      </c>
      <c r="J976" s="2">
        <f>IFERROR(__xludf.DUMMYFUNCTION("""COMPUTED_VALUE"""),0.5099999999999998)</f>
        <v>0.51</v>
      </c>
      <c r="K976" s="5">
        <f>IFERROR(__xludf.DUMMYFUNCTION("""COMPUTED_VALUE"""),0.2914285714285713)</f>
        <v>0.2914285714</v>
      </c>
      <c r="L976">
        <f>IFERROR(__xludf.DUMMYFUNCTION("""COMPUTED_VALUE"""),73259.0)</f>
        <v>73259</v>
      </c>
      <c r="M976" t="str">
        <f>IFERROR(__xludf.DUMMYFUNCTION("""COMPUTED_VALUE"""),"Toy")</f>
        <v>Toy</v>
      </c>
      <c r="N976" t="str">
        <f>IFERROR(__xludf.DUMMYFUNCTION("""COMPUTED_VALUE"""),"UOM: 2 single units. Bundling &amp; other prep buyers responsibility")</f>
        <v>UOM: 2 single units. Bundling &amp; other prep buyers responsibility</v>
      </c>
      <c r="O976" t="str">
        <f>IFERROR(__xludf.DUMMYFUNCTION("""COMPUTED_VALUE"""),"N")</f>
        <v>N</v>
      </c>
      <c r="P976" s="1" t="str">
        <f>IFERROR(__xludf.DUMMYFUNCTION("""COMPUTED_VALUE"""),"ID 7157")</f>
        <v>ID 7157</v>
      </c>
      <c r="Q976" s="1" t="str">
        <f>IFERROR(__xludf.DUMMYFUNCTION("""COMPUTED_VALUE"""),"B00G62AY02")</f>
        <v>B00G62AY02</v>
      </c>
    </row>
    <row r="977">
      <c r="A977" s="6">
        <f>IFERROR(__xludf.DUMMYFUNCTION("""COMPUTED_VALUE"""),44091.0)</f>
        <v>44091</v>
      </c>
      <c r="B977">
        <f>IFERROR(__xludf.DUMMYFUNCTION("""COMPUTED_VALUE"""),16412.0)</f>
        <v>16412</v>
      </c>
      <c r="C977" t="str">
        <f>IFERROR(__xludf.DUMMYFUNCTION("""COMPUTED_VALUE"""),"Melissa &amp; Doug Spill Proof Paint Cups, Set of 4")</f>
        <v>Melissa &amp; Doug Spill Proof Paint Cups, Set of 4</v>
      </c>
      <c r="D977" t="str">
        <f>IFERROR(__xludf.DUMMYFUNCTION("""COMPUTED_VALUE"""),"B000FAB7I4")</f>
        <v>B000FAB7I4</v>
      </c>
      <c r="E977" t="str">
        <f>IFERROR(__xludf.DUMMYFUNCTION("""COMPUTED_VALUE"""),"772016230")</f>
        <v>772016230</v>
      </c>
      <c r="F977">
        <f>IFERROR(__xludf.DUMMYFUNCTION("""COMPUTED_VALUE"""),312.0)</f>
        <v>312</v>
      </c>
      <c r="G977">
        <f>IFERROR(__xludf.DUMMYFUNCTION("""COMPUTED_VALUE"""),1000.0)</f>
        <v>1000</v>
      </c>
      <c r="H977" s="2">
        <f>IFERROR(__xludf.DUMMYFUNCTION("""COMPUTED_VALUE"""),4.75)</f>
        <v>4.75</v>
      </c>
      <c r="I977" s="2">
        <f>IFERROR(__xludf.DUMMYFUNCTION("""COMPUTED_VALUE"""),5.25)</f>
        <v>5.25</v>
      </c>
      <c r="J977" s="2">
        <f>IFERROR(__xludf.DUMMYFUNCTION("""COMPUTED_VALUE"""),0.5)</f>
        <v>0.5</v>
      </c>
      <c r="K977" s="5">
        <f>IFERROR(__xludf.DUMMYFUNCTION("""COMPUTED_VALUE"""),0.10526315789473684)</f>
        <v>0.1052631579</v>
      </c>
      <c r="L977">
        <f>IFERROR(__xludf.DUMMYFUNCTION("""COMPUTED_VALUE"""),63225.0)</f>
        <v>63225</v>
      </c>
      <c r="M977" t="str">
        <f>IFERROR(__xludf.DUMMYFUNCTION("""COMPUTED_VALUE"""),"Toy")</f>
        <v>Toy</v>
      </c>
      <c r="O977" t="str">
        <f>IFERROR(__xludf.DUMMYFUNCTION("""COMPUTED_VALUE"""),"Y")</f>
        <v>Y</v>
      </c>
      <c r="P977" s="1" t="str">
        <f>IFERROR(__xludf.DUMMYFUNCTION("""COMPUTED_VALUE"""),"ID 16412")</f>
        <v>ID 16412</v>
      </c>
      <c r="Q977" s="1" t="str">
        <f>IFERROR(__xludf.DUMMYFUNCTION("""COMPUTED_VALUE"""),"B000FAB7I4")</f>
        <v>B000FAB7I4</v>
      </c>
    </row>
    <row r="978">
      <c r="A978" s="6">
        <f>IFERROR(__xludf.DUMMYFUNCTION("""COMPUTED_VALUE"""),45376.0)</f>
        <v>45376</v>
      </c>
      <c r="B978">
        <f>IFERROR(__xludf.DUMMYFUNCTION("""COMPUTED_VALUE"""),17057.0)</f>
        <v>17057</v>
      </c>
      <c r="C978" t="str">
        <f>IFERROR(__xludf.DUMMYFUNCTION("""COMPUTED_VALUE"""),"DIXON Dry Erase Markers, Wedge Tip, Pack of 4 Assorted Colors (92140)")</f>
        <v>DIXON Dry Erase Markers, Wedge Tip, Pack of 4 Assorted Colors (92140)</v>
      </c>
      <c r="D978" t="str">
        <f>IFERROR(__xludf.DUMMYFUNCTION("""COMPUTED_VALUE"""),"B000JVTNFS")</f>
        <v>B000JVTNFS</v>
      </c>
      <c r="E978" t="str">
        <f>IFERROR(__xludf.DUMMYFUNCTION("""COMPUTED_VALUE"""),"072067921406")</f>
        <v>072067921406</v>
      </c>
      <c r="F978">
        <f>IFERROR(__xludf.DUMMYFUNCTION("""COMPUTED_VALUE"""),1224.0)</f>
        <v>1224</v>
      </c>
      <c r="G978">
        <f>IFERROR(__xludf.DUMMYFUNCTION("""COMPUTED_VALUE"""),10000.0)</f>
        <v>10000</v>
      </c>
      <c r="H978" s="2">
        <f>IFERROR(__xludf.DUMMYFUNCTION("""COMPUTED_VALUE"""),3.25)</f>
        <v>3.25</v>
      </c>
      <c r="I978" s="2">
        <f>IFERROR(__xludf.DUMMYFUNCTION("""COMPUTED_VALUE"""),3.75)</f>
        <v>3.75</v>
      </c>
      <c r="J978" s="2">
        <f>IFERROR(__xludf.DUMMYFUNCTION("""COMPUTED_VALUE"""),0.5)</f>
        <v>0.5</v>
      </c>
      <c r="K978" s="5">
        <f>IFERROR(__xludf.DUMMYFUNCTION("""COMPUTED_VALUE"""),0.15384615384615385)</f>
        <v>0.1538461538</v>
      </c>
      <c r="L978">
        <f>IFERROR(__xludf.DUMMYFUNCTION("""COMPUTED_VALUE"""),59052.0)</f>
        <v>59052</v>
      </c>
      <c r="M978" t="str">
        <f>IFERROR(__xludf.DUMMYFUNCTION("""COMPUTED_VALUE"""),"BISS Basic")</f>
        <v>BISS Basic</v>
      </c>
      <c r="O978" t="str">
        <f>IFERROR(__xludf.DUMMYFUNCTION("""COMPUTED_VALUE"""),"Y")</f>
        <v>Y</v>
      </c>
      <c r="P978" s="1" t="str">
        <f>IFERROR(__xludf.DUMMYFUNCTION("""COMPUTED_VALUE"""),"ID 17057")</f>
        <v>ID 17057</v>
      </c>
      <c r="Q978" s="1" t="str">
        <f>IFERROR(__xludf.DUMMYFUNCTION("""COMPUTED_VALUE"""),"B000JVTNFS")</f>
        <v>B000JVTNFS</v>
      </c>
    </row>
    <row r="979">
      <c r="A979" s="6">
        <f>IFERROR(__xludf.DUMMYFUNCTION("""COMPUTED_VALUE"""),44497.0)</f>
        <v>44497</v>
      </c>
      <c r="B979">
        <f>IFERROR(__xludf.DUMMYFUNCTION("""COMPUTED_VALUE"""),23006.0)</f>
        <v>23006</v>
      </c>
      <c r="C979" t="str">
        <f>IFERROR(__xludf.DUMMYFUNCTION("""COMPUTED_VALUE"""),"BAZIC Poster Board Glitter Color 11"" X 14"", Sparkling Frame Colored Poster Board Paper for Christmas Wedding Birthday Craft Project (5/Pack), 1-Pack")</f>
        <v>BAZIC Poster Board Glitter Color 11" X 14", Sparkling Frame Colored Poster Board Paper for Christmas Wedding Birthday Craft Project (5/Pack), 1-Pack</v>
      </c>
      <c r="D979" t="str">
        <f>IFERROR(__xludf.DUMMYFUNCTION("""COMPUTED_VALUE"""),"B07TCRK63W")</f>
        <v>B07TCRK63W</v>
      </c>
      <c r="E979" t="str">
        <f>IFERROR(__xludf.DUMMYFUNCTION("""COMPUTED_VALUE"""),"764608054147")</f>
        <v>764608054147</v>
      </c>
      <c r="F979">
        <f>IFERROR(__xludf.DUMMYFUNCTION("""COMPUTED_VALUE"""),2112.0)</f>
        <v>2112</v>
      </c>
      <c r="G979">
        <f>IFERROR(__xludf.DUMMYFUNCTION("""COMPUTED_VALUE"""),5000.0)</f>
        <v>5000</v>
      </c>
      <c r="H979" s="2">
        <f>IFERROR(__xludf.DUMMYFUNCTION("""COMPUTED_VALUE"""),1.25)</f>
        <v>1.25</v>
      </c>
      <c r="I979" s="2">
        <f>IFERROR(__xludf.DUMMYFUNCTION("""COMPUTED_VALUE"""),1.75)</f>
        <v>1.75</v>
      </c>
      <c r="J979" s="2">
        <f>IFERROR(__xludf.DUMMYFUNCTION("""COMPUTED_VALUE"""),0.5)</f>
        <v>0.5</v>
      </c>
      <c r="K979" s="5">
        <f>IFERROR(__xludf.DUMMYFUNCTION("""COMPUTED_VALUE"""),0.4)</f>
        <v>0.4</v>
      </c>
      <c r="L979">
        <f>IFERROR(__xludf.DUMMYFUNCTION("""COMPUTED_VALUE"""),9923.0)</f>
        <v>9923</v>
      </c>
      <c r="M979" t="str">
        <f>IFERROR(__xludf.DUMMYFUNCTION("""COMPUTED_VALUE"""),"Office Product")</f>
        <v>Office Product</v>
      </c>
      <c r="O979" t="str">
        <f>IFERROR(__xludf.DUMMYFUNCTION("""COMPUTED_VALUE"""),"N")</f>
        <v>N</v>
      </c>
      <c r="P979" s="1" t="str">
        <f>IFERROR(__xludf.DUMMYFUNCTION("""COMPUTED_VALUE"""),"ID 23006")</f>
        <v>ID 23006</v>
      </c>
      <c r="Q979" s="1" t="str">
        <f>IFERROR(__xludf.DUMMYFUNCTION("""COMPUTED_VALUE"""),"B07TCRK63W")</f>
        <v>B07TCRK63W</v>
      </c>
    </row>
    <row r="980">
      <c r="A980" s="6">
        <f>IFERROR(__xludf.DUMMYFUNCTION("""COMPUTED_VALUE"""),45376.0)</f>
        <v>45376</v>
      </c>
      <c r="B980">
        <f>IFERROR(__xludf.DUMMYFUNCTION("""COMPUTED_VALUE"""),23278.0)</f>
        <v>23278</v>
      </c>
      <c r="C980" t="str">
        <f>IFERROR(__xludf.DUMMYFUNCTION("""COMPUTED_VALUE"""),"Dixon Industrial Lumber Marking Crayons, 4.5"" x 1/2"" Hex, Pink, 12-Pack (52600)")</f>
        <v>Dixon Industrial Lumber Marking Crayons, 4.5" x 1/2" Hex, Pink, 12-Pack (52600)</v>
      </c>
      <c r="D980" t="str">
        <f>IFERROR(__xludf.DUMMYFUNCTION("""COMPUTED_VALUE"""),"B003D7KNKE")</f>
        <v>B003D7KNKE</v>
      </c>
      <c r="E980" t="str">
        <f>IFERROR(__xludf.DUMMYFUNCTION("""COMPUTED_VALUE"""),"072067526007")</f>
        <v>072067526007</v>
      </c>
      <c r="F980">
        <f>IFERROR(__xludf.DUMMYFUNCTION("""COMPUTED_VALUE"""),552.0)</f>
        <v>552</v>
      </c>
      <c r="G980">
        <f>IFERROR(__xludf.DUMMYFUNCTION("""COMPUTED_VALUE"""),10000.0)</f>
        <v>10000</v>
      </c>
      <c r="H980" s="2">
        <f>IFERROR(__xludf.DUMMYFUNCTION("""COMPUTED_VALUE"""),6.5)</f>
        <v>6.5</v>
      </c>
      <c r="I980" s="2">
        <f>IFERROR(__xludf.DUMMYFUNCTION("""COMPUTED_VALUE"""),7.0)</f>
        <v>7</v>
      </c>
      <c r="J980" s="2">
        <f>IFERROR(__xludf.DUMMYFUNCTION("""COMPUTED_VALUE"""),0.5)</f>
        <v>0.5</v>
      </c>
      <c r="K980" s="5">
        <f>IFERROR(__xludf.DUMMYFUNCTION("""COMPUTED_VALUE"""),0.07692307692307693)</f>
        <v>0.07692307692</v>
      </c>
      <c r="L980">
        <f>IFERROR(__xludf.DUMMYFUNCTION("""COMPUTED_VALUE"""),3734.0)</f>
        <v>3734</v>
      </c>
      <c r="M980" t="str">
        <f>IFERROR(__xludf.DUMMYFUNCTION("""COMPUTED_VALUE"""),"Home Improvement")</f>
        <v>Home Improvement</v>
      </c>
      <c r="O980" t="str">
        <f>IFERROR(__xludf.DUMMYFUNCTION("""COMPUTED_VALUE"""),"N")</f>
        <v>N</v>
      </c>
      <c r="P980" s="1" t="str">
        <f>IFERROR(__xludf.DUMMYFUNCTION("""COMPUTED_VALUE"""),"ID 23278")</f>
        <v>ID 23278</v>
      </c>
      <c r="Q980" s="1" t="str">
        <f>IFERROR(__xludf.DUMMYFUNCTION("""COMPUTED_VALUE"""),"B003D7KNKE")</f>
        <v>B003D7KNKE</v>
      </c>
    </row>
    <row r="981">
      <c r="A981" s="6">
        <f>IFERROR(__xludf.DUMMYFUNCTION("""COMPUTED_VALUE"""),44557.0)</f>
        <v>44557</v>
      </c>
      <c r="B981">
        <f>IFERROR(__xludf.DUMMYFUNCTION("""COMPUTED_VALUE"""),24180.0)</f>
        <v>24180</v>
      </c>
      <c r="C981" t="str">
        <f>IFERROR(__xludf.DUMMYFUNCTION("""COMPUTED_VALUE"""),"Master Manufacturing Fabric Upholstery Repair Kit, Assorted")</f>
        <v>Master Manufacturing Fabric Upholstery Repair Kit, Assorted</v>
      </c>
      <c r="D981" t="str">
        <f>IFERROR(__xludf.DUMMYFUNCTION("""COMPUTED_VALUE"""),"B001E6CUQ6")</f>
        <v>B001E6CUQ6</v>
      </c>
      <c r="E981" t="str">
        <f>IFERROR(__xludf.DUMMYFUNCTION("""COMPUTED_VALUE"""),"34238180753")</f>
        <v>34238180753</v>
      </c>
      <c r="F981">
        <f>IFERROR(__xludf.DUMMYFUNCTION("""COMPUTED_VALUE"""),150.0)</f>
        <v>150</v>
      </c>
      <c r="G981">
        <f>IFERROR(__xludf.DUMMYFUNCTION("""COMPUTED_VALUE"""),1000.0)</f>
        <v>1000</v>
      </c>
      <c r="H981" s="2">
        <f>IFERROR(__xludf.DUMMYFUNCTION("""COMPUTED_VALUE"""),8.75)</f>
        <v>8.75</v>
      </c>
      <c r="I981" s="2">
        <f>IFERROR(__xludf.DUMMYFUNCTION("""COMPUTED_VALUE"""),9.25)</f>
        <v>9.25</v>
      </c>
      <c r="J981" s="2">
        <f>IFERROR(__xludf.DUMMYFUNCTION("""COMPUTED_VALUE"""),0.5)</f>
        <v>0.5</v>
      </c>
      <c r="K981" s="5">
        <f>IFERROR(__xludf.DUMMYFUNCTION("""COMPUTED_VALUE"""),0.05714285714285714)</f>
        <v>0.05714285714</v>
      </c>
      <c r="L981">
        <f>IFERROR(__xludf.DUMMYFUNCTION("""COMPUTED_VALUE"""),29207.0)</f>
        <v>29207</v>
      </c>
      <c r="M981" t="str">
        <f>IFERROR(__xludf.DUMMYFUNCTION("""COMPUTED_VALUE"""),"Furniture")</f>
        <v>Furniture</v>
      </c>
      <c r="O981" t="str">
        <f>IFERROR(__xludf.DUMMYFUNCTION("""COMPUTED_VALUE"""),"Y")</f>
        <v>Y</v>
      </c>
      <c r="P981" s="1" t="str">
        <f>IFERROR(__xludf.DUMMYFUNCTION("""COMPUTED_VALUE"""),"ID 24180")</f>
        <v>ID 24180</v>
      </c>
      <c r="Q981" s="1" t="str">
        <f>IFERROR(__xludf.DUMMYFUNCTION("""COMPUTED_VALUE"""),"B001E6CUQ6")</f>
        <v>B001E6CUQ6</v>
      </c>
    </row>
    <row r="982">
      <c r="A982" s="6">
        <f>IFERROR(__xludf.DUMMYFUNCTION("""COMPUTED_VALUE"""),45390.0)</f>
        <v>45390</v>
      </c>
      <c r="B982">
        <f>IFERROR(__xludf.DUMMYFUNCTION("""COMPUTED_VALUE"""),6278.0)</f>
        <v>6278</v>
      </c>
      <c r="C982" t="str">
        <f>IFERROR(__xludf.DUMMYFUNCTION("""COMPUTED_VALUE"""),"Chef Craft Silicone Spaghetti Pasta Fork Dishwasher Safe Stain Resistant (Orange)")</f>
        <v>Chef Craft Silicone Spaghetti Pasta Fork Dishwasher Safe Stain Resistant (Orange)</v>
      </c>
      <c r="D982" t="str">
        <f>IFERROR(__xludf.DUMMYFUNCTION("""COMPUTED_VALUE"""),"B06Y1NSL7H")</f>
        <v>B06Y1NSL7H</v>
      </c>
      <c r="E982" t="str">
        <f>IFERROR(__xludf.DUMMYFUNCTION("""COMPUTED_VALUE"""),"085455131417")</f>
        <v>085455131417</v>
      </c>
      <c r="F982">
        <f>IFERROR(__xludf.DUMMYFUNCTION("""COMPUTED_VALUE"""),360.0)</f>
        <v>360</v>
      </c>
      <c r="G982">
        <f>IFERROR(__xludf.DUMMYFUNCTION("""COMPUTED_VALUE"""),10000.0)</f>
        <v>10000</v>
      </c>
      <c r="H982" s="2">
        <f>IFERROR(__xludf.DUMMYFUNCTION("""COMPUTED_VALUE"""),2.75)</f>
        <v>2.75</v>
      </c>
      <c r="I982" s="2">
        <f>IFERROR(__xludf.DUMMYFUNCTION("""COMPUTED_VALUE"""),3.24)</f>
        <v>3.24</v>
      </c>
      <c r="J982" s="2">
        <f>IFERROR(__xludf.DUMMYFUNCTION("""COMPUTED_VALUE"""),0.4900000000000002)</f>
        <v>0.49</v>
      </c>
      <c r="K982" s="5">
        <f>IFERROR(__xludf.DUMMYFUNCTION("""COMPUTED_VALUE"""),0.17818181818181825)</f>
        <v>0.1781818182</v>
      </c>
      <c r="L982">
        <f>IFERROR(__xludf.DUMMYFUNCTION("""COMPUTED_VALUE"""),22468.0)</f>
        <v>22468</v>
      </c>
      <c r="M982" t="str">
        <f>IFERROR(__xludf.DUMMYFUNCTION("""COMPUTED_VALUE"""),"Kitchen")</f>
        <v>Kitchen</v>
      </c>
      <c r="O982" t="str">
        <f>IFERROR(__xludf.DUMMYFUNCTION("""COMPUTED_VALUE"""),"Y")</f>
        <v>Y</v>
      </c>
      <c r="P982" s="1" t="str">
        <f>IFERROR(__xludf.DUMMYFUNCTION("""COMPUTED_VALUE"""),"ID 6278")</f>
        <v>ID 6278</v>
      </c>
      <c r="Q982" s="1" t="str">
        <f>IFERROR(__xludf.DUMMYFUNCTION("""COMPUTED_VALUE"""),"B06Y1NSL7H")</f>
        <v>B06Y1NSL7H</v>
      </c>
    </row>
    <row r="983">
      <c r="A983" s="6">
        <f>IFERROR(__xludf.DUMMYFUNCTION("""COMPUTED_VALUE"""),45362.0)</f>
        <v>45362</v>
      </c>
      <c r="B983">
        <f>IFERROR(__xludf.DUMMYFUNCTION("""COMPUTED_VALUE"""),19618.0)</f>
        <v>19618</v>
      </c>
      <c r="C983" t="str">
        <f>IFERROR(__xludf.DUMMYFUNCTION("""COMPUTED_VALUE"""),"Pentel R.S.V.P. RT Colors New Retractable Ballpoint Pen, Medium Line, Black Ink, 6 Pack (BK93CRBP6A)")</f>
        <v>Pentel R.S.V.P. RT Colors New Retractable Ballpoint Pen, Medium Line, Black Ink, 6 Pack (BK93CRBP6A)</v>
      </c>
      <c r="D983" t="str">
        <f>IFERROR(__xludf.DUMMYFUNCTION("""COMPUTED_VALUE"""),"B0042ET0NS")</f>
        <v>B0042ET0NS</v>
      </c>
      <c r="E983" t="str">
        <f>IFERROR(__xludf.DUMMYFUNCTION("""COMPUTED_VALUE"""),"072512240274")</f>
        <v>072512240274</v>
      </c>
      <c r="F983">
        <f>IFERROR(__xludf.DUMMYFUNCTION("""COMPUTED_VALUE"""),360.0)</f>
        <v>360</v>
      </c>
      <c r="G983">
        <f>IFERROR(__xludf.DUMMYFUNCTION("""COMPUTED_VALUE"""),10000.0)</f>
        <v>10000</v>
      </c>
      <c r="H983" s="2">
        <f>IFERROR(__xludf.DUMMYFUNCTION("""COMPUTED_VALUE"""),3.75)</f>
        <v>3.75</v>
      </c>
      <c r="I983" s="2">
        <f>IFERROR(__xludf.DUMMYFUNCTION("""COMPUTED_VALUE"""),4.24)</f>
        <v>4.24</v>
      </c>
      <c r="J983" s="2">
        <f>IFERROR(__xludf.DUMMYFUNCTION("""COMPUTED_VALUE"""),0.4900000000000002)</f>
        <v>0.49</v>
      </c>
      <c r="K983" s="5">
        <f>IFERROR(__xludf.DUMMYFUNCTION("""COMPUTED_VALUE"""),0.13066666666666674)</f>
        <v>0.1306666667</v>
      </c>
      <c r="L983">
        <f>IFERROR(__xludf.DUMMYFUNCTION("""COMPUTED_VALUE"""),23706.0)</f>
        <v>23706</v>
      </c>
      <c r="M983" t="str">
        <f>IFERROR(__xludf.DUMMYFUNCTION("""COMPUTED_VALUE"""),"Office Product")</f>
        <v>Office Product</v>
      </c>
      <c r="O983" t="str">
        <f>IFERROR(__xludf.DUMMYFUNCTION("""COMPUTED_VALUE"""),"Y")</f>
        <v>Y</v>
      </c>
      <c r="P983" s="1" t="str">
        <f>IFERROR(__xludf.DUMMYFUNCTION("""COMPUTED_VALUE"""),"ID 19618")</f>
        <v>ID 19618</v>
      </c>
      <c r="Q983" s="1" t="str">
        <f>IFERROR(__xludf.DUMMYFUNCTION("""COMPUTED_VALUE"""),"B0042ET0NS")</f>
        <v>B0042ET0NS</v>
      </c>
    </row>
    <row r="984">
      <c r="A984" s="6">
        <f>IFERROR(__xludf.DUMMYFUNCTION("""COMPUTED_VALUE"""),45383.0)</f>
        <v>45383</v>
      </c>
      <c r="B984">
        <f>IFERROR(__xludf.DUMMYFUNCTION("""COMPUTED_VALUE"""),20140.0)</f>
        <v>20140</v>
      </c>
      <c r="C984" t="str">
        <f>IFERROR(__xludf.DUMMYFUNCTION("""COMPUTED_VALUE"""),"uni-ball KuruToga Mechanical Pencil, 0.5mm, HB #2, 1 Count")</f>
        <v>uni-ball KuruToga Mechanical Pencil, 0.5mm, HB #2, 1 Count</v>
      </c>
      <c r="D984" t="str">
        <f>IFERROR(__xludf.DUMMYFUNCTION("""COMPUTED_VALUE"""),"B0026ICM1E")</f>
        <v>B0026ICM1E</v>
      </c>
      <c r="E984" t="str">
        <f>IFERROR(__xludf.DUMMYFUNCTION("""COMPUTED_VALUE"""),"030246001325")</f>
        <v>030246001325</v>
      </c>
      <c r="F984">
        <f>IFERROR(__xludf.DUMMYFUNCTION("""COMPUTED_VALUE"""),336.0)</f>
        <v>336</v>
      </c>
      <c r="G984">
        <f>IFERROR(__xludf.DUMMYFUNCTION("""COMPUTED_VALUE"""),10000.0)</f>
        <v>10000</v>
      </c>
      <c r="H984" s="2">
        <f>IFERROR(__xludf.DUMMYFUNCTION("""COMPUTED_VALUE"""),4.0)</f>
        <v>4</v>
      </c>
      <c r="I984" s="2">
        <f>IFERROR(__xludf.DUMMYFUNCTION("""COMPUTED_VALUE"""),4.49)</f>
        <v>4.49</v>
      </c>
      <c r="J984" s="2">
        <f>IFERROR(__xludf.DUMMYFUNCTION("""COMPUTED_VALUE"""),0.4900000000000002)</f>
        <v>0.49</v>
      </c>
      <c r="K984" s="5">
        <f>IFERROR(__xludf.DUMMYFUNCTION("""COMPUTED_VALUE"""),0.12250000000000005)</f>
        <v>0.1225</v>
      </c>
      <c r="L984">
        <f>IFERROR(__xludf.DUMMYFUNCTION("""COMPUTED_VALUE"""),20039.0)</f>
        <v>20039</v>
      </c>
      <c r="M984" t="str">
        <f>IFERROR(__xludf.DUMMYFUNCTION("""COMPUTED_VALUE"""),"Office Product")</f>
        <v>Office Product</v>
      </c>
      <c r="O984" t="str">
        <f>IFERROR(__xludf.DUMMYFUNCTION("""COMPUTED_VALUE"""),"Y")</f>
        <v>Y</v>
      </c>
      <c r="P984" s="1" t="str">
        <f>IFERROR(__xludf.DUMMYFUNCTION("""COMPUTED_VALUE"""),"ID 20140")</f>
        <v>ID 20140</v>
      </c>
      <c r="Q984" s="1" t="str">
        <f>IFERROR(__xludf.DUMMYFUNCTION("""COMPUTED_VALUE"""),"B0026ICM1E")</f>
        <v>B0026ICM1E</v>
      </c>
    </row>
    <row r="985">
      <c r="A985" s="6">
        <f>IFERROR(__xludf.DUMMYFUNCTION("""COMPUTED_VALUE"""),45362.0)</f>
        <v>45362</v>
      </c>
      <c r="B985">
        <f>IFERROR(__xludf.DUMMYFUNCTION("""COMPUTED_VALUE"""),24351.0)</f>
        <v>24351</v>
      </c>
      <c r="C985" t="str">
        <f>IFERROR(__xludf.DUMMYFUNCTION("""COMPUTED_VALUE"""),"Smarties Assorted Flavor Candy Rolls, 5 oz, Pack of 3")</f>
        <v>Smarties Assorted Flavor Candy Rolls, 5 oz, Pack of 3</v>
      </c>
      <c r="D985" t="str">
        <f>IFERROR(__xludf.DUMMYFUNCTION("""COMPUTED_VALUE"""),"B0761P69CN")</f>
        <v>B0761P69CN</v>
      </c>
      <c r="E985" t="str">
        <f>IFERROR(__xludf.DUMMYFUNCTION("""COMPUTED_VALUE"""),"011206005126")</f>
        <v>011206005126</v>
      </c>
      <c r="F985">
        <f>IFERROR(__xludf.DUMMYFUNCTION("""COMPUTED_VALUE"""),352.0)</f>
        <v>352</v>
      </c>
      <c r="G985">
        <f>IFERROR(__xludf.DUMMYFUNCTION("""COMPUTED_VALUE"""),421.0)</f>
        <v>421</v>
      </c>
      <c r="H985" s="2">
        <f>IFERROR(__xludf.DUMMYFUNCTION("""COMPUTED_VALUE"""),3.5)</f>
        <v>3.5</v>
      </c>
      <c r="I985" s="2">
        <f>IFERROR(__xludf.DUMMYFUNCTION("""COMPUTED_VALUE"""),3.99)</f>
        <v>3.99</v>
      </c>
      <c r="J985" s="2">
        <f>IFERROR(__xludf.DUMMYFUNCTION("""COMPUTED_VALUE"""),0.4900000000000002)</f>
        <v>0.49</v>
      </c>
      <c r="K985" s="5">
        <f>IFERROR(__xludf.DUMMYFUNCTION("""COMPUTED_VALUE"""),0.14000000000000007)</f>
        <v>0.14</v>
      </c>
      <c r="L985">
        <f>IFERROR(__xludf.DUMMYFUNCTION("""COMPUTED_VALUE"""),56199.0)</f>
        <v>56199</v>
      </c>
      <c r="M985" t="str">
        <f>IFERROR(__xludf.DUMMYFUNCTION("""COMPUTED_VALUE"""),"Grocery")</f>
        <v>Grocery</v>
      </c>
      <c r="N985" t="str">
        <f>IFERROR(__xludf.DUMMYFUNCTION("""COMPUTED_VALUE"""),"UOM: 3 single units. Bundling &amp; other prep buyers responsibility")</f>
        <v>UOM: 3 single units. Bundling &amp; other prep buyers responsibility</v>
      </c>
      <c r="O985" t="str">
        <f>IFERROR(__xludf.DUMMYFUNCTION("""COMPUTED_VALUE"""),"N")</f>
        <v>N</v>
      </c>
      <c r="P985" s="1" t="str">
        <f>IFERROR(__xludf.DUMMYFUNCTION("""COMPUTED_VALUE"""),"ID 24351")</f>
        <v>ID 24351</v>
      </c>
      <c r="Q985" s="1" t="str">
        <f>IFERROR(__xludf.DUMMYFUNCTION("""COMPUTED_VALUE"""),"B0761P69CN")</f>
        <v>B0761P69CN</v>
      </c>
    </row>
    <row r="986">
      <c r="A986" s="6">
        <f>IFERROR(__xludf.DUMMYFUNCTION("""COMPUTED_VALUE"""),45390.0)</f>
        <v>45390</v>
      </c>
      <c r="B986">
        <f>IFERROR(__xludf.DUMMYFUNCTION("""COMPUTED_VALUE"""),9012.0)</f>
        <v>9012</v>
      </c>
      <c r="C986" t="str">
        <f>IFERROR(__xludf.DUMMYFUNCTION("""COMPUTED_VALUE"""),"Chef Craft 13585 Premium Silicone Tongs, 12, Purple")</f>
        <v>Chef Craft 13585 Premium Silicone Tongs, 12, Purple</v>
      </c>
      <c r="D986" t="str">
        <f>IFERROR(__xludf.DUMMYFUNCTION("""COMPUTED_VALUE"""),"B01BKAUQIO")</f>
        <v>B01BKAUQIO</v>
      </c>
      <c r="E986" t="str">
        <f>IFERROR(__xludf.DUMMYFUNCTION("""COMPUTED_VALUE"""),"085455135859")</f>
        <v>085455135859</v>
      </c>
      <c r="F986">
        <f>IFERROR(__xludf.DUMMYFUNCTION("""COMPUTED_VALUE"""),408.0)</f>
        <v>408</v>
      </c>
      <c r="G986">
        <f>IFERROR(__xludf.DUMMYFUNCTION("""COMPUTED_VALUE"""),10000.0)</f>
        <v>10000</v>
      </c>
      <c r="H986" s="2">
        <f>IFERROR(__xludf.DUMMYFUNCTION("""COMPUTED_VALUE"""),3.25)</f>
        <v>3.25</v>
      </c>
      <c r="I986" s="2">
        <f>IFERROR(__xludf.DUMMYFUNCTION("""COMPUTED_VALUE"""),3.73)</f>
        <v>3.73</v>
      </c>
      <c r="J986" s="2">
        <f>IFERROR(__xludf.DUMMYFUNCTION("""COMPUTED_VALUE"""),0.48)</f>
        <v>0.48</v>
      </c>
      <c r="K986" s="5">
        <f>IFERROR(__xludf.DUMMYFUNCTION("""COMPUTED_VALUE"""),0.14769230769230768)</f>
        <v>0.1476923077</v>
      </c>
      <c r="L986">
        <f>IFERROR(__xludf.DUMMYFUNCTION("""COMPUTED_VALUE"""),34816.0)</f>
        <v>34816</v>
      </c>
      <c r="M986" t="str">
        <f>IFERROR(__xludf.DUMMYFUNCTION("""COMPUTED_VALUE"""),"Kitchen")</f>
        <v>Kitchen</v>
      </c>
      <c r="O986" t="str">
        <f>IFERROR(__xludf.DUMMYFUNCTION("""COMPUTED_VALUE"""),"Y")</f>
        <v>Y</v>
      </c>
      <c r="P986" s="1" t="str">
        <f>IFERROR(__xludf.DUMMYFUNCTION("""COMPUTED_VALUE"""),"ID 9012")</f>
        <v>ID 9012</v>
      </c>
      <c r="Q986" s="1" t="str">
        <f>IFERROR(__xludf.DUMMYFUNCTION("""COMPUTED_VALUE"""),"B01BKAUQIO")</f>
        <v>B01BKAUQIO</v>
      </c>
    </row>
    <row r="987">
      <c r="A987" s="6">
        <f>IFERROR(__xludf.DUMMYFUNCTION("""COMPUTED_VALUE"""),45113.0)</f>
        <v>45113</v>
      </c>
      <c r="B987">
        <f>IFERROR(__xludf.DUMMYFUNCTION("""COMPUTED_VALUE"""),17902.0)</f>
        <v>17902</v>
      </c>
      <c r="C987" t="str">
        <f>IFERROR(__xludf.DUMMYFUNCTION("""COMPUTED_VALUE"""),"Elmer's Carpenter's Color Change Wood Filler, 4 oz., Natural (E912)")</f>
        <v>Elmer's Carpenter's Color Change Wood Filler, 4 oz., Natural (E912)</v>
      </c>
      <c r="D987" t="str">
        <f>IFERROR(__xludf.DUMMYFUNCTION("""COMPUTED_VALUE"""),"B00IZOIW2G")</f>
        <v>B00IZOIW2G</v>
      </c>
      <c r="E987" t="str">
        <f>IFERROR(__xludf.DUMMYFUNCTION("""COMPUTED_VALUE"""),"026000009126")</f>
        <v>026000009126</v>
      </c>
      <c r="F987">
        <f>IFERROR(__xludf.DUMMYFUNCTION("""COMPUTED_VALUE"""),1188.0)</f>
        <v>1188</v>
      </c>
      <c r="G987">
        <f>IFERROR(__xludf.DUMMYFUNCTION("""COMPUTED_VALUE"""),10000.0)</f>
        <v>10000</v>
      </c>
      <c r="H987" s="2">
        <f>IFERROR(__xludf.DUMMYFUNCTION("""COMPUTED_VALUE"""),2.5)</f>
        <v>2.5</v>
      </c>
      <c r="I987" s="2">
        <f>IFERROR(__xludf.DUMMYFUNCTION("""COMPUTED_VALUE"""),2.98)</f>
        <v>2.98</v>
      </c>
      <c r="J987" s="2">
        <f>IFERROR(__xludf.DUMMYFUNCTION("""COMPUTED_VALUE"""),0.48)</f>
        <v>0.48</v>
      </c>
      <c r="K987" s="5">
        <f>IFERROR(__xludf.DUMMYFUNCTION("""COMPUTED_VALUE"""),0.192)</f>
        <v>0.192</v>
      </c>
      <c r="L987">
        <f>IFERROR(__xludf.DUMMYFUNCTION("""COMPUTED_VALUE"""),21457.0)</f>
        <v>21457</v>
      </c>
      <c r="M987" t="str">
        <f>IFERROR(__xludf.DUMMYFUNCTION("""COMPUTED_VALUE"""),"Home")</f>
        <v>Home</v>
      </c>
      <c r="O987" t="str">
        <f>IFERROR(__xludf.DUMMYFUNCTION("""COMPUTED_VALUE"""),"N")</f>
        <v>N</v>
      </c>
      <c r="P987" s="1" t="str">
        <f>IFERROR(__xludf.DUMMYFUNCTION("""COMPUTED_VALUE"""),"ID 17902")</f>
        <v>ID 17902</v>
      </c>
      <c r="Q987" s="1" t="str">
        <f>IFERROR(__xludf.DUMMYFUNCTION("""COMPUTED_VALUE"""),"B00IZOIW2G")</f>
        <v>B00IZOIW2G</v>
      </c>
    </row>
    <row r="988">
      <c r="A988" s="6">
        <f>IFERROR(__xludf.DUMMYFUNCTION("""COMPUTED_VALUE"""),45425.0)</f>
        <v>45425</v>
      </c>
      <c r="B988">
        <f>IFERROR(__xludf.DUMMYFUNCTION("""COMPUTED_VALUE"""),13117.0)</f>
        <v>13117</v>
      </c>
      <c r="C988" t="str">
        <f>IFERROR(__xludf.DUMMYFUNCTION("""COMPUTED_VALUE"""),"Swan Isopropyl Alcohol, 99%, Pint, 16 OZ")</f>
        <v>Swan Isopropyl Alcohol, 99%, Pint, 16 OZ</v>
      </c>
      <c r="D988" t="str">
        <f>IFERROR(__xludf.DUMMYFUNCTION("""COMPUTED_VALUE"""),"B001B5JT8C")</f>
        <v>B001B5JT8C</v>
      </c>
      <c r="E988" t="str">
        <f>IFERROR(__xludf.DUMMYFUNCTION("""COMPUTED_VALUE"""),"308691206108")</f>
        <v>308691206108</v>
      </c>
      <c r="F988">
        <f>IFERROR(__xludf.DUMMYFUNCTION("""COMPUTED_VALUE"""),612.0)</f>
        <v>612</v>
      </c>
      <c r="G988">
        <f>IFERROR(__xludf.DUMMYFUNCTION("""COMPUTED_VALUE"""),3564.0)</f>
        <v>3564</v>
      </c>
      <c r="H988" s="2">
        <f>IFERROR(__xludf.DUMMYFUNCTION("""COMPUTED_VALUE"""),3.0)</f>
        <v>3</v>
      </c>
      <c r="I988" s="2">
        <f>IFERROR(__xludf.DUMMYFUNCTION("""COMPUTED_VALUE"""),3.48)</f>
        <v>3.48</v>
      </c>
      <c r="J988" s="2">
        <f>IFERROR(__xludf.DUMMYFUNCTION("""COMPUTED_VALUE"""),0.48)</f>
        <v>0.48</v>
      </c>
      <c r="K988" s="5">
        <f>IFERROR(__xludf.DUMMYFUNCTION("""COMPUTED_VALUE"""),0.16)</f>
        <v>0.16</v>
      </c>
      <c r="L988">
        <f>IFERROR(__xludf.DUMMYFUNCTION("""COMPUTED_VALUE"""),23427.0)</f>
        <v>23427</v>
      </c>
      <c r="M988" t="str">
        <f>IFERROR(__xludf.DUMMYFUNCTION("""COMPUTED_VALUE"""),"Grocery")</f>
        <v>Grocery</v>
      </c>
      <c r="O988" t="str">
        <f>IFERROR(__xludf.DUMMYFUNCTION("""COMPUTED_VALUE"""),"Y")</f>
        <v>Y</v>
      </c>
      <c r="P988" s="1" t="str">
        <f>IFERROR(__xludf.DUMMYFUNCTION("""COMPUTED_VALUE"""),"ID 13117")</f>
        <v>ID 13117</v>
      </c>
      <c r="Q988" s="1" t="str">
        <f>IFERROR(__xludf.DUMMYFUNCTION("""COMPUTED_VALUE"""),"B001B5JT8C")</f>
        <v>B001B5JT8C</v>
      </c>
    </row>
    <row r="989">
      <c r="A989" s="6">
        <f>IFERROR(__xludf.DUMMYFUNCTION("""COMPUTED_VALUE"""),44433.0)</f>
        <v>44433</v>
      </c>
      <c r="B989">
        <f>IFERROR(__xludf.DUMMYFUNCTION("""COMPUTED_VALUE"""),19564.0)</f>
        <v>19564</v>
      </c>
      <c r="C989" t="str">
        <f>IFERROR(__xludf.DUMMYFUNCTION("""COMPUTED_VALUE"""),"Five Star Loose Leaf Paper, 3 Hole Punched, Reinforced Filler Paper, Wide Ruled, 10-1/2 x 8 inches, 100 Sheets/Pack, 1 Pack (15000)")</f>
        <v>Five Star Loose Leaf Paper, 3 Hole Punched, Reinforced Filler Paper, Wide Ruled, 10-1/2 x 8 inches, 100 Sheets/Pack, 1 Pack (15000)</v>
      </c>
      <c r="D989" t="str">
        <f>IFERROR(__xludf.DUMMYFUNCTION("""COMPUTED_VALUE"""),"B01BLVAP0G")</f>
        <v>B01BLVAP0G</v>
      </c>
      <c r="E989" t="str">
        <f>IFERROR(__xludf.DUMMYFUNCTION("""COMPUTED_VALUE"""),"43100150008")</f>
        <v>43100150008</v>
      </c>
      <c r="F989">
        <f>IFERROR(__xludf.DUMMYFUNCTION("""COMPUTED_VALUE"""),986.0)</f>
        <v>986</v>
      </c>
      <c r="G989">
        <f>IFERROR(__xludf.DUMMYFUNCTION("""COMPUTED_VALUE"""),5000.0)</f>
        <v>5000</v>
      </c>
      <c r="H989" s="2">
        <f>IFERROR(__xludf.DUMMYFUNCTION("""COMPUTED_VALUE"""),2.5)</f>
        <v>2.5</v>
      </c>
      <c r="I989" s="2">
        <f>IFERROR(__xludf.DUMMYFUNCTION("""COMPUTED_VALUE"""),2.98)</f>
        <v>2.98</v>
      </c>
      <c r="J989" s="2">
        <f>IFERROR(__xludf.DUMMYFUNCTION("""COMPUTED_VALUE"""),0.48)</f>
        <v>0.48</v>
      </c>
      <c r="K989" s="5">
        <f>IFERROR(__xludf.DUMMYFUNCTION("""COMPUTED_VALUE"""),0.192)</f>
        <v>0.192</v>
      </c>
      <c r="L989">
        <f>IFERROR(__xludf.DUMMYFUNCTION("""COMPUTED_VALUE"""),98620.0)</f>
        <v>98620</v>
      </c>
      <c r="M989" t="str">
        <f>IFERROR(__xludf.DUMMYFUNCTION("""COMPUTED_VALUE"""),"Office Product")</f>
        <v>Office Product</v>
      </c>
      <c r="N989" t="str">
        <f>IFERROR(__xludf.DUMMYFUNCTION("""COMPUTED_VALUE"""),"ZECM")</f>
        <v>ZECM</v>
      </c>
      <c r="O989" t="str">
        <f>IFERROR(__xludf.DUMMYFUNCTION("""COMPUTED_VALUE"""),"N")</f>
        <v>N</v>
      </c>
      <c r="P989" s="1" t="str">
        <f>IFERROR(__xludf.DUMMYFUNCTION("""COMPUTED_VALUE"""),"ID 19564")</f>
        <v>ID 19564</v>
      </c>
      <c r="Q989" s="1" t="str">
        <f>IFERROR(__xludf.DUMMYFUNCTION("""COMPUTED_VALUE"""),"B01BLVAP0G")</f>
        <v>B01BLVAP0G</v>
      </c>
    </row>
    <row r="990">
      <c r="A990" s="6">
        <f>IFERROR(__xludf.DUMMYFUNCTION("""COMPUTED_VALUE"""),45429.0)</f>
        <v>45429</v>
      </c>
      <c r="B990">
        <f>IFERROR(__xludf.DUMMYFUNCTION("""COMPUTED_VALUE"""),5122.0)</f>
        <v>5122</v>
      </c>
      <c r="C990" t="str">
        <f>IFERROR(__xludf.DUMMYFUNCTION("""COMPUTED_VALUE"""),"Yardley By Yardley English Rose Edt Spray 4.2 Oz (new Packaging)")</f>
        <v>Yardley By Yardley English Rose Edt Spray 4.2 Oz (new Packaging)</v>
      </c>
      <c r="D990" t="str">
        <f>IFERROR(__xludf.DUMMYFUNCTION("""COMPUTED_VALUE"""),"B00V6D7670")</f>
        <v>B00V6D7670</v>
      </c>
      <c r="E990" t="str">
        <f>IFERROR(__xludf.DUMMYFUNCTION("""COMPUTED_VALUE"""),"5060322952109")</f>
        <v>5060322952109</v>
      </c>
      <c r="F990">
        <f>IFERROR(__xludf.DUMMYFUNCTION("""COMPUTED_VALUE"""),200.0)</f>
        <v>200</v>
      </c>
      <c r="G990">
        <f>IFERROR(__xludf.DUMMYFUNCTION("""COMPUTED_VALUE"""),10000.0)</f>
        <v>10000</v>
      </c>
      <c r="H990" s="2">
        <f>IFERROR(__xludf.DUMMYFUNCTION("""COMPUTED_VALUE"""),8.25)</f>
        <v>8.25</v>
      </c>
      <c r="I990" s="2">
        <f>IFERROR(__xludf.DUMMYFUNCTION("""COMPUTED_VALUE"""),8.72)</f>
        <v>8.72</v>
      </c>
      <c r="J990" s="2">
        <f>IFERROR(__xludf.DUMMYFUNCTION("""COMPUTED_VALUE"""),0.47000000000000064)</f>
        <v>0.47</v>
      </c>
      <c r="K990" s="5">
        <f>IFERROR(__xludf.DUMMYFUNCTION("""COMPUTED_VALUE"""),0.056969696969697045)</f>
        <v>0.05696969697</v>
      </c>
      <c r="L990">
        <f>IFERROR(__xludf.DUMMYFUNCTION("""COMPUTED_VALUE"""),29554.0)</f>
        <v>29554</v>
      </c>
      <c r="M990" t="str">
        <f>IFERROR(__xludf.DUMMYFUNCTION("""COMPUTED_VALUE"""),"Beauty")</f>
        <v>Beauty</v>
      </c>
      <c r="O990" t="str">
        <f>IFERROR(__xludf.DUMMYFUNCTION("""COMPUTED_VALUE"""),"N")</f>
        <v>N</v>
      </c>
      <c r="P990" s="1" t="str">
        <f>IFERROR(__xludf.DUMMYFUNCTION("""COMPUTED_VALUE"""),"ID 5122")</f>
        <v>ID 5122</v>
      </c>
      <c r="Q990" s="1" t="str">
        <f>IFERROR(__xludf.DUMMYFUNCTION("""COMPUTED_VALUE"""),"B00V6D7670")</f>
        <v>B00V6D7670</v>
      </c>
    </row>
    <row r="991">
      <c r="A991" s="6">
        <f>IFERROR(__xludf.DUMMYFUNCTION("""COMPUTED_VALUE"""),45160.0)</f>
        <v>45160</v>
      </c>
      <c r="B991">
        <f>IFERROR(__xludf.DUMMYFUNCTION("""COMPUTED_VALUE"""),23641.0)</f>
        <v>23641</v>
      </c>
      <c r="C991" t="str">
        <f>IFERROR(__xludf.DUMMYFUNCTION("""COMPUTED_VALUE"""),"Coty L'aimant Parfum De Toilette Spray, 1.7 Ounce")</f>
        <v>Coty L'aimant Parfum De Toilette Spray, 1.7 Ounce</v>
      </c>
      <c r="D991" t="str">
        <f>IFERROR(__xludf.DUMMYFUNCTION("""COMPUTED_VALUE"""),"B001VD4APQ")</f>
        <v>B001VD4APQ</v>
      </c>
      <c r="E991" t="str">
        <f>IFERROR(__xludf.DUMMYFUNCTION("""COMPUTED_VALUE"""),"5012209042441")</f>
        <v>5012209042441</v>
      </c>
      <c r="F991">
        <f>IFERROR(__xludf.DUMMYFUNCTION("""COMPUTED_VALUE"""),160.0)</f>
        <v>160</v>
      </c>
      <c r="G991">
        <f>IFERROR(__xludf.DUMMYFUNCTION("""COMPUTED_VALUE"""),10000.0)</f>
        <v>10000</v>
      </c>
      <c r="H991" s="2">
        <f>IFERROR(__xludf.DUMMYFUNCTION("""COMPUTED_VALUE"""),7.75)</f>
        <v>7.75</v>
      </c>
      <c r="I991" s="2">
        <f>IFERROR(__xludf.DUMMYFUNCTION("""COMPUTED_VALUE"""),8.22)</f>
        <v>8.22</v>
      </c>
      <c r="J991" s="2">
        <f>IFERROR(__xludf.DUMMYFUNCTION("""COMPUTED_VALUE"""),0.47000000000000064)</f>
        <v>0.47</v>
      </c>
      <c r="K991" s="5">
        <f>IFERROR(__xludf.DUMMYFUNCTION("""COMPUTED_VALUE"""),0.060645161290322665)</f>
        <v>0.06064516129</v>
      </c>
      <c r="L991">
        <f>IFERROR(__xludf.DUMMYFUNCTION("""COMPUTED_VALUE"""),89121.0)</f>
        <v>89121</v>
      </c>
      <c r="M991" t="str">
        <f>IFERROR(__xludf.DUMMYFUNCTION("""COMPUTED_VALUE"""),"Beauty")</f>
        <v>Beauty</v>
      </c>
      <c r="O991" t="str">
        <f>IFERROR(__xludf.DUMMYFUNCTION("""COMPUTED_VALUE"""),"N")</f>
        <v>N</v>
      </c>
      <c r="P991" s="1" t="str">
        <f>IFERROR(__xludf.DUMMYFUNCTION("""COMPUTED_VALUE"""),"ID 23641")</f>
        <v>ID 23641</v>
      </c>
      <c r="Q991" s="1" t="str">
        <f>IFERROR(__xludf.DUMMYFUNCTION("""COMPUTED_VALUE"""),"B001VD4APQ")</f>
        <v>B001VD4APQ</v>
      </c>
    </row>
    <row r="992">
      <c r="A992" s="6">
        <f>IFERROR(__xludf.DUMMYFUNCTION("""COMPUTED_VALUE"""),45429.0)</f>
        <v>45429</v>
      </c>
      <c r="B992">
        <f>IFERROR(__xludf.DUMMYFUNCTION("""COMPUTED_VALUE"""),16738.0)</f>
        <v>16738</v>
      </c>
      <c r="C992" t="str">
        <f>IFERROR(__xludf.DUMMYFUNCTION("""COMPUTED_VALUE"""),"PAUL SEBASTIAN by Paul Sebastian After Shave Balm 4 oz")</f>
        <v>PAUL SEBASTIAN by Paul Sebastian After Shave Balm 4 oz</v>
      </c>
      <c r="D992" t="str">
        <f>IFERROR(__xludf.DUMMYFUNCTION("""COMPUTED_VALUE"""),"B000UI9HC4")</f>
        <v>B000UI9HC4</v>
      </c>
      <c r="E992" t="str">
        <f>IFERROR(__xludf.DUMMYFUNCTION("""COMPUTED_VALUE"""),"0716393029275")</f>
        <v>0716393029275</v>
      </c>
      <c r="F992">
        <f>IFERROR(__xludf.DUMMYFUNCTION("""COMPUTED_VALUE"""),180.0)</f>
        <v>180</v>
      </c>
      <c r="G992">
        <f>IFERROR(__xludf.DUMMYFUNCTION("""COMPUTED_VALUE"""),10000.0)</f>
        <v>10000</v>
      </c>
      <c r="H992" s="2">
        <f>IFERROR(__xludf.DUMMYFUNCTION("""COMPUTED_VALUE"""),7.0)</f>
        <v>7</v>
      </c>
      <c r="I992" s="2">
        <f>IFERROR(__xludf.DUMMYFUNCTION("""COMPUTED_VALUE"""),7.47)</f>
        <v>7.47</v>
      </c>
      <c r="J992" s="2">
        <f>IFERROR(__xludf.DUMMYFUNCTION("""COMPUTED_VALUE"""),0.46999999999999975)</f>
        <v>0.47</v>
      </c>
      <c r="K992" s="5">
        <f>IFERROR(__xludf.DUMMYFUNCTION("""COMPUTED_VALUE"""),0.0671428571428571)</f>
        <v>0.06714285714</v>
      </c>
      <c r="L992">
        <f>IFERROR(__xludf.DUMMYFUNCTION("""COMPUTED_VALUE"""),83004.0)</f>
        <v>83004</v>
      </c>
      <c r="M992" t="str">
        <f>IFERROR(__xludf.DUMMYFUNCTION("""COMPUTED_VALUE"""),"Beauty")</f>
        <v>Beauty</v>
      </c>
      <c r="O992" t="str">
        <f>IFERROR(__xludf.DUMMYFUNCTION("""COMPUTED_VALUE"""),"N")</f>
        <v>N</v>
      </c>
      <c r="P992" s="1" t="str">
        <f>IFERROR(__xludf.DUMMYFUNCTION("""COMPUTED_VALUE"""),"ID 16738")</f>
        <v>ID 16738</v>
      </c>
      <c r="Q992" s="1" t="str">
        <f>IFERROR(__xludf.DUMMYFUNCTION("""COMPUTED_VALUE"""),"B000UI9HC4")</f>
        <v>B000UI9HC4</v>
      </c>
    </row>
    <row r="993">
      <c r="A993" s="6">
        <f>IFERROR(__xludf.DUMMYFUNCTION("""COMPUTED_VALUE"""),45376.0)</f>
        <v>45376</v>
      </c>
      <c r="B993">
        <f>IFERROR(__xludf.DUMMYFUNCTION("""COMPUTED_VALUE"""),22550.0)</f>
        <v>22550</v>
      </c>
      <c r="C993" t="str">
        <f>IFERROR(__xludf.DUMMYFUNCTION("""COMPUTED_VALUE"""),"Fisher-Price Daniel Tiger's Neighborhood Stepstool - Daniel Tiger Themed Toddler Step Stool for Bathroom")</f>
        <v>Fisher-Price Daniel Tiger's Neighborhood Stepstool - Daniel Tiger Themed Toddler Step Stool for Bathroom</v>
      </c>
      <c r="D993" t="str">
        <f>IFERROR(__xludf.DUMMYFUNCTION("""COMPUTED_VALUE"""),"B08GZ5GNLQ")</f>
        <v>B08GZ5GNLQ</v>
      </c>
      <c r="E993" t="str">
        <f>IFERROR(__xludf.DUMMYFUNCTION("""COMPUTED_VALUE"""),"887961903119")</f>
        <v>887961903119</v>
      </c>
      <c r="F993">
        <f>IFERROR(__xludf.DUMMYFUNCTION("""COMPUTED_VALUE"""),204.0)</f>
        <v>204</v>
      </c>
      <c r="G993">
        <f>IFERROR(__xludf.DUMMYFUNCTION("""COMPUTED_VALUE"""),2020.0)</f>
        <v>2020</v>
      </c>
      <c r="H993" s="2">
        <f>IFERROR(__xludf.DUMMYFUNCTION("""COMPUTED_VALUE"""),6.25)</f>
        <v>6.25</v>
      </c>
      <c r="I993" s="2">
        <f>IFERROR(__xludf.DUMMYFUNCTION("""COMPUTED_VALUE"""),6.72)</f>
        <v>6.72</v>
      </c>
      <c r="J993" s="2">
        <f>IFERROR(__xludf.DUMMYFUNCTION("""COMPUTED_VALUE"""),0.46999999999999975)</f>
        <v>0.47</v>
      </c>
      <c r="K993" s="5">
        <f>IFERROR(__xludf.DUMMYFUNCTION("""COMPUTED_VALUE"""),0.07519999999999996)</f>
        <v>0.0752</v>
      </c>
      <c r="L993">
        <f>IFERROR(__xludf.DUMMYFUNCTION("""COMPUTED_VALUE"""),68449.0)</f>
        <v>68449</v>
      </c>
      <c r="M993" t="str">
        <f>IFERROR(__xludf.DUMMYFUNCTION("""COMPUTED_VALUE"""),"Baby Product")</f>
        <v>Baby Product</v>
      </c>
      <c r="O993" t="str">
        <f>IFERROR(__xludf.DUMMYFUNCTION("""COMPUTED_VALUE"""),"N")</f>
        <v>N</v>
      </c>
      <c r="P993" s="1" t="str">
        <f>IFERROR(__xludf.DUMMYFUNCTION("""COMPUTED_VALUE"""),"ID 22550")</f>
        <v>ID 22550</v>
      </c>
      <c r="Q993" s="1" t="str">
        <f>IFERROR(__xludf.DUMMYFUNCTION("""COMPUTED_VALUE"""),"B08GZ5GNLQ")</f>
        <v>B08GZ5GNLQ</v>
      </c>
    </row>
    <row r="994">
      <c r="A994" s="6">
        <f>IFERROR(__xludf.DUMMYFUNCTION("""COMPUTED_VALUE"""),45376.0)</f>
        <v>45376</v>
      </c>
      <c r="B994">
        <f>IFERROR(__xludf.DUMMYFUNCTION("""COMPUTED_VALUE"""),23263.0)</f>
        <v>23263</v>
      </c>
      <c r="C994" t="str">
        <f>IFERROR(__xludf.DUMMYFUNCTION("""COMPUTED_VALUE"""),"U.S. Toy Small Gold Trophies/6-Pc (SS-UST-4295)")</f>
        <v>U.S. Toy Small Gold Trophies/6-Pc (SS-UST-4295)</v>
      </c>
      <c r="D994" t="str">
        <f>IFERROR(__xludf.DUMMYFUNCTION("""COMPUTED_VALUE"""),"B00NVSSSKC")</f>
        <v>B00NVSSSKC</v>
      </c>
      <c r="E994" t="str">
        <f>IFERROR(__xludf.DUMMYFUNCTION("""COMPUTED_VALUE"""),"049392042953")</f>
        <v>049392042953</v>
      </c>
      <c r="F994">
        <f>IFERROR(__xludf.DUMMYFUNCTION("""COMPUTED_VALUE"""),900.0)</f>
        <v>900</v>
      </c>
      <c r="G994">
        <f>IFERROR(__xludf.DUMMYFUNCTION("""COMPUTED_VALUE"""),1478.0)</f>
        <v>1478</v>
      </c>
      <c r="H994" s="2">
        <f>IFERROR(__xludf.DUMMYFUNCTION("""COMPUTED_VALUE"""),1.5)</f>
        <v>1.5</v>
      </c>
      <c r="I994" s="2">
        <f>IFERROR(__xludf.DUMMYFUNCTION("""COMPUTED_VALUE"""),1.97)</f>
        <v>1.97</v>
      </c>
      <c r="J994" s="2">
        <f>IFERROR(__xludf.DUMMYFUNCTION("""COMPUTED_VALUE"""),0.47)</f>
        <v>0.47</v>
      </c>
      <c r="K994" s="5">
        <f>IFERROR(__xludf.DUMMYFUNCTION("""COMPUTED_VALUE"""),0.3133333333333333)</f>
        <v>0.3133333333</v>
      </c>
      <c r="L994">
        <f>IFERROR(__xludf.DUMMYFUNCTION("""COMPUTED_VALUE"""),40877.0)</f>
        <v>40877</v>
      </c>
      <c r="M994" t="str">
        <f>IFERROR(__xludf.DUMMYFUNCTION("""COMPUTED_VALUE"""),"Toy")</f>
        <v>Toy</v>
      </c>
      <c r="O994" t="str">
        <f>IFERROR(__xludf.DUMMYFUNCTION("""COMPUTED_VALUE"""),"Y")</f>
        <v>Y</v>
      </c>
      <c r="P994" s="1" t="str">
        <f>IFERROR(__xludf.DUMMYFUNCTION("""COMPUTED_VALUE"""),"ID 23263")</f>
        <v>ID 23263</v>
      </c>
      <c r="Q994" s="1" t="str">
        <f>IFERROR(__xludf.DUMMYFUNCTION("""COMPUTED_VALUE"""),"B00NVSSSKC")</f>
        <v>B00NVSSSKC</v>
      </c>
    </row>
    <row r="995">
      <c r="A995" s="6">
        <f>IFERROR(__xludf.DUMMYFUNCTION("""COMPUTED_VALUE"""),44214.0)</f>
        <v>44214</v>
      </c>
      <c r="B995">
        <f>IFERROR(__xludf.DUMMYFUNCTION("""COMPUTED_VALUE"""),15666.0)</f>
        <v>15666</v>
      </c>
      <c r="C995" t="str">
        <f>IFERROR(__xludf.DUMMYFUNCTION("""COMPUTED_VALUE"""),"VERSACE BRIGHT CRYSTAL by Gianni Versace (WOMEN) VERSACE BRIGHT CRYSTAL-EDT .17 OZ MINI")</f>
        <v>VERSACE BRIGHT CRYSTAL by Gianni Versace (WOMEN) VERSACE BRIGHT CRYSTAL-EDT .17 OZ MINI</v>
      </c>
      <c r="D995" t="str">
        <f>IFERROR(__xludf.DUMMYFUNCTION("""COMPUTED_VALUE"""),"B07T4269V6")</f>
        <v>B07T4269V6</v>
      </c>
      <c r="E995" t="str">
        <f>IFERROR(__xludf.DUMMYFUNCTION("""COMPUTED_VALUE"""),"8011003993871")</f>
        <v>8011003993871</v>
      </c>
      <c r="F995">
        <f>IFERROR(__xludf.DUMMYFUNCTION("""COMPUTED_VALUE"""),250.0)</f>
        <v>250</v>
      </c>
      <c r="G995">
        <f>IFERROR(__xludf.DUMMYFUNCTION("""COMPUTED_VALUE"""),999.0)</f>
        <v>999</v>
      </c>
      <c r="H995" s="2">
        <f>IFERROR(__xludf.DUMMYFUNCTION("""COMPUTED_VALUE"""),5.0)</f>
        <v>5</v>
      </c>
      <c r="I995" s="2">
        <f>IFERROR(__xludf.DUMMYFUNCTION("""COMPUTED_VALUE"""),5.46)</f>
        <v>5.46</v>
      </c>
      <c r="J995" s="2">
        <f>IFERROR(__xludf.DUMMYFUNCTION("""COMPUTED_VALUE"""),0.45999999999999996)</f>
        <v>0.46</v>
      </c>
      <c r="K995" s="5">
        <f>IFERROR(__xludf.DUMMYFUNCTION("""COMPUTED_VALUE"""),0.092)</f>
        <v>0.092</v>
      </c>
      <c r="L995">
        <f>IFERROR(__xludf.DUMMYFUNCTION("""COMPUTED_VALUE"""),4696.0)</f>
        <v>4696</v>
      </c>
      <c r="M995" t="str">
        <f>IFERROR(__xludf.DUMMYFUNCTION("""COMPUTED_VALUE"""),"Beauty")</f>
        <v>Beauty</v>
      </c>
      <c r="O995" t="str">
        <f>IFERROR(__xludf.DUMMYFUNCTION("""COMPUTED_VALUE"""),"Y")</f>
        <v>Y</v>
      </c>
      <c r="P995" s="1" t="str">
        <f>IFERROR(__xludf.DUMMYFUNCTION("""COMPUTED_VALUE"""),"ID 15666")</f>
        <v>ID 15666</v>
      </c>
      <c r="Q995" s="1" t="str">
        <f>IFERROR(__xludf.DUMMYFUNCTION("""COMPUTED_VALUE"""),"B07T4269V6")</f>
        <v>B07T4269V6</v>
      </c>
    </row>
    <row r="996">
      <c r="A996" s="6">
        <f>IFERROR(__xludf.DUMMYFUNCTION("""COMPUTED_VALUE"""),45169.0)</f>
        <v>45169</v>
      </c>
      <c r="B996">
        <f>IFERROR(__xludf.DUMMYFUNCTION("""COMPUTED_VALUE"""),18075.0)</f>
        <v>18075</v>
      </c>
      <c r="C996" t="str">
        <f>IFERROR(__xludf.DUMMYFUNCTION("""COMPUTED_VALUE"""),"essie Treat Love &amp; Color Nail Polish For Normal To Dry/Brittle Nails, Pep In Your Rep, 0.46 fl. oz.")</f>
        <v>essie Treat Love &amp; Color Nail Polish For Normal To Dry/Brittle Nails, Pep In Your Rep, 0.46 fl. oz.</v>
      </c>
      <c r="D996" t="str">
        <f>IFERROR(__xludf.DUMMYFUNCTION("""COMPUTED_VALUE"""),"B07KYP44G5")</f>
        <v>B07KYP44G5</v>
      </c>
      <c r="E996" t="str">
        <f>IFERROR(__xludf.DUMMYFUNCTION("""COMPUTED_VALUE"""),"95008032566")</f>
        <v>95008032566</v>
      </c>
      <c r="F996">
        <f>IFERROR(__xludf.DUMMYFUNCTION("""COMPUTED_VALUE"""),576.0)</f>
        <v>576</v>
      </c>
      <c r="G996">
        <f>IFERROR(__xludf.DUMMYFUNCTION("""COMPUTED_VALUE"""),1204.0)</f>
        <v>1204</v>
      </c>
      <c r="H996" s="2">
        <f>IFERROR(__xludf.DUMMYFUNCTION("""COMPUTED_VALUE"""),2.25)</f>
        <v>2.25</v>
      </c>
      <c r="I996" s="2">
        <f>IFERROR(__xludf.DUMMYFUNCTION("""COMPUTED_VALUE"""),2.71)</f>
        <v>2.71</v>
      </c>
      <c r="J996" s="2">
        <f>IFERROR(__xludf.DUMMYFUNCTION("""COMPUTED_VALUE"""),0.45999999999999996)</f>
        <v>0.46</v>
      </c>
      <c r="K996" s="5">
        <f>IFERROR(__xludf.DUMMYFUNCTION("""COMPUTED_VALUE"""),0.20444444444444443)</f>
        <v>0.2044444444</v>
      </c>
      <c r="L996">
        <f>IFERROR(__xludf.DUMMYFUNCTION("""COMPUTED_VALUE"""),49544.0)</f>
        <v>49544</v>
      </c>
      <c r="M996" t="str">
        <f>IFERROR(__xludf.DUMMYFUNCTION("""COMPUTED_VALUE"""),"Beauty")</f>
        <v>Beauty</v>
      </c>
      <c r="O996" t="str">
        <f>IFERROR(__xludf.DUMMYFUNCTION("""COMPUTED_VALUE"""),"N")</f>
        <v>N</v>
      </c>
      <c r="P996" s="1" t="str">
        <f>IFERROR(__xludf.DUMMYFUNCTION("""COMPUTED_VALUE"""),"ID 18075")</f>
        <v>ID 18075</v>
      </c>
    </row>
    <row r="997">
      <c r="A997" s="6">
        <f>IFERROR(__xludf.DUMMYFUNCTION("""COMPUTED_VALUE"""),45362.0)</f>
        <v>45362</v>
      </c>
      <c r="B997">
        <f>IFERROR(__xludf.DUMMYFUNCTION("""COMPUTED_VALUE"""),19597.0)</f>
        <v>19597</v>
      </c>
      <c r="C997" t="str">
        <f>IFERROR(__xludf.DUMMYFUNCTION("""COMPUTED_VALUE"""),"Pentel RSVP Super RT Ballpoint Pen, (0.7mm) Fine Line, Blue Ink, 2-Pk - BX477BP2C")</f>
        <v>Pentel RSVP Super RT Ballpoint Pen, (0.7mm) Fine Line, Blue Ink, 2-Pk - BX477BP2C</v>
      </c>
      <c r="D997" t="str">
        <f>IFERROR(__xludf.DUMMYFUNCTION("""COMPUTED_VALUE"""),"B07D4YD41D")</f>
        <v>B07D4YD41D</v>
      </c>
      <c r="E997" t="str">
        <f>IFERROR(__xludf.DUMMYFUNCTION("""COMPUTED_VALUE"""),"072512270493")</f>
        <v>072512270493</v>
      </c>
      <c r="F997">
        <f>IFERROR(__xludf.DUMMYFUNCTION("""COMPUTED_VALUE"""),540.0)</f>
        <v>540</v>
      </c>
      <c r="G997">
        <f>IFERROR(__xludf.DUMMYFUNCTION("""COMPUTED_VALUE"""),10000.0)</f>
        <v>10000</v>
      </c>
      <c r="H997" s="2">
        <f>IFERROR(__xludf.DUMMYFUNCTION("""COMPUTED_VALUE"""),2.0)</f>
        <v>2</v>
      </c>
      <c r="I997" s="2">
        <f>IFERROR(__xludf.DUMMYFUNCTION("""COMPUTED_VALUE"""),2.46)</f>
        <v>2.46</v>
      </c>
      <c r="J997" s="2">
        <f>IFERROR(__xludf.DUMMYFUNCTION("""COMPUTED_VALUE"""),0.45999999999999996)</f>
        <v>0.46</v>
      </c>
      <c r="K997" s="5">
        <f>IFERROR(__xludf.DUMMYFUNCTION("""COMPUTED_VALUE"""),0.22999999999999998)</f>
        <v>0.23</v>
      </c>
      <c r="L997">
        <f>IFERROR(__xludf.DUMMYFUNCTION("""COMPUTED_VALUE"""),2119.0)</f>
        <v>2119</v>
      </c>
      <c r="M997" t="str">
        <f>IFERROR(__xludf.DUMMYFUNCTION("""COMPUTED_VALUE"""),"Office Product")</f>
        <v>Office Product</v>
      </c>
      <c r="O997" t="str">
        <f>IFERROR(__xludf.DUMMYFUNCTION("""COMPUTED_VALUE"""),"N")</f>
        <v>N</v>
      </c>
      <c r="P997" s="1" t="str">
        <f>IFERROR(__xludf.DUMMYFUNCTION("""COMPUTED_VALUE"""),"ID 19597")</f>
        <v>ID 19597</v>
      </c>
    </row>
    <row r="998">
      <c r="A998" s="6">
        <f>IFERROR(__xludf.DUMMYFUNCTION("""COMPUTED_VALUE"""),45299.0)</f>
        <v>45299</v>
      </c>
      <c r="B998">
        <f>IFERROR(__xludf.DUMMYFUNCTION("""COMPUTED_VALUE"""),5545.0)</f>
        <v>5545</v>
      </c>
      <c r="C998" t="str">
        <f>IFERROR(__xludf.DUMMYFUNCTION("""COMPUTED_VALUE"""),"Chef Craft 13030, 11, Red")</f>
        <v>Chef Craft 13030, 11, Red</v>
      </c>
      <c r="D998" t="str">
        <f>IFERROR(__xludf.DUMMYFUNCTION("""COMPUTED_VALUE"""),"B01BKAU5V2")</f>
        <v>B01BKAU5V2</v>
      </c>
      <c r="E998" t="str">
        <f>IFERROR(__xludf.DUMMYFUNCTION("""COMPUTED_VALUE"""),"085455130304")</f>
        <v>085455130304</v>
      </c>
      <c r="F998">
        <f>IFERROR(__xludf.DUMMYFUNCTION("""COMPUTED_VALUE"""),480.0)</f>
        <v>480</v>
      </c>
      <c r="G998">
        <f>IFERROR(__xludf.DUMMYFUNCTION("""COMPUTED_VALUE"""),10000.0)</f>
        <v>10000</v>
      </c>
      <c r="H998" s="2">
        <f>IFERROR(__xludf.DUMMYFUNCTION("""COMPUTED_VALUE"""),2.75)</f>
        <v>2.75</v>
      </c>
      <c r="I998" s="2">
        <f>IFERROR(__xludf.DUMMYFUNCTION("""COMPUTED_VALUE"""),3.2)</f>
        <v>3.2</v>
      </c>
      <c r="J998" s="2">
        <f>IFERROR(__xludf.DUMMYFUNCTION("""COMPUTED_VALUE"""),0.4500000000000002)</f>
        <v>0.45</v>
      </c>
      <c r="K998" s="5">
        <f>IFERROR(__xludf.DUMMYFUNCTION("""COMPUTED_VALUE"""),0.1636363636363637)</f>
        <v>0.1636363636</v>
      </c>
      <c r="L998">
        <f>IFERROR(__xludf.DUMMYFUNCTION("""COMPUTED_VALUE"""),51597.0)</f>
        <v>51597</v>
      </c>
      <c r="M998" t="str">
        <f>IFERROR(__xludf.DUMMYFUNCTION("""COMPUTED_VALUE"""),"Kitchen")</f>
        <v>Kitchen</v>
      </c>
      <c r="O998" t="str">
        <f>IFERROR(__xludf.DUMMYFUNCTION("""COMPUTED_VALUE"""),"Y")</f>
        <v>Y</v>
      </c>
      <c r="P998" s="1" t="str">
        <f>IFERROR(__xludf.DUMMYFUNCTION("""COMPUTED_VALUE"""),"ID 5545")</f>
        <v>ID 5545</v>
      </c>
    </row>
    <row r="999">
      <c r="A999" s="6">
        <f>IFERROR(__xludf.DUMMYFUNCTION("""COMPUTED_VALUE"""),45390.0)</f>
        <v>45390</v>
      </c>
      <c r="B999">
        <f>IFERROR(__xludf.DUMMYFUNCTION("""COMPUTED_VALUE"""),14767.0)</f>
        <v>14767</v>
      </c>
      <c r="C999" t="str">
        <f>IFERROR(__xludf.DUMMYFUNCTION("""COMPUTED_VALUE"""),"Chef Craft Select Nylon Spaghetti/Pasta Fork, 12.5"", Red")</f>
        <v>Chef Craft Select Nylon Spaghetti/Pasta Fork, 12.5", Red</v>
      </c>
      <c r="D999" t="str">
        <f>IFERROR(__xludf.DUMMYFUNCTION("""COMPUTED_VALUE"""),"B00LDWFHUM")</f>
        <v>B00LDWFHUM</v>
      </c>
      <c r="E999" t="str">
        <f>IFERROR(__xludf.DUMMYFUNCTION("""COMPUTED_VALUE"""),"085455121418")</f>
        <v>085455121418</v>
      </c>
      <c r="F999">
        <f>IFERROR(__xludf.DUMMYFUNCTION("""COMPUTED_VALUE"""),864.0)</f>
        <v>864</v>
      </c>
      <c r="G999">
        <f>IFERROR(__xludf.DUMMYFUNCTION("""COMPUTED_VALUE"""),10000.0)</f>
        <v>10000</v>
      </c>
      <c r="H999" s="2">
        <f>IFERROR(__xludf.DUMMYFUNCTION("""COMPUTED_VALUE"""),1.25)</f>
        <v>1.25</v>
      </c>
      <c r="I999" s="2">
        <f>IFERROR(__xludf.DUMMYFUNCTION("""COMPUTED_VALUE"""),1.7)</f>
        <v>1.7</v>
      </c>
      <c r="J999" s="2">
        <f>IFERROR(__xludf.DUMMYFUNCTION("""COMPUTED_VALUE"""),0.44999999999999996)</f>
        <v>0.45</v>
      </c>
      <c r="K999" s="5">
        <f>IFERROR(__xludf.DUMMYFUNCTION("""COMPUTED_VALUE"""),0.36)</f>
        <v>0.36</v>
      </c>
      <c r="L999">
        <f>IFERROR(__xludf.DUMMYFUNCTION("""COMPUTED_VALUE"""),71075.0)</f>
        <v>71075</v>
      </c>
      <c r="M999" t="str">
        <f>IFERROR(__xludf.DUMMYFUNCTION("""COMPUTED_VALUE"""),"Kitchen")</f>
        <v>Kitchen</v>
      </c>
      <c r="O999" t="str">
        <f>IFERROR(__xludf.DUMMYFUNCTION("""COMPUTED_VALUE"""),"Y")</f>
        <v>Y</v>
      </c>
      <c r="P999" s="1" t="str">
        <f>IFERROR(__xludf.DUMMYFUNCTION("""COMPUTED_VALUE"""),"ID 14767")</f>
        <v>ID 14767</v>
      </c>
    </row>
    <row r="1000">
      <c r="A1000" s="6">
        <f>IFERROR(__xludf.DUMMYFUNCTION("""COMPUTED_VALUE"""),45250.0)</f>
        <v>45250</v>
      </c>
      <c r="B1000">
        <f>IFERROR(__xludf.DUMMYFUNCTION("""COMPUTED_VALUE"""),3601.0)</f>
        <v>3601</v>
      </c>
      <c r="C1000" t="str">
        <f>IFERROR(__xludf.DUMMYFUNCTION("""COMPUTED_VALUE"""),"Multi-Color Rope Dog Toy 4 piece Set")</f>
        <v>Multi-Color Rope Dog Toy 4 piece Set</v>
      </c>
      <c r="D1000" t="str">
        <f>IFERROR(__xludf.DUMMYFUNCTION("""COMPUTED_VALUE"""),"B071WXSN9P")</f>
        <v>B071WXSN9P</v>
      </c>
      <c r="E1000" t="str">
        <f>IFERROR(__xludf.DUMMYFUNCTION("""COMPUTED_VALUE"""),"731015240876")</f>
        <v>731015240876</v>
      </c>
      <c r="F1000">
        <f>IFERROR(__xludf.DUMMYFUNCTION("""COMPUTED_VALUE"""),720.0)</f>
        <v>720</v>
      </c>
      <c r="G1000">
        <f>IFERROR(__xludf.DUMMYFUNCTION("""COMPUTED_VALUE"""),5737.0)</f>
        <v>5737</v>
      </c>
      <c r="H1000" s="2">
        <f>IFERROR(__xludf.DUMMYFUNCTION("""COMPUTED_VALUE"""),1.5)</f>
        <v>1.5</v>
      </c>
      <c r="I1000" s="2">
        <f>IFERROR(__xludf.DUMMYFUNCTION("""COMPUTED_VALUE"""),1.95)</f>
        <v>1.95</v>
      </c>
      <c r="J1000" s="2">
        <f>IFERROR(__xludf.DUMMYFUNCTION("""COMPUTED_VALUE"""),0.44999999999999996)</f>
        <v>0.45</v>
      </c>
      <c r="K1000" s="5">
        <f>IFERROR(__xludf.DUMMYFUNCTION("""COMPUTED_VALUE"""),0.3)</f>
        <v>0.3</v>
      </c>
      <c r="L1000">
        <f>IFERROR(__xludf.DUMMYFUNCTION("""COMPUTED_VALUE"""),92457.0)</f>
        <v>92457</v>
      </c>
      <c r="M1000" t="str">
        <f>IFERROR(__xludf.DUMMYFUNCTION("""COMPUTED_VALUE"""),"Pet Products")</f>
        <v>Pet Products</v>
      </c>
      <c r="O1000" t="str">
        <f>IFERROR(__xludf.DUMMYFUNCTION("""COMPUTED_VALUE"""),"N")</f>
        <v>N</v>
      </c>
      <c r="P1000" s="1" t="str">
        <f>IFERROR(__xludf.DUMMYFUNCTION("""COMPUTED_VALUE"""),"ID 3601")</f>
        <v>ID 3601</v>
      </c>
    </row>
    <row r="1001">
      <c r="A1001" s="6">
        <f>IFERROR(__xludf.DUMMYFUNCTION("""COMPUTED_VALUE"""),44537.0)</f>
        <v>44537</v>
      </c>
      <c r="B1001">
        <f>IFERROR(__xludf.DUMMYFUNCTION("""COMPUTED_VALUE"""),20224.0)</f>
        <v>20224</v>
      </c>
      <c r="C1001" t="str">
        <f>IFERROR(__xludf.DUMMYFUNCTION("""COMPUTED_VALUE"""),"Giorgio by Giorgio Beverly Hills for Men, Eau De Toilette Spray, 4-Ounce")</f>
        <v>Giorgio by Giorgio Beverly Hills for Men, Eau De Toilette Spray, 4-Ounce</v>
      </c>
      <c r="D1001" t="str">
        <f>IFERROR(__xludf.DUMMYFUNCTION("""COMPUTED_VALUE"""),"B001FWXFVS")</f>
        <v>B001FWXFVS</v>
      </c>
      <c r="E1001" t="str">
        <f>IFERROR(__xludf.DUMMYFUNCTION("""COMPUTED_VALUE"""),"719346536325")</f>
        <v>719346536325</v>
      </c>
      <c r="F1001">
        <f>IFERROR(__xludf.DUMMYFUNCTION("""COMPUTED_VALUE"""),100.0)</f>
        <v>100</v>
      </c>
      <c r="G1001">
        <f>IFERROR(__xludf.DUMMYFUNCTION("""COMPUTED_VALUE"""),1000.0)</f>
        <v>1000</v>
      </c>
      <c r="H1001" s="2">
        <f>IFERROR(__xludf.DUMMYFUNCTION("""COMPUTED_VALUE"""),12.75)</f>
        <v>12.75</v>
      </c>
      <c r="I1001" s="2">
        <f>IFERROR(__xludf.DUMMYFUNCTION("""COMPUTED_VALUE"""),13.2)</f>
        <v>13.2</v>
      </c>
      <c r="J1001" s="2">
        <f>IFERROR(__xludf.DUMMYFUNCTION("""COMPUTED_VALUE"""),0.4499999999999993)</f>
        <v>0.45</v>
      </c>
      <c r="K1001" s="5">
        <f>IFERROR(__xludf.DUMMYFUNCTION("""COMPUTED_VALUE"""),0.03529411764705877)</f>
        <v>0.03529411765</v>
      </c>
      <c r="L1001">
        <f>IFERROR(__xludf.DUMMYFUNCTION("""COMPUTED_VALUE"""),83816.0)</f>
        <v>83816</v>
      </c>
      <c r="M1001" t="str">
        <f>IFERROR(__xludf.DUMMYFUNCTION("""COMPUTED_VALUE"""),"Beauty")</f>
        <v>Beauty</v>
      </c>
      <c r="O1001" t="str">
        <f>IFERROR(__xludf.DUMMYFUNCTION("""COMPUTED_VALUE"""),"N")</f>
        <v>N</v>
      </c>
      <c r="P1001" s="1" t="str">
        <f>IFERROR(__xludf.DUMMYFUNCTION("""COMPUTED_VALUE"""),"ID 20224")</f>
        <v>ID 20224</v>
      </c>
    </row>
    <row r="1002">
      <c r="A1002" s="6">
        <f>IFERROR(__xludf.DUMMYFUNCTION("""COMPUTED_VALUE"""),45357.0)</f>
        <v>45357</v>
      </c>
      <c r="B1002">
        <f>IFERROR(__xludf.DUMMYFUNCTION("""COMPUTED_VALUE"""),22357.0)</f>
        <v>22357</v>
      </c>
      <c r="C1002" t="str">
        <f>IFERROR(__xludf.DUMMYFUNCTION("""COMPUTED_VALUE"""),"PILOT EasyTouch Refillable &amp; Retractable Ballpoint Pens, Fine Point, Black Ink, 36-Pack Tub (54058)")</f>
        <v>PILOT EasyTouch Refillable &amp; Retractable Ballpoint Pens, Fine Point, Black Ink, 36-Pack Tub (54058)</v>
      </c>
      <c r="D1002" t="str">
        <f>IFERROR(__xludf.DUMMYFUNCTION("""COMPUTED_VALUE"""),"B084HG9WMJ")</f>
        <v>B084HG9WMJ</v>
      </c>
      <c r="E1002" t="str">
        <f>IFERROR(__xludf.DUMMYFUNCTION("""COMPUTED_VALUE"""),"072838540584")</f>
        <v>072838540584</v>
      </c>
      <c r="F1002">
        <f>IFERROR(__xludf.DUMMYFUNCTION("""COMPUTED_VALUE"""),55.0)</f>
        <v>55</v>
      </c>
      <c r="G1002">
        <f>IFERROR(__xludf.DUMMYFUNCTION("""COMPUTED_VALUE"""),10000.0)</f>
        <v>10000</v>
      </c>
      <c r="H1002" s="2">
        <f>IFERROR(__xludf.DUMMYFUNCTION("""COMPUTED_VALUE"""),24.0)</f>
        <v>24</v>
      </c>
      <c r="I1002" s="2">
        <f>IFERROR(__xludf.DUMMYFUNCTION("""COMPUTED_VALUE"""),24.45)</f>
        <v>24.45</v>
      </c>
      <c r="J1002" s="2">
        <f>IFERROR(__xludf.DUMMYFUNCTION("""COMPUTED_VALUE"""),0.4499999999999993)</f>
        <v>0.45</v>
      </c>
      <c r="K1002" s="5">
        <f>IFERROR(__xludf.DUMMYFUNCTION("""COMPUTED_VALUE"""),0.01874999999999997)</f>
        <v>0.01875</v>
      </c>
      <c r="L1002">
        <f>IFERROR(__xludf.DUMMYFUNCTION("""COMPUTED_VALUE"""),43139.0)</f>
        <v>43139</v>
      </c>
      <c r="M1002" t="str">
        <f>IFERROR(__xludf.DUMMYFUNCTION("""COMPUTED_VALUE"""),"Office Product")</f>
        <v>Office Product</v>
      </c>
      <c r="O1002" t="str">
        <f>IFERROR(__xludf.DUMMYFUNCTION("""COMPUTED_VALUE"""),"Y")</f>
        <v>Y</v>
      </c>
      <c r="P1002" s="1" t="str">
        <f>IFERROR(__xludf.DUMMYFUNCTION("""COMPUTED_VALUE"""),"ID 22357")</f>
        <v>ID 22357</v>
      </c>
    </row>
    <row r="1003">
      <c r="A1003" s="6">
        <f>IFERROR(__xludf.DUMMYFUNCTION("""COMPUTED_VALUE"""),45166.0)</f>
        <v>45166</v>
      </c>
      <c r="B1003">
        <f>IFERROR(__xludf.DUMMYFUNCTION("""COMPUTED_VALUE"""),22442.0)</f>
        <v>22442</v>
      </c>
      <c r="C1003" t="str">
        <f>IFERROR(__xludf.DUMMYFUNCTION("""COMPUTED_VALUE"""),"Cardinal Performer 3-Ring Binder, 2"", Non-Locking Slant-D Rings, 540-Sheet Capacity, ClearVue Presentation Binder, Nonstick, PVC-Free, Black (17501CB)")</f>
        <v>Cardinal Performer 3-Ring Binder, 2", Non-Locking Slant-D Rings, 540-Sheet Capacity, ClearVue Presentation Binder, Nonstick, PVC-Free, Black (17501CB)</v>
      </c>
      <c r="D1003" t="str">
        <f>IFERROR(__xludf.DUMMYFUNCTION("""COMPUTED_VALUE"""),"B0006SV5CI")</f>
        <v>B0006SV5CI</v>
      </c>
      <c r="E1003" t="str">
        <f>IFERROR(__xludf.DUMMYFUNCTION("""COMPUTED_VALUE"""),"083086175015")</f>
        <v>083086175015</v>
      </c>
      <c r="F1003">
        <f>IFERROR(__xludf.DUMMYFUNCTION("""COMPUTED_VALUE"""),280.0)</f>
        <v>280</v>
      </c>
      <c r="G1003">
        <f>IFERROR(__xludf.DUMMYFUNCTION("""COMPUTED_VALUE"""),10000.0)</f>
        <v>10000</v>
      </c>
      <c r="H1003" s="2">
        <f>IFERROR(__xludf.DUMMYFUNCTION("""COMPUTED_VALUE"""),8.75)</f>
        <v>8.75</v>
      </c>
      <c r="I1003" s="2">
        <f>IFERROR(__xludf.DUMMYFUNCTION("""COMPUTED_VALUE"""),9.2)</f>
        <v>9.2</v>
      </c>
      <c r="J1003" s="2">
        <f>IFERROR(__xludf.DUMMYFUNCTION("""COMPUTED_VALUE"""),0.4499999999999993)</f>
        <v>0.45</v>
      </c>
      <c r="K1003" s="5">
        <f>IFERROR(__xludf.DUMMYFUNCTION("""COMPUTED_VALUE"""),0.051428571428571344)</f>
        <v>0.05142857143</v>
      </c>
      <c r="L1003">
        <f>IFERROR(__xludf.DUMMYFUNCTION("""COMPUTED_VALUE"""),27049.0)</f>
        <v>27049</v>
      </c>
      <c r="M1003" t="str">
        <f>IFERROR(__xludf.DUMMYFUNCTION("""COMPUTED_VALUE"""),"Office Product")</f>
        <v>Office Product</v>
      </c>
      <c r="N1003"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003" t="str">
        <f>IFERROR(__xludf.DUMMYFUNCTION("""COMPUTED_VALUE"""),"N")</f>
        <v>N</v>
      </c>
      <c r="P1003" s="1" t="str">
        <f>IFERROR(__xludf.DUMMYFUNCTION("""COMPUTED_VALUE"""),"ID 22442")</f>
        <v>ID 22442</v>
      </c>
    </row>
    <row r="1004">
      <c r="A1004" s="6">
        <f>IFERROR(__xludf.DUMMYFUNCTION("""COMPUTED_VALUE"""),44165.0)</f>
        <v>44165</v>
      </c>
      <c r="B1004">
        <f>IFERROR(__xludf.DUMMYFUNCTION("""COMPUTED_VALUE"""),11526.0)</f>
        <v>11526</v>
      </c>
      <c r="C1004" t="str">
        <f>IFERROR(__xludf.DUMMYFUNCTION("""COMPUTED_VALUE"""),"Good Cook 3-Piece Plastic Mixing Bowl Set")</f>
        <v>Good Cook 3-Piece Plastic Mixing Bowl Set</v>
      </c>
      <c r="D1004" t="str">
        <f>IFERROR(__xludf.DUMMYFUNCTION("""COMPUTED_VALUE"""),"B0028LZ1K8")</f>
        <v>B0028LZ1K8</v>
      </c>
      <c r="E1004" t="str">
        <f>IFERROR(__xludf.DUMMYFUNCTION("""COMPUTED_VALUE"""),"76753116206")</f>
        <v>76753116206</v>
      </c>
      <c r="F1004">
        <f>IFERROR(__xludf.DUMMYFUNCTION("""COMPUTED_VALUE"""),404.0)</f>
        <v>404</v>
      </c>
      <c r="G1004">
        <f>IFERROR(__xludf.DUMMYFUNCTION("""COMPUTED_VALUE"""),800.0)</f>
        <v>800</v>
      </c>
      <c r="H1004" s="2">
        <f>IFERROR(__xludf.DUMMYFUNCTION("""COMPUTED_VALUE"""),4.5)</f>
        <v>4.5</v>
      </c>
      <c r="I1004" s="2">
        <f>IFERROR(__xludf.DUMMYFUNCTION("""COMPUTED_VALUE"""),4.94)</f>
        <v>4.94</v>
      </c>
      <c r="J1004" s="2">
        <f>IFERROR(__xludf.DUMMYFUNCTION("""COMPUTED_VALUE"""),0.4400000000000004)</f>
        <v>0.44</v>
      </c>
      <c r="K1004" s="5">
        <f>IFERROR(__xludf.DUMMYFUNCTION("""COMPUTED_VALUE"""),0.09777777777777787)</f>
        <v>0.09777777778</v>
      </c>
      <c r="L1004">
        <f>IFERROR(__xludf.DUMMYFUNCTION("""COMPUTED_VALUE"""),55954.0)</f>
        <v>55954</v>
      </c>
      <c r="M1004" t="str">
        <f>IFERROR(__xludf.DUMMYFUNCTION("""COMPUTED_VALUE"""),"Kitchen")</f>
        <v>Kitchen</v>
      </c>
      <c r="O1004" t="str">
        <f>IFERROR(__xludf.DUMMYFUNCTION("""COMPUTED_VALUE"""),"N")</f>
        <v>N</v>
      </c>
      <c r="P1004" s="1" t="str">
        <f>IFERROR(__xludf.DUMMYFUNCTION("""COMPUTED_VALUE"""),"ID 11526")</f>
        <v>ID 11526</v>
      </c>
    </row>
    <row r="1005">
      <c r="A1005" s="6">
        <f>IFERROR(__xludf.DUMMYFUNCTION("""COMPUTED_VALUE"""),45009.0)</f>
        <v>45009</v>
      </c>
      <c r="B1005">
        <f>IFERROR(__xludf.DUMMYFUNCTION("""COMPUTED_VALUE"""),12669.0)</f>
        <v>12669</v>
      </c>
      <c r="C1005" t="str">
        <f>IFERROR(__xludf.DUMMYFUNCTION("""COMPUTED_VALUE"""),"Stanley Hand Tools GS10DT Mini Dualmelt Glue Sticks 24 Count")</f>
        <v>Stanley Hand Tools GS10DT Mini Dualmelt Glue Sticks 24 Count</v>
      </c>
      <c r="D1005" t="str">
        <f>IFERROR(__xludf.DUMMYFUNCTION("""COMPUTED_VALUE"""),"B00KHIMW92")</f>
        <v>B00KHIMW92</v>
      </c>
      <c r="E1005" t="str">
        <f>IFERROR(__xludf.DUMMYFUNCTION("""COMPUTED_VALUE"""),"45731131401")</f>
        <v>45731131401</v>
      </c>
      <c r="F1005">
        <f>IFERROR(__xludf.DUMMYFUNCTION("""COMPUTED_VALUE"""),480.0)</f>
        <v>480</v>
      </c>
      <c r="G1005">
        <f>IFERROR(__xludf.DUMMYFUNCTION("""COMPUTED_VALUE"""),5000.0)</f>
        <v>5000</v>
      </c>
      <c r="H1005" s="2">
        <f>IFERROR(__xludf.DUMMYFUNCTION("""COMPUTED_VALUE"""),3.0)</f>
        <v>3</v>
      </c>
      <c r="I1005" s="2">
        <f>IFERROR(__xludf.DUMMYFUNCTION("""COMPUTED_VALUE"""),3.44)</f>
        <v>3.44</v>
      </c>
      <c r="J1005" s="2">
        <f>IFERROR(__xludf.DUMMYFUNCTION("""COMPUTED_VALUE"""),0.43999999999999995)</f>
        <v>0.44</v>
      </c>
      <c r="K1005" s="5">
        <f>IFERROR(__xludf.DUMMYFUNCTION("""COMPUTED_VALUE"""),0.14666666666666664)</f>
        <v>0.1466666667</v>
      </c>
      <c r="L1005">
        <f>IFERROR(__xludf.DUMMYFUNCTION("""COMPUTED_VALUE"""),48778.0)</f>
        <v>48778</v>
      </c>
      <c r="M1005" t="str">
        <f>IFERROR(__xludf.DUMMYFUNCTION("""COMPUTED_VALUE"""),"Office Product")</f>
        <v>Office Product</v>
      </c>
      <c r="O1005" t="str">
        <f>IFERROR(__xludf.DUMMYFUNCTION("""COMPUTED_VALUE"""),"N")</f>
        <v>N</v>
      </c>
      <c r="P1005" s="1" t="str">
        <f>IFERROR(__xludf.DUMMYFUNCTION("""COMPUTED_VALUE"""),"ID 12669")</f>
        <v>ID 12669</v>
      </c>
    </row>
    <row r="1006">
      <c r="A1006" s="6">
        <f>IFERROR(__xludf.DUMMYFUNCTION("""COMPUTED_VALUE"""),45390.0)</f>
        <v>45390</v>
      </c>
      <c r="B1006">
        <f>IFERROR(__xludf.DUMMYFUNCTION("""COMPUTED_VALUE"""),13764.0)</f>
        <v>13764</v>
      </c>
      <c r="C1006" t="str">
        <f>IFERROR(__xludf.DUMMYFUNCTION("""COMPUTED_VALUE"""),"Chef Craft 21591 Serving Tong, Stainless Steel 3-1/4 in W x 12 in L Black")</f>
        <v>Chef Craft 21591 Serving Tong, Stainless Steel 3-1/4 in W x 12 in L Black</v>
      </c>
      <c r="D1006" t="str">
        <f>IFERROR(__xludf.DUMMYFUNCTION("""COMPUTED_VALUE"""),"B00440D3DS")</f>
        <v>B00440D3DS</v>
      </c>
      <c r="E1006" t="str">
        <f>IFERROR(__xludf.DUMMYFUNCTION("""COMPUTED_VALUE"""),"085455215919")</f>
        <v>085455215919</v>
      </c>
      <c r="F1006">
        <f>IFERROR(__xludf.DUMMYFUNCTION("""COMPUTED_VALUE"""),864.0)</f>
        <v>864</v>
      </c>
      <c r="G1006">
        <f>IFERROR(__xludf.DUMMYFUNCTION("""COMPUTED_VALUE"""),10000.0)</f>
        <v>10000</v>
      </c>
      <c r="H1006" s="2">
        <f>IFERROR(__xludf.DUMMYFUNCTION("""COMPUTED_VALUE"""),1.5)</f>
        <v>1.5</v>
      </c>
      <c r="I1006" s="2">
        <f>IFERROR(__xludf.DUMMYFUNCTION("""COMPUTED_VALUE"""),1.94)</f>
        <v>1.94</v>
      </c>
      <c r="J1006" s="2">
        <f>IFERROR(__xludf.DUMMYFUNCTION("""COMPUTED_VALUE"""),0.43999999999999995)</f>
        <v>0.44</v>
      </c>
      <c r="K1006" s="5">
        <f>IFERROR(__xludf.DUMMYFUNCTION("""COMPUTED_VALUE"""),0.2933333333333333)</f>
        <v>0.2933333333</v>
      </c>
      <c r="L1006">
        <f>IFERROR(__xludf.DUMMYFUNCTION("""COMPUTED_VALUE"""),32531.0)</f>
        <v>32531</v>
      </c>
      <c r="M1006" t="str">
        <f>IFERROR(__xludf.DUMMYFUNCTION("""COMPUTED_VALUE"""),"Kitchen")</f>
        <v>Kitchen</v>
      </c>
      <c r="O1006" t="str">
        <f>IFERROR(__xludf.DUMMYFUNCTION("""COMPUTED_VALUE"""),"Y")</f>
        <v>Y</v>
      </c>
      <c r="P1006" s="1" t="str">
        <f>IFERROR(__xludf.DUMMYFUNCTION("""COMPUTED_VALUE"""),"ID 13764")</f>
        <v>ID 13764</v>
      </c>
    </row>
    <row r="1007">
      <c r="A1007" s="6">
        <f>IFERROR(__xludf.DUMMYFUNCTION("""COMPUTED_VALUE"""),45390.0)</f>
        <v>45390</v>
      </c>
      <c r="B1007">
        <f>IFERROR(__xludf.DUMMYFUNCTION("""COMPUTED_VALUE"""),14771.0)</f>
        <v>14771</v>
      </c>
      <c r="C1007" t="str">
        <f>IFERROR(__xludf.DUMMYFUNCTION("""COMPUTED_VALUE"""),"Chef Craft Wood Handle Pie Server, 9.5"", Brown")</f>
        <v>Chef Craft Wood Handle Pie Server, 9.5", Brown</v>
      </c>
      <c r="D1007" t="str">
        <f>IFERROR(__xludf.DUMMYFUNCTION("""COMPUTED_VALUE"""),"B00ATJK0UW")</f>
        <v>B00ATJK0UW</v>
      </c>
      <c r="E1007" t="str">
        <f>IFERROR(__xludf.DUMMYFUNCTION("""COMPUTED_VALUE"""),"085455209932")</f>
        <v>085455209932</v>
      </c>
      <c r="F1007">
        <f>IFERROR(__xludf.DUMMYFUNCTION("""COMPUTED_VALUE"""),864.0)</f>
        <v>864</v>
      </c>
      <c r="G1007">
        <f>IFERROR(__xludf.DUMMYFUNCTION("""COMPUTED_VALUE"""),10000.0)</f>
        <v>10000</v>
      </c>
      <c r="H1007" s="2">
        <f>IFERROR(__xludf.DUMMYFUNCTION("""COMPUTED_VALUE"""),1.25)</f>
        <v>1.25</v>
      </c>
      <c r="I1007" s="2">
        <f>IFERROR(__xludf.DUMMYFUNCTION("""COMPUTED_VALUE"""),1.69)</f>
        <v>1.69</v>
      </c>
      <c r="J1007" s="2">
        <f>IFERROR(__xludf.DUMMYFUNCTION("""COMPUTED_VALUE"""),0.43999999999999995)</f>
        <v>0.44</v>
      </c>
      <c r="K1007" s="5">
        <f>IFERROR(__xludf.DUMMYFUNCTION("""COMPUTED_VALUE"""),0.352)</f>
        <v>0.352</v>
      </c>
      <c r="L1007">
        <f>IFERROR(__xludf.DUMMYFUNCTION("""COMPUTED_VALUE"""),38785.0)</f>
        <v>38785</v>
      </c>
      <c r="M1007" t="str">
        <f>IFERROR(__xludf.DUMMYFUNCTION("""COMPUTED_VALUE"""),"Kitchen")</f>
        <v>Kitchen</v>
      </c>
      <c r="O1007" t="str">
        <f>IFERROR(__xludf.DUMMYFUNCTION("""COMPUTED_VALUE"""),"Y")</f>
        <v>Y</v>
      </c>
      <c r="P1007" s="1" t="str">
        <f>IFERROR(__xludf.DUMMYFUNCTION("""COMPUTED_VALUE"""),"ID 14771")</f>
        <v>ID 14771</v>
      </c>
    </row>
    <row r="1008">
      <c r="A1008" s="6">
        <f>IFERROR(__xludf.DUMMYFUNCTION("""COMPUTED_VALUE"""),45362.0)</f>
        <v>45362</v>
      </c>
      <c r="B1008">
        <f>IFERROR(__xludf.DUMMYFUNCTION("""COMPUTED_VALUE"""),17252.0)</f>
        <v>17252</v>
      </c>
      <c r="C1008" t="str">
        <f>IFERROR(__xludf.DUMMYFUNCTION("""COMPUTED_VALUE"""),"Werther's Original Caramel, Coffee, 2.65-Ounce (Pack of 12)")</f>
        <v>Werther's Original Caramel, Coffee, 2.65-Ounce (Pack of 12)</v>
      </c>
      <c r="D1008" t="str">
        <f>IFERROR(__xludf.DUMMYFUNCTION("""COMPUTED_VALUE"""),"B006JWQFR0")</f>
        <v>B006JWQFR0</v>
      </c>
      <c r="E1008" t="str">
        <f>IFERROR(__xludf.DUMMYFUNCTION("""COMPUTED_VALUE"""),"072799111885")</f>
        <v>072799111885</v>
      </c>
      <c r="F1008">
        <f>IFERROR(__xludf.DUMMYFUNCTION("""COMPUTED_VALUE"""),112.0)</f>
        <v>112</v>
      </c>
      <c r="G1008">
        <f>IFERROR(__xludf.DUMMYFUNCTION("""COMPUTED_VALUE"""),659.0)</f>
        <v>659</v>
      </c>
      <c r="H1008" s="2">
        <f>IFERROR(__xludf.DUMMYFUNCTION("""COMPUTED_VALUE"""),12.75)</f>
        <v>12.75</v>
      </c>
      <c r="I1008" s="2">
        <f>IFERROR(__xludf.DUMMYFUNCTION("""COMPUTED_VALUE"""),13.19)</f>
        <v>13.19</v>
      </c>
      <c r="J1008" s="2">
        <f>IFERROR(__xludf.DUMMYFUNCTION("""COMPUTED_VALUE"""),0.4399999999999995)</f>
        <v>0.44</v>
      </c>
      <c r="K1008" s="5">
        <f>IFERROR(__xludf.DUMMYFUNCTION("""COMPUTED_VALUE"""),0.03450980392156859)</f>
        <v>0.03450980392</v>
      </c>
      <c r="L1008">
        <f>IFERROR(__xludf.DUMMYFUNCTION("""COMPUTED_VALUE"""),964.0)</f>
        <v>964</v>
      </c>
      <c r="M1008" t="str">
        <f>IFERROR(__xludf.DUMMYFUNCTION("""COMPUTED_VALUE"""),"Grocery")</f>
        <v>Grocery</v>
      </c>
      <c r="N1008" t="str">
        <f>IFERROR(__xludf.DUMMYFUNCTION("""COMPUTED_VALUE"""),"UOM: 1 box of 12. EXP 10/31/24")</f>
        <v>UOM: 1 box of 12. EXP 10/31/24</v>
      </c>
      <c r="O1008" t="str">
        <f>IFERROR(__xludf.DUMMYFUNCTION("""COMPUTED_VALUE"""),"N")</f>
        <v>N</v>
      </c>
      <c r="P1008" s="1" t="str">
        <f>IFERROR(__xludf.DUMMYFUNCTION("""COMPUTED_VALUE"""),"ID 17252")</f>
        <v>ID 17252</v>
      </c>
    </row>
    <row r="1009">
      <c r="A1009" s="6">
        <f>IFERROR(__xludf.DUMMYFUNCTION("""COMPUTED_VALUE"""),45421.0)</f>
        <v>45421</v>
      </c>
      <c r="B1009">
        <f>IFERROR(__xludf.DUMMYFUNCTION("""COMPUTED_VALUE"""),23083.0)</f>
        <v>23083</v>
      </c>
      <c r="C1009" t="str">
        <f>IFERROR(__xludf.DUMMYFUNCTION("""COMPUTED_VALUE"""),"Molotow ONE4ALL Acrylic Paint Marker, 4mm, Ceramic Light Pastel, 1 Each (227.217)")</f>
        <v>Molotow ONE4ALL Acrylic Paint Marker, 4mm, Ceramic Light Pastel, 1 Each (227.217)</v>
      </c>
      <c r="D1009" t="str">
        <f>IFERROR(__xludf.DUMMYFUNCTION("""COMPUTED_VALUE"""),"B0044D5PX6")</f>
        <v>B0044D5PX6</v>
      </c>
      <c r="E1009" t="str">
        <f>IFERROR(__xludf.DUMMYFUNCTION("""COMPUTED_VALUE"""),"4250397600734")</f>
        <v>4250397600734</v>
      </c>
      <c r="F1009">
        <f>IFERROR(__xludf.DUMMYFUNCTION("""COMPUTED_VALUE"""),384.0)</f>
        <v>384</v>
      </c>
      <c r="G1009">
        <f>IFERROR(__xludf.DUMMYFUNCTION("""COMPUTED_VALUE"""),10000.0)</f>
        <v>10000</v>
      </c>
      <c r="H1009" s="2">
        <f>IFERROR(__xludf.DUMMYFUNCTION("""COMPUTED_VALUE"""),6.25)</f>
        <v>6.25</v>
      </c>
      <c r="I1009" s="2">
        <f>IFERROR(__xludf.DUMMYFUNCTION("""COMPUTED_VALUE"""),6.69)</f>
        <v>6.69</v>
      </c>
      <c r="J1009" s="2">
        <f>IFERROR(__xludf.DUMMYFUNCTION("""COMPUTED_VALUE"""),0.4400000000000004)</f>
        <v>0.44</v>
      </c>
      <c r="K1009" s="5">
        <f>IFERROR(__xludf.DUMMYFUNCTION("""COMPUTED_VALUE"""),0.07040000000000006)</f>
        <v>0.0704</v>
      </c>
      <c r="L1009">
        <f>IFERROR(__xludf.DUMMYFUNCTION("""COMPUTED_VALUE"""),55367.0)</f>
        <v>55367</v>
      </c>
      <c r="M1009" t="str">
        <f>IFERROR(__xludf.DUMMYFUNCTION("""COMPUTED_VALUE"""),"Office Product")</f>
        <v>Office Product</v>
      </c>
      <c r="O1009" t="str">
        <f>IFERROR(__xludf.DUMMYFUNCTION("""COMPUTED_VALUE"""),"Y")</f>
        <v>Y</v>
      </c>
      <c r="P1009" s="1" t="str">
        <f>IFERROR(__xludf.DUMMYFUNCTION("""COMPUTED_VALUE"""),"ID 23083")</f>
        <v>ID 23083</v>
      </c>
    </row>
    <row r="1010">
      <c r="A1010" s="6">
        <f>IFERROR(__xludf.DUMMYFUNCTION("""COMPUTED_VALUE"""),44004.0)</f>
        <v>44004</v>
      </c>
      <c r="B1010">
        <f>IFERROR(__xludf.DUMMYFUNCTION("""COMPUTED_VALUE"""),11537.0)</f>
        <v>11537</v>
      </c>
      <c r="C1010" t="str">
        <f>IFERROR(__xludf.DUMMYFUNCTION("""COMPUTED_VALUE"""),"PILOT G2 Metallics Refillable &amp; Retractable Rolling Ball Gel Pens, Fine Point, Gold/Silver Inks, 2-Pack (34400)")</f>
        <v>PILOT G2 Metallics Refillable &amp; Retractable Rolling Ball Gel Pens, Fine Point, Gold/Silver Inks, 2-Pack (34400)</v>
      </c>
      <c r="D1010" t="str">
        <f>IFERROR(__xludf.DUMMYFUNCTION("""COMPUTED_VALUE"""),"B00OIM212Q")</f>
        <v>B00OIM212Q</v>
      </c>
      <c r="E1010" t="str">
        <f>IFERROR(__xludf.DUMMYFUNCTION("""COMPUTED_VALUE"""),"72838344007")</f>
        <v>72838344007</v>
      </c>
      <c r="F1010">
        <f>IFERROR(__xludf.DUMMYFUNCTION("""COMPUTED_VALUE"""),690.0)</f>
        <v>690</v>
      </c>
      <c r="G1010">
        <f>IFERROR(__xludf.DUMMYFUNCTION("""COMPUTED_VALUE"""),3310.0)</f>
        <v>3310</v>
      </c>
      <c r="H1010" s="2">
        <f>IFERROR(__xludf.DUMMYFUNCTION("""COMPUTED_VALUE"""),2.75)</f>
        <v>2.75</v>
      </c>
      <c r="I1010" s="2">
        <f>IFERROR(__xludf.DUMMYFUNCTION("""COMPUTED_VALUE"""),3.18)</f>
        <v>3.18</v>
      </c>
      <c r="J1010" s="2">
        <f>IFERROR(__xludf.DUMMYFUNCTION("""COMPUTED_VALUE"""),0.43000000000000016)</f>
        <v>0.43</v>
      </c>
      <c r="K1010" s="5">
        <f>IFERROR(__xludf.DUMMYFUNCTION("""COMPUTED_VALUE"""),0.15636363636363643)</f>
        <v>0.1563636364</v>
      </c>
      <c r="L1010">
        <f>IFERROR(__xludf.DUMMYFUNCTION("""COMPUTED_VALUE"""),5674.0)</f>
        <v>5674</v>
      </c>
      <c r="M1010" t="str">
        <f>IFERROR(__xludf.DUMMYFUNCTION("""COMPUTED_VALUE"""),"Office Product")</f>
        <v>Office Product</v>
      </c>
      <c r="O1010" t="str">
        <f>IFERROR(__xludf.DUMMYFUNCTION("""COMPUTED_VALUE"""),"Y")</f>
        <v>Y</v>
      </c>
      <c r="P1010" s="1" t="str">
        <f>IFERROR(__xludf.DUMMYFUNCTION("""COMPUTED_VALUE"""),"ID 11537")</f>
        <v>ID 11537</v>
      </c>
    </row>
    <row r="1011">
      <c r="A1011" s="6">
        <f>IFERROR(__xludf.DUMMYFUNCTION("""COMPUTED_VALUE"""),45390.0)</f>
        <v>45390</v>
      </c>
      <c r="B1011">
        <f>IFERROR(__xludf.DUMMYFUNCTION("""COMPUTED_VALUE"""),15746.0)</f>
        <v>15746</v>
      </c>
      <c r="C1011" t="str">
        <f>IFERROR(__xludf.DUMMYFUNCTION("""COMPUTED_VALUE"""),"Chef Craft Flat Grater with Large Holes")</f>
        <v>Chef Craft Flat Grater with Large Holes</v>
      </c>
      <c r="D1011" t="str">
        <f>IFERROR(__xludf.DUMMYFUNCTION("""COMPUTED_VALUE"""),"B00AZ222LS")</f>
        <v>B00AZ222LS</v>
      </c>
      <c r="E1011" t="str">
        <f>IFERROR(__xludf.DUMMYFUNCTION("""COMPUTED_VALUE"""),"085455213021")</f>
        <v>085455213021</v>
      </c>
      <c r="F1011">
        <f>IFERROR(__xludf.DUMMYFUNCTION("""COMPUTED_VALUE"""),864.0)</f>
        <v>864</v>
      </c>
      <c r="G1011">
        <f>IFERROR(__xludf.DUMMYFUNCTION("""COMPUTED_VALUE"""),10000.0)</f>
        <v>10000</v>
      </c>
      <c r="H1011" s="2">
        <f>IFERROR(__xludf.DUMMYFUNCTION("""COMPUTED_VALUE"""),1.25)</f>
        <v>1.25</v>
      </c>
      <c r="I1011" s="2">
        <f>IFERROR(__xludf.DUMMYFUNCTION("""COMPUTED_VALUE"""),1.68)</f>
        <v>1.68</v>
      </c>
      <c r="J1011" s="2">
        <f>IFERROR(__xludf.DUMMYFUNCTION("""COMPUTED_VALUE"""),0.42999999999999994)</f>
        <v>0.43</v>
      </c>
      <c r="K1011" s="5">
        <f>IFERROR(__xludf.DUMMYFUNCTION("""COMPUTED_VALUE"""),0.344)</f>
        <v>0.344</v>
      </c>
      <c r="L1011">
        <f>IFERROR(__xludf.DUMMYFUNCTION("""COMPUTED_VALUE"""),50560.0)</f>
        <v>50560</v>
      </c>
      <c r="M1011" t="str">
        <f>IFERROR(__xludf.DUMMYFUNCTION("""COMPUTED_VALUE"""),"Kitchen")</f>
        <v>Kitchen</v>
      </c>
      <c r="O1011" t="str">
        <f>IFERROR(__xludf.DUMMYFUNCTION("""COMPUTED_VALUE"""),"Y")</f>
        <v>Y</v>
      </c>
      <c r="P1011" s="1" t="str">
        <f>IFERROR(__xludf.DUMMYFUNCTION("""COMPUTED_VALUE"""),"ID 15746")</f>
        <v>ID 15746</v>
      </c>
    </row>
    <row r="1012">
      <c r="A1012" s="6">
        <f>IFERROR(__xludf.DUMMYFUNCTION("""COMPUTED_VALUE"""),44501.0)</f>
        <v>44501</v>
      </c>
      <c r="B1012">
        <f>IFERROR(__xludf.DUMMYFUNCTION("""COMPUTED_VALUE"""),18389.0)</f>
        <v>18389</v>
      </c>
      <c r="C1012" t="str">
        <f>IFERROR(__xludf.DUMMYFUNCTION("""COMPUTED_VALUE"""),"C-Line Pressure Sensitive Peel and Stick Badges, Hello My Name Is, Red, 3.5 x 2.25 Inches, 100 per Box (92234)")</f>
        <v>C-Line Pressure Sensitive Peel and Stick Badges, Hello My Name Is, Red, 3.5 x 2.25 Inches, 100 per Box (92234)</v>
      </c>
      <c r="D1012" t="str">
        <f>IFERROR(__xludf.DUMMYFUNCTION("""COMPUTED_VALUE"""),"B000Y9ILF8")</f>
        <v>B000Y9ILF8</v>
      </c>
      <c r="E1012" t="str">
        <f>IFERROR(__xludf.DUMMYFUNCTION("""COMPUTED_VALUE"""),"38944922348")</f>
        <v>38944922348</v>
      </c>
      <c r="F1012">
        <f>IFERROR(__xludf.DUMMYFUNCTION("""COMPUTED_VALUE"""),560.0)</f>
        <v>560</v>
      </c>
      <c r="G1012">
        <f>IFERROR(__xludf.DUMMYFUNCTION("""COMPUTED_VALUE"""),5000.0)</f>
        <v>5000</v>
      </c>
      <c r="H1012" s="2">
        <f>IFERROR(__xludf.DUMMYFUNCTION("""COMPUTED_VALUE"""),1.75)</f>
        <v>1.75</v>
      </c>
      <c r="I1012" s="2">
        <f>IFERROR(__xludf.DUMMYFUNCTION("""COMPUTED_VALUE"""),2.18)</f>
        <v>2.18</v>
      </c>
      <c r="J1012" s="2">
        <f>IFERROR(__xludf.DUMMYFUNCTION("""COMPUTED_VALUE"""),0.43000000000000016)</f>
        <v>0.43</v>
      </c>
      <c r="K1012" s="5">
        <f>IFERROR(__xludf.DUMMYFUNCTION("""COMPUTED_VALUE"""),0.2457142857142858)</f>
        <v>0.2457142857</v>
      </c>
      <c r="L1012">
        <f>IFERROR(__xludf.DUMMYFUNCTION("""COMPUTED_VALUE"""),27245.0)</f>
        <v>27245</v>
      </c>
      <c r="M1012" t="str">
        <f>IFERROR(__xludf.DUMMYFUNCTION("""COMPUTED_VALUE"""),"Office Product")</f>
        <v>Office Product</v>
      </c>
      <c r="O1012" t="str">
        <f>IFERROR(__xludf.DUMMYFUNCTION("""COMPUTED_VALUE"""),"Y")</f>
        <v>Y</v>
      </c>
      <c r="P1012" s="1" t="str">
        <f>IFERROR(__xludf.DUMMYFUNCTION("""COMPUTED_VALUE"""),"ID 18389")</f>
        <v>ID 18389</v>
      </c>
    </row>
    <row r="1013">
      <c r="A1013" s="6">
        <f>IFERROR(__xludf.DUMMYFUNCTION("""COMPUTED_VALUE"""),45401.0)</f>
        <v>45401</v>
      </c>
      <c r="B1013">
        <f>IFERROR(__xludf.DUMMYFUNCTION("""COMPUTED_VALUE"""),11759.0)</f>
        <v>11759</v>
      </c>
      <c r="C1013" t="str">
        <f>IFERROR(__xludf.DUMMYFUNCTION("""COMPUTED_VALUE"""),"Home Basics Kitchen PVC Sink Mat, White (12 x 16)")</f>
        <v>Home Basics Kitchen PVC Sink Mat, White (12 x 16)</v>
      </c>
      <c r="D1013" t="str">
        <f>IFERROR(__xludf.DUMMYFUNCTION("""COMPUTED_VALUE"""),"B07D3DTZBW")</f>
        <v>B07D3DTZBW</v>
      </c>
      <c r="E1013" t="str">
        <f>IFERROR(__xludf.DUMMYFUNCTION("""COMPUTED_VALUE"""),"886466442284")</f>
        <v>886466442284</v>
      </c>
      <c r="F1013">
        <f>IFERROR(__xludf.DUMMYFUNCTION("""COMPUTED_VALUE"""),336.0)</f>
        <v>336</v>
      </c>
      <c r="G1013">
        <f>IFERROR(__xludf.DUMMYFUNCTION("""COMPUTED_VALUE"""),10000.0)</f>
        <v>10000</v>
      </c>
      <c r="H1013" s="2">
        <f>IFERROR(__xludf.DUMMYFUNCTION("""COMPUTED_VALUE"""),3.75)</f>
        <v>3.75</v>
      </c>
      <c r="I1013" s="2">
        <f>IFERROR(__xludf.DUMMYFUNCTION("""COMPUTED_VALUE"""),4.18)</f>
        <v>4.18</v>
      </c>
      <c r="J1013" s="2">
        <f>IFERROR(__xludf.DUMMYFUNCTION("""COMPUTED_VALUE"""),0.4299999999999997)</f>
        <v>0.43</v>
      </c>
      <c r="K1013" s="5">
        <f>IFERROR(__xludf.DUMMYFUNCTION("""COMPUTED_VALUE"""),0.1146666666666666)</f>
        <v>0.1146666667</v>
      </c>
      <c r="L1013">
        <f>IFERROR(__xludf.DUMMYFUNCTION("""COMPUTED_VALUE"""),68589.0)</f>
        <v>68589</v>
      </c>
      <c r="M1013" t="str">
        <f>IFERROR(__xludf.DUMMYFUNCTION("""COMPUTED_VALUE"""),"Kitchen")</f>
        <v>Kitchen</v>
      </c>
      <c r="O1013" t="str">
        <f>IFERROR(__xludf.DUMMYFUNCTION("""COMPUTED_VALUE"""),"Y")</f>
        <v>Y</v>
      </c>
      <c r="P1013" s="1" t="str">
        <f>IFERROR(__xludf.DUMMYFUNCTION("""COMPUTED_VALUE"""),"ID 11759")</f>
        <v>ID 11759</v>
      </c>
    </row>
    <row r="1014">
      <c r="A1014" s="6">
        <f>IFERROR(__xludf.DUMMYFUNCTION("""COMPUTED_VALUE"""),45421.0)</f>
        <v>45421</v>
      </c>
      <c r="B1014">
        <f>IFERROR(__xludf.DUMMYFUNCTION("""COMPUTED_VALUE"""),25586.0)</f>
        <v>25586</v>
      </c>
      <c r="C1014" t="str">
        <f>IFERROR(__xludf.DUMMYFUNCTION("""COMPUTED_VALUE"""),"Grumbacher Goldenedge Golden Toray Round Watercolor Brush, Synthetic Bristles, Size Z (4620.Z)")</f>
        <v>Grumbacher Goldenedge Golden Toray Round Watercolor Brush, Synthetic Bristles, Size Z (4620.Z)</v>
      </c>
      <c r="D1014" t="str">
        <f>IFERROR(__xludf.DUMMYFUNCTION("""COMPUTED_VALUE"""),"B0027A5GY6")</f>
        <v>B0027A5GY6</v>
      </c>
      <c r="E1014" t="str">
        <f>IFERROR(__xludf.DUMMYFUNCTION("""COMPUTED_VALUE"""),"014173355270")</f>
        <v>014173355270</v>
      </c>
      <c r="F1014">
        <f>IFERROR(__xludf.DUMMYFUNCTION("""COMPUTED_VALUE"""),864.0)</f>
        <v>864</v>
      </c>
      <c r="G1014">
        <f>IFERROR(__xludf.DUMMYFUNCTION("""COMPUTED_VALUE"""),10000.0)</f>
        <v>10000</v>
      </c>
      <c r="H1014" s="2">
        <f>IFERROR(__xludf.DUMMYFUNCTION("""COMPUTED_VALUE"""),2.75)</f>
        <v>2.75</v>
      </c>
      <c r="I1014" s="2">
        <f>IFERROR(__xludf.DUMMYFUNCTION("""COMPUTED_VALUE"""),3.18)</f>
        <v>3.18</v>
      </c>
      <c r="J1014" s="2">
        <f>IFERROR(__xludf.DUMMYFUNCTION("""COMPUTED_VALUE"""),0.43000000000000016)</f>
        <v>0.43</v>
      </c>
      <c r="K1014" s="5">
        <f>IFERROR(__xludf.DUMMYFUNCTION("""COMPUTED_VALUE"""),0.15636363636363643)</f>
        <v>0.1563636364</v>
      </c>
      <c r="L1014">
        <f>IFERROR(__xludf.DUMMYFUNCTION("""COMPUTED_VALUE"""),20654.0)</f>
        <v>20654</v>
      </c>
      <c r="M1014" t="str">
        <f>IFERROR(__xludf.DUMMYFUNCTION("""COMPUTED_VALUE"""),"Office Product")</f>
        <v>Office Product</v>
      </c>
      <c r="O1014" t="str">
        <f>IFERROR(__xludf.DUMMYFUNCTION("""COMPUTED_VALUE"""),"N")</f>
        <v>N</v>
      </c>
      <c r="P1014" s="1" t="str">
        <f>IFERROR(__xludf.DUMMYFUNCTION("""COMPUTED_VALUE"""),"ID 25586")</f>
        <v>ID 25586</v>
      </c>
    </row>
    <row r="1015">
      <c r="A1015" s="6">
        <f>IFERROR(__xludf.DUMMYFUNCTION("""COMPUTED_VALUE"""),45390.0)</f>
        <v>45390</v>
      </c>
      <c r="B1015">
        <f>IFERROR(__xludf.DUMMYFUNCTION("""COMPUTED_VALUE"""),6735.0)</f>
        <v>6735</v>
      </c>
      <c r="C1015" t="str">
        <f>IFERROR(__xludf.DUMMYFUNCTION("""COMPUTED_VALUE"""),"Chef Craft Measuring Scoop/Spoon Combo, White")</f>
        <v>Chef Craft Measuring Scoop/Spoon Combo, White</v>
      </c>
      <c r="D1015" t="str">
        <f>IFERROR(__xludf.DUMMYFUNCTION("""COMPUTED_VALUE"""),"B004OV19M4")</f>
        <v>B004OV19M4</v>
      </c>
      <c r="E1015" t="str">
        <f>IFERROR(__xludf.DUMMYFUNCTION("""COMPUTED_VALUE"""),"085455210952")</f>
        <v>085455210952</v>
      </c>
      <c r="F1015">
        <f>IFERROR(__xludf.DUMMYFUNCTION("""COMPUTED_VALUE"""),576.0)</f>
        <v>576</v>
      </c>
      <c r="G1015">
        <f>IFERROR(__xludf.DUMMYFUNCTION("""COMPUTED_VALUE"""),10000.0)</f>
        <v>10000</v>
      </c>
      <c r="H1015" s="2">
        <f>IFERROR(__xludf.DUMMYFUNCTION("""COMPUTED_VALUE"""),1.75)</f>
        <v>1.75</v>
      </c>
      <c r="I1015" s="2">
        <f>IFERROR(__xludf.DUMMYFUNCTION("""COMPUTED_VALUE"""),2.17)</f>
        <v>2.17</v>
      </c>
      <c r="J1015" s="2">
        <f>IFERROR(__xludf.DUMMYFUNCTION("""COMPUTED_VALUE"""),0.41999999999999993)</f>
        <v>0.42</v>
      </c>
      <c r="K1015" s="5">
        <f>IFERROR(__xludf.DUMMYFUNCTION("""COMPUTED_VALUE"""),0.23999999999999996)</f>
        <v>0.24</v>
      </c>
      <c r="L1015">
        <f>IFERROR(__xludf.DUMMYFUNCTION("""COMPUTED_VALUE"""),77423.0)</f>
        <v>77423</v>
      </c>
      <c r="M1015" t="str">
        <f>IFERROR(__xludf.DUMMYFUNCTION("""COMPUTED_VALUE"""),"Kitchen")</f>
        <v>Kitchen</v>
      </c>
      <c r="O1015" t="str">
        <f>IFERROR(__xludf.DUMMYFUNCTION("""COMPUTED_VALUE"""),"N")</f>
        <v>N</v>
      </c>
      <c r="P1015" s="1" t="str">
        <f>IFERROR(__xludf.DUMMYFUNCTION("""COMPUTED_VALUE"""),"ID 6735")</f>
        <v>ID 6735</v>
      </c>
    </row>
    <row r="1016">
      <c r="A1016" s="6">
        <f>IFERROR(__xludf.DUMMYFUNCTION("""COMPUTED_VALUE"""),45362.0)</f>
        <v>45362</v>
      </c>
      <c r="B1016">
        <f>IFERROR(__xludf.DUMMYFUNCTION("""COMPUTED_VALUE"""),19746.0)</f>
        <v>19746</v>
      </c>
      <c r="C1016" t="str">
        <f>IFERROR(__xludf.DUMMYFUNCTION("""COMPUTED_VALUE"""),"Pentel EnerGize Automatic Pencil with Lead and Erasers, 0.7mm, Assorted, 2 Pack (PL77LEBP2)")</f>
        <v>Pentel EnerGize Automatic Pencil with Lead and Erasers, 0.7mm, Assorted, 2 Pack (PL77LEBP2)</v>
      </c>
      <c r="D1016" t="str">
        <f>IFERROR(__xludf.DUMMYFUNCTION("""COMPUTED_VALUE"""),"B004FLKP28")</f>
        <v>B004FLKP28</v>
      </c>
      <c r="E1016" t="str">
        <f>IFERROR(__xludf.DUMMYFUNCTION("""COMPUTED_VALUE"""),"072512228777")</f>
        <v>072512228777</v>
      </c>
      <c r="F1016">
        <f>IFERROR(__xludf.DUMMYFUNCTION("""COMPUTED_VALUE"""),288.0)</f>
        <v>288</v>
      </c>
      <c r="G1016">
        <f>IFERROR(__xludf.DUMMYFUNCTION("""COMPUTED_VALUE"""),10000.0)</f>
        <v>10000</v>
      </c>
      <c r="H1016" s="2">
        <f>IFERROR(__xludf.DUMMYFUNCTION("""COMPUTED_VALUE"""),4.75)</f>
        <v>4.75</v>
      </c>
      <c r="I1016" s="2">
        <f>IFERROR(__xludf.DUMMYFUNCTION("""COMPUTED_VALUE"""),5.17)</f>
        <v>5.17</v>
      </c>
      <c r="J1016" s="2">
        <f>IFERROR(__xludf.DUMMYFUNCTION("""COMPUTED_VALUE"""),0.41999999999999993)</f>
        <v>0.42</v>
      </c>
      <c r="K1016" s="5">
        <f>IFERROR(__xludf.DUMMYFUNCTION("""COMPUTED_VALUE"""),0.08842105263157893)</f>
        <v>0.08842105263</v>
      </c>
      <c r="L1016">
        <f>IFERROR(__xludf.DUMMYFUNCTION("""COMPUTED_VALUE"""),69489.0)</f>
        <v>69489</v>
      </c>
      <c r="M1016" t="str">
        <f>IFERROR(__xludf.DUMMYFUNCTION("""COMPUTED_VALUE"""),"Office Product")</f>
        <v>Office Product</v>
      </c>
      <c r="O1016" t="str">
        <f>IFERROR(__xludf.DUMMYFUNCTION("""COMPUTED_VALUE"""),"Y")</f>
        <v>Y</v>
      </c>
      <c r="P1016" s="1" t="str">
        <f>IFERROR(__xludf.DUMMYFUNCTION("""COMPUTED_VALUE"""),"ID 19746")</f>
        <v>ID 19746</v>
      </c>
    </row>
    <row r="1017">
      <c r="A1017" s="6">
        <f>IFERROR(__xludf.DUMMYFUNCTION("""COMPUTED_VALUE"""),45351.0)</f>
        <v>45351</v>
      </c>
      <c r="B1017">
        <f>IFERROR(__xludf.DUMMYFUNCTION("""COMPUTED_VALUE"""),22185.0)</f>
        <v>22185</v>
      </c>
      <c r="C1017" t="str">
        <f>IFERROR(__xludf.DUMMYFUNCTION("""COMPUTED_VALUE"""),"Alliance Rubber 37648#64 Non-Latex Rubber Bands, 1/4 lb Poly Bag Contains Approx. 95 Bands (3 1/2"" x 1/4"", Orange)")</f>
        <v>Alliance Rubber 37648#64 Non-Latex Rubber Bands, 1/4 lb Poly Bag Contains Approx. 95 Bands (3 1/2" x 1/4", Orange)</v>
      </c>
      <c r="D1017" t="str">
        <f>IFERROR(__xludf.DUMMYFUNCTION("""COMPUTED_VALUE"""),"B008X09N2K")</f>
        <v>B008X09N2K</v>
      </c>
      <c r="E1017" t="str">
        <f>IFERROR(__xludf.DUMMYFUNCTION("""COMPUTED_VALUE"""),"071815376482")</f>
        <v>071815376482</v>
      </c>
      <c r="F1017">
        <f>IFERROR(__xludf.DUMMYFUNCTION("""COMPUTED_VALUE"""),800.0)</f>
        <v>800</v>
      </c>
      <c r="G1017">
        <f>IFERROR(__xludf.DUMMYFUNCTION("""COMPUTED_VALUE"""),10000.0)</f>
        <v>10000</v>
      </c>
      <c r="H1017" s="2">
        <f>IFERROR(__xludf.DUMMYFUNCTION("""COMPUTED_VALUE"""),1.75)</f>
        <v>1.75</v>
      </c>
      <c r="I1017" s="2">
        <f>IFERROR(__xludf.DUMMYFUNCTION("""COMPUTED_VALUE"""),2.17)</f>
        <v>2.17</v>
      </c>
      <c r="J1017" s="2">
        <f>IFERROR(__xludf.DUMMYFUNCTION("""COMPUTED_VALUE"""),0.41999999999999993)</f>
        <v>0.42</v>
      </c>
      <c r="K1017" s="5">
        <f>IFERROR(__xludf.DUMMYFUNCTION("""COMPUTED_VALUE"""),0.23999999999999996)</f>
        <v>0.24</v>
      </c>
      <c r="L1017">
        <f>IFERROR(__xludf.DUMMYFUNCTION("""COMPUTED_VALUE"""),99941.0)</f>
        <v>99941</v>
      </c>
      <c r="M1017" t="str">
        <f>IFERROR(__xludf.DUMMYFUNCTION("""COMPUTED_VALUE"""),"Office Product")</f>
        <v>Office Product</v>
      </c>
      <c r="O1017" t="str">
        <f>IFERROR(__xludf.DUMMYFUNCTION("""COMPUTED_VALUE"""),"N")</f>
        <v>N</v>
      </c>
      <c r="P1017" s="1" t="str">
        <f>IFERROR(__xludf.DUMMYFUNCTION("""COMPUTED_VALUE"""),"ID 22185")</f>
        <v>ID 22185</v>
      </c>
    </row>
    <row r="1018">
      <c r="A1018" s="6">
        <f>IFERROR(__xludf.DUMMYFUNCTION("""COMPUTED_VALUE"""),45376.0)</f>
        <v>45376</v>
      </c>
      <c r="B1018">
        <f>IFERROR(__xludf.DUMMYFUNCTION("""COMPUTED_VALUE"""),24103.0)</f>
        <v>24103</v>
      </c>
      <c r="C1018" t="str">
        <f>IFERROR(__xludf.DUMMYFUNCTION("""COMPUTED_VALUE"""),"Pacon Spectra Glitter Sparkling Crystals, Blue, 4-Ounce Jar (91640)")</f>
        <v>Pacon Spectra Glitter Sparkling Crystals, Blue, 4-Ounce Jar (91640)</v>
      </c>
      <c r="D1018" t="str">
        <f>IFERROR(__xludf.DUMMYFUNCTION("""COMPUTED_VALUE"""),"B00EO71K0O")</f>
        <v>B00EO71K0O</v>
      </c>
      <c r="E1018" t="str">
        <f>IFERROR(__xludf.DUMMYFUNCTION("""COMPUTED_VALUE"""),"029444916500")</f>
        <v>029444916500</v>
      </c>
      <c r="F1018">
        <f>IFERROR(__xludf.DUMMYFUNCTION("""COMPUTED_VALUE"""),1464.0)</f>
        <v>1464</v>
      </c>
      <c r="G1018">
        <f>IFERROR(__xludf.DUMMYFUNCTION("""COMPUTED_VALUE"""),10000.0)</f>
        <v>10000</v>
      </c>
      <c r="H1018" s="2">
        <f>IFERROR(__xludf.DUMMYFUNCTION("""COMPUTED_VALUE"""),2.5)</f>
        <v>2.5</v>
      </c>
      <c r="I1018" s="2">
        <f>IFERROR(__xludf.DUMMYFUNCTION("""COMPUTED_VALUE"""),2.92)</f>
        <v>2.92</v>
      </c>
      <c r="J1018" s="2">
        <f>IFERROR(__xludf.DUMMYFUNCTION("""COMPUTED_VALUE"""),0.41999999999999993)</f>
        <v>0.42</v>
      </c>
      <c r="K1018" s="5">
        <f>IFERROR(__xludf.DUMMYFUNCTION("""COMPUTED_VALUE"""),0.16799999999999998)</f>
        <v>0.168</v>
      </c>
      <c r="L1018">
        <f>IFERROR(__xludf.DUMMYFUNCTION("""COMPUTED_VALUE"""),29555.0)</f>
        <v>29555</v>
      </c>
      <c r="M1018" t="str">
        <f>IFERROR(__xludf.DUMMYFUNCTION("""COMPUTED_VALUE"""),"BISS Basic")</f>
        <v>BISS Basic</v>
      </c>
      <c r="O1018" t="str">
        <f>IFERROR(__xludf.DUMMYFUNCTION("""COMPUTED_VALUE"""),"Y")</f>
        <v>Y</v>
      </c>
      <c r="P1018" s="1" t="str">
        <f>IFERROR(__xludf.DUMMYFUNCTION("""COMPUTED_VALUE"""),"ID 24103")</f>
        <v>ID 24103</v>
      </c>
    </row>
    <row r="1019">
      <c r="A1019" s="6">
        <f>IFERROR(__xludf.DUMMYFUNCTION("""COMPUTED_VALUE"""),44658.0)</f>
        <v>44658</v>
      </c>
      <c r="B1019">
        <f>IFERROR(__xludf.DUMMYFUNCTION("""COMPUTED_VALUE"""),25726.0)</f>
        <v>25726</v>
      </c>
      <c r="C1019" t="str">
        <f>IFERROR(__xludf.DUMMYFUNCTION("""COMPUTED_VALUE"""),"HoMedics UV Clean Phone Sanitizer, UV Light Sanitizer, Fast Germ Sanitizer for Cell Phone, Makeup Tools, Credit Cards, Keys, Glasses, Kills 99.9% of Bacteria &amp; Viruses, Black")</f>
        <v>HoMedics UV Clean Phone Sanitizer, UV Light Sanitizer, Fast Germ Sanitizer for Cell Phone, Makeup Tools, Credit Cards, Keys, Glasses, Kills 99.9% of Bacteria &amp; Viruses, Black</v>
      </c>
      <c r="D1019" t="str">
        <f>IFERROR(__xludf.DUMMYFUNCTION("""COMPUTED_VALUE"""),"B07YX6WCLH")</f>
        <v>B07YX6WCLH</v>
      </c>
      <c r="F1019">
        <f>IFERROR(__xludf.DUMMYFUNCTION("""COMPUTED_VALUE"""),170.0)</f>
        <v>170</v>
      </c>
      <c r="G1019">
        <f>IFERROR(__xludf.DUMMYFUNCTION("""COMPUTED_VALUE"""),1000.0)</f>
        <v>1000</v>
      </c>
      <c r="H1019" s="2">
        <f>IFERROR(__xludf.DUMMYFUNCTION("""COMPUTED_VALUE"""),8.0)</f>
        <v>8</v>
      </c>
      <c r="I1019" s="2">
        <f>IFERROR(__xludf.DUMMYFUNCTION("""COMPUTED_VALUE"""),8.42)</f>
        <v>8.42</v>
      </c>
      <c r="J1019" s="2">
        <f>IFERROR(__xludf.DUMMYFUNCTION("""COMPUTED_VALUE"""),0.41999999999999993)</f>
        <v>0.42</v>
      </c>
      <c r="K1019" s="5">
        <f>IFERROR(__xludf.DUMMYFUNCTION("""COMPUTED_VALUE"""),0.05249999999999999)</f>
        <v>0.0525</v>
      </c>
      <c r="L1019">
        <f>IFERROR(__xludf.DUMMYFUNCTION("""COMPUTED_VALUE"""),39236.0)</f>
        <v>39236</v>
      </c>
      <c r="M1019" t="str">
        <f>IFERROR(__xludf.DUMMYFUNCTION("""COMPUTED_VALUE"""),"Wireless")</f>
        <v>Wireless</v>
      </c>
      <c r="O1019" t="str">
        <f>IFERROR(__xludf.DUMMYFUNCTION("""COMPUTED_VALUE"""),"N")</f>
        <v>N</v>
      </c>
      <c r="P1019" s="1" t="str">
        <f>IFERROR(__xludf.DUMMYFUNCTION("""COMPUTED_VALUE"""),"ID 25726")</f>
        <v>ID 25726</v>
      </c>
    </row>
    <row r="1020">
      <c r="A1020" s="6">
        <f>IFERROR(__xludf.DUMMYFUNCTION("""COMPUTED_VALUE"""),45341.0)</f>
        <v>45341</v>
      </c>
      <c r="B1020">
        <f>IFERROR(__xludf.DUMMYFUNCTION("""COMPUTED_VALUE"""),25878.0)</f>
        <v>25878</v>
      </c>
      <c r="C1020" t="str">
        <f>IFERROR(__xludf.DUMMYFUNCTION("""COMPUTED_VALUE"""),"Staedtler Ames Lettering Guide")</f>
        <v>Staedtler Ames Lettering Guide</v>
      </c>
      <c r="D1020" t="str">
        <f>IFERROR(__xludf.DUMMYFUNCTION("""COMPUTED_VALUE"""),"B07DQR35JF")</f>
        <v>B07DQR35JF</v>
      </c>
      <c r="E1020" t="str">
        <f>IFERROR(__xludf.DUMMYFUNCTION("""COMPUTED_VALUE"""),"031901901271")</f>
        <v>031901901271</v>
      </c>
      <c r="F1020">
        <f>IFERROR(__xludf.DUMMYFUNCTION("""COMPUTED_VALUE"""),348.0)</f>
        <v>348</v>
      </c>
      <c r="G1020">
        <f>IFERROR(__xludf.DUMMYFUNCTION("""COMPUTED_VALUE"""),10000.0)</f>
        <v>10000</v>
      </c>
      <c r="H1020" s="2">
        <f>IFERROR(__xludf.DUMMYFUNCTION("""COMPUTED_VALUE"""),3.5)</f>
        <v>3.5</v>
      </c>
      <c r="I1020" s="2">
        <f>IFERROR(__xludf.DUMMYFUNCTION("""COMPUTED_VALUE"""),3.92)</f>
        <v>3.92</v>
      </c>
      <c r="J1020" s="2">
        <f>IFERROR(__xludf.DUMMYFUNCTION("""COMPUTED_VALUE"""),0.41999999999999993)</f>
        <v>0.42</v>
      </c>
      <c r="K1020" s="5">
        <f>IFERROR(__xludf.DUMMYFUNCTION("""COMPUTED_VALUE"""),0.11999999999999998)</f>
        <v>0.12</v>
      </c>
      <c r="L1020">
        <f>IFERROR(__xludf.DUMMYFUNCTION("""COMPUTED_VALUE"""),49412.0)</f>
        <v>49412</v>
      </c>
      <c r="M1020" t="str">
        <f>IFERROR(__xludf.DUMMYFUNCTION("""COMPUTED_VALUE"""),"Kitchen")</f>
        <v>Kitchen</v>
      </c>
      <c r="O1020" t="str">
        <f>IFERROR(__xludf.DUMMYFUNCTION("""COMPUTED_VALUE"""),"N")</f>
        <v>N</v>
      </c>
      <c r="P1020" s="1" t="str">
        <f>IFERROR(__xludf.DUMMYFUNCTION("""COMPUTED_VALUE"""),"ID 25878")</f>
        <v>ID 25878</v>
      </c>
    </row>
    <row r="1021">
      <c r="A1021" s="6">
        <f>IFERROR(__xludf.DUMMYFUNCTION("""COMPUTED_VALUE"""),45421.0)</f>
        <v>45421</v>
      </c>
      <c r="B1021">
        <f>IFERROR(__xludf.DUMMYFUNCTION("""COMPUTED_VALUE"""),25918.0)</f>
        <v>25918</v>
      </c>
      <c r="C1021" t="str">
        <f>IFERROR(__xludf.DUMMYFUNCTION("""COMPUTED_VALUE"""),"Rapidesign Circles Template, 1 Each (R40)")</f>
        <v>Rapidesign Circles Template, 1 Each (R40)</v>
      </c>
      <c r="D1021" t="str">
        <f>IFERROR(__xludf.DUMMYFUNCTION("""COMPUTED_VALUE"""),"B000GOYCCC")</f>
        <v>B000GOYCCC</v>
      </c>
      <c r="E1021" t="str">
        <f>IFERROR(__xludf.DUMMYFUNCTION("""COMPUTED_VALUE"""),"014173253378")</f>
        <v>014173253378</v>
      </c>
      <c r="F1021">
        <f>IFERROR(__xludf.DUMMYFUNCTION("""COMPUTED_VALUE"""),432.0)</f>
        <v>432</v>
      </c>
      <c r="G1021">
        <f>IFERROR(__xludf.DUMMYFUNCTION("""COMPUTED_VALUE"""),10000.0)</f>
        <v>10000</v>
      </c>
      <c r="H1021" s="2">
        <f>IFERROR(__xludf.DUMMYFUNCTION("""COMPUTED_VALUE"""),6.25)</f>
        <v>6.25</v>
      </c>
      <c r="I1021" s="2">
        <f>IFERROR(__xludf.DUMMYFUNCTION("""COMPUTED_VALUE"""),6.67)</f>
        <v>6.67</v>
      </c>
      <c r="J1021" s="2">
        <f>IFERROR(__xludf.DUMMYFUNCTION("""COMPUTED_VALUE"""),0.41999999999999993)</f>
        <v>0.42</v>
      </c>
      <c r="K1021" s="5">
        <f>IFERROR(__xludf.DUMMYFUNCTION("""COMPUTED_VALUE"""),0.06719999999999998)</f>
        <v>0.0672</v>
      </c>
      <c r="L1021">
        <f>IFERROR(__xludf.DUMMYFUNCTION("""COMPUTED_VALUE"""),80357.0)</f>
        <v>80357</v>
      </c>
      <c r="M1021" t="str">
        <f>IFERROR(__xludf.DUMMYFUNCTION("""COMPUTED_VALUE"""),"Office Product")</f>
        <v>Office Product</v>
      </c>
      <c r="O1021" t="str">
        <f>IFERROR(__xludf.DUMMYFUNCTION("""COMPUTED_VALUE"""),"Y")</f>
        <v>Y</v>
      </c>
      <c r="P1021" s="1" t="str">
        <f>IFERROR(__xludf.DUMMYFUNCTION("""COMPUTED_VALUE"""),"ID 25918")</f>
        <v>ID 25918</v>
      </c>
    </row>
    <row r="1022">
      <c r="A1022" s="6">
        <f>IFERROR(__xludf.DUMMYFUNCTION("""COMPUTED_VALUE"""),45390.0)</f>
        <v>45390</v>
      </c>
      <c r="B1022">
        <f>IFERROR(__xludf.DUMMYFUNCTION("""COMPUTED_VALUE"""),14123.0)</f>
        <v>14123</v>
      </c>
      <c r="C1022" t="str">
        <f>IFERROR(__xludf.DUMMYFUNCTION("""COMPUTED_VALUE"""),"Chef Craft Egg Slicer")</f>
        <v>Chef Craft Egg Slicer</v>
      </c>
      <c r="D1022" t="str">
        <f>IFERROR(__xludf.DUMMYFUNCTION("""COMPUTED_VALUE"""),"B001WV61F4")</f>
        <v>B001WV61F4</v>
      </c>
      <c r="E1022" t="str">
        <f>IFERROR(__xludf.DUMMYFUNCTION("""COMPUTED_VALUE"""),"085455201523")</f>
        <v>085455201523</v>
      </c>
      <c r="F1022">
        <f>IFERROR(__xludf.DUMMYFUNCTION("""COMPUTED_VALUE"""),576.0)</f>
        <v>576</v>
      </c>
      <c r="G1022">
        <f>IFERROR(__xludf.DUMMYFUNCTION("""COMPUTED_VALUE"""),10000.0)</f>
        <v>10000</v>
      </c>
      <c r="H1022" s="2">
        <f>IFERROR(__xludf.DUMMYFUNCTION("""COMPUTED_VALUE"""),1.25)</f>
        <v>1.25</v>
      </c>
      <c r="I1022" s="2">
        <f>IFERROR(__xludf.DUMMYFUNCTION("""COMPUTED_VALUE"""),1.66)</f>
        <v>1.66</v>
      </c>
      <c r="J1022" s="2">
        <f>IFERROR(__xludf.DUMMYFUNCTION("""COMPUTED_VALUE"""),0.4099999999999999)</f>
        <v>0.41</v>
      </c>
      <c r="K1022" s="5">
        <f>IFERROR(__xludf.DUMMYFUNCTION("""COMPUTED_VALUE"""),0.32799999999999996)</f>
        <v>0.328</v>
      </c>
      <c r="L1022">
        <f>IFERROR(__xludf.DUMMYFUNCTION("""COMPUTED_VALUE"""),59708.0)</f>
        <v>59708</v>
      </c>
      <c r="M1022" t="str">
        <f>IFERROR(__xludf.DUMMYFUNCTION("""COMPUTED_VALUE"""),"Kitchen")</f>
        <v>Kitchen</v>
      </c>
      <c r="O1022" t="str">
        <f>IFERROR(__xludf.DUMMYFUNCTION("""COMPUTED_VALUE"""),"Y")</f>
        <v>Y</v>
      </c>
      <c r="P1022" s="1" t="str">
        <f>IFERROR(__xludf.DUMMYFUNCTION("""COMPUTED_VALUE"""),"ID 14123")</f>
        <v>ID 14123</v>
      </c>
    </row>
    <row r="1023">
      <c r="A1023" s="6">
        <f>IFERROR(__xludf.DUMMYFUNCTION("""COMPUTED_VALUE"""),44634.0)</f>
        <v>44634</v>
      </c>
      <c r="B1023">
        <f>IFERROR(__xludf.DUMMYFUNCTION("""COMPUTED_VALUE"""),14368.0)</f>
        <v>14368</v>
      </c>
      <c r="C1023" t="str">
        <f>IFERROR(__xludf.DUMMYFUNCTION("""COMPUTED_VALUE"""),"Kool Pops 20 Freezer Pop 567g")</f>
        <v>Kool Pops 20 Freezer Pop 567g</v>
      </c>
      <c r="D1023" t="str">
        <f>IFERROR(__xludf.DUMMYFUNCTION("""COMPUTED_VALUE"""),"B082W2M56V")</f>
        <v>B082W2M56V</v>
      </c>
      <c r="E1023" t="str">
        <f>IFERROR(__xludf.DUMMYFUNCTION("""COMPUTED_VALUE"""),"72392902996")</f>
        <v>72392902996</v>
      </c>
      <c r="F1023">
        <f>IFERROR(__xludf.DUMMYFUNCTION("""COMPUTED_VALUE"""),768.0)</f>
        <v>768</v>
      </c>
      <c r="G1023">
        <f>IFERROR(__xludf.DUMMYFUNCTION("""COMPUTED_VALUE"""),768.0)</f>
        <v>768</v>
      </c>
      <c r="H1023" s="2">
        <f>IFERROR(__xludf.DUMMYFUNCTION("""COMPUTED_VALUE"""),1.25)</f>
        <v>1.25</v>
      </c>
      <c r="I1023" s="2">
        <f>IFERROR(__xludf.DUMMYFUNCTION("""COMPUTED_VALUE"""),1.66)</f>
        <v>1.66</v>
      </c>
      <c r="J1023" s="2">
        <f>IFERROR(__xludf.DUMMYFUNCTION("""COMPUTED_VALUE"""),0.4099999999999999)</f>
        <v>0.41</v>
      </c>
      <c r="K1023" s="5">
        <f>IFERROR(__xludf.DUMMYFUNCTION("""COMPUTED_VALUE"""),0.32799999999999996)</f>
        <v>0.328</v>
      </c>
      <c r="L1023">
        <f>IFERROR(__xludf.DUMMYFUNCTION("""COMPUTED_VALUE"""),46558.0)</f>
        <v>46558</v>
      </c>
      <c r="M1023" t="str">
        <f>IFERROR(__xludf.DUMMYFUNCTION("""COMPUTED_VALUE"""),"Grocery")</f>
        <v>Grocery</v>
      </c>
      <c r="O1023" t="str">
        <f>IFERROR(__xludf.DUMMYFUNCTION("""COMPUTED_VALUE"""),"N")</f>
        <v>N</v>
      </c>
      <c r="P1023" s="1" t="str">
        <f>IFERROR(__xludf.DUMMYFUNCTION("""COMPUTED_VALUE"""),"ID 14368")</f>
        <v>ID 14368</v>
      </c>
    </row>
    <row r="1024">
      <c r="A1024" s="6">
        <f>IFERROR(__xludf.DUMMYFUNCTION("""COMPUTED_VALUE"""),45376.0)</f>
        <v>45376</v>
      </c>
      <c r="B1024">
        <f>IFERROR(__xludf.DUMMYFUNCTION("""COMPUTED_VALUE"""),17060.0)</f>
        <v>17060</v>
      </c>
      <c r="C1024" t="str">
        <f>IFERROR(__xludf.DUMMYFUNCTION("""COMPUTED_VALUE"""),"Prang Refill Pans for Half Pan Watercolor Paint Sets, 12 Pans Per Box, Blue (08005)")</f>
        <v>Prang Refill Pans for Half Pan Watercolor Paint Sets, 12 Pans Per Box, Blue (08005)</v>
      </c>
      <c r="D1024" t="str">
        <f>IFERROR(__xludf.DUMMYFUNCTION("""COMPUTED_VALUE"""),"B0044S99TW")</f>
        <v>B0044S99TW</v>
      </c>
      <c r="E1024" t="str">
        <f>IFERROR(__xludf.DUMMYFUNCTION("""COMPUTED_VALUE"""),"072067080059")</f>
        <v>072067080059</v>
      </c>
      <c r="F1024">
        <f>IFERROR(__xludf.DUMMYFUNCTION("""COMPUTED_VALUE"""),888.0)</f>
        <v>888</v>
      </c>
      <c r="G1024">
        <f>IFERROR(__xludf.DUMMYFUNCTION("""COMPUTED_VALUE"""),10000.0)</f>
        <v>10000</v>
      </c>
      <c r="H1024" s="2">
        <f>IFERROR(__xludf.DUMMYFUNCTION("""COMPUTED_VALUE"""),4.25)</f>
        <v>4.25</v>
      </c>
      <c r="I1024" s="2">
        <f>IFERROR(__xludf.DUMMYFUNCTION("""COMPUTED_VALUE"""),4.66)</f>
        <v>4.66</v>
      </c>
      <c r="J1024" s="2">
        <f>IFERROR(__xludf.DUMMYFUNCTION("""COMPUTED_VALUE"""),0.41000000000000014)</f>
        <v>0.41</v>
      </c>
      <c r="K1024" s="5">
        <f>IFERROR(__xludf.DUMMYFUNCTION("""COMPUTED_VALUE"""),0.09647058823529416)</f>
        <v>0.09647058824</v>
      </c>
      <c r="L1024">
        <f>IFERROR(__xludf.DUMMYFUNCTION("""COMPUTED_VALUE"""),12256.0)</f>
        <v>12256</v>
      </c>
      <c r="M1024" t="str">
        <f>IFERROR(__xludf.DUMMYFUNCTION("""COMPUTED_VALUE"""),"Home Improvement")</f>
        <v>Home Improvement</v>
      </c>
      <c r="O1024" t="str">
        <f>IFERROR(__xludf.DUMMYFUNCTION("""COMPUTED_VALUE"""),"N")</f>
        <v>N</v>
      </c>
      <c r="P1024" s="1" t="str">
        <f>IFERROR(__xludf.DUMMYFUNCTION("""COMPUTED_VALUE"""),"ID 17060")</f>
        <v>ID 17060</v>
      </c>
    </row>
    <row r="1025">
      <c r="A1025" s="6">
        <f>IFERROR(__xludf.DUMMYFUNCTION("""COMPUTED_VALUE"""),45390.0)</f>
        <v>45390</v>
      </c>
      <c r="B1025">
        <f>IFERROR(__xludf.DUMMYFUNCTION("""COMPUTED_VALUE"""),18394.0)</f>
        <v>18394</v>
      </c>
      <c r="C1025" t="str">
        <f>IFERROR(__xludf.DUMMYFUNCTION("""COMPUTED_VALUE"""),"Chef Craft Bottle Opener/Can Tapper")</f>
        <v>Chef Craft Bottle Opener/Can Tapper</v>
      </c>
      <c r="D1025" t="str">
        <f>IFERROR(__xludf.DUMMYFUNCTION("""COMPUTED_VALUE"""),"B00LSD7OZ2")</f>
        <v>B00LSD7OZ2</v>
      </c>
      <c r="E1025" t="str">
        <f>IFERROR(__xludf.DUMMYFUNCTION("""COMPUTED_VALUE"""),"085455214813")</f>
        <v>085455214813</v>
      </c>
      <c r="F1025">
        <f>IFERROR(__xludf.DUMMYFUNCTION("""COMPUTED_VALUE"""),1008.0)</f>
        <v>1008</v>
      </c>
      <c r="G1025">
        <f>IFERROR(__xludf.DUMMYFUNCTION("""COMPUTED_VALUE"""),10000.0)</f>
        <v>10000</v>
      </c>
      <c r="H1025" s="2">
        <f>IFERROR(__xludf.DUMMYFUNCTION("""COMPUTED_VALUE"""),0.75)</f>
        <v>0.75</v>
      </c>
      <c r="I1025" s="2">
        <f>IFERROR(__xludf.DUMMYFUNCTION("""COMPUTED_VALUE"""),1.16)</f>
        <v>1.16</v>
      </c>
      <c r="J1025" s="2">
        <f>IFERROR(__xludf.DUMMYFUNCTION("""COMPUTED_VALUE"""),0.4099999999999999)</f>
        <v>0.41</v>
      </c>
      <c r="K1025" s="5">
        <f>IFERROR(__xludf.DUMMYFUNCTION("""COMPUTED_VALUE"""),0.5466666666666665)</f>
        <v>0.5466666667</v>
      </c>
      <c r="L1025">
        <f>IFERROR(__xludf.DUMMYFUNCTION("""COMPUTED_VALUE"""),10170.0)</f>
        <v>10170</v>
      </c>
      <c r="M1025" t="str">
        <f>IFERROR(__xludf.DUMMYFUNCTION("""COMPUTED_VALUE"""),"Kitchen")</f>
        <v>Kitchen</v>
      </c>
      <c r="O1025" t="str">
        <f>IFERROR(__xludf.DUMMYFUNCTION("""COMPUTED_VALUE"""),"Y")</f>
        <v>Y</v>
      </c>
      <c r="P1025" s="1" t="str">
        <f>IFERROR(__xludf.DUMMYFUNCTION("""COMPUTED_VALUE"""),"ID 18394")</f>
        <v>ID 18394</v>
      </c>
    </row>
    <row r="1026">
      <c r="A1026" s="6">
        <f>IFERROR(__xludf.DUMMYFUNCTION("""COMPUTED_VALUE"""),44448.0)</f>
        <v>44448</v>
      </c>
      <c r="B1026">
        <f>IFERROR(__xludf.DUMMYFUNCTION("""COMPUTED_VALUE"""),20195.0)</f>
        <v>20195</v>
      </c>
      <c r="C1026" t="str">
        <f>IFERROR(__xludf.DUMMYFUNCTION("""COMPUTED_VALUE"""),"Garnier Nutrisse Nourishing Hair Color Creme, 82 Champagne Blonde (Champagne Fizz) (Packaging May Vary)")</f>
        <v>Garnier Nutrisse Nourishing Hair Color Creme, 82 Champagne Blonde (Champagne Fizz) (Packaging May Vary)</v>
      </c>
      <c r="D1026" t="str">
        <f>IFERROR(__xludf.DUMMYFUNCTION("""COMPUTED_VALUE"""),"B0039462LU")</f>
        <v>B0039462LU</v>
      </c>
      <c r="E1026" t="str">
        <f>IFERROR(__xludf.DUMMYFUNCTION("""COMPUTED_VALUE"""),"603084244386")</f>
        <v>603084244386</v>
      </c>
      <c r="F1026">
        <f>IFERROR(__xludf.DUMMYFUNCTION("""COMPUTED_VALUE"""),588.0)</f>
        <v>588</v>
      </c>
      <c r="G1026">
        <f>IFERROR(__xludf.DUMMYFUNCTION("""COMPUTED_VALUE"""),3240.0)</f>
        <v>3240</v>
      </c>
      <c r="H1026" s="2">
        <f>IFERROR(__xludf.DUMMYFUNCTION("""COMPUTED_VALUE"""),4.25)</f>
        <v>4.25</v>
      </c>
      <c r="I1026" s="2">
        <f>IFERROR(__xludf.DUMMYFUNCTION("""COMPUTED_VALUE"""),4.66)</f>
        <v>4.66</v>
      </c>
      <c r="J1026" s="2">
        <f>IFERROR(__xludf.DUMMYFUNCTION("""COMPUTED_VALUE"""),0.41000000000000014)</f>
        <v>0.41</v>
      </c>
      <c r="K1026" s="5">
        <f>IFERROR(__xludf.DUMMYFUNCTION("""COMPUTED_VALUE"""),0.09647058823529416)</f>
        <v>0.09647058824</v>
      </c>
      <c r="L1026">
        <f>IFERROR(__xludf.DUMMYFUNCTION("""COMPUTED_VALUE"""),7327.0)</f>
        <v>7327</v>
      </c>
      <c r="M1026" t="str">
        <f>IFERROR(__xludf.DUMMYFUNCTION("""COMPUTED_VALUE"""),"BISS Basic")</f>
        <v>BISS Basic</v>
      </c>
      <c r="O1026" t="str">
        <f>IFERROR(__xludf.DUMMYFUNCTION("""COMPUTED_VALUE"""),"N")</f>
        <v>N</v>
      </c>
      <c r="P1026" s="1" t="str">
        <f>IFERROR(__xludf.DUMMYFUNCTION("""COMPUTED_VALUE"""),"ID 20195")</f>
        <v>ID 20195</v>
      </c>
    </row>
    <row r="1027">
      <c r="A1027" s="6">
        <f>IFERROR(__xludf.DUMMYFUNCTION("""COMPUTED_VALUE"""),45348.0)</f>
        <v>45348</v>
      </c>
      <c r="B1027">
        <f>IFERROR(__xludf.DUMMYFUNCTION("""COMPUTED_VALUE"""),21879.0)</f>
        <v>21879</v>
      </c>
      <c r="C1027" t="str">
        <f>IFERROR(__xludf.DUMMYFUNCTION("""COMPUTED_VALUE"""),"ACCO Pressboard Report Cover, Side Bound, Tyvek Reinforced Hinge, 8.5 Inch Centers, 3 Inch Capacity, Letter Size, Light Blue (A7025972A)")</f>
        <v>ACCO Pressboard Report Cover, Side Bound, Tyvek Reinforced Hinge, 8.5 Inch Centers, 3 Inch Capacity, Letter Size, Light Blue (A7025972A)</v>
      </c>
      <c r="D1027" t="str">
        <f>IFERROR(__xludf.DUMMYFUNCTION("""COMPUTED_VALUE"""),"B00006IES0")</f>
        <v>B00006IES0</v>
      </c>
      <c r="E1027" t="str">
        <f>IFERROR(__xludf.DUMMYFUNCTION("""COMPUTED_VALUE"""),"050505259724")</f>
        <v>050505259724</v>
      </c>
      <c r="F1027">
        <f>IFERROR(__xludf.DUMMYFUNCTION("""COMPUTED_VALUE"""),1100.0)</f>
        <v>1100</v>
      </c>
      <c r="G1027">
        <f>IFERROR(__xludf.DUMMYFUNCTION("""COMPUTED_VALUE"""),10000.0)</f>
        <v>10000</v>
      </c>
      <c r="H1027" s="2">
        <f>IFERROR(__xludf.DUMMYFUNCTION("""COMPUTED_VALUE"""),2.25)</f>
        <v>2.25</v>
      </c>
      <c r="I1027" s="2">
        <f>IFERROR(__xludf.DUMMYFUNCTION("""COMPUTED_VALUE"""),2.66)</f>
        <v>2.66</v>
      </c>
      <c r="J1027" s="2">
        <f>IFERROR(__xludf.DUMMYFUNCTION("""COMPUTED_VALUE"""),0.41000000000000014)</f>
        <v>0.41</v>
      </c>
      <c r="K1027" s="5">
        <f>IFERROR(__xludf.DUMMYFUNCTION("""COMPUTED_VALUE"""),0.18222222222222229)</f>
        <v>0.1822222222</v>
      </c>
      <c r="L1027">
        <f>IFERROR(__xludf.DUMMYFUNCTION("""COMPUTED_VALUE"""),51374.0)</f>
        <v>51374</v>
      </c>
      <c r="M1027" t="str">
        <f>IFERROR(__xludf.DUMMYFUNCTION("""COMPUTED_VALUE"""),"Office Product")</f>
        <v>Office Product</v>
      </c>
      <c r="O1027" t="str">
        <f>IFERROR(__xludf.DUMMYFUNCTION("""COMPUTED_VALUE"""),"Y")</f>
        <v>Y</v>
      </c>
      <c r="P1027" s="1" t="str">
        <f>IFERROR(__xludf.DUMMYFUNCTION("""COMPUTED_VALUE"""),"ID 21879")</f>
        <v>ID 21879</v>
      </c>
    </row>
    <row r="1028">
      <c r="A1028" s="6">
        <f>IFERROR(__xludf.DUMMYFUNCTION("""COMPUTED_VALUE"""),45421.0)</f>
        <v>45421</v>
      </c>
      <c r="B1028">
        <f>IFERROR(__xludf.DUMMYFUNCTION("""COMPUTED_VALUE"""),25580.0)</f>
        <v>25580</v>
      </c>
      <c r="C1028" t="str">
        <f>IFERROR(__xludf.DUMMYFUNCTION("""COMPUTED_VALUE"""),"Molotow Blackliner Pen, 1mm Tip, Black Permanent Ink, 1 Each (703.209)")</f>
        <v>Molotow Blackliner Pen, 1mm Tip, Black Permanent Ink, 1 Each (703.209)</v>
      </c>
      <c r="D1028" t="str">
        <f>IFERROR(__xludf.DUMMYFUNCTION("""COMPUTED_VALUE"""),"B078GDGLKX")</f>
        <v>B078GDGLKX</v>
      </c>
      <c r="E1028" t="str">
        <f>IFERROR(__xludf.DUMMYFUNCTION("""COMPUTED_VALUE"""),"4250397639338")</f>
        <v>4250397639338</v>
      </c>
      <c r="F1028">
        <f>IFERROR(__xludf.DUMMYFUNCTION("""COMPUTED_VALUE"""),1080.0)</f>
        <v>1080</v>
      </c>
      <c r="G1028">
        <f>IFERROR(__xludf.DUMMYFUNCTION("""COMPUTED_VALUE"""),10000.0)</f>
        <v>10000</v>
      </c>
      <c r="H1028" s="2">
        <f>IFERROR(__xludf.DUMMYFUNCTION("""COMPUTED_VALUE"""),2.5)</f>
        <v>2.5</v>
      </c>
      <c r="I1028" s="2">
        <f>IFERROR(__xludf.DUMMYFUNCTION("""COMPUTED_VALUE"""),2.91)</f>
        <v>2.91</v>
      </c>
      <c r="J1028" s="2">
        <f>IFERROR(__xludf.DUMMYFUNCTION("""COMPUTED_VALUE"""),0.41000000000000014)</f>
        <v>0.41</v>
      </c>
      <c r="K1028" s="5">
        <f>IFERROR(__xludf.DUMMYFUNCTION("""COMPUTED_VALUE"""),0.16400000000000006)</f>
        <v>0.164</v>
      </c>
      <c r="L1028">
        <f>IFERROR(__xludf.DUMMYFUNCTION("""COMPUTED_VALUE"""),55105.0)</f>
        <v>55105</v>
      </c>
      <c r="M1028" t="str">
        <f>IFERROR(__xludf.DUMMYFUNCTION("""COMPUTED_VALUE"""),"Office Product")</f>
        <v>Office Product</v>
      </c>
      <c r="O1028" t="str">
        <f>IFERROR(__xludf.DUMMYFUNCTION("""COMPUTED_VALUE"""),"N")</f>
        <v>N</v>
      </c>
      <c r="P1028" s="1" t="str">
        <f>IFERROR(__xludf.DUMMYFUNCTION("""COMPUTED_VALUE"""),"ID 25580")</f>
        <v>ID 25580</v>
      </c>
    </row>
    <row r="1029">
      <c r="A1029" s="6">
        <f>IFERROR(__xludf.DUMMYFUNCTION("""COMPUTED_VALUE"""),44683.0)</f>
        <v>44683</v>
      </c>
      <c r="B1029">
        <f>IFERROR(__xludf.DUMMYFUNCTION("""COMPUTED_VALUE"""),25831.0)</f>
        <v>25831</v>
      </c>
      <c r="C1029" t="str">
        <f>IFERROR(__xludf.DUMMYFUNCTION("""COMPUTED_VALUE"""),"Softsoap Hypoallergenic Gently Lavender Hand Soap Refill - 32 Fluid Ounces")</f>
        <v>Softsoap Hypoallergenic Gently Lavender Hand Soap Refill - 32 Fluid Ounces</v>
      </c>
      <c r="D1029" t="str">
        <f>IFERROR(__xludf.DUMMYFUNCTION("""COMPUTED_VALUE"""),"B08Q2SJ7S8")</f>
        <v>B08Q2SJ7S8</v>
      </c>
      <c r="E1029" t="str">
        <f>IFERROR(__xludf.DUMMYFUNCTION("""COMPUTED_VALUE"""),"35000989178")</f>
        <v>35000989178</v>
      </c>
      <c r="F1029">
        <f>IFERROR(__xludf.DUMMYFUNCTION("""COMPUTED_VALUE"""),204.0)</f>
        <v>204</v>
      </c>
      <c r="G1029">
        <f>IFERROR(__xludf.DUMMYFUNCTION("""COMPUTED_VALUE"""),204.0)</f>
        <v>204</v>
      </c>
      <c r="H1029" s="2">
        <f>IFERROR(__xludf.DUMMYFUNCTION("""COMPUTED_VALUE"""),2.5)</f>
        <v>2.5</v>
      </c>
      <c r="I1029" s="2">
        <f>IFERROR(__xludf.DUMMYFUNCTION("""COMPUTED_VALUE"""),2.91)</f>
        <v>2.91</v>
      </c>
      <c r="J1029" s="2">
        <f>IFERROR(__xludf.DUMMYFUNCTION("""COMPUTED_VALUE"""),0.41000000000000014)</f>
        <v>0.41</v>
      </c>
      <c r="K1029" s="5">
        <f>IFERROR(__xludf.DUMMYFUNCTION("""COMPUTED_VALUE"""),0.16400000000000006)</f>
        <v>0.164</v>
      </c>
      <c r="L1029">
        <f>IFERROR(__xludf.DUMMYFUNCTION("""COMPUTED_VALUE"""),59287.0)</f>
        <v>59287</v>
      </c>
      <c r="M1029" t="str">
        <f>IFERROR(__xludf.DUMMYFUNCTION("""COMPUTED_VALUE"""),"Health and Beauty")</f>
        <v>Health and Beauty</v>
      </c>
      <c r="O1029" t="str">
        <f>IFERROR(__xludf.DUMMYFUNCTION("""COMPUTED_VALUE"""),"N")</f>
        <v>N</v>
      </c>
      <c r="P1029" s="1" t="str">
        <f>IFERROR(__xludf.DUMMYFUNCTION("""COMPUTED_VALUE"""),"ID 25831")</f>
        <v>ID 25831</v>
      </c>
    </row>
    <row r="1030">
      <c r="A1030" s="6">
        <f>IFERROR(__xludf.DUMMYFUNCTION("""COMPUTED_VALUE"""),45273.0)</f>
        <v>45273</v>
      </c>
      <c r="B1030">
        <f>IFERROR(__xludf.DUMMYFUNCTION("""COMPUTED_VALUE"""),15123.0)</f>
        <v>15123</v>
      </c>
      <c r="C1030" t="str">
        <f>IFERROR(__xludf.DUMMYFUNCTION("""COMPUTED_VALUE"""),"ELMERS 3-1/4 Oz White Probond Wood Filler (E811Q)")</f>
        <v>ELMERS 3-1/4 Oz White Probond Wood Filler (E811Q)</v>
      </c>
      <c r="D1030" t="str">
        <f>IFERROR(__xludf.DUMMYFUNCTION("""COMPUTED_VALUE"""),"B0086D557Q")</f>
        <v>B0086D557Q</v>
      </c>
      <c r="E1030" t="str">
        <f>IFERROR(__xludf.DUMMYFUNCTION("""COMPUTED_VALUE"""),"026000008112")</f>
        <v>026000008112</v>
      </c>
      <c r="F1030">
        <f>IFERROR(__xludf.DUMMYFUNCTION("""COMPUTED_VALUE"""),1422.0)</f>
        <v>1422</v>
      </c>
      <c r="G1030">
        <f>IFERROR(__xludf.DUMMYFUNCTION("""COMPUTED_VALUE"""),10000.0)</f>
        <v>10000</v>
      </c>
      <c r="H1030" s="2">
        <f>IFERROR(__xludf.DUMMYFUNCTION("""COMPUTED_VALUE"""),2.25)</f>
        <v>2.25</v>
      </c>
      <c r="I1030" s="2">
        <f>IFERROR(__xludf.DUMMYFUNCTION("""COMPUTED_VALUE"""),2.65)</f>
        <v>2.65</v>
      </c>
      <c r="J1030" s="2">
        <f>IFERROR(__xludf.DUMMYFUNCTION("""COMPUTED_VALUE"""),0.3999999999999999)</f>
        <v>0.4</v>
      </c>
      <c r="K1030" s="5">
        <f>IFERROR(__xludf.DUMMYFUNCTION("""COMPUTED_VALUE"""),0.17777777777777773)</f>
        <v>0.1777777778</v>
      </c>
      <c r="L1030">
        <f>IFERROR(__xludf.DUMMYFUNCTION("""COMPUTED_VALUE"""),52369.0)</f>
        <v>52369</v>
      </c>
      <c r="M1030" t="str">
        <f>IFERROR(__xludf.DUMMYFUNCTION("""COMPUTED_VALUE"""),"Sports")</f>
        <v>Sports</v>
      </c>
      <c r="N1030" t="str">
        <f>IFERROR(__xludf.DUMMYFUNCTION("""COMPUTED_VALUE"""),"Backorder, No ETA")</f>
        <v>Backorder, No ETA</v>
      </c>
      <c r="O1030" t="str">
        <f>IFERROR(__xludf.DUMMYFUNCTION("""COMPUTED_VALUE"""),"N")</f>
        <v>N</v>
      </c>
      <c r="P1030" s="1" t="str">
        <f>IFERROR(__xludf.DUMMYFUNCTION("""COMPUTED_VALUE"""),"ID 15123")</f>
        <v>ID 15123</v>
      </c>
    </row>
    <row r="1031">
      <c r="A1031" s="6">
        <f>IFERROR(__xludf.DUMMYFUNCTION("""COMPUTED_VALUE"""),45362.0)</f>
        <v>45362</v>
      </c>
      <c r="B1031">
        <f>IFERROR(__xludf.DUMMYFUNCTION("""COMPUTED_VALUE"""),19629.0)</f>
        <v>19629</v>
      </c>
      <c r="C1031" t="str">
        <f>IFERROR(__xludf.DUMMYFUNCTION("""COMPUTED_VALUE"""),"Pentel Quick Dock Automatic Pencil with Refill Cassette and 3 Erasers, 0.5mm, 1 Pack (QD5ELE3BP)")</f>
        <v>Pentel Quick Dock Automatic Pencil with Refill Cassette and 3 Erasers, 0.5mm, 1 Pack (QD5ELE3BP)</v>
      </c>
      <c r="D1031" t="str">
        <f>IFERROR(__xludf.DUMMYFUNCTION("""COMPUTED_VALUE"""),"B0034QPMW8")</f>
        <v>B0034QPMW8</v>
      </c>
      <c r="E1031" t="str">
        <f>IFERROR(__xludf.DUMMYFUNCTION("""COMPUTED_VALUE"""),"072512234150")</f>
        <v>072512234150</v>
      </c>
      <c r="F1031">
        <f>IFERROR(__xludf.DUMMYFUNCTION("""COMPUTED_VALUE"""),432.0)</f>
        <v>432</v>
      </c>
      <c r="G1031">
        <f>IFERROR(__xludf.DUMMYFUNCTION("""COMPUTED_VALUE"""),10000.0)</f>
        <v>10000</v>
      </c>
      <c r="H1031" s="2">
        <f>IFERROR(__xludf.DUMMYFUNCTION("""COMPUTED_VALUE"""),3.5)</f>
        <v>3.5</v>
      </c>
      <c r="I1031" s="2">
        <f>IFERROR(__xludf.DUMMYFUNCTION("""COMPUTED_VALUE"""),3.9)</f>
        <v>3.9</v>
      </c>
      <c r="J1031" s="2">
        <f>IFERROR(__xludf.DUMMYFUNCTION("""COMPUTED_VALUE"""),0.3999999999999999)</f>
        <v>0.4</v>
      </c>
      <c r="K1031" s="5">
        <f>IFERROR(__xludf.DUMMYFUNCTION("""COMPUTED_VALUE"""),0.11428571428571425)</f>
        <v>0.1142857143</v>
      </c>
      <c r="L1031">
        <f>IFERROR(__xludf.DUMMYFUNCTION("""COMPUTED_VALUE"""),97484.0)</f>
        <v>97484</v>
      </c>
      <c r="M1031" t="str">
        <f>IFERROR(__xludf.DUMMYFUNCTION("""COMPUTED_VALUE"""),"Office Product")</f>
        <v>Office Product</v>
      </c>
      <c r="O1031" t="str">
        <f>IFERROR(__xludf.DUMMYFUNCTION("""COMPUTED_VALUE"""),"Y")</f>
        <v>Y</v>
      </c>
      <c r="P1031" s="1" t="str">
        <f>IFERROR(__xludf.DUMMYFUNCTION("""COMPUTED_VALUE"""),"ID 19629")</f>
        <v>ID 19629</v>
      </c>
    </row>
    <row r="1032">
      <c r="A1032" s="6">
        <f>IFERROR(__xludf.DUMMYFUNCTION("""COMPUTED_VALUE"""),45399.0)</f>
        <v>45399</v>
      </c>
      <c r="B1032">
        <f>IFERROR(__xludf.DUMMYFUNCTION("""COMPUTED_VALUE"""),21651.0)</f>
        <v>21651</v>
      </c>
      <c r="C1032" t="str">
        <f>IFERROR(__xludf.DUMMYFUNCTION("""COMPUTED_VALUE"""),"Toy Story Disney 4 Puffy Sticker Coloring &amp; Activity Book 45773, Bendon")</f>
        <v>Toy Story Disney 4 Puffy Sticker Coloring &amp; Activity Book 45773, Bendon</v>
      </c>
      <c r="D1032" t="str">
        <f>IFERROR(__xludf.DUMMYFUNCTION("""COMPUTED_VALUE"""),"150507732X")</f>
        <v>150507732X</v>
      </c>
      <c r="E1032" t="str">
        <f>IFERROR(__xludf.DUMMYFUNCTION("""COMPUTED_VALUE"""),"9781505077322")</f>
        <v>9781505077322</v>
      </c>
      <c r="F1032">
        <f>IFERROR(__xludf.DUMMYFUNCTION("""COMPUTED_VALUE"""),912.0)</f>
        <v>912</v>
      </c>
      <c r="G1032">
        <f>IFERROR(__xludf.DUMMYFUNCTION("""COMPUTED_VALUE"""),10433.0)</f>
        <v>10433</v>
      </c>
      <c r="H1032" s="2">
        <f>IFERROR(__xludf.DUMMYFUNCTION("""COMPUTED_VALUE"""),1.5)</f>
        <v>1.5</v>
      </c>
      <c r="I1032" s="2">
        <f>IFERROR(__xludf.DUMMYFUNCTION("""COMPUTED_VALUE"""),1.9)</f>
        <v>1.9</v>
      </c>
      <c r="J1032" s="2">
        <f>IFERROR(__xludf.DUMMYFUNCTION("""COMPUTED_VALUE"""),0.3999999999999999)</f>
        <v>0.4</v>
      </c>
      <c r="K1032" s="5">
        <f>IFERROR(__xludf.DUMMYFUNCTION("""COMPUTED_VALUE"""),0.2666666666666666)</f>
        <v>0.2666666667</v>
      </c>
      <c r="L1032">
        <f>IFERROR(__xludf.DUMMYFUNCTION("""COMPUTED_VALUE"""),21514.0)</f>
        <v>21514</v>
      </c>
      <c r="M1032" t="str">
        <f>IFERROR(__xludf.DUMMYFUNCTION("""COMPUTED_VALUE"""),"Toy")</f>
        <v>Toy</v>
      </c>
      <c r="O1032" t="str">
        <f>IFERROR(__xludf.DUMMYFUNCTION("""COMPUTED_VALUE"""),"N")</f>
        <v>N</v>
      </c>
      <c r="P1032" s="1" t="str">
        <f>IFERROR(__xludf.DUMMYFUNCTION("""COMPUTED_VALUE"""),"ID 21651")</f>
        <v>ID 21651</v>
      </c>
    </row>
    <row r="1033">
      <c r="A1033" s="6">
        <f>IFERROR(__xludf.DUMMYFUNCTION("""COMPUTED_VALUE"""),45232.0)</f>
        <v>45232</v>
      </c>
      <c r="B1033">
        <f>IFERROR(__xludf.DUMMYFUNCTION("""COMPUTED_VALUE"""),22775.0)</f>
        <v>22775</v>
      </c>
      <c r="C1033" t="str">
        <f>IFERROR(__xludf.DUMMYFUNCTION("""COMPUTED_VALUE"""),"BIC Velocity Max Mechanical Pencil, Thick Point (0.9mm), 2-Count")</f>
        <v>BIC Velocity Max Mechanical Pencil, Thick Point (0.9mm), 2-Count</v>
      </c>
      <c r="D1033" t="str">
        <f>IFERROR(__xludf.DUMMYFUNCTION("""COMPUTED_VALUE"""),"B01MZE2FY8")</f>
        <v>B01MZE2FY8</v>
      </c>
      <c r="E1033" t="str">
        <f>IFERROR(__xludf.DUMMYFUNCTION("""COMPUTED_VALUE"""),"070330431478")</f>
        <v>070330431478</v>
      </c>
      <c r="F1033">
        <f>IFERROR(__xludf.DUMMYFUNCTION("""COMPUTED_VALUE"""),360.0)</f>
        <v>360</v>
      </c>
      <c r="G1033">
        <f>IFERROR(__xludf.DUMMYFUNCTION("""COMPUTED_VALUE"""),10000.0)</f>
        <v>10000</v>
      </c>
      <c r="H1033" s="2">
        <f>IFERROR(__xludf.DUMMYFUNCTION("""COMPUTED_VALUE"""),3.75)</f>
        <v>3.75</v>
      </c>
      <c r="I1033" s="2">
        <f>IFERROR(__xludf.DUMMYFUNCTION("""COMPUTED_VALUE"""),4.15)</f>
        <v>4.15</v>
      </c>
      <c r="J1033" s="2">
        <f>IFERROR(__xludf.DUMMYFUNCTION("""COMPUTED_VALUE"""),0.40000000000000036)</f>
        <v>0.4</v>
      </c>
      <c r="K1033" s="5">
        <f>IFERROR(__xludf.DUMMYFUNCTION("""COMPUTED_VALUE"""),0.10666666666666676)</f>
        <v>0.1066666667</v>
      </c>
      <c r="L1033">
        <f>IFERROR(__xludf.DUMMYFUNCTION("""COMPUTED_VALUE"""),8812.0)</f>
        <v>8812</v>
      </c>
      <c r="M1033" t="str">
        <f>IFERROR(__xludf.DUMMYFUNCTION("""COMPUTED_VALUE"""),"Office Product")</f>
        <v>Office Product</v>
      </c>
      <c r="O1033" t="str">
        <f>IFERROR(__xludf.DUMMYFUNCTION("""COMPUTED_VALUE"""),"Y")</f>
        <v>Y</v>
      </c>
      <c r="P1033" s="1" t="str">
        <f>IFERROR(__xludf.DUMMYFUNCTION("""COMPUTED_VALUE"""),"ID 22775")</f>
        <v>ID 22775</v>
      </c>
    </row>
    <row r="1034">
      <c r="A1034" s="6">
        <f>IFERROR(__xludf.DUMMYFUNCTION("""COMPUTED_VALUE"""),44861.0)</f>
        <v>44861</v>
      </c>
      <c r="B1034">
        <f>IFERROR(__xludf.DUMMYFUNCTION("""COMPUTED_VALUE"""),24261.0)</f>
        <v>24261</v>
      </c>
      <c r="C1034" t="str">
        <f>IFERROR(__xludf.DUMMYFUNCTION("""COMPUTED_VALUE"""),"Prime Collection Deep Sense Black Eau de Parfum for men, 3.4 Ounce")</f>
        <v>Prime Collection Deep Sense Black Eau de Parfum for men, 3.4 Ounce</v>
      </c>
      <c r="D1034" t="str">
        <f>IFERROR(__xludf.DUMMYFUNCTION("""COMPUTED_VALUE"""),"B076TF26D5")</f>
        <v>B076TF26D5</v>
      </c>
      <c r="E1034" t="str">
        <f>IFERROR(__xludf.DUMMYFUNCTION("""COMPUTED_VALUE"""),"3551440497037")</f>
        <v>3551440497037</v>
      </c>
      <c r="F1034">
        <f>IFERROR(__xludf.DUMMYFUNCTION("""COMPUTED_VALUE"""),90.0)</f>
        <v>90</v>
      </c>
      <c r="G1034">
        <f>IFERROR(__xludf.DUMMYFUNCTION("""COMPUTED_VALUE"""),10000.0)</f>
        <v>10000</v>
      </c>
      <c r="H1034" s="2">
        <f>IFERROR(__xludf.DUMMYFUNCTION("""COMPUTED_VALUE"""),14.75)</f>
        <v>14.75</v>
      </c>
      <c r="I1034" s="2">
        <f>IFERROR(__xludf.DUMMYFUNCTION("""COMPUTED_VALUE"""),15.15)</f>
        <v>15.15</v>
      </c>
      <c r="J1034" s="2">
        <f>IFERROR(__xludf.DUMMYFUNCTION("""COMPUTED_VALUE"""),0.40000000000000036)</f>
        <v>0.4</v>
      </c>
      <c r="K1034" s="5">
        <f>IFERROR(__xludf.DUMMYFUNCTION("""COMPUTED_VALUE"""),0.027118644067796634)</f>
        <v>0.02711864407</v>
      </c>
      <c r="L1034">
        <f>IFERROR(__xludf.DUMMYFUNCTION("""COMPUTED_VALUE"""),82712.0)</f>
        <v>82712</v>
      </c>
      <c r="M1034" t="str">
        <f>IFERROR(__xludf.DUMMYFUNCTION("""COMPUTED_VALUE"""),"Beauty")</f>
        <v>Beauty</v>
      </c>
      <c r="O1034" t="str">
        <f>IFERROR(__xludf.DUMMYFUNCTION("""COMPUTED_VALUE"""),"N")</f>
        <v>N</v>
      </c>
      <c r="P1034" s="1" t="str">
        <f>IFERROR(__xludf.DUMMYFUNCTION("""COMPUTED_VALUE"""),"ID 24261")</f>
        <v>ID 24261</v>
      </c>
    </row>
    <row r="1035">
      <c r="A1035" s="6">
        <f>IFERROR(__xludf.DUMMYFUNCTION("""COMPUTED_VALUE"""),45316.0)</f>
        <v>45316</v>
      </c>
      <c r="B1035">
        <f>IFERROR(__xludf.DUMMYFUNCTION("""COMPUTED_VALUE"""),15383.0)</f>
        <v>15383</v>
      </c>
      <c r="C1035" t="str">
        <f>IFERROR(__xludf.DUMMYFUNCTION("""COMPUTED_VALUE"""),"Perry Ellis Fragrances for Men, 3.4 Fluid Ounce")</f>
        <v>Perry Ellis Fragrances for Men, 3.4 Fluid Ounce</v>
      </c>
      <c r="D1035" t="str">
        <f>IFERROR(__xludf.DUMMYFUNCTION("""COMPUTED_VALUE"""),"B075FT8NVG")</f>
        <v>B075FT8NVG</v>
      </c>
      <c r="E1035" t="str">
        <f>IFERROR(__xludf.DUMMYFUNCTION("""COMPUTED_VALUE"""),"0844061011557")</f>
        <v>0844061011557</v>
      </c>
      <c r="F1035">
        <f>IFERROR(__xludf.DUMMYFUNCTION("""COMPUTED_VALUE"""),70.0)</f>
        <v>70</v>
      </c>
      <c r="G1035">
        <f>IFERROR(__xludf.DUMMYFUNCTION("""COMPUTED_VALUE"""),82.0)</f>
        <v>82</v>
      </c>
      <c r="H1035" s="2">
        <f>IFERROR(__xludf.DUMMYFUNCTION("""COMPUTED_VALUE"""),19.5)</f>
        <v>19.5</v>
      </c>
      <c r="I1035" s="2">
        <f>IFERROR(__xludf.DUMMYFUNCTION("""COMPUTED_VALUE"""),19.89)</f>
        <v>19.89</v>
      </c>
      <c r="J1035" s="2">
        <f>IFERROR(__xludf.DUMMYFUNCTION("""COMPUTED_VALUE"""),0.39000000000000057)</f>
        <v>0.39</v>
      </c>
      <c r="K1035" s="5">
        <f>IFERROR(__xludf.DUMMYFUNCTION("""COMPUTED_VALUE"""),0.020000000000000028)</f>
        <v>0.02</v>
      </c>
      <c r="L1035">
        <f>IFERROR(__xludf.DUMMYFUNCTION("""COMPUTED_VALUE"""),48500.0)</f>
        <v>48500</v>
      </c>
      <c r="M1035" t="str">
        <f>IFERROR(__xludf.DUMMYFUNCTION("""COMPUTED_VALUE"""),"Beauty")</f>
        <v>Beauty</v>
      </c>
      <c r="O1035" t="str">
        <f>IFERROR(__xludf.DUMMYFUNCTION("""COMPUTED_VALUE"""),"Y")</f>
        <v>Y</v>
      </c>
      <c r="P1035" s="1" t="str">
        <f>IFERROR(__xludf.DUMMYFUNCTION("""COMPUTED_VALUE"""),"ID 15383")</f>
        <v>ID 15383</v>
      </c>
    </row>
    <row r="1036">
      <c r="A1036" s="6">
        <f>IFERROR(__xludf.DUMMYFUNCTION("""COMPUTED_VALUE"""),44571.0)</f>
        <v>44571</v>
      </c>
      <c r="B1036">
        <f>IFERROR(__xludf.DUMMYFUNCTION("""COMPUTED_VALUE"""),23492.0)</f>
        <v>23492</v>
      </c>
      <c r="C1036" t="str">
        <f>IFERROR(__xludf.DUMMYFUNCTION("""COMPUTED_VALUE"""),"3M Scotch Vinyl Color Coding Electrical Tape 35, 1/2"" x 20', Multi-Color")</f>
        <v>3M Scotch Vinyl Color Coding Electrical Tape 35, 1/2" x 20', Multi-Color</v>
      </c>
      <c r="D1036" t="str">
        <f>IFERROR(__xludf.DUMMYFUNCTION("""COMPUTED_VALUE"""),"B0758FZ1WX")</f>
        <v>B0758FZ1WX</v>
      </c>
      <c r="E1036" t="str">
        <f>IFERROR(__xludf.DUMMYFUNCTION("""COMPUTED_VALUE"""),"54007905295")</f>
        <v>54007905295</v>
      </c>
      <c r="F1036">
        <f>IFERROR(__xludf.DUMMYFUNCTION("""COMPUTED_VALUE"""),250.0)</f>
        <v>250</v>
      </c>
      <c r="G1036">
        <f>IFERROR(__xludf.DUMMYFUNCTION("""COMPUTED_VALUE"""),1000.0)</f>
        <v>1000</v>
      </c>
      <c r="H1036" s="2">
        <f>IFERROR(__xludf.DUMMYFUNCTION("""COMPUTED_VALUE"""),13.5)</f>
        <v>13.5</v>
      </c>
      <c r="I1036" s="2">
        <f>IFERROR(__xludf.DUMMYFUNCTION("""COMPUTED_VALUE"""),13.89)</f>
        <v>13.89</v>
      </c>
      <c r="J1036" s="2">
        <f>IFERROR(__xludf.DUMMYFUNCTION("""COMPUTED_VALUE"""),0.39000000000000057)</f>
        <v>0.39</v>
      </c>
      <c r="K1036" s="5">
        <f>IFERROR(__xludf.DUMMYFUNCTION("""COMPUTED_VALUE"""),0.028888888888888933)</f>
        <v>0.02888888889</v>
      </c>
      <c r="L1036">
        <f>IFERROR(__xludf.DUMMYFUNCTION("""COMPUTED_VALUE"""),14769.0)</f>
        <v>14769</v>
      </c>
      <c r="M1036" t="str">
        <f>IFERROR(__xludf.DUMMYFUNCTION("""COMPUTED_VALUE"""),"BISS Basic")</f>
        <v>BISS Basic</v>
      </c>
      <c r="O1036" t="str">
        <f>IFERROR(__xludf.DUMMYFUNCTION("""COMPUTED_VALUE"""),"Y")</f>
        <v>Y</v>
      </c>
      <c r="P1036" s="1" t="str">
        <f>IFERROR(__xludf.DUMMYFUNCTION("""COMPUTED_VALUE"""),"ID 23492")</f>
        <v>ID 23492</v>
      </c>
    </row>
    <row r="1037">
      <c r="A1037" s="6">
        <f>IFERROR(__xludf.DUMMYFUNCTION("""COMPUTED_VALUE"""),45429.0)</f>
        <v>45429</v>
      </c>
      <c r="B1037">
        <f>IFERROR(__xludf.DUMMYFUNCTION("""COMPUTED_VALUE"""),25738.0)</f>
        <v>25738</v>
      </c>
      <c r="C1037" t="str">
        <f>IFERROR(__xludf.DUMMYFUNCTION("""COMPUTED_VALUE"""),"Paco Rabanne 1 Million By Paco Rabanne For Men Eau De Toilette Spray, 1.7 Fl Oz / 50 Ml Light green")</f>
        <v>Paco Rabanne 1 Million By Paco Rabanne For Men Eau De Toilette Spray, 1.7 Fl Oz / 50 Ml Light green</v>
      </c>
      <c r="D1037" t="str">
        <f>IFERROR(__xludf.DUMMYFUNCTION("""COMPUTED_VALUE"""),"B002LSTMB2")</f>
        <v>B002LSTMB2</v>
      </c>
      <c r="E1037" t="str">
        <f>IFERROR(__xludf.DUMMYFUNCTION("""COMPUTED_VALUE"""),"3349668612598")</f>
        <v>3349668612598</v>
      </c>
      <c r="F1037">
        <f>IFERROR(__xludf.DUMMYFUNCTION("""COMPUTED_VALUE"""),30.0)</f>
        <v>30</v>
      </c>
      <c r="G1037">
        <f>IFERROR(__xludf.DUMMYFUNCTION("""COMPUTED_VALUE"""),10000.0)</f>
        <v>10000</v>
      </c>
      <c r="H1037" s="2">
        <f>IFERROR(__xludf.DUMMYFUNCTION("""COMPUTED_VALUE"""),44.25)</f>
        <v>44.25</v>
      </c>
      <c r="I1037" s="2">
        <f>IFERROR(__xludf.DUMMYFUNCTION("""COMPUTED_VALUE"""),44.64)</f>
        <v>44.64</v>
      </c>
      <c r="J1037" s="2">
        <f>IFERROR(__xludf.DUMMYFUNCTION("""COMPUTED_VALUE"""),0.39000000000000057)</f>
        <v>0.39</v>
      </c>
      <c r="K1037" s="5">
        <f>IFERROR(__xludf.DUMMYFUNCTION("""COMPUTED_VALUE"""),0.008813559322033912)</f>
        <v>0.008813559322</v>
      </c>
      <c r="L1037">
        <f>IFERROR(__xludf.DUMMYFUNCTION("""COMPUTED_VALUE"""),4668.0)</f>
        <v>4668</v>
      </c>
      <c r="M1037" t="str">
        <f>IFERROR(__xludf.DUMMYFUNCTION("""COMPUTED_VALUE"""),"Beauty")</f>
        <v>Beauty</v>
      </c>
      <c r="N1037" t="str">
        <f>IFERROR(__xludf.DUMMYFUNCTION("""COMPUTED_VALUE"""),"Styling/Packaging may vary")</f>
        <v>Styling/Packaging may vary</v>
      </c>
      <c r="O1037" t="str">
        <f>IFERROR(__xludf.DUMMYFUNCTION("""COMPUTED_VALUE"""),"Y")</f>
        <v>Y</v>
      </c>
      <c r="P1037" s="1" t="str">
        <f>IFERROR(__xludf.DUMMYFUNCTION("""COMPUTED_VALUE"""),"ID 25738")</f>
        <v>ID 25738</v>
      </c>
    </row>
    <row r="1038">
      <c r="A1038" s="6">
        <f>IFERROR(__xludf.DUMMYFUNCTION("""COMPUTED_VALUE"""),45376.0)</f>
        <v>45376</v>
      </c>
      <c r="B1038">
        <f>IFERROR(__xludf.DUMMYFUNCTION("""COMPUTED_VALUE"""),3621.0)</f>
        <v>3621</v>
      </c>
      <c r="C1038" t="str">
        <f>IFERROR(__xludf.DUMMYFUNCTION("""COMPUTED_VALUE"""),"US Toy One Inflatable Space Shuttle Ship Toy, 17")</f>
        <v>US Toy One Inflatable Space Shuttle Ship Toy, 17</v>
      </c>
      <c r="D1038" t="str">
        <f>IFERROR(__xludf.DUMMYFUNCTION("""COMPUTED_VALUE"""),"B000V4JKF6")</f>
        <v>B000V4JKF6</v>
      </c>
      <c r="E1038" t="str">
        <f>IFERROR(__xludf.DUMMYFUNCTION("""COMPUTED_VALUE"""),"049392102053")</f>
        <v>049392102053</v>
      </c>
      <c r="F1038">
        <f>IFERROR(__xludf.DUMMYFUNCTION("""COMPUTED_VALUE"""),864.0)</f>
        <v>864</v>
      </c>
      <c r="G1038">
        <f>IFERROR(__xludf.DUMMYFUNCTION("""COMPUTED_VALUE"""),4936.0)</f>
        <v>4936</v>
      </c>
      <c r="H1038" s="2">
        <f>IFERROR(__xludf.DUMMYFUNCTION("""COMPUTED_VALUE"""),1.5)</f>
        <v>1.5</v>
      </c>
      <c r="I1038" s="2">
        <f>IFERROR(__xludf.DUMMYFUNCTION("""COMPUTED_VALUE"""),1.89)</f>
        <v>1.89</v>
      </c>
      <c r="J1038" s="2">
        <f>IFERROR(__xludf.DUMMYFUNCTION("""COMPUTED_VALUE"""),0.3899999999999999)</f>
        <v>0.39</v>
      </c>
      <c r="K1038" s="5">
        <f>IFERROR(__xludf.DUMMYFUNCTION("""COMPUTED_VALUE"""),0.25999999999999995)</f>
        <v>0.26</v>
      </c>
      <c r="L1038">
        <f>IFERROR(__xludf.DUMMYFUNCTION("""COMPUTED_VALUE"""),64242.0)</f>
        <v>64242</v>
      </c>
      <c r="M1038" t="str">
        <f>IFERROR(__xludf.DUMMYFUNCTION("""COMPUTED_VALUE"""),"Toy")</f>
        <v>Toy</v>
      </c>
      <c r="N1038" t="str">
        <f>IFERROR(__xludf.DUMMYFUNCTION("""COMPUTED_VALUE"""),"MAP: $2.99. If you violate the MAP pricing, the brand will remove you and require you to return the merchandise at a 50% restocking fee.")</f>
        <v>MAP: $2.99. If you violate the MAP pricing, the brand will remove you and require you to return the merchandise at a 50% restocking fee.</v>
      </c>
      <c r="O1038" t="str">
        <f>IFERROR(__xludf.DUMMYFUNCTION("""COMPUTED_VALUE"""),"Y")</f>
        <v>Y</v>
      </c>
      <c r="P1038" s="1" t="str">
        <f>IFERROR(__xludf.DUMMYFUNCTION("""COMPUTED_VALUE"""),"ID 3621")</f>
        <v>ID 3621</v>
      </c>
    </row>
    <row r="1039">
      <c r="A1039" s="6">
        <f>IFERROR(__xludf.DUMMYFUNCTION("""COMPUTED_VALUE"""),45376.0)</f>
        <v>45376</v>
      </c>
      <c r="B1039">
        <f>IFERROR(__xludf.DUMMYFUNCTION("""COMPUTED_VALUE"""),4727.0)</f>
        <v>4727</v>
      </c>
      <c r="C1039" t="str">
        <f>IFERROR(__xludf.DUMMYFUNCTION("""COMPUTED_VALUE"""),"Kole HW011 One Quart Measuring Cup, Regular")</f>
        <v>Kole HW011 One Quart Measuring Cup, Regular</v>
      </c>
      <c r="D1039" t="str">
        <f>IFERROR(__xludf.DUMMYFUNCTION("""COMPUTED_VALUE"""),"B0043WAJ9S")</f>
        <v>B0043WAJ9S</v>
      </c>
      <c r="E1039" t="str">
        <f>IFERROR(__xludf.DUMMYFUNCTION("""COMPUTED_VALUE"""),"731015134496")</f>
        <v>731015134496</v>
      </c>
      <c r="F1039">
        <f>IFERROR(__xludf.DUMMYFUNCTION("""COMPUTED_VALUE"""),792.0)</f>
        <v>792</v>
      </c>
      <c r="G1039">
        <f>IFERROR(__xludf.DUMMYFUNCTION("""COMPUTED_VALUE"""),2440.0)</f>
        <v>2440</v>
      </c>
      <c r="H1039" s="2">
        <f>IFERROR(__xludf.DUMMYFUNCTION("""COMPUTED_VALUE"""),1.25)</f>
        <v>1.25</v>
      </c>
      <c r="I1039" s="2">
        <f>IFERROR(__xludf.DUMMYFUNCTION("""COMPUTED_VALUE"""),1.64)</f>
        <v>1.64</v>
      </c>
      <c r="J1039" s="2">
        <f>IFERROR(__xludf.DUMMYFUNCTION("""COMPUTED_VALUE"""),0.3899999999999999)</f>
        <v>0.39</v>
      </c>
      <c r="K1039" s="5">
        <f>IFERROR(__xludf.DUMMYFUNCTION("""COMPUTED_VALUE"""),0.31199999999999994)</f>
        <v>0.312</v>
      </c>
      <c r="L1039">
        <f>IFERROR(__xludf.DUMMYFUNCTION("""COMPUTED_VALUE"""),80816.0)</f>
        <v>80816</v>
      </c>
      <c r="M1039" t="str">
        <f>IFERROR(__xludf.DUMMYFUNCTION("""COMPUTED_VALUE"""),"Kitchen")</f>
        <v>Kitchen</v>
      </c>
      <c r="O1039" t="str">
        <f>IFERROR(__xludf.DUMMYFUNCTION("""COMPUTED_VALUE"""),"N")</f>
        <v>N</v>
      </c>
      <c r="P1039" s="1" t="str">
        <f>IFERROR(__xludf.DUMMYFUNCTION("""COMPUTED_VALUE"""),"ID 4727")</f>
        <v>ID 4727</v>
      </c>
    </row>
    <row r="1040">
      <c r="A1040" s="6">
        <f>IFERROR(__xludf.DUMMYFUNCTION("""COMPUTED_VALUE"""),45113.0)</f>
        <v>45113</v>
      </c>
      <c r="B1040">
        <f>IFERROR(__xludf.DUMMYFUNCTION("""COMPUTED_VALUE"""),17828.0)</f>
        <v>17828</v>
      </c>
      <c r="C1040" t="str">
        <f>IFERROR(__xludf.DUMMYFUNCTION("""COMPUTED_VALUE"""),"Sharpie Oil-Based Paint Marker, Fine Point, Brown (35538)")</f>
        <v>Sharpie Oil-Based Paint Marker, Fine Point, Brown (35538)</v>
      </c>
      <c r="D1040" t="str">
        <f>IFERROR(__xludf.DUMMYFUNCTION("""COMPUTED_VALUE"""),"B0026HHZJO")</f>
        <v>B0026HHZJO</v>
      </c>
      <c r="E1040" t="str">
        <f>IFERROR(__xludf.DUMMYFUNCTION("""COMPUTED_VALUE"""),"71641355385")</f>
        <v>71641355385</v>
      </c>
      <c r="F1040">
        <f>IFERROR(__xludf.DUMMYFUNCTION("""COMPUTED_VALUE"""),1728.0)</f>
        <v>1728</v>
      </c>
      <c r="G1040">
        <f>IFERROR(__xludf.DUMMYFUNCTION("""COMPUTED_VALUE"""),10000.0)</f>
        <v>10000</v>
      </c>
      <c r="H1040" s="2">
        <f>IFERROR(__xludf.DUMMYFUNCTION("""COMPUTED_VALUE"""),1.75)</f>
        <v>1.75</v>
      </c>
      <c r="I1040" s="2">
        <f>IFERROR(__xludf.DUMMYFUNCTION("""COMPUTED_VALUE"""),2.14)</f>
        <v>2.14</v>
      </c>
      <c r="J1040" s="2">
        <f>IFERROR(__xludf.DUMMYFUNCTION("""COMPUTED_VALUE"""),0.3900000000000001)</f>
        <v>0.39</v>
      </c>
      <c r="K1040" s="5">
        <f>IFERROR(__xludf.DUMMYFUNCTION("""COMPUTED_VALUE"""),0.22285714285714292)</f>
        <v>0.2228571429</v>
      </c>
      <c r="L1040">
        <f>IFERROR(__xludf.DUMMYFUNCTION("""COMPUTED_VALUE"""),96541.0)</f>
        <v>96541</v>
      </c>
      <c r="M1040" t="str">
        <f>IFERROR(__xludf.DUMMYFUNCTION("""COMPUTED_VALUE"""),"Home")</f>
        <v>Home</v>
      </c>
      <c r="N1040" t="str">
        <f>IFERROR(__xludf.DUMMYFUNCTION("""COMPUTED_VALUE"""),"Open stock with indvidual UPC")</f>
        <v>Open stock with indvidual UPC</v>
      </c>
      <c r="O1040" t="str">
        <f>IFERROR(__xludf.DUMMYFUNCTION("""COMPUTED_VALUE"""),"N")</f>
        <v>N</v>
      </c>
      <c r="P1040" s="1" t="str">
        <f>IFERROR(__xludf.DUMMYFUNCTION("""COMPUTED_VALUE"""),"ID 17828")</f>
        <v>ID 17828</v>
      </c>
    </row>
    <row r="1041">
      <c r="A1041" s="6">
        <f>IFERROR(__xludf.DUMMYFUNCTION("""COMPUTED_VALUE"""),45376.0)</f>
        <v>45376</v>
      </c>
      <c r="B1041">
        <f>IFERROR(__xludf.DUMMYFUNCTION("""COMPUTED_VALUE"""),24114.0)</f>
        <v>24114</v>
      </c>
      <c r="C1041" t="str">
        <f>IFERROR(__xludf.DUMMYFUNCTION("""COMPUTED_VALUE"""),"Pacon Spectra Glitter Sparkling Crystals, Red, 4-Ounce Jar (91640)")</f>
        <v>Pacon Spectra Glitter Sparkling Crystals, Red, 4-Ounce Jar (91640)</v>
      </c>
      <c r="D1041" t="str">
        <f>IFERROR(__xludf.DUMMYFUNCTION("""COMPUTED_VALUE"""),"B000J07O0A")</f>
        <v>B000J07O0A</v>
      </c>
      <c r="E1041" t="str">
        <f>IFERROR(__xludf.DUMMYFUNCTION("""COMPUTED_VALUE"""),"029444916401")</f>
        <v>029444916401</v>
      </c>
      <c r="F1041">
        <f>IFERROR(__xludf.DUMMYFUNCTION("""COMPUTED_VALUE"""),1464.0)</f>
        <v>1464</v>
      </c>
      <c r="G1041">
        <f>IFERROR(__xludf.DUMMYFUNCTION("""COMPUTED_VALUE"""),10000.0)</f>
        <v>10000</v>
      </c>
      <c r="H1041" s="2">
        <f>IFERROR(__xludf.DUMMYFUNCTION("""COMPUTED_VALUE"""),2.5)</f>
        <v>2.5</v>
      </c>
      <c r="I1041" s="2">
        <f>IFERROR(__xludf.DUMMYFUNCTION("""COMPUTED_VALUE"""),2.89)</f>
        <v>2.89</v>
      </c>
      <c r="J1041" s="2">
        <f>IFERROR(__xludf.DUMMYFUNCTION("""COMPUTED_VALUE"""),0.3900000000000001)</f>
        <v>0.39</v>
      </c>
      <c r="K1041" s="5">
        <f>IFERROR(__xludf.DUMMYFUNCTION("""COMPUTED_VALUE"""),0.15600000000000006)</f>
        <v>0.156</v>
      </c>
      <c r="L1041">
        <f>IFERROR(__xludf.DUMMYFUNCTION("""COMPUTED_VALUE"""),12842.0)</f>
        <v>12842</v>
      </c>
      <c r="M1041" t="str">
        <f>IFERROR(__xludf.DUMMYFUNCTION("""COMPUTED_VALUE"""),"BISS Basic")</f>
        <v>BISS Basic</v>
      </c>
      <c r="O1041" t="str">
        <f>IFERROR(__xludf.DUMMYFUNCTION("""COMPUTED_VALUE"""),"Y")</f>
        <v>Y</v>
      </c>
      <c r="P1041" s="1" t="str">
        <f>IFERROR(__xludf.DUMMYFUNCTION("""COMPUTED_VALUE"""),"ID 24114")</f>
        <v>ID 24114</v>
      </c>
    </row>
    <row r="1042">
      <c r="A1042" s="6">
        <f>IFERROR(__xludf.DUMMYFUNCTION("""COMPUTED_VALUE"""),45425.0)</f>
        <v>45425</v>
      </c>
      <c r="B1042">
        <f>IFERROR(__xludf.DUMMYFUNCTION("""COMPUTED_VALUE"""),14663.0)</f>
        <v>14663</v>
      </c>
      <c r="C1042" t="str">
        <f>IFERROR(__xludf.DUMMYFUNCTION("""COMPUTED_VALUE"""),"Enamel Coffee Pot")</f>
        <v>Enamel Coffee Pot</v>
      </c>
      <c r="D1042" t="str">
        <f>IFERROR(__xludf.DUMMYFUNCTION("""COMPUTED_VALUE"""),"B00AFYSQI4")</f>
        <v>B00AFYSQI4</v>
      </c>
      <c r="E1042" t="str">
        <f>IFERROR(__xludf.DUMMYFUNCTION("""COMPUTED_VALUE"""),"082013018852")</f>
        <v>082013018852</v>
      </c>
      <c r="F1042">
        <f>IFERROR(__xludf.DUMMYFUNCTION("""COMPUTED_VALUE"""),162.0)</f>
        <v>162</v>
      </c>
      <c r="G1042">
        <f>IFERROR(__xludf.DUMMYFUNCTION("""COMPUTED_VALUE"""),10000.0)</f>
        <v>10000</v>
      </c>
      <c r="H1042" s="2">
        <f>IFERROR(__xludf.DUMMYFUNCTION("""COMPUTED_VALUE"""),8.25)</f>
        <v>8.25</v>
      </c>
      <c r="I1042" s="2">
        <f>IFERROR(__xludf.DUMMYFUNCTION("""COMPUTED_VALUE"""),8.63)</f>
        <v>8.63</v>
      </c>
      <c r="J1042" s="2">
        <f>IFERROR(__xludf.DUMMYFUNCTION("""COMPUTED_VALUE"""),0.3800000000000008)</f>
        <v>0.38</v>
      </c>
      <c r="K1042" s="5">
        <f>IFERROR(__xludf.DUMMYFUNCTION("""COMPUTED_VALUE"""),0.046060606060606156)</f>
        <v>0.04606060606</v>
      </c>
      <c r="L1042">
        <f>IFERROR(__xludf.DUMMYFUNCTION("""COMPUTED_VALUE"""),60139.0)</f>
        <v>60139</v>
      </c>
      <c r="M1042" t="str">
        <f>IFERROR(__xludf.DUMMYFUNCTION("""COMPUTED_VALUE"""),"BISS Basic")</f>
        <v>BISS Basic</v>
      </c>
      <c r="O1042" t="str">
        <f>IFERROR(__xludf.DUMMYFUNCTION("""COMPUTED_VALUE"""),"N")</f>
        <v>N</v>
      </c>
      <c r="P1042" s="1" t="str">
        <f>IFERROR(__xludf.DUMMYFUNCTION("""COMPUTED_VALUE"""),"ID 14663")</f>
        <v>ID 14663</v>
      </c>
    </row>
    <row r="1043">
      <c r="A1043" s="6">
        <f>IFERROR(__xludf.DUMMYFUNCTION("""COMPUTED_VALUE"""),45251.0)</f>
        <v>45251</v>
      </c>
      <c r="B1043">
        <f>IFERROR(__xludf.DUMMYFUNCTION("""COMPUTED_VALUE"""),22385.0)</f>
        <v>22385</v>
      </c>
      <c r="C1043" t="str">
        <f>IFERROR(__xludf.DUMMYFUNCTION("""COMPUTED_VALUE"""),"Filofax REFILLABLE NOTEBOOK CLASSIC, 10.8"" x 8.5"" Fuchsia - Elegant leather-look cover with moveable pages - Elastic closure, index, pocket and page marker (B115105U), Letter Size")</f>
        <v>Filofax REFILLABLE NOTEBOOK CLASSIC, 10.8" x 8.5" Fuchsia - Elegant leather-look cover with moveable pages - Elastic closure, index, pocket and page marker (B115105U), Letter Size</v>
      </c>
      <c r="D1043" t="str">
        <f>IFERROR(__xludf.DUMMYFUNCTION("""COMPUTED_VALUE"""),"B01CP2RJD6")</f>
        <v>B01CP2RJD6</v>
      </c>
      <c r="E1043" t="str">
        <f>IFERROR(__xludf.DUMMYFUNCTION("""COMPUTED_VALUE"""),"757286601666")</f>
        <v>757286601666</v>
      </c>
      <c r="F1043">
        <f>IFERROR(__xludf.DUMMYFUNCTION("""COMPUTED_VALUE"""),100.0)</f>
        <v>100</v>
      </c>
      <c r="G1043">
        <f>IFERROR(__xludf.DUMMYFUNCTION("""COMPUTED_VALUE"""),10000.0)</f>
        <v>10000</v>
      </c>
      <c r="H1043" s="2">
        <f>IFERROR(__xludf.DUMMYFUNCTION("""COMPUTED_VALUE"""),15.0)</f>
        <v>15</v>
      </c>
      <c r="I1043" s="2">
        <f>IFERROR(__xludf.DUMMYFUNCTION("""COMPUTED_VALUE"""),15.38)</f>
        <v>15.38</v>
      </c>
      <c r="J1043" s="2">
        <f>IFERROR(__xludf.DUMMYFUNCTION("""COMPUTED_VALUE"""),0.3800000000000008)</f>
        <v>0.38</v>
      </c>
      <c r="K1043" s="5">
        <f>IFERROR(__xludf.DUMMYFUNCTION("""COMPUTED_VALUE"""),0.025333333333333385)</f>
        <v>0.02533333333</v>
      </c>
      <c r="L1043">
        <f>IFERROR(__xludf.DUMMYFUNCTION("""COMPUTED_VALUE"""),74800.0)</f>
        <v>74800</v>
      </c>
      <c r="M1043" t="str">
        <f>IFERROR(__xludf.DUMMYFUNCTION("""COMPUTED_VALUE"""),"Office Product")</f>
        <v>Office Product</v>
      </c>
      <c r="O1043" t="str">
        <f>IFERROR(__xludf.DUMMYFUNCTION("""COMPUTED_VALUE"""),"Y")</f>
        <v>Y</v>
      </c>
      <c r="P1043" s="1" t="str">
        <f>IFERROR(__xludf.DUMMYFUNCTION("""COMPUTED_VALUE"""),"ID 22385")</f>
        <v>ID 22385</v>
      </c>
    </row>
    <row r="1044">
      <c r="A1044" s="6">
        <f>IFERROR(__xludf.DUMMYFUNCTION("""COMPUTED_VALUE"""),45376.0)</f>
        <v>45376</v>
      </c>
      <c r="B1044">
        <f>IFERROR(__xludf.DUMMYFUNCTION("""COMPUTED_VALUE"""),5032.0)</f>
        <v>5032</v>
      </c>
      <c r="C1044" t="str">
        <f>IFERROR(__xludf.DUMMYFUNCTION("""COMPUTED_VALUE"""),"Jumbo Fake Ears (One Pair)")</f>
        <v>Jumbo Fake Ears (One Pair)</v>
      </c>
      <c r="D1044" t="str">
        <f>IFERROR(__xludf.DUMMYFUNCTION("""COMPUTED_VALUE"""),"B00362TWH6")</f>
        <v>B00362TWH6</v>
      </c>
      <c r="E1044" t="str">
        <f>IFERROR(__xludf.DUMMYFUNCTION("""COMPUTED_VALUE"""),"049392054383")</f>
        <v>049392054383</v>
      </c>
      <c r="F1044">
        <f>IFERROR(__xludf.DUMMYFUNCTION("""COMPUTED_VALUE"""),432.0)</f>
        <v>432</v>
      </c>
      <c r="G1044">
        <f>IFERROR(__xludf.DUMMYFUNCTION("""COMPUTED_VALUE"""),691.0)</f>
        <v>691</v>
      </c>
      <c r="H1044" s="2">
        <f>IFERROR(__xludf.DUMMYFUNCTION("""COMPUTED_VALUE"""),2.0)</f>
        <v>2</v>
      </c>
      <c r="I1044" s="2">
        <f>IFERROR(__xludf.DUMMYFUNCTION("""COMPUTED_VALUE"""),2.38)</f>
        <v>2.38</v>
      </c>
      <c r="J1044" s="2">
        <f>IFERROR(__xludf.DUMMYFUNCTION("""COMPUTED_VALUE"""),0.3799999999999999)</f>
        <v>0.38</v>
      </c>
      <c r="K1044" s="5">
        <f>IFERROR(__xludf.DUMMYFUNCTION("""COMPUTED_VALUE"""),0.18999999999999995)</f>
        <v>0.19</v>
      </c>
      <c r="L1044">
        <f>IFERROR(__xludf.DUMMYFUNCTION("""COMPUTED_VALUE"""),74727.0)</f>
        <v>74727</v>
      </c>
      <c r="M1044" t="str">
        <f>IFERROR(__xludf.DUMMYFUNCTION("""COMPUTED_VALUE"""),"Home")</f>
        <v>Home</v>
      </c>
      <c r="N1044" t="str">
        <f>IFERROR(__xludf.DUMMYFUNCTION("""COMPUTED_VALUE"""),"MAP $3.99. If you violate the MAP pricing the brand may choose to remove you from the listing")</f>
        <v>MAP $3.99. If you violate the MAP pricing the brand may choose to remove you from the listing</v>
      </c>
      <c r="O1044" t="str">
        <f>IFERROR(__xludf.DUMMYFUNCTION("""COMPUTED_VALUE"""),"N")</f>
        <v>N</v>
      </c>
      <c r="P1044" s="1" t="str">
        <f>IFERROR(__xludf.DUMMYFUNCTION("""COMPUTED_VALUE"""),"ID 5032")</f>
        <v>ID 5032</v>
      </c>
    </row>
    <row r="1045">
      <c r="A1045" s="6">
        <f>IFERROR(__xludf.DUMMYFUNCTION("""COMPUTED_VALUE"""),45334.0)</f>
        <v>45334</v>
      </c>
      <c r="B1045">
        <f>IFERROR(__xludf.DUMMYFUNCTION("""COMPUTED_VALUE"""),9651.0)</f>
        <v>9651</v>
      </c>
      <c r="C1045" t="str">
        <f>IFERROR(__xludf.DUMMYFUNCTION("""COMPUTED_VALUE"""),"Kole Imports Skinny Natural Wood Craft Sticks")</f>
        <v>Kole Imports Skinny Natural Wood Craft Sticks</v>
      </c>
      <c r="D1045" t="str">
        <f>IFERROR(__xludf.DUMMYFUNCTION("""COMPUTED_VALUE"""),"B00W68CVEW")</f>
        <v>B00W68CVEW</v>
      </c>
      <c r="E1045" t="str">
        <f>IFERROR(__xludf.DUMMYFUNCTION("""COMPUTED_VALUE"""),"731015205349")</f>
        <v>731015205349</v>
      </c>
      <c r="F1045">
        <f>IFERROR(__xludf.DUMMYFUNCTION("""COMPUTED_VALUE"""),1152.0)</f>
        <v>1152</v>
      </c>
      <c r="G1045">
        <f>IFERROR(__xludf.DUMMYFUNCTION("""COMPUTED_VALUE"""),3130.0)</f>
        <v>3130</v>
      </c>
      <c r="H1045" s="2">
        <f>IFERROR(__xludf.DUMMYFUNCTION("""COMPUTED_VALUE"""),1.0)</f>
        <v>1</v>
      </c>
      <c r="I1045" s="2">
        <f>IFERROR(__xludf.DUMMYFUNCTION("""COMPUTED_VALUE"""),1.38)</f>
        <v>1.38</v>
      </c>
      <c r="J1045" s="2">
        <f>IFERROR(__xludf.DUMMYFUNCTION("""COMPUTED_VALUE"""),0.3799999999999999)</f>
        <v>0.38</v>
      </c>
      <c r="K1045" s="5">
        <f>IFERROR(__xludf.DUMMYFUNCTION("""COMPUTED_VALUE"""),0.3799999999999999)</f>
        <v>0.38</v>
      </c>
      <c r="L1045">
        <f>IFERROR(__xludf.DUMMYFUNCTION("""COMPUTED_VALUE"""),6735.0)</f>
        <v>6735</v>
      </c>
      <c r="M1045" t="str">
        <f>IFERROR(__xludf.DUMMYFUNCTION("""COMPUTED_VALUE"""),"Art and Craft Supply")</f>
        <v>Art and Craft Supply</v>
      </c>
      <c r="O1045" t="str">
        <f>IFERROR(__xludf.DUMMYFUNCTION("""COMPUTED_VALUE"""),"N")</f>
        <v>N</v>
      </c>
      <c r="P1045" s="1" t="str">
        <f>IFERROR(__xludf.DUMMYFUNCTION("""COMPUTED_VALUE"""),"ID 9651")</f>
        <v>ID 9651</v>
      </c>
    </row>
    <row r="1046">
      <c r="A1046" s="6">
        <f>IFERROR(__xludf.DUMMYFUNCTION("""COMPUTED_VALUE"""),45351.0)</f>
        <v>45351</v>
      </c>
      <c r="B1046">
        <f>IFERROR(__xludf.DUMMYFUNCTION("""COMPUTED_VALUE"""),23931.0)</f>
        <v>23931</v>
      </c>
      <c r="C1046" t="str">
        <f>IFERROR(__xludf.DUMMYFUNCTION("""COMPUTED_VALUE"""),"Alliance Rubber 26625 Advantage Rubber Bands Size #62, 1 lb Box Contains Approx. 450 Bands (2 1/2"" x 1/4"", Natural Crepe)")</f>
        <v>Alliance Rubber 26625 Advantage Rubber Bands Size #62, 1 lb Box Contains Approx. 450 Bands (2 1/2" x 1/4", Natural Crepe)</v>
      </c>
      <c r="D1046" t="str">
        <f>IFERROR(__xludf.DUMMYFUNCTION("""COMPUTED_VALUE"""),"B008X0A2UC")</f>
        <v>B008X0A2UC</v>
      </c>
      <c r="E1046" t="str">
        <f>IFERROR(__xludf.DUMMYFUNCTION("""COMPUTED_VALUE"""),"071815266257")</f>
        <v>071815266257</v>
      </c>
      <c r="F1046">
        <f>IFERROR(__xludf.DUMMYFUNCTION("""COMPUTED_VALUE"""),360.0)</f>
        <v>360</v>
      </c>
      <c r="G1046">
        <f>IFERROR(__xludf.DUMMYFUNCTION("""COMPUTED_VALUE"""),10000.0)</f>
        <v>10000</v>
      </c>
      <c r="H1046" s="2">
        <f>IFERROR(__xludf.DUMMYFUNCTION("""COMPUTED_VALUE"""),3.5)</f>
        <v>3.5</v>
      </c>
      <c r="I1046" s="2">
        <f>IFERROR(__xludf.DUMMYFUNCTION("""COMPUTED_VALUE"""),3.88)</f>
        <v>3.88</v>
      </c>
      <c r="J1046" s="2">
        <f>IFERROR(__xludf.DUMMYFUNCTION("""COMPUTED_VALUE"""),0.3799999999999999)</f>
        <v>0.38</v>
      </c>
      <c r="K1046" s="5">
        <f>IFERROR(__xludf.DUMMYFUNCTION("""COMPUTED_VALUE"""),0.10857142857142854)</f>
        <v>0.1085714286</v>
      </c>
      <c r="L1046">
        <f>IFERROR(__xludf.DUMMYFUNCTION("""COMPUTED_VALUE"""),1056.0)</f>
        <v>1056</v>
      </c>
      <c r="M1046" t="str">
        <f>IFERROR(__xludf.DUMMYFUNCTION("""COMPUTED_VALUE"""),"Office Product")</f>
        <v>Office Product</v>
      </c>
      <c r="O1046" t="str">
        <f>IFERROR(__xludf.DUMMYFUNCTION("""COMPUTED_VALUE"""),"Y")</f>
        <v>Y</v>
      </c>
      <c r="P1046" s="1" t="str">
        <f>IFERROR(__xludf.DUMMYFUNCTION("""COMPUTED_VALUE"""),"ID 23931")</f>
        <v>ID 23931</v>
      </c>
    </row>
    <row r="1047">
      <c r="A1047" s="6">
        <f>IFERROR(__xludf.DUMMYFUNCTION("""COMPUTED_VALUE"""),45232.0)</f>
        <v>45232</v>
      </c>
      <c r="B1047">
        <f>IFERROR(__xludf.DUMMYFUNCTION("""COMPUTED_VALUE"""),14018.0)</f>
        <v>14018</v>
      </c>
      <c r="C1047" t="str">
        <f>IFERROR(__xludf.DUMMYFUNCTION("""COMPUTED_VALUE"""),"Bic Intensity Fineliner Marker Pen Sets (1)")</f>
        <v>Bic Intensity Fineliner Marker Pen Sets (1)</v>
      </c>
      <c r="D1047" t="str">
        <f>IFERROR(__xludf.DUMMYFUNCTION("""COMPUTED_VALUE"""),"B01N9VTZFY")</f>
        <v>B01N9VTZFY</v>
      </c>
      <c r="E1047" t="str">
        <f>IFERROR(__xludf.DUMMYFUNCTION("""COMPUTED_VALUE"""),"070330522923")</f>
        <v>070330522923</v>
      </c>
      <c r="F1047">
        <f>IFERROR(__xludf.DUMMYFUNCTION("""COMPUTED_VALUE"""),612.0)</f>
        <v>612</v>
      </c>
      <c r="G1047">
        <f>IFERROR(__xludf.DUMMYFUNCTION("""COMPUTED_VALUE"""),10000.0)</f>
        <v>10000</v>
      </c>
      <c r="H1047" s="2">
        <f>IFERROR(__xludf.DUMMYFUNCTION("""COMPUTED_VALUE"""),2.0)</f>
        <v>2</v>
      </c>
      <c r="I1047" s="2">
        <f>IFERROR(__xludf.DUMMYFUNCTION("""COMPUTED_VALUE"""),2.37)</f>
        <v>2.37</v>
      </c>
      <c r="J1047" s="2">
        <f>IFERROR(__xludf.DUMMYFUNCTION("""COMPUTED_VALUE"""),0.3700000000000001)</f>
        <v>0.37</v>
      </c>
      <c r="K1047" s="5">
        <f>IFERROR(__xludf.DUMMYFUNCTION("""COMPUTED_VALUE"""),0.18500000000000005)</f>
        <v>0.185</v>
      </c>
      <c r="L1047">
        <f>IFERROR(__xludf.DUMMYFUNCTION("""COMPUTED_VALUE"""),46609.0)</f>
        <v>46609</v>
      </c>
      <c r="M1047" t="str">
        <f>IFERROR(__xludf.DUMMYFUNCTION("""COMPUTED_VALUE"""),"Office Product")</f>
        <v>Office Product</v>
      </c>
      <c r="O1047" t="str">
        <f>IFERROR(__xludf.DUMMYFUNCTION("""COMPUTED_VALUE"""),"N")</f>
        <v>N</v>
      </c>
      <c r="P1047" s="1" t="str">
        <f>IFERROR(__xludf.DUMMYFUNCTION("""COMPUTED_VALUE"""),"ID 14018")</f>
        <v>ID 14018</v>
      </c>
    </row>
    <row r="1048">
      <c r="A1048" s="6">
        <f>IFERROR(__xludf.DUMMYFUNCTION("""COMPUTED_VALUE"""),45390.0)</f>
        <v>45390</v>
      </c>
      <c r="B1048">
        <f>IFERROR(__xludf.DUMMYFUNCTION("""COMPUTED_VALUE"""),21133.0)</f>
        <v>21133</v>
      </c>
      <c r="C1048" t="str">
        <f>IFERROR(__xludf.DUMMYFUNCTION("""COMPUTED_VALUE"""),"Chef Craft Premium Silicone Basting Spoon, 11 inch, Pastel Blue")</f>
        <v>Chef Craft Premium Silicone Basting Spoon, 11 inch, Pastel Blue</v>
      </c>
      <c r="D1048" t="str">
        <f>IFERROR(__xludf.DUMMYFUNCTION("""COMPUTED_VALUE"""),"B08SJ3J436")</f>
        <v>B08SJ3J436</v>
      </c>
      <c r="E1048" t="str">
        <f>IFERROR(__xludf.DUMMYFUNCTION("""COMPUTED_VALUE"""),"085455139307")</f>
        <v>085455139307</v>
      </c>
      <c r="F1048">
        <f>IFERROR(__xludf.DUMMYFUNCTION("""COMPUTED_VALUE"""),360.0)</f>
        <v>360</v>
      </c>
      <c r="G1048">
        <f>IFERROR(__xludf.DUMMYFUNCTION("""COMPUTED_VALUE"""),10000.0)</f>
        <v>10000</v>
      </c>
      <c r="H1048" s="2">
        <f>IFERROR(__xludf.DUMMYFUNCTION("""COMPUTED_VALUE"""),2.75)</f>
        <v>2.75</v>
      </c>
      <c r="I1048" s="2">
        <f>IFERROR(__xludf.DUMMYFUNCTION("""COMPUTED_VALUE"""),3.12)</f>
        <v>3.12</v>
      </c>
      <c r="J1048" s="2">
        <f>IFERROR(__xludf.DUMMYFUNCTION("""COMPUTED_VALUE"""),0.3700000000000001)</f>
        <v>0.37</v>
      </c>
      <c r="K1048" s="5">
        <f>IFERROR(__xludf.DUMMYFUNCTION("""COMPUTED_VALUE"""),0.13454545454545458)</f>
        <v>0.1345454545</v>
      </c>
      <c r="L1048">
        <f>IFERROR(__xludf.DUMMYFUNCTION("""COMPUTED_VALUE"""),43285.0)</f>
        <v>43285</v>
      </c>
      <c r="M1048" t="str">
        <f>IFERROR(__xludf.DUMMYFUNCTION("""COMPUTED_VALUE"""),"Kitchen")</f>
        <v>Kitchen</v>
      </c>
      <c r="O1048" t="str">
        <f>IFERROR(__xludf.DUMMYFUNCTION("""COMPUTED_VALUE"""),"Y")</f>
        <v>Y</v>
      </c>
      <c r="P1048" s="1" t="str">
        <f>IFERROR(__xludf.DUMMYFUNCTION("""COMPUTED_VALUE"""),"ID 21133")</f>
        <v>ID 21133</v>
      </c>
    </row>
    <row r="1049">
      <c r="A1049" s="6">
        <f>IFERROR(__xludf.DUMMYFUNCTION("""COMPUTED_VALUE"""),45414.0)</f>
        <v>45414</v>
      </c>
      <c r="B1049">
        <f>IFERROR(__xludf.DUMMYFUNCTION("""COMPUTED_VALUE"""),21279.0)</f>
        <v>21279</v>
      </c>
      <c r="C1049" t="str">
        <f>IFERROR(__xludf.DUMMYFUNCTION("""COMPUTED_VALUE"""),"Project Highrise Architects Edition (PS4)")</f>
        <v>Project Highrise Architects Edition (PS4)</v>
      </c>
      <c r="D1049" t="str">
        <f>IFERROR(__xludf.DUMMYFUNCTION("""COMPUTED_VALUE"""),"B07FB4DL37")</f>
        <v>B07FB4DL37</v>
      </c>
      <c r="E1049" t="str">
        <f>IFERROR(__xludf.DUMMYFUNCTION("""COMPUTED_VALUE"""),"4260458361245")</f>
        <v>4260458361245</v>
      </c>
      <c r="F1049">
        <f>IFERROR(__xludf.DUMMYFUNCTION("""COMPUTED_VALUE"""),950.0)</f>
        <v>950</v>
      </c>
      <c r="G1049">
        <f>IFERROR(__xludf.DUMMYFUNCTION("""COMPUTED_VALUE"""),10000.0)</f>
        <v>10000</v>
      </c>
      <c r="H1049" s="2">
        <f>IFERROR(__xludf.DUMMYFUNCTION("""COMPUTED_VALUE"""),5.5)</f>
        <v>5.5</v>
      </c>
      <c r="I1049" s="2">
        <f>IFERROR(__xludf.DUMMYFUNCTION("""COMPUTED_VALUE"""),5.87)</f>
        <v>5.87</v>
      </c>
      <c r="J1049" s="2">
        <f>IFERROR(__xludf.DUMMYFUNCTION("""COMPUTED_VALUE"""),0.3700000000000001)</f>
        <v>0.37</v>
      </c>
      <c r="K1049" s="5">
        <f>IFERROR(__xludf.DUMMYFUNCTION("""COMPUTED_VALUE"""),0.06727272727272729)</f>
        <v>0.06727272727</v>
      </c>
      <c r="L1049">
        <f>IFERROR(__xludf.DUMMYFUNCTION("""COMPUTED_VALUE"""),48205.0)</f>
        <v>48205</v>
      </c>
      <c r="M1049" t="str">
        <f>IFERROR(__xludf.DUMMYFUNCTION("""COMPUTED_VALUE"""),"Video Games")</f>
        <v>Video Games</v>
      </c>
      <c r="O1049" t="str">
        <f>IFERROR(__xludf.DUMMYFUNCTION("""COMPUTED_VALUE"""),"N")</f>
        <v>N</v>
      </c>
      <c r="P1049" s="1" t="str">
        <f>IFERROR(__xludf.DUMMYFUNCTION("""COMPUTED_VALUE"""),"ID 21279")</f>
        <v>ID 21279</v>
      </c>
    </row>
    <row r="1050">
      <c r="A1050" s="6">
        <f>IFERROR(__xludf.DUMMYFUNCTION("""COMPUTED_VALUE"""),44739.0)</f>
        <v>44739</v>
      </c>
      <c r="B1050">
        <f>IFERROR(__xludf.DUMMYFUNCTION("""COMPUTED_VALUE"""),23477.0)</f>
        <v>23477</v>
      </c>
      <c r="C1050" t="str">
        <f>IFERROR(__xludf.DUMMYFUNCTION("""COMPUTED_VALUE"""),"3M Vinyl Tape 764, General Purpose, 1 in x 36 yd, Orange, 1 Roll, Light Traffic Floor Marking Tape, Social Distancing, Color Coding, Safety, Bundling")</f>
        <v>3M Vinyl Tape 764, General Purpose, 1 in x 36 yd, Orange, 1 Roll, Light Traffic Floor Marking Tape, Social Distancing, Color Coding, Safety, Bundling</v>
      </c>
      <c r="D1050" t="str">
        <f>IFERROR(__xludf.DUMMYFUNCTION("""COMPUTED_VALUE"""),"B000SPTT4K")</f>
        <v>B000SPTT4K</v>
      </c>
      <c r="E1050" t="str">
        <f>IFERROR(__xludf.DUMMYFUNCTION("""COMPUTED_VALUE"""),"21200434372")</f>
        <v>21200434372</v>
      </c>
      <c r="F1050">
        <f>IFERROR(__xludf.DUMMYFUNCTION("""COMPUTED_VALUE"""),1044.0)</f>
        <v>1044</v>
      </c>
      <c r="G1050">
        <f>IFERROR(__xludf.DUMMYFUNCTION("""COMPUTED_VALUE"""),2000.0)</f>
        <v>2000</v>
      </c>
      <c r="H1050" s="2">
        <f>IFERROR(__xludf.DUMMYFUNCTION("""COMPUTED_VALUE"""),3.5)</f>
        <v>3.5</v>
      </c>
      <c r="I1050" s="2">
        <f>IFERROR(__xludf.DUMMYFUNCTION("""COMPUTED_VALUE"""),3.87)</f>
        <v>3.87</v>
      </c>
      <c r="J1050" s="2">
        <f>IFERROR(__xludf.DUMMYFUNCTION("""COMPUTED_VALUE"""),0.3700000000000001)</f>
        <v>0.37</v>
      </c>
      <c r="K1050" s="5">
        <f>IFERROR(__xludf.DUMMYFUNCTION("""COMPUTED_VALUE"""),0.10571428571428575)</f>
        <v>0.1057142857</v>
      </c>
      <c r="L1050">
        <f>IFERROR(__xludf.DUMMYFUNCTION("""COMPUTED_VALUE"""),3423.0)</f>
        <v>3423</v>
      </c>
      <c r="M1050" t="str">
        <f>IFERROR(__xludf.DUMMYFUNCTION("""COMPUTED_VALUE"""),"BISS Basic")</f>
        <v>BISS Basic</v>
      </c>
      <c r="O1050" t="str">
        <f>IFERROR(__xludf.DUMMYFUNCTION("""COMPUTED_VALUE"""),"Y")</f>
        <v>Y</v>
      </c>
      <c r="P1050" s="1" t="str">
        <f>IFERROR(__xludf.DUMMYFUNCTION("""COMPUTED_VALUE"""),"ID 23477")</f>
        <v>ID 23477</v>
      </c>
    </row>
    <row r="1051">
      <c r="A1051" s="6">
        <f>IFERROR(__xludf.DUMMYFUNCTION("""COMPUTED_VALUE"""),45397.0)</f>
        <v>45397</v>
      </c>
      <c r="B1051">
        <f>IFERROR(__xludf.DUMMYFUNCTION("""COMPUTED_VALUE"""),22154.0)</f>
        <v>22154</v>
      </c>
      <c r="C1051" t="str">
        <f>IFERROR(__xludf.DUMMYFUNCTION("""COMPUTED_VALUE"""),"Maybelline Dream Radiant Liquid Medium Coverage Hydrating Makeup, Lightweight Liquid Foundation, Cashew, 1 Fl; Oz")</f>
        <v>Maybelline Dream Radiant Liquid Medium Coverage Hydrating Makeup, Lightweight Liquid Foundation, Cashew, 1 Fl; Oz</v>
      </c>
      <c r="D1051" t="str">
        <f>IFERROR(__xludf.DUMMYFUNCTION("""COMPUTED_VALUE"""),"B07W8JKNHV")</f>
        <v>B07W8JKNHV</v>
      </c>
      <c r="E1051" t="str">
        <f>IFERROR(__xludf.DUMMYFUNCTION("""COMPUTED_VALUE"""),"041554579161")</f>
        <v>041554579161</v>
      </c>
      <c r="F1051">
        <f>IFERROR(__xludf.DUMMYFUNCTION("""COMPUTED_VALUE"""),910.0)</f>
        <v>910</v>
      </c>
      <c r="G1051">
        <f>IFERROR(__xludf.DUMMYFUNCTION("""COMPUTED_VALUE"""),1200.0)</f>
        <v>1200</v>
      </c>
      <c r="H1051" s="2">
        <f>IFERROR(__xludf.DUMMYFUNCTION("""COMPUTED_VALUE"""),2.0)</f>
        <v>2</v>
      </c>
      <c r="I1051" s="2">
        <f>IFERROR(__xludf.DUMMYFUNCTION("""COMPUTED_VALUE"""),2.36)</f>
        <v>2.36</v>
      </c>
      <c r="J1051" s="2">
        <f>IFERROR(__xludf.DUMMYFUNCTION("""COMPUTED_VALUE"""),0.3599999999999999)</f>
        <v>0.36</v>
      </c>
      <c r="K1051" s="5">
        <f>IFERROR(__xludf.DUMMYFUNCTION("""COMPUTED_VALUE"""),0.17999999999999994)</f>
        <v>0.18</v>
      </c>
      <c r="L1051">
        <f>IFERROR(__xludf.DUMMYFUNCTION("""COMPUTED_VALUE"""),2238.0)</f>
        <v>2238</v>
      </c>
      <c r="M1051" t="str">
        <f>IFERROR(__xludf.DUMMYFUNCTION("""COMPUTED_VALUE"""),"Beauty")</f>
        <v>Beauty</v>
      </c>
      <c r="O1051" t="str">
        <f>IFERROR(__xludf.DUMMYFUNCTION("""COMPUTED_VALUE"""),"N")</f>
        <v>N</v>
      </c>
      <c r="P1051" s="1" t="str">
        <f>IFERROR(__xludf.DUMMYFUNCTION("""COMPUTED_VALUE"""),"ID 22154")</f>
        <v>ID 22154</v>
      </c>
    </row>
    <row r="1052">
      <c r="A1052" s="6">
        <f>IFERROR(__xludf.DUMMYFUNCTION("""COMPUTED_VALUE"""),45421.0)</f>
        <v>45421</v>
      </c>
      <c r="B1052">
        <f>IFERROR(__xludf.DUMMYFUNCTION("""COMPUTED_VALUE"""),23076.0)</f>
        <v>23076</v>
      </c>
      <c r="C1052" t="str">
        <f>IFERROR(__xludf.DUMMYFUNCTION("""COMPUTED_VALUE"""),"Molotow ONE4ALL Acrylic Paint Marker, 4mm, Traffic Red, 1 Each (227.202)")</f>
        <v>Molotow ONE4ALL Acrylic Paint Marker, 4mm, Traffic Red, 1 Each (227.202)</v>
      </c>
      <c r="D1052" t="str">
        <f>IFERROR(__xludf.DUMMYFUNCTION("""COMPUTED_VALUE"""),"B0044D194K")</f>
        <v>B0044D194K</v>
      </c>
      <c r="E1052" t="str">
        <f>IFERROR(__xludf.DUMMYFUNCTION("""COMPUTED_VALUE"""),"4250397600581")</f>
        <v>4250397600581</v>
      </c>
      <c r="F1052">
        <f>IFERROR(__xludf.DUMMYFUNCTION("""COMPUTED_VALUE"""),384.0)</f>
        <v>384</v>
      </c>
      <c r="G1052">
        <f>IFERROR(__xludf.DUMMYFUNCTION("""COMPUTED_VALUE"""),10000.0)</f>
        <v>10000</v>
      </c>
      <c r="H1052" s="2">
        <f>IFERROR(__xludf.DUMMYFUNCTION("""COMPUTED_VALUE"""),6.25)</f>
        <v>6.25</v>
      </c>
      <c r="I1052" s="2">
        <f>IFERROR(__xludf.DUMMYFUNCTION("""COMPUTED_VALUE"""),6.61)</f>
        <v>6.61</v>
      </c>
      <c r="J1052" s="2">
        <f>IFERROR(__xludf.DUMMYFUNCTION("""COMPUTED_VALUE"""),0.3600000000000003)</f>
        <v>0.36</v>
      </c>
      <c r="K1052" s="5">
        <f>IFERROR(__xludf.DUMMYFUNCTION("""COMPUTED_VALUE"""),0.057600000000000054)</f>
        <v>0.0576</v>
      </c>
      <c r="L1052">
        <f>IFERROR(__xludf.DUMMYFUNCTION("""COMPUTED_VALUE"""),43427.0)</f>
        <v>43427</v>
      </c>
      <c r="M1052" t="str">
        <f>IFERROR(__xludf.DUMMYFUNCTION("""COMPUTED_VALUE"""),"Office Product")</f>
        <v>Office Product</v>
      </c>
      <c r="O1052" t="str">
        <f>IFERROR(__xludf.DUMMYFUNCTION("""COMPUTED_VALUE"""),"N")</f>
        <v>N</v>
      </c>
      <c r="P1052" s="1" t="str">
        <f>IFERROR(__xludf.DUMMYFUNCTION("""COMPUTED_VALUE"""),"ID 23076")</f>
        <v>ID 23076</v>
      </c>
    </row>
    <row r="1053">
      <c r="A1053" s="6">
        <f>IFERROR(__xludf.DUMMYFUNCTION("""COMPUTED_VALUE"""),45351.0)</f>
        <v>45351</v>
      </c>
      <c r="B1053">
        <f>IFERROR(__xludf.DUMMYFUNCTION("""COMPUTED_VALUE"""),24025.0)</f>
        <v>24025</v>
      </c>
      <c r="C1053" t="str">
        <f>IFERROR(__xludf.DUMMYFUNCTION("""COMPUTED_VALUE"""),"Alliance Rubber 26324 Advantage Rubber Bands Size #32, 1 lb Bag Contains Approx. 700 Bands (3"" x 1/8"", Natural Crepe) , Beige")</f>
        <v>Alliance Rubber 26324 Advantage Rubber Bands Size #32, 1 lb Bag Contains Approx. 700 Bands (3" x 1/8", Natural Crepe) , Beige</v>
      </c>
      <c r="D1053" t="str">
        <f>IFERROR(__xludf.DUMMYFUNCTION("""COMPUTED_VALUE"""),"B00A27PFOC")</f>
        <v>B00A27PFOC</v>
      </c>
      <c r="E1053" t="str">
        <f>IFERROR(__xludf.DUMMYFUNCTION("""COMPUTED_VALUE"""),"071815263249")</f>
        <v>071815263249</v>
      </c>
      <c r="F1053">
        <f>IFERROR(__xludf.DUMMYFUNCTION("""COMPUTED_VALUE"""),450.0)</f>
        <v>450</v>
      </c>
      <c r="G1053">
        <f>IFERROR(__xludf.DUMMYFUNCTION("""COMPUTED_VALUE"""),10000.0)</f>
        <v>10000</v>
      </c>
      <c r="H1053" s="2">
        <f>IFERROR(__xludf.DUMMYFUNCTION("""COMPUTED_VALUE"""),3.0)</f>
        <v>3</v>
      </c>
      <c r="I1053" s="2">
        <f>IFERROR(__xludf.DUMMYFUNCTION("""COMPUTED_VALUE"""),3.36)</f>
        <v>3.36</v>
      </c>
      <c r="J1053" s="2">
        <f>IFERROR(__xludf.DUMMYFUNCTION("""COMPUTED_VALUE"""),0.3599999999999999)</f>
        <v>0.36</v>
      </c>
      <c r="K1053" s="5">
        <f>IFERROR(__xludf.DUMMYFUNCTION("""COMPUTED_VALUE"""),0.11999999999999995)</f>
        <v>0.12</v>
      </c>
      <c r="L1053">
        <f>IFERROR(__xludf.DUMMYFUNCTION("""COMPUTED_VALUE"""),1205.0)</f>
        <v>1205</v>
      </c>
      <c r="M1053" t="str">
        <f>IFERROR(__xludf.DUMMYFUNCTION("""COMPUTED_VALUE"""),"Office Product")</f>
        <v>Office Product</v>
      </c>
      <c r="O1053" t="str">
        <f>IFERROR(__xludf.DUMMYFUNCTION("""COMPUTED_VALUE"""),"Y")</f>
        <v>Y</v>
      </c>
      <c r="P1053" s="1" t="str">
        <f>IFERROR(__xludf.DUMMYFUNCTION("""COMPUTED_VALUE"""),"ID 24025")</f>
        <v>ID 24025</v>
      </c>
    </row>
    <row r="1054">
      <c r="A1054" s="6">
        <f>IFERROR(__xludf.DUMMYFUNCTION("""COMPUTED_VALUE"""),44594.0)</f>
        <v>44594</v>
      </c>
      <c r="B1054">
        <f>IFERROR(__xludf.DUMMYFUNCTION("""COMPUTED_VALUE"""),15556.0)</f>
        <v>15556</v>
      </c>
      <c r="C1054" t="str">
        <f>IFERROR(__xludf.DUMMYFUNCTION("""COMPUTED_VALUE"""),"T-Rex Double Sided Super Glue Tape, 0.75 Inches by 5 Yards")</f>
        <v>T-Rex Double Sided Super Glue Tape, 0.75 Inches by 5 Yards</v>
      </c>
      <c r="D1054" t="str">
        <f>IFERROR(__xludf.DUMMYFUNCTION("""COMPUTED_VALUE"""),"B07YVMH9R7")</f>
        <v>B07YVMH9R7</v>
      </c>
      <c r="E1054" t="str">
        <f>IFERROR(__xludf.DUMMYFUNCTION("""COMPUTED_VALUE"""),"075353136232")</f>
        <v>075353136232</v>
      </c>
      <c r="F1054">
        <f>IFERROR(__xludf.DUMMYFUNCTION("""COMPUTED_VALUE"""),330.0)</f>
        <v>330</v>
      </c>
      <c r="G1054">
        <f>IFERROR(__xludf.DUMMYFUNCTION("""COMPUTED_VALUE"""),1000.0)</f>
        <v>1000</v>
      </c>
      <c r="H1054" s="2">
        <f>IFERROR(__xludf.DUMMYFUNCTION("""COMPUTED_VALUE"""),4.0)</f>
        <v>4</v>
      </c>
      <c r="I1054" s="2">
        <f>IFERROR(__xludf.DUMMYFUNCTION("""COMPUTED_VALUE"""),4.36)</f>
        <v>4.36</v>
      </c>
      <c r="J1054" s="2">
        <f>IFERROR(__xludf.DUMMYFUNCTION("""COMPUTED_VALUE"""),0.3600000000000003)</f>
        <v>0.36</v>
      </c>
      <c r="K1054" s="5">
        <f>IFERROR(__xludf.DUMMYFUNCTION("""COMPUTED_VALUE"""),0.09000000000000008)</f>
        <v>0.09</v>
      </c>
      <c r="L1054">
        <f>IFERROR(__xludf.DUMMYFUNCTION("""COMPUTED_VALUE"""),40547.0)</f>
        <v>40547</v>
      </c>
      <c r="M1054" t="str">
        <f>IFERROR(__xludf.DUMMYFUNCTION("""COMPUTED_VALUE"""),"Home Improvement")</f>
        <v>Home Improvement</v>
      </c>
      <c r="O1054" t="str">
        <f>IFERROR(__xludf.DUMMYFUNCTION("""COMPUTED_VALUE"""),"N")</f>
        <v>N</v>
      </c>
      <c r="P1054" s="1" t="str">
        <f>IFERROR(__xludf.DUMMYFUNCTION("""COMPUTED_VALUE"""),"ID 15556")</f>
        <v>ID 15556</v>
      </c>
    </row>
    <row r="1055">
      <c r="A1055" s="6">
        <f>IFERROR(__xludf.DUMMYFUNCTION("""COMPUTED_VALUE"""),45376.0)</f>
        <v>45376</v>
      </c>
      <c r="B1055">
        <f>IFERROR(__xludf.DUMMYFUNCTION("""COMPUTED_VALUE"""),25489.0)</f>
        <v>25489</v>
      </c>
      <c r="C1055" t="str">
        <f>IFERROR(__xludf.DUMMYFUNCTION("""COMPUTED_VALUE"""),"Centric Brands Paw Patrol Kids Body Wash - Refreshing Childrens Bath for Shower and Time, Girls Boys Soap Pawsome Berry-Scented Cartoon 8 Fluid Ounces Ounce 203711")</f>
        <v>Centric Brands Paw Patrol Kids Body Wash - Refreshing Childrens Bath for Shower and Time, Girls Boys Soap Pawsome Berry-Scented Cartoon 8 Fluid Ounces Ounce 203711</v>
      </c>
      <c r="D1055" t="str">
        <f>IFERROR(__xludf.DUMMYFUNCTION("""COMPUTED_VALUE"""),"B09CF4H33D")</f>
        <v>B09CF4H33D</v>
      </c>
      <c r="E1055" t="str">
        <f>IFERROR(__xludf.DUMMYFUNCTION("""COMPUTED_VALUE"""),"889628115996")</f>
        <v>889628115996</v>
      </c>
      <c r="F1055">
        <f>IFERROR(__xludf.DUMMYFUNCTION("""COMPUTED_VALUE"""),1272.0)</f>
        <v>1272</v>
      </c>
      <c r="G1055">
        <f>IFERROR(__xludf.DUMMYFUNCTION("""COMPUTED_VALUE"""),8037.0)</f>
        <v>8037</v>
      </c>
      <c r="H1055" s="2">
        <f>IFERROR(__xludf.DUMMYFUNCTION("""COMPUTED_VALUE"""),1.0)</f>
        <v>1</v>
      </c>
      <c r="I1055" s="2">
        <f>IFERROR(__xludf.DUMMYFUNCTION("""COMPUTED_VALUE"""),1.36)</f>
        <v>1.36</v>
      </c>
      <c r="J1055" s="2">
        <f>IFERROR(__xludf.DUMMYFUNCTION("""COMPUTED_VALUE"""),0.3600000000000001)</f>
        <v>0.36</v>
      </c>
      <c r="K1055" s="5">
        <f>IFERROR(__xludf.DUMMYFUNCTION("""COMPUTED_VALUE"""),0.3600000000000001)</f>
        <v>0.36</v>
      </c>
      <c r="L1055">
        <f>IFERROR(__xludf.DUMMYFUNCTION("""COMPUTED_VALUE"""),97386.0)</f>
        <v>97386</v>
      </c>
      <c r="M1055" t="str">
        <f>IFERROR(__xludf.DUMMYFUNCTION("""COMPUTED_VALUE"""),"Sports")</f>
        <v>Sports</v>
      </c>
      <c r="O1055" t="str">
        <f>IFERROR(__xludf.DUMMYFUNCTION("""COMPUTED_VALUE"""),"N")</f>
        <v>N</v>
      </c>
      <c r="P1055" s="1" t="str">
        <f>IFERROR(__xludf.DUMMYFUNCTION("""COMPUTED_VALUE"""),"ID 25489")</f>
        <v>ID 25489</v>
      </c>
    </row>
    <row r="1056">
      <c r="A1056" s="6">
        <f>IFERROR(__xludf.DUMMYFUNCTION("""COMPUTED_VALUE"""),45229.0)</f>
        <v>45229</v>
      </c>
      <c r="B1056">
        <f>IFERROR(__xludf.DUMMYFUNCTION("""COMPUTED_VALUE"""),22839.0)</f>
        <v>22839</v>
      </c>
      <c r="C1056" t="str">
        <f>IFERROR(__xludf.DUMMYFUNCTION("""COMPUTED_VALUE"""),"Swingline Stapler, NeXXt Series Wow, Desktop Stapler, 40 Sheet Capacity, Orange (55047044)")</f>
        <v>Swingline Stapler, NeXXt Series Wow, Desktop Stapler, 40 Sheet Capacity, Orange (55047044)</v>
      </c>
      <c r="D1056" t="str">
        <f>IFERROR(__xludf.DUMMYFUNCTION("""COMPUTED_VALUE"""),"B00RPOOSLQ")</f>
        <v>B00RPOOSLQ</v>
      </c>
      <c r="E1056" t="str">
        <f>IFERROR(__xludf.DUMMYFUNCTION("""COMPUTED_VALUE"""),"608931028126")</f>
        <v>608931028126</v>
      </c>
      <c r="F1056">
        <f>IFERROR(__xludf.DUMMYFUNCTION("""COMPUTED_VALUE"""),120.0)</f>
        <v>120</v>
      </c>
      <c r="G1056">
        <f>IFERROR(__xludf.DUMMYFUNCTION("""COMPUTED_VALUE"""),10000.0)</f>
        <v>10000</v>
      </c>
      <c r="H1056" s="2">
        <f>IFERROR(__xludf.DUMMYFUNCTION("""COMPUTED_VALUE"""),21.25)</f>
        <v>21.25</v>
      </c>
      <c r="I1056" s="2">
        <f>IFERROR(__xludf.DUMMYFUNCTION("""COMPUTED_VALUE"""),21.6)</f>
        <v>21.6</v>
      </c>
      <c r="J1056" s="2">
        <f>IFERROR(__xludf.DUMMYFUNCTION("""COMPUTED_VALUE"""),0.3500000000000014)</f>
        <v>0.35</v>
      </c>
      <c r="K1056" s="5">
        <f>IFERROR(__xludf.DUMMYFUNCTION("""COMPUTED_VALUE"""),0.016470588235294185)</f>
        <v>0.01647058824</v>
      </c>
      <c r="L1056">
        <f>IFERROR(__xludf.DUMMYFUNCTION("""COMPUTED_VALUE"""),53075.0)</f>
        <v>53075</v>
      </c>
      <c r="M1056" t="str">
        <f>IFERROR(__xludf.DUMMYFUNCTION("""COMPUTED_VALUE"""),"Office Product")</f>
        <v>Office Product</v>
      </c>
      <c r="O1056" t="str">
        <f>IFERROR(__xludf.DUMMYFUNCTION("""COMPUTED_VALUE"""),"Y")</f>
        <v>Y</v>
      </c>
      <c r="P1056" s="1" t="str">
        <f>IFERROR(__xludf.DUMMYFUNCTION("""COMPUTED_VALUE"""),"ID 22839")</f>
        <v>ID 22839</v>
      </c>
    </row>
    <row r="1057">
      <c r="A1057" s="6">
        <f>IFERROR(__xludf.DUMMYFUNCTION("""COMPUTED_VALUE"""),45348.0)</f>
        <v>45348</v>
      </c>
      <c r="B1057">
        <f>IFERROR(__xludf.DUMMYFUNCTION("""COMPUTED_VALUE"""),22815.0)</f>
        <v>22815</v>
      </c>
      <c r="C1057" t="str">
        <f>IFERROR(__xludf.DUMMYFUNCTION("""COMPUTED_VALUE"""),"ACCO PRESSTEX Report Cover, Top Bound, Tyvek Reinforced Hinge, 2.75 Inch Centers, 2 Inch Capacity, Letter Size, Red (A7017028)")</f>
        <v>ACCO PRESSTEX Report Cover, Top Bound, Tyvek Reinforced Hinge, 2.75 Inch Centers, 2 Inch Capacity, Letter Size, Red (A7017028)</v>
      </c>
      <c r="D1057" t="str">
        <f>IFERROR(__xludf.DUMMYFUNCTION("""COMPUTED_VALUE"""),"B0006YZSNY")</f>
        <v>B0006YZSNY</v>
      </c>
      <c r="E1057" t="str">
        <f>IFERROR(__xludf.DUMMYFUNCTION("""COMPUTED_VALUE"""),"050505170289")</f>
        <v>050505170289</v>
      </c>
      <c r="F1057">
        <f>IFERROR(__xludf.DUMMYFUNCTION("""COMPUTED_VALUE"""),600.0)</f>
        <v>600</v>
      </c>
      <c r="G1057">
        <f>IFERROR(__xludf.DUMMYFUNCTION("""COMPUTED_VALUE"""),10000.0)</f>
        <v>10000</v>
      </c>
      <c r="H1057" s="2">
        <f>IFERROR(__xludf.DUMMYFUNCTION("""COMPUTED_VALUE"""),4.25)</f>
        <v>4.25</v>
      </c>
      <c r="I1057" s="2">
        <f>IFERROR(__xludf.DUMMYFUNCTION("""COMPUTED_VALUE"""),4.6)</f>
        <v>4.6</v>
      </c>
      <c r="J1057" s="2">
        <f>IFERROR(__xludf.DUMMYFUNCTION("""COMPUTED_VALUE"""),0.34999999999999964)</f>
        <v>0.35</v>
      </c>
      <c r="K1057" s="5">
        <f>IFERROR(__xludf.DUMMYFUNCTION("""COMPUTED_VALUE"""),0.0823529411764705)</f>
        <v>0.08235294118</v>
      </c>
      <c r="L1057">
        <f>IFERROR(__xludf.DUMMYFUNCTION("""COMPUTED_VALUE"""),47058.0)</f>
        <v>47058</v>
      </c>
      <c r="M1057" t="str">
        <f>IFERROR(__xludf.DUMMYFUNCTION("""COMPUTED_VALUE"""),"Office Product")</f>
        <v>Office Product</v>
      </c>
      <c r="N1057"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057" t="str">
        <f>IFERROR(__xludf.DUMMYFUNCTION("""COMPUTED_VALUE"""),"N")</f>
        <v>N</v>
      </c>
      <c r="P1057" s="1" t="str">
        <f>IFERROR(__xludf.DUMMYFUNCTION("""COMPUTED_VALUE"""),"ID 22815")</f>
        <v>ID 22815</v>
      </c>
    </row>
    <row r="1058">
      <c r="A1058" s="6">
        <f>IFERROR(__xludf.DUMMYFUNCTION("""COMPUTED_VALUE"""),45151.0)</f>
        <v>45151</v>
      </c>
      <c r="B1058">
        <f>IFERROR(__xludf.DUMMYFUNCTION("""COMPUTED_VALUE"""),2411.0)</f>
        <v>2411</v>
      </c>
      <c r="C1058" t="str">
        <f>IFERROR(__xludf.DUMMYFUNCTION("""COMPUTED_VALUE"""),"Pie Face Sky High Game")</f>
        <v>Pie Face Sky High Game</v>
      </c>
      <c r="D1058" t="str">
        <f>IFERROR(__xludf.DUMMYFUNCTION("""COMPUTED_VALUE"""),"B01N9QJZXD")</f>
        <v>B01N9QJZXD</v>
      </c>
      <c r="E1058" t="str">
        <f>IFERROR(__xludf.DUMMYFUNCTION("""COMPUTED_VALUE"""),"630509535453")</f>
        <v>630509535453</v>
      </c>
      <c r="F1058">
        <f>IFERROR(__xludf.DUMMYFUNCTION("""COMPUTED_VALUE"""),174.0)</f>
        <v>174</v>
      </c>
      <c r="G1058">
        <f>IFERROR(__xludf.DUMMYFUNCTION("""COMPUTED_VALUE"""),25827.0)</f>
        <v>25827</v>
      </c>
      <c r="H1058" s="2">
        <f>IFERROR(__xludf.DUMMYFUNCTION("""COMPUTED_VALUE"""),7.0)</f>
        <v>7</v>
      </c>
      <c r="I1058" s="2">
        <f>IFERROR(__xludf.DUMMYFUNCTION("""COMPUTED_VALUE"""),7.35)</f>
        <v>7.35</v>
      </c>
      <c r="J1058" s="2">
        <f>IFERROR(__xludf.DUMMYFUNCTION("""COMPUTED_VALUE"""),0.34999999999999964)</f>
        <v>0.35</v>
      </c>
      <c r="K1058" s="5">
        <f>IFERROR(__xludf.DUMMYFUNCTION("""COMPUTED_VALUE"""),0.04999999999999995)</f>
        <v>0.05</v>
      </c>
      <c r="L1058">
        <f>IFERROR(__xludf.DUMMYFUNCTION("""COMPUTED_VALUE"""),64138.0)</f>
        <v>64138</v>
      </c>
      <c r="M1058" t="str">
        <f>IFERROR(__xludf.DUMMYFUNCTION("""COMPUTED_VALUE"""),"Toy")</f>
        <v>Toy</v>
      </c>
      <c r="O1058" t="str">
        <f>IFERROR(__xludf.DUMMYFUNCTION("""COMPUTED_VALUE"""),"N")</f>
        <v>N</v>
      </c>
      <c r="P1058" s="1" t="str">
        <f>IFERROR(__xludf.DUMMYFUNCTION("""COMPUTED_VALUE"""),"ID 2411")</f>
        <v>ID 2411</v>
      </c>
    </row>
    <row r="1059">
      <c r="A1059" s="6">
        <f>IFERROR(__xludf.DUMMYFUNCTION("""COMPUTED_VALUE"""),45376.0)</f>
        <v>45376</v>
      </c>
      <c r="B1059">
        <f>IFERROR(__xludf.DUMMYFUNCTION("""COMPUTED_VALUE"""),1797.0)</f>
        <v>1797</v>
      </c>
      <c r="C1059" t="str">
        <f>IFERROR(__xludf.DUMMYFUNCTION("""COMPUTED_VALUE"""),"U.S. Toy 2378 Mini Insects")</f>
        <v>U.S. Toy 2378 Mini Insects</v>
      </c>
      <c r="D1059" t="str">
        <f>IFERROR(__xludf.DUMMYFUNCTION("""COMPUTED_VALUE"""),"B00362QNLO")</f>
        <v>B00362QNLO</v>
      </c>
      <c r="E1059" t="str">
        <f>IFERROR(__xludf.DUMMYFUNCTION("""COMPUTED_VALUE"""),"049392023785")</f>
        <v>049392023785</v>
      </c>
      <c r="F1059">
        <f>IFERROR(__xludf.DUMMYFUNCTION("""COMPUTED_VALUE"""),648.0)</f>
        <v>648</v>
      </c>
      <c r="G1059">
        <f>IFERROR(__xludf.DUMMYFUNCTION("""COMPUTED_VALUE"""),1406.0)</f>
        <v>1406</v>
      </c>
      <c r="H1059" s="2">
        <f>IFERROR(__xludf.DUMMYFUNCTION("""COMPUTED_VALUE"""),2.25)</f>
        <v>2.25</v>
      </c>
      <c r="I1059" s="2">
        <f>IFERROR(__xludf.DUMMYFUNCTION("""COMPUTED_VALUE"""),2.59)</f>
        <v>2.59</v>
      </c>
      <c r="J1059" s="2">
        <f>IFERROR(__xludf.DUMMYFUNCTION("""COMPUTED_VALUE"""),0.33999999999999986)</f>
        <v>0.34</v>
      </c>
      <c r="K1059" s="5">
        <f>IFERROR(__xludf.DUMMYFUNCTION("""COMPUTED_VALUE"""),0.15111111111111106)</f>
        <v>0.1511111111</v>
      </c>
      <c r="L1059">
        <f>IFERROR(__xludf.DUMMYFUNCTION("""COMPUTED_VALUE"""),36982.0)</f>
        <v>36982</v>
      </c>
      <c r="M1059" t="str">
        <f>IFERROR(__xludf.DUMMYFUNCTION("""COMPUTED_VALUE"""),"BISS Basic")</f>
        <v>BISS Basic</v>
      </c>
      <c r="N1059" t="str">
        <f>IFERROR(__xludf.DUMMYFUNCTION("""COMPUTED_VALUE"""),"MAP: $3.99. If you violate the MAP pricing, the brand will remove you and require you to return the merchandise at a 50% restocking fee.")</f>
        <v>MAP: $3.99. If you violate the MAP pricing, the brand will remove you and require you to return the merchandise at a 50% restocking fee.</v>
      </c>
      <c r="O1059" t="str">
        <f>IFERROR(__xludf.DUMMYFUNCTION("""COMPUTED_VALUE"""),"N")</f>
        <v>N</v>
      </c>
      <c r="P1059" s="1" t="str">
        <f>IFERROR(__xludf.DUMMYFUNCTION("""COMPUTED_VALUE"""),"ID 1797")</f>
        <v>ID 1797</v>
      </c>
    </row>
    <row r="1060">
      <c r="A1060" s="6">
        <f>IFERROR(__xludf.DUMMYFUNCTION("""COMPUTED_VALUE"""),45390.0)</f>
        <v>45390</v>
      </c>
      <c r="B1060">
        <f>IFERROR(__xludf.DUMMYFUNCTION("""COMPUTED_VALUE"""),21122.0)</f>
        <v>21122</v>
      </c>
      <c r="C1060" t="str">
        <f>IFERROR(__xludf.DUMMYFUNCTION("""COMPUTED_VALUE"""),"Chef Craft Premium Silicone Basting Spoon, 11 inch, Gray")</f>
        <v>Chef Craft Premium Silicone Basting Spoon, 11 inch, Gray</v>
      </c>
      <c r="D1060" t="str">
        <f>IFERROR(__xludf.DUMMYFUNCTION("""COMPUTED_VALUE"""),"B08SJRD8SM")</f>
        <v>B08SJRD8SM</v>
      </c>
      <c r="E1060" t="str">
        <f>IFERROR(__xludf.DUMMYFUNCTION("""COMPUTED_VALUE"""),"085455138300")</f>
        <v>085455138300</v>
      </c>
      <c r="F1060">
        <f>IFERROR(__xludf.DUMMYFUNCTION("""COMPUTED_VALUE"""),360.0)</f>
        <v>360</v>
      </c>
      <c r="G1060">
        <f>IFERROR(__xludf.DUMMYFUNCTION("""COMPUTED_VALUE"""),10000.0)</f>
        <v>10000</v>
      </c>
      <c r="H1060" s="2">
        <f>IFERROR(__xludf.DUMMYFUNCTION("""COMPUTED_VALUE"""),2.75)</f>
        <v>2.75</v>
      </c>
      <c r="I1060" s="2">
        <f>IFERROR(__xludf.DUMMYFUNCTION("""COMPUTED_VALUE"""),3.09)</f>
        <v>3.09</v>
      </c>
      <c r="J1060" s="2">
        <f>IFERROR(__xludf.DUMMYFUNCTION("""COMPUTED_VALUE"""),0.33999999999999986)</f>
        <v>0.34</v>
      </c>
      <c r="K1060" s="5">
        <f>IFERROR(__xludf.DUMMYFUNCTION("""COMPUTED_VALUE"""),0.12363636363636359)</f>
        <v>0.1236363636</v>
      </c>
      <c r="L1060">
        <f>IFERROR(__xludf.DUMMYFUNCTION("""COMPUTED_VALUE"""),50959.0)</f>
        <v>50959</v>
      </c>
      <c r="M1060" t="str">
        <f>IFERROR(__xludf.DUMMYFUNCTION("""COMPUTED_VALUE"""),"Kitchen")</f>
        <v>Kitchen</v>
      </c>
      <c r="O1060" t="str">
        <f>IFERROR(__xludf.DUMMYFUNCTION("""COMPUTED_VALUE"""),"Y")</f>
        <v>Y</v>
      </c>
      <c r="P1060" s="1" t="str">
        <f>IFERROR(__xludf.DUMMYFUNCTION("""COMPUTED_VALUE"""),"ID 21122")</f>
        <v>ID 21122</v>
      </c>
    </row>
    <row r="1061">
      <c r="A1061" s="6">
        <f>IFERROR(__xludf.DUMMYFUNCTION("""COMPUTED_VALUE"""),45425.0)</f>
        <v>45425</v>
      </c>
      <c r="B1061">
        <f>IFERROR(__xludf.DUMMYFUNCTION("""COMPUTED_VALUE"""),7636.0)</f>
        <v>7636</v>
      </c>
      <c r="C1061" t="str">
        <f>IFERROR(__xludf.DUMMYFUNCTION("""COMPUTED_VALUE"""),"Swan Hydrogen Peroxide Antiseptic Topical Solution, 16 Fluid Ounce")</f>
        <v>Swan Hydrogen Peroxide Antiseptic Topical Solution, 16 Fluid Ounce</v>
      </c>
      <c r="D1061" t="str">
        <f>IFERROR(__xludf.DUMMYFUNCTION("""COMPUTED_VALUE"""),"B00WJZEYM4")</f>
        <v>B00WJZEYM4</v>
      </c>
      <c r="E1061" t="str">
        <f>IFERROR(__xludf.DUMMYFUNCTION("""COMPUTED_VALUE"""),"308694706100")</f>
        <v>308694706100</v>
      </c>
      <c r="F1061">
        <f>IFERROR(__xludf.DUMMYFUNCTION("""COMPUTED_VALUE"""),756.0)</f>
        <v>756</v>
      </c>
      <c r="G1061">
        <f>IFERROR(__xludf.DUMMYFUNCTION("""COMPUTED_VALUE"""),3540.0)</f>
        <v>3540</v>
      </c>
      <c r="H1061" s="2">
        <f>IFERROR(__xludf.DUMMYFUNCTION("""COMPUTED_VALUE"""),1.0)</f>
        <v>1</v>
      </c>
      <c r="I1061" s="2">
        <f>IFERROR(__xludf.DUMMYFUNCTION("""COMPUTED_VALUE"""),1.34)</f>
        <v>1.34</v>
      </c>
      <c r="J1061" s="2">
        <f>IFERROR(__xludf.DUMMYFUNCTION("""COMPUTED_VALUE"""),0.3400000000000001)</f>
        <v>0.34</v>
      </c>
      <c r="K1061" s="5">
        <f>IFERROR(__xludf.DUMMYFUNCTION("""COMPUTED_VALUE"""),0.3400000000000001)</f>
        <v>0.34</v>
      </c>
      <c r="L1061">
        <f>IFERROR(__xludf.DUMMYFUNCTION("""COMPUTED_VALUE"""),19880.0)</f>
        <v>19880</v>
      </c>
      <c r="M1061" t="str">
        <f>IFERROR(__xludf.DUMMYFUNCTION("""COMPUTED_VALUE"""),"Health and Beauty")</f>
        <v>Health and Beauty</v>
      </c>
      <c r="O1061" t="str">
        <f>IFERROR(__xludf.DUMMYFUNCTION("""COMPUTED_VALUE"""),"Y")</f>
        <v>Y</v>
      </c>
      <c r="P1061" s="1" t="str">
        <f>IFERROR(__xludf.DUMMYFUNCTION("""COMPUTED_VALUE"""),"ID 7636")</f>
        <v>ID 7636</v>
      </c>
    </row>
    <row r="1062">
      <c r="A1062" s="6">
        <f>IFERROR(__xludf.DUMMYFUNCTION("""COMPUTED_VALUE"""),45169.0)</f>
        <v>45169</v>
      </c>
      <c r="B1062">
        <f>IFERROR(__xludf.DUMMYFUNCTION("""COMPUTED_VALUE"""),25072.0)</f>
        <v>25072</v>
      </c>
      <c r="C1062" t="str">
        <f>IFERROR(__xludf.DUMMYFUNCTION("""COMPUTED_VALUE"""),"Revlon Colorstay 2-in-1 Angled Kajal Eyeliner, 103 Evergreen, 0.10 Ounce")</f>
        <v>Revlon Colorstay 2-in-1 Angled Kajal Eyeliner, 103 Evergreen, 0.10 Ounce</v>
      </c>
      <c r="D1062" t="str">
        <f>IFERROR(__xludf.DUMMYFUNCTION("""COMPUTED_VALUE"""),"B01NBH6OBM")</f>
        <v>B01NBH6OBM</v>
      </c>
      <c r="E1062" t="str">
        <f>IFERROR(__xludf.DUMMYFUNCTION("""COMPUTED_VALUE"""),"309978358039")</f>
        <v>309978358039</v>
      </c>
      <c r="F1062">
        <f>IFERROR(__xludf.DUMMYFUNCTION("""COMPUTED_VALUE"""),576.0)</f>
        <v>576</v>
      </c>
      <c r="G1062">
        <f>IFERROR(__xludf.DUMMYFUNCTION("""COMPUTED_VALUE"""),4944.0)</f>
        <v>4944</v>
      </c>
      <c r="H1062" s="2">
        <f>IFERROR(__xludf.DUMMYFUNCTION("""COMPUTED_VALUE"""),2.25)</f>
        <v>2.25</v>
      </c>
      <c r="I1062" s="2">
        <f>IFERROR(__xludf.DUMMYFUNCTION("""COMPUTED_VALUE"""),2.59)</f>
        <v>2.59</v>
      </c>
      <c r="J1062" s="2">
        <f>IFERROR(__xludf.DUMMYFUNCTION("""COMPUTED_VALUE"""),0.33999999999999986)</f>
        <v>0.34</v>
      </c>
      <c r="K1062" s="5">
        <f>IFERROR(__xludf.DUMMYFUNCTION("""COMPUTED_VALUE"""),0.15111111111111106)</f>
        <v>0.1511111111</v>
      </c>
      <c r="L1062">
        <f>IFERROR(__xludf.DUMMYFUNCTION("""COMPUTED_VALUE"""),80910.0)</f>
        <v>80910</v>
      </c>
      <c r="M1062" t="str">
        <f>IFERROR(__xludf.DUMMYFUNCTION("""COMPUTED_VALUE"""),"Beauty")</f>
        <v>Beauty</v>
      </c>
      <c r="O1062" t="str">
        <f>IFERROR(__xludf.DUMMYFUNCTION("""COMPUTED_VALUE"""),"N")</f>
        <v>N</v>
      </c>
      <c r="P1062" s="1" t="str">
        <f>IFERROR(__xludf.DUMMYFUNCTION("""COMPUTED_VALUE"""),"ID 25072")</f>
        <v>ID 25072</v>
      </c>
    </row>
    <row r="1063">
      <c r="A1063" s="6">
        <f>IFERROR(__xludf.DUMMYFUNCTION("""COMPUTED_VALUE"""),45390.0)</f>
        <v>45390</v>
      </c>
      <c r="B1063">
        <f>IFERROR(__xludf.DUMMYFUNCTION("""COMPUTED_VALUE"""),4148.0)</f>
        <v>4148</v>
      </c>
      <c r="C1063" t="str">
        <f>IFERROR(__xludf.DUMMYFUNCTION("""COMPUTED_VALUE"""),"Chef Craft Classic Cupcake Liners, 50 count, Medium Blue")</f>
        <v>Chef Craft Classic Cupcake Liners, 50 count, Medium Blue</v>
      </c>
      <c r="D1063" t="str">
        <f>IFERROR(__xludf.DUMMYFUNCTION("""COMPUTED_VALUE"""),"B001C2DKBG")</f>
        <v>B001C2DKBG</v>
      </c>
      <c r="E1063" t="str">
        <f>IFERROR(__xludf.DUMMYFUNCTION("""COMPUTED_VALUE"""),"085455102318")</f>
        <v>085455102318</v>
      </c>
      <c r="F1063">
        <f>IFERROR(__xludf.DUMMYFUNCTION("""COMPUTED_VALUE"""),720.0)</f>
        <v>720</v>
      </c>
      <c r="G1063">
        <f>IFERROR(__xludf.DUMMYFUNCTION("""COMPUTED_VALUE"""),10000.0)</f>
        <v>10000</v>
      </c>
      <c r="H1063" s="2">
        <f>IFERROR(__xludf.DUMMYFUNCTION("""COMPUTED_VALUE"""),1.75)</f>
        <v>1.75</v>
      </c>
      <c r="I1063" s="2">
        <f>IFERROR(__xludf.DUMMYFUNCTION("""COMPUTED_VALUE"""),2.08)</f>
        <v>2.08</v>
      </c>
      <c r="J1063" s="2">
        <f>IFERROR(__xludf.DUMMYFUNCTION("""COMPUTED_VALUE"""),0.33000000000000007)</f>
        <v>0.33</v>
      </c>
      <c r="K1063" s="5">
        <f>IFERROR(__xludf.DUMMYFUNCTION("""COMPUTED_VALUE"""),0.1885714285714286)</f>
        <v>0.1885714286</v>
      </c>
      <c r="L1063">
        <f>IFERROR(__xludf.DUMMYFUNCTION("""COMPUTED_VALUE"""),3010.0)</f>
        <v>3010</v>
      </c>
      <c r="M1063" t="str">
        <f>IFERROR(__xludf.DUMMYFUNCTION("""COMPUTED_VALUE"""),"Kitchen")</f>
        <v>Kitchen</v>
      </c>
      <c r="O1063" t="str">
        <f>IFERROR(__xludf.DUMMYFUNCTION("""COMPUTED_VALUE"""),"Y")</f>
        <v>Y</v>
      </c>
      <c r="P1063" s="1" t="str">
        <f>IFERROR(__xludf.DUMMYFUNCTION("""COMPUTED_VALUE"""),"ID 4148")</f>
        <v>ID 4148</v>
      </c>
    </row>
    <row r="1064">
      <c r="A1064" s="6">
        <f>IFERROR(__xludf.DUMMYFUNCTION("""COMPUTED_VALUE"""),45390.0)</f>
        <v>45390</v>
      </c>
      <c r="B1064">
        <f>IFERROR(__xludf.DUMMYFUNCTION("""COMPUTED_VALUE"""),6708.0)</f>
        <v>6708</v>
      </c>
      <c r="C1064" t="str">
        <f>IFERROR(__xludf.DUMMYFUNCTION("""COMPUTED_VALUE"""),"Chef Craft Plastic Scoop, White")</f>
        <v>Chef Craft Plastic Scoop, White</v>
      </c>
      <c r="D1064" t="str">
        <f>IFERROR(__xludf.DUMMYFUNCTION("""COMPUTED_VALUE"""),"B00LWXOITI")</f>
        <v>B00LWXOITI</v>
      </c>
      <c r="E1064" t="str">
        <f>IFERROR(__xludf.DUMMYFUNCTION("""COMPUTED_VALUE"""),"085455216824")</f>
        <v>085455216824</v>
      </c>
      <c r="F1064">
        <f>IFERROR(__xludf.DUMMYFUNCTION("""COMPUTED_VALUE"""),576.0)</f>
        <v>576</v>
      </c>
      <c r="G1064">
        <f>IFERROR(__xludf.DUMMYFUNCTION("""COMPUTED_VALUE"""),10000.0)</f>
        <v>10000</v>
      </c>
      <c r="H1064" s="2">
        <f>IFERROR(__xludf.DUMMYFUNCTION("""COMPUTED_VALUE"""),1.25)</f>
        <v>1.25</v>
      </c>
      <c r="I1064" s="2">
        <f>IFERROR(__xludf.DUMMYFUNCTION("""COMPUTED_VALUE"""),1.58)</f>
        <v>1.58</v>
      </c>
      <c r="J1064" s="2">
        <f>IFERROR(__xludf.DUMMYFUNCTION("""COMPUTED_VALUE"""),0.33000000000000007)</f>
        <v>0.33</v>
      </c>
      <c r="K1064" s="5">
        <f>IFERROR(__xludf.DUMMYFUNCTION("""COMPUTED_VALUE"""),0.26400000000000007)</f>
        <v>0.264</v>
      </c>
      <c r="L1064">
        <f>IFERROR(__xludf.DUMMYFUNCTION("""COMPUTED_VALUE"""),5168.0)</f>
        <v>5168</v>
      </c>
      <c r="M1064" t="str">
        <f>IFERROR(__xludf.DUMMYFUNCTION("""COMPUTED_VALUE"""),"Kitchen")</f>
        <v>Kitchen</v>
      </c>
      <c r="O1064" t="str">
        <f>IFERROR(__xludf.DUMMYFUNCTION("""COMPUTED_VALUE"""),"Y")</f>
        <v>Y</v>
      </c>
      <c r="P1064" s="1" t="str">
        <f>IFERROR(__xludf.DUMMYFUNCTION("""COMPUTED_VALUE"""),"ID 6708")</f>
        <v>ID 6708</v>
      </c>
    </row>
    <row r="1065">
      <c r="A1065" s="6">
        <f>IFERROR(__xludf.DUMMYFUNCTION("""COMPUTED_VALUE"""),44784.0)</f>
        <v>44784</v>
      </c>
      <c r="B1065">
        <f>IFERROR(__xludf.DUMMYFUNCTION("""COMPUTED_VALUE"""),18237.0)</f>
        <v>18237</v>
      </c>
      <c r="C1065" t="str">
        <f>IFERROR(__xludf.DUMMYFUNCTION("""COMPUTED_VALUE"""),"Schneider Fountain Pen Ink Cartridge, Box of 6, Black (06601)")</f>
        <v>Schneider Fountain Pen Ink Cartridge, Box of 6, Black (06601)</v>
      </c>
      <c r="D1065" t="str">
        <f>IFERROR(__xludf.DUMMYFUNCTION("""COMPUTED_VALUE"""),"B000WH0RQS")</f>
        <v>B000WH0RQS</v>
      </c>
      <c r="E1065" t="str">
        <f>IFERROR(__xludf.DUMMYFUNCTION("""COMPUTED_VALUE"""),"4004675066015")</f>
        <v>4004675066015</v>
      </c>
      <c r="F1065">
        <f>IFERROR(__xludf.DUMMYFUNCTION("""COMPUTED_VALUE"""),2400.0)</f>
        <v>2400</v>
      </c>
      <c r="G1065">
        <f>IFERROR(__xludf.DUMMYFUNCTION("""COMPUTED_VALUE"""),5000.0)</f>
        <v>5000</v>
      </c>
      <c r="H1065" s="2">
        <f>IFERROR(__xludf.DUMMYFUNCTION("""COMPUTED_VALUE"""),0.75)</f>
        <v>0.75</v>
      </c>
      <c r="I1065" s="2">
        <f>IFERROR(__xludf.DUMMYFUNCTION("""COMPUTED_VALUE"""),1.08)</f>
        <v>1.08</v>
      </c>
      <c r="J1065" s="2">
        <f>IFERROR(__xludf.DUMMYFUNCTION("""COMPUTED_VALUE"""),0.33000000000000007)</f>
        <v>0.33</v>
      </c>
      <c r="K1065" s="5">
        <f>IFERROR(__xludf.DUMMYFUNCTION("""COMPUTED_VALUE"""),0.4400000000000001)</f>
        <v>0.44</v>
      </c>
      <c r="L1065">
        <f>IFERROR(__xludf.DUMMYFUNCTION("""COMPUTED_VALUE"""),12985.0)</f>
        <v>12985</v>
      </c>
      <c r="M1065" t="str">
        <f>IFERROR(__xludf.DUMMYFUNCTION("""COMPUTED_VALUE"""),"Office Product")</f>
        <v>Office Product</v>
      </c>
      <c r="N1065" t="str">
        <f>IFERROR(__xludf.DUMMYFUNCTION("""COMPUTED_VALUE"""),"Backorder, ETA 10/15/2022")</f>
        <v>Backorder, ETA 10/15/2022</v>
      </c>
      <c r="O1065" t="str">
        <f>IFERROR(__xludf.DUMMYFUNCTION("""COMPUTED_VALUE"""),"Y")</f>
        <v>Y</v>
      </c>
      <c r="P1065" s="1" t="str">
        <f>IFERROR(__xludf.DUMMYFUNCTION("""COMPUTED_VALUE"""),"ID 18237")</f>
        <v>ID 18237</v>
      </c>
    </row>
    <row r="1066">
      <c r="A1066" s="6">
        <f>IFERROR(__xludf.DUMMYFUNCTION("""COMPUTED_VALUE"""),44798.0)</f>
        <v>44798</v>
      </c>
      <c r="B1066">
        <f>IFERROR(__xludf.DUMMYFUNCTION("""COMPUTED_VALUE"""),18853.0)</f>
        <v>18853</v>
      </c>
      <c r="C1066" t="str">
        <f>IFERROR(__xludf.DUMMYFUNCTION("""COMPUTED_VALUE"""),"Mead Spiral Notebook, 3 Subject, College Ruled Paper, 120 Sheets, 10-1/2"" x 8"", Color Selected For You (05748)")</f>
        <v>Mead Spiral Notebook, 3 Subject, College Ruled Paper, 120 Sheets, 10-1/2" x 8", Color Selected For You (05748)</v>
      </c>
      <c r="D1066" t="str">
        <f>IFERROR(__xludf.DUMMYFUNCTION("""COMPUTED_VALUE"""),"B000BQS5AU")</f>
        <v>B000BQS5AU</v>
      </c>
      <c r="E1066" t="str">
        <f>IFERROR(__xludf.DUMMYFUNCTION("""COMPUTED_VALUE"""),"043100057482")</f>
        <v>043100057482</v>
      </c>
      <c r="F1066">
        <f>IFERROR(__xludf.DUMMYFUNCTION("""COMPUTED_VALUE"""),1416.0)</f>
        <v>1416</v>
      </c>
      <c r="G1066">
        <f>IFERROR(__xludf.DUMMYFUNCTION("""COMPUTED_VALUE"""),10000.0)</f>
        <v>10000</v>
      </c>
      <c r="H1066" s="2">
        <f>IFERROR(__xludf.DUMMYFUNCTION("""COMPUTED_VALUE"""),1.75)</f>
        <v>1.75</v>
      </c>
      <c r="I1066" s="2">
        <f>IFERROR(__xludf.DUMMYFUNCTION("""COMPUTED_VALUE"""),2.08)</f>
        <v>2.08</v>
      </c>
      <c r="J1066" s="2">
        <f>IFERROR(__xludf.DUMMYFUNCTION("""COMPUTED_VALUE"""),0.33000000000000007)</f>
        <v>0.33</v>
      </c>
      <c r="K1066" s="5">
        <f>IFERROR(__xludf.DUMMYFUNCTION("""COMPUTED_VALUE"""),0.1885714285714286)</f>
        <v>0.1885714286</v>
      </c>
      <c r="L1066">
        <f>IFERROR(__xludf.DUMMYFUNCTION("""COMPUTED_VALUE"""),17786.0)</f>
        <v>17786</v>
      </c>
      <c r="M1066" t="str">
        <f>IFERROR(__xludf.DUMMYFUNCTION("""COMPUTED_VALUE"""),"Office Product")</f>
        <v>Office Product</v>
      </c>
      <c r="O1066" t="str">
        <f>IFERROR(__xludf.DUMMYFUNCTION("""COMPUTED_VALUE"""),"N")</f>
        <v>N</v>
      </c>
      <c r="P1066" s="1" t="str">
        <f>IFERROR(__xludf.DUMMYFUNCTION("""COMPUTED_VALUE"""),"ID 18853")</f>
        <v>ID 18853</v>
      </c>
    </row>
    <row r="1067">
      <c r="A1067" s="6">
        <f>IFERROR(__xludf.DUMMYFUNCTION("""COMPUTED_VALUE"""),45264.0)</f>
        <v>45264</v>
      </c>
      <c r="B1067">
        <f>IFERROR(__xludf.DUMMYFUNCTION("""COMPUTED_VALUE"""),19514.0)</f>
        <v>19514</v>
      </c>
      <c r="C1067" t="str">
        <f>IFERROR(__xludf.DUMMYFUNCTION("""COMPUTED_VALUE"""),"Irish Spring Deodorant Bath Bar Aloe,3.75 Ounce, 3 Count")</f>
        <v>Irish Spring Deodorant Bath Bar Aloe,3.75 Ounce, 3 Count</v>
      </c>
      <c r="D1067" t="str">
        <f>IFERROR(__xludf.DUMMYFUNCTION("""COMPUTED_VALUE"""),"B0014CZI96")</f>
        <v>B0014CZI96</v>
      </c>
      <c r="E1067" t="str">
        <f>IFERROR(__xludf.DUMMYFUNCTION("""COMPUTED_VALUE"""),"035000141163")</f>
        <v>035000141163</v>
      </c>
      <c r="F1067">
        <f>IFERROR(__xludf.DUMMYFUNCTION("""COMPUTED_VALUE"""),162.0)</f>
        <v>162</v>
      </c>
      <c r="G1067">
        <f>IFERROR(__xludf.DUMMYFUNCTION("""COMPUTED_VALUE"""),162.0)</f>
        <v>162</v>
      </c>
      <c r="H1067" s="2">
        <f>IFERROR(__xludf.DUMMYFUNCTION("""COMPUTED_VALUE"""),3.5)</f>
        <v>3.5</v>
      </c>
      <c r="I1067" s="2">
        <f>IFERROR(__xludf.DUMMYFUNCTION("""COMPUTED_VALUE"""),3.83)</f>
        <v>3.83</v>
      </c>
      <c r="J1067" s="2">
        <f>IFERROR(__xludf.DUMMYFUNCTION("""COMPUTED_VALUE"""),0.33000000000000007)</f>
        <v>0.33</v>
      </c>
      <c r="K1067" s="5">
        <f>IFERROR(__xludf.DUMMYFUNCTION("""COMPUTED_VALUE"""),0.0942857142857143)</f>
        <v>0.09428571429</v>
      </c>
      <c r="L1067">
        <f>IFERROR(__xludf.DUMMYFUNCTION("""COMPUTED_VALUE"""),44188.0)</f>
        <v>44188</v>
      </c>
      <c r="M1067" t="str">
        <f>IFERROR(__xludf.DUMMYFUNCTION("""COMPUTED_VALUE"""),"Health and Beauty")</f>
        <v>Health and Beauty</v>
      </c>
      <c r="O1067" t="str">
        <f>IFERROR(__xludf.DUMMYFUNCTION("""COMPUTED_VALUE"""),"N")</f>
        <v>N</v>
      </c>
      <c r="P1067" s="1" t="str">
        <f>IFERROR(__xludf.DUMMYFUNCTION("""COMPUTED_VALUE"""),"ID 19514")</f>
        <v>ID 19514</v>
      </c>
    </row>
    <row r="1068">
      <c r="A1068" s="6">
        <f>IFERROR(__xludf.DUMMYFUNCTION("""COMPUTED_VALUE"""),45390.0)</f>
        <v>45390</v>
      </c>
      <c r="B1068">
        <f>IFERROR(__xludf.DUMMYFUNCTION("""COMPUTED_VALUE"""),23293.0)</f>
        <v>23293</v>
      </c>
      <c r="C1068" t="str">
        <f>IFERROR(__xludf.DUMMYFUNCTION("""COMPUTED_VALUE"""),"Chef Craft Classic Stainless Steel Mesh Strainer, 8 inch, White")</f>
        <v>Chef Craft Classic Stainless Steel Mesh Strainer, 8 inch, White</v>
      </c>
      <c r="D1068" t="str">
        <f>IFERROR(__xludf.DUMMYFUNCTION("""COMPUTED_VALUE"""),"B0021YZ382")</f>
        <v>B0021YZ382</v>
      </c>
      <c r="E1068" t="str">
        <f>IFERROR(__xludf.DUMMYFUNCTION("""COMPUTED_VALUE"""),"085455214912")</f>
        <v>085455214912</v>
      </c>
      <c r="F1068">
        <f>IFERROR(__xludf.DUMMYFUNCTION("""COMPUTED_VALUE"""),468.0)</f>
        <v>468</v>
      </c>
      <c r="G1068">
        <f>IFERROR(__xludf.DUMMYFUNCTION("""COMPUTED_VALUE"""),10000.0)</f>
        <v>10000</v>
      </c>
      <c r="H1068" s="2">
        <f>IFERROR(__xludf.DUMMYFUNCTION("""COMPUTED_VALUE"""),2.75)</f>
        <v>2.75</v>
      </c>
      <c r="I1068" s="2">
        <f>IFERROR(__xludf.DUMMYFUNCTION("""COMPUTED_VALUE"""),3.08)</f>
        <v>3.08</v>
      </c>
      <c r="J1068" s="2">
        <f>IFERROR(__xludf.DUMMYFUNCTION("""COMPUTED_VALUE"""),0.33000000000000007)</f>
        <v>0.33</v>
      </c>
      <c r="K1068" s="5">
        <f>IFERROR(__xludf.DUMMYFUNCTION("""COMPUTED_VALUE"""),0.12000000000000002)</f>
        <v>0.12</v>
      </c>
      <c r="L1068">
        <f>IFERROR(__xludf.DUMMYFUNCTION("""COMPUTED_VALUE"""),37138.0)</f>
        <v>37138</v>
      </c>
      <c r="M1068" t="str">
        <f>IFERROR(__xludf.DUMMYFUNCTION("""COMPUTED_VALUE"""),"Kitchen")</f>
        <v>Kitchen</v>
      </c>
      <c r="O1068" t="str">
        <f>IFERROR(__xludf.DUMMYFUNCTION("""COMPUTED_VALUE"""),"Y")</f>
        <v>Y</v>
      </c>
      <c r="P1068" s="1" t="str">
        <f>IFERROR(__xludf.DUMMYFUNCTION("""COMPUTED_VALUE"""),"ID 23293")</f>
        <v>ID 23293</v>
      </c>
    </row>
    <row r="1069">
      <c r="A1069" s="6">
        <f>IFERROR(__xludf.DUMMYFUNCTION("""COMPUTED_VALUE"""),45348.0)</f>
        <v>45348</v>
      </c>
      <c r="B1069">
        <f>IFERROR(__xludf.DUMMYFUNCTION("""COMPUTED_VALUE"""),15872.0)</f>
        <v>15872</v>
      </c>
      <c r="C1069" t="str">
        <f>IFERROR(__xludf.DUMMYFUNCTION("""COMPUTED_VALUE"""),"True Religion Hippie Chic Eau De Parfum Spray for Women, 3.4 Ounce")</f>
        <v>True Religion Hippie Chic Eau De Parfum Spray for Women, 3.4 Ounce</v>
      </c>
      <c r="D1069" t="str">
        <f>IFERROR(__xludf.DUMMYFUNCTION("""COMPUTED_VALUE"""),"B004SU8EX8")</f>
        <v>B004SU8EX8</v>
      </c>
      <c r="E1069" t="str">
        <f>IFERROR(__xludf.DUMMYFUNCTION("""COMPUTED_VALUE"""),"0844061013711")</f>
        <v>0844061013711</v>
      </c>
      <c r="F1069">
        <f>IFERROR(__xludf.DUMMYFUNCTION("""COMPUTED_VALUE"""),80.0)</f>
        <v>80</v>
      </c>
      <c r="G1069">
        <f>IFERROR(__xludf.DUMMYFUNCTION("""COMPUTED_VALUE"""),999.0)</f>
        <v>999</v>
      </c>
      <c r="H1069" s="2">
        <f>IFERROR(__xludf.DUMMYFUNCTION("""COMPUTED_VALUE"""),18.0)</f>
        <v>18</v>
      </c>
      <c r="I1069" s="2">
        <f>IFERROR(__xludf.DUMMYFUNCTION("""COMPUTED_VALUE"""),18.32)</f>
        <v>18.32</v>
      </c>
      <c r="J1069" s="2">
        <f>IFERROR(__xludf.DUMMYFUNCTION("""COMPUTED_VALUE"""),0.3200000000000003)</f>
        <v>0.32</v>
      </c>
      <c r="K1069" s="5">
        <f>IFERROR(__xludf.DUMMYFUNCTION("""COMPUTED_VALUE"""),0.017777777777777795)</f>
        <v>0.01777777778</v>
      </c>
      <c r="L1069">
        <f>IFERROR(__xludf.DUMMYFUNCTION("""COMPUTED_VALUE"""),74512.0)</f>
        <v>74512</v>
      </c>
      <c r="M1069" t="str">
        <f>IFERROR(__xludf.DUMMYFUNCTION("""COMPUTED_VALUE"""),"Beauty")</f>
        <v>Beauty</v>
      </c>
      <c r="O1069" t="str">
        <f>IFERROR(__xludf.DUMMYFUNCTION("""COMPUTED_VALUE"""),"N")</f>
        <v>N</v>
      </c>
      <c r="P1069" s="1" t="str">
        <f>IFERROR(__xludf.DUMMYFUNCTION("""COMPUTED_VALUE"""),"ID 15872")</f>
        <v>ID 15872</v>
      </c>
    </row>
    <row r="1070">
      <c r="A1070" s="6">
        <f>IFERROR(__xludf.DUMMYFUNCTION("""COMPUTED_VALUE"""),45376.0)</f>
        <v>45376</v>
      </c>
      <c r="B1070">
        <f>IFERROR(__xludf.DUMMYFUNCTION("""COMPUTED_VALUE"""),16085.0)</f>
        <v>16085</v>
      </c>
      <c r="C1070" t="str">
        <f>IFERROR(__xludf.DUMMYFUNCTION("""COMPUTED_VALUE"""),"Intex Lil' Sea Turtle Ride-On, 59"" X 50"", for Ages 3+")</f>
        <v>Intex Lil' Sea Turtle Ride-On, 59" X 50", for Ages 3+</v>
      </c>
      <c r="D1070" t="str">
        <f>IFERROR(__xludf.DUMMYFUNCTION("""COMPUTED_VALUE"""),"B00HIWWI4O")</f>
        <v>B00HIWWI4O</v>
      </c>
      <c r="E1070" t="str">
        <f>IFERROR(__xludf.DUMMYFUNCTION("""COMPUTED_VALUE"""),"078257305032")</f>
        <v>078257305032</v>
      </c>
      <c r="F1070">
        <f>IFERROR(__xludf.DUMMYFUNCTION("""COMPUTED_VALUE"""),180.0)</f>
        <v>180</v>
      </c>
      <c r="G1070">
        <f>IFERROR(__xludf.DUMMYFUNCTION("""COMPUTED_VALUE"""),231.0)</f>
        <v>231</v>
      </c>
      <c r="H1070" s="2">
        <f>IFERROR(__xludf.DUMMYFUNCTION("""COMPUTED_VALUE"""),7.0)</f>
        <v>7</v>
      </c>
      <c r="I1070" s="2">
        <f>IFERROR(__xludf.DUMMYFUNCTION("""COMPUTED_VALUE"""),7.32)</f>
        <v>7.32</v>
      </c>
      <c r="J1070" s="2">
        <f>IFERROR(__xludf.DUMMYFUNCTION("""COMPUTED_VALUE"""),0.3200000000000003)</f>
        <v>0.32</v>
      </c>
      <c r="K1070" s="5">
        <f>IFERROR(__xludf.DUMMYFUNCTION("""COMPUTED_VALUE"""),0.045714285714285756)</f>
        <v>0.04571428571</v>
      </c>
      <c r="L1070">
        <f>IFERROR(__xludf.DUMMYFUNCTION("""COMPUTED_VALUE"""),72.0)</f>
        <v>72</v>
      </c>
      <c r="M1070" t="str">
        <f>IFERROR(__xludf.DUMMYFUNCTION("""COMPUTED_VALUE"""),"Toy")</f>
        <v>Toy</v>
      </c>
      <c r="O1070" t="str">
        <f>IFERROR(__xludf.DUMMYFUNCTION("""COMPUTED_VALUE"""),"Y")</f>
        <v>Y</v>
      </c>
      <c r="P1070" s="1" t="str">
        <f>IFERROR(__xludf.DUMMYFUNCTION("""COMPUTED_VALUE"""),"ID 16085")</f>
        <v>ID 16085</v>
      </c>
    </row>
    <row r="1071">
      <c r="A1071" s="6">
        <f>IFERROR(__xludf.DUMMYFUNCTION("""COMPUTED_VALUE"""),45278.0)</f>
        <v>45278</v>
      </c>
      <c r="B1071">
        <f>IFERROR(__xludf.DUMMYFUNCTION("""COMPUTED_VALUE"""),987.0)</f>
        <v>987</v>
      </c>
      <c r="C1071" t="str">
        <f>IFERROR(__xludf.DUMMYFUNCTION("""COMPUTED_VALUE"""),"BAZIC Assorted Dimensions 227g/0.5 lbs. Rubber Bands, Multi Color")</f>
        <v>BAZIC Assorted Dimensions 227g/0.5 lbs. Rubber Bands, Multi Color</v>
      </c>
      <c r="D1071" t="str">
        <f>IFERROR(__xludf.DUMMYFUNCTION("""COMPUTED_VALUE"""),"B000BLJEKU")</f>
        <v>B000BLJEKU</v>
      </c>
      <c r="E1071" t="str">
        <f>IFERROR(__xludf.DUMMYFUNCTION("""COMPUTED_VALUE"""),"71815004651")</f>
        <v>71815004651</v>
      </c>
      <c r="F1071">
        <f>IFERROR(__xludf.DUMMYFUNCTION("""COMPUTED_VALUE"""),2016.0)</f>
        <v>2016</v>
      </c>
      <c r="G1071">
        <f>IFERROR(__xludf.DUMMYFUNCTION("""COMPUTED_VALUE"""),7680.0)</f>
        <v>7680</v>
      </c>
      <c r="H1071" s="2">
        <f>IFERROR(__xludf.DUMMYFUNCTION("""COMPUTED_VALUE"""),1.0)</f>
        <v>1</v>
      </c>
      <c r="I1071" s="2">
        <f>IFERROR(__xludf.DUMMYFUNCTION("""COMPUTED_VALUE"""),1.32)</f>
        <v>1.32</v>
      </c>
      <c r="J1071" s="2">
        <f>IFERROR(__xludf.DUMMYFUNCTION("""COMPUTED_VALUE"""),0.32000000000000006)</f>
        <v>0.32</v>
      </c>
      <c r="K1071" s="5">
        <f>IFERROR(__xludf.DUMMYFUNCTION("""COMPUTED_VALUE"""),0.32000000000000006)</f>
        <v>0.32</v>
      </c>
      <c r="L1071">
        <f>IFERROR(__xludf.DUMMYFUNCTION("""COMPUTED_VALUE"""),298.0)</f>
        <v>298</v>
      </c>
      <c r="M1071" t="str">
        <f>IFERROR(__xludf.DUMMYFUNCTION("""COMPUTED_VALUE"""),"Office Product")</f>
        <v>Office Product</v>
      </c>
      <c r="O1071" t="str">
        <f>IFERROR(__xludf.DUMMYFUNCTION("""COMPUTED_VALUE"""),"N")</f>
        <v>N</v>
      </c>
      <c r="P1071" s="1" t="str">
        <f>IFERROR(__xludf.DUMMYFUNCTION("""COMPUTED_VALUE"""),"ID 987")</f>
        <v>ID 987</v>
      </c>
    </row>
    <row r="1072">
      <c r="A1072" s="6">
        <f>IFERROR(__xludf.DUMMYFUNCTION("""COMPUTED_VALUE"""),45401.0)</f>
        <v>45401</v>
      </c>
      <c r="B1072">
        <f>IFERROR(__xludf.DUMMYFUNCTION("""COMPUTED_VALUE"""),12235.0)</f>
        <v>12235</v>
      </c>
      <c r="C1072" t="str">
        <f>IFERROR(__xludf.DUMMYFUNCTION("""COMPUTED_VALUE"""),"Home Basics Sunflower Collection, Free-Standing Cast Iron Paper Towel Holder with Dispensing Side Bar, Kitchen Countertop, White")</f>
        <v>Home Basics Sunflower Collection, Free-Standing Cast Iron Paper Towel Holder with Dispensing Side Bar, Kitchen Countertop, White</v>
      </c>
      <c r="D1072" t="str">
        <f>IFERROR(__xludf.DUMMYFUNCTION("""COMPUTED_VALUE"""),"B07Z6HCBVQ")</f>
        <v>B07Z6HCBVQ</v>
      </c>
      <c r="E1072" t="str">
        <f>IFERROR(__xludf.DUMMYFUNCTION("""COMPUTED_VALUE"""),"886466458148")</f>
        <v>886466458148</v>
      </c>
      <c r="F1072">
        <f>IFERROR(__xludf.DUMMYFUNCTION("""COMPUTED_VALUE"""),138.0)</f>
        <v>138</v>
      </c>
      <c r="G1072">
        <f>IFERROR(__xludf.DUMMYFUNCTION("""COMPUTED_VALUE"""),10000.0)</f>
        <v>10000</v>
      </c>
      <c r="H1072" s="2">
        <f>IFERROR(__xludf.DUMMYFUNCTION("""COMPUTED_VALUE"""),9.5)</f>
        <v>9.5</v>
      </c>
      <c r="I1072" s="2">
        <f>IFERROR(__xludf.DUMMYFUNCTION("""COMPUTED_VALUE"""),9.82)</f>
        <v>9.82</v>
      </c>
      <c r="J1072" s="2">
        <f>IFERROR(__xludf.DUMMYFUNCTION("""COMPUTED_VALUE"""),0.3200000000000003)</f>
        <v>0.32</v>
      </c>
      <c r="K1072" s="5">
        <f>IFERROR(__xludf.DUMMYFUNCTION("""COMPUTED_VALUE"""),0.033684210526315816)</f>
        <v>0.03368421053</v>
      </c>
      <c r="L1072">
        <f>IFERROR(__xludf.DUMMYFUNCTION("""COMPUTED_VALUE"""),73991.0)</f>
        <v>73991</v>
      </c>
      <c r="M1072" t="str">
        <f>IFERROR(__xludf.DUMMYFUNCTION("""COMPUTED_VALUE"""),"Kitchen")</f>
        <v>Kitchen</v>
      </c>
      <c r="O1072" t="str">
        <f>IFERROR(__xludf.DUMMYFUNCTION("""COMPUTED_VALUE"""),"N")</f>
        <v>N</v>
      </c>
      <c r="P1072" s="1" t="str">
        <f>IFERROR(__xludf.DUMMYFUNCTION("""COMPUTED_VALUE"""),"ID 12235")</f>
        <v>ID 12235</v>
      </c>
    </row>
    <row r="1073">
      <c r="A1073" s="6">
        <f>IFERROR(__xludf.DUMMYFUNCTION("""COMPUTED_VALUE"""),45182.0)</f>
        <v>45182</v>
      </c>
      <c r="B1073">
        <f>IFERROR(__xludf.DUMMYFUNCTION("""COMPUTED_VALUE"""),22309.0)</f>
        <v>22309</v>
      </c>
      <c r="C1073" t="str">
        <f>IFERROR(__xludf.DUMMYFUNCTION("""COMPUTED_VALUE"""),"Nautica Voyage for Men Eau De Toilette Spray, 3.4 Ounce")</f>
        <v>Nautica Voyage for Men Eau De Toilette Spray, 3.4 Ounce</v>
      </c>
      <c r="D1073" t="str">
        <f>IFERROR(__xludf.DUMMYFUNCTION("""COMPUTED_VALUE"""),"B00213JS8O")</f>
        <v>B00213JS8O</v>
      </c>
      <c r="E1073" t="str">
        <f>IFERROR(__xludf.DUMMYFUNCTION("""COMPUTED_VALUE"""),"031655531939")</f>
        <v>031655531939</v>
      </c>
      <c r="F1073">
        <f>IFERROR(__xludf.DUMMYFUNCTION("""COMPUTED_VALUE"""),100.0)</f>
        <v>100</v>
      </c>
      <c r="G1073">
        <f>IFERROR(__xludf.DUMMYFUNCTION("""COMPUTED_VALUE"""),10000.0)</f>
        <v>10000</v>
      </c>
      <c r="H1073" s="2">
        <f>IFERROR(__xludf.DUMMYFUNCTION("""COMPUTED_VALUE"""),12.25)</f>
        <v>12.25</v>
      </c>
      <c r="I1073" s="2">
        <f>IFERROR(__xludf.DUMMYFUNCTION("""COMPUTED_VALUE"""),12.56)</f>
        <v>12.56</v>
      </c>
      <c r="J1073" s="2">
        <f>IFERROR(__xludf.DUMMYFUNCTION("""COMPUTED_VALUE"""),0.3100000000000005)</f>
        <v>0.31</v>
      </c>
      <c r="K1073" s="5">
        <f>IFERROR(__xludf.DUMMYFUNCTION("""COMPUTED_VALUE"""),0.02530612244897963)</f>
        <v>0.02530612245</v>
      </c>
      <c r="L1073">
        <f>IFERROR(__xludf.DUMMYFUNCTION("""COMPUTED_VALUE"""),12322.0)</f>
        <v>12322</v>
      </c>
      <c r="M1073" t="str">
        <f>IFERROR(__xludf.DUMMYFUNCTION("""COMPUTED_VALUE"""),"Beauty")</f>
        <v>Beauty</v>
      </c>
      <c r="N1073" t="str">
        <f>IFERROR(__xludf.DUMMYFUNCTION("""COMPUTED_VALUE"""),"TESTER")</f>
        <v>TESTER</v>
      </c>
      <c r="O1073" t="str">
        <f>IFERROR(__xludf.DUMMYFUNCTION("""COMPUTED_VALUE"""),"N")</f>
        <v>N</v>
      </c>
      <c r="P1073" s="1" t="str">
        <f>IFERROR(__xludf.DUMMYFUNCTION("""COMPUTED_VALUE"""),"ID 22309")</f>
        <v>ID 22309</v>
      </c>
    </row>
    <row r="1074">
      <c r="A1074" s="6">
        <f>IFERROR(__xludf.DUMMYFUNCTION("""COMPUTED_VALUE"""),45350.0)</f>
        <v>45350</v>
      </c>
      <c r="B1074">
        <f>IFERROR(__xludf.DUMMYFUNCTION("""COMPUTED_VALUE"""),16586.0)</f>
        <v>16586</v>
      </c>
      <c r="C1074" t="str">
        <f>IFERROR(__xludf.DUMMYFUNCTION("""COMPUTED_VALUE"""),"Grading Calculator - E-Z Grader Teacher's Aid Scoring Chart (Original) - 8-1/2"" x 4-3/4""")</f>
        <v>Grading Calculator - E-Z Grader Teacher's Aid Scoring Chart (Original) - 8-1/2" x 4-3/4"</v>
      </c>
      <c r="D1074" t="str">
        <f>IFERROR(__xludf.DUMMYFUNCTION("""COMPUTED_VALUE"""),"B0009HQBZW")</f>
        <v>B0009HQBZW</v>
      </c>
      <c r="E1074" t="str">
        <f>IFERROR(__xludf.DUMMYFUNCTION("""COMPUTED_VALUE"""),"789328057032")</f>
        <v>789328057032</v>
      </c>
      <c r="F1074">
        <f>IFERROR(__xludf.DUMMYFUNCTION("""COMPUTED_VALUE"""),275.0)</f>
        <v>275</v>
      </c>
      <c r="G1074">
        <f>IFERROR(__xludf.DUMMYFUNCTION("""COMPUTED_VALUE"""),10000.0)</f>
        <v>10000</v>
      </c>
      <c r="H1074" s="2">
        <f>IFERROR(__xludf.DUMMYFUNCTION("""COMPUTED_VALUE"""),4.75)</f>
        <v>4.75</v>
      </c>
      <c r="I1074" s="2">
        <f>IFERROR(__xludf.DUMMYFUNCTION("""COMPUTED_VALUE"""),5.06)</f>
        <v>5.06</v>
      </c>
      <c r="J1074" s="2">
        <f>IFERROR(__xludf.DUMMYFUNCTION("""COMPUTED_VALUE"""),0.3099999999999996)</f>
        <v>0.31</v>
      </c>
      <c r="K1074" s="5">
        <f>IFERROR(__xludf.DUMMYFUNCTION("""COMPUTED_VALUE"""),0.06526315789473676)</f>
        <v>0.06526315789</v>
      </c>
      <c r="L1074">
        <f>IFERROR(__xludf.DUMMYFUNCTION("""COMPUTED_VALUE"""),15249.0)</f>
        <v>15249</v>
      </c>
      <c r="M1074" t="str">
        <f>IFERROR(__xludf.DUMMYFUNCTION("""COMPUTED_VALUE"""),"BISS Basic")</f>
        <v>BISS Basic</v>
      </c>
      <c r="O1074" t="str">
        <f>IFERROR(__xludf.DUMMYFUNCTION("""COMPUTED_VALUE"""),"Y")</f>
        <v>Y</v>
      </c>
      <c r="P1074" s="1" t="str">
        <f>IFERROR(__xludf.DUMMYFUNCTION("""COMPUTED_VALUE"""),"ID 16586")</f>
        <v>ID 16586</v>
      </c>
    </row>
    <row r="1075">
      <c r="A1075" s="6">
        <f>IFERROR(__xludf.DUMMYFUNCTION("""COMPUTED_VALUE"""),45383.0)</f>
        <v>45383</v>
      </c>
      <c r="B1075">
        <f>IFERROR(__xludf.DUMMYFUNCTION("""COMPUTED_VALUE"""),19641.0)</f>
        <v>19641</v>
      </c>
      <c r="C1075" t="str">
        <f>IFERROR(__xludf.DUMMYFUNCTION("""COMPUTED_VALUE"""),"Pentel Hi-Polymer Block Eraser, Small, 3 Pack (ZEH05BP2F)")</f>
        <v>Pentel Hi-Polymer Block Eraser, Small, 3 Pack (ZEH05BP2F)</v>
      </c>
      <c r="D1075" t="str">
        <f>IFERROR(__xludf.DUMMYFUNCTION("""COMPUTED_VALUE"""),"B005EOS8KG")</f>
        <v>B005EOS8KG</v>
      </c>
      <c r="E1075" t="str">
        <f>IFERROR(__xludf.DUMMYFUNCTION("""COMPUTED_VALUE"""),"072512178355")</f>
        <v>072512178355</v>
      </c>
      <c r="F1075">
        <f>IFERROR(__xludf.DUMMYFUNCTION("""COMPUTED_VALUE"""),864.0)</f>
        <v>864</v>
      </c>
      <c r="G1075">
        <f>IFERROR(__xludf.DUMMYFUNCTION("""COMPUTED_VALUE"""),10000.0)</f>
        <v>10000</v>
      </c>
      <c r="H1075" s="2">
        <f>IFERROR(__xludf.DUMMYFUNCTION("""COMPUTED_VALUE"""),1.0)</f>
        <v>1</v>
      </c>
      <c r="I1075" s="2">
        <f>IFERROR(__xludf.DUMMYFUNCTION("""COMPUTED_VALUE"""),1.31)</f>
        <v>1.31</v>
      </c>
      <c r="J1075" s="2">
        <f>IFERROR(__xludf.DUMMYFUNCTION("""COMPUTED_VALUE"""),0.31000000000000005)</f>
        <v>0.31</v>
      </c>
      <c r="K1075" s="5">
        <f>IFERROR(__xludf.DUMMYFUNCTION("""COMPUTED_VALUE"""),0.31000000000000005)</f>
        <v>0.31</v>
      </c>
      <c r="L1075">
        <f>IFERROR(__xludf.DUMMYFUNCTION("""COMPUTED_VALUE"""),1069.0)</f>
        <v>1069</v>
      </c>
      <c r="M1075" t="str">
        <f>IFERROR(__xludf.DUMMYFUNCTION("""COMPUTED_VALUE"""),"Office Product")</f>
        <v>Office Product</v>
      </c>
      <c r="O1075" t="str">
        <f>IFERROR(__xludf.DUMMYFUNCTION("""COMPUTED_VALUE"""),"Y")</f>
        <v>Y</v>
      </c>
      <c r="P1075" s="1" t="str">
        <f>IFERROR(__xludf.DUMMYFUNCTION("""COMPUTED_VALUE"""),"ID 19641")</f>
        <v>ID 19641</v>
      </c>
    </row>
    <row r="1076">
      <c r="A1076" s="6">
        <f>IFERROR(__xludf.DUMMYFUNCTION("""COMPUTED_VALUE"""),45376.0)</f>
        <v>45376</v>
      </c>
      <c r="B1076">
        <f>IFERROR(__xludf.DUMMYFUNCTION("""COMPUTED_VALUE"""),7541.0)</f>
        <v>7541</v>
      </c>
      <c r="C1076" t="str">
        <f>IFERROR(__xludf.DUMMYFUNCTION("""COMPUTED_VALUE"""),"UPD Paw Patrol Sticker Book, 4 Sheets - Over 300 Stickers")</f>
        <v>UPD Paw Patrol Sticker Book, 4 Sheets - Over 300 Stickers</v>
      </c>
      <c r="D1076" t="str">
        <f>IFERROR(__xludf.DUMMYFUNCTION("""COMPUTED_VALUE"""),"B017DQQCWS")</f>
        <v>B017DQQCWS</v>
      </c>
      <c r="E1076" t="str">
        <f>IFERROR(__xludf.DUMMYFUNCTION("""COMPUTED_VALUE"""),"844331012444")</f>
        <v>844331012444</v>
      </c>
      <c r="F1076">
        <f>IFERROR(__xludf.DUMMYFUNCTION("""COMPUTED_VALUE"""),1728.0)</f>
        <v>1728</v>
      </c>
      <c r="G1076">
        <f>IFERROR(__xludf.DUMMYFUNCTION("""COMPUTED_VALUE"""),8139.0)</f>
        <v>8139</v>
      </c>
      <c r="H1076" s="2">
        <f>IFERROR(__xludf.DUMMYFUNCTION("""COMPUTED_VALUE"""),0.75)</f>
        <v>0.75</v>
      </c>
      <c r="I1076" s="2">
        <f>IFERROR(__xludf.DUMMYFUNCTION("""COMPUTED_VALUE"""),1.06)</f>
        <v>1.06</v>
      </c>
      <c r="J1076" s="2">
        <f>IFERROR(__xludf.DUMMYFUNCTION("""COMPUTED_VALUE"""),0.31000000000000005)</f>
        <v>0.31</v>
      </c>
      <c r="K1076" s="5">
        <f>IFERROR(__xludf.DUMMYFUNCTION("""COMPUTED_VALUE"""),0.4133333333333334)</f>
        <v>0.4133333333</v>
      </c>
      <c r="L1076">
        <f>IFERROR(__xludf.DUMMYFUNCTION("""COMPUTED_VALUE"""),5979.0)</f>
        <v>5979</v>
      </c>
      <c r="M1076" t="str">
        <f>IFERROR(__xludf.DUMMYFUNCTION("""COMPUTED_VALUE"""),"Toy")</f>
        <v>Toy</v>
      </c>
      <c r="O1076" t="str">
        <f>IFERROR(__xludf.DUMMYFUNCTION("""COMPUTED_VALUE"""),"N")</f>
        <v>N</v>
      </c>
      <c r="P1076" s="1" t="str">
        <f>IFERROR(__xludf.DUMMYFUNCTION("""COMPUTED_VALUE"""),"ID 7541")</f>
        <v>ID 7541</v>
      </c>
    </row>
    <row r="1077">
      <c r="A1077" s="6">
        <f>IFERROR(__xludf.DUMMYFUNCTION("""COMPUTED_VALUE"""),45174.0)</f>
        <v>45174</v>
      </c>
      <c r="B1077">
        <f>IFERROR(__xludf.DUMMYFUNCTION("""COMPUTED_VALUE"""),23916.0)</f>
        <v>23916</v>
      </c>
      <c r="C1077" t="str">
        <f>IFERROR(__xludf.DUMMYFUNCTION("""COMPUTED_VALUE"""),"Westcott 6” Proportional Measuring Scale, White, PS-79")</f>
        <v>Westcott 6” Proportional Measuring Scale, White, PS-79</v>
      </c>
      <c r="D1077" t="str">
        <f>IFERROR(__xludf.DUMMYFUNCTION("""COMPUTED_VALUE"""),"B001E1TI1G")</f>
        <v>B001E1TI1G</v>
      </c>
      <c r="E1077" t="str">
        <f>IFERROR(__xludf.DUMMYFUNCTION("""COMPUTED_VALUE"""),"088359006652")</f>
        <v>088359006652</v>
      </c>
      <c r="F1077">
        <f>IFERROR(__xludf.DUMMYFUNCTION("""COMPUTED_VALUE"""),288.0)</f>
        <v>288</v>
      </c>
      <c r="G1077">
        <f>IFERROR(__xludf.DUMMYFUNCTION("""COMPUTED_VALUE"""),10000.0)</f>
        <v>10000</v>
      </c>
      <c r="H1077" s="2">
        <f>IFERROR(__xludf.DUMMYFUNCTION("""COMPUTED_VALUE"""),6.0)</f>
        <v>6</v>
      </c>
      <c r="I1077" s="2">
        <f>IFERROR(__xludf.DUMMYFUNCTION("""COMPUTED_VALUE"""),6.31)</f>
        <v>6.31</v>
      </c>
      <c r="J1077" s="2">
        <f>IFERROR(__xludf.DUMMYFUNCTION("""COMPUTED_VALUE"""),0.3099999999999996)</f>
        <v>0.31</v>
      </c>
      <c r="K1077" s="5">
        <f>IFERROR(__xludf.DUMMYFUNCTION("""COMPUTED_VALUE"""),0.051666666666666604)</f>
        <v>0.05166666667</v>
      </c>
      <c r="L1077">
        <f>IFERROR(__xludf.DUMMYFUNCTION("""COMPUTED_VALUE"""),53083.0)</f>
        <v>53083</v>
      </c>
      <c r="M1077" t="str">
        <f>IFERROR(__xludf.DUMMYFUNCTION("""COMPUTED_VALUE"""),"Office Product")</f>
        <v>Office Product</v>
      </c>
      <c r="O1077" t="str">
        <f>IFERROR(__xludf.DUMMYFUNCTION("""COMPUTED_VALUE"""),"Y")</f>
        <v>Y</v>
      </c>
      <c r="P1077" s="1" t="str">
        <f>IFERROR(__xludf.DUMMYFUNCTION("""COMPUTED_VALUE"""),"ID 23916")</f>
        <v>ID 23916</v>
      </c>
    </row>
    <row r="1078">
      <c r="A1078" s="6">
        <f>IFERROR(__xludf.DUMMYFUNCTION("""COMPUTED_VALUE"""),44956.0)</f>
        <v>44956</v>
      </c>
      <c r="B1078">
        <f>IFERROR(__xludf.DUMMYFUNCTION("""COMPUTED_VALUE"""),23049.0)</f>
        <v>23049</v>
      </c>
      <c r="C1078" t="str">
        <f>IFERROR(__xludf.DUMMYFUNCTION("""COMPUTED_VALUE"""),"C-Line Mini Size 5-Tab Poly Index Dividers with Pockets, for 5.5 x 8.5, 6 x 9 and 8.5 x 11 Binders, Assorted Colors, One 5-Tab Set (03750)")</f>
        <v>C-Line Mini Size 5-Tab Poly Index Dividers with Pockets, for 5.5 x 8.5, 6 x 9 and 8.5 x 11 Binders, Assorted Colors, One 5-Tab Set (03750)</v>
      </c>
      <c r="D1078" t="str">
        <f>IFERROR(__xludf.DUMMYFUNCTION("""COMPUTED_VALUE"""),"B00CI40XSA")</f>
        <v>B00CI40XSA</v>
      </c>
      <c r="E1078" t="str">
        <f>IFERROR(__xludf.DUMMYFUNCTION("""COMPUTED_VALUE"""),"38944037509")</f>
        <v>38944037509</v>
      </c>
      <c r="F1078">
        <f>IFERROR(__xludf.DUMMYFUNCTION("""COMPUTED_VALUE"""),660.0)</f>
        <v>660</v>
      </c>
      <c r="G1078">
        <f>IFERROR(__xludf.DUMMYFUNCTION("""COMPUTED_VALUE"""),10000.0)</f>
        <v>10000</v>
      </c>
      <c r="H1078" s="2">
        <f>IFERROR(__xludf.DUMMYFUNCTION("""COMPUTED_VALUE"""),1.5)</f>
        <v>1.5</v>
      </c>
      <c r="I1078" s="2">
        <f>IFERROR(__xludf.DUMMYFUNCTION("""COMPUTED_VALUE"""),1.8)</f>
        <v>1.8</v>
      </c>
      <c r="J1078" s="2">
        <f>IFERROR(__xludf.DUMMYFUNCTION("""COMPUTED_VALUE"""),0.30000000000000004)</f>
        <v>0.3</v>
      </c>
      <c r="K1078" s="5">
        <f>IFERROR(__xludf.DUMMYFUNCTION("""COMPUTED_VALUE"""),0.20000000000000004)</f>
        <v>0.2</v>
      </c>
      <c r="L1078">
        <f>IFERROR(__xludf.DUMMYFUNCTION("""COMPUTED_VALUE"""),17216.0)</f>
        <v>17216</v>
      </c>
      <c r="M1078" t="str">
        <f>IFERROR(__xludf.DUMMYFUNCTION("""COMPUTED_VALUE"""),"Office Product")</f>
        <v>Office Product</v>
      </c>
      <c r="O1078" t="str">
        <f>IFERROR(__xludf.DUMMYFUNCTION("""COMPUTED_VALUE"""),"Y")</f>
        <v>Y</v>
      </c>
      <c r="P1078" s="1" t="str">
        <f>IFERROR(__xludf.DUMMYFUNCTION("""COMPUTED_VALUE"""),"ID 23049")</f>
        <v>ID 23049</v>
      </c>
    </row>
    <row r="1079">
      <c r="A1079" s="6">
        <f>IFERROR(__xludf.DUMMYFUNCTION("""COMPUTED_VALUE"""),45223.0)</f>
        <v>45223</v>
      </c>
      <c r="B1079">
        <f>IFERROR(__xludf.DUMMYFUNCTION("""COMPUTED_VALUE"""),23226.0)</f>
        <v>23226</v>
      </c>
      <c r="C1079" t="str">
        <f>IFERROR(__xludf.DUMMYFUNCTION("""COMPUTED_VALUE"""),"Fellowes Self-Adhesive Sheets, Letter Size, 3 mil, 10 Pack (5221501), Clear")</f>
        <v>Fellowes Self-Adhesive Sheets, Letter Size, 3 mil, 10 Pack (5221501), Clear</v>
      </c>
      <c r="D1079" t="str">
        <f>IFERROR(__xludf.DUMMYFUNCTION("""COMPUTED_VALUE"""),"B00134DIII")</f>
        <v>B00134DIII</v>
      </c>
      <c r="E1079" t="str">
        <f>IFERROR(__xludf.DUMMYFUNCTION("""COMPUTED_VALUE"""),"043859528912")</f>
        <v>043859528912</v>
      </c>
      <c r="F1079">
        <f>IFERROR(__xludf.DUMMYFUNCTION("""COMPUTED_VALUE"""),240.0)</f>
        <v>240</v>
      </c>
      <c r="G1079">
        <f>IFERROR(__xludf.DUMMYFUNCTION("""COMPUTED_VALUE"""),10000.0)</f>
        <v>10000</v>
      </c>
      <c r="H1079" s="2">
        <f>IFERROR(__xludf.DUMMYFUNCTION("""COMPUTED_VALUE"""),5.25)</f>
        <v>5.25</v>
      </c>
      <c r="I1079" s="2">
        <f>IFERROR(__xludf.DUMMYFUNCTION("""COMPUTED_VALUE"""),5.55)</f>
        <v>5.55</v>
      </c>
      <c r="J1079" s="2">
        <f>IFERROR(__xludf.DUMMYFUNCTION("""COMPUTED_VALUE"""),0.2999999999999998)</f>
        <v>0.3</v>
      </c>
      <c r="K1079" s="5">
        <f>IFERROR(__xludf.DUMMYFUNCTION("""COMPUTED_VALUE"""),0.057142857142857106)</f>
        <v>0.05714285714</v>
      </c>
      <c r="L1079">
        <f>IFERROR(__xludf.DUMMYFUNCTION("""COMPUTED_VALUE"""),99014.0)</f>
        <v>99014</v>
      </c>
      <c r="M1079" t="str">
        <f>IFERROR(__xludf.DUMMYFUNCTION("""COMPUTED_VALUE"""),"Office Product")</f>
        <v>Office Product</v>
      </c>
      <c r="N1079"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079" t="str">
        <f>IFERROR(__xludf.DUMMYFUNCTION("""COMPUTED_VALUE"""),"Y")</f>
        <v>Y</v>
      </c>
      <c r="P1079" s="1" t="str">
        <f>IFERROR(__xludf.DUMMYFUNCTION("""COMPUTED_VALUE"""),"ID 23226")</f>
        <v>ID 23226</v>
      </c>
    </row>
    <row r="1080">
      <c r="A1080" s="6">
        <f>IFERROR(__xludf.DUMMYFUNCTION("""COMPUTED_VALUE"""),45358.0)</f>
        <v>45358</v>
      </c>
      <c r="B1080">
        <f>IFERROR(__xludf.DUMMYFUNCTION("""COMPUTED_VALUE"""),21712.0)</f>
        <v>21712</v>
      </c>
      <c r="C1080" t="str">
        <f>IFERROR(__xludf.DUMMYFUNCTION("""COMPUTED_VALUE"""),"Super Mario 02497 Nintendo Super Mario Kart 8 Mario Anti-Gravity Mini RC Racer 2.4Ghz")</f>
        <v>Super Mario 02497 Nintendo Super Mario Kart 8 Mario Anti-Gravity Mini RC Racer 2.4Ghz</v>
      </c>
      <c r="D1080" t="str">
        <f>IFERROR(__xludf.DUMMYFUNCTION("""COMPUTED_VALUE"""),"B01CEY489S")</f>
        <v>B01CEY489S</v>
      </c>
      <c r="E1080" t="str">
        <f>IFERROR(__xludf.DUMMYFUNCTION("""COMPUTED_VALUE"""),"039897024974")</f>
        <v>039897024974</v>
      </c>
      <c r="F1080">
        <f>IFERROR(__xludf.DUMMYFUNCTION("""COMPUTED_VALUE"""),40.0)</f>
        <v>40</v>
      </c>
      <c r="G1080">
        <f>IFERROR(__xludf.DUMMYFUNCTION("""COMPUTED_VALUE"""),99.0)</f>
        <v>99</v>
      </c>
      <c r="H1080" s="2">
        <f>IFERROR(__xludf.DUMMYFUNCTION("""COMPUTED_VALUE"""),32.0)</f>
        <v>32</v>
      </c>
      <c r="I1080" s="2">
        <f>IFERROR(__xludf.DUMMYFUNCTION("""COMPUTED_VALUE"""),32.3)</f>
        <v>32.3</v>
      </c>
      <c r="J1080" s="2">
        <f>IFERROR(__xludf.DUMMYFUNCTION("""COMPUTED_VALUE"""),0.29999999999999716)</f>
        <v>0.3</v>
      </c>
      <c r="K1080" s="5">
        <f>IFERROR(__xludf.DUMMYFUNCTION("""COMPUTED_VALUE"""),0.009374999999999911)</f>
        <v>0.009375</v>
      </c>
      <c r="L1080">
        <f>IFERROR(__xludf.DUMMYFUNCTION("""COMPUTED_VALUE"""),49236.0)</f>
        <v>49236</v>
      </c>
      <c r="M1080" t="str">
        <f>IFERROR(__xludf.DUMMYFUNCTION("""COMPUTED_VALUE"""),"Toy")</f>
        <v>Toy</v>
      </c>
      <c r="O1080" t="str">
        <f>IFERROR(__xludf.DUMMYFUNCTION("""COMPUTED_VALUE"""),"N")</f>
        <v>N</v>
      </c>
      <c r="P1080" s="1" t="str">
        <f>IFERROR(__xludf.DUMMYFUNCTION("""COMPUTED_VALUE"""),"ID 21712")</f>
        <v>ID 21712</v>
      </c>
    </row>
    <row r="1081">
      <c r="A1081" s="6">
        <f>IFERROR(__xludf.DUMMYFUNCTION("""COMPUTED_VALUE"""),45390.0)</f>
        <v>45390</v>
      </c>
      <c r="B1081">
        <f>IFERROR(__xludf.DUMMYFUNCTION("""COMPUTED_VALUE"""),4142.0)</f>
        <v>4142</v>
      </c>
      <c r="C1081" t="str">
        <f>IFERROR(__xludf.DUMMYFUNCTION("""COMPUTED_VALUE"""),"Chef Craft 10240 1-Piece Stainless Steel Fork, 12-1/2-Inch")</f>
        <v>Chef Craft 10240 1-Piece Stainless Steel Fork, 12-1/2-Inch</v>
      </c>
      <c r="D1081" t="str">
        <f>IFERROR(__xludf.DUMMYFUNCTION("""COMPUTED_VALUE"""),"B001C2CX50")</f>
        <v>B001C2CX50</v>
      </c>
      <c r="E1081" t="str">
        <f>IFERROR(__xludf.DUMMYFUNCTION("""COMPUTED_VALUE"""),"085455102400")</f>
        <v>085455102400</v>
      </c>
      <c r="F1081">
        <f>IFERROR(__xludf.DUMMYFUNCTION("""COMPUTED_VALUE"""),720.0)</f>
        <v>720</v>
      </c>
      <c r="G1081">
        <f>IFERROR(__xludf.DUMMYFUNCTION("""COMPUTED_VALUE"""),10000.0)</f>
        <v>10000</v>
      </c>
      <c r="H1081" s="2">
        <f>IFERROR(__xludf.DUMMYFUNCTION("""COMPUTED_VALUE"""),1.75)</f>
        <v>1.75</v>
      </c>
      <c r="I1081" s="2">
        <f>IFERROR(__xludf.DUMMYFUNCTION("""COMPUTED_VALUE"""),2.04)</f>
        <v>2.04</v>
      </c>
      <c r="J1081" s="2">
        <f>IFERROR(__xludf.DUMMYFUNCTION("""COMPUTED_VALUE"""),0.29000000000000004)</f>
        <v>0.29</v>
      </c>
      <c r="K1081" s="5">
        <f>IFERROR(__xludf.DUMMYFUNCTION("""COMPUTED_VALUE"""),0.16571428571428573)</f>
        <v>0.1657142857</v>
      </c>
      <c r="L1081">
        <f>IFERROR(__xludf.DUMMYFUNCTION("""COMPUTED_VALUE"""),3398.0)</f>
        <v>3398</v>
      </c>
      <c r="M1081" t="str">
        <f>IFERROR(__xludf.DUMMYFUNCTION("""COMPUTED_VALUE"""),"Kitchen")</f>
        <v>Kitchen</v>
      </c>
      <c r="O1081" t="str">
        <f>IFERROR(__xludf.DUMMYFUNCTION("""COMPUTED_VALUE"""),"N")</f>
        <v>N</v>
      </c>
      <c r="P1081" s="1" t="str">
        <f>IFERROR(__xludf.DUMMYFUNCTION("""COMPUTED_VALUE"""),"ID 4142")</f>
        <v>ID 4142</v>
      </c>
    </row>
    <row r="1082">
      <c r="A1082" s="6">
        <f>IFERROR(__xludf.DUMMYFUNCTION("""COMPUTED_VALUE"""),45425.0)</f>
        <v>45425</v>
      </c>
      <c r="B1082">
        <f>IFERROR(__xludf.DUMMYFUNCTION("""COMPUTED_VALUE"""),7621.0)</f>
        <v>7621</v>
      </c>
      <c r="C1082" t="str">
        <f>IFERROR(__xludf.DUMMYFUNCTION("""COMPUTED_VALUE"""),"Anchor Hocking Oven Basics 2-Piece Baking Dish Value Pack")</f>
        <v>Anchor Hocking Oven Basics 2-Piece Baking Dish Value Pack</v>
      </c>
      <c r="D1082" t="str">
        <f>IFERROR(__xludf.DUMMYFUNCTION("""COMPUTED_VALUE"""),"B000I1CBYY")</f>
        <v>B000I1CBYY</v>
      </c>
      <c r="E1082" t="str">
        <f>IFERROR(__xludf.DUMMYFUNCTION("""COMPUTED_VALUE"""),"076440827613")</f>
        <v>076440827613</v>
      </c>
      <c r="F1082">
        <f>IFERROR(__xludf.DUMMYFUNCTION("""COMPUTED_VALUE"""),106.0)</f>
        <v>106</v>
      </c>
      <c r="G1082">
        <f>IFERROR(__xludf.DUMMYFUNCTION("""COMPUTED_VALUE"""),10000.0)</f>
        <v>10000</v>
      </c>
      <c r="H1082" s="2">
        <f>IFERROR(__xludf.DUMMYFUNCTION("""COMPUTED_VALUE"""),12.5)</f>
        <v>12.5</v>
      </c>
      <c r="I1082" s="2">
        <f>IFERROR(__xludf.DUMMYFUNCTION("""COMPUTED_VALUE"""),12.79)</f>
        <v>12.79</v>
      </c>
      <c r="J1082" s="2">
        <f>IFERROR(__xludf.DUMMYFUNCTION("""COMPUTED_VALUE"""),0.28999999999999915)</f>
        <v>0.29</v>
      </c>
      <c r="K1082" s="5">
        <f>IFERROR(__xludf.DUMMYFUNCTION("""COMPUTED_VALUE"""),0.023199999999999932)</f>
        <v>0.0232</v>
      </c>
      <c r="L1082">
        <f>IFERROR(__xludf.DUMMYFUNCTION("""COMPUTED_VALUE"""),52951.0)</f>
        <v>52951</v>
      </c>
      <c r="M1082" t="str">
        <f>IFERROR(__xludf.DUMMYFUNCTION("""COMPUTED_VALUE"""),"Kitchen")</f>
        <v>Kitchen</v>
      </c>
      <c r="N1082" t="str">
        <f>IFERROR(__xludf.DUMMYFUNCTION("""COMPUTED_VALUE"""),"New but in bulk packaging.")</f>
        <v>New but in bulk packaging.</v>
      </c>
      <c r="O1082" t="str">
        <f>IFERROR(__xludf.DUMMYFUNCTION("""COMPUTED_VALUE"""),"Y")</f>
        <v>Y</v>
      </c>
      <c r="P1082" s="1" t="str">
        <f>IFERROR(__xludf.DUMMYFUNCTION("""COMPUTED_VALUE"""),"ID 7621")</f>
        <v>ID 7621</v>
      </c>
    </row>
    <row r="1083">
      <c r="A1083" s="6">
        <f>IFERROR(__xludf.DUMMYFUNCTION("""COMPUTED_VALUE"""),45383.0)</f>
        <v>45383</v>
      </c>
      <c r="B1083">
        <f>IFERROR(__xludf.DUMMYFUNCTION("""COMPUTED_VALUE"""),23188.0)</f>
        <v>23188</v>
      </c>
      <c r="C1083" t="str">
        <f>IFERROR(__xludf.DUMMYFUNCTION("""COMPUTED_VALUE"""),"Zebra Sarasa RDI LV-Refill, Medium Point, 0.7mm, Blue Ink, 2-Count")</f>
        <v>Zebra Sarasa RDI LV-Refill, Medium Point, 0.7mm, Blue Ink, 2-Count</v>
      </c>
      <c r="D1083" t="str">
        <f>IFERROR(__xludf.DUMMYFUNCTION("""COMPUTED_VALUE"""),"B001P47OS6")</f>
        <v>B001P47OS6</v>
      </c>
      <c r="E1083" t="str">
        <f>IFERROR(__xludf.DUMMYFUNCTION("""COMPUTED_VALUE"""),"045888870222")</f>
        <v>045888870222</v>
      </c>
      <c r="F1083">
        <f>IFERROR(__xludf.DUMMYFUNCTION("""COMPUTED_VALUE"""),684.0)</f>
        <v>684</v>
      </c>
      <c r="G1083">
        <f>IFERROR(__xludf.DUMMYFUNCTION("""COMPUTED_VALUE"""),10000.0)</f>
        <v>10000</v>
      </c>
      <c r="H1083" s="2">
        <f>IFERROR(__xludf.DUMMYFUNCTION("""COMPUTED_VALUE"""),1.5)</f>
        <v>1.5</v>
      </c>
      <c r="I1083" s="2">
        <f>IFERROR(__xludf.DUMMYFUNCTION("""COMPUTED_VALUE"""),1.78)</f>
        <v>1.78</v>
      </c>
      <c r="J1083" s="2">
        <f>IFERROR(__xludf.DUMMYFUNCTION("""COMPUTED_VALUE"""),0.28)</f>
        <v>0.28</v>
      </c>
      <c r="K1083" s="5">
        <f>IFERROR(__xludf.DUMMYFUNCTION("""COMPUTED_VALUE"""),0.18666666666666668)</f>
        <v>0.1866666667</v>
      </c>
      <c r="L1083">
        <f>IFERROR(__xludf.DUMMYFUNCTION("""COMPUTED_VALUE"""),59320.0)</f>
        <v>59320</v>
      </c>
      <c r="M1083" t="str">
        <f>IFERROR(__xludf.DUMMYFUNCTION("""COMPUTED_VALUE"""),"Office Product")</f>
        <v>Office Product</v>
      </c>
      <c r="O1083" t="str">
        <f>IFERROR(__xludf.DUMMYFUNCTION("""COMPUTED_VALUE"""),"Y")</f>
        <v>Y</v>
      </c>
      <c r="P1083" s="1" t="str">
        <f>IFERROR(__xludf.DUMMYFUNCTION("""COMPUTED_VALUE"""),"ID 23188")</f>
        <v>ID 23188</v>
      </c>
    </row>
    <row r="1084">
      <c r="A1084" s="6">
        <f>IFERROR(__xludf.DUMMYFUNCTION("""COMPUTED_VALUE"""),45421.0)</f>
        <v>45421</v>
      </c>
      <c r="B1084">
        <f>IFERROR(__xludf.DUMMYFUNCTION("""COMPUTED_VALUE"""),25638.0)</f>
        <v>25638</v>
      </c>
      <c r="C1084" t="str">
        <f>IFERROR(__xludf.DUMMYFUNCTION("""COMPUTED_VALUE"""),"Pickett Small Circles Template (1203I)")</f>
        <v>Pickett Small Circles Template (1203I)</v>
      </c>
      <c r="D1084" t="str">
        <f>IFERROR(__xludf.DUMMYFUNCTION("""COMPUTED_VALUE"""),"B000HF6Z9S")</f>
        <v>B000HF6Z9S</v>
      </c>
      <c r="E1084" t="str">
        <f>IFERROR(__xludf.DUMMYFUNCTION("""COMPUTED_VALUE"""),"014173152855")</f>
        <v>014173152855</v>
      </c>
      <c r="F1084">
        <f>IFERROR(__xludf.DUMMYFUNCTION("""COMPUTED_VALUE"""),288.0)</f>
        <v>288</v>
      </c>
      <c r="G1084">
        <f>IFERROR(__xludf.DUMMYFUNCTION("""COMPUTED_VALUE"""),10000.0)</f>
        <v>10000</v>
      </c>
      <c r="H1084" s="2">
        <f>IFERROR(__xludf.DUMMYFUNCTION("""COMPUTED_VALUE"""),8.75)</f>
        <v>8.75</v>
      </c>
      <c r="I1084" s="2">
        <f>IFERROR(__xludf.DUMMYFUNCTION("""COMPUTED_VALUE"""),9.03)</f>
        <v>9.03</v>
      </c>
      <c r="J1084" s="2">
        <f>IFERROR(__xludf.DUMMYFUNCTION("""COMPUTED_VALUE"""),0.27999999999999936)</f>
        <v>0.28</v>
      </c>
      <c r="K1084" s="5">
        <f>IFERROR(__xludf.DUMMYFUNCTION("""COMPUTED_VALUE"""),0.031999999999999924)</f>
        <v>0.032</v>
      </c>
      <c r="L1084">
        <f>IFERROR(__xludf.DUMMYFUNCTION("""COMPUTED_VALUE"""),51092.0)</f>
        <v>51092</v>
      </c>
      <c r="M1084" t="str">
        <f>IFERROR(__xludf.DUMMYFUNCTION("""COMPUTED_VALUE"""),"Office Product")</f>
        <v>Office Product</v>
      </c>
      <c r="O1084" t="str">
        <f>IFERROR(__xludf.DUMMYFUNCTION("""COMPUTED_VALUE"""),"Y")</f>
        <v>Y</v>
      </c>
      <c r="P1084" s="1" t="str">
        <f>IFERROR(__xludf.DUMMYFUNCTION("""COMPUTED_VALUE"""),"ID 25638")</f>
        <v>ID 25638</v>
      </c>
    </row>
    <row r="1085">
      <c r="A1085" s="6">
        <f>IFERROR(__xludf.DUMMYFUNCTION("""COMPUTED_VALUE"""),45376.0)</f>
        <v>45376</v>
      </c>
      <c r="B1085">
        <f>IFERROR(__xludf.DUMMYFUNCTION("""COMPUTED_VALUE"""),2503.0)</f>
        <v>2503</v>
      </c>
      <c r="C1085" t="str">
        <f>IFERROR(__xludf.DUMMYFUNCTION("""COMPUTED_VALUE"""),"U.S. Toy Inflatable Lobster Toy")</f>
        <v>U.S. Toy Inflatable Lobster Toy</v>
      </c>
      <c r="D1085" t="str">
        <f>IFERROR(__xludf.DUMMYFUNCTION("""COMPUTED_VALUE"""),"B000R4Q28S")</f>
        <v>B000R4Q28S</v>
      </c>
      <c r="E1085" t="str">
        <f>IFERROR(__xludf.DUMMYFUNCTION("""COMPUTED_VALUE"""),"049392227756")</f>
        <v>049392227756</v>
      </c>
      <c r="F1085">
        <f>IFERROR(__xludf.DUMMYFUNCTION("""COMPUTED_VALUE"""),432.0)</f>
        <v>432</v>
      </c>
      <c r="G1085">
        <f>IFERROR(__xludf.DUMMYFUNCTION("""COMPUTED_VALUE"""),3820.0)</f>
        <v>3820</v>
      </c>
      <c r="H1085" s="2">
        <f>IFERROR(__xludf.DUMMYFUNCTION("""COMPUTED_VALUE"""),3.25)</f>
        <v>3.25</v>
      </c>
      <c r="I1085" s="2">
        <f>IFERROR(__xludf.DUMMYFUNCTION("""COMPUTED_VALUE"""),3.52)</f>
        <v>3.52</v>
      </c>
      <c r="J1085" s="2">
        <f>IFERROR(__xludf.DUMMYFUNCTION("""COMPUTED_VALUE"""),0.27)</f>
        <v>0.27</v>
      </c>
      <c r="K1085" s="5">
        <f>IFERROR(__xludf.DUMMYFUNCTION("""COMPUTED_VALUE"""),0.08307692307692308)</f>
        <v>0.08307692308</v>
      </c>
      <c r="L1085">
        <f>IFERROR(__xludf.DUMMYFUNCTION("""COMPUTED_VALUE"""),56236.0)</f>
        <v>56236</v>
      </c>
      <c r="M1085" t="str">
        <f>IFERROR(__xludf.DUMMYFUNCTION("""COMPUTED_VALUE"""),"Toy")</f>
        <v>Toy</v>
      </c>
      <c r="N1085" t="str">
        <f>IFERROR(__xludf.DUMMYFUNCTION("""COMPUTED_VALUE"""),"MAP: $5.49. If you violate the MAP pricing, the brand will remove you and require you to return the merchandise at a 50% restocking fee.")</f>
        <v>MAP: $5.49. If you violate the MAP pricing, the brand will remove you and require you to return the merchandise at a 50% restocking fee.</v>
      </c>
      <c r="O1085" t="str">
        <f>IFERROR(__xludf.DUMMYFUNCTION("""COMPUTED_VALUE"""),"Y")</f>
        <v>Y</v>
      </c>
      <c r="P1085" s="1" t="str">
        <f>IFERROR(__xludf.DUMMYFUNCTION("""COMPUTED_VALUE"""),"ID 2503")</f>
        <v>ID 2503</v>
      </c>
    </row>
    <row r="1086">
      <c r="A1086" s="6">
        <f>IFERROR(__xludf.DUMMYFUNCTION("""COMPUTED_VALUE"""),45390.0)</f>
        <v>45390</v>
      </c>
      <c r="B1086">
        <f>IFERROR(__xludf.DUMMYFUNCTION("""COMPUTED_VALUE"""),7085.0)</f>
        <v>7085</v>
      </c>
      <c r="C1086" t="str">
        <f>IFERROR(__xludf.DUMMYFUNCTION("""COMPUTED_VALUE"""),"Chef Craft Maple Wooden Spoon Set, Brown")</f>
        <v>Chef Craft Maple Wooden Spoon Set, Brown</v>
      </c>
      <c r="D1086" t="str">
        <f>IFERROR(__xludf.DUMMYFUNCTION("""COMPUTED_VALUE"""),"B003EI4OHU")</f>
        <v>B003EI4OHU</v>
      </c>
      <c r="E1086" t="str">
        <f>IFERROR(__xludf.DUMMYFUNCTION("""COMPUTED_VALUE"""),"085455212550")</f>
        <v>085455212550</v>
      </c>
      <c r="F1086">
        <f>IFERROR(__xludf.DUMMYFUNCTION("""COMPUTED_VALUE"""),720.0)</f>
        <v>720</v>
      </c>
      <c r="G1086">
        <f>IFERROR(__xludf.DUMMYFUNCTION("""COMPUTED_VALUE"""),10000.0)</f>
        <v>10000</v>
      </c>
      <c r="H1086" s="2">
        <f>IFERROR(__xludf.DUMMYFUNCTION("""COMPUTED_VALUE"""),2.0)</f>
        <v>2</v>
      </c>
      <c r="I1086" s="2">
        <f>IFERROR(__xludf.DUMMYFUNCTION("""COMPUTED_VALUE"""),2.27)</f>
        <v>2.27</v>
      </c>
      <c r="J1086" s="2">
        <f>IFERROR(__xludf.DUMMYFUNCTION("""COMPUTED_VALUE"""),0.27)</f>
        <v>0.27</v>
      </c>
      <c r="K1086" s="5">
        <f>IFERROR(__xludf.DUMMYFUNCTION("""COMPUTED_VALUE"""),0.135)</f>
        <v>0.135</v>
      </c>
      <c r="L1086">
        <f>IFERROR(__xludf.DUMMYFUNCTION("""COMPUTED_VALUE"""),13381.0)</f>
        <v>13381</v>
      </c>
      <c r="M1086" t="str">
        <f>IFERROR(__xludf.DUMMYFUNCTION("""COMPUTED_VALUE"""),"Kitchen")</f>
        <v>Kitchen</v>
      </c>
      <c r="O1086" t="str">
        <f>IFERROR(__xludf.DUMMYFUNCTION("""COMPUTED_VALUE"""),"Y")</f>
        <v>Y</v>
      </c>
      <c r="P1086" s="1" t="str">
        <f>IFERROR(__xludf.DUMMYFUNCTION("""COMPUTED_VALUE"""),"ID 7085")</f>
        <v>ID 7085</v>
      </c>
    </row>
    <row r="1087">
      <c r="A1087" s="6">
        <f>IFERROR(__xludf.DUMMYFUNCTION("""COMPUTED_VALUE"""),45113.0)</f>
        <v>45113</v>
      </c>
      <c r="B1087">
        <f>IFERROR(__xludf.DUMMYFUNCTION("""COMPUTED_VALUE"""),15145.0)</f>
        <v>15145</v>
      </c>
      <c r="C1087" t="str">
        <f>IFERROR(__xludf.DUMMYFUNCTION("""COMPUTED_VALUE"""),"Krazy Glue Maximum Bond Super Glue, No-Run Gel, 20 Grams")</f>
        <v>Krazy Glue Maximum Bond Super Glue, No-Run Gel, 20 Grams</v>
      </c>
      <c r="D1087" t="str">
        <f>IFERROR(__xludf.DUMMYFUNCTION("""COMPUTED_VALUE"""),"B00JWF9TEM")</f>
        <v>B00JWF9TEM</v>
      </c>
      <c r="E1087" t="str">
        <f>IFERROR(__xludf.DUMMYFUNCTION("""COMPUTED_VALUE"""),"70158481488")</f>
        <v>70158481488</v>
      </c>
      <c r="F1087">
        <f>IFERROR(__xludf.DUMMYFUNCTION("""COMPUTED_VALUE"""),864.0)</f>
        <v>864</v>
      </c>
      <c r="G1087">
        <f>IFERROR(__xludf.DUMMYFUNCTION("""COMPUTED_VALUE"""),10000.0)</f>
        <v>10000</v>
      </c>
      <c r="H1087" s="2">
        <f>IFERROR(__xludf.DUMMYFUNCTION("""COMPUTED_VALUE"""),3.5)</f>
        <v>3.5</v>
      </c>
      <c r="I1087" s="2">
        <f>IFERROR(__xludf.DUMMYFUNCTION("""COMPUTED_VALUE"""),3.77)</f>
        <v>3.77</v>
      </c>
      <c r="J1087" s="2">
        <f>IFERROR(__xludf.DUMMYFUNCTION("""COMPUTED_VALUE"""),0.27)</f>
        <v>0.27</v>
      </c>
      <c r="K1087" s="5">
        <f>IFERROR(__xludf.DUMMYFUNCTION("""COMPUTED_VALUE"""),0.07714285714285715)</f>
        <v>0.07714285714</v>
      </c>
      <c r="L1087">
        <f>IFERROR(__xludf.DUMMYFUNCTION("""COMPUTED_VALUE"""),10122.0)</f>
        <v>10122</v>
      </c>
      <c r="M1087" t="str">
        <f>IFERROR(__xludf.DUMMYFUNCTION("""COMPUTED_VALUE"""),"Home Improvement")</f>
        <v>Home Improvement</v>
      </c>
      <c r="O1087" t="str">
        <f>IFERROR(__xludf.DUMMYFUNCTION("""COMPUTED_VALUE"""),"Y")</f>
        <v>Y</v>
      </c>
      <c r="P1087" s="1" t="str">
        <f>IFERROR(__xludf.DUMMYFUNCTION("""COMPUTED_VALUE"""),"ID 15145")</f>
        <v>ID 15145</v>
      </c>
    </row>
    <row r="1088">
      <c r="A1088" s="6">
        <f>IFERROR(__xludf.DUMMYFUNCTION("""COMPUTED_VALUE"""),44690.0)</f>
        <v>44690</v>
      </c>
      <c r="B1088">
        <f>IFERROR(__xludf.DUMMYFUNCTION("""COMPUTED_VALUE"""),20685.0)</f>
        <v>20685</v>
      </c>
      <c r="C1088" t="str">
        <f>IFERROR(__xludf.DUMMYFUNCTION("""COMPUTED_VALUE"""),"BIC Wite-Out Brand Mini Twist Correction Tape, White, 2-Count, Compact and Convenient Design for Easy Storage")</f>
        <v>BIC Wite-Out Brand Mini Twist Correction Tape, White, 2-Count, Compact and Convenient Design for Easy Storage</v>
      </c>
      <c r="D1088" t="str">
        <f>IFERROR(__xludf.DUMMYFUNCTION("""COMPUTED_VALUE"""),"B0016P4EK0")</f>
        <v>B0016P4EK0</v>
      </c>
      <c r="E1088" t="str">
        <f>IFERROR(__xludf.DUMMYFUNCTION("""COMPUTED_VALUE"""),"070330507548")</f>
        <v>070330507548</v>
      </c>
      <c r="F1088">
        <f>IFERROR(__xludf.DUMMYFUNCTION("""COMPUTED_VALUE"""),396.0)</f>
        <v>396</v>
      </c>
      <c r="G1088">
        <f>IFERROR(__xludf.DUMMYFUNCTION("""COMPUTED_VALUE"""),1000.0)</f>
        <v>1000</v>
      </c>
      <c r="H1088" s="2">
        <f>IFERROR(__xludf.DUMMYFUNCTION("""COMPUTED_VALUE"""),3.25)</f>
        <v>3.25</v>
      </c>
      <c r="I1088" s="2">
        <f>IFERROR(__xludf.DUMMYFUNCTION("""COMPUTED_VALUE"""),3.52)</f>
        <v>3.52</v>
      </c>
      <c r="J1088" s="2">
        <f>IFERROR(__xludf.DUMMYFUNCTION("""COMPUTED_VALUE"""),0.27)</f>
        <v>0.27</v>
      </c>
      <c r="K1088" s="5">
        <f>IFERROR(__xludf.DUMMYFUNCTION("""COMPUTED_VALUE"""),0.08307692307692308)</f>
        <v>0.08307692308</v>
      </c>
      <c r="L1088">
        <f>IFERROR(__xludf.DUMMYFUNCTION("""COMPUTED_VALUE"""),9230.0)</f>
        <v>9230</v>
      </c>
      <c r="M1088" t="str">
        <f>IFERROR(__xludf.DUMMYFUNCTION("""COMPUTED_VALUE"""),"Office Product")</f>
        <v>Office Product</v>
      </c>
      <c r="O1088" t="str">
        <f>IFERROR(__xludf.DUMMYFUNCTION("""COMPUTED_VALUE"""),"Y")</f>
        <v>Y</v>
      </c>
      <c r="P1088" s="1" t="str">
        <f>IFERROR(__xludf.DUMMYFUNCTION("""COMPUTED_VALUE"""),"ID 20685")</f>
        <v>ID 20685</v>
      </c>
    </row>
    <row r="1089">
      <c r="A1089" s="6">
        <f>IFERROR(__xludf.DUMMYFUNCTION("""COMPUTED_VALUE"""),45362.0)</f>
        <v>45362</v>
      </c>
      <c r="B1089">
        <f>IFERROR(__xludf.DUMMYFUNCTION("""COMPUTED_VALUE"""),21327.0)</f>
        <v>21327</v>
      </c>
      <c r="C1089" t="str">
        <f>IFERROR(__xludf.DUMMYFUNCTION("""COMPUTED_VALUE"""),"Vitamin E Skin Oil (1)")</f>
        <v>Vitamin E Skin Oil (1)</v>
      </c>
      <c r="D1089" t="str">
        <f>IFERROR(__xludf.DUMMYFUNCTION("""COMPUTED_VALUE"""),"B002WCEYDI")</f>
        <v>B002WCEYDI</v>
      </c>
      <c r="E1089" t="str">
        <f>IFERROR(__xludf.DUMMYFUNCTION("""COMPUTED_VALUE"""),"048155921719")</f>
        <v>048155921719</v>
      </c>
      <c r="F1089">
        <f>IFERROR(__xludf.DUMMYFUNCTION("""COMPUTED_VALUE"""),960.0)</f>
        <v>960</v>
      </c>
      <c r="G1089">
        <f>IFERROR(__xludf.DUMMYFUNCTION("""COMPUTED_VALUE"""),8102.0)</f>
        <v>8102</v>
      </c>
      <c r="H1089" s="2">
        <f>IFERROR(__xludf.DUMMYFUNCTION("""COMPUTED_VALUE"""),1.0)</f>
        <v>1</v>
      </c>
      <c r="I1089" s="2">
        <f>IFERROR(__xludf.DUMMYFUNCTION("""COMPUTED_VALUE"""),1.27)</f>
        <v>1.27</v>
      </c>
      <c r="J1089" s="2">
        <f>IFERROR(__xludf.DUMMYFUNCTION("""COMPUTED_VALUE"""),0.27)</f>
        <v>0.27</v>
      </c>
      <c r="K1089" s="5">
        <f>IFERROR(__xludf.DUMMYFUNCTION("""COMPUTED_VALUE"""),0.27)</f>
        <v>0.27</v>
      </c>
      <c r="L1089">
        <f>IFERROR(__xludf.DUMMYFUNCTION("""COMPUTED_VALUE"""),41585.0)</f>
        <v>41585</v>
      </c>
      <c r="M1089" t="str">
        <f>IFERROR(__xludf.DUMMYFUNCTION("""COMPUTED_VALUE"""),"Beauty")</f>
        <v>Beauty</v>
      </c>
      <c r="O1089" t="str">
        <f>IFERROR(__xludf.DUMMYFUNCTION("""COMPUTED_VALUE"""),"N")</f>
        <v>N</v>
      </c>
      <c r="P1089" s="1" t="str">
        <f>IFERROR(__xludf.DUMMYFUNCTION("""COMPUTED_VALUE"""),"ID 21327")</f>
        <v>ID 21327</v>
      </c>
    </row>
    <row r="1090">
      <c r="A1090" s="6">
        <f>IFERROR(__xludf.DUMMYFUNCTION("""COMPUTED_VALUE"""),45376.0)</f>
        <v>45376</v>
      </c>
      <c r="B1090">
        <f>IFERROR(__xludf.DUMMYFUNCTION("""COMPUTED_VALUE"""),22665.0)</f>
        <v>22665</v>
      </c>
      <c r="C1090" t="str">
        <f>IFERROR(__xludf.DUMMYFUNCTION("""COMPUTED_VALUE"""),"Versace Dylan Turquoise Eau DeToilette Mini Splash Women's Perfume 0.17 oz/5ml")</f>
        <v>Versace Dylan Turquoise Eau DeToilette Mini Splash Women's Perfume 0.17 oz/5ml</v>
      </c>
      <c r="D1090" t="str">
        <f>IFERROR(__xludf.DUMMYFUNCTION("""COMPUTED_VALUE"""),"B09CGGCC39")</f>
        <v>B09CGGCC39</v>
      </c>
      <c r="E1090" t="str">
        <f>IFERROR(__xludf.DUMMYFUNCTION("""COMPUTED_VALUE"""),"8011003858583")</f>
        <v>8011003858583</v>
      </c>
      <c r="F1090">
        <f>IFERROR(__xludf.DUMMYFUNCTION("""COMPUTED_VALUE"""),290.0)</f>
        <v>290</v>
      </c>
      <c r="G1090">
        <f>IFERROR(__xludf.DUMMYFUNCTION("""COMPUTED_VALUE"""),10000.0)</f>
        <v>10000</v>
      </c>
      <c r="H1090" s="2">
        <f>IFERROR(__xludf.DUMMYFUNCTION("""COMPUTED_VALUE"""),4.25)</f>
        <v>4.25</v>
      </c>
      <c r="I1090" s="2">
        <f>IFERROR(__xludf.DUMMYFUNCTION("""COMPUTED_VALUE"""),4.52)</f>
        <v>4.52</v>
      </c>
      <c r="J1090" s="2">
        <f>IFERROR(__xludf.DUMMYFUNCTION("""COMPUTED_VALUE"""),0.2699999999999996)</f>
        <v>0.27</v>
      </c>
      <c r="K1090" s="5">
        <f>IFERROR(__xludf.DUMMYFUNCTION("""COMPUTED_VALUE"""),0.06352941176470578)</f>
        <v>0.06352941176</v>
      </c>
      <c r="L1090">
        <f>IFERROR(__xludf.DUMMYFUNCTION("""COMPUTED_VALUE"""),6997.0)</f>
        <v>6997</v>
      </c>
      <c r="M1090" t="str">
        <f>IFERROR(__xludf.DUMMYFUNCTION("""COMPUTED_VALUE"""),"BISS Basic")</f>
        <v>BISS Basic</v>
      </c>
      <c r="O1090" t="str">
        <f>IFERROR(__xludf.DUMMYFUNCTION("""COMPUTED_VALUE"""),"N")</f>
        <v>N</v>
      </c>
      <c r="P1090" s="1" t="str">
        <f>IFERROR(__xludf.DUMMYFUNCTION("""COMPUTED_VALUE"""),"ID 22665")</f>
        <v>ID 22665</v>
      </c>
    </row>
    <row r="1091">
      <c r="A1091" s="6">
        <f>IFERROR(__xludf.DUMMYFUNCTION("""COMPUTED_VALUE"""),44571.0)</f>
        <v>44571</v>
      </c>
      <c r="B1091">
        <f>IFERROR(__xludf.DUMMYFUNCTION("""COMPUTED_VALUE"""),23507.0)</f>
        <v>23507</v>
      </c>
      <c r="C1091" t="str">
        <f>IFERROR(__xludf.DUMMYFUNCTION("""COMPUTED_VALUE"""),"Scotch 085-R ATG Advanced Tape Glider Refill Rolls, 1/4-Inch by 36-Yard, 2-Rolls/Box")</f>
        <v>Scotch 085-R ATG Advanced Tape Glider Refill Rolls, 1/4-Inch by 36-Yard, 2-Rolls/Box</v>
      </c>
      <c r="D1091" t="str">
        <f>IFERROR(__xludf.DUMMYFUNCTION("""COMPUTED_VALUE"""),"B00CE418S8")</f>
        <v>B00CE418S8</v>
      </c>
      <c r="E1091" t="str">
        <f>IFERROR(__xludf.DUMMYFUNCTION("""COMPUTED_VALUE"""),"51115642890")</f>
        <v>51115642890</v>
      </c>
      <c r="F1091">
        <f>IFERROR(__xludf.DUMMYFUNCTION("""COMPUTED_VALUE"""),612.0)</f>
        <v>612</v>
      </c>
      <c r="G1091">
        <f>IFERROR(__xludf.DUMMYFUNCTION("""COMPUTED_VALUE"""),1000.0)</f>
        <v>1000</v>
      </c>
      <c r="H1091" s="2">
        <f>IFERROR(__xludf.DUMMYFUNCTION("""COMPUTED_VALUE"""),5.25)</f>
        <v>5.25</v>
      </c>
      <c r="I1091" s="2">
        <f>IFERROR(__xludf.DUMMYFUNCTION("""COMPUTED_VALUE"""),5.52)</f>
        <v>5.52</v>
      </c>
      <c r="J1091" s="2">
        <f>IFERROR(__xludf.DUMMYFUNCTION("""COMPUTED_VALUE"""),0.2699999999999996)</f>
        <v>0.27</v>
      </c>
      <c r="K1091" s="5">
        <f>IFERROR(__xludf.DUMMYFUNCTION("""COMPUTED_VALUE"""),0.051428571428571344)</f>
        <v>0.05142857143</v>
      </c>
      <c r="L1091">
        <f>IFERROR(__xludf.DUMMYFUNCTION("""COMPUTED_VALUE"""),6227.0)</f>
        <v>6227</v>
      </c>
      <c r="M1091" t="str">
        <f>IFERROR(__xludf.DUMMYFUNCTION("""COMPUTED_VALUE"""),"Art and Craft Supply")</f>
        <v>Art and Craft Supply</v>
      </c>
      <c r="N1091" t="str">
        <f>IFERROR(__xludf.DUMMYFUNCTION("""COMPUTED_VALUE"""),"May need prep to sell individually")</f>
        <v>May need prep to sell individually</v>
      </c>
      <c r="O1091" t="str">
        <f>IFERROR(__xludf.DUMMYFUNCTION("""COMPUTED_VALUE"""),"Y")</f>
        <v>Y</v>
      </c>
      <c r="P1091" s="1" t="str">
        <f>IFERROR(__xludf.DUMMYFUNCTION("""COMPUTED_VALUE"""),"ID 23507")</f>
        <v>ID 23507</v>
      </c>
    </row>
    <row r="1092">
      <c r="A1092" s="6">
        <f>IFERROR(__xludf.DUMMYFUNCTION("""COMPUTED_VALUE"""),44600.0)</f>
        <v>44600</v>
      </c>
      <c r="B1092">
        <f>IFERROR(__xludf.DUMMYFUNCTION("""COMPUTED_VALUE"""),24792.0)</f>
        <v>24792</v>
      </c>
      <c r="C1092" t="str">
        <f>IFERROR(__xludf.DUMMYFUNCTION("""COMPUTED_VALUE"""),"Duck Brand Select Grip EasyLiner Shelf and Drawer Liner, Non-Adhesive, 20-Inch x 6-Feet, Non-Adhesive, Black, 1359575")</f>
        <v>Duck Brand Select Grip EasyLiner Shelf and Drawer Liner, Non-Adhesive, 20-Inch x 6-Feet, Non-Adhesive, Black, 1359575</v>
      </c>
      <c r="D1092" t="str">
        <f>IFERROR(__xludf.DUMMYFUNCTION("""COMPUTED_VALUE"""),"B002AS9N5I")</f>
        <v>B002AS9N5I</v>
      </c>
      <c r="E1092" t="str">
        <f>IFERROR(__xludf.DUMMYFUNCTION("""COMPUTED_VALUE"""),"75353257807")</f>
        <v>75353257807</v>
      </c>
      <c r="F1092">
        <f>IFERROR(__xludf.DUMMYFUNCTION("""COMPUTED_VALUE"""),396.0)</f>
        <v>396</v>
      </c>
      <c r="G1092">
        <f>IFERROR(__xludf.DUMMYFUNCTION("""COMPUTED_VALUE"""),1000.0)</f>
        <v>1000</v>
      </c>
      <c r="H1092" s="2">
        <f>IFERROR(__xludf.DUMMYFUNCTION("""COMPUTED_VALUE"""),4.5)</f>
        <v>4.5</v>
      </c>
      <c r="I1092" s="2">
        <f>IFERROR(__xludf.DUMMYFUNCTION("""COMPUTED_VALUE"""),4.77)</f>
        <v>4.77</v>
      </c>
      <c r="J1092" s="2">
        <f>IFERROR(__xludf.DUMMYFUNCTION("""COMPUTED_VALUE"""),0.2699999999999996)</f>
        <v>0.27</v>
      </c>
      <c r="K1092" s="5">
        <f>IFERROR(__xludf.DUMMYFUNCTION("""COMPUTED_VALUE"""),0.05999999999999991)</f>
        <v>0.06</v>
      </c>
      <c r="L1092">
        <f>IFERROR(__xludf.DUMMYFUNCTION("""COMPUTED_VALUE"""),18526.0)</f>
        <v>18526</v>
      </c>
      <c r="M1092" t="str">
        <f>IFERROR(__xludf.DUMMYFUNCTION("""COMPUTED_VALUE"""),"Home")</f>
        <v>Home</v>
      </c>
      <c r="O1092" t="str">
        <f>IFERROR(__xludf.DUMMYFUNCTION("""COMPUTED_VALUE"""),"N")</f>
        <v>N</v>
      </c>
      <c r="P1092" s="1" t="str">
        <f>IFERROR(__xludf.DUMMYFUNCTION("""COMPUTED_VALUE"""),"ID 24792")</f>
        <v>ID 24792</v>
      </c>
    </row>
    <row r="1093">
      <c r="A1093" s="6">
        <f>IFERROR(__xludf.DUMMYFUNCTION("""COMPUTED_VALUE"""),45142.0)</f>
        <v>45142</v>
      </c>
      <c r="B1093">
        <f>IFERROR(__xludf.DUMMYFUNCTION("""COMPUTED_VALUE"""),18633.0)</f>
        <v>18633</v>
      </c>
      <c r="C1093" t="str">
        <f>IFERROR(__xludf.DUMMYFUNCTION("""COMPUTED_VALUE"""),"273 By Fred Hayman For Women. Eau De Parfum Spray 2.5 Oz")</f>
        <v>273 By Fred Hayman For Women. Eau De Parfum Spray 2.5 Oz</v>
      </c>
      <c r="D1093" t="str">
        <f>IFERROR(__xludf.DUMMYFUNCTION("""COMPUTED_VALUE"""),"B000XE8ZTG")</f>
        <v>B000XE8ZTG</v>
      </c>
      <c r="E1093" t="str">
        <f>IFERROR(__xludf.DUMMYFUNCTION("""COMPUTED_VALUE"""),"0837015000493")</f>
        <v>0837015000493</v>
      </c>
      <c r="F1093">
        <f>IFERROR(__xludf.DUMMYFUNCTION("""COMPUTED_VALUE"""),70.0)</f>
        <v>70</v>
      </c>
      <c r="G1093">
        <f>IFERROR(__xludf.DUMMYFUNCTION("""COMPUTED_VALUE"""),84.0)</f>
        <v>84</v>
      </c>
      <c r="H1093" s="2">
        <f>IFERROR(__xludf.DUMMYFUNCTION("""COMPUTED_VALUE"""),19.0)</f>
        <v>19</v>
      </c>
      <c r="I1093" s="2">
        <f>IFERROR(__xludf.DUMMYFUNCTION("""COMPUTED_VALUE"""),19.26)</f>
        <v>19.26</v>
      </c>
      <c r="J1093" s="2">
        <f>IFERROR(__xludf.DUMMYFUNCTION("""COMPUTED_VALUE"""),0.26000000000000156)</f>
        <v>0.26</v>
      </c>
      <c r="K1093" s="5">
        <f>IFERROR(__xludf.DUMMYFUNCTION("""COMPUTED_VALUE"""),0.013684210526315872)</f>
        <v>0.01368421053</v>
      </c>
      <c r="L1093">
        <f>IFERROR(__xludf.DUMMYFUNCTION("""COMPUTED_VALUE"""),56479.0)</f>
        <v>56479</v>
      </c>
      <c r="M1093" t="str">
        <f>IFERROR(__xludf.DUMMYFUNCTION("""COMPUTED_VALUE"""),"Beauty")</f>
        <v>Beauty</v>
      </c>
      <c r="O1093" t="str">
        <f>IFERROR(__xludf.DUMMYFUNCTION("""COMPUTED_VALUE"""),"Y")</f>
        <v>Y</v>
      </c>
      <c r="P1093" s="1" t="str">
        <f>IFERROR(__xludf.DUMMYFUNCTION("""COMPUTED_VALUE"""),"ID 18633")</f>
        <v>ID 18633</v>
      </c>
    </row>
    <row r="1094">
      <c r="A1094" s="6">
        <f>IFERROR(__xludf.DUMMYFUNCTION("""COMPUTED_VALUE"""),45376.0)</f>
        <v>45376</v>
      </c>
      <c r="B1094">
        <f>IFERROR(__xludf.DUMMYFUNCTION("""COMPUTED_VALUE"""),13741.0)</f>
        <v>13741</v>
      </c>
      <c r="C1094" t="str">
        <f>IFERROR(__xludf.DUMMYFUNCTION("""COMPUTED_VALUE"""),"Checkers 13”x13” Board Game in Box")</f>
        <v>Checkers 13”x13” Board Game in Box</v>
      </c>
      <c r="D1094" t="str">
        <f>IFERROR(__xludf.DUMMYFUNCTION("""COMPUTED_VALUE"""),"B071FQG1WB")</f>
        <v>B071FQG1WB</v>
      </c>
      <c r="E1094" t="str">
        <f>IFERROR(__xludf.DUMMYFUNCTION("""COMPUTED_VALUE"""),"0778988649299")</f>
        <v>0778988649299</v>
      </c>
      <c r="F1094">
        <f>IFERROR(__xludf.DUMMYFUNCTION("""COMPUTED_VALUE"""),336.0)</f>
        <v>336</v>
      </c>
      <c r="G1094">
        <f>IFERROR(__xludf.DUMMYFUNCTION("""COMPUTED_VALUE"""),2411.0)</f>
        <v>2411</v>
      </c>
      <c r="H1094" s="2">
        <f>IFERROR(__xludf.DUMMYFUNCTION("""COMPUTED_VALUE"""),3.75)</f>
        <v>3.75</v>
      </c>
      <c r="I1094" s="2">
        <f>IFERROR(__xludf.DUMMYFUNCTION("""COMPUTED_VALUE"""),4.01)</f>
        <v>4.01</v>
      </c>
      <c r="J1094" s="2">
        <f>IFERROR(__xludf.DUMMYFUNCTION("""COMPUTED_VALUE"""),0.2599999999999998)</f>
        <v>0.26</v>
      </c>
      <c r="K1094" s="5">
        <f>IFERROR(__xludf.DUMMYFUNCTION("""COMPUTED_VALUE"""),0.06933333333333327)</f>
        <v>0.06933333333</v>
      </c>
      <c r="L1094">
        <f>IFERROR(__xludf.DUMMYFUNCTION("""COMPUTED_VALUE"""),46956.0)</f>
        <v>46956</v>
      </c>
      <c r="M1094" t="str">
        <f>IFERROR(__xludf.DUMMYFUNCTION("""COMPUTED_VALUE"""),"Toy")</f>
        <v>Toy</v>
      </c>
      <c r="O1094" t="str">
        <f>IFERROR(__xludf.DUMMYFUNCTION("""COMPUTED_VALUE"""),"N")</f>
        <v>N</v>
      </c>
      <c r="P1094" s="1" t="str">
        <f>IFERROR(__xludf.DUMMYFUNCTION("""COMPUTED_VALUE"""),"ID 13741")</f>
        <v>ID 13741</v>
      </c>
    </row>
    <row r="1095">
      <c r="A1095" s="6">
        <f>IFERROR(__xludf.DUMMYFUNCTION("""COMPUTED_VALUE"""),45076.0)</f>
        <v>45076</v>
      </c>
      <c r="B1095">
        <f>IFERROR(__xludf.DUMMYFUNCTION("""COMPUTED_VALUE"""),15347.0)</f>
        <v>15347</v>
      </c>
      <c r="C1095" t="str">
        <f>IFERROR(__xludf.DUMMYFUNCTION("""COMPUTED_VALUE"""),"rOtring Tikky Mechanical Pencil, 1.0 mm, Burgundy (1904693)")</f>
        <v>rOtring Tikky Mechanical Pencil, 1.0 mm, Burgundy (1904693)</v>
      </c>
      <c r="D1095" t="str">
        <f>IFERROR(__xludf.DUMMYFUNCTION("""COMPUTED_VALUE"""),"B001B2LSB6")</f>
        <v>B001B2LSB6</v>
      </c>
      <c r="E1095" t="str">
        <f>IFERROR(__xludf.DUMMYFUNCTION("""COMPUTED_VALUE"""),"3501170770481")</f>
        <v>3501170770481</v>
      </c>
      <c r="F1095">
        <f>IFERROR(__xludf.DUMMYFUNCTION("""COMPUTED_VALUE"""),720.0)</f>
        <v>720</v>
      </c>
      <c r="G1095">
        <f>IFERROR(__xludf.DUMMYFUNCTION("""COMPUTED_VALUE"""),10000.0)</f>
        <v>10000</v>
      </c>
      <c r="H1095" s="2">
        <f>IFERROR(__xludf.DUMMYFUNCTION("""COMPUTED_VALUE"""),4.25)</f>
        <v>4.25</v>
      </c>
      <c r="I1095" s="2">
        <f>IFERROR(__xludf.DUMMYFUNCTION("""COMPUTED_VALUE"""),4.51)</f>
        <v>4.51</v>
      </c>
      <c r="J1095" s="2">
        <f>IFERROR(__xludf.DUMMYFUNCTION("""COMPUTED_VALUE"""),0.2599999999999998)</f>
        <v>0.26</v>
      </c>
      <c r="K1095" s="5">
        <f>IFERROR(__xludf.DUMMYFUNCTION("""COMPUTED_VALUE"""),0.06117647058823524)</f>
        <v>0.06117647059</v>
      </c>
      <c r="L1095">
        <f>IFERROR(__xludf.DUMMYFUNCTION("""COMPUTED_VALUE"""),30102.0)</f>
        <v>30102</v>
      </c>
      <c r="M1095" t="str">
        <f>IFERROR(__xludf.DUMMYFUNCTION("""COMPUTED_VALUE"""),"Office Product")</f>
        <v>Office Product</v>
      </c>
      <c r="O1095" t="str">
        <f>IFERROR(__xludf.DUMMYFUNCTION("""COMPUTED_VALUE"""),"N")</f>
        <v>N</v>
      </c>
      <c r="P1095" s="1" t="str">
        <f>IFERROR(__xludf.DUMMYFUNCTION("""COMPUTED_VALUE"""),"ID 15347")</f>
        <v>ID 15347</v>
      </c>
    </row>
    <row r="1096">
      <c r="A1096" s="6">
        <f>IFERROR(__xludf.DUMMYFUNCTION("""COMPUTED_VALUE"""),45376.0)</f>
        <v>45376</v>
      </c>
      <c r="B1096">
        <f>IFERROR(__xludf.DUMMYFUNCTION("""COMPUTED_VALUE"""),21917.0)</f>
        <v>21917</v>
      </c>
      <c r="C1096" t="str">
        <f>IFERROR(__xludf.DUMMYFUNCTION("""COMPUTED_VALUE"""),"Ticonderoga Yellow Pencil, No.1 Extra Soft Lead, Dozen DIX13881")</f>
        <v>Ticonderoga Yellow Pencil, No.1 Extra Soft Lead, Dozen DIX13881</v>
      </c>
      <c r="D1096" t="str">
        <f>IFERROR(__xludf.DUMMYFUNCTION("""COMPUTED_VALUE"""),"B001CXWQ6U")</f>
        <v>B001CXWQ6U</v>
      </c>
      <c r="E1096" t="str">
        <f>IFERROR(__xludf.DUMMYFUNCTION("""COMPUTED_VALUE"""),"072067138811")</f>
        <v>072067138811</v>
      </c>
      <c r="F1096">
        <f>IFERROR(__xludf.DUMMYFUNCTION("""COMPUTED_VALUE"""),1680.0)</f>
        <v>1680</v>
      </c>
      <c r="G1096">
        <f>IFERROR(__xludf.DUMMYFUNCTION("""COMPUTED_VALUE"""),10000.0)</f>
        <v>10000</v>
      </c>
      <c r="H1096" s="2">
        <f>IFERROR(__xludf.DUMMYFUNCTION("""COMPUTED_VALUE"""),2.25)</f>
        <v>2.25</v>
      </c>
      <c r="I1096" s="2">
        <f>IFERROR(__xludf.DUMMYFUNCTION("""COMPUTED_VALUE"""),2.51)</f>
        <v>2.51</v>
      </c>
      <c r="J1096" s="2">
        <f>IFERROR(__xludf.DUMMYFUNCTION("""COMPUTED_VALUE"""),0.2599999999999998)</f>
        <v>0.26</v>
      </c>
      <c r="K1096" s="5">
        <f>IFERROR(__xludf.DUMMYFUNCTION("""COMPUTED_VALUE"""),0.11555555555555547)</f>
        <v>0.1155555556</v>
      </c>
      <c r="L1096">
        <f>IFERROR(__xludf.DUMMYFUNCTION("""COMPUTED_VALUE"""),33816.0)</f>
        <v>33816</v>
      </c>
      <c r="M1096" t="str">
        <f>IFERROR(__xludf.DUMMYFUNCTION("""COMPUTED_VALUE"""),"Office Product")</f>
        <v>Office Product</v>
      </c>
      <c r="O1096" t="str">
        <f>IFERROR(__xludf.DUMMYFUNCTION("""COMPUTED_VALUE"""),"N")</f>
        <v>N</v>
      </c>
      <c r="P1096" s="1" t="str">
        <f>IFERROR(__xludf.DUMMYFUNCTION("""COMPUTED_VALUE"""),"ID 21917")</f>
        <v>ID 21917</v>
      </c>
    </row>
    <row r="1097">
      <c r="A1097" s="6">
        <f>IFERROR(__xludf.DUMMYFUNCTION("""COMPUTED_VALUE"""),45188.0)</f>
        <v>45188</v>
      </c>
      <c r="B1097">
        <f>IFERROR(__xludf.DUMMYFUNCTION("""COMPUTED_VALUE"""),23228.0)</f>
        <v>23228</v>
      </c>
      <c r="C1097" t="str">
        <f>IFERROR(__xludf.DUMMYFUNCTION("""COMPUTED_VALUE"""),"Fellowes Laminator Cleaning Sheets, 10 per Pack (5320603)")</f>
        <v>Fellowes Laminator Cleaning Sheets, 10 per Pack (5320603)</v>
      </c>
      <c r="D1097" t="str">
        <f>IFERROR(__xludf.DUMMYFUNCTION("""COMPUTED_VALUE"""),"B002T0DDYY")</f>
        <v>B002T0DDYY</v>
      </c>
      <c r="E1097" t="str">
        <f>IFERROR(__xludf.DUMMYFUNCTION("""COMPUTED_VALUE"""),"043859579044")</f>
        <v>043859579044</v>
      </c>
      <c r="F1097">
        <f>IFERROR(__xludf.DUMMYFUNCTION("""COMPUTED_VALUE"""),220.0)</f>
        <v>220</v>
      </c>
      <c r="G1097">
        <f>IFERROR(__xludf.DUMMYFUNCTION("""COMPUTED_VALUE"""),10000.0)</f>
        <v>10000</v>
      </c>
      <c r="H1097" s="2">
        <f>IFERROR(__xludf.DUMMYFUNCTION("""COMPUTED_VALUE"""),5.75)</f>
        <v>5.75</v>
      </c>
      <c r="I1097" s="2">
        <f>IFERROR(__xludf.DUMMYFUNCTION("""COMPUTED_VALUE"""),6.01)</f>
        <v>6.01</v>
      </c>
      <c r="J1097" s="2">
        <f>IFERROR(__xludf.DUMMYFUNCTION("""COMPUTED_VALUE"""),0.2599999999999998)</f>
        <v>0.26</v>
      </c>
      <c r="K1097" s="5">
        <f>IFERROR(__xludf.DUMMYFUNCTION("""COMPUTED_VALUE"""),0.045217391304347786)</f>
        <v>0.0452173913</v>
      </c>
      <c r="L1097">
        <f>IFERROR(__xludf.DUMMYFUNCTION("""COMPUTED_VALUE"""),29215.0)</f>
        <v>29215</v>
      </c>
      <c r="M1097" t="str">
        <f>IFERROR(__xludf.DUMMYFUNCTION("""COMPUTED_VALUE"""),"Office Product")</f>
        <v>Office Product</v>
      </c>
      <c r="O1097" t="str">
        <f>IFERROR(__xludf.DUMMYFUNCTION("""COMPUTED_VALUE"""),"Y")</f>
        <v>Y</v>
      </c>
      <c r="P1097" s="1" t="str">
        <f>IFERROR(__xludf.DUMMYFUNCTION("""COMPUTED_VALUE"""),"ID 23228")</f>
        <v>ID 23228</v>
      </c>
    </row>
    <row r="1098">
      <c r="A1098" s="6">
        <f>IFERROR(__xludf.DUMMYFUNCTION("""COMPUTED_VALUE"""),44712.0)</f>
        <v>44712</v>
      </c>
      <c r="B1098">
        <f>IFERROR(__xludf.DUMMYFUNCTION("""COMPUTED_VALUE"""),737.0)</f>
        <v>737</v>
      </c>
      <c r="C1098" t="str">
        <f>IFERROR(__xludf.DUMMYFUNCTION("""COMPUTED_VALUE"""),"Two-piece Dog Toothbrush Set: Double Sided Canine Dental Hygiene Brushes with Long 8 1/2 Inch Handles and Super Soft Bristles")</f>
        <v>Two-piece Dog Toothbrush Set: Double Sided Canine Dental Hygiene Brushes with Long 8 1/2 Inch Handles and Super Soft Bristles</v>
      </c>
      <c r="D1098" t="str">
        <f>IFERROR(__xludf.DUMMYFUNCTION("""COMPUTED_VALUE"""),"B00O3GX9E6")</f>
        <v>B00O3GX9E6</v>
      </c>
      <c r="E1098" t="str">
        <f>IFERROR(__xludf.DUMMYFUNCTION("""COMPUTED_VALUE"""),"731015075447")</f>
        <v>731015075447</v>
      </c>
      <c r="F1098">
        <f>IFERROR(__xludf.DUMMYFUNCTION("""COMPUTED_VALUE"""),1440.0)</f>
        <v>1440</v>
      </c>
      <c r="G1098">
        <f>IFERROR(__xludf.DUMMYFUNCTION("""COMPUTED_VALUE"""),13807.0)</f>
        <v>13807</v>
      </c>
      <c r="H1098" s="2">
        <f>IFERROR(__xludf.DUMMYFUNCTION("""COMPUTED_VALUE"""),1.0)</f>
        <v>1</v>
      </c>
      <c r="I1098" s="2">
        <f>IFERROR(__xludf.DUMMYFUNCTION("""COMPUTED_VALUE"""),1.25)</f>
        <v>1.25</v>
      </c>
      <c r="J1098" s="2">
        <f>IFERROR(__xludf.DUMMYFUNCTION("""COMPUTED_VALUE"""),0.25)</f>
        <v>0.25</v>
      </c>
      <c r="K1098" s="5">
        <f>IFERROR(__xludf.DUMMYFUNCTION("""COMPUTED_VALUE"""),0.25)</f>
        <v>0.25</v>
      </c>
      <c r="L1098">
        <f>IFERROR(__xludf.DUMMYFUNCTION("""COMPUTED_VALUE"""),72689.0)</f>
        <v>72689</v>
      </c>
      <c r="M1098" t="str">
        <f>IFERROR(__xludf.DUMMYFUNCTION("""COMPUTED_VALUE"""),"Beauty")</f>
        <v>Beauty</v>
      </c>
      <c r="O1098" t="str">
        <f>IFERROR(__xludf.DUMMYFUNCTION("""COMPUTED_VALUE"""),"N")</f>
        <v>N</v>
      </c>
      <c r="P1098" s="1" t="str">
        <f>IFERROR(__xludf.DUMMYFUNCTION("""COMPUTED_VALUE"""),"ID 737")</f>
        <v>ID 737</v>
      </c>
    </row>
    <row r="1099">
      <c r="A1099" s="6">
        <f>IFERROR(__xludf.DUMMYFUNCTION("""COMPUTED_VALUE"""),44739.0)</f>
        <v>44739</v>
      </c>
      <c r="B1099">
        <f>IFERROR(__xludf.DUMMYFUNCTION("""COMPUTED_VALUE"""),12258.0)</f>
        <v>12258</v>
      </c>
      <c r="C1099" t="str">
        <f>IFERROR(__xludf.DUMMYFUNCTION("""COMPUTED_VALUE"""),"Day Runner Undated Planner Telephone and Address Refill, 3.75 x 6.75 Inches (013-230)")</f>
        <v>Day Runner Undated Planner Telephone and Address Refill, 3.75 x 6.75 Inches (013-230)</v>
      </c>
      <c r="D1099" t="str">
        <f>IFERROR(__xludf.DUMMYFUNCTION("""COMPUTED_VALUE"""),"B0027IPBPM")</f>
        <v>B0027IPBPM</v>
      </c>
      <c r="E1099" t="str">
        <f>IFERROR(__xludf.DUMMYFUNCTION("""COMPUTED_VALUE"""),"089138023891")</f>
        <v>089138023891</v>
      </c>
      <c r="F1099">
        <f>IFERROR(__xludf.DUMMYFUNCTION("""COMPUTED_VALUE"""),684.0)</f>
        <v>684</v>
      </c>
      <c r="G1099">
        <f>IFERROR(__xludf.DUMMYFUNCTION("""COMPUTED_VALUE"""),5000.0)</f>
        <v>5000</v>
      </c>
      <c r="H1099" s="2">
        <f>IFERROR(__xludf.DUMMYFUNCTION("""COMPUTED_VALUE"""),3.75)</f>
        <v>3.75</v>
      </c>
      <c r="I1099" s="2">
        <f>IFERROR(__xludf.DUMMYFUNCTION("""COMPUTED_VALUE"""),4.0)</f>
        <v>4</v>
      </c>
      <c r="J1099" s="2">
        <f>IFERROR(__xludf.DUMMYFUNCTION("""COMPUTED_VALUE"""),0.25)</f>
        <v>0.25</v>
      </c>
      <c r="K1099" s="5">
        <f>IFERROR(__xludf.DUMMYFUNCTION("""COMPUTED_VALUE"""),0.06666666666666667)</f>
        <v>0.06666666667</v>
      </c>
      <c r="L1099">
        <f>IFERROR(__xludf.DUMMYFUNCTION("""COMPUTED_VALUE"""),62616.0)</f>
        <v>62616</v>
      </c>
      <c r="M1099" t="str">
        <f>IFERROR(__xludf.DUMMYFUNCTION("""COMPUTED_VALUE"""),"Office Product")</f>
        <v>Office Product</v>
      </c>
      <c r="O1099" t="str">
        <f>IFERROR(__xludf.DUMMYFUNCTION("""COMPUTED_VALUE"""),"N")</f>
        <v>N</v>
      </c>
      <c r="P1099" s="1" t="str">
        <f>IFERROR(__xludf.DUMMYFUNCTION("""COMPUTED_VALUE"""),"ID 12258")</f>
        <v>ID 12258</v>
      </c>
    </row>
    <row r="1100">
      <c r="A1100" s="6">
        <f>IFERROR(__xludf.DUMMYFUNCTION("""COMPUTED_VALUE"""),44091.0)</f>
        <v>44091</v>
      </c>
      <c r="B1100">
        <f>IFERROR(__xludf.DUMMYFUNCTION("""COMPUTED_VALUE"""),16413.0)</f>
        <v>16413</v>
      </c>
      <c r="C1100" t="str">
        <f>IFERROR(__xludf.DUMMYFUNCTION("""COMPUTED_VALUE"""),"Melissa &amp; Doug Stack &amp; Sort Board")</f>
        <v>Melissa &amp; Doug Stack &amp; Sort Board</v>
      </c>
      <c r="D1100" t="str">
        <f>IFERROR(__xludf.DUMMYFUNCTION("""COMPUTED_VALUE"""),"B000AS2AL4")</f>
        <v>B000AS2AL4</v>
      </c>
      <c r="E1100" t="str">
        <f>IFERROR(__xludf.DUMMYFUNCTION("""COMPUTED_VALUE"""),"772003797")</f>
        <v>772003797</v>
      </c>
      <c r="F1100">
        <f>IFERROR(__xludf.DUMMYFUNCTION("""COMPUTED_VALUE"""),204.0)</f>
        <v>204</v>
      </c>
      <c r="G1100">
        <f>IFERROR(__xludf.DUMMYFUNCTION("""COMPUTED_VALUE"""),1000.0)</f>
        <v>1000</v>
      </c>
      <c r="H1100" s="2">
        <f>IFERROR(__xludf.DUMMYFUNCTION("""COMPUTED_VALUE"""),6.0)</f>
        <v>6</v>
      </c>
      <c r="I1100" s="2">
        <f>IFERROR(__xludf.DUMMYFUNCTION("""COMPUTED_VALUE"""),6.25)</f>
        <v>6.25</v>
      </c>
      <c r="J1100" s="2">
        <f>IFERROR(__xludf.DUMMYFUNCTION("""COMPUTED_VALUE"""),0.25)</f>
        <v>0.25</v>
      </c>
      <c r="K1100" s="5">
        <f>IFERROR(__xludf.DUMMYFUNCTION("""COMPUTED_VALUE"""),0.041666666666666664)</f>
        <v>0.04166666667</v>
      </c>
      <c r="L1100">
        <f>IFERROR(__xludf.DUMMYFUNCTION("""COMPUTED_VALUE"""),15411.0)</f>
        <v>15411</v>
      </c>
      <c r="M1100" t="str">
        <f>IFERROR(__xludf.DUMMYFUNCTION("""COMPUTED_VALUE"""),"Toy")</f>
        <v>Toy</v>
      </c>
      <c r="O1100" t="str">
        <f>IFERROR(__xludf.DUMMYFUNCTION("""COMPUTED_VALUE"""),"Y")</f>
        <v>Y</v>
      </c>
      <c r="P1100" s="1" t="str">
        <f>IFERROR(__xludf.DUMMYFUNCTION("""COMPUTED_VALUE"""),"ID 16413")</f>
        <v>ID 16413</v>
      </c>
    </row>
    <row r="1101">
      <c r="A1101" s="6">
        <f>IFERROR(__xludf.DUMMYFUNCTION("""COMPUTED_VALUE"""),45015.0)</f>
        <v>45015</v>
      </c>
      <c r="B1101">
        <f>IFERROR(__xludf.DUMMYFUNCTION("""COMPUTED_VALUE"""),18537.0)</f>
        <v>18537</v>
      </c>
      <c r="C1101" t="str">
        <f>IFERROR(__xludf.DUMMYFUNCTION("""COMPUTED_VALUE"""),"Mead Clasp Envelopes, 9"" x 12"", Brown Kraft, Office Pak, 20 per Box (76020)")</f>
        <v>Mead Clasp Envelopes, 9" x 12", Brown Kraft, Office Pak, 20 per Box (76020)</v>
      </c>
      <c r="D1101" t="str">
        <f>IFERROR(__xludf.DUMMYFUNCTION("""COMPUTED_VALUE"""),"B00290GZQC")</f>
        <v>B00290GZQC</v>
      </c>
      <c r="E1101" t="str">
        <f>IFERROR(__xludf.DUMMYFUNCTION("""COMPUTED_VALUE"""),"43100760207")</f>
        <v>43100760207</v>
      </c>
      <c r="F1101">
        <f>IFERROR(__xludf.DUMMYFUNCTION("""COMPUTED_VALUE"""),852.0)</f>
        <v>852</v>
      </c>
      <c r="G1101">
        <f>IFERROR(__xludf.DUMMYFUNCTION("""COMPUTED_VALUE"""),10000.0)</f>
        <v>10000</v>
      </c>
      <c r="H1101" s="2">
        <f>IFERROR(__xludf.DUMMYFUNCTION("""COMPUTED_VALUE"""),3.0)</f>
        <v>3</v>
      </c>
      <c r="I1101" s="2">
        <f>IFERROR(__xludf.DUMMYFUNCTION("""COMPUTED_VALUE"""),3.25)</f>
        <v>3.25</v>
      </c>
      <c r="J1101" s="2">
        <f>IFERROR(__xludf.DUMMYFUNCTION("""COMPUTED_VALUE"""),0.25)</f>
        <v>0.25</v>
      </c>
      <c r="K1101" s="5">
        <f>IFERROR(__xludf.DUMMYFUNCTION("""COMPUTED_VALUE"""),0.08333333333333333)</f>
        <v>0.08333333333</v>
      </c>
      <c r="L1101">
        <f>IFERROR(__xludf.DUMMYFUNCTION("""COMPUTED_VALUE"""),491.0)</f>
        <v>491</v>
      </c>
      <c r="M1101" t="str">
        <f>IFERROR(__xludf.DUMMYFUNCTION("""COMPUTED_VALUE"""),"Office Product")</f>
        <v>Office Product</v>
      </c>
      <c r="O1101" t="str">
        <f>IFERROR(__xludf.DUMMYFUNCTION("""COMPUTED_VALUE"""),"Y")</f>
        <v>Y</v>
      </c>
      <c r="P1101" s="1" t="str">
        <f>IFERROR(__xludf.DUMMYFUNCTION("""COMPUTED_VALUE"""),"ID 18537")</f>
        <v>ID 18537</v>
      </c>
    </row>
    <row r="1102">
      <c r="A1102" s="6">
        <f>IFERROR(__xludf.DUMMYFUNCTION("""COMPUTED_VALUE"""),44458.0)</f>
        <v>44458</v>
      </c>
      <c r="B1102">
        <f>IFERROR(__xludf.DUMMYFUNCTION("""COMPUTED_VALUE"""),19945.0)</f>
        <v>19945</v>
      </c>
      <c r="C1102" t="str">
        <f>IFERROR(__xludf.DUMMYFUNCTION("""COMPUTED_VALUE"""),"Oxford Blank Color Index Cards, 4"" x 6"", Canary, 100 Per Pack (7420 CAN)")</f>
        <v>Oxford Blank Color Index Cards, 4" x 6", Canary, 100 Per Pack (7420 CAN)</v>
      </c>
      <c r="D1102" t="str">
        <f>IFERROR(__xludf.DUMMYFUNCTION("""COMPUTED_VALUE"""),"B00006IFDZ")</f>
        <v>B00006IFDZ</v>
      </c>
      <c r="E1102" t="str">
        <f>IFERROR(__xludf.DUMMYFUNCTION("""COMPUTED_VALUE"""),"078787740228")</f>
        <v>078787740228</v>
      </c>
      <c r="F1102">
        <f>IFERROR(__xludf.DUMMYFUNCTION("""COMPUTED_VALUE"""),1140.0)</f>
        <v>1140</v>
      </c>
      <c r="G1102">
        <f>IFERROR(__xludf.DUMMYFUNCTION("""COMPUTED_VALUE"""),5000.0)</f>
        <v>5000</v>
      </c>
      <c r="H1102" s="2">
        <f>IFERROR(__xludf.DUMMYFUNCTION("""COMPUTED_VALUE"""),2.25)</f>
        <v>2.25</v>
      </c>
      <c r="I1102" s="2">
        <f>IFERROR(__xludf.DUMMYFUNCTION("""COMPUTED_VALUE"""),2.5)</f>
        <v>2.5</v>
      </c>
      <c r="J1102" s="2">
        <f>IFERROR(__xludf.DUMMYFUNCTION("""COMPUTED_VALUE"""),0.25)</f>
        <v>0.25</v>
      </c>
      <c r="K1102" s="5">
        <f>IFERROR(__xludf.DUMMYFUNCTION("""COMPUTED_VALUE"""),0.1111111111111111)</f>
        <v>0.1111111111</v>
      </c>
      <c r="L1102">
        <f>IFERROR(__xludf.DUMMYFUNCTION("""COMPUTED_VALUE"""),27249.0)</f>
        <v>27249</v>
      </c>
      <c r="M1102" t="str">
        <f>IFERROR(__xludf.DUMMYFUNCTION("""COMPUTED_VALUE"""),"Office Product")</f>
        <v>Office Product</v>
      </c>
      <c r="O1102" t="str">
        <f>IFERROR(__xludf.DUMMYFUNCTION("""COMPUTED_VALUE"""),"Y")</f>
        <v>Y</v>
      </c>
      <c r="P1102" s="1" t="str">
        <f>IFERROR(__xludf.DUMMYFUNCTION("""COMPUTED_VALUE"""),"ID 19945")</f>
        <v>ID 19945</v>
      </c>
    </row>
    <row r="1103">
      <c r="A1103" s="6">
        <f>IFERROR(__xludf.DUMMYFUNCTION("""COMPUTED_VALUE"""),45429.0)</f>
        <v>45429</v>
      </c>
      <c r="B1103">
        <f>IFERROR(__xludf.DUMMYFUNCTION("""COMPUTED_VALUE"""),14038.0)</f>
        <v>14038</v>
      </c>
      <c r="C1103" t="str">
        <f>IFERROR(__xludf.DUMMYFUNCTION("""COMPUTED_VALUE"""),"2003-2004 NBA Champions: Detroit Pistons")</f>
        <v>2003-2004 NBA Champions: Detroit Pistons</v>
      </c>
      <c r="D1103" t="str">
        <f>IFERROR(__xludf.DUMMYFUNCTION("""COMPUTED_VALUE"""),"B00020W0X8")</f>
        <v>B00020W0X8</v>
      </c>
      <c r="E1103" t="str">
        <f>IFERROR(__xludf.DUMMYFUNCTION("""COMPUTED_VALUE"""),"085393977924")</f>
        <v>085393977924</v>
      </c>
      <c r="F1103">
        <f>IFERROR(__xludf.DUMMYFUNCTION("""COMPUTED_VALUE"""),187.0)</f>
        <v>187</v>
      </c>
      <c r="G1103">
        <f>IFERROR(__xludf.DUMMYFUNCTION("""COMPUTED_VALUE"""),187.0)</f>
        <v>187</v>
      </c>
      <c r="H1103" s="2">
        <f>IFERROR(__xludf.DUMMYFUNCTION("""COMPUTED_VALUE"""),3.25)</f>
        <v>3.25</v>
      </c>
      <c r="I1103" s="2">
        <f>IFERROR(__xludf.DUMMYFUNCTION("""COMPUTED_VALUE"""),3.5)</f>
        <v>3.5</v>
      </c>
      <c r="J1103" s="2">
        <f>IFERROR(__xludf.DUMMYFUNCTION("""COMPUTED_VALUE"""),0.25)</f>
        <v>0.25</v>
      </c>
      <c r="K1103" s="5">
        <f>IFERROR(__xludf.DUMMYFUNCTION("""COMPUTED_VALUE"""),0.07692307692307693)</f>
        <v>0.07692307692</v>
      </c>
      <c r="L1103">
        <f>IFERROR(__xludf.DUMMYFUNCTION("""COMPUTED_VALUE"""),94799.0)</f>
        <v>94799</v>
      </c>
      <c r="M1103" t="str">
        <f>IFERROR(__xludf.DUMMYFUNCTION("""COMPUTED_VALUE"""),"Sports")</f>
        <v>Sports</v>
      </c>
      <c r="O1103" t="str">
        <f>IFERROR(__xludf.DUMMYFUNCTION("""COMPUTED_VALUE"""),"N")</f>
        <v>N</v>
      </c>
      <c r="P1103" s="1" t="str">
        <f>IFERROR(__xludf.DUMMYFUNCTION("""COMPUTED_VALUE"""),"ID 14038")</f>
        <v>ID 14038</v>
      </c>
    </row>
    <row r="1104">
      <c r="A1104" s="6">
        <f>IFERROR(__xludf.DUMMYFUNCTION("""COMPUTED_VALUE"""),44838.0)</f>
        <v>44838</v>
      </c>
      <c r="B1104">
        <f>IFERROR(__xludf.DUMMYFUNCTION("""COMPUTED_VALUE"""),22170.0)</f>
        <v>22170</v>
      </c>
      <c r="C1104" t="str">
        <f>IFERROR(__xludf.DUMMYFUNCTION("""COMPUTED_VALUE"""),"Allary Furniture Touch-Up Markers: Brown Color; 1 Pack of 3 Markers")</f>
        <v>Allary Furniture Touch-Up Markers: Brown Color; 1 Pack of 3 Markers</v>
      </c>
      <c r="D1104" t="str">
        <f>IFERROR(__xludf.DUMMYFUNCTION("""COMPUTED_VALUE"""),"B00M8X2T8S")</f>
        <v>B00M8X2T8S</v>
      </c>
      <c r="E1104" t="str">
        <f>IFERROR(__xludf.DUMMYFUNCTION("""COMPUTED_VALUE"""),"750557008669")</f>
        <v>750557008669</v>
      </c>
      <c r="F1104">
        <f>IFERROR(__xludf.DUMMYFUNCTION("""COMPUTED_VALUE"""),1440.0)</f>
        <v>1440</v>
      </c>
      <c r="G1104">
        <f>IFERROR(__xludf.DUMMYFUNCTION("""COMPUTED_VALUE"""),936.0)</f>
        <v>936</v>
      </c>
      <c r="H1104" s="2">
        <f>IFERROR(__xludf.DUMMYFUNCTION("""COMPUTED_VALUE"""),1.0)</f>
        <v>1</v>
      </c>
      <c r="I1104" s="2">
        <f>IFERROR(__xludf.DUMMYFUNCTION("""COMPUTED_VALUE"""),1.25)</f>
        <v>1.25</v>
      </c>
      <c r="J1104" s="2">
        <f>IFERROR(__xludf.DUMMYFUNCTION("""COMPUTED_VALUE"""),0.25)</f>
        <v>0.25</v>
      </c>
      <c r="K1104" s="5">
        <f>IFERROR(__xludf.DUMMYFUNCTION("""COMPUTED_VALUE"""),0.25)</f>
        <v>0.25</v>
      </c>
      <c r="L1104">
        <f>IFERROR(__xludf.DUMMYFUNCTION("""COMPUTED_VALUE"""),2483.0)</f>
        <v>2483</v>
      </c>
      <c r="M1104" t="str">
        <f>IFERROR(__xludf.DUMMYFUNCTION("""COMPUTED_VALUE"""),"BISS Basic")</f>
        <v>BISS Basic</v>
      </c>
      <c r="O1104" t="str">
        <f>IFERROR(__xludf.DUMMYFUNCTION("""COMPUTED_VALUE"""),"Y")</f>
        <v>Y</v>
      </c>
      <c r="P1104" s="1" t="str">
        <f>IFERROR(__xludf.DUMMYFUNCTION("""COMPUTED_VALUE"""),"ID 22170")</f>
        <v>ID 22170</v>
      </c>
    </row>
    <row r="1105">
      <c r="A1105" s="6">
        <f>IFERROR(__xludf.DUMMYFUNCTION("""COMPUTED_VALUE"""),44922.0)</f>
        <v>44922</v>
      </c>
      <c r="B1105">
        <f>IFERROR(__xludf.DUMMYFUNCTION("""COMPUTED_VALUE"""),23032.0)</f>
        <v>23032</v>
      </c>
      <c r="C1105" t="str">
        <f>IFERROR(__xludf.DUMMYFUNCTION("""COMPUTED_VALUE"""),"C-Line 5-Tab Binder Pockets with Write-On Index Tabs, Assorted Colors, 8.5 x 11 Inches, 5 Pockets per Set (06650)")</f>
        <v>C-Line 5-Tab Binder Pockets with Write-On Index Tabs, Assorted Colors, 8.5 x 11 Inches, 5 Pockets per Set (06650)</v>
      </c>
      <c r="D1105" t="str">
        <f>IFERROR(__xludf.DUMMYFUNCTION("""COMPUTED_VALUE"""),"B00GY3JZSK")</f>
        <v>B00GY3JZSK</v>
      </c>
      <c r="E1105" t="str">
        <f>IFERROR(__xludf.DUMMYFUNCTION("""COMPUTED_VALUE"""),"038944066509")</f>
        <v>038944066509</v>
      </c>
      <c r="F1105">
        <f>IFERROR(__xludf.DUMMYFUNCTION("""COMPUTED_VALUE"""),440.0)</f>
        <v>440</v>
      </c>
      <c r="G1105">
        <f>IFERROR(__xludf.DUMMYFUNCTION("""COMPUTED_VALUE"""),10000.0)</f>
        <v>10000</v>
      </c>
      <c r="H1105" s="2">
        <f>IFERROR(__xludf.DUMMYFUNCTION("""COMPUTED_VALUE"""),2.75)</f>
        <v>2.75</v>
      </c>
      <c r="I1105" s="2">
        <f>IFERROR(__xludf.DUMMYFUNCTION("""COMPUTED_VALUE"""),3.0)</f>
        <v>3</v>
      </c>
      <c r="J1105" s="2">
        <f>IFERROR(__xludf.DUMMYFUNCTION("""COMPUTED_VALUE"""),0.25)</f>
        <v>0.25</v>
      </c>
      <c r="K1105" s="5">
        <f>IFERROR(__xludf.DUMMYFUNCTION("""COMPUTED_VALUE"""),0.09090909090909091)</f>
        <v>0.09090909091</v>
      </c>
      <c r="L1105">
        <f>IFERROR(__xludf.DUMMYFUNCTION("""COMPUTED_VALUE"""),62347.0)</f>
        <v>62347</v>
      </c>
      <c r="M1105" t="str">
        <f>IFERROR(__xludf.DUMMYFUNCTION("""COMPUTED_VALUE"""),"Office Product")</f>
        <v>Office Product</v>
      </c>
      <c r="N1105"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105" t="str">
        <f>IFERROR(__xludf.DUMMYFUNCTION("""COMPUTED_VALUE"""),"Y")</f>
        <v>Y</v>
      </c>
      <c r="P1105" s="1" t="str">
        <f>IFERROR(__xludf.DUMMYFUNCTION("""COMPUTED_VALUE"""),"ID 23032")</f>
        <v>ID 23032</v>
      </c>
    </row>
    <row r="1106">
      <c r="A1106" s="6">
        <f>IFERROR(__xludf.DUMMYFUNCTION("""COMPUTED_VALUE"""),45401.0)</f>
        <v>45401</v>
      </c>
      <c r="B1106">
        <f>IFERROR(__xludf.DUMMYFUNCTION("""COMPUTED_VALUE"""),12001.0)</f>
        <v>12001</v>
      </c>
      <c r="C1106" t="str">
        <f>IFERROR(__xludf.DUMMYFUNCTION("""COMPUTED_VALUE"""),"Jovan Musk Eau de Cologne Concentrate Spray, Sexy Cologne for Women, Vegan Formula, 3.25oz")</f>
        <v>Jovan Musk Eau de Cologne Concentrate Spray, Sexy Cologne for Women, Vegan Formula, 3.25oz</v>
      </c>
      <c r="D1106" t="str">
        <f>IFERROR(__xludf.DUMMYFUNCTION("""COMPUTED_VALUE"""),"B000BM9BU2")</f>
        <v>B000BM9BU2</v>
      </c>
      <c r="E1106" t="str">
        <f>IFERROR(__xludf.DUMMYFUNCTION("""COMPUTED_VALUE"""),"035017008923")</f>
        <v>035017008923</v>
      </c>
      <c r="F1106">
        <f>IFERROR(__xludf.DUMMYFUNCTION("""COMPUTED_VALUE"""),170.0)</f>
        <v>170</v>
      </c>
      <c r="G1106">
        <f>IFERROR(__xludf.DUMMYFUNCTION("""COMPUTED_VALUE"""),10000.0)</f>
        <v>10000</v>
      </c>
      <c r="H1106" s="2">
        <f>IFERROR(__xludf.DUMMYFUNCTION("""COMPUTED_VALUE"""),7.25)</f>
        <v>7.25</v>
      </c>
      <c r="I1106" s="2">
        <f>IFERROR(__xludf.DUMMYFUNCTION("""COMPUTED_VALUE"""),7.5)</f>
        <v>7.5</v>
      </c>
      <c r="J1106" s="2">
        <f>IFERROR(__xludf.DUMMYFUNCTION("""COMPUTED_VALUE"""),0.25)</f>
        <v>0.25</v>
      </c>
      <c r="K1106" s="5">
        <f>IFERROR(__xludf.DUMMYFUNCTION("""COMPUTED_VALUE"""),0.034482758620689655)</f>
        <v>0.03448275862</v>
      </c>
      <c r="L1106">
        <f>IFERROR(__xludf.DUMMYFUNCTION("""COMPUTED_VALUE"""),5009.0)</f>
        <v>5009</v>
      </c>
      <c r="M1106" t="str">
        <f>IFERROR(__xludf.DUMMYFUNCTION("""COMPUTED_VALUE"""),"Beauty")</f>
        <v>Beauty</v>
      </c>
      <c r="O1106" t="str">
        <f>IFERROR(__xludf.DUMMYFUNCTION("""COMPUTED_VALUE"""),"N")</f>
        <v>N</v>
      </c>
      <c r="P1106" s="1" t="str">
        <f>IFERROR(__xludf.DUMMYFUNCTION("""COMPUTED_VALUE"""),"ID 12001")</f>
        <v>ID 12001</v>
      </c>
    </row>
    <row r="1107">
      <c r="A1107" s="6">
        <f>IFERROR(__xludf.DUMMYFUNCTION("""COMPUTED_VALUE"""),45425.0)</f>
        <v>45425</v>
      </c>
      <c r="B1107">
        <f>IFERROR(__xludf.DUMMYFUNCTION("""COMPUTED_VALUE"""),13118.0)</f>
        <v>13118</v>
      </c>
      <c r="C1107" t="str">
        <f>IFERROR(__xludf.DUMMYFUNCTION("""COMPUTED_VALUE"""),"Swan Isoprophyl Alcohol, 70% 16 oz")</f>
        <v>Swan Isoprophyl Alcohol, 70% 16 oz</v>
      </c>
      <c r="D1107" t="str">
        <f>IFERROR(__xludf.DUMMYFUNCTION("""COMPUTED_VALUE"""),"B0006GBEFS")</f>
        <v>B0006GBEFS</v>
      </c>
      <c r="E1107" t="str">
        <f>IFERROR(__xludf.DUMMYFUNCTION("""COMPUTED_VALUE"""),"308691156106")</f>
        <v>308691156106</v>
      </c>
      <c r="F1107">
        <f>IFERROR(__xludf.DUMMYFUNCTION("""COMPUTED_VALUE"""),828.0)</f>
        <v>828</v>
      </c>
      <c r="G1107">
        <f>IFERROR(__xludf.DUMMYFUNCTION("""COMPUTED_VALUE"""),3048.0)</f>
        <v>3048</v>
      </c>
      <c r="H1107" s="2">
        <f>IFERROR(__xludf.DUMMYFUNCTION("""COMPUTED_VALUE"""),2.25)</f>
        <v>2.25</v>
      </c>
      <c r="I1107" s="2">
        <f>IFERROR(__xludf.DUMMYFUNCTION("""COMPUTED_VALUE"""),2.5)</f>
        <v>2.5</v>
      </c>
      <c r="J1107" s="2">
        <f>IFERROR(__xludf.DUMMYFUNCTION("""COMPUTED_VALUE"""),0.25)</f>
        <v>0.25</v>
      </c>
      <c r="K1107" s="5">
        <f>IFERROR(__xludf.DUMMYFUNCTION("""COMPUTED_VALUE"""),0.1111111111111111)</f>
        <v>0.1111111111</v>
      </c>
      <c r="L1107">
        <f>IFERROR(__xludf.DUMMYFUNCTION("""COMPUTED_VALUE"""),22656.0)</f>
        <v>22656</v>
      </c>
      <c r="M1107" t="str">
        <f>IFERROR(__xludf.DUMMYFUNCTION("""COMPUTED_VALUE"""),"BISS Basic")</f>
        <v>BISS Basic</v>
      </c>
      <c r="O1107" t="str">
        <f>IFERROR(__xludf.DUMMYFUNCTION("""COMPUTED_VALUE"""),"N")</f>
        <v>N</v>
      </c>
      <c r="P1107" s="1" t="str">
        <f>IFERROR(__xludf.DUMMYFUNCTION("""COMPUTED_VALUE"""),"ID 13118")</f>
        <v>ID 13118</v>
      </c>
    </row>
    <row r="1108">
      <c r="A1108" s="6">
        <f>IFERROR(__xludf.DUMMYFUNCTION("""COMPUTED_VALUE"""),44763.0)</f>
        <v>44763</v>
      </c>
      <c r="B1108">
        <f>IFERROR(__xludf.DUMMYFUNCTION("""COMPUTED_VALUE"""),18258.0)</f>
        <v>18258</v>
      </c>
      <c r="C1108" t="str">
        <f>IFERROR(__xludf.DUMMYFUNCTION("""COMPUTED_VALUE"""),"Satco S1912 75 Watt 1290 Lumens T4 Halogen GY6.35 Base 12 Volt Frosted Light Bulb, Dimmable")</f>
        <v>Satco S1912 75 Watt 1290 Lumens T4 Halogen GY6.35 Base 12 Volt Frosted Light Bulb, Dimmable</v>
      </c>
      <c r="D1108" t="str">
        <f>IFERROR(__xludf.DUMMYFUNCTION("""COMPUTED_VALUE"""),"B000V54I3E")</f>
        <v>B000V54I3E</v>
      </c>
      <c r="E1108" t="str">
        <f>IFERROR(__xludf.DUMMYFUNCTION("""COMPUTED_VALUE"""),"045923019128")</f>
        <v>045923019128</v>
      </c>
      <c r="F1108">
        <f>IFERROR(__xludf.DUMMYFUNCTION("""COMPUTED_VALUE"""),960.0)</f>
        <v>960</v>
      </c>
      <c r="G1108">
        <f>IFERROR(__xludf.DUMMYFUNCTION("""COMPUTED_VALUE"""),1000.0)</f>
        <v>1000</v>
      </c>
      <c r="H1108" s="2">
        <f>IFERROR(__xludf.DUMMYFUNCTION("""COMPUTED_VALUE"""),2.0)</f>
        <v>2</v>
      </c>
      <c r="I1108" s="2">
        <f>IFERROR(__xludf.DUMMYFUNCTION("""COMPUTED_VALUE"""),2.24)</f>
        <v>2.24</v>
      </c>
      <c r="J1108" s="2">
        <f>IFERROR(__xludf.DUMMYFUNCTION("""COMPUTED_VALUE"""),0.2400000000000002)</f>
        <v>0.24</v>
      </c>
      <c r="K1108" s="5">
        <f>IFERROR(__xludf.DUMMYFUNCTION("""COMPUTED_VALUE"""),0.1200000000000001)</f>
        <v>0.12</v>
      </c>
      <c r="L1108">
        <f>IFERROR(__xludf.DUMMYFUNCTION("""COMPUTED_VALUE"""),28939.0)</f>
        <v>28939</v>
      </c>
      <c r="M1108" t="str">
        <f>IFERROR(__xludf.DUMMYFUNCTION("""COMPUTED_VALUE"""),"Home Improvement")</f>
        <v>Home Improvement</v>
      </c>
      <c r="O1108" t="str">
        <f>IFERROR(__xludf.DUMMYFUNCTION("""COMPUTED_VALUE"""),"Y")</f>
        <v>Y</v>
      </c>
      <c r="P1108" s="1" t="str">
        <f>IFERROR(__xludf.DUMMYFUNCTION("""COMPUTED_VALUE"""),"ID 18258")</f>
        <v>ID 18258</v>
      </c>
    </row>
    <row r="1109">
      <c r="A1109" s="6">
        <f>IFERROR(__xludf.DUMMYFUNCTION("""COMPUTED_VALUE"""),44837.0)</f>
        <v>44837</v>
      </c>
      <c r="B1109">
        <f>IFERROR(__xludf.DUMMYFUNCTION("""COMPUTED_VALUE"""),18488.0)</f>
        <v>18488</v>
      </c>
      <c r="C1109" t="str">
        <f>IFERROR(__xludf.DUMMYFUNCTION("""COMPUTED_VALUE"""),"TOPS Cardinal HOLDit! Self-Adhesive Binder Label Holders, 2 3/16 x 4 Inches, 6 Label Holders and Inserts Per Bag - 21830, Clear")</f>
        <v>TOPS Cardinal HOLDit! Self-Adhesive Binder Label Holders, 2 3/16 x 4 Inches, 6 Label Holders and Inserts Per Bag - 21830, Clear</v>
      </c>
      <c r="D1109" t="str">
        <f>IFERROR(__xludf.DUMMYFUNCTION("""COMPUTED_VALUE"""),"B0032JWMKW")</f>
        <v>B0032JWMKW</v>
      </c>
      <c r="E1109" t="str">
        <f>IFERROR(__xludf.DUMMYFUNCTION("""COMPUTED_VALUE"""),"083086218309")</f>
        <v>083086218309</v>
      </c>
      <c r="F1109">
        <f>IFERROR(__xludf.DUMMYFUNCTION("""COMPUTED_VALUE"""),720.0)</f>
        <v>720</v>
      </c>
      <c r="G1109">
        <f>IFERROR(__xludf.DUMMYFUNCTION("""COMPUTED_VALUE"""),10000.0)</f>
        <v>10000</v>
      </c>
      <c r="H1109" s="2">
        <f>IFERROR(__xludf.DUMMYFUNCTION("""COMPUTED_VALUE"""),3.75)</f>
        <v>3.75</v>
      </c>
      <c r="I1109" s="2">
        <f>IFERROR(__xludf.DUMMYFUNCTION("""COMPUTED_VALUE"""),3.99)</f>
        <v>3.99</v>
      </c>
      <c r="J1109" s="2">
        <f>IFERROR(__xludf.DUMMYFUNCTION("""COMPUTED_VALUE"""),0.2400000000000002)</f>
        <v>0.24</v>
      </c>
      <c r="K1109" s="5">
        <f>IFERROR(__xludf.DUMMYFUNCTION("""COMPUTED_VALUE"""),0.06400000000000006)</f>
        <v>0.064</v>
      </c>
      <c r="L1109">
        <f>IFERROR(__xludf.DUMMYFUNCTION("""COMPUTED_VALUE"""),90879.0)</f>
        <v>90879</v>
      </c>
      <c r="M1109" t="str">
        <f>IFERROR(__xludf.DUMMYFUNCTION("""COMPUTED_VALUE"""),"Office Product")</f>
        <v>Office Product</v>
      </c>
      <c r="O1109" t="str">
        <f>IFERROR(__xludf.DUMMYFUNCTION("""COMPUTED_VALUE"""),"Y")</f>
        <v>Y</v>
      </c>
      <c r="P1109" s="1" t="str">
        <f>IFERROR(__xludf.DUMMYFUNCTION("""COMPUTED_VALUE"""),"ID 18488")</f>
        <v>ID 18488</v>
      </c>
    </row>
    <row r="1110">
      <c r="A1110" s="6">
        <f>IFERROR(__xludf.DUMMYFUNCTION("""COMPUTED_VALUE"""),45399.0)</f>
        <v>45399</v>
      </c>
      <c r="B1110">
        <f>IFERROR(__xludf.DUMMYFUNCTION("""COMPUTED_VALUE"""),19144.0)</f>
        <v>19144</v>
      </c>
      <c r="C1110" t="str">
        <f>IFERROR(__xludf.DUMMYFUNCTION("""COMPUTED_VALUE"""),"green sprouts Fresh Baby Food Unbreakable Cubes (2oz/4pk) | Store, carry, &amp; serve homemade baby food | Lid provides leak-proof seal, Made from safer plastic, Embossed with measurements")</f>
        <v>green sprouts Fresh Baby Food Unbreakable Cubes (2oz/4pk) | Store, carry, &amp; serve homemade baby food | Lid provides leak-proof seal, Made from safer plastic, Embossed with measurements</v>
      </c>
      <c r="D1110" t="str">
        <f>IFERROR(__xludf.DUMMYFUNCTION("""COMPUTED_VALUE"""),"B01EAH6S1I")</f>
        <v>B01EAH6S1I</v>
      </c>
      <c r="E1110" t="str">
        <f>IFERROR(__xludf.DUMMYFUNCTION("""COMPUTED_VALUE"""),"715418142111")</f>
        <v>715418142111</v>
      </c>
      <c r="F1110">
        <f>IFERROR(__xludf.DUMMYFUNCTION("""COMPUTED_VALUE"""),252.0)</f>
        <v>252</v>
      </c>
      <c r="G1110">
        <f>IFERROR(__xludf.DUMMYFUNCTION("""COMPUTED_VALUE"""),1137.0)</f>
        <v>1137</v>
      </c>
      <c r="H1110" s="2">
        <f>IFERROR(__xludf.DUMMYFUNCTION("""COMPUTED_VALUE"""),5.25)</f>
        <v>5.25</v>
      </c>
      <c r="I1110" s="2">
        <f>IFERROR(__xludf.DUMMYFUNCTION("""COMPUTED_VALUE"""),5.49)</f>
        <v>5.49</v>
      </c>
      <c r="J1110" s="2">
        <f>IFERROR(__xludf.DUMMYFUNCTION("""COMPUTED_VALUE"""),0.2400000000000002)</f>
        <v>0.24</v>
      </c>
      <c r="K1110" s="5">
        <f>IFERROR(__xludf.DUMMYFUNCTION("""COMPUTED_VALUE"""),0.045714285714285756)</f>
        <v>0.04571428571</v>
      </c>
      <c r="L1110">
        <f>IFERROR(__xludf.DUMMYFUNCTION("""COMPUTED_VALUE"""),53183.0)</f>
        <v>53183</v>
      </c>
      <c r="M1110" t="str">
        <f>IFERROR(__xludf.DUMMYFUNCTION("""COMPUTED_VALUE"""),"Baby Product")</f>
        <v>Baby Product</v>
      </c>
      <c r="O1110" t="str">
        <f>IFERROR(__xludf.DUMMYFUNCTION("""COMPUTED_VALUE"""),"N")</f>
        <v>N</v>
      </c>
      <c r="P1110" s="1" t="str">
        <f>IFERROR(__xludf.DUMMYFUNCTION("""COMPUTED_VALUE"""),"ID 19144")</f>
        <v>ID 19144</v>
      </c>
    </row>
    <row r="1111">
      <c r="A1111" s="6">
        <f>IFERROR(__xludf.DUMMYFUNCTION("""COMPUTED_VALUE"""),45362.0)</f>
        <v>45362</v>
      </c>
      <c r="B1111">
        <f>IFERROR(__xludf.DUMMYFUNCTION("""COMPUTED_VALUE"""),19709.0)</f>
        <v>19709</v>
      </c>
      <c r="C1111" t="str">
        <f>IFERROR(__xludf.DUMMYFUNCTION("""COMPUTED_VALUE"""),"Finito! Porous Point Pen x-Tra Fine Point Tip, Assorted Ink (A/B/C), 3-PK")</f>
        <v>Finito! Porous Point Pen x-Tra Fine Point Tip, Assorted Ink (A/B/C), 3-PK</v>
      </c>
      <c r="D1111" t="str">
        <f>IFERROR(__xludf.DUMMYFUNCTION("""COMPUTED_VALUE"""),"B00AZEK92A")</f>
        <v>B00AZEK92A</v>
      </c>
      <c r="E1111" t="str">
        <f>IFERROR(__xludf.DUMMYFUNCTION("""COMPUTED_VALUE"""),"072512247723")</f>
        <v>072512247723</v>
      </c>
      <c r="F1111">
        <f>IFERROR(__xludf.DUMMYFUNCTION("""COMPUTED_VALUE"""),432.0)</f>
        <v>432</v>
      </c>
      <c r="G1111">
        <f>IFERROR(__xludf.DUMMYFUNCTION("""COMPUTED_VALUE"""),10000.0)</f>
        <v>10000</v>
      </c>
      <c r="H1111" s="2">
        <f>IFERROR(__xludf.DUMMYFUNCTION("""COMPUTED_VALUE"""),3.5)</f>
        <v>3.5</v>
      </c>
      <c r="I1111" s="2">
        <f>IFERROR(__xludf.DUMMYFUNCTION("""COMPUTED_VALUE"""),3.74)</f>
        <v>3.74</v>
      </c>
      <c r="J1111" s="2">
        <f>IFERROR(__xludf.DUMMYFUNCTION("""COMPUTED_VALUE"""),0.2400000000000002)</f>
        <v>0.24</v>
      </c>
      <c r="K1111" s="5">
        <f>IFERROR(__xludf.DUMMYFUNCTION("""COMPUTED_VALUE"""),0.06857142857142863)</f>
        <v>0.06857142857</v>
      </c>
      <c r="L1111">
        <f>IFERROR(__xludf.DUMMYFUNCTION("""COMPUTED_VALUE"""),43697.0)</f>
        <v>43697</v>
      </c>
      <c r="M1111" t="str">
        <f>IFERROR(__xludf.DUMMYFUNCTION("""COMPUTED_VALUE"""),"Office Product")</f>
        <v>Office Product</v>
      </c>
      <c r="O1111" t="str">
        <f>IFERROR(__xludf.DUMMYFUNCTION("""COMPUTED_VALUE"""),"Y")</f>
        <v>Y</v>
      </c>
      <c r="P1111" s="1" t="str">
        <f>IFERROR(__xludf.DUMMYFUNCTION("""COMPUTED_VALUE"""),"ID 19709")</f>
        <v>ID 19709</v>
      </c>
    </row>
    <row r="1112">
      <c r="A1112" s="6">
        <f>IFERROR(__xludf.DUMMYFUNCTION("""COMPUTED_VALUE"""),45113.0)</f>
        <v>45113</v>
      </c>
      <c r="B1112">
        <f>IFERROR(__xludf.DUMMYFUNCTION("""COMPUTED_VALUE"""),322.0)</f>
        <v>322</v>
      </c>
      <c r="C1112" t="str">
        <f>IFERROR(__xludf.DUMMYFUNCTION("""COMPUTED_VALUE"""),"Sharpie Oil-Based Paint Marker, Medium Point, White, 1-Count")</f>
        <v>Sharpie Oil-Based Paint Marker, Medium Point, White, 1-Count</v>
      </c>
      <c r="D1112" t="str">
        <f>IFERROR(__xludf.DUMMYFUNCTION("""COMPUTED_VALUE"""),"B001PLKRZQ")</f>
        <v>B001PLKRZQ</v>
      </c>
      <c r="E1112" t="str">
        <f>IFERROR(__xludf.DUMMYFUNCTION("""COMPUTED_VALUE"""),"71641355583")</f>
        <v>71641355583</v>
      </c>
      <c r="F1112">
        <f>IFERROR(__xludf.DUMMYFUNCTION("""COMPUTED_VALUE"""),1680.0)</f>
        <v>1680</v>
      </c>
      <c r="G1112">
        <f>IFERROR(__xludf.DUMMYFUNCTION("""COMPUTED_VALUE"""),10000.0)</f>
        <v>10000</v>
      </c>
      <c r="H1112" s="2">
        <f>IFERROR(__xludf.DUMMYFUNCTION("""COMPUTED_VALUE"""),1.75)</f>
        <v>1.75</v>
      </c>
      <c r="I1112" s="2">
        <f>IFERROR(__xludf.DUMMYFUNCTION("""COMPUTED_VALUE"""),1.99)</f>
        <v>1.99</v>
      </c>
      <c r="J1112" s="2">
        <f>IFERROR(__xludf.DUMMYFUNCTION("""COMPUTED_VALUE"""),0.24)</f>
        <v>0.24</v>
      </c>
      <c r="K1112" s="5">
        <f>IFERROR(__xludf.DUMMYFUNCTION("""COMPUTED_VALUE"""),0.13714285714285715)</f>
        <v>0.1371428571</v>
      </c>
      <c r="L1112">
        <f>IFERROR(__xludf.DUMMYFUNCTION("""COMPUTED_VALUE"""),1541.0)</f>
        <v>1541</v>
      </c>
      <c r="M1112" t="str">
        <f>IFERROR(__xludf.DUMMYFUNCTION("""COMPUTED_VALUE"""),"Office Product")</f>
        <v>Office Product</v>
      </c>
      <c r="O1112" t="str">
        <f>IFERROR(__xludf.DUMMYFUNCTION("""COMPUTED_VALUE"""),"N")</f>
        <v>N</v>
      </c>
      <c r="P1112" s="1" t="str">
        <f>IFERROR(__xludf.DUMMYFUNCTION("""COMPUTED_VALUE"""),"ID 322")</f>
        <v>ID 322</v>
      </c>
    </row>
    <row r="1113">
      <c r="A1113" s="6">
        <f>IFERROR(__xludf.DUMMYFUNCTION("""COMPUTED_VALUE"""),45274.0)</f>
        <v>45274</v>
      </c>
      <c r="B1113">
        <f>IFERROR(__xludf.DUMMYFUNCTION("""COMPUTED_VALUE"""),23395.0)</f>
        <v>23395</v>
      </c>
      <c r="C1113" t="str">
        <f>IFERROR(__xludf.DUMMYFUNCTION("""COMPUTED_VALUE"""),"St. Ives Skin Care Sheet Mask, Glow Apricot, 6 Count")</f>
        <v>St. Ives Skin Care Sheet Mask, Glow Apricot, 6 Count</v>
      </c>
      <c r="D1113" t="str">
        <f>IFERROR(__xludf.DUMMYFUNCTION("""COMPUTED_VALUE"""),"B079JVY2V4")</f>
        <v>B079JVY2V4</v>
      </c>
      <c r="E1113" t="str">
        <f>IFERROR(__xludf.DUMMYFUNCTION("""COMPUTED_VALUE"""),"077043000489")</f>
        <v>077043000489</v>
      </c>
      <c r="F1113">
        <f>IFERROR(__xludf.DUMMYFUNCTION("""COMPUTED_VALUE"""),840.0)</f>
        <v>840</v>
      </c>
      <c r="G1113">
        <f>IFERROR(__xludf.DUMMYFUNCTION("""COMPUTED_VALUE"""),1033.0)</f>
        <v>1033</v>
      </c>
      <c r="H1113" s="2">
        <f>IFERROR(__xludf.DUMMYFUNCTION("""COMPUTED_VALUE"""),1.5)</f>
        <v>1.5</v>
      </c>
      <c r="I1113" s="2">
        <f>IFERROR(__xludf.DUMMYFUNCTION("""COMPUTED_VALUE"""),1.74)</f>
        <v>1.74</v>
      </c>
      <c r="J1113" s="2">
        <f>IFERROR(__xludf.DUMMYFUNCTION("""COMPUTED_VALUE"""),0.24)</f>
        <v>0.24</v>
      </c>
      <c r="K1113" s="5">
        <f>IFERROR(__xludf.DUMMYFUNCTION("""COMPUTED_VALUE"""),0.16)</f>
        <v>0.16</v>
      </c>
      <c r="L1113">
        <f>IFERROR(__xludf.DUMMYFUNCTION("""COMPUTED_VALUE"""),87217.0)</f>
        <v>87217</v>
      </c>
      <c r="M1113" t="str">
        <f>IFERROR(__xludf.DUMMYFUNCTION("""COMPUTED_VALUE"""),"Beauty")</f>
        <v>Beauty</v>
      </c>
      <c r="N1113" t="str">
        <f>IFERROR(__xludf.DUMMYFUNCTION("""COMPUTED_VALUE"""),"UOM: 6 single units. Bundling &amp; other prep buyers responsibility. Master case 40 single units")</f>
        <v>UOM: 6 single units. Bundling &amp; other prep buyers responsibility. Master case 40 single units</v>
      </c>
      <c r="O1113" t="str">
        <f>IFERROR(__xludf.DUMMYFUNCTION("""COMPUTED_VALUE"""),"Y")</f>
        <v>Y</v>
      </c>
      <c r="P1113" s="1" t="str">
        <f>IFERROR(__xludf.DUMMYFUNCTION("""COMPUTED_VALUE"""),"ID 23395")</f>
        <v>ID 23395</v>
      </c>
    </row>
    <row r="1114">
      <c r="A1114" s="6">
        <f>IFERROR(__xludf.DUMMYFUNCTION("""COMPUTED_VALUE"""),45231.0)</f>
        <v>45231</v>
      </c>
      <c r="B1114">
        <f>IFERROR(__xludf.DUMMYFUNCTION("""COMPUTED_VALUE"""),17453.0)</f>
        <v>17453</v>
      </c>
      <c r="C1114" t="str">
        <f>IFERROR(__xludf.DUMMYFUNCTION("""COMPUTED_VALUE"""),"Jennifer Aniston Fine Fragrance Mist for Women, 8 Ounce")</f>
        <v>Jennifer Aniston Fine Fragrance Mist for Women, 8 Ounce</v>
      </c>
      <c r="D1114" t="str">
        <f>IFERROR(__xludf.DUMMYFUNCTION("""COMPUTED_VALUE"""),"B01KCSEYYC")</f>
        <v>B01KCSEYYC</v>
      </c>
      <c r="E1114" t="str">
        <f>IFERROR(__xludf.DUMMYFUNCTION("""COMPUTED_VALUE"""),"0719346630887")</f>
        <v>0719346630887</v>
      </c>
      <c r="F1114">
        <f>IFERROR(__xludf.DUMMYFUNCTION("""COMPUTED_VALUE"""),200.0)</f>
        <v>200</v>
      </c>
      <c r="G1114">
        <f>IFERROR(__xludf.DUMMYFUNCTION("""COMPUTED_VALUE"""),10000.0)</f>
        <v>10000</v>
      </c>
      <c r="H1114" s="2">
        <f>IFERROR(__xludf.DUMMYFUNCTION("""COMPUTED_VALUE"""),6.0)</f>
        <v>6</v>
      </c>
      <c r="I1114" s="2">
        <f>IFERROR(__xludf.DUMMYFUNCTION("""COMPUTED_VALUE"""),6.23)</f>
        <v>6.23</v>
      </c>
      <c r="J1114" s="2">
        <f>IFERROR(__xludf.DUMMYFUNCTION("""COMPUTED_VALUE"""),0.23000000000000043)</f>
        <v>0.23</v>
      </c>
      <c r="K1114" s="5">
        <f>IFERROR(__xludf.DUMMYFUNCTION("""COMPUTED_VALUE"""),0.03833333333333341)</f>
        <v>0.03833333333</v>
      </c>
      <c r="L1114">
        <f>IFERROR(__xludf.DUMMYFUNCTION("""COMPUTED_VALUE"""),19656.0)</f>
        <v>19656</v>
      </c>
      <c r="M1114" t="str">
        <f>IFERROR(__xludf.DUMMYFUNCTION("""COMPUTED_VALUE"""),"Health and Beauty")</f>
        <v>Health and Beauty</v>
      </c>
      <c r="O1114" t="str">
        <f>IFERROR(__xludf.DUMMYFUNCTION("""COMPUTED_VALUE"""),"N")</f>
        <v>N</v>
      </c>
      <c r="P1114" s="1" t="str">
        <f>IFERROR(__xludf.DUMMYFUNCTION("""COMPUTED_VALUE"""),"ID 17453")</f>
        <v>ID 17453</v>
      </c>
    </row>
    <row r="1115">
      <c r="A1115" s="6">
        <f>IFERROR(__xludf.DUMMYFUNCTION("""COMPUTED_VALUE"""),45166.0)</f>
        <v>45166</v>
      </c>
      <c r="B1115">
        <f>IFERROR(__xludf.DUMMYFUNCTION("""COMPUTED_VALUE"""),18468.0)</f>
        <v>18468</v>
      </c>
      <c r="C1115" t="str">
        <f>IFERROR(__xludf.DUMMYFUNCTION("""COMPUTED_VALUE"""),"Cardinal Performer 3-Ring Binder, 1"", Non-Locking Slant-D Rings, 240-Sheet Capacity, ClearVue Presentation Binder, Nonstick, PVC-Free, Black (17201)")</f>
        <v>Cardinal Performer 3-Ring Binder, 1", Non-Locking Slant-D Rings, 240-Sheet Capacity, ClearVue Presentation Binder, Nonstick, PVC-Free, Black (17201)</v>
      </c>
      <c r="D1115" t="str">
        <f>IFERROR(__xludf.DUMMYFUNCTION("""COMPUTED_VALUE"""),"B001DZ16UE")</f>
        <v>B001DZ16UE</v>
      </c>
      <c r="E1115" t="str">
        <f>IFERROR(__xludf.DUMMYFUNCTION("""COMPUTED_VALUE"""),"083086172014")</f>
        <v>083086172014</v>
      </c>
      <c r="F1115">
        <f>IFERROR(__xludf.DUMMYFUNCTION("""COMPUTED_VALUE"""),432.0)</f>
        <v>432</v>
      </c>
      <c r="G1115">
        <f>IFERROR(__xludf.DUMMYFUNCTION("""COMPUTED_VALUE"""),10000.0)</f>
        <v>10000</v>
      </c>
      <c r="H1115" s="2">
        <f>IFERROR(__xludf.DUMMYFUNCTION("""COMPUTED_VALUE"""),5.75)</f>
        <v>5.75</v>
      </c>
      <c r="I1115" s="2">
        <f>IFERROR(__xludf.DUMMYFUNCTION("""COMPUTED_VALUE"""),5.98)</f>
        <v>5.98</v>
      </c>
      <c r="J1115" s="2">
        <f>IFERROR(__xludf.DUMMYFUNCTION("""COMPUTED_VALUE"""),0.23000000000000043)</f>
        <v>0.23</v>
      </c>
      <c r="K1115" s="5">
        <f>IFERROR(__xludf.DUMMYFUNCTION("""COMPUTED_VALUE"""),0.04000000000000008)</f>
        <v>0.04</v>
      </c>
      <c r="L1115">
        <f>IFERROR(__xludf.DUMMYFUNCTION("""COMPUTED_VALUE"""),23672.0)</f>
        <v>23672</v>
      </c>
      <c r="M1115" t="str">
        <f>IFERROR(__xludf.DUMMYFUNCTION("""COMPUTED_VALUE"""),"Office Product")</f>
        <v>Office Product</v>
      </c>
      <c r="O1115" t="str">
        <f>IFERROR(__xludf.DUMMYFUNCTION("""COMPUTED_VALUE"""),"N")</f>
        <v>N</v>
      </c>
      <c r="P1115" s="1" t="str">
        <f>IFERROR(__xludf.DUMMYFUNCTION("""COMPUTED_VALUE"""),"ID 18468")</f>
        <v>ID 18468</v>
      </c>
    </row>
    <row r="1116">
      <c r="A1116" s="6">
        <f>IFERROR(__xludf.DUMMYFUNCTION("""COMPUTED_VALUE"""),45299.0)</f>
        <v>45299</v>
      </c>
      <c r="B1116">
        <f>IFERROR(__xludf.DUMMYFUNCTION("""COMPUTED_VALUE"""),19127.0)</f>
        <v>19127</v>
      </c>
      <c r="C1116" t="str">
        <f>IFERROR(__xludf.DUMMYFUNCTION("""COMPUTED_VALUE"""),"Intex Jumbo Inflatable 42"" Giant Beach Ball - Crystal Clear with Translucent Dots, 1 Pack")</f>
        <v>Intex Jumbo Inflatable 42" Giant Beach Ball - Crystal Clear with Translucent Dots, 1 Pack</v>
      </c>
      <c r="D1116" t="str">
        <f>IFERROR(__xludf.DUMMYFUNCTION("""COMPUTED_VALUE"""),"B004EIZRZ2")</f>
        <v>B004EIZRZ2</v>
      </c>
      <c r="E1116" t="str">
        <f>IFERROR(__xludf.DUMMYFUNCTION("""COMPUTED_VALUE"""),"078257313051")</f>
        <v>078257313051</v>
      </c>
      <c r="F1116">
        <f>IFERROR(__xludf.DUMMYFUNCTION("""COMPUTED_VALUE"""),288.0)</f>
        <v>288</v>
      </c>
      <c r="G1116">
        <f>IFERROR(__xludf.DUMMYFUNCTION("""COMPUTED_VALUE"""),4823.0)</f>
        <v>4823</v>
      </c>
      <c r="H1116" s="2">
        <f>IFERROR(__xludf.DUMMYFUNCTION("""COMPUTED_VALUE"""),4.5)</f>
        <v>4.5</v>
      </c>
      <c r="I1116" s="2">
        <f>IFERROR(__xludf.DUMMYFUNCTION("""COMPUTED_VALUE"""),4.73)</f>
        <v>4.73</v>
      </c>
      <c r="J1116" s="2">
        <f>IFERROR(__xludf.DUMMYFUNCTION("""COMPUTED_VALUE"""),0.23000000000000043)</f>
        <v>0.23</v>
      </c>
      <c r="K1116" s="5">
        <f>IFERROR(__xludf.DUMMYFUNCTION("""COMPUTED_VALUE"""),0.051111111111111204)</f>
        <v>0.05111111111</v>
      </c>
      <c r="L1116">
        <f>IFERROR(__xludf.DUMMYFUNCTION("""COMPUTED_VALUE"""),3921.0)</f>
        <v>3921</v>
      </c>
      <c r="M1116" t="str">
        <f>IFERROR(__xludf.DUMMYFUNCTION("""COMPUTED_VALUE"""),"Toy")</f>
        <v>Toy</v>
      </c>
      <c r="O1116" t="str">
        <f>IFERROR(__xludf.DUMMYFUNCTION("""COMPUTED_VALUE"""),"N")</f>
        <v>N</v>
      </c>
      <c r="P1116" s="1" t="str">
        <f>IFERROR(__xludf.DUMMYFUNCTION("""COMPUTED_VALUE"""),"ID 19127")</f>
        <v>ID 19127</v>
      </c>
    </row>
    <row r="1117">
      <c r="A1117" s="6">
        <f>IFERROR(__xludf.DUMMYFUNCTION("""COMPUTED_VALUE"""),45351.0)</f>
        <v>45351</v>
      </c>
      <c r="B1117">
        <f>IFERROR(__xludf.DUMMYFUNCTION("""COMPUTED_VALUE"""),19754.0)</f>
        <v>19754</v>
      </c>
      <c r="C1117" t="str">
        <f>IFERROR(__xludf.DUMMYFUNCTION("""COMPUTED_VALUE"""),"Hayes School Publishing Certificate Physical Education 30Pk")</f>
        <v>Hayes School Publishing Certificate Physical Education 30Pk</v>
      </c>
      <c r="D1117" t="str">
        <f>IFERROR(__xludf.DUMMYFUNCTION("""COMPUTED_VALUE"""),"B001JTMM6G")</f>
        <v>B001JTMM6G</v>
      </c>
      <c r="E1117" t="str">
        <f>IFERROR(__xludf.DUMMYFUNCTION("""COMPUTED_VALUE"""),"734675041128")</f>
        <v>734675041128</v>
      </c>
      <c r="F1117">
        <f>IFERROR(__xludf.DUMMYFUNCTION("""COMPUTED_VALUE"""),500.0)</f>
        <v>500</v>
      </c>
      <c r="G1117">
        <f>IFERROR(__xludf.DUMMYFUNCTION("""COMPUTED_VALUE"""),10000.0)</f>
        <v>10000</v>
      </c>
      <c r="H1117" s="2">
        <f>IFERROR(__xludf.DUMMYFUNCTION("""COMPUTED_VALUE"""),3.75)</f>
        <v>3.75</v>
      </c>
      <c r="I1117" s="2">
        <f>IFERROR(__xludf.DUMMYFUNCTION("""COMPUTED_VALUE"""),3.98)</f>
        <v>3.98</v>
      </c>
      <c r="J1117" s="2">
        <f>IFERROR(__xludf.DUMMYFUNCTION("""COMPUTED_VALUE"""),0.22999999999999998)</f>
        <v>0.23</v>
      </c>
      <c r="K1117" s="5">
        <f>IFERROR(__xludf.DUMMYFUNCTION("""COMPUTED_VALUE"""),0.06133333333333333)</f>
        <v>0.06133333333</v>
      </c>
      <c r="L1117">
        <f>IFERROR(__xludf.DUMMYFUNCTION("""COMPUTED_VALUE"""),48795.0)</f>
        <v>48795</v>
      </c>
      <c r="M1117" t="str">
        <f>IFERROR(__xludf.DUMMYFUNCTION("""COMPUTED_VALUE"""),"BISS Basic")</f>
        <v>BISS Basic</v>
      </c>
      <c r="O1117" t="str">
        <f>IFERROR(__xludf.DUMMYFUNCTION("""COMPUTED_VALUE"""),"Y")</f>
        <v>Y</v>
      </c>
      <c r="P1117" s="1" t="str">
        <f>IFERROR(__xludf.DUMMYFUNCTION("""COMPUTED_VALUE"""),"ID 19754")</f>
        <v>ID 19754</v>
      </c>
    </row>
    <row r="1118">
      <c r="A1118" s="6">
        <f>IFERROR(__xludf.DUMMYFUNCTION("""COMPUTED_VALUE"""),45390.0)</f>
        <v>45390</v>
      </c>
      <c r="B1118">
        <f>IFERROR(__xludf.DUMMYFUNCTION("""COMPUTED_VALUE"""),19795.0)</f>
        <v>19795</v>
      </c>
      <c r="C1118" t="str">
        <f>IFERROR(__xludf.DUMMYFUNCTION("""COMPUTED_VALUE"""),"Chef Craft Premium Silicone Cooking Ladle, 11.25 inch, Pink")</f>
        <v>Chef Craft Premium Silicone Cooking Ladle, 11.25 inch, Pink</v>
      </c>
      <c r="D1118" t="str">
        <f>IFERROR(__xludf.DUMMYFUNCTION("""COMPUTED_VALUE"""),"B08SJ9D43K")</f>
        <v>B08SJ9D43K</v>
      </c>
      <c r="E1118" t="str">
        <f>IFERROR(__xludf.DUMMYFUNCTION("""COMPUTED_VALUE"""),"085455137600")</f>
        <v>085455137600</v>
      </c>
      <c r="F1118">
        <f>IFERROR(__xludf.DUMMYFUNCTION("""COMPUTED_VALUE"""),360.0)</f>
        <v>360</v>
      </c>
      <c r="G1118">
        <f>IFERROR(__xludf.DUMMYFUNCTION("""COMPUTED_VALUE"""),10000.0)</f>
        <v>10000</v>
      </c>
      <c r="H1118" s="2">
        <f>IFERROR(__xludf.DUMMYFUNCTION("""COMPUTED_VALUE"""),2.75)</f>
        <v>2.75</v>
      </c>
      <c r="I1118" s="2">
        <f>IFERROR(__xludf.DUMMYFUNCTION("""COMPUTED_VALUE"""),2.98)</f>
        <v>2.98</v>
      </c>
      <c r="J1118" s="2">
        <f>IFERROR(__xludf.DUMMYFUNCTION("""COMPUTED_VALUE"""),0.22999999999999998)</f>
        <v>0.23</v>
      </c>
      <c r="K1118" s="5">
        <f>IFERROR(__xludf.DUMMYFUNCTION("""COMPUTED_VALUE"""),0.08363636363636363)</f>
        <v>0.08363636364</v>
      </c>
      <c r="L1118">
        <f>IFERROR(__xludf.DUMMYFUNCTION("""COMPUTED_VALUE"""),10601.0)</f>
        <v>10601</v>
      </c>
      <c r="M1118" t="str">
        <f>IFERROR(__xludf.DUMMYFUNCTION("""COMPUTED_VALUE"""),"Kitchen")</f>
        <v>Kitchen</v>
      </c>
      <c r="O1118" t="str">
        <f>IFERROR(__xludf.DUMMYFUNCTION("""COMPUTED_VALUE"""),"Y")</f>
        <v>Y</v>
      </c>
      <c r="P1118" s="1" t="str">
        <f>IFERROR(__xludf.DUMMYFUNCTION("""COMPUTED_VALUE"""),"ID 19795")</f>
        <v>ID 19795</v>
      </c>
    </row>
    <row r="1119">
      <c r="A1119" s="6">
        <f>IFERROR(__xludf.DUMMYFUNCTION("""COMPUTED_VALUE"""),45390.0)</f>
        <v>45390</v>
      </c>
      <c r="B1119">
        <f>IFERROR(__xludf.DUMMYFUNCTION("""COMPUTED_VALUE"""),7079.0)</f>
        <v>7079</v>
      </c>
      <c r="C1119" t="str">
        <f>IFERROR(__xludf.DUMMYFUNCTION("""COMPUTED_VALUE"""),"Chef Craft 50 Count Cupcake Liners, Tree with Decor")</f>
        <v>Chef Craft 50 Count Cupcake Liners, Tree with Decor</v>
      </c>
      <c r="D1119" t="str">
        <f>IFERROR(__xludf.DUMMYFUNCTION("""COMPUTED_VALUE"""),"B00KS9H9CU")</f>
        <v>B00KS9H9CU</v>
      </c>
      <c r="E1119" t="str">
        <f>IFERROR(__xludf.DUMMYFUNCTION("""COMPUTED_VALUE"""),"085455218231")</f>
        <v>085455218231</v>
      </c>
      <c r="F1119">
        <f>IFERROR(__xludf.DUMMYFUNCTION("""COMPUTED_VALUE"""),576.0)</f>
        <v>576</v>
      </c>
      <c r="G1119">
        <f>IFERROR(__xludf.DUMMYFUNCTION("""COMPUTED_VALUE"""),10000.0)</f>
        <v>10000</v>
      </c>
      <c r="H1119" s="2">
        <f>IFERROR(__xludf.DUMMYFUNCTION("""COMPUTED_VALUE"""),1.25)</f>
        <v>1.25</v>
      </c>
      <c r="I1119" s="2">
        <f>IFERROR(__xludf.DUMMYFUNCTION("""COMPUTED_VALUE"""),1.48)</f>
        <v>1.48</v>
      </c>
      <c r="J1119" s="2">
        <f>IFERROR(__xludf.DUMMYFUNCTION("""COMPUTED_VALUE"""),0.22999999999999998)</f>
        <v>0.23</v>
      </c>
      <c r="K1119" s="5">
        <f>IFERROR(__xludf.DUMMYFUNCTION("""COMPUTED_VALUE"""),0.184)</f>
        <v>0.184</v>
      </c>
      <c r="L1119">
        <f>IFERROR(__xludf.DUMMYFUNCTION("""COMPUTED_VALUE"""),31715.0)</f>
        <v>31715</v>
      </c>
      <c r="M1119" t="str">
        <f>IFERROR(__xludf.DUMMYFUNCTION("""COMPUTED_VALUE"""),"Kitchen")</f>
        <v>Kitchen</v>
      </c>
      <c r="O1119" t="str">
        <f>IFERROR(__xludf.DUMMYFUNCTION("""COMPUTED_VALUE"""),"Y")</f>
        <v>Y</v>
      </c>
      <c r="P1119" s="1" t="str">
        <f>IFERROR(__xludf.DUMMYFUNCTION("""COMPUTED_VALUE"""),"ID 7079")</f>
        <v>ID 7079</v>
      </c>
    </row>
    <row r="1120">
      <c r="A1120" s="6">
        <f>IFERROR(__xludf.DUMMYFUNCTION("""COMPUTED_VALUE"""),45342.0)</f>
        <v>45342</v>
      </c>
      <c r="B1120">
        <f>IFERROR(__xludf.DUMMYFUNCTION("""COMPUTED_VALUE"""),11104.0)</f>
        <v>11104</v>
      </c>
      <c r="C1120" t="str">
        <f>IFERROR(__xludf.DUMMYFUNCTION("""COMPUTED_VALUE"""),"Ciara 80% By REVLON FOR WOMEN 2.3 oz Eau De Cologne Spray")</f>
        <v>Ciara 80% By REVLON FOR WOMEN 2.3 oz Eau De Cologne Spray</v>
      </c>
      <c r="D1120" t="str">
        <f>IFERROR(__xludf.DUMMYFUNCTION("""COMPUTED_VALUE"""),"B000BR47YC")</f>
        <v>B000BR47YC</v>
      </c>
      <c r="E1120" t="str">
        <f>IFERROR(__xludf.DUMMYFUNCTION("""COMPUTED_VALUE"""),"0309979047994")</f>
        <v>0309979047994</v>
      </c>
      <c r="F1120">
        <f>IFERROR(__xludf.DUMMYFUNCTION("""COMPUTED_VALUE"""),200.0)</f>
        <v>200</v>
      </c>
      <c r="G1120">
        <f>IFERROR(__xludf.DUMMYFUNCTION("""COMPUTED_VALUE"""),10000.0)</f>
        <v>10000</v>
      </c>
      <c r="H1120" s="2">
        <f>IFERROR(__xludf.DUMMYFUNCTION("""COMPUTED_VALUE"""),6.5)</f>
        <v>6.5</v>
      </c>
      <c r="I1120" s="2">
        <f>IFERROR(__xludf.DUMMYFUNCTION("""COMPUTED_VALUE"""),6.73)</f>
        <v>6.73</v>
      </c>
      <c r="J1120" s="2">
        <f>IFERROR(__xludf.DUMMYFUNCTION("""COMPUTED_VALUE"""),0.23000000000000043)</f>
        <v>0.23</v>
      </c>
      <c r="K1120" s="5">
        <f>IFERROR(__xludf.DUMMYFUNCTION("""COMPUTED_VALUE"""),0.03538461538461545)</f>
        <v>0.03538461538</v>
      </c>
      <c r="L1120">
        <f>IFERROR(__xludf.DUMMYFUNCTION("""COMPUTED_VALUE"""),29723.0)</f>
        <v>29723</v>
      </c>
      <c r="M1120" t="str">
        <f>IFERROR(__xludf.DUMMYFUNCTION("""COMPUTED_VALUE"""),"Beauty")</f>
        <v>Beauty</v>
      </c>
      <c r="O1120" t="str">
        <f>IFERROR(__xludf.DUMMYFUNCTION("""COMPUTED_VALUE"""),"N")</f>
        <v>N</v>
      </c>
      <c r="P1120" s="1" t="str">
        <f>IFERROR(__xludf.DUMMYFUNCTION("""COMPUTED_VALUE"""),"ID 11104")</f>
        <v>ID 11104</v>
      </c>
    </row>
    <row r="1121">
      <c r="A1121" s="6">
        <f>IFERROR(__xludf.DUMMYFUNCTION("""COMPUTED_VALUE"""),45425.0)</f>
        <v>45425</v>
      </c>
      <c r="B1121">
        <f>IFERROR(__xludf.DUMMYFUNCTION("""COMPUTED_VALUE"""),15511.0)</f>
        <v>15511</v>
      </c>
      <c r="C1121" t="str">
        <f>IFERROR(__xludf.DUMMYFUNCTION("""COMPUTED_VALUE"""),"Gres Parfum Cabotine Rose EDT for Women 100 ml")</f>
        <v>Gres Parfum Cabotine Rose EDT for Women 100 ml</v>
      </c>
      <c r="D1121" t="str">
        <f>IFERROR(__xludf.DUMMYFUNCTION("""COMPUTED_VALUE"""),"B005IQ1MN0")</f>
        <v>B005IQ1MN0</v>
      </c>
      <c r="E1121" t="str">
        <f>IFERROR(__xludf.DUMMYFUNCTION("""COMPUTED_VALUE"""),"7640111492108")</f>
        <v>7640111492108</v>
      </c>
      <c r="F1121">
        <f>IFERROR(__xludf.DUMMYFUNCTION("""COMPUTED_VALUE"""),650.0)</f>
        <v>650</v>
      </c>
      <c r="G1121">
        <f>IFERROR(__xludf.DUMMYFUNCTION("""COMPUTED_VALUE"""),10000.0)</f>
        <v>10000</v>
      </c>
      <c r="H1121" s="2">
        <f>IFERROR(__xludf.DUMMYFUNCTION("""COMPUTED_VALUE"""),9.25)</f>
        <v>9.25</v>
      </c>
      <c r="I1121" s="2">
        <f>IFERROR(__xludf.DUMMYFUNCTION("""COMPUTED_VALUE"""),9.48)</f>
        <v>9.48</v>
      </c>
      <c r="J1121" s="2">
        <f>IFERROR(__xludf.DUMMYFUNCTION("""COMPUTED_VALUE"""),0.23000000000000043)</f>
        <v>0.23</v>
      </c>
      <c r="K1121" s="5">
        <f>IFERROR(__xludf.DUMMYFUNCTION("""COMPUTED_VALUE"""),0.02486486486486491)</f>
        <v>0.02486486486</v>
      </c>
      <c r="L1121">
        <f>IFERROR(__xludf.DUMMYFUNCTION("""COMPUTED_VALUE"""),85254.0)</f>
        <v>85254</v>
      </c>
      <c r="M1121" t="str">
        <f>IFERROR(__xludf.DUMMYFUNCTION("""COMPUTED_VALUE"""),"Beauty")</f>
        <v>Beauty</v>
      </c>
      <c r="O1121" t="str">
        <f>IFERROR(__xludf.DUMMYFUNCTION("""COMPUTED_VALUE"""),"N")</f>
        <v>N</v>
      </c>
      <c r="P1121" s="1" t="str">
        <f>IFERROR(__xludf.DUMMYFUNCTION("""COMPUTED_VALUE"""),"ID 15511")</f>
        <v>ID 15511</v>
      </c>
    </row>
    <row r="1122">
      <c r="A1122" s="6">
        <f>IFERROR(__xludf.DUMMYFUNCTION("""COMPUTED_VALUE"""),45376.0)</f>
        <v>45376</v>
      </c>
      <c r="B1122">
        <f>IFERROR(__xludf.DUMMYFUNCTION("""COMPUTED_VALUE"""),25137.0)</f>
        <v>25137</v>
      </c>
      <c r="C1122" t="str">
        <f>IFERROR(__xludf.DUMMYFUNCTION("""COMPUTED_VALUE"""),"PRANG Refill Pans for Half Pan Watercolor Paint Sets, 12 Pans per Box, Red (08001)")</f>
        <v>PRANG Refill Pans for Half Pan Watercolor Paint Sets, 12 Pans per Box, Red (08001)</v>
      </c>
      <c r="D1122" t="str">
        <f>IFERROR(__xludf.DUMMYFUNCTION("""COMPUTED_VALUE"""),"B0044SESHK")</f>
        <v>B0044SESHK</v>
      </c>
      <c r="E1122" t="str">
        <f>IFERROR(__xludf.DUMMYFUNCTION("""COMPUTED_VALUE"""),"072067080011")</f>
        <v>072067080011</v>
      </c>
      <c r="F1122">
        <f>IFERROR(__xludf.DUMMYFUNCTION("""COMPUTED_VALUE"""),888.0)</f>
        <v>888</v>
      </c>
      <c r="G1122">
        <f>IFERROR(__xludf.DUMMYFUNCTION("""COMPUTED_VALUE"""),10000.0)</f>
        <v>10000</v>
      </c>
      <c r="H1122" s="2">
        <f>IFERROR(__xludf.DUMMYFUNCTION("""COMPUTED_VALUE"""),4.25)</f>
        <v>4.25</v>
      </c>
      <c r="I1122" s="2">
        <f>IFERROR(__xludf.DUMMYFUNCTION("""COMPUTED_VALUE"""),4.48)</f>
        <v>4.48</v>
      </c>
      <c r="J1122" s="2">
        <f>IFERROR(__xludf.DUMMYFUNCTION("""COMPUTED_VALUE"""),0.23000000000000043)</f>
        <v>0.23</v>
      </c>
      <c r="K1122" s="5">
        <f>IFERROR(__xludf.DUMMYFUNCTION("""COMPUTED_VALUE"""),0.05411764705882363)</f>
        <v>0.05411764706</v>
      </c>
      <c r="L1122">
        <f>IFERROR(__xludf.DUMMYFUNCTION("""COMPUTED_VALUE"""),12256.0)</f>
        <v>12256</v>
      </c>
      <c r="M1122" t="str">
        <f>IFERROR(__xludf.DUMMYFUNCTION("""COMPUTED_VALUE"""),"Home Improvement")</f>
        <v>Home Improvement</v>
      </c>
      <c r="O1122" t="str">
        <f>IFERROR(__xludf.DUMMYFUNCTION("""COMPUTED_VALUE"""),"Y")</f>
        <v>Y</v>
      </c>
      <c r="P1122" s="1" t="str">
        <f>IFERROR(__xludf.DUMMYFUNCTION("""COMPUTED_VALUE"""),"ID 25137")</f>
        <v>ID 25137</v>
      </c>
    </row>
    <row r="1123">
      <c r="A1123" s="6">
        <f>IFERROR(__xludf.DUMMYFUNCTION("""COMPUTED_VALUE"""),45348.0)</f>
        <v>45348</v>
      </c>
      <c r="B1123">
        <f>IFERROR(__xludf.DUMMYFUNCTION("""COMPUTED_VALUE"""),24431.0)</f>
        <v>24431</v>
      </c>
      <c r="C1123" t="str">
        <f>IFERROR(__xludf.DUMMYFUNCTION("""COMPUTED_VALUE"""),"Quartet Glass Dry Erase Markers, Whiteboard Markers, Bullet Tip, White and Neon Colors, 6 Pack (79559Q)")</f>
        <v>Quartet Glass Dry Erase Markers, Whiteboard Markers, Bullet Tip, White and Neon Colors, 6 Pack (79559Q)</v>
      </c>
      <c r="D1123" t="str">
        <f>IFERROR(__xludf.DUMMYFUNCTION("""COMPUTED_VALUE"""),"B08MBF6H6W")</f>
        <v>B08MBF6H6W</v>
      </c>
      <c r="E1123" t="str">
        <f>IFERROR(__xludf.DUMMYFUNCTION("""COMPUTED_VALUE"""),"034138955970")</f>
        <v>034138955970</v>
      </c>
      <c r="F1123">
        <f>IFERROR(__xludf.DUMMYFUNCTION("""COMPUTED_VALUE"""),312.0)</f>
        <v>312</v>
      </c>
      <c r="G1123">
        <f>IFERROR(__xludf.DUMMYFUNCTION("""COMPUTED_VALUE"""),10000.0)</f>
        <v>10000</v>
      </c>
      <c r="H1123" s="2">
        <f>IFERROR(__xludf.DUMMYFUNCTION("""COMPUTED_VALUE"""),8.25)</f>
        <v>8.25</v>
      </c>
      <c r="I1123" s="2">
        <f>IFERROR(__xludf.DUMMYFUNCTION("""COMPUTED_VALUE"""),8.47)</f>
        <v>8.47</v>
      </c>
      <c r="J1123" s="2">
        <f>IFERROR(__xludf.DUMMYFUNCTION("""COMPUTED_VALUE"""),0.22000000000000064)</f>
        <v>0.22</v>
      </c>
      <c r="K1123" s="5">
        <f>IFERROR(__xludf.DUMMYFUNCTION("""COMPUTED_VALUE"""),0.026666666666666745)</f>
        <v>0.02666666667</v>
      </c>
      <c r="L1123">
        <f>IFERROR(__xludf.DUMMYFUNCTION("""COMPUTED_VALUE"""),3135.0)</f>
        <v>3135</v>
      </c>
      <c r="M1123" t="str">
        <f>IFERROR(__xludf.DUMMYFUNCTION("""COMPUTED_VALUE"""),"Office Product")</f>
        <v>Office Product</v>
      </c>
      <c r="O1123" t="str">
        <f>IFERROR(__xludf.DUMMYFUNCTION("""COMPUTED_VALUE"""),"Y")</f>
        <v>Y</v>
      </c>
      <c r="P1123" s="1" t="str">
        <f>IFERROR(__xludf.DUMMYFUNCTION("""COMPUTED_VALUE"""),"ID 24431")</f>
        <v>ID 24431</v>
      </c>
    </row>
    <row r="1124">
      <c r="A1124" s="6">
        <f>IFERROR(__xludf.DUMMYFUNCTION("""COMPUTED_VALUE"""),45232.0)</f>
        <v>45232</v>
      </c>
      <c r="B1124">
        <f>IFERROR(__xludf.DUMMYFUNCTION("""COMPUTED_VALUE"""),12613.0)</f>
        <v>12613</v>
      </c>
      <c r="C1124" t="str">
        <f>IFERROR(__xludf.DUMMYFUNCTION("""COMPUTED_VALUE"""),"Bic Ballpoint Retractable Pens (BICBU311BE)")</f>
        <v>Bic Ballpoint Retractable Pens (BICBU311BE)</v>
      </c>
      <c r="D1124" t="str">
        <f>IFERROR(__xludf.DUMMYFUNCTION("""COMPUTED_VALUE"""),"B009DJ1VTI")</f>
        <v>B009DJ1VTI</v>
      </c>
      <c r="E1124" t="str">
        <f>IFERROR(__xludf.DUMMYFUNCTION("""COMPUTED_VALUE"""),"070330186194")</f>
        <v>070330186194</v>
      </c>
      <c r="F1124">
        <f>IFERROR(__xludf.DUMMYFUNCTION("""COMPUTED_VALUE"""),342.0)</f>
        <v>342</v>
      </c>
      <c r="G1124">
        <f>IFERROR(__xludf.DUMMYFUNCTION("""COMPUTED_VALUE"""),10000.0)</f>
        <v>10000</v>
      </c>
      <c r="H1124" s="2">
        <f>IFERROR(__xludf.DUMMYFUNCTION("""COMPUTED_VALUE"""),3.75)</f>
        <v>3.75</v>
      </c>
      <c r="I1124" s="2">
        <f>IFERROR(__xludf.DUMMYFUNCTION("""COMPUTED_VALUE"""),3.97)</f>
        <v>3.97</v>
      </c>
      <c r="J1124" s="2">
        <f>IFERROR(__xludf.DUMMYFUNCTION("""COMPUTED_VALUE"""),0.2200000000000002)</f>
        <v>0.22</v>
      </c>
      <c r="K1124" s="5">
        <f>IFERROR(__xludf.DUMMYFUNCTION("""COMPUTED_VALUE"""),0.05866666666666672)</f>
        <v>0.05866666667</v>
      </c>
      <c r="L1124">
        <f>IFERROR(__xludf.DUMMYFUNCTION("""COMPUTED_VALUE"""),41496.0)</f>
        <v>41496</v>
      </c>
      <c r="M1124" t="str">
        <f>IFERROR(__xludf.DUMMYFUNCTION("""COMPUTED_VALUE"""),"Office Product")</f>
        <v>Office Product</v>
      </c>
      <c r="O1124" t="str">
        <f>IFERROR(__xludf.DUMMYFUNCTION("""COMPUTED_VALUE"""),"Y")</f>
        <v>Y</v>
      </c>
      <c r="P1124" s="1" t="str">
        <f>IFERROR(__xludf.DUMMYFUNCTION("""COMPUTED_VALUE"""),"ID 12613")</f>
        <v>ID 12613</v>
      </c>
    </row>
    <row r="1125">
      <c r="A1125" s="6">
        <f>IFERROR(__xludf.DUMMYFUNCTION("""COMPUTED_VALUE"""),45390.0)</f>
        <v>45390</v>
      </c>
      <c r="B1125">
        <f>IFERROR(__xludf.DUMMYFUNCTION("""COMPUTED_VALUE"""),21129.0)</f>
        <v>21129</v>
      </c>
      <c r="C1125" t="str">
        <f>IFERROR(__xludf.DUMMYFUNCTION("""COMPUTED_VALUE"""),"Chef Craft Premium Silicone Cooking Tongs, 12 inch, Pastel Blue")</f>
        <v>Chef Craft Premium Silicone Cooking Tongs, 12 inch, Pastel Blue</v>
      </c>
      <c r="D1125" t="str">
        <f>IFERROR(__xludf.DUMMYFUNCTION("""COMPUTED_VALUE"""),"B08SHZNBB9")</f>
        <v>B08SHZNBB9</v>
      </c>
      <c r="E1125" t="str">
        <f>IFERROR(__xludf.DUMMYFUNCTION("""COMPUTED_VALUE"""),"085455139857")</f>
        <v>085455139857</v>
      </c>
      <c r="F1125">
        <f>IFERROR(__xludf.DUMMYFUNCTION("""COMPUTED_VALUE"""),408.0)</f>
        <v>408</v>
      </c>
      <c r="G1125">
        <f>IFERROR(__xludf.DUMMYFUNCTION("""COMPUTED_VALUE"""),10000.0)</f>
        <v>10000</v>
      </c>
      <c r="H1125" s="2">
        <f>IFERROR(__xludf.DUMMYFUNCTION("""COMPUTED_VALUE"""),3.25)</f>
        <v>3.25</v>
      </c>
      <c r="I1125" s="2">
        <f>IFERROR(__xludf.DUMMYFUNCTION("""COMPUTED_VALUE"""),3.47)</f>
        <v>3.47</v>
      </c>
      <c r="J1125" s="2">
        <f>IFERROR(__xludf.DUMMYFUNCTION("""COMPUTED_VALUE"""),0.2200000000000002)</f>
        <v>0.22</v>
      </c>
      <c r="K1125" s="5">
        <f>IFERROR(__xludf.DUMMYFUNCTION("""COMPUTED_VALUE"""),0.06769230769230775)</f>
        <v>0.06769230769</v>
      </c>
      <c r="L1125">
        <f>IFERROR(__xludf.DUMMYFUNCTION("""COMPUTED_VALUE"""),34816.0)</f>
        <v>34816</v>
      </c>
      <c r="M1125" t="str">
        <f>IFERROR(__xludf.DUMMYFUNCTION("""COMPUTED_VALUE"""),"Kitchen")</f>
        <v>Kitchen</v>
      </c>
      <c r="O1125" t="str">
        <f>IFERROR(__xludf.DUMMYFUNCTION("""COMPUTED_VALUE"""),"Y")</f>
        <v>Y</v>
      </c>
      <c r="P1125" s="1" t="str">
        <f>IFERROR(__xludf.DUMMYFUNCTION("""COMPUTED_VALUE"""),"ID 21129")</f>
        <v>ID 21129</v>
      </c>
    </row>
    <row r="1126">
      <c r="A1126" s="6">
        <f>IFERROR(__xludf.DUMMYFUNCTION("""COMPUTED_VALUE"""),45376.0)</f>
        <v>45376</v>
      </c>
      <c r="B1126">
        <f>IFERROR(__xludf.DUMMYFUNCTION("""COMPUTED_VALUE"""),21913.0)</f>
        <v>21913</v>
      </c>
      <c r="C1126" t="str">
        <f>IFERROR(__xludf.DUMMYFUNCTION("""COMPUTED_VALUE"""),"PRANG Refill Pans for Oval Watercolor Paint Set, 12 Pans per Box, Red Violet (00813)")</f>
        <v>PRANG Refill Pans for Oval Watercolor Paint Set, 12 Pans per Box, Red Violet (00813)</v>
      </c>
      <c r="D1126" t="str">
        <f>IFERROR(__xludf.DUMMYFUNCTION("""COMPUTED_VALUE"""),"B0044SERLM")</f>
        <v>B0044SERLM</v>
      </c>
      <c r="E1126" t="str">
        <f>IFERROR(__xludf.DUMMYFUNCTION("""COMPUTED_VALUE"""),"072067008138")</f>
        <v>072067008138</v>
      </c>
      <c r="F1126">
        <f>IFERROR(__xludf.DUMMYFUNCTION("""COMPUTED_VALUE"""),816.0)</f>
        <v>816</v>
      </c>
      <c r="G1126">
        <f>IFERROR(__xludf.DUMMYFUNCTION("""COMPUTED_VALUE"""),10000.0)</f>
        <v>10000</v>
      </c>
      <c r="H1126" s="2">
        <f>IFERROR(__xludf.DUMMYFUNCTION("""COMPUTED_VALUE"""),4.5)</f>
        <v>4.5</v>
      </c>
      <c r="I1126" s="2">
        <f>IFERROR(__xludf.DUMMYFUNCTION("""COMPUTED_VALUE"""),4.72)</f>
        <v>4.72</v>
      </c>
      <c r="J1126" s="2">
        <f>IFERROR(__xludf.DUMMYFUNCTION("""COMPUTED_VALUE"""),0.21999999999999975)</f>
        <v>0.22</v>
      </c>
      <c r="K1126" s="5">
        <f>IFERROR(__xludf.DUMMYFUNCTION("""COMPUTED_VALUE"""),0.048888888888888836)</f>
        <v>0.04888888889</v>
      </c>
      <c r="L1126">
        <f>IFERROR(__xludf.DUMMYFUNCTION("""COMPUTED_VALUE"""),20355.0)</f>
        <v>20355</v>
      </c>
      <c r="M1126" t="str">
        <f>IFERROR(__xludf.DUMMYFUNCTION("""COMPUTED_VALUE"""),"Office Product")</f>
        <v>Office Product</v>
      </c>
      <c r="O1126" t="str">
        <f>IFERROR(__xludf.DUMMYFUNCTION("""COMPUTED_VALUE"""),"Y")</f>
        <v>Y</v>
      </c>
      <c r="P1126" s="1" t="str">
        <f>IFERROR(__xludf.DUMMYFUNCTION("""COMPUTED_VALUE"""),"ID 21913")</f>
        <v>ID 21913</v>
      </c>
    </row>
    <row r="1127">
      <c r="A1127" s="6">
        <f>IFERROR(__xludf.DUMMYFUNCTION("""COMPUTED_VALUE"""),45113.0)</f>
        <v>45113</v>
      </c>
      <c r="B1127">
        <f>IFERROR(__xludf.DUMMYFUNCTION("""COMPUTED_VALUE"""),22537.0)</f>
        <v>22537</v>
      </c>
      <c r="C1127" t="str">
        <f>IFERROR(__xludf.DUMMYFUNCTION("""COMPUTED_VALUE"""),"Sharpie 32174PP Twin Tip Permanent Markers, Fine and Ultra Fine, Assorted Colors, 4 Count")</f>
        <v>Sharpie 32174PP Twin Tip Permanent Markers, Fine and Ultra Fine, Assorted Colors, 4 Count</v>
      </c>
      <c r="D1127" t="str">
        <f>IFERROR(__xludf.DUMMYFUNCTION("""COMPUTED_VALUE"""),"B00006IFHQ")</f>
        <v>B00006IFHQ</v>
      </c>
      <c r="E1127" t="str">
        <f>IFERROR(__xludf.DUMMYFUNCTION("""COMPUTED_VALUE"""),"071641321748")</f>
        <v>071641321748</v>
      </c>
      <c r="F1127">
        <f>IFERROR(__xludf.DUMMYFUNCTION("""COMPUTED_VALUE"""),480.0)</f>
        <v>480</v>
      </c>
      <c r="G1127">
        <f>IFERROR(__xludf.DUMMYFUNCTION("""COMPUTED_VALUE"""),10000.0)</f>
        <v>10000</v>
      </c>
      <c r="H1127" s="2">
        <f>IFERROR(__xludf.DUMMYFUNCTION("""COMPUTED_VALUE"""),5.75)</f>
        <v>5.75</v>
      </c>
      <c r="I1127" s="2">
        <f>IFERROR(__xludf.DUMMYFUNCTION("""COMPUTED_VALUE"""),5.97)</f>
        <v>5.97</v>
      </c>
      <c r="J1127" s="2">
        <f>IFERROR(__xludf.DUMMYFUNCTION("""COMPUTED_VALUE"""),0.21999999999999975)</f>
        <v>0.22</v>
      </c>
      <c r="K1127" s="5">
        <f>IFERROR(__xludf.DUMMYFUNCTION("""COMPUTED_VALUE"""),0.03826086956521735)</f>
        <v>0.03826086957</v>
      </c>
      <c r="L1127">
        <f>IFERROR(__xludf.DUMMYFUNCTION("""COMPUTED_VALUE"""),35467.0)</f>
        <v>35467</v>
      </c>
      <c r="M1127" t="str">
        <f>IFERROR(__xludf.DUMMYFUNCTION("""COMPUTED_VALUE"""),"Office Product")</f>
        <v>Office Product</v>
      </c>
      <c r="N1127"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127" t="str">
        <f>IFERROR(__xludf.DUMMYFUNCTION("""COMPUTED_VALUE"""),"N")</f>
        <v>N</v>
      </c>
      <c r="P1127" s="1" t="str">
        <f>IFERROR(__xludf.DUMMYFUNCTION("""COMPUTED_VALUE"""),"ID 22537")</f>
        <v>ID 22537</v>
      </c>
    </row>
    <row r="1128">
      <c r="A1128" s="6">
        <f>IFERROR(__xludf.DUMMYFUNCTION("""COMPUTED_VALUE"""),45188.0)</f>
        <v>45188</v>
      </c>
      <c r="B1128">
        <f>IFERROR(__xludf.DUMMYFUNCTION("""COMPUTED_VALUE"""),23224.0)</f>
        <v>23224</v>
      </c>
      <c r="C1128" t="str">
        <f>IFERROR(__xludf.DUMMYFUNCTION("""COMPUTED_VALUE"""),"Fellowes 1/2in Black Binding Combs (25 Pack)")</f>
        <v>Fellowes 1/2in Black Binding Combs (25 Pack)</v>
      </c>
      <c r="D1128" t="str">
        <f>IFERROR(__xludf.DUMMYFUNCTION("""COMPUTED_VALUE"""),"B00004TS6Y")</f>
        <v>B00004TS6Y</v>
      </c>
      <c r="E1128" t="str">
        <f>IFERROR(__xludf.DUMMYFUNCTION("""COMPUTED_VALUE"""),"77511523236")</f>
        <v>77511523236</v>
      </c>
      <c r="F1128">
        <f>IFERROR(__xludf.DUMMYFUNCTION("""COMPUTED_VALUE"""),300.0)</f>
        <v>300</v>
      </c>
      <c r="G1128">
        <f>IFERROR(__xludf.DUMMYFUNCTION("""COMPUTED_VALUE"""),10000.0)</f>
        <v>10000</v>
      </c>
      <c r="H1128" s="2">
        <f>IFERROR(__xludf.DUMMYFUNCTION("""COMPUTED_VALUE"""),4.25)</f>
        <v>4.25</v>
      </c>
      <c r="I1128" s="2">
        <f>IFERROR(__xludf.DUMMYFUNCTION("""COMPUTED_VALUE"""),4.47)</f>
        <v>4.47</v>
      </c>
      <c r="J1128" s="2">
        <f>IFERROR(__xludf.DUMMYFUNCTION("""COMPUTED_VALUE"""),0.21999999999999975)</f>
        <v>0.22</v>
      </c>
      <c r="K1128" s="5">
        <f>IFERROR(__xludf.DUMMYFUNCTION("""COMPUTED_VALUE"""),0.05176470588235288)</f>
        <v>0.05176470588</v>
      </c>
      <c r="L1128">
        <f>IFERROR(__xludf.DUMMYFUNCTION("""COMPUTED_VALUE"""),75975.0)</f>
        <v>75975</v>
      </c>
      <c r="M1128" t="str">
        <f>IFERROR(__xludf.DUMMYFUNCTION("""COMPUTED_VALUE"""),"Office Product")</f>
        <v>Office Product</v>
      </c>
      <c r="O1128" t="str">
        <f>IFERROR(__xludf.DUMMYFUNCTION("""COMPUTED_VALUE"""),"Y")</f>
        <v>Y</v>
      </c>
      <c r="P1128" s="1" t="str">
        <f>IFERROR(__xludf.DUMMYFUNCTION("""COMPUTED_VALUE"""),"ID 23224")</f>
        <v>ID 23224</v>
      </c>
    </row>
    <row r="1129">
      <c r="A1129" s="6">
        <f>IFERROR(__xludf.DUMMYFUNCTION("""COMPUTED_VALUE"""),45421.0)</f>
        <v>45421</v>
      </c>
      <c r="B1129">
        <f>IFERROR(__xludf.DUMMYFUNCTION("""COMPUTED_VALUE"""),25637.0)</f>
        <v>25637</v>
      </c>
      <c r="C1129" t="str">
        <f>IFERROR(__xludf.DUMMYFUNCTION("""COMPUTED_VALUE"""),"Pickett Giant Circles Template, Circle Range 1-1/4 to 3-1/2 Inches in Diameter (1201I)")</f>
        <v>Pickett Giant Circles Template, Circle Range 1-1/4 to 3-1/2 Inches in Diameter (1201I)</v>
      </c>
      <c r="D1129" t="str">
        <f>IFERROR(__xludf.DUMMYFUNCTION("""COMPUTED_VALUE"""),"B000HF04RM")</f>
        <v>B000HF04RM</v>
      </c>
      <c r="E1129" t="str">
        <f>IFERROR(__xludf.DUMMYFUNCTION("""COMPUTED_VALUE"""),"014173152831")</f>
        <v>014173152831</v>
      </c>
      <c r="F1129">
        <f>IFERROR(__xludf.DUMMYFUNCTION("""COMPUTED_VALUE"""),288.0)</f>
        <v>288</v>
      </c>
      <c r="G1129">
        <f>IFERROR(__xludf.DUMMYFUNCTION("""COMPUTED_VALUE"""),10000.0)</f>
        <v>10000</v>
      </c>
      <c r="H1129" s="2">
        <f>IFERROR(__xludf.DUMMYFUNCTION("""COMPUTED_VALUE"""),8.0)</f>
        <v>8</v>
      </c>
      <c r="I1129" s="2">
        <f>IFERROR(__xludf.DUMMYFUNCTION("""COMPUTED_VALUE"""),8.21)</f>
        <v>8.21</v>
      </c>
      <c r="J1129" s="2">
        <f>IFERROR(__xludf.DUMMYFUNCTION("""COMPUTED_VALUE"""),0.21000000000000085)</f>
        <v>0.21</v>
      </c>
      <c r="K1129" s="5">
        <f>IFERROR(__xludf.DUMMYFUNCTION("""COMPUTED_VALUE"""),0.026250000000000107)</f>
        <v>0.02625</v>
      </c>
      <c r="L1129">
        <f>IFERROR(__xludf.DUMMYFUNCTION("""COMPUTED_VALUE"""),51092.0)</f>
        <v>51092</v>
      </c>
      <c r="M1129" t="str">
        <f>IFERROR(__xludf.DUMMYFUNCTION("""COMPUTED_VALUE"""),"Office Product")</f>
        <v>Office Product</v>
      </c>
      <c r="O1129" t="str">
        <f>IFERROR(__xludf.DUMMYFUNCTION("""COMPUTED_VALUE"""),"Y")</f>
        <v>Y</v>
      </c>
      <c r="P1129" s="1" t="str">
        <f>IFERROR(__xludf.DUMMYFUNCTION("""COMPUTED_VALUE"""),"ID 25637")</f>
        <v>ID 25637</v>
      </c>
    </row>
    <row r="1130">
      <c r="A1130" s="6">
        <f>IFERROR(__xludf.DUMMYFUNCTION("""COMPUTED_VALUE"""),44657.0)</f>
        <v>44657</v>
      </c>
      <c r="B1130">
        <f>IFERROR(__xludf.DUMMYFUNCTION("""COMPUTED_VALUE"""),2973.0)</f>
        <v>2973</v>
      </c>
      <c r="C1130" t="str">
        <f>IFERROR(__xludf.DUMMYFUNCTION("""COMPUTED_VALUE"""),"The Fire Next Time")</f>
        <v>The Fire Next Time</v>
      </c>
      <c r="D1130" t="str">
        <f>IFERROR(__xludf.DUMMYFUNCTION("""COMPUTED_VALUE"""),"B000FBFZ0E")</f>
        <v>B000FBFZ0E</v>
      </c>
      <c r="E1130" t="str">
        <f>IFERROR(__xludf.DUMMYFUNCTION("""COMPUTED_VALUE"""),"767685975831")</f>
        <v>767685975831</v>
      </c>
      <c r="F1130">
        <f>IFERROR(__xludf.DUMMYFUNCTION("""COMPUTED_VALUE"""),375.0)</f>
        <v>375</v>
      </c>
      <c r="G1130">
        <f>IFERROR(__xludf.DUMMYFUNCTION("""COMPUTED_VALUE"""),358.0)</f>
        <v>358</v>
      </c>
      <c r="H1130" s="2">
        <f>IFERROR(__xludf.DUMMYFUNCTION("""COMPUTED_VALUE"""),4.0)</f>
        <v>4</v>
      </c>
      <c r="I1130" s="2">
        <f>IFERROR(__xludf.DUMMYFUNCTION("""COMPUTED_VALUE"""),4.21)</f>
        <v>4.21</v>
      </c>
      <c r="J1130" s="2">
        <f>IFERROR(__xludf.DUMMYFUNCTION("""COMPUTED_VALUE"""),0.20999999999999996)</f>
        <v>0.21</v>
      </c>
      <c r="K1130" s="5">
        <f>IFERROR(__xludf.DUMMYFUNCTION("""COMPUTED_VALUE"""),0.05249999999999999)</f>
        <v>0.0525</v>
      </c>
      <c r="L1130">
        <f>IFERROR(__xludf.DUMMYFUNCTION("""COMPUTED_VALUE"""),52677.0)</f>
        <v>52677</v>
      </c>
      <c r="M1130" t="str">
        <f>IFERROR(__xludf.DUMMYFUNCTION("""COMPUTED_VALUE"""),"DVD")</f>
        <v>DVD</v>
      </c>
      <c r="O1130" t="str">
        <f>IFERROR(__xludf.DUMMYFUNCTION("""COMPUTED_VALUE"""),"N")</f>
        <v>N</v>
      </c>
      <c r="P1130" s="1" t="str">
        <f>IFERROR(__xludf.DUMMYFUNCTION("""COMPUTED_VALUE"""),"ID 2973")</f>
        <v>ID 2973</v>
      </c>
    </row>
    <row r="1131">
      <c r="A1131" s="6">
        <f>IFERROR(__xludf.DUMMYFUNCTION("""COMPUTED_VALUE"""),45376.0)</f>
        <v>45376</v>
      </c>
      <c r="B1131">
        <f>IFERROR(__xludf.DUMMYFUNCTION("""COMPUTED_VALUE"""),5306.0)</f>
        <v>5306</v>
      </c>
      <c r="C1131" t="str">
        <f>IFERROR(__xludf.DUMMYFUNCTION("""COMPUTED_VALUE"""),"US Toy 1 Dozen Foam Balls,colors may very")</f>
        <v>US Toy 1 Dozen Foam Balls,colors may very</v>
      </c>
      <c r="D1131" t="str">
        <f>IFERROR(__xludf.DUMMYFUNCTION("""COMPUTED_VALUE"""),"B0044D5RRA")</f>
        <v>B0044D5RRA</v>
      </c>
      <c r="E1131" t="str">
        <f>IFERROR(__xludf.DUMMYFUNCTION("""COMPUTED_VALUE"""),"049392104910")</f>
        <v>049392104910</v>
      </c>
      <c r="F1131">
        <f>IFERROR(__xludf.DUMMYFUNCTION("""COMPUTED_VALUE"""),360.0)</f>
        <v>360</v>
      </c>
      <c r="G1131">
        <f>IFERROR(__xludf.DUMMYFUNCTION("""COMPUTED_VALUE"""),1557.0)</f>
        <v>1557</v>
      </c>
      <c r="H1131" s="2">
        <f>IFERROR(__xludf.DUMMYFUNCTION("""COMPUTED_VALUE"""),3.5)</f>
        <v>3.5</v>
      </c>
      <c r="I1131" s="2">
        <f>IFERROR(__xludf.DUMMYFUNCTION("""COMPUTED_VALUE"""),3.71)</f>
        <v>3.71</v>
      </c>
      <c r="J1131" s="2">
        <f>IFERROR(__xludf.DUMMYFUNCTION("""COMPUTED_VALUE"""),0.20999999999999996)</f>
        <v>0.21</v>
      </c>
      <c r="K1131" s="5">
        <f>IFERROR(__xludf.DUMMYFUNCTION("""COMPUTED_VALUE"""),0.05999999999999999)</f>
        <v>0.06</v>
      </c>
      <c r="L1131">
        <f>IFERROR(__xludf.DUMMYFUNCTION("""COMPUTED_VALUE"""),95846.0)</f>
        <v>95846</v>
      </c>
      <c r="M1131" t="str">
        <f>IFERROR(__xludf.DUMMYFUNCTION("""COMPUTED_VALUE"""),"Art and Craft Supply")</f>
        <v>Art and Craft Supply</v>
      </c>
      <c r="N1131" t="str">
        <f>IFERROR(__xludf.DUMMYFUNCTION("""COMPUTED_VALUE"""),"MAP: $6.99. If you violate the MAP pricing, the brand will remove you and require you to return the merchandise at a 50% restocking fee.")</f>
        <v>MAP: $6.99. If you violate the MAP pricing, the brand will remove you and require you to return the merchandise at a 50% restocking fee.</v>
      </c>
      <c r="O1131" t="str">
        <f>IFERROR(__xludf.DUMMYFUNCTION("""COMPUTED_VALUE"""),"N")</f>
        <v>N</v>
      </c>
      <c r="P1131" s="1" t="str">
        <f>IFERROR(__xludf.DUMMYFUNCTION("""COMPUTED_VALUE"""),"ID 5306")</f>
        <v>ID 5306</v>
      </c>
    </row>
    <row r="1132">
      <c r="A1132" s="6">
        <f>IFERROR(__xludf.DUMMYFUNCTION("""COMPUTED_VALUE"""),44641.0)</f>
        <v>44641</v>
      </c>
      <c r="B1132">
        <f>IFERROR(__xludf.DUMMYFUNCTION("""COMPUTED_VALUE"""),20324.0)</f>
        <v>20324</v>
      </c>
      <c r="C1132" t="str">
        <f>IFERROR(__xludf.DUMMYFUNCTION("""COMPUTED_VALUE"""),"Five Star Spiral Notebook, 2 Subject, College Ruled Paper, 100 sheets, 9-1/2"" x 6"", Color Selected For You, 1 Count (06180)")</f>
        <v>Five Star Spiral Notebook, 2 Subject, College Ruled Paper, 100 sheets, 9-1/2" x 6", Color Selected For You, 1 Count (06180)</v>
      </c>
      <c r="D1132" t="str">
        <f>IFERROR(__xludf.DUMMYFUNCTION("""COMPUTED_VALUE"""),"B000EFL6SQ")</f>
        <v>B000EFL6SQ</v>
      </c>
      <c r="E1132" t="str">
        <f>IFERROR(__xludf.DUMMYFUNCTION("""COMPUTED_VALUE"""),"043100061809")</f>
        <v>043100061809</v>
      </c>
      <c r="F1132">
        <f>IFERROR(__xludf.DUMMYFUNCTION("""COMPUTED_VALUE"""),3390.0)</f>
        <v>3390</v>
      </c>
      <c r="G1132">
        <f>IFERROR(__xludf.DUMMYFUNCTION("""COMPUTED_VALUE"""),5000.0)</f>
        <v>5000</v>
      </c>
      <c r="H1132" s="2">
        <f>IFERROR(__xludf.DUMMYFUNCTION("""COMPUTED_VALUE"""),2.0)</f>
        <v>2</v>
      </c>
      <c r="I1132" s="2">
        <f>IFERROR(__xludf.DUMMYFUNCTION("""COMPUTED_VALUE"""),2.21)</f>
        <v>2.21</v>
      </c>
      <c r="J1132" s="2">
        <f>IFERROR(__xludf.DUMMYFUNCTION("""COMPUTED_VALUE"""),0.20999999999999996)</f>
        <v>0.21</v>
      </c>
      <c r="K1132" s="5">
        <f>IFERROR(__xludf.DUMMYFUNCTION("""COMPUTED_VALUE"""),0.10499999999999998)</f>
        <v>0.105</v>
      </c>
      <c r="L1132">
        <f>IFERROR(__xludf.DUMMYFUNCTION("""COMPUTED_VALUE"""),16218.0)</f>
        <v>16218</v>
      </c>
      <c r="M1132" t="str">
        <f>IFERROR(__xludf.DUMMYFUNCTION("""COMPUTED_VALUE"""),"Office Product")</f>
        <v>Office Product</v>
      </c>
      <c r="N1132" t="str">
        <f>IFERROR(__xludf.DUMMYFUNCTION("""COMPUTED_VALUE"""),"Promo: OSMI")</f>
        <v>Promo: OSMI</v>
      </c>
      <c r="O1132" t="str">
        <f>IFERROR(__xludf.DUMMYFUNCTION("""COMPUTED_VALUE"""),"Y")</f>
        <v>Y</v>
      </c>
      <c r="P1132" s="1" t="str">
        <f>IFERROR(__xludf.DUMMYFUNCTION("""COMPUTED_VALUE"""),"ID 20324")</f>
        <v>ID 20324</v>
      </c>
    </row>
    <row r="1133">
      <c r="A1133" s="6">
        <f>IFERROR(__xludf.DUMMYFUNCTION("""COMPUTED_VALUE"""),45401.0)</f>
        <v>45401</v>
      </c>
      <c r="B1133">
        <f>IFERROR(__xludf.DUMMYFUNCTION("""COMPUTED_VALUE"""),9096.0)</f>
        <v>9096</v>
      </c>
      <c r="C1133" t="str">
        <f>IFERROR(__xludf.DUMMYFUNCTION("""COMPUTED_VALUE"""),"Home Basics DC01050 Deep Colander Stainless Steel 3 Quart#44;")</f>
        <v>Home Basics DC01050 Deep Colander Stainless Steel 3 Quart#44;</v>
      </c>
      <c r="D1133" t="str">
        <f>IFERROR(__xludf.DUMMYFUNCTION("""COMPUTED_VALUE"""),"B00KYX9B4Y")</f>
        <v>B00KYX9B4Y</v>
      </c>
      <c r="E1133" t="str">
        <f>IFERROR(__xludf.DUMMYFUNCTION("""COMPUTED_VALUE"""),"886466010506")</f>
        <v>886466010506</v>
      </c>
      <c r="F1133">
        <f>IFERROR(__xludf.DUMMYFUNCTION("""COMPUTED_VALUE"""),336.0)</f>
        <v>336</v>
      </c>
      <c r="G1133">
        <f>IFERROR(__xludf.DUMMYFUNCTION("""COMPUTED_VALUE"""),10000.0)</f>
        <v>10000</v>
      </c>
      <c r="H1133" s="2">
        <f>IFERROR(__xludf.DUMMYFUNCTION("""COMPUTED_VALUE"""),3.75)</f>
        <v>3.75</v>
      </c>
      <c r="I1133" s="2">
        <f>IFERROR(__xludf.DUMMYFUNCTION("""COMPUTED_VALUE"""),3.96)</f>
        <v>3.96</v>
      </c>
      <c r="J1133" s="2">
        <f>IFERROR(__xludf.DUMMYFUNCTION("""COMPUTED_VALUE"""),0.20999999999999996)</f>
        <v>0.21</v>
      </c>
      <c r="K1133" s="5">
        <f>IFERROR(__xludf.DUMMYFUNCTION("""COMPUTED_VALUE"""),0.05599999999999999)</f>
        <v>0.056</v>
      </c>
      <c r="L1133">
        <f>IFERROR(__xludf.DUMMYFUNCTION("""COMPUTED_VALUE"""),98630.0)</f>
        <v>98630</v>
      </c>
      <c r="M1133" t="str">
        <f>IFERROR(__xludf.DUMMYFUNCTION("""COMPUTED_VALUE"""),"Kitchen")</f>
        <v>Kitchen</v>
      </c>
      <c r="O1133" t="str">
        <f>IFERROR(__xludf.DUMMYFUNCTION("""COMPUTED_VALUE"""),"N")</f>
        <v>N</v>
      </c>
      <c r="P1133" s="1" t="str">
        <f>IFERROR(__xludf.DUMMYFUNCTION("""COMPUTED_VALUE"""),"ID 9096")</f>
        <v>ID 9096</v>
      </c>
    </row>
    <row r="1134">
      <c r="A1134" s="6">
        <f>IFERROR(__xludf.DUMMYFUNCTION("""COMPUTED_VALUE"""),45376.0)</f>
        <v>45376</v>
      </c>
      <c r="B1134">
        <f>IFERROR(__xludf.DUMMYFUNCTION("""COMPUTED_VALUE"""),17062.0)</f>
        <v>17062</v>
      </c>
      <c r="C1134" t="str">
        <f>IFERROR(__xludf.DUMMYFUNCTION("""COMPUTED_VALUE"""),"PRANG Refill Pans for Half Pan Watercolor Paint Sets, 12 Pans per Box, Magenta (08018)")</f>
        <v>PRANG Refill Pans for Half Pan Watercolor Paint Sets, 12 Pans per Box, Magenta (08018)</v>
      </c>
      <c r="D1134" t="str">
        <f>IFERROR(__xludf.DUMMYFUNCTION("""COMPUTED_VALUE"""),"B0050A613U")</f>
        <v>B0050A613U</v>
      </c>
      <c r="E1134" t="str">
        <f>IFERROR(__xludf.DUMMYFUNCTION("""COMPUTED_VALUE"""),"072067080189")</f>
        <v>072067080189</v>
      </c>
      <c r="F1134">
        <f>IFERROR(__xludf.DUMMYFUNCTION("""COMPUTED_VALUE"""),888.0)</f>
        <v>888</v>
      </c>
      <c r="G1134">
        <f>IFERROR(__xludf.DUMMYFUNCTION("""COMPUTED_VALUE"""),10000.0)</f>
        <v>10000</v>
      </c>
      <c r="H1134" s="2">
        <f>IFERROR(__xludf.DUMMYFUNCTION("""COMPUTED_VALUE"""),4.25)</f>
        <v>4.25</v>
      </c>
      <c r="I1134" s="2">
        <f>IFERROR(__xludf.DUMMYFUNCTION("""COMPUTED_VALUE"""),4.45)</f>
        <v>4.45</v>
      </c>
      <c r="J1134" s="2">
        <f>IFERROR(__xludf.DUMMYFUNCTION("""COMPUTED_VALUE"""),0.20000000000000018)</f>
        <v>0.2</v>
      </c>
      <c r="K1134" s="5">
        <f>IFERROR(__xludf.DUMMYFUNCTION("""COMPUTED_VALUE"""),0.047058823529411806)</f>
        <v>0.04705882353</v>
      </c>
      <c r="L1134">
        <f>IFERROR(__xludf.DUMMYFUNCTION("""COMPUTED_VALUE"""),12256.0)</f>
        <v>12256</v>
      </c>
      <c r="M1134" t="str">
        <f>IFERROR(__xludf.DUMMYFUNCTION("""COMPUTED_VALUE"""),"Home Improvement")</f>
        <v>Home Improvement</v>
      </c>
      <c r="O1134" t="str">
        <f>IFERROR(__xludf.DUMMYFUNCTION("""COMPUTED_VALUE"""),"Y")</f>
        <v>Y</v>
      </c>
      <c r="P1134" s="1" t="str">
        <f>IFERROR(__xludf.DUMMYFUNCTION("""COMPUTED_VALUE"""),"ID 17062")</f>
        <v>ID 17062</v>
      </c>
    </row>
    <row r="1135">
      <c r="A1135" s="6">
        <f>IFERROR(__xludf.DUMMYFUNCTION("""COMPUTED_VALUE"""),45390.0)</f>
        <v>45390</v>
      </c>
      <c r="B1135">
        <f>IFERROR(__xludf.DUMMYFUNCTION("""COMPUTED_VALUE"""),21131.0)</f>
        <v>21131</v>
      </c>
      <c r="C1135" t="str">
        <f>IFERROR(__xludf.DUMMYFUNCTION("""COMPUTED_VALUE"""),"Chef Craft Premium Silicone Cooking Tongs, 12 inch, Pink")</f>
        <v>Chef Craft Premium Silicone Cooking Tongs, 12 inch, Pink</v>
      </c>
      <c r="D1135" t="str">
        <f>IFERROR(__xludf.DUMMYFUNCTION("""COMPUTED_VALUE"""),"B08SJ5LM3J")</f>
        <v>B08SJ5LM3J</v>
      </c>
      <c r="E1135" t="str">
        <f>IFERROR(__xludf.DUMMYFUNCTION("""COMPUTED_VALUE"""),"085455137853")</f>
        <v>085455137853</v>
      </c>
      <c r="F1135">
        <f>IFERROR(__xludf.DUMMYFUNCTION("""COMPUTED_VALUE"""),408.0)</f>
        <v>408</v>
      </c>
      <c r="G1135">
        <f>IFERROR(__xludf.DUMMYFUNCTION("""COMPUTED_VALUE"""),10000.0)</f>
        <v>10000</v>
      </c>
      <c r="H1135" s="2">
        <f>IFERROR(__xludf.DUMMYFUNCTION("""COMPUTED_VALUE"""),3.25)</f>
        <v>3.25</v>
      </c>
      <c r="I1135" s="2">
        <f>IFERROR(__xludf.DUMMYFUNCTION("""COMPUTED_VALUE"""),3.45)</f>
        <v>3.45</v>
      </c>
      <c r="J1135" s="2">
        <f>IFERROR(__xludf.DUMMYFUNCTION("""COMPUTED_VALUE"""),0.20000000000000018)</f>
        <v>0.2</v>
      </c>
      <c r="K1135" s="5">
        <f>IFERROR(__xludf.DUMMYFUNCTION("""COMPUTED_VALUE"""),0.06153846153846159)</f>
        <v>0.06153846154</v>
      </c>
      <c r="L1135">
        <f>IFERROR(__xludf.DUMMYFUNCTION("""COMPUTED_VALUE"""),34816.0)</f>
        <v>34816</v>
      </c>
      <c r="M1135" t="str">
        <f>IFERROR(__xludf.DUMMYFUNCTION("""COMPUTED_VALUE"""),"Kitchen")</f>
        <v>Kitchen</v>
      </c>
      <c r="O1135" t="str">
        <f>IFERROR(__xludf.DUMMYFUNCTION("""COMPUTED_VALUE"""),"Y")</f>
        <v>Y</v>
      </c>
      <c r="P1135" s="1" t="str">
        <f>IFERROR(__xludf.DUMMYFUNCTION("""COMPUTED_VALUE"""),"ID 21131")</f>
        <v>ID 21131</v>
      </c>
    </row>
    <row r="1136">
      <c r="A1136" s="6">
        <f>IFERROR(__xludf.DUMMYFUNCTION("""COMPUTED_VALUE"""),45357.0)</f>
        <v>45357</v>
      </c>
      <c r="B1136">
        <f>IFERROR(__xludf.DUMMYFUNCTION("""COMPUTED_VALUE"""),22340.0)</f>
        <v>22340</v>
      </c>
      <c r="C1136" t="str">
        <f>IFERROR(__xludf.DUMMYFUNCTION("""COMPUTED_VALUE"""),"PILOT G2 Pen Stylus, Fine Point, Grey/Red/Turquoise Barrels, Black Ink, 3-Pack (34312)")</f>
        <v>PILOT G2 Pen Stylus, Fine Point, Grey/Red/Turquoise Barrels, Black Ink, 3-Pack (34312)</v>
      </c>
      <c r="D1136" t="str">
        <f>IFERROR(__xludf.DUMMYFUNCTION("""COMPUTED_VALUE"""),"B01KLLQE5W")</f>
        <v>B01KLLQE5W</v>
      </c>
      <c r="E1136" t="str">
        <f>IFERROR(__xludf.DUMMYFUNCTION("""COMPUTED_VALUE"""),"072838343123")</f>
        <v>072838343123</v>
      </c>
      <c r="F1136">
        <f>IFERROR(__xludf.DUMMYFUNCTION("""COMPUTED_VALUE"""),192.0)</f>
        <v>192</v>
      </c>
      <c r="G1136">
        <f>IFERROR(__xludf.DUMMYFUNCTION("""COMPUTED_VALUE"""),10000.0)</f>
        <v>10000</v>
      </c>
      <c r="H1136" s="2">
        <f>IFERROR(__xludf.DUMMYFUNCTION("""COMPUTED_VALUE"""),7.25)</f>
        <v>7.25</v>
      </c>
      <c r="I1136" s="2">
        <f>IFERROR(__xludf.DUMMYFUNCTION("""COMPUTED_VALUE"""),7.45)</f>
        <v>7.45</v>
      </c>
      <c r="J1136" s="2">
        <f>IFERROR(__xludf.DUMMYFUNCTION("""COMPUTED_VALUE"""),0.20000000000000018)</f>
        <v>0.2</v>
      </c>
      <c r="K1136" s="5">
        <f>IFERROR(__xludf.DUMMYFUNCTION("""COMPUTED_VALUE"""),0.027586206896551748)</f>
        <v>0.0275862069</v>
      </c>
      <c r="L1136">
        <f>IFERROR(__xludf.DUMMYFUNCTION("""COMPUTED_VALUE"""),14598.0)</f>
        <v>14598</v>
      </c>
      <c r="M1136" t="str">
        <f>IFERROR(__xludf.DUMMYFUNCTION("""COMPUTED_VALUE"""),"Office Product")</f>
        <v>Office Product</v>
      </c>
      <c r="N1136" t="str">
        <f>IFERROR(__xludf.DUMMYFUNCTION("""COMPUTED_VALUE"""),"Assorted")</f>
        <v>Assorted</v>
      </c>
      <c r="O1136" t="str">
        <f>IFERROR(__xludf.DUMMYFUNCTION("""COMPUTED_VALUE"""),"Y")</f>
        <v>Y</v>
      </c>
      <c r="P1136" s="1" t="str">
        <f>IFERROR(__xludf.DUMMYFUNCTION("""COMPUTED_VALUE"""),"ID 22340")</f>
        <v>ID 22340</v>
      </c>
    </row>
    <row r="1137">
      <c r="A1137" s="6">
        <f>IFERROR(__xludf.DUMMYFUNCTION("""COMPUTED_VALUE"""),45376.0)</f>
        <v>45376</v>
      </c>
      <c r="B1137">
        <f>IFERROR(__xludf.DUMMYFUNCTION("""COMPUTED_VALUE"""),13797.0)</f>
        <v>13797</v>
      </c>
      <c r="C1137" t="str">
        <f>IFERROR(__xludf.DUMMYFUNCTION("""COMPUTED_VALUE"""),"Marvel Comics Spiderman Web Clinging Watermelon Scent Bubble Bath")</f>
        <v>Marvel Comics Spiderman Web Clinging Watermelon Scent Bubble Bath</v>
      </c>
      <c r="D1137" t="str">
        <f>IFERROR(__xludf.DUMMYFUNCTION("""COMPUTED_VALUE"""),"B076PZ1775")</f>
        <v>B076PZ1775</v>
      </c>
      <c r="E1137" t="str">
        <f>IFERROR(__xludf.DUMMYFUNCTION("""COMPUTED_VALUE"""),"889628025516")</f>
        <v>889628025516</v>
      </c>
      <c r="F1137">
        <f>IFERROR(__xludf.DUMMYFUNCTION("""COMPUTED_VALUE"""),1272.0)</f>
        <v>1272</v>
      </c>
      <c r="G1137">
        <f>IFERROR(__xludf.DUMMYFUNCTION("""COMPUTED_VALUE"""),8410.0)</f>
        <v>8410</v>
      </c>
      <c r="H1137" s="2">
        <f>IFERROR(__xludf.DUMMYFUNCTION("""COMPUTED_VALUE"""),1.0)</f>
        <v>1</v>
      </c>
      <c r="I1137" s="2">
        <f>IFERROR(__xludf.DUMMYFUNCTION("""COMPUTED_VALUE"""),1.2)</f>
        <v>1.2</v>
      </c>
      <c r="J1137" s="2">
        <f>IFERROR(__xludf.DUMMYFUNCTION("""COMPUTED_VALUE"""),0.19999999999999996)</f>
        <v>0.2</v>
      </c>
      <c r="K1137" s="5">
        <f>IFERROR(__xludf.DUMMYFUNCTION("""COMPUTED_VALUE"""),0.19999999999999996)</f>
        <v>0.2</v>
      </c>
      <c r="L1137">
        <f>IFERROR(__xludf.DUMMYFUNCTION("""COMPUTED_VALUE"""),95926.0)</f>
        <v>95926</v>
      </c>
      <c r="M1137" t="str">
        <f>IFERROR(__xludf.DUMMYFUNCTION("""COMPUTED_VALUE"""),"Health and Beauty")</f>
        <v>Health and Beauty</v>
      </c>
      <c r="O1137" t="str">
        <f>IFERROR(__xludf.DUMMYFUNCTION("""COMPUTED_VALUE"""),"N")</f>
        <v>N</v>
      </c>
      <c r="P1137" s="1" t="str">
        <f>IFERROR(__xludf.DUMMYFUNCTION("""COMPUTED_VALUE"""),"ID 13797")</f>
        <v>ID 13797</v>
      </c>
    </row>
    <row r="1138">
      <c r="A1138" s="6">
        <f>IFERROR(__xludf.DUMMYFUNCTION("""COMPUTED_VALUE"""),45105.0)</f>
        <v>45105</v>
      </c>
      <c r="B1138">
        <f>IFERROR(__xludf.DUMMYFUNCTION("""COMPUTED_VALUE"""),23764.0)</f>
        <v>23764</v>
      </c>
      <c r="C1138" t="str">
        <f>IFERROR(__xludf.DUMMYFUNCTION("""COMPUTED_VALUE"""),"Satco S7265 5-Watt Candelabra Base T2 Mini Spiral, 4100K, 120V, Equivalent to 30-Watt Incandescent Lamp for Enclosed Fixtures")</f>
        <v>Satco S7265 5-Watt Candelabra Base T2 Mini Spiral, 4100K, 120V, Equivalent to 30-Watt Incandescent Lamp for Enclosed Fixtures</v>
      </c>
      <c r="D1138" t="str">
        <f>IFERROR(__xludf.DUMMYFUNCTION("""COMPUTED_VALUE"""),"B003UF7KU0")</f>
        <v>B003UF7KU0</v>
      </c>
      <c r="E1138" t="str">
        <f>IFERROR(__xludf.DUMMYFUNCTION("""COMPUTED_VALUE"""),"045923072659")</f>
        <v>045923072659</v>
      </c>
      <c r="F1138">
        <f>IFERROR(__xludf.DUMMYFUNCTION("""COMPUTED_VALUE"""),336.0)</f>
        <v>336</v>
      </c>
      <c r="G1138">
        <f>IFERROR(__xludf.DUMMYFUNCTION("""COMPUTED_VALUE"""),10000.0)</f>
        <v>10000</v>
      </c>
      <c r="H1138" s="2">
        <f>IFERROR(__xludf.DUMMYFUNCTION("""COMPUTED_VALUE"""),3.75)</f>
        <v>3.75</v>
      </c>
      <c r="I1138" s="2">
        <f>IFERROR(__xludf.DUMMYFUNCTION("""COMPUTED_VALUE"""),3.95)</f>
        <v>3.95</v>
      </c>
      <c r="J1138" s="2">
        <f>IFERROR(__xludf.DUMMYFUNCTION("""COMPUTED_VALUE"""),0.20000000000000018)</f>
        <v>0.2</v>
      </c>
      <c r="K1138" s="5">
        <f>IFERROR(__xludf.DUMMYFUNCTION("""COMPUTED_VALUE"""),0.05333333333333338)</f>
        <v>0.05333333333</v>
      </c>
      <c r="L1138">
        <f>IFERROR(__xludf.DUMMYFUNCTION("""COMPUTED_VALUE"""),27752.0)</f>
        <v>27752</v>
      </c>
      <c r="M1138" t="str">
        <f>IFERROR(__xludf.DUMMYFUNCTION("""COMPUTED_VALUE"""),"Home Improvement")</f>
        <v>Home Improvement</v>
      </c>
      <c r="O1138" t="str">
        <f>IFERROR(__xludf.DUMMYFUNCTION("""COMPUTED_VALUE"""),"N")</f>
        <v>N</v>
      </c>
      <c r="P1138" s="1" t="str">
        <f>IFERROR(__xludf.DUMMYFUNCTION("""COMPUTED_VALUE"""),"ID 23764")</f>
        <v>ID 23764</v>
      </c>
    </row>
    <row r="1139">
      <c r="A1139" s="6">
        <f>IFERROR(__xludf.DUMMYFUNCTION("""COMPUTED_VALUE"""),45344.0)</f>
        <v>45344</v>
      </c>
      <c r="B1139">
        <f>IFERROR(__xludf.DUMMYFUNCTION("""COMPUTED_VALUE"""),19492.0)</f>
        <v>19492</v>
      </c>
      <c r="C1139" t="str">
        <f>IFERROR(__xludf.DUMMYFUNCTION("""COMPUTED_VALUE"""),"Bestway Flowclear 10' Pool Cover")</f>
        <v>Bestway Flowclear 10' Pool Cover</v>
      </c>
      <c r="D1139" t="str">
        <f>IFERROR(__xludf.DUMMYFUNCTION("""COMPUTED_VALUE"""),"B07NDBT5SB")</f>
        <v>B07NDBT5SB</v>
      </c>
      <c r="E1139" t="str">
        <f>IFERROR(__xludf.DUMMYFUNCTION("""COMPUTED_VALUE"""),"821808006168")</f>
        <v>821808006168</v>
      </c>
      <c r="F1139">
        <f>IFERROR(__xludf.DUMMYFUNCTION("""COMPUTED_VALUE"""),138.0)</f>
        <v>138</v>
      </c>
      <c r="G1139">
        <f>IFERROR(__xludf.DUMMYFUNCTION("""COMPUTED_VALUE"""),1585.0)</f>
        <v>1585</v>
      </c>
      <c r="H1139" s="2">
        <f>IFERROR(__xludf.DUMMYFUNCTION("""COMPUTED_VALUE"""),9.5)</f>
        <v>9.5</v>
      </c>
      <c r="I1139" s="2">
        <f>IFERROR(__xludf.DUMMYFUNCTION("""COMPUTED_VALUE"""),9.7)</f>
        <v>9.7</v>
      </c>
      <c r="J1139" s="2">
        <f>IFERROR(__xludf.DUMMYFUNCTION("""COMPUTED_VALUE"""),0.1999999999999993)</f>
        <v>0.2</v>
      </c>
      <c r="K1139" s="5">
        <f>IFERROR(__xludf.DUMMYFUNCTION("""COMPUTED_VALUE"""),0.021052631578947295)</f>
        <v>0.02105263158</v>
      </c>
      <c r="L1139">
        <f>IFERROR(__xludf.DUMMYFUNCTION("""COMPUTED_VALUE"""),41183.0)</f>
        <v>41183</v>
      </c>
      <c r="M1139" t="str">
        <f>IFERROR(__xludf.DUMMYFUNCTION("""COMPUTED_VALUE"""),"Toy")</f>
        <v>Toy</v>
      </c>
      <c r="O1139" t="str">
        <f>IFERROR(__xludf.DUMMYFUNCTION("""COMPUTED_VALUE"""),"Y")</f>
        <v>Y</v>
      </c>
      <c r="P1139" s="1" t="str">
        <f>IFERROR(__xludf.DUMMYFUNCTION("""COMPUTED_VALUE"""),"ID 19492")</f>
        <v>ID 19492</v>
      </c>
    </row>
    <row r="1140">
      <c r="A1140" s="6">
        <f>IFERROR(__xludf.DUMMYFUNCTION("""COMPUTED_VALUE"""),45142.0)</f>
        <v>45142</v>
      </c>
      <c r="B1140">
        <f>IFERROR(__xludf.DUMMYFUNCTION("""COMPUTED_VALUE"""),17515.0)</f>
        <v>17515</v>
      </c>
      <c r="C1140" t="str">
        <f>IFERROR(__xludf.DUMMYFUNCTION("""COMPUTED_VALUE"""),"Yves Saint Laurent Touche Eclat Radiant Touch Concealer, No. 2 Luminous Ivory, 0.08 Ounce")</f>
        <v>Yves Saint Laurent Touche Eclat Radiant Touch Concealer, No. 2 Luminous Ivory, 0.08 Ounce</v>
      </c>
      <c r="D1140" t="str">
        <f>IFERROR(__xludf.DUMMYFUNCTION("""COMPUTED_VALUE"""),"B0009HJBPE")</f>
        <v>B0009HJBPE</v>
      </c>
      <c r="E1140" t="str">
        <f>IFERROR(__xludf.DUMMYFUNCTION("""COMPUTED_VALUE"""),"3365440094352")</f>
        <v>3365440094352</v>
      </c>
      <c r="F1140">
        <f>IFERROR(__xludf.DUMMYFUNCTION("""COMPUTED_VALUE"""),50.0)</f>
        <v>50</v>
      </c>
      <c r="G1140">
        <f>IFERROR(__xludf.DUMMYFUNCTION("""COMPUTED_VALUE"""),10000.0)</f>
        <v>10000</v>
      </c>
      <c r="H1140" s="2">
        <f>IFERROR(__xludf.DUMMYFUNCTION("""COMPUTED_VALUE"""),30.75)</f>
        <v>30.75</v>
      </c>
      <c r="I1140" s="2">
        <f>IFERROR(__xludf.DUMMYFUNCTION("""COMPUTED_VALUE"""),30.94)</f>
        <v>30.94</v>
      </c>
      <c r="J1140" s="2">
        <f>IFERROR(__xludf.DUMMYFUNCTION("""COMPUTED_VALUE"""),0.19000000000000128)</f>
        <v>0.19</v>
      </c>
      <c r="K1140" s="5">
        <f>IFERROR(__xludf.DUMMYFUNCTION("""COMPUTED_VALUE"""),0.006178861788617928)</f>
        <v>0.006178861789</v>
      </c>
      <c r="L1140">
        <f>IFERROR(__xludf.DUMMYFUNCTION("""COMPUTED_VALUE"""),34769.0)</f>
        <v>34769</v>
      </c>
      <c r="M1140" t="str">
        <f>IFERROR(__xludf.DUMMYFUNCTION("""COMPUTED_VALUE"""),"Beauty")</f>
        <v>Beauty</v>
      </c>
      <c r="O1140" t="str">
        <f>IFERROR(__xludf.DUMMYFUNCTION("""COMPUTED_VALUE"""),"Y")</f>
        <v>Y</v>
      </c>
      <c r="P1140" s="1" t="str">
        <f>IFERROR(__xludf.DUMMYFUNCTION("""COMPUTED_VALUE"""),"ID 17515")</f>
        <v>ID 17515</v>
      </c>
    </row>
    <row r="1141">
      <c r="A1141" s="6">
        <f>IFERROR(__xludf.DUMMYFUNCTION("""COMPUTED_VALUE"""),44295.0)</f>
        <v>44295</v>
      </c>
      <c r="B1141">
        <f>IFERROR(__xludf.DUMMYFUNCTION("""COMPUTED_VALUE"""),12899.0)</f>
        <v>12899</v>
      </c>
      <c r="C1141" t="str">
        <f>IFERROR(__xludf.DUMMYFUNCTION("""COMPUTED_VALUE"""),"BIC Wite Out Extra Coverage Correction Fluid.7oz, White")</f>
        <v>BIC Wite Out Extra Coverage Correction Fluid.7oz, White</v>
      </c>
      <c r="D1141" t="str">
        <f>IFERROR(__xludf.DUMMYFUNCTION("""COMPUTED_VALUE"""),"B000NWIDFE")</f>
        <v>B000NWIDFE</v>
      </c>
      <c r="E1141" t="str">
        <f>IFERROR(__xludf.DUMMYFUNCTION("""COMPUTED_VALUE"""),"70330506206")</f>
        <v>70330506206</v>
      </c>
      <c r="F1141">
        <f>IFERROR(__xludf.DUMMYFUNCTION("""COMPUTED_VALUE"""),840.0)</f>
        <v>840</v>
      </c>
      <c r="G1141">
        <f>IFERROR(__xludf.DUMMYFUNCTION("""COMPUTED_VALUE"""),5000.0)</f>
        <v>5000</v>
      </c>
      <c r="H1141" s="2">
        <f>IFERROR(__xludf.DUMMYFUNCTION("""COMPUTED_VALUE"""),1.25)</f>
        <v>1.25</v>
      </c>
      <c r="I1141" s="2">
        <f>IFERROR(__xludf.DUMMYFUNCTION("""COMPUTED_VALUE"""),1.44)</f>
        <v>1.44</v>
      </c>
      <c r="J1141" s="2">
        <f>IFERROR(__xludf.DUMMYFUNCTION("""COMPUTED_VALUE"""),0.18999999999999995)</f>
        <v>0.19</v>
      </c>
      <c r="K1141" s="5">
        <f>IFERROR(__xludf.DUMMYFUNCTION("""COMPUTED_VALUE"""),0.15199999999999997)</f>
        <v>0.152</v>
      </c>
      <c r="L1141">
        <f>IFERROR(__xludf.DUMMYFUNCTION("""COMPUTED_VALUE"""),68714.0)</f>
        <v>68714</v>
      </c>
      <c r="M1141" t="str">
        <f>IFERROR(__xludf.DUMMYFUNCTION("""COMPUTED_VALUE"""),"Home")</f>
        <v>Home</v>
      </c>
      <c r="O1141" t="str">
        <f>IFERROR(__xludf.DUMMYFUNCTION("""COMPUTED_VALUE"""),"N")</f>
        <v>N</v>
      </c>
      <c r="P1141" s="1" t="str">
        <f>IFERROR(__xludf.DUMMYFUNCTION("""COMPUTED_VALUE"""),"ID 12899")</f>
        <v>ID 12899</v>
      </c>
    </row>
    <row r="1142">
      <c r="A1142" s="6">
        <f>IFERROR(__xludf.DUMMYFUNCTION("""COMPUTED_VALUE"""),45390.0)</f>
        <v>45390</v>
      </c>
      <c r="B1142">
        <f>IFERROR(__xludf.DUMMYFUNCTION("""COMPUTED_VALUE"""),13768.0)</f>
        <v>13768</v>
      </c>
      <c r="C1142" t="str">
        <f>IFERROR(__xludf.DUMMYFUNCTION("""COMPUTED_VALUE"""),"Chef Craft 13067 Premium Silicone Spoon Spatula, 11.5"", Red")</f>
        <v>Chef Craft 13067 Premium Silicone Spoon Spatula, 11.5", Red</v>
      </c>
      <c r="D1142" t="str">
        <f>IFERROR(__xludf.DUMMYFUNCTION("""COMPUTED_VALUE"""),"B01BKAUKCG")</f>
        <v>B01BKAUKCG</v>
      </c>
      <c r="E1142" t="str">
        <f>IFERROR(__xludf.DUMMYFUNCTION("""COMPUTED_VALUE"""),"085455130670")</f>
        <v>085455130670</v>
      </c>
      <c r="F1142">
        <f>IFERROR(__xludf.DUMMYFUNCTION("""COMPUTED_VALUE"""),360.0)</f>
        <v>360</v>
      </c>
      <c r="G1142">
        <f>IFERROR(__xludf.DUMMYFUNCTION("""COMPUTED_VALUE"""),10000.0)</f>
        <v>10000</v>
      </c>
      <c r="H1142" s="2">
        <f>IFERROR(__xludf.DUMMYFUNCTION("""COMPUTED_VALUE"""),2.75)</f>
        <v>2.75</v>
      </c>
      <c r="I1142" s="2">
        <f>IFERROR(__xludf.DUMMYFUNCTION("""COMPUTED_VALUE"""),2.94)</f>
        <v>2.94</v>
      </c>
      <c r="J1142" s="2">
        <f>IFERROR(__xludf.DUMMYFUNCTION("""COMPUTED_VALUE"""),0.18999999999999995)</f>
        <v>0.19</v>
      </c>
      <c r="K1142" s="5">
        <f>IFERROR(__xludf.DUMMYFUNCTION("""COMPUTED_VALUE"""),0.06909090909090908)</f>
        <v>0.06909090909</v>
      </c>
      <c r="L1142">
        <f>IFERROR(__xludf.DUMMYFUNCTION("""COMPUTED_VALUE"""),55865.0)</f>
        <v>55865</v>
      </c>
      <c r="M1142" t="str">
        <f>IFERROR(__xludf.DUMMYFUNCTION("""COMPUTED_VALUE"""),"Kitchen")</f>
        <v>Kitchen</v>
      </c>
      <c r="O1142" t="str">
        <f>IFERROR(__xludf.DUMMYFUNCTION("""COMPUTED_VALUE"""),"Y")</f>
        <v>Y</v>
      </c>
      <c r="P1142" s="1" t="str">
        <f>IFERROR(__xludf.DUMMYFUNCTION("""COMPUTED_VALUE"""),"ID 13768")</f>
        <v>ID 13768</v>
      </c>
    </row>
    <row r="1143">
      <c r="A1143" s="6">
        <f>IFERROR(__xludf.DUMMYFUNCTION("""COMPUTED_VALUE"""),45113.0)</f>
        <v>45113</v>
      </c>
      <c r="B1143">
        <f>IFERROR(__xludf.DUMMYFUNCTION("""COMPUTED_VALUE"""),15124.0)</f>
        <v>15124</v>
      </c>
      <c r="C1143" t="str">
        <f>IFERROR(__xludf.DUMMYFUNCTION("""COMPUTED_VALUE"""),"ELMERS 3-1/4 Oz Walnut Probond Wood Filler (E812Q)")</f>
        <v>ELMERS 3-1/4 Oz Walnut Probond Wood Filler (E812Q)</v>
      </c>
      <c r="D1143" t="str">
        <f>IFERROR(__xludf.DUMMYFUNCTION("""COMPUTED_VALUE"""),"B0086D4TLE")</f>
        <v>B0086D4TLE</v>
      </c>
      <c r="E1143" t="str">
        <f>IFERROR(__xludf.DUMMYFUNCTION("""COMPUTED_VALUE"""),"26000008129")</f>
        <v>26000008129</v>
      </c>
      <c r="F1143">
        <f>IFERROR(__xludf.DUMMYFUNCTION("""COMPUTED_VALUE"""),1140.0)</f>
        <v>1140</v>
      </c>
      <c r="G1143">
        <f>IFERROR(__xludf.DUMMYFUNCTION("""COMPUTED_VALUE"""),10000.0)</f>
        <v>10000</v>
      </c>
      <c r="H1143" s="2">
        <f>IFERROR(__xludf.DUMMYFUNCTION("""COMPUTED_VALUE"""),2.75)</f>
        <v>2.75</v>
      </c>
      <c r="I1143" s="2">
        <f>IFERROR(__xludf.DUMMYFUNCTION("""COMPUTED_VALUE"""),2.94)</f>
        <v>2.94</v>
      </c>
      <c r="J1143" s="2">
        <f>IFERROR(__xludf.DUMMYFUNCTION("""COMPUTED_VALUE"""),0.18999999999999995)</f>
        <v>0.19</v>
      </c>
      <c r="K1143" s="5">
        <f>IFERROR(__xludf.DUMMYFUNCTION("""COMPUTED_VALUE"""),0.06909090909090908)</f>
        <v>0.06909090909</v>
      </c>
      <c r="L1143">
        <f>IFERROR(__xludf.DUMMYFUNCTION("""COMPUTED_VALUE"""),50486.0)</f>
        <v>50486</v>
      </c>
      <c r="M1143" t="str">
        <f>IFERROR(__xludf.DUMMYFUNCTION("""COMPUTED_VALUE"""),"Office Product")</f>
        <v>Office Product</v>
      </c>
      <c r="O1143" t="str">
        <f>IFERROR(__xludf.DUMMYFUNCTION("""COMPUTED_VALUE"""),"N")</f>
        <v>N</v>
      </c>
      <c r="P1143" s="1" t="str">
        <f>IFERROR(__xludf.DUMMYFUNCTION("""COMPUTED_VALUE"""),"ID 15124")</f>
        <v>ID 15124</v>
      </c>
    </row>
    <row r="1144">
      <c r="A1144" s="6">
        <f>IFERROR(__xludf.DUMMYFUNCTION("""COMPUTED_VALUE"""),44075.0)</f>
        <v>44075</v>
      </c>
      <c r="B1144">
        <f>IFERROR(__xludf.DUMMYFUNCTION("""COMPUTED_VALUE"""),16286.0)</f>
        <v>16286</v>
      </c>
      <c r="C1144" t="str">
        <f>IFERROR(__xludf.DUMMYFUNCTION("""COMPUTED_VALUE"""),"Revlon Super Lustrous Lipstick, High Impact Lipcolor with Moisturizing Creamy Formula, Infused with Vitamin E and Avocado Oil in Plum / Berry, Bombshell Red (046)")</f>
        <v>Revlon Super Lustrous Lipstick, High Impact Lipcolor with Moisturizing Creamy Formula, Infused with Vitamin E and Avocado Oil in Plum / Berry, Bombshell Red (046)</v>
      </c>
      <c r="D1144" t="str">
        <f>IFERROR(__xludf.DUMMYFUNCTION("""COMPUTED_VALUE"""),"B075G1DC9W")</f>
        <v>B075G1DC9W</v>
      </c>
      <c r="E1144" t="str">
        <f>IFERROR(__xludf.DUMMYFUNCTION("""COMPUTED_VALUE"""),"309974877060")</f>
        <v>309974877060</v>
      </c>
      <c r="F1144">
        <f>IFERROR(__xludf.DUMMYFUNCTION("""COMPUTED_VALUE"""),360.0)</f>
        <v>360</v>
      </c>
      <c r="G1144">
        <f>IFERROR(__xludf.DUMMYFUNCTION("""COMPUTED_VALUE"""),576.0)</f>
        <v>576</v>
      </c>
      <c r="H1144" s="2">
        <f>IFERROR(__xludf.DUMMYFUNCTION("""COMPUTED_VALUE"""),4.25)</f>
        <v>4.25</v>
      </c>
      <c r="I1144" s="2">
        <f>IFERROR(__xludf.DUMMYFUNCTION("""COMPUTED_VALUE"""),4.44)</f>
        <v>4.44</v>
      </c>
      <c r="J1144" s="2">
        <f>IFERROR(__xludf.DUMMYFUNCTION("""COMPUTED_VALUE"""),0.1900000000000004)</f>
        <v>0.19</v>
      </c>
      <c r="K1144" s="5">
        <f>IFERROR(__xludf.DUMMYFUNCTION("""COMPUTED_VALUE"""),0.04470588235294127)</f>
        <v>0.04470588235</v>
      </c>
      <c r="L1144">
        <f>IFERROR(__xludf.DUMMYFUNCTION("""COMPUTED_VALUE"""),263.0)</f>
        <v>263</v>
      </c>
      <c r="M1144" t="str">
        <f>IFERROR(__xludf.DUMMYFUNCTION("""COMPUTED_VALUE"""),"Beauty")</f>
        <v>Beauty</v>
      </c>
      <c r="O1144" t="str">
        <f>IFERROR(__xludf.DUMMYFUNCTION("""COMPUTED_VALUE"""),"N")</f>
        <v>N</v>
      </c>
      <c r="P1144" s="1" t="str">
        <f>IFERROR(__xludf.DUMMYFUNCTION("""COMPUTED_VALUE"""),"ID 16286")</f>
        <v>ID 16286</v>
      </c>
    </row>
    <row r="1145">
      <c r="A1145" s="6">
        <f>IFERROR(__xludf.DUMMYFUNCTION("""COMPUTED_VALUE"""),45229.0)</f>
        <v>45229</v>
      </c>
      <c r="B1145">
        <f>IFERROR(__xludf.DUMMYFUNCTION("""COMPUTED_VALUE"""),18342.0)</f>
        <v>18342</v>
      </c>
      <c r="C1145" t="str">
        <f>IFERROR(__xludf.DUMMYFUNCTION("""COMPUTED_VALUE"""),"Xyron Sticker Maker, 3"", Includes Permanent Adhesive 3"" x 20', Disposable (100111)")</f>
        <v>Xyron Sticker Maker, 3", Includes Permanent Adhesive 3" x 20', Disposable (100111)</v>
      </c>
      <c r="D1145" t="str">
        <f>IFERROR(__xludf.DUMMYFUNCTION("""COMPUTED_VALUE"""),"B00DZQUV6O")</f>
        <v>B00DZQUV6O</v>
      </c>
      <c r="E1145" t="str">
        <f>IFERROR(__xludf.DUMMYFUNCTION("""COMPUTED_VALUE"""),"608931026856")</f>
        <v>608931026856</v>
      </c>
      <c r="F1145">
        <f>IFERROR(__xludf.DUMMYFUNCTION("""COMPUTED_VALUE"""),336.0)</f>
        <v>336</v>
      </c>
      <c r="G1145">
        <f>IFERROR(__xludf.DUMMYFUNCTION("""COMPUTED_VALUE"""),10000.0)</f>
        <v>10000</v>
      </c>
      <c r="H1145" s="2">
        <f>IFERROR(__xludf.DUMMYFUNCTION("""COMPUTED_VALUE"""),7.25)</f>
        <v>7.25</v>
      </c>
      <c r="I1145" s="2">
        <f>IFERROR(__xludf.DUMMYFUNCTION("""COMPUTED_VALUE"""),7.44)</f>
        <v>7.44</v>
      </c>
      <c r="J1145" s="2">
        <f>IFERROR(__xludf.DUMMYFUNCTION("""COMPUTED_VALUE"""),0.1900000000000004)</f>
        <v>0.19</v>
      </c>
      <c r="K1145" s="5">
        <f>IFERROR(__xludf.DUMMYFUNCTION("""COMPUTED_VALUE"""),0.02620689655172419)</f>
        <v>0.02620689655</v>
      </c>
      <c r="L1145">
        <f>IFERROR(__xludf.DUMMYFUNCTION("""COMPUTED_VALUE"""),25754.0)</f>
        <v>25754</v>
      </c>
      <c r="M1145" t="str">
        <f>IFERROR(__xludf.DUMMYFUNCTION("""COMPUTED_VALUE"""),"Office Product")</f>
        <v>Office Product</v>
      </c>
      <c r="O1145" t="str">
        <f>IFERROR(__xludf.DUMMYFUNCTION("""COMPUTED_VALUE"""),"Y")</f>
        <v>Y</v>
      </c>
      <c r="P1145" s="1" t="str">
        <f>IFERROR(__xludf.DUMMYFUNCTION("""COMPUTED_VALUE"""),"ID 18342")</f>
        <v>ID 18342</v>
      </c>
    </row>
    <row r="1146">
      <c r="A1146" s="6">
        <f>IFERROR(__xludf.DUMMYFUNCTION("""COMPUTED_VALUE"""),45429.0)</f>
        <v>45429</v>
      </c>
      <c r="B1146">
        <f>IFERROR(__xludf.DUMMYFUNCTION("""COMPUTED_VALUE"""),21731.0)</f>
        <v>21731</v>
      </c>
      <c r="C1146" t="str">
        <f>IFERROR(__xludf.DUMMYFUNCTION("""COMPUTED_VALUE"""),"ColorStay 2-in-1 Angled Kajal Eyeliner, Waterproof Eye Makeup with Smudge Brush for Smokey Eyes, Evergreen (103), 0.01 oz")</f>
        <v>ColorStay 2-in-1 Angled Kajal Eyeliner, Waterproof Eye Makeup with Smudge Brush for Smokey Eyes, Evergreen (103), 0.01 oz</v>
      </c>
      <c r="D1146" t="str">
        <f>IFERROR(__xludf.DUMMYFUNCTION("""COMPUTED_VALUE"""),"B01KI40D5E")</f>
        <v>B01KI40D5E</v>
      </c>
      <c r="E1146" t="str">
        <f>IFERROR(__xludf.DUMMYFUNCTION("""COMPUTED_VALUE"""),"309978288039")</f>
        <v>309978288039</v>
      </c>
      <c r="F1146">
        <f>IFERROR(__xludf.DUMMYFUNCTION("""COMPUTED_VALUE"""),500.0)</f>
        <v>500</v>
      </c>
      <c r="G1146">
        <f>IFERROR(__xludf.DUMMYFUNCTION("""COMPUTED_VALUE"""),5053.0)</f>
        <v>5053</v>
      </c>
      <c r="H1146" s="2">
        <f>IFERROR(__xludf.DUMMYFUNCTION("""COMPUTED_VALUE"""),2.5)</f>
        <v>2.5</v>
      </c>
      <c r="I1146" s="2">
        <f>IFERROR(__xludf.DUMMYFUNCTION("""COMPUTED_VALUE"""),2.69)</f>
        <v>2.69</v>
      </c>
      <c r="J1146" s="2">
        <f>IFERROR(__xludf.DUMMYFUNCTION("""COMPUTED_VALUE"""),0.18999999999999995)</f>
        <v>0.19</v>
      </c>
      <c r="K1146" s="5">
        <f>IFERROR(__xludf.DUMMYFUNCTION("""COMPUTED_VALUE"""),0.07599999999999998)</f>
        <v>0.076</v>
      </c>
      <c r="L1146">
        <f>IFERROR(__xludf.DUMMYFUNCTION("""COMPUTED_VALUE"""),13011.0)</f>
        <v>13011</v>
      </c>
      <c r="M1146" t="str">
        <f>IFERROR(__xludf.DUMMYFUNCTION("""COMPUTED_VALUE"""),"Beauty")</f>
        <v>Beauty</v>
      </c>
      <c r="O1146" t="str">
        <f>IFERROR(__xludf.DUMMYFUNCTION("""COMPUTED_VALUE"""),"Y")</f>
        <v>Y</v>
      </c>
      <c r="P1146" s="1" t="str">
        <f>IFERROR(__xludf.DUMMYFUNCTION("""COMPUTED_VALUE"""),"ID 21731")</f>
        <v>ID 21731</v>
      </c>
    </row>
    <row r="1147">
      <c r="A1147" s="6">
        <f>IFERROR(__xludf.DUMMYFUNCTION("""COMPUTED_VALUE"""),45034.0)</f>
        <v>45034</v>
      </c>
      <c r="B1147">
        <f>IFERROR(__xludf.DUMMYFUNCTION("""COMPUTED_VALUE"""),22837.0)</f>
        <v>22837</v>
      </c>
      <c r="C1147" t="str">
        <f>IFERROR(__xludf.DUMMYFUNCTION("""COMPUTED_VALUE"""),"High-Capacity Staples, 3/8"" Leg Length, 2500 Per Box")</f>
        <v>High-Capacity Staples, 3/8" Leg Length, 2500 Per Box</v>
      </c>
      <c r="D1147" t="str">
        <f>IFERROR(__xludf.DUMMYFUNCTION("""COMPUTED_VALUE"""),"B00NQ7I6XM")</f>
        <v>B00NQ7I6XM</v>
      </c>
      <c r="E1147" t="str">
        <f>IFERROR(__xludf.DUMMYFUNCTION("""COMPUTED_VALUE"""),"074711355506")</f>
        <v>074711355506</v>
      </c>
      <c r="F1147">
        <f>IFERROR(__xludf.DUMMYFUNCTION("""COMPUTED_VALUE"""),500.0)</f>
        <v>500</v>
      </c>
      <c r="G1147">
        <f>IFERROR(__xludf.DUMMYFUNCTION("""COMPUTED_VALUE"""),10000.0)</f>
        <v>10000</v>
      </c>
      <c r="H1147" s="2">
        <f>IFERROR(__xludf.DUMMYFUNCTION("""COMPUTED_VALUE"""),5.0)</f>
        <v>5</v>
      </c>
      <c r="I1147" s="2">
        <f>IFERROR(__xludf.DUMMYFUNCTION("""COMPUTED_VALUE"""),5.19)</f>
        <v>5.19</v>
      </c>
      <c r="J1147" s="2">
        <f>IFERROR(__xludf.DUMMYFUNCTION("""COMPUTED_VALUE"""),0.1900000000000004)</f>
        <v>0.19</v>
      </c>
      <c r="K1147" s="5">
        <f>IFERROR(__xludf.DUMMYFUNCTION("""COMPUTED_VALUE"""),0.038000000000000075)</f>
        <v>0.038</v>
      </c>
      <c r="L1147">
        <f>IFERROR(__xludf.DUMMYFUNCTION("""COMPUTED_VALUE"""),60832.0)</f>
        <v>60832</v>
      </c>
      <c r="M1147" t="str">
        <f>IFERROR(__xludf.DUMMYFUNCTION("""COMPUTED_VALUE"""),"Kitchen")</f>
        <v>Kitchen</v>
      </c>
      <c r="O1147" t="str">
        <f>IFERROR(__xludf.DUMMYFUNCTION("""COMPUTED_VALUE"""),"N")</f>
        <v>N</v>
      </c>
      <c r="P1147" s="1" t="str">
        <f>IFERROR(__xludf.DUMMYFUNCTION("""COMPUTED_VALUE"""),"ID 22837")</f>
        <v>ID 22837</v>
      </c>
    </row>
    <row r="1148">
      <c r="A1148" s="6">
        <f>IFERROR(__xludf.DUMMYFUNCTION("""COMPUTED_VALUE"""),45390.0)</f>
        <v>45390</v>
      </c>
      <c r="B1148">
        <f>IFERROR(__xludf.DUMMYFUNCTION("""COMPUTED_VALUE"""),13762.0)</f>
        <v>13762</v>
      </c>
      <c r="C1148" t="str">
        <f>IFERROR(__xludf.DUMMYFUNCTION("""COMPUTED_VALUE"""),"Chef Craft 21451 Serving Tong, Stainless Steel 2 in W x 9 in L Silver")</f>
        <v>Chef Craft 21451 Serving Tong, Stainless Steel 2 in W x 9 in L Silver</v>
      </c>
      <c r="D1148" t="str">
        <f>IFERROR(__xludf.DUMMYFUNCTION("""COMPUTED_VALUE"""),"B001X6P3VQ")</f>
        <v>B001X6P3VQ</v>
      </c>
      <c r="E1148" t="str">
        <f>IFERROR(__xludf.DUMMYFUNCTION("""COMPUTED_VALUE"""),"085455214516")</f>
        <v>085455214516</v>
      </c>
      <c r="F1148">
        <f>IFERROR(__xludf.DUMMYFUNCTION("""COMPUTED_VALUE"""),720.0)</f>
        <v>720</v>
      </c>
      <c r="G1148">
        <f>IFERROR(__xludf.DUMMYFUNCTION("""COMPUTED_VALUE"""),10000.0)</f>
        <v>10000</v>
      </c>
      <c r="H1148" s="2">
        <f>IFERROR(__xludf.DUMMYFUNCTION("""COMPUTED_VALUE"""),1.0)</f>
        <v>1</v>
      </c>
      <c r="I1148" s="2">
        <f>IFERROR(__xludf.DUMMYFUNCTION("""COMPUTED_VALUE"""),1.18)</f>
        <v>1.18</v>
      </c>
      <c r="J1148" s="2">
        <f>IFERROR(__xludf.DUMMYFUNCTION("""COMPUTED_VALUE"""),0.17999999999999994)</f>
        <v>0.18</v>
      </c>
      <c r="K1148" s="5">
        <f>IFERROR(__xludf.DUMMYFUNCTION("""COMPUTED_VALUE"""),0.17999999999999994)</f>
        <v>0.18</v>
      </c>
      <c r="L1148">
        <f>IFERROR(__xludf.DUMMYFUNCTION("""COMPUTED_VALUE"""),47706.0)</f>
        <v>47706</v>
      </c>
      <c r="M1148" t="str">
        <f>IFERROR(__xludf.DUMMYFUNCTION("""COMPUTED_VALUE"""),"Kitchen")</f>
        <v>Kitchen</v>
      </c>
      <c r="O1148" t="str">
        <f>IFERROR(__xludf.DUMMYFUNCTION("""COMPUTED_VALUE"""),"Y")</f>
        <v>Y</v>
      </c>
      <c r="P1148" s="1" t="str">
        <f>IFERROR(__xludf.DUMMYFUNCTION("""COMPUTED_VALUE"""),"ID 13762")</f>
        <v>ID 13762</v>
      </c>
    </row>
    <row r="1149">
      <c r="A1149" s="6">
        <f>IFERROR(__xludf.DUMMYFUNCTION("""COMPUTED_VALUE"""),45390.0)</f>
        <v>45390</v>
      </c>
      <c r="B1149">
        <f>IFERROR(__xludf.DUMMYFUNCTION("""COMPUTED_VALUE"""),18393.0)</f>
        <v>18393</v>
      </c>
      <c r="C1149" t="str">
        <f>IFERROR(__xludf.DUMMYFUNCTION("""COMPUTED_VALUE"""),"Chef Craft Select Vegetable Knife, 9.5"", Black")</f>
        <v>Chef Craft Select Vegetable Knife, 9.5", Black</v>
      </c>
      <c r="D1149" t="str">
        <f>IFERROR(__xludf.DUMMYFUNCTION("""COMPUTED_VALUE"""),"B00I88EIZE")</f>
        <v>B00I88EIZE</v>
      </c>
      <c r="E1149" t="str">
        <f>IFERROR(__xludf.DUMMYFUNCTION("""COMPUTED_VALUE"""),"085455208850")</f>
        <v>085455208850</v>
      </c>
      <c r="F1149">
        <f>IFERROR(__xludf.DUMMYFUNCTION("""COMPUTED_VALUE"""),864.0)</f>
        <v>864</v>
      </c>
      <c r="G1149">
        <f>IFERROR(__xludf.DUMMYFUNCTION("""COMPUTED_VALUE"""),10000.0)</f>
        <v>10000</v>
      </c>
      <c r="H1149" s="2">
        <f>IFERROR(__xludf.DUMMYFUNCTION("""COMPUTED_VALUE"""),1.25)</f>
        <v>1.25</v>
      </c>
      <c r="I1149" s="2">
        <f>IFERROR(__xludf.DUMMYFUNCTION("""COMPUTED_VALUE"""),1.43)</f>
        <v>1.43</v>
      </c>
      <c r="J1149" s="2">
        <f>IFERROR(__xludf.DUMMYFUNCTION("""COMPUTED_VALUE"""),0.17999999999999994)</f>
        <v>0.18</v>
      </c>
      <c r="K1149" s="5">
        <f>IFERROR(__xludf.DUMMYFUNCTION("""COMPUTED_VALUE"""),0.14399999999999996)</f>
        <v>0.144</v>
      </c>
      <c r="L1149">
        <f>IFERROR(__xludf.DUMMYFUNCTION("""COMPUTED_VALUE"""),16792.0)</f>
        <v>16792</v>
      </c>
      <c r="M1149" t="str">
        <f>IFERROR(__xludf.DUMMYFUNCTION("""COMPUTED_VALUE"""),"Kitchen")</f>
        <v>Kitchen</v>
      </c>
      <c r="O1149" t="str">
        <f>IFERROR(__xludf.DUMMYFUNCTION("""COMPUTED_VALUE"""),"Y")</f>
        <v>Y</v>
      </c>
      <c r="P1149" s="1" t="str">
        <f>IFERROR(__xludf.DUMMYFUNCTION("""COMPUTED_VALUE"""),"ID 18393")</f>
        <v>ID 18393</v>
      </c>
    </row>
    <row r="1150">
      <c r="A1150" s="6">
        <f>IFERROR(__xludf.DUMMYFUNCTION("""COMPUTED_VALUE"""),44427.0)</f>
        <v>44427</v>
      </c>
      <c r="B1150">
        <f>IFERROR(__xludf.DUMMYFUNCTION("""COMPUTED_VALUE"""),10517.0)</f>
        <v>10517</v>
      </c>
      <c r="C1150" t="str">
        <f>IFERROR(__xludf.DUMMYFUNCTION("""COMPUTED_VALUE"""),"Sesame Street 400+ Fun &amp; Reward Sticker Book, Motivational and Encouraging Stickers, 6 Sheets")</f>
        <v>Sesame Street 400+ Fun &amp; Reward Sticker Book, Motivational and Encouraging Stickers, 6 Sheets</v>
      </c>
      <c r="D1150" t="str">
        <f>IFERROR(__xludf.DUMMYFUNCTION("""COMPUTED_VALUE"""),"B07NJ8HZPJ")</f>
        <v>B07NJ8HZPJ</v>
      </c>
      <c r="E1150" t="str">
        <f>IFERROR(__xludf.DUMMYFUNCTION("""COMPUTED_VALUE"""),"788958023523")</f>
        <v>788958023523</v>
      </c>
      <c r="F1150">
        <f>IFERROR(__xludf.DUMMYFUNCTION("""COMPUTED_VALUE"""),1536.0)</f>
        <v>1536</v>
      </c>
      <c r="G1150">
        <f>IFERROR(__xludf.DUMMYFUNCTION("""COMPUTED_VALUE"""),5000.0)</f>
        <v>5000</v>
      </c>
      <c r="H1150" s="2">
        <f>IFERROR(__xludf.DUMMYFUNCTION("""COMPUTED_VALUE"""),1.0)</f>
        <v>1</v>
      </c>
      <c r="I1150" s="2">
        <f>IFERROR(__xludf.DUMMYFUNCTION("""COMPUTED_VALUE"""),1.18)</f>
        <v>1.18</v>
      </c>
      <c r="J1150" s="2">
        <f>IFERROR(__xludf.DUMMYFUNCTION("""COMPUTED_VALUE"""),0.17999999999999994)</f>
        <v>0.18</v>
      </c>
      <c r="K1150" s="5">
        <f>IFERROR(__xludf.DUMMYFUNCTION("""COMPUTED_VALUE"""),0.17999999999999994)</f>
        <v>0.18</v>
      </c>
      <c r="L1150">
        <f>IFERROR(__xludf.DUMMYFUNCTION("""COMPUTED_VALUE"""),16886.0)</f>
        <v>16886</v>
      </c>
      <c r="M1150" t="str">
        <f>IFERROR(__xludf.DUMMYFUNCTION("""COMPUTED_VALUE"""),"Kitchen")</f>
        <v>Kitchen</v>
      </c>
      <c r="O1150" t="str">
        <f>IFERROR(__xludf.DUMMYFUNCTION("""COMPUTED_VALUE"""),"N")</f>
        <v>N</v>
      </c>
      <c r="P1150" s="1" t="str">
        <f>IFERROR(__xludf.DUMMYFUNCTION("""COMPUTED_VALUE"""),"ID 10517")</f>
        <v>ID 10517</v>
      </c>
    </row>
    <row r="1151">
      <c r="A1151" s="6">
        <f>IFERROR(__xludf.DUMMYFUNCTION("""COMPUTED_VALUE"""),44694.0)</f>
        <v>44694</v>
      </c>
      <c r="B1151">
        <f>IFERROR(__xludf.DUMMYFUNCTION("""COMPUTED_VALUE"""),12349.0)</f>
        <v>12349</v>
      </c>
      <c r="C1151" t="str">
        <f>IFERROR(__xludf.DUMMYFUNCTION("""COMPUTED_VALUE"""),"3M Sandpaper, 03039, assorted grits, 3 2/3 in x 9 in, 5 sheets per pack")</f>
        <v>3M Sandpaper, 03039, assorted grits, 3 2/3 in x 9 in, 5 sheets per pack</v>
      </c>
      <c r="D1151" t="str">
        <f>IFERROR(__xludf.DUMMYFUNCTION("""COMPUTED_VALUE"""),"B002NF145U")</f>
        <v>B002NF145U</v>
      </c>
      <c r="E1151" t="str">
        <f>IFERROR(__xludf.DUMMYFUNCTION("""COMPUTED_VALUE"""),"051131030398")</f>
        <v>051131030398</v>
      </c>
      <c r="F1151">
        <f>IFERROR(__xludf.DUMMYFUNCTION("""COMPUTED_VALUE"""),1990.0)</f>
        <v>1990</v>
      </c>
      <c r="G1151">
        <f>IFERROR(__xludf.DUMMYFUNCTION("""COMPUTED_VALUE"""),2000.0)</f>
        <v>2000</v>
      </c>
      <c r="H1151" s="2">
        <f>IFERROR(__xludf.DUMMYFUNCTION("""COMPUTED_VALUE"""),1.5)</f>
        <v>1.5</v>
      </c>
      <c r="I1151" s="2">
        <f>IFERROR(__xludf.DUMMYFUNCTION("""COMPUTED_VALUE"""),1.68)</f>
        <v>1.68</v>
      </c>
      <c r="J1151" s="2">
        <f>IFERROR(__xludf.DUMMYFUNCTION("""COMPUTED_VALUE"""),0.17999999999999994)</f>
        <v>0.18</v>
      </c>
      <c r="K1151" s="5">
        <f>IFERROR(__xludf.DUMMYFUNCTION("""COMPUTED_VALUE"""),0.11999999999999995)</f>
        <v>0.12</v>
      </c>
      <c r="L1151">
        <f>IFERROR(__xludf.DUMMYFUNCTION("""COMPUTED_VALUE"""),22793.0)</f>
        <v>22793</v>
      </c>
      <c r="M1151" t="str">
        <f>IFERROR(__xludf.DUMMYFUNCTION("""COMPUTED_VALUE"""),"Lawn &amp; Patio")</f>
        <v>Lawn &amp; Patio</v>
      </c>
      <c r="O1151" t="str">
        <f>IFERROR(__xludf.DUMMYFUNCTION("""COMPUTED_VALUE"""),"N")</f>
        <v>N</v>
      </c>
      <c r="P1151" s="1" t="str">
        <f>IFERROR(__xludf.DUMMYFUNCTION("""COMPUTED_VALUE"""),"ID 12349")</f>
        <v>ID 12349</v>
      </c>
    </row>
    <row r="1152">
      <c r="A1152" s="6">
        <f>IFERROR(__xludf.DUMMYFUNCTION("""COMPUTED_VALUE"""),45376.0)</f>
        <v>45376</v>
      </c>
      <c r="B1152">
        <f>IFERROR(__xludf.DUMMYFUNCTION("""COMPUTED_VALUE"""),25106.0)</f>
        <v>25106</v>
      </c>
      <c r="C1152" t="str">
        <f>IFERROR(__xludf.DUMMYFUNCTION("""COMPUTED_VALUE"""),"Lia Griffith Double Sided Crepe Paper Folds Roll, 6.7-Square Feet, Green Tea and Cypress, Ferns and Moss")</f>
        <v>Lia Griffith Double Sided Crepe Paper Folds Roll, 6.7-Square Feet, Green Tea and Cypress, Ferns and Moss</v>
      </c>
      <c r="D1152" t="str">
        <f>IFERROR(__xludf.DUMMYFUNCTION("""COMPUTED_VALUE"""),"B01JYSL6J2")</f>
        <v>B01JYSL6J2</v>
      </c>
      <c r="E1152" t="str">
        <f>IFERROR(__xludf.DUMMYFUNCTION("""COMPUTED_VALUE"""),"190705000648")</f>
        <v>190705000648</v>
      </c>
      <c r="F1152">
        <f>IFERROR(__xludf.DUMMYFUNCTION("""COMPUTED_VALUE"""),756.0)</f>
        <v>756</v>
      </c>
      <c r="G1152">
        <f>IFERROR(__xludf.DUMMYFUNCTION("""COMPUTED_VALUE"""),10000.0)</f>
        <v>10000</v>
      </c>
      <c r="H1152" s="2">
        <f>IFERROR(__xludf.DUMMYFUNCTION("""COMPUTED_VALUE"""),4.75)</f>
        <v>4.75</v>
      </c>
      <c r="I1152" s="2">
        <f>IFERROR(__xludf.DUMMYFUNCTION("""COMPUTED_VALUE"""),4.93)</f>
        <v>4.93</v>
      </c>
      <c r="J1152" s="2">
        <f>IFERROR(__xludf.DUMMYFUNCTION("""COMPUTED_VALUE"""),0.17999999999999972)</f>
        <v>0.18</v>
      </c>
      <c r="K1152" s="5">
        <f>IFERROR(__xludf.DUMMYFUNCTION("""COMPUTED_VALUE"""),0.0378947368421052)</f>
        <v>0.03789473684</v>
      </c>
      <c r="L1152">
        <f>IFERROR(__xludf.DUMMYFUNCTION("""COMPUTED_VALUE"""),13455.0)</f>
        <v>13455</v>
      </c>
      <c r="M1152" t="str">
        <f>IFERROR(__xludf.DUMMYFUNCTION("""COMPUTED_VALUE"""),"Home")</f>
        <v>Home</v>
      </c>
      <c r="O1152" t="str">
        <f>IFERROR(__xludf.DUMMYFUNCTION("""COMPUTED_VALUE"""),"Y")</f>
        <v>Y</v>
      </c>
      <c r="P1152" s="1" t="str">
        <f>IFERROR(__xludf.DUMMYFUNCTION("""COMPUTED_VALUE"""),"ID 25106")</f>
        <v>ID 25106</v>
      </c>
    </row>
    <row r="1153">
      <c r="A1153" s="6">
        <f>IFERROR(__xludf.DUMMYFUNCTION("""COMPUTED_VALUE"""),45421.0)</f>
        <v>45421</v>
      </c>
      <c r="B1153">
        <f>IFERROR(__xludf.DUMMYFUNCTION("""COMPUTED_VALUE"""),25552.0)</f>
        <v>25552</v>
      </c>
      <c r="C1153" t="str">
        <f>IFERROR(__xludf.DUMMYFUNCTION("""COMPUTED_VALUE"""),"Grumbacher Academy Watercolor Paint, 7.5ml/0.25 Ounce, Cadmium Red Medium Hue (A029)")</f>
        <v>Grumbacher Academy Watercolor Paint, 7.5ml/0.25 Ounce, Cadmium Red Medium Hue (A029)</v>
      </c>
      <c r="D1153" t="str">
        <f>IFERROR(__xludf.DUMMYFUNCTION("""COMPUTED_VALUE"""),"B000G2DBVM")</f>
        <v>B000G2DBVM</v>
      </c>
      <c r="E1153" t="str">
        <f>IFERROR(__xludf.DUMMYFUNCTION("""COMPUTED_VALUE"""),"014173350565")</f>
        <v>014173350565</v>
      </c>
      <c r="F1153">
        <f>IFERROR(__xludf.DUMMYFUNCTION("""COMPUTED_VALUE"""),864.0)</f>
        <v>864</v>
      </c>
      <c r="G1153">
        <f>IFERROR(__xludf.DUMMYFUNCTION("""COMPUTED_VALUE"""),10000.0)</f>
        <v>10000</v>
      </c>
      <c r="H1153" s="2">
        <f>IFERROR(__xludf.DUMMYFUNCTION("""COMPUTED_VALUE"""),2.5)</f>
        <v>2.5</v>
      </c>
      <c r="I1153" s="2">
        <f>IFERROR(__xludf.DUMMYFUNCTION("""COMPUTED_VALUE"""),2.68)</f>
        <v>2.68</v>
      </c>
      <c r="J1153" s="2">
        <f>IFERROR(__xludf.DUMMYFUNCTION("""COMPUTED_VALUE"""),0.18000000000000016)</f>
        <v>0.18</v>
      </c>
      <c r="K1153" s="5">
        <f>IFERROR(__xludf.DUMMYFUNCTION("""COMPUTED_VALUE"""),0.07200000000000006)</f>
        <v>0.072</v>
      </c>
      <c r="L1153">
        <f>IFERROR(__xludf.DUMMYFUNCTION("""COMPUTED_VALUE"""),28995.0)</f>
        <v>28995</v>
      </c>
      <c r="M1153" t="str">
        <f>IFERROR(__xludf.DUMMYFUNCTION("""COMPUTED_VALUE"""),"Office Product")</f>
        <v>Office Product</v>
      </c>
      <c r="O1153" t="str">
        <f>IFERROR(__xludf.DUMMYFUNCTION("""COMPUTED_VALUE"""),"Y")</f>
        <v>Y</v>
      </c>
      <c r="P1153" s="1" t="str">
        <f>IFERROR(__xludf.DUMMYFUNCTION("""COMPUTED_VALUE"""),"ID 25552")</f>
        <v>ID 25552</v>
      </c>
    </row>
    <row r="1154">
      <c r="A1154" s="6">
        <f>IFERROR(__xludf.DUMMYFUNCTION("""COMPUTED_VALUE"""),45421.0)</f>
        <v>45421</v>
      </c>
      <c r="B1154">
        <f>IFERROR(__xludf.DUMMYFUNCTION("""COMPUTED_VALUE"""),25555.0)</f>
        <v>25555</v>
      </c>
      <c r="C1154" t="str">
        <f>IFERROR(__xludf.DUMMYFUNCTION("""COMPUTED_VALUE"""),"Grumbacher Academy Watercolor Paint, 7.5ml/0.25 Ounce, Rose Madder Hue (A182)")</f>
        <v>Grumbacher Academy Watercolor Paint, 7.5ml/0.25 Ounce, Rose Madder Hue (A182)</v>
      </c>
      <c r="D1154" t="str">
        <f>IFERROR(__xludf.DUMMYFUNCTION("""COMPUTED_VALUE"""),"B004O79UDI")</f>
        <v>B004O79UDI</v>
      </c>
      <c r="E1154" t="str">
        <f>IFERROR(__xludf.DUMMYFUNCTION("""COMPUTED_VALUE"""),"014173350947")</f>
        <v>014173350947</v>
      </c>
      <c r="F1154">
        <f>IFERROR(__xludf.DUMMYFUNCTION("""COMPUTED_VALUE"""),864.0)</f>
        <v>864</v>
      </c>
      <c r="G1154">
        <f>IFERROR(__xludf.DUMMYFUNCTION("""COMPUTED_VALUE"""),10000.0)</f>
        <v>10000</v>
      </c>
      <c r="H1154" s="2">
        <f>IFERROR(__xludf.DUMMYFUNCTION("""COMPUTED_VALUE"""),2.5)</f>
        <v>2.5</v>
      </c>
      <c r="I1154" s="2">
        <f>IFERROR(__xludf.DUMMYFUNCTION("""COMPUTED_VALUE"""),2.68)</f>
        <v>2.68</v>
      </c>
      <c r="J1154" s="2">
        <f>IFERROR(__xludf.DUMMYFUNCTION("""COMPUTED_VALUE"""),0.18000000000000016)</f>
        <v>0.18</v>
      </c>
      <c r="K1154" s="5">
        <f>IFERROR(__xludf.DUMMYFUNCTION("""COMPUTED_VALUE"""),0.07200000000000006)</f>
        <v>0.072</v>
      </c>
      <c r="L1154">
        <f>IFERROR(__xludf.DUMMYFUNCTION("""COMPUTED_VALUE"""),34949.0)</f>
        <v>34949</v>
      </c>
      <c r="M1154" t="str">
        <f>IFERROR(__xludf.DUMMYFUNCTION("""COMPUTED_VALUE"""),"Office Product")</f>
        <v>Office Product</v>
      </c>
      <c r="O1154" t="str">
        <f>IFERROR(__xludf.DUMMYFUNCTION("""COMPUTED_VALUE"""),"Y")</f>
        <v>Y</v>
      </c>
      <c r="P1154" s="1" t="str">
        <f>IFERROR(__xludf.DUMMYFUNCTION("""COMPUTED_VALUE"""),"ID 25555")</f>
        <v>ID 25555</v>
      </c>
    </row>
    <row r="1155">
      <c r="A1155" s="6">
        <f>IFERROR(__xludf.DUMMYFUNCTION("""COMPUTED_VALUE"""),45421.0)</f>
        <v>45421</v>
      </c>
      <c r="B1155">
        <f>IFERROR(__xludf.DUMMYFUNCTION("""COMPUTED_VALUE"""),25556.0)</f>
        <v>25556</v>
      </c>
      <c r="C1155" t="str">
        <f>IFERROR(__xludf.DUMMYFUNCTION("""COMPUTED_VALUE"""),"Grumbacher Academy Watercolor Paint, 7.5ml/0.25 Ounce, Thio Violet (A211)")</f>
        <v>Grumbacher Academy Watercolor Paint, 7.5ml/0.25 Ounce, Thio Violet (A211)</v>
      </c>
      <c r="D1155" t="str">
        <f>IFERROR(__xludf.DUMMYFUNCTION("""COMPUTED_VALUE"""),"B004O7FL5E")</f>
        <v>B004O7FL5E</v>
      </c>
      <c r="E1155" t="str">
        <f>IFERROR(__xludf.DUMMYFUNCTION("""COMPUTED_VALUE"""),"014173351043")</f>
        <v>014173351043</v>
      </c>
      <c r="F1155">
        <f>IFERROR(__xludf.DUMMYFUNCTION("""COMPUTED_VALUE"""),864.0)</f>
        <v>864</v>
      </c>
      <c r="G1155">
        <f>IFERROR(__xludf.DUMMYFUNCTION("""COMPUTED_VALUE"""),10000.0)</f>
        <v>10000</v>
      </c>
      <c r="H1155" s="2">
        <f>IFERROR(__xludf.DUMMYFUNCTION("""COMPUTED_VALUE"""),2.5)</f>
        <v>2.5</v>
      </c>
      <c r="I1155" s="2">
        <f>IFERROR(__xludf.DUMMYFUNCTION("""COMPUTED_VALUE"""),2.68)</f>
        <v>2.68</v>
      </c>
      <c r="J1155" s="2">
        <f>IFERROR(__xludf.DUMMYFUNCTION("""COMPUTED_VALUE"""),0.18000000000000016)</f>
        <v>0.18</v>
      </c>
      <c r="K1155" s="5">
        <f>IFERROR(__xludf.DUMMYFUNCTION("""COMPUTED_VALUE"""),0.07200000000000006)</f>
        <v>0.072</v>
      </c>
      <c r="L1155">
        <f>IFERROR(__xludf.DUMMYFUNCTION("""COMPUTED_VALUE"""),40326.0)</f>
        <v>40326</v>
      </c>
      <c r="M1155" t="str">
        <f>IFERROR(__xludf.DUMMYFUNCTION("""COMPUTED_VALUE"""),"Office Product")</f>
        <v>Office Product</v>
      </c>
      <c r="O1155" t="str">
        <f>IFERROR(__xludf.DUMMYFUNCTION("""COMPUTED_VALUE"""),"Y")</f>
        <v>Y</v>
      </c>
      <c r="P1155" s="1" t="str">
        <f>IFERROR(__xludf.DUMMYFUNCTION("""COMPUTED_VALUE"""),"ID 25556")</f>
        <v>ID 25556</v>
      </c>
    </row>
    <row r="1156">
      <c r="A1156" s="6">
        <f>IFERROR(__xludf.DUMMYFUNCTION("""COMPUTED_VALUE"""),45421.0)</f>
        <v>45421</v>
      </c>
      <c r="B1156">
        <f>IFERROR(__xludf.DUMMYFUNCTION("""COMPUTED_VALUE"""),25558.0)</f>
        <v>25558</v>
      </c>
      <c r="C1156" t="str">
        <f>IFERROR(__xludf.DUMMYFUNCTION("""COMPUTED_VALUE"""),"Grumbacher Academy Watercolor Paint, 7.5ml/0.25 Ounce, Lamp Black (A116)")</f>
        <v>Grumbacher Academy Watercolor Paint, 7.5ml/0.25 Ounce, Lamp Black (A116)</v>
      </c>
      <c r="D1156" t="str">
        <f>IFERROR(__xludf.DUMMYFUNCTION("""COMPUTED_VALUE"""),"B004O7FJ3S")</f>
        <v>B004O7FJ3S</v>
      </c>
      <c r="E1156" t="str">
        <f>IFERROR(__xludf.DUMMYFUNCTION("""COMPUTED_VALUE"""),"014173350817")</f>
        <v>014173350817</v>
      </c>
      <c r="F1156">
        <f>IFERROR(__xludf.DUMMYFUNCTION("""COMPUTED_VALUE"""),864.0)</f>
        <v>864</v>
      </c>
      <c r="G1156">
        <f>IFERROR(__xludf.DUMMYFUNCTION("""COMPUTED_VALUE"""),10000.0)</f>
        <v>10000</v>
      </c>
      <c r="H1156" s="2">
        <f>IFERROR(__xludf.DUMMYFUNCTION("""COMPUTED_VALUE"""),2.5)</f>
        <v>2.5</v>
      </c>
      <c r="I1156" s="2">
        <f>IFERROR(__xludf.DUMMYFUNCTION("""COMPUTED_VALUE"""),2.68)</f>
        <v>2.68</v>
      </c>
      <c r="J1156" s="2">
        <f>IFERROR(__xludf.DUMMYFUNCTION("""COMPUTED_VALUE"""),0.18000000000000016)</f>
        <v>0.18</v>
      </c>
      <c r="K1156" s="5">
        <f>IFERROR(__xludf.DUMMYFUNCTION("""COMPUTED_VALUE"""),0.07200000000000006)</f>
        <v>0.072</v>
      </c>
      <c r="L1156">
        <f>IFERROR(__xludf.DUMMYFUNCTION("""COMPUTED_VALUE"""),11841.0)</f>
        <v>11841</v>
      </c>
      <c r="M1156" t="str">
        <f>IFERROR(__xludf.DUMMYFUNCTION("""COMPUTED_VALUE"""),"Office Product")</f>
        <v>Office Product</v>
      </c>
      <c r="O1156" t="str">
        <f>IFERROR(__xludf.DUMMYFUNCTION("""COMPUTED_VALUE"""),"Y")</f>
        <v>Y</v>
      </c>
      <c r="P1156" s="1" t="str">
        <f>IFERROR(__xludf.DUMMYFUNCTION("""COMPUTED_VALUE"""),"ID 25558")</f>
        <v>ID 25558</v>
      </c>
    </row>
    <row r="1157">
      <c r="A1157" s="6">
        <f>IFERROR(__xludf.DUMMYFUNCTION("""COMPUTED_VALUE"""),45421.0)</f>
        <v>45421</v>
      </c>
      <c r="B1157">
        <f>IFERROR(__xludf.DUMMYFUNCTION("""COMPUTED_VALUE"""),25559.0)</f>
        <v>25559</v>
      </c>
      <c r="C1157" t="str">
        <f>IFERROR(__xludf.DUMMYFUNCTION("""COMPUTED_VALUE"""),"Grumbacher Academy Watercolor Paint, 7.5ml/0.25 Ounce, Indigo Hue (A112)")</f>
        <v>Grumbacher Academy Watercolor Paint, 7.5ml/0.25 Ounce, Indigo Hue (A112)</v>
      </c>
      <c r="D1157" t="str">
        <f>IFERROR(__xludf.DUMMYFUNCTION("""COMPUTED_VALUE"""),"B004O79SK8")</f>
        <v>B004O79SK8</v>
      </c>
      <c r="E1157" t="str">
        <f>IFERROR(__xludf.DUMMYFUNCTION("""COMPUTED_VALUE"""),"014173350787")</f>
        <v>014173350787</v>
      </c>
      <c r="F1157">
        <f>IFERROR(__xludf.DUMMYFUNCTION("""COMPUTED_VALUE"""),864.0)</f>
        <v>864</v>
      </c>
      <c r="G1157">
        <f>IFERROR(__xludf.DUMMYFUNCTION("""COMPUTED_VALUE"""),10000.0)</f>
        <v>10000</v>
      </c>
      <c r="H1157" s="2">
        <f>IFERROR(__xludf.DUMMYFUNCTION("""COMPUTED_VALUE"""),2.5)</f>
        <v>2.5</v>
      </c>
      <c r="I1157" s="2">
        <f>IFERROR(__xludf.DUMMYFUNCTION("""COMPUTED_VALUE"""),2.68)</f>
        <v>2.68</v>
      </c>
      <c r="J1157" s="2">
        <f>IFERROR(__xludf.DUMMYFUNCTION("""COMPUTED_VALUE"""),0.18000000000000016)</f>
        <v>0.18</v>
      </c>
      <c r="K1157" s="5">
        <f>IFERROR(__xludf.DUMMYFUNCTION("""COMPUTED_VALUE"""),0.07200000000000006)</f>
        <v>0.072</v>
      </c>
      <c r="L1157">
        <f>IFERROR(__xludf.DUMMYFUNCTION("""COMPUTED_VALUE"""),36919.0)</f>
        <v>36919</v>
      </c>
      <c r="M1157" t="str">
        <f>IFERROR(__xludf.DUMMYFUNCTION("""COMPUTED_VALUE"""),"Office Product")</f>
        <v>Office Product</v>
      </c>
      <c r="O1157" t="str">
        <f>IFERROR(__xludf.DUMMYFUNCTION("""COMPUTED_VALUE"""),"Y")</f>
        <v>Y</v>
      </c>
      <c r="P1157" s="1" t="str">
        <f>IFERROR(__xludf.DUMMYFUNCTION("""COMPUTED_VALUE"""),"ID 25559")</f>
        <v>ID 25559</v>
      </c>
    </row>
    <row r="1158">
      <c r="A1158" s="6">
        <f>IFERROR(__xludf.DUMMYFUNCTION("""COMPUTED_VALUE"""),45421.0)</f>
        <v>45421</v>
      </c>
      <c r="B1158">
        <f>IFERROR(__xludf.DUMMYFUNCTION("""COMPUTED_VALUE"""),25561.0)</f>
        <v>25561</v>
      </c>
      <c r="C1158" t="str">
        <f>IFERROR(__xludf.DUMMYFUNCTION("""COMPUTED_VALUE"""),"Grumbacher Academy Watercolor Paint, 7.5ml/0.25 Ounce, Ivory Black (A115)")</f>
        <v>Grumbacher Academy Watercolor Paint, 7.5ml/0.25 Ounce, Ivory Black (A115)</v>
      </c>
      <c r="D1158" t="str">
        <f>IFERROR(__xludf.DUMMYFUNCTION("""COMPUTED_VALUE"""),"B000G2DC48")</f>
        <v>B000G2DC48</v>
      </c>
      <c r="E1158" t="str">
        <f>IFERROR(__xludf.DUMMYFUNCTION("""COMPUTED_VALUE"""),"014173350794")</f>
        <v>014173350794</v>
      </c>
      <c r="F1158">
        <f>IFERROR(__xludf.DUMMYFUNCTION("""COMPUTED_VALUE"""),864.0)</f>
        <v>864</v>
      </c>
      <c r="G1158">
        <f>IFERROR(__xludf.DUMMYFUNCTION("""COMPUTED_VALUE"""),10000.0)</f>
        <v>10000</v>
      </c>
      <c r="H1158" s="2">
        <f>IFERROR(__xludf.DUMMYFUNCTION("""COMPUTED_VALUE"""),2.5)</f>
        <v>2.5</v>
      </c>
      <c r="I1158" s="2">
        <f>IFERROR(__xludf.DUMMYFUNCTION("""COMPUTED_VALUE"""),2.68)</f>
        <v>2.68</v>
      </c>
      <c r="J1158" s="2">
        <f>IFERROR(__xludf.DUMMYFUNCTION("""COMPUTED_VALUE"""),0.18000000000000016)</f>
        <v>0.18</v>
      </c>
      <c r="K1158" s="5">
        <f>IFERROR(__xludf.DUMMYFUNCTION("""COMPUTED_VALUE"""),0.07200000000000006)</f>
        <v>0.072</v>
      </c>
      <c r="L1158">
        <f>IFERROR(__xludf.DUMMYFUNCTION("""COMPUTED_VALUE"""),11841.0)</f>
        <v>11841</v>
      </c>
      <c r="M1158" t="str">
        <f>IFERROR(__xludf.DUMMYFUNCTION("""COMPUTED_VALUE"""),"Office Product")</f>
        <v>Office Product</v>
      </c>
      <c r="O1158" t="str">
        <f>IFERROR(__xludf.DUMMYFUNCTION("""COMPUTED_VALUE"""),"Y")</f>
        <v>Y</v>
      </c>
      <c r="P1158" s="1" t="str">
        <f>IFERROR(__xludf.DUMMYFUNCTION("""COMPUTED_VALUE"""),"ID 25561")</f>
        <v>ID 25561</v>
      </c>
    </row>
    <row r="1159">
      <c r="A1159" s="6">
        <f>IFERROR(__xludf.DUMMYFUNCTION("""COMPUTED_VALUE"""),45421.0)</f>
        <v>45421</v>
      </c>
      <c r="B1159">
        <f>IFERROR(__xludf.DUMMYFUNCTION("""COMPUTED_VALUE"""),25562.0)</f>
        <v>25562</v>
      </c>
      <c r="C1159" t="str">
        <f>IFERROR(__xludf.DUMMYFUNCTION("""COMPUTED_VALUE"""),"Grumbacher Academy Watercolor Paint, 7.5ml/0.25 Ounce, Payne's Gray (A156)")</f>
        <v>Grumbacher Academy Watercolor Paint, 7.5ml/0.25 Ounce, Payne's Gray (A156)</v>
      </c>
      <c r="D1159" t="str">
        <f>IFERROR(__xludf.DUMMYFUNCTION("""COMPUTED_VALUE"""),"B004O79TNE")</f>
        <v>B004O79TNE</v>
      </c>
      <c r="E1159" t="str">
        <f>IFERROR(__xludf.DUMMYFUNCTION("""COMPUTED_VALUE"""),"014173350886")</f>
        <v>014173350886</v>
      </c>
      <c r="F1159">
        <f>IFERROR(__xludf.DUMMYFUNCTION("""COMPUTED_VALUE"""),864.0)</f>
        <v>864</v>
      </c>
      <c r="G1159">
        <f>IFERROR(__xludf.DUMMYFUNCTION("""COMPUTED_VALUE"""),10000.0)</f>
        <v>10000</v>
      </c>
      <c r="H1159" s="2">
        <f>IFERROR(__xludf.DUMMYFUNCTION("""COMPUTED_VALUE"""),2.5)</f>
        <v>2.5</v>
      </c>
      <c r="I1159" s="2">
        <f>IFERROR(__xludf.DUMMYFUNCTION("""COMPUTED_VALUE"""),2.68)</f>
        <v>2.68</v>
      </c>
      <c r="J1159" s="2">
        <f>IFERROR(__xludf.DUMMYFUNCTION("""COMPUTED_VALUE"""),0.18000000000000016)</f>
        <v>0.18</v>
      </c>
      <c r="K1159" s="5">
        <f>IFERROR(__xludf.DUMMYFUNCTION("""COMPUTED_VALUE"""),0.07200000000000006)</f>
        <v>0.072</v>
      </c>
      <c r="L1159">
        <f>IFERROR(__xludf.DUMMYFUNCTION("""COMPUTED_VALUE"""),13504.0)</f>
        <v>13504</v>
      </c>
      <c r="M1159" t="str">
        <f>IFERROR(__xludf.DUMMYFUNCTION("""COMPUTED_VALUE"""),"Office Product")</f>
        <v>Office Product</v>
      </c>
      <c r="O1159" t="str">
        <f>IFERROR(__xludf.DUMMYFUNCTION("""COMPUTED_VALUE"""),"Y")</f>
        <v>Y</v>
      </c>
      <c r="P1159" s="1" t="str">
        <f>IFERROR(__xludf.DUMMYFUNCTION("""COMPUTED_VALUE"""),"ID 25562")</f>
        <v>ID 25562</v>
      </c>
    </row>
    <row r="1160">
      <c r="A1160" s="6">
        <f>IFERROR(__xludf.DUMMYFUNCTION("""COMPUTED_VALUE"""),45421.0)</f>
        <v>45421</v>
      </c>
      <c r="B1160">
        <f>IFERROR(__xludf.DUMMYFUNCTION("""COMPUTED_VALUE"""),25568.0)</f>
        <v>25568</v>
      </c>
      <c r="C1160" t="str">
        <f>IFERROR(__xludf.DUMMYFUNCTION("""COMPUTED_VALUE"""),"Grumbacher Academy Watercolor Paint, 7.5ml/0.25 Ounce, Green Earth Hue (A085)")</f>
        <v>Grumbacher Academy Watercolor Paint, 7.5ml/0.25 Ounce, Green Earth Hue (A085)</v>
      </c>
      <c r="D1160" t="str">
        <f>IFERROR(__xludf.DUMMYFUNCTION("""COMPUTED_VALUE"""),"B000G2DC0M")</f>
        <v>B000G2DC0M</v>
      </c>
      <c r="E1160" t="str">
        <f>IFERROR(__xludf.DUMMYFUNCTION("""COMPUTED_VALUE"""),"014173350718")</f>
        <v>014173350718</v>
      </c>
      <c r="F1160">
        <f>IFERROR(__xludf.DUMMYFUNCTION("""COMPUTED_VALUE"""),864.0)</f>
        <v>864</v>
      </c>
      <c r="G1160">
        <f>IFERROR(__xludf.DUMMYFUNCTION("""COMPUTED_VALUE"""),10000.0)</f>
        <v>10000</v>
      </c>
      <c r="H1160" s="2">
        <f>IFERROR(__xludf.DUMMYFUNCTION("""COMPUTED_VALUE"""),2.5)</f>
        <v>2.5</v>
      </c>
      <c r="I1160" s="2">
        <f>IFERROR(__xludf.DUMMYFUNCTION("""COMPUTED_VALUE"""),2.68)</f>
        <v>2.68</v>
      </c>
      <c r="J1160" s="2">
        <f>IFERROR(__xludf.DUMMYFUNCTION("""COMPUTED_VALUE"""),0.18000000000000016)</f>
        <v>0.18</v>
      </c>
      <c r="K1160" s="5">
        <f>IFERROR(__xludf.DUMMYFUNCTION("""COMPUTED_VALUE"""),0.07200000000000006)</f>
        <v>0.072</v>
      </c>
      <c r="L1160">
        <f>IFERROR(__xludf.DUMMYFUNCTION("""COMPUTED_VALUE"""),25136.0)</f>
        <v>25136</v>
      </c>
      <c r="M1160" t="str">
        <f>IFERROR(__xludf.DUMMYFUNCTION("""COMPUTED_VALUE"""),"Office Product")</f>
        <v>Office Product</v>
      </c>
      <c r="O1160" t="str">
        <f>IFERROR(__xludf.DUMMYFUNCTION("""COMPUTED_VALUE"""),"Y")</f>
        <v>Y</v>
      </c>
      <c r="P1160" s="1" t="str">
        <f>IFERROR(__xludf.DUMMYFUNCTION("""COMPUTED_VALUE"""),"ID 25568")</f>
        <v>ID 25568</v>
      </c>
    </row>
    <row r="1161">
      <c r="A1161" s="6">
        <f>IFERROR(__xludf.DUMMYFUNCTION("""COMPUTED_VALUE"""),45421.0)</f>
        <v>45421</v>
      </c>
      <c r="B1161">
        <f>IFERROR(__xludf.DUMMYFUNCTION("""COMPUTED_VALUE"""),25569.0)</f>
        <v>25569</v>
      </c>
      <c r="C1161" t="str">
        <f>IFERROR(__xludf.DUMMYFUNCTION("""COMPUTED_VALUE"""),"Grumbacher Academy Watercolor Paint, 7.5ml/0.25 Ounce, Alizarin Orange (A005)")</f>
        <v>Grumbacher Academy Watercolor Paint, 7.5ml/0.25 Ounce, Alizarin Orange (A005)</v>
      </c>
      <c r="D1161" t="str">
        <f>IFERROR(__xludf.DUMMYFUNCTION("""COMPUTED_VALUE"""),"B000G2DBSU")</f>
        <v>B000G2DBSU</v>
      </c>
      <c r="E1161" t="str">
        <f>IFERROR(__xludf.DUMMYFUNCTION("""COMPUTED_VALUE"""),"014173350503")</f>
        <v>014173350503</v>
      </c>
      <c r="F1161">
        <f>IFERROR(__xludf.DUMMYFUNCTION("""COMPUTED_VALUE"""),864.0)</f>
        <v>864</v>
      </c>
      <c r="G1161">
        <f>IFERROR(__xludf.DUMMYFUNCTION("""COMPUTED_VALUE"""),10000.0)</f>
        <v>10000</v>
      </c>
      <c r="H1161" s="2">
        <f>IFERROR(__xludf.DUMMYFUNCTION("""COMPUTED_VALUE"""),2.5)</f>
        <v>2.5</v>
      </c>
      <c r="I1161" s="2">
        <f>IFERROR(__xludf.DUMMYFUNCTION("""COMPUTED_VALUE"""),2.68)</f>
        <v>2.68</v>
      </c>
      <c r="J1161" s="2">
        <f>IFERROR(__xludf.DUMMYFUNCTION("""COMPUTED_VALUE"""),0.18000000000000016)</f>
        <v>0.18</v>
      </c>
      <c r="K1161" s="5">
        <f>IFERROR(__xludf.DUMMYFUNCTION("""COMPUTED_VALUE"""),0.07200000000000006)</f>
        <v>0.072</v>
      </c>
      <c r="L1161">
        <f>IFERROR(__xludf.DUMMYFUNCTION("""COMPUTED_VALUE"""),38511.0)</f>
        <v>38511</v>
      </c>
      <c r="M1161" t="str">
        <f>IFERROR(__xludf.DUMMYFUNCTION("""COMPUTED_VALUE"""),"Office Product")</f>
        <v>Office Product</v>
      </c>
      <c r="O1161" t="str">
        <f>IFERROR(__xludf.DUMMYFUNCTION("""COMPUTED_VALUE"""),"Y")</f>
        <v>Y</v>
      </c>
      <c r="P1161" s="1" t="str">
        <f>IFERROR(__xludf.DUMMYFUNCTION("""COMPUTED_VALUE"""),"ID 25569")</f>
        <v>ID 25569</v>
      </c>
    </row>
    <row r="1162">
      <c r="A1162" s="6">
        <f>IFERROR(__xludf.DUMMYFUNCTION("""COMPUTED_VALUE"""),45421.0)</f>
        <v>45421</v>
      </c>
      <c r="B1162">
        <f>IFERROR(__xludf.DUMMYFUNCTION("""COMPUTED_VALUE"""),25571.0)</f>
        <v>25571</v>
      </c>
      <c r="C1162" t="str">
        <f>IFERROR(__xludf.DUMMYFUNCTION("""COMPUTED_VALUE"""),"Grumbacher Academy Watercolor Paint, 7.5ml/0.25 Ounce, Yellow Ochre Hue (A242)")</f>
        <v>Grumbacher Academy Watercolor Paint, 7.5ml/0.25 Ounce, Yellow Ochre Hue (A242)</v>
      </c>
      <c r="D1162" t="str">
        <f>IFERROR(__xludf.DUMMYFUNCTION("""COMPUTED_VALUE"""),"B000G2J5SU")</f>
        <v>B000G2J5SU</v>
      </c>
      <c r="E1162" t="str">
        <f>IFERROR(__xludf.DUMMYFUNCTION("""COMPUTED_VALUE"""),"014173351111")</f>
        <v>014173351111</v>
      </c>
      <c r="F1162">
        <f>IFERROR(__xludf.DUMMYFUNCTION("""COMPUTED_VALUE"""),864.0)</f>
        <v>864</v>
      </c>
      <c r="G1162">
        <f>IFERROR(__xludf.DUMMYFUNCTION("""COMPUTED_VALUE"""),10000.0)</f>
        <v>10000</v>
      </c>
      <c r="H1162" s="2">
        <f>IFERROR(__xludf.DUMMYFUNCTION("""COMPUTED_VALUE"""),2.5)</f>
        <v>2.5</v>
      </c>
      <c r="I1162" s="2">
        <f>IFERROR(__xludf.DUMMYFUNCTION("""COMPUTED_VALUE"""),2.68)</f>
        <v>2.68</v>
      </c>
      <c r="J1162" s="2">
        <f>IFERROR(__xludf.DUMMYFUNCTION("""COMPUTED_VALUE"""),0.18000000000000016)</f>
        <v>0.18</v>
      </c>
      <c r="K1162" s="5">
        <f>IFERROR(__xludf.DUMMYFUNCTION("""COMPUTED_VALUE"""),0.07200000000000006)</f>
        <v>0.072</v>
      </c>
      <c r="L1162">
        <f>IFERROR(__xludf.DUMMYFUNCTION("""COMPUTED_VALUE"""),32011.0)</f>
        <v>32011</v>
      </c>
      <c r="M1162" t="str">
        <f>IFERROR(__xludf.DUMMYFUNCTION("""COMPUTED_VALUE"""),"Office Product")</f>
        <v>Office Product</v>
      </c>
      <c r="O1162" t="str">
        <f>IFERROR(__xludf.DUMMYFUNCTION("""COMPUTED_VALUE"""),"Y")</f>
        <v>Y</v>
      </c>
      <c r="P1162" s="1" t="str">
        <f>IFERROR(__xludf.DUMMYFUNCTION("""COMPUTED_VALUE"""),"ID 25571")</f>
        <v>ID 25571</v>
      </c>
    </row>
    <row r="1163">
      <c r="A1163" s="6">
        <f>IFERROR(__xludf.DUMMYFUNCTION("""COMPUTED_VALUE"""),45421.0)</f>
        <v>45421</v>
      </c>
      <c r="B1163">
        <f>IFERROR(__xludf.DUMMYFUNCTION("""COMPUTED_VALUE"""),25573.0)</f>
        <v>25573</v>
      </c>
      <c r="C1163" t="str">
        <f>IFERROR(__xludf.DUMMYFUNCTION("""COMPUTED_VALUE"""),"Grumbacher Academy Watercolor Paint, 7.5ml/0.25 oz., Hooker's Green Deep Hue (A106)")</f>
        <v>Grumbacher Academy Watercolor Paint, 7.5ml/0.25 oz., Hooker's Green Deep Hue (A106)</v>
      </c>
      <c r="D1163" t="str">
        <f>IFERROR(__xludf.DUMMYFUNCTION("""COMPUTED_VALUE"""),"B004O7FISE")</f>
        <v>B004O7FISE</v>
      </c>
      <c r="E1163" t="str">
        <f>IFERROR(__xludf.DUMMYFUNCTION("""COMPUTED_VALUE"""),"014173350749")</f>
        <v>014173350749</v>
      </c>
      <c r="F1163">
        <f>IFERROR(__xludf.DUMMYFUNCTION("""COMPUTED_VALUE"""),864.0)</f>
        <v>864</v>
      </c>
      <c r="G1163">
        <f>IFERROR(__xludf.DUMMYFUNCTION("""COMPUTED_VALUE"""),10000.0)</f>
        <v>10000</v>
      </c>
      <c r="H1163" s="2">
        <f>IFERROR(__xludf.DUMMYFUNCTION("""COMPUTED_VALUE"""),2.5)</f>
        <v>2.5</v>
      </c>
      <c r="I1163" s="2">
        <f>IFERROR(__xludf.DUMMYFUNCTION("""COMPUTED_VALUE"""),2.68)</f>
        <v>2.68</v>
      </c>
      <c r="J1163" s="2">
        <f>IFERROR(__xludf.DUMMYFUNCTION("""COMPUTED_VALUE"""),0.18000000000000016)</f>
        <v>0.18</v>
      </c>
      <c r="K1163" s="5">
        <f>IFERROR(__xludf.DUMMYFUNCTION("""COMPUTED_VALUE"""),0.07200000000000006)</f>
        <v>0.072</v>
      </c>
      <c r="L1163">
        <f>IFERROR(__xludf.DUMMYFUNCTION("""COMPUTED_VALUE"""),25136.0)</f>
        <v>25136</v>
      </c>
      <c r="M1163" t="str">
        <f>IFERROR(__xludf.DUMMYFUNCTION("""COMPUTED_VALUE"""),"Office Product")</f>
        <v>Office Product</v>
      </c>
      <c r="O1163" t="str">
        <f>IFERROR(__xludf.DUMMYFUNCTION("""COMPUTED_VALUE"""),"Y")</f>
        <v>Y</v>
      </c>
      <c r="P1163" s="1" t="str">
        <f>IFERROR(__xludf.DUMMYFUNCTION("""COMPUTED_VALUE"""),"ID 25573")</f>
        <v>ID 25573</v>
      </c>
    </row>
    <row r="1164">
      <c r="A1164" s="6">
        <f>IFERROR(__xludf.DUMMYFUNCTION("""COMPUTED_VALUE"""),45421.0)</f>
        <v>45421</v>
      </c>
      <c r="B1164">
        <f>IFERROR(__xludf.DUMMYFUNCTION("""COMPUTED_VALUE"""),25576.0)</f>
        <v>25576</v>
      </c>
      <c r="C1164" t="str">
        <f>IFERROR(__xludf.DUMMYFUNCTION("""COMPUTED_VALUE"""),"Grumbacher Academy Watercolor Paint, 7.5ml/0.25 Ounce, Cadmium Yellow Pale Hue (A036)")</f>
        <v>Grumbacher Academy Watercolor Paint, 7.5ml/0.25 Ounce, Cadmium Yellow Pale Hue (A036)</v>
      </c>
      <c r="D1164" t="str">
        <f>IFERROR(__xludf.DUMMYFUNCTION("""COMPUTED_VALUE"""),"B000G2DBWQ")</f>
        <v>B000G2DBWQ</v>
      </c>
      <c r="E1164" t="str">
        <f>IFERROR(__xludf.DUMMYFUNCTION("""COMPUTED_VALUE"""),"014173350596")</f>
        <v>014173350596</v>
      </c>
      <c r="F1164">
        <f>IFERROR(__xludf.DUMMYFUNCTION("""COMPUTED_VALUE"""),864.0)</f>
        <v>864</v>
      </c>
      <c r="G1164">
        <f>IFERROR(__xludf.DUMMYFUNCTION("""COMPUTED_VALUE"""),10000.0)</f>
        <v>10000</v>
      </c>
      <c r="H1164" s="2">
        <f>IFERROR(__xludf.DUMMYFUNCTION("""COMPUTED_VALUE"""),2.5)</f>
        <v>2.5</v>
      </c>
      <c r="I1164" s="2">
        <f>IFERROR(__xludf.DUMMYFUNCTION("""COMPUTED_VALUE"""),2.68)</f>
        <v>2.68</v>
      </c>
      <c r="J1164" s="2">
        <f>IFERROR(__xludf.DUMMYFUNCTION("""COMPUTED_VALUE"""),0.18000000000000016)</f>
        <v>0.18</v>
      </c>
      <c r="K1164" s="5">
        <f>IFERROR(__xludf.DUMMYFUNCTION("""COMPUTED_VALUE"""),0.07200000000000006)</f>
        <v>0.072</v>
      </c>
      <c r="L1164">
        <f>IFERROR(__xludf.DUMMYFUNCTION("""COMPUTED_VALUE"""),47009.0)</f>
        <v>47009</v>
      </c>
      <c r="M1164" t="str">
        <f>IFERROR(__xludf.DUMMYFUNCTION("""COMPUTED_VALUE"""),"Office Product")</f>
        <v>Office Product</v>
      </c>
      <c r="O1164" t="str">
        <f>IFERROR(__xludf.DUMMYFUNCTION("""COMPUTED_VALUE"""),"Y")</f>
        <v>Y</v>
      </c>
      <c r="P1164" s="1" t="str">
        <f>IFERROR(__xludf.DUMMYFUNCTION("""COMPUTED_VALUE"""),"ID 25576")</f>
        <v>ID 25576</v>
      </c>
    </row>
    <row r="1165">
      <c r="A1165" s="6">
        <f>IFERROR(__xludf.DUMMYFUNCTION("""COMPUTED_VALUE"""),45421.0)</f>
        <v>45421</v>
      </c>
      <c r="B1165">
        <f>IFERROR(__xludf.DUMMYFUNCTION("""COMPUTED_VALUE"""),25577.0)</f>
        <v>25577</v>
      </c>
      <c r="C1165" t="str">
        <f>IFERROR(__xludf.DUMMYFUNCTION("""COMPUTED_VALUE"""),"Grumbacher Academy Watercolor Paint, 7.5ml/0.25 oz., Raw Sienna (A171)")</f>
        <v>Grumbacher Academy Watercolor Paint, 7.5ml/0.25 oz., Raw Sienna (A171)</v>
      </c>
      <c r="D1165" t="str">
        <f>IFERROR(__xludf.DUMMYFUNCTION("""COMPUTED_VALUE"""),"B004O7DRM8")</f>
        <v>B004O7DRM8</v>
      </c>
      <c r="E1165" t="str">
        <f>IFERROR(__xludf.DUMMYFUNCTION("""COMPUTED_VALUE"""),"014173350923")</f>
        <v>014173350923</v>
      </c>
      <c r="F1165">
        <f>IFERROR(__xludf.DUMMYFUNCTION("""COMPUTED_VALUE"""),864.0)</f>
        <v>864</v>
      </c>
      <c r="G1165">
        <f>IFERROR(__xludf.DUMMYFUNCTION("""COMPUTED_VALUE"""),10000.0)</f>
        <v>10000</v>
      </c>
      <c r="H1165" s="2">
        <f>IFERROR(__xludf.DUMMYFUNCTION("""COMPUTED_VALUE"""),2.5)</f>
        <v>2.5</v>
      </c>
      <c r="I1165" s="2">
        <f>IFERROR(__xludf.DUMMYFUNCTION("""COMPUTED_VALUE"""),2.68)</f>
        <v>2.68</v>
      </c>
      <c r="J1165" s="2">
        <f>IFERROR(__xludf.DUMMYFUNCTION("""COMPUTED_VALUE"""),0.18000000000000016)</f>
        <v>0.18</v>
      </c>
      <c r="K1165" s="5">
        <f>IFERROR(__xludf.DUMMYFUNCTION("""COMPUTED_VALUE"""),0.07200000000000006)</f>
        <v>0.072</v>
      </c>
      <c r="L1165">
        <f>IFERROR(__xludf.DUMMYFUNCTION("""COMPUTED_VALUE"""),44550.0)</f>
        <v>44550</v>
      </c>
      <c r="M1165" t="str">
        <f>IFERROR(__xludf.DUMMYFUNCTION("""COMPUTED_VALUE"""),"Office Product")</f>
        <v>Office Product</v>
      </c>
      <c r="O1165" t="str">
        <f>IFERROR(__xludf.DUMMYFUNCTION("""COMPUTED_VALUE"""),"Y")</f>
        <v>Y</v>
      </c>
      <c r="P1165" s="1" t="str">
        <f>IFERROR(__xludf.DUMMYFUNCTION("""COMPUTED_VALUE"""),"ID 25577")</f>
        <v>ID 25577</v>
      </c>
    </row>
    <row r="1166">
      <c r="A1166" s="6">
        <f>IFERROR(__xludf.DUMMYFUNCTION("""COMPUTED_VALUE"""),45390.0)</f>
        <v>45390</v>
      </c>
      <c r="B1166">
        <f>IFERROR(__xludf.DUMMYFUNCTION("""COMPUTED_VALUE"""),4124.0)</f>
        <v>4124</v>
      </c>
      <c r="C1166" t="str">
        <f>IFERROR(__xludf.DUMMYFUNCTION("""COMPUTED_VALUE"""),"Chef Craft Viennese Spatula, White")</f>
        <v>Chef Craft Viennese Spatula, White</v>
      </c>
      <c r="D1166" t="str">
        <f>IFERROR(__xludf.DUMMYFUNCTION("""COMPUTED_VALUE"""),"B00BUUHK7U")</f>
        <v>B00BUUHK7U</v>
      </c>
      <c r="E1166" t="str">
        <f>IFERROR(__xludf.DUMMYFUNCTION("""COMPUTED_VALUE"""),"085455207846")</f>
        <v>085455207846</v>
      </c>
      <c r="F1166">
        <f>IFERROR(__xludf.DUMMYFUNCTION("""COMPUTED_VALUE"""),1296.0)</f>
        <v>1296</v>
      </c>
      <c r="G1166">
        <f>IFERROR(__xludf.DUMMYFUNCTION("""COMPUTED_VALUE"""),10000.0)</f>
        <v>10000</v>
      </c>
      <c r="H1166" s="2">
        <f>IFERROR(__xludf.DUMMYFUNCTION("""COMPUTED_VALUE"""),1.0)</f>
        <v>1</v>
      </c>
      <c r="I1166" s="2">
        <f>IFERROR(__xludf.DUMMYFUNCTION("""COMPUTED_VALUE"""),1.17)</f>
        <v>1.17</v>
      </c>
      <c r="J1166" s="2">
        <f>IFERROR(__xludf.DUMMYFUNCTION("""COMPUTED_VALUE"""),0.16999999999999993)</f>
        <v>0.17</v>
      </c>
      <c r="K1166" s="5">
        <f>IFERROR(__xludf.DUMMYFUNCTION("""COMPUTED_VALUE"""),0.16999999999999993)</f>
        <v>0.17</v>
      </c>
      <c r="L1166">
        <f>IFERROR(__xludf.DUMMYFUNCTION("""COMPUTED_VALUE"""),72269.0)</f>
        <v>72269</v>
      </c>
      <c r="M1166" t="str">
        <f>IFERROR(__xludf.DUMMYFUNCTION("""COMPUTED_VALUE"""),"Kitchen")</f>
        <v>Kitchen</v>
      </c>
      <c r="O1166" t="str">
        <f>IFERROR(__xludf.DUMMYFUNCTION("""COMPUTED_VALUE"""),"Y")</f>
        <v>Y</v>
      </c>
      <c r="P1166" s="1" t="str">
        <f>IFERROR(__xludf.DUMMYFUNCTION("""COMPUTED_VALUE"""),"ID 4124")</f>
        <v>ID 4124</v>
      </c>
    </row>
    <row r="1167">
      <c r="A1167" s="6">
        <f>IFERROR(__xludf.DUMMYFUNCTION("""COMPUTED_VALUE"""),44501.0)</f>
        <v>44501</v>
      </c>
      <c r="B1167">
        <f>IFERROR(__xludf.DUMMYFUNCTION("""COMPUTED_VALUE"""),16633.0)</f>
        <v>16633</v>
      </c>
      <c r="C1167" t="str">
        <f>IFERROR(__xludf.DUMMYFUNCTION("""COMPUTED_VALUE"""),"C-Line Super Heavyweight Poly Binder Pocket with Hook &amp; Loop Closure, Side Loading, 1-Inch Gusset, 1 Pocket, Color May Vary (58730), Multicolored, Letter Size")</f>
        <v>C-Line Super Heavyweight Poly Binder Pocket with Hook &amp; Loop Closure, Side Loading, 1-Inch Gusset, 1 Pocket, Color May Vary (58730), Multicolored, Letter Size</v>
      </c>
      <c r="D1167" t="str">
        <f>IFERROR(__xludf.DUMMYFUNCTION("""COMPUTED_VALUE"""),"B008RN76UO")</f>
        <v>B008RN76UO</v>
      </c>
      <c r="E1167" t="str">
        <f>IFERROR(__xludf.DUMMYFUNCTION("""COMPUTED_VALUE"""),"38944587301")</f>
        <v>38944587301</v>
      </c>
      <c r="F1167">
        <f>IFERROR(__xludf.DUMMYFUNCTION("""COMPUTED_VALUE"""),1368.0)</f>
        <v>1368</v>
      </c>
      <c r="G1167">
        <f>IFERROR(__xludf.DUMMYFUNCTION("""COMPUTED_VALUE"""),5000.0)</f>
        <v>5000</v>
      </c>
      <c r="H1167" s="2">
        <f>IFERROR(__xludf.DUMMYFUNCTION("""COMPUTED_VALUE"""),0.75)</f>
        <v>0.75</v>
      </c>
      <c r="I1167" s="2">
        <f>IFERROR(__xludf.DUMMYFUNCTION("""COMPUTED_VALUE"""),0.92)</f>
        <v>0.92</v>
      </c>
      <c r="J1167" s="2">
        <f>IFERROR(__xludf.DUMMYFUNCTION("""COMPUTED_VALUE"""),0.17000000000000004)</f>
        <v>0.17</v>
      </c>
      <c r="K1167" s="5">
        <f>IFERROR(__xludf.DUMMYFUNCTION("""COMPUTED_VALUE"""),0.2266666666666667)</f>
        <v>0.2266666667</v>
      </c>
      <c r="L1167">
        <f>IFERROR(__xludf.DUMMYFUNCTION("""COMPUTED_VALUE"""),68951.0)</f>
        <v>68951</v>
      </c>
      <c r="M1167" t="str">
        <f>IFERROR(__xludf.DUMMYFUNCTION("""COMPUTED_VALUE"""),"Office Product")</f>
        <v>Office Product</v>
      </c>
      <c r="O1167" t="str">
        <f>IFERROR(__xludf.DUMMYFUNCTION("""COMPUTED_VALUE"""),"Y")</f>
        <v>Y</v>
      </c>
      <c r="P1167" s="1" t="str">
        <f>IFERROR(__xludf.DUMMYFUNCTION("""COMPUTED_VALUE"""),"ID 16633")</f>
        <v>ID 16633</v>
      </c>
    </row>
    <row r="1168">
      <c r="A1168" s="6">
        <f>IFERROR(__xludf.DUMMYFUNCTION("""COMPUTED_VALUE"""),44123.0)</f>
        <v>44123</v>
      </c>
      <c r="B1168">
        <f>IFERROR(__xludf.DUMMYFUNCTION("""COMPUTED_VALUE"""),16989.0)</f>
        <v>16989</v>
      </c>
      <c r="C1168" t="str">
        <f>IFERROR(__xludf.DUMMYFUNCTION("""COMPUTED_VALUE"""),"Revlon Super Lustrous Lipstick, High Impact Lipcolor with Moisturizing Creamy Formula, Infused with Vitamin E and Avocado Oil in Nude / Brown Pearl, Caramel Glace (103)")</f>
        <v>Revlon Super Lustrous Lipstick, High Impact Lipcolor with Moisturizing Creamy Formula, Infused with Vitamin E and Avocado Oil in Nude / Brown Pearl, Caramel Glace (103)</v>
      </c>
      <c r="D1168" t="str">
        <f>IFERROR(__xludf.DUMMYFUNCTION("""COMPUTED_VALUE"""),"B001G7PJKM")</f>
        <v>B001G7PJKM</v>
      </c>
      <c r="E1168" t="str">
        <f>IFERROR(__xludf.DUMMYFUNCTION("""COMPUTED_VALUE"""),"309979632152")</f>
        <v>309979632152</v>
      </c>
      <c r="F1168">
        <f>IFERROR(__xludf.DUMMYFUNCTION("""COMPUTED_VALUE"""),864.0)</f>
        <v>864</v>
      </c>
      <c r="G1168">
        <f>IFERROR(__xludf.DUMMYFUNCTION("""COMPUTED_VALUE"""),1008.0)</f>
        <v>1008</v>
      </c>
      <c r="H1168" s="2">
        <f>IFERROR(__xludf.DUMMYFUNCTION("""COMPUTED_VALUE"""),3.5)</f>
        <v>3.5</v>
      </c>
      <c r="I1168" s="2">
        <f>IFERROR(__xludf.DUMMYFUNCTION("""COMPUTED_VALUE"""),3.67)</f>
        <v>3.67</v>
      </c>
      <c r="J1168" s="2">
        <f>IFERROR(__xludf.DUMMYFUNCTION("""COMPUTED_VALUE"""),0.16999999999999993)</f>
        <v>0.17</v>
      </c>
      <c r="K1168" s="5">
        <f>IFERROR(__xludf.DUMMYFUNCTION("""COMPUTED_VALUE"""),0.04857142857142855)</f>
        <v>0.04857142857</v>
      </c>
      <c r="L1168">
        <f>IFERROR(__xludf.DUMMYFUNCTION("""COMPUTED_VALUE"""),14825.0)</f>
        <v>14825</v>
      </c>
      <c r="M1168" t="str">
        <f>IFERROR(__xludf.DUMMYFUNCTION("""COMPUTED_VALUE"""),"Beauty")</f>
        <v>Beauty</v>
      </c>
      <c r="O1168" t="str">
        <f>IFERROR(__xludf.DUMMYFUNCTION("""COMPUTED_VALUE"""),"Y")</f>
        <v>Y</v>
      </c>
      <c r="P1168" s="1" t="str">
        <f>IFERROR(__xludf.DUMMYFUNCTION("""COMPUTED_VALUE"""),"ID 16989")</f>
        <v>ID 16989</v>
      </c>
    </row>
    <row r="1169">
      <c r="A1169" s="6">
        <f>IFERROR(__xludf.DUMMYFUNCTION("""COMPUTED_VALUE"""),45390.0)</f>
        <v>45390</v>
      </c>
      <c r="B1169">
        <f>IFERROR(__xludf.DUMMYFUNCTION("""COMPUTED_VALUE"""),21571.0)</f>
        <v>21571</v>
      </c>
      <c r="C1169" t="str">
        <f>IFERROR(__xludf.DUMMYFUNCTION("""COMPUTED_VALUE"""),"Chef Craft Premium Silicone Spoon Spatula, 11.5 inch, Gray")</f>
        <v>Chef Craft Premium Silicone Spoon Spatula, 11.5 inch, Gray</v>
      </c>
      <c r="D1169" t="str">
        <f>IFERROR(__xludf.DUMMYFUNCTION("""COMPUTED_VALUE"""),"B08SJ9KWPH")</f>
        <v>B08SJ9KWPH</v>
      </c>
      <c r="E1169" t="str">
        <f>IFERROR(__xludf.DUMMYFUNCTION("""COMPUTED_VALUE"""),"085455138676")</f>
        <v>085455138676</v>
      </c>
      <c r="F1169">
        <f>IFERROR(__xludf.DUMMYFUNCTION("""COMPUTED_VALUE"""),360.0)</f>
        <v>360</v>
      </c>
      <c r="G1169">
        <f>IFERROR(__xludf.DUMMYFUNCTION("""COMPUTED_VALUE"""),10000.0)</f>
        <v>10000</v>
      </c>
      <c r="H1169" s="2">
        <f>IFERROR(__xludf.DUMMYFUNCTION("""COMPUTED_VALUE"""),2.75)</f>
        <v>2.75</v>
      </c>
      <c r="I1169" s="2">
        <f>IFERROR(__xludf.DUMMYFUNCTION("""COMPUTED_VALUE"""),2.92)</f>
        <v>2.92</v>
      </c>
      <c r="J1169" s="2">
        <f>IFERROR(__xludf.DUMMYFUNCTION("""COMPUTED_VALUE"""),0.16999999999999993)</f>
        <v>0.17</v>
      </c>
      <c r="K1169" s="5">
        <f>IFERROR(__xludf.DUMMYFUNCTION("""COMPUTED_VALUE"""),0.06181818181818179)</f>
        <v>0.06181818182</v>
      </c>
      <c r="L1169">
        <f>IFERROR(__xludf.DUMMYFUNCTION("""COMPUTED_VALUE"""),52484.0)</f>
        <v>52484</v>
      </c>
      <c r="M1169" t="str">
        <f>IFERROR(__xludf.DUMMYFUNCTION("""COMPUTED_VALUE"""),"Kitchen")</f>
        <v>Kitchen</v>
      </c>
      <c r="O1169" t="str">
        <f>IFERROR(__xludf.DUMMYFUNCTION("""COMPUTED_VALUE"""),"Y")</f>
        <v>Y</v>
      </c>
      <c r="P1169" s="1" t="str">
        <f>IFERROR(__xludf.DUMMYFUNCTION("""COMPUTED_VALUE"""),"ID 21571")</f>
        <v>ID 21571</v>
      </c>
    </row>
    <row r="1170">
      <c r="A1170" s="6">
        <f>IFERROR(__xludf.DUMMYFUNCTION("""COMPUTED_VALUE"""),45376.0)</f>
        <v>45376</v>
      </c>
      <c r="B1170">
        <f>IFERROR(__xludf.DUMMYFUNCTION("""COMPUTED_VALUE"""),24121.0)</f>
        <v>24121</v>
      </c>
      <c r="C1170" t="str">
        <f>IFERROR(__xludf.DUMMYFUNCTION("""COMPUTED_VALUE"""),"Pacon Super Bright Assorted Index Cards")</f>
        <v>Pacon Super Bright Assorted Index Cards</v>
      </c>
      <c r="D1170" t="str">
        <f>IFERROR(__xludf.DUMMYFUNCTION("""COMPUTED_VALUE"""),"B00290JRLM")</f>
        <v>B00290JRLM</v>
      </c>
      <c r="E1170" t="str">
        <f>IFERROR(__xludf.DUMMYFUNCTION("""COMPUTED_VALUE"""),"045173017264")</f>
        <v>045173017264</v>
      </c>
      <c r="F1170">
        <f>IFERROR(__xludf.DUMMYFUNCTION("""COMPUTED_VALUE"""),1332.0)</f>
        <v>1332</v>
      </c>
      <c r="G1170">
        <f>IFERROR(__xludf.DUMMYFUNCTION("""COMPUTED_VALUE"""),10000.0)</f>
        <v>10000</v>
      </c>
      <c r="H1170" s="2">
        <f>IFERROR(__xludf.DUMMYFUNCTION("""COMPUTED_VALUE"""),2.75)</f>
        <v>2.75</v>
      </c>
      <c r="I1170" s="2">
        <f>IFERROR(__xludf.DUMMYFUNCTION("""COMPUTED_VALUE"""),2.92)</f>
        <v>2.92</v>
      </c>
      <c r="J1170" s="2">
        <f>IFERROR(__xludf.DUMMYFUNCTION("""COMPUTED_VALUE"""),0.16999999999999993)</f>
        <v>0.17</v>
      </c>
      <c r="K1170" s="5">
        <f>IFERROR(__xludf.DUMMYFUNCTION("""COMPUTED_VALUE"""),0.06181818181818179)</f>
        <v>0.06181818182</v>
      </c>
      <c r="L1170">
        <f>IFERROR(__xludf.DUMMYFUNCTION("""COMPUTED_VALUE"""),26640.0)</f>
        <v>26640</v>
      </c>
      <c r="M1170" t="str">
        <f>IFERROR(__xludf.DUMMYFUNCTION("""COMPUTED_VALUE"""),"BISS Basic")</f>
        <v>BISS Basic</v>
      </c>
      <c r="O1170" t="str">
        <f>IFERROR(__xludf.DUMMYFUNCTION("""COMPUTED_VALUE"""),"Y")</f>
        <v>Y</v>
      </c>
      <c r="P1170" s="1" t="str">
        <f>IFERROR(__xludf.DUMMYFUNCTION("""COMPUTED_VALUE"""),"ID 24121")</f>
        <v>ID 24121</v>
      </c>
    </row>
    <row r="1171">
      <c r="A1171" s="6">
        <f>IFERROR(__xludf.DUMMYFUNCTION("""COMPUTED_VALUE"""),44712.0)</f>
        <v>44712</v>
      </c>
      <c r="B1171">
        <f>IFERROR(__xludf.DUMMYFUNCTION("""COMPUTED_VALUE"""),25492.0)</f>
        <v>25492</v>
      </c>
      <c r="C1171" t="str">
        <f>IFERROR(__xludf.DUMMYFUNCTION("""COMPUTED_VALUE"""),"Kismet - The Modern Game of Yacht - Family Dice Game")</f>
        <v>Kismet - The Modern Game of Yacht - Family Dice Game</v>
      </c>
      <c r="D1171" t="str">
        <f>IFERROR(__xludf.DUMMYFUNCTION("""COMPUTED_VALUE"""),"B001B9XCIQ")</f>
        <v>B001B9XCIQ</v>
      </c>
      <c r="F1171">
        <f>IFERROR(__xludf.DUMMYFUNCTION("""COMPUTED_VALUE"""),162.0)</f>
        <v>162</v>
      </c>
      <c r="G1171">
        <f>IFERROR(__xludf.DUMMYFUNCTION("""COMPUTED_VALUE"""),299.0)</f>
        <v>299</v>
      </c>
      <c r="H1171" s="2">
        <f>IFERROR(__xludf.DUMMYFUNCTION("""COMPUTED_VALUE"""),7.5)</f>
        <v>7.5</v>
      </c>
      <c r="I1171" s="2">
        <f>IFERROR(__xludf.DUMMYFUNCTION("""COMPUTED_VALUE"""),7.67)</f>
        <v>7.67</v>
      </c>
      <c r="J1171" s="2">
        <f>IFERROR(__xludf.DUMMYFUNCTION("""COMPUTED_VALUE"""),0.16999999999999993)</f>
        <v>0.17</v>
      </c>
      <c r="K1171" s="5">
        <f>IFERROR(__xludf.DUMMYFUNCTION("""COMPUTED_VALUE"""),0.022666666666666658)</f>
        <v>0.02266666667</v>
      </c>
      <c r="L1171">
        <f>IFERROR(__xludf.DUMMYFUNCTION("""COMPUTED_VALUE"""),30353.0)</f>
        <v>30353</v>
      </c>
      <c r="M1171" t="str">
        <f>IFERROR(__xludf.DUMMYFUNCTION("""COMPUTED_VALUE"""),"Toy")</f>
        <v>Toy</v>
      </c>
      <c r="O1171" t="str">
        <f>IFERROR(__xludf.DUMMYFUNCTION("""COMPUTED_VALUE"""),"Y")</f>
        <v>Y</v>
      </c>
      <c r="P1171" s="1" t="str">
        <f>IFERROR(__xludf.DUMMYFUNCTION("""COMPUTED_VALUE"""),"ID 25492")</f>
        <v>ID 25492</v>
      </c>
    </row>
    <row r="1172">
      <c r="A1172" s="6">
        <f>IFERROR(__xludf.DUMMYFUNCTION("""COMPUTED_VALUE"""),45376.0)</f>
        <v>45376</v>
      </c>
      <c r="B1172">
        <f>IFERROR(__xludf.DUMMYFUNCTION("""COMPUTED_VALUE"""),9684.0)</f>
        <v>9684</v>
      </c>
      <c r="C1172" t="str">
        <f>IFERROR(__xludf.DUMMYFUNCTION("""COMPUTED_VALUE"""),"3 Arm &amp; Hammer Ultra Max 3-in-1 Shampoo Conditioner Body Wash Cool Water 12 oz.")</f>
        <v>3 Arm &amp; Hammer Ultra Max 3-in-1 Shampoo Conditioner Body Wash Cool Water 12 oz.</v>
      </c>
      <c r="D1172" t="str">
        <f>IFERROR(__xludf.DUMMYFUNCTION("""COMPUTED_VALUE"""),"B07Q78BXDP")</f>
        <v>B07Q78BXDP</v>
      </c>
      <c r="E1172" t="str">
        <f>IFERROR(__xludf.DUMMYFUNCTION("""COMPUTED_VALUE"""),"815195014509")</f>
        <v>815195014509</v>
      </c>
      <c r="F1172">
        <f>IFERROR(__xludf.DUMMYFUNCTION("""COMPUTED_VALUE"""),780.0)</f>
        <v>780</v>
      </c>
      <c r="G1172">
        <f>IFERROR(__xludf.DUMMYFUNCTION("""COMPUTED_VALUE"""),10000.0)</f>
        <v>10000</v>
      </c>
      <c r="H1172" s="2">
        <f>IFERROR(__xludf.DUMMYFUNCTION("""COMPUTED_VALUE"""),1.75)</f>
        <v>1.75</v>
      </c>
      <c r="I1172" s="2">
        <f>IFERROR(__xludf.DUMMYFUNCTION("""COMPUTED_VALUE"""),1.91)</f>
        <v>1.91</v>
      </c>
      <c r="J1172" s="2">
        <f>IFERROR(__xludf.DUMMYFUNCTION("""COMPUTED_VALUE"""),0.15999999999999992)</f>
        <v>0.16</v>
      </c>
      <c r="K1172" s="5">
        <f>IFERROR(__xludf.DUMMYFUNCTION("""COMPUTED_VALUE"""),0.09142857142857139)</f>
        <v>0.09142857143</v>
      </c>
      <c r="L1172">
        <f>IFERROR(__xludf.DUMMYFUNCTION("""COMPUTED_VALUE"""),45503.0)</f>
        <v>45503</v>
      </c>
      <c r="M1172" t="str">
        <f>IFERROR(__xludf.DUMMYFUNCTION("""COMPUTED_VALUE"""),"Beauty")</f>
        <v>Beauty</v>
      </c>
      <c r="O1172" t="str">
        <f>IFERROR(__xludf.DUMMYFUNCTION("""COMPUTED_VALUE"""),"N")</f>
        <v>N</v>
      </c>
      <c r="P1172" s="1" t="str">
        <f>IFERROR(__xludf.DUMMYFUNCTION("""COMPUTED_VALUE"""),"ID 9684")</f>
        <v>ID 9684</v>
      </c>
    </row>
    <row r="1173">
      <c r="A1173" s="6">
        <f>IFERROR(__xludf.DUMMYFUNCTION("""COMPUTED_VALUE"""),45376.0)</f>
        <v>45376</v>
      </c>
      <c r="B1173">
        <f>IFERROR(__xludf.DUMMYFUNCTION("""COMPUTED_VALUE"""),17073.0)</f>
        <v>17073</v>
      </c>
      <c r="C1173" t="str">
        <f>IFERROR(__xludf.DUMMYFUNCTION("""COMPUTED_VALUE"""),"PRANG Refill Pans for Oval Watercolor Paint Set, 12 Pans per Box, Turquoise Blue (00819)")</f>
        <v>PRANG Refill Pans for Oval Watercolor Paint Set, 12 Pans per Box, Turquoise Blue (00819)</v>
      </c>
      <c r="D1173" t="str">
        <f>IFERROR(__xludf.DUMMYFUNCTION("""COMPUTED_VALUE"""),"B0044SERNU")</f>
        <v>B0044SERNU</v>
      </c>
      <c r="E1173" t="str">
        <f>IFERROR(__xludf.DUMMYFUNCTION("""COMPUTED_VALUE"""),"072067008190")</f>
        <v>072067008190</v>
      </c>
      <c r="F1173">
        <f>IFERROR(__xludf.DUMMYFUNCTION("""COMPUTED_VALUE"""),816.0)</f>
        <v>816</v>
      </c>
      <c r="G1173">
        <f>IFERROR(__xludf.DUMMYFUNCTION("""COMPUTED_VALUE"""),10000.0)</f>
        <v>10000</v>
      </c>
      <c r="H1173" s="2">
        <f>IFERROR(__xludf.DUMMYFUNCTION("""COMPUTED_VALUE"""),4.5)</f>
        <v>4.5</v>
      </c>
      <c r="I1173" s="2">
        <f>IFERROR(__xludf.DUMMYFUNCTION("""COMPUTED_VALUE"""),4.66)</f>
        <v>4.66</v>
      </c>
      <c r="J1173" s="2">
        <f>IFERROR(__xludf.DUMMYFUNCTION("""COMPUTED_VALUE"""),0.16000000000000014)</f>
        <v>0.16</v>
      </c>
      <c r="K1173" s="5">
        <f>IFERROR(__xludf.DUMMYFUNCTION("""COMPUTED_VALUE"""),0.03555555555555559)</f>
        <v>0.03555555556</v>
      </c>
      <c r="L1173">
        <f>IFERROR(__xludf.DUMMYFUNCTION("""COMPUTED_VALUE"""),19115.0)</f>
        <v>19115</v>
      </c>
      <c r="M1173" t="str">
        <f>IFERROR(__xludf.DUMMYFUNCTION("""COMPUTED_VALUE"""),"Office Product")</f>
        <v>Office Product</v>
      </c>
      <c r="O1173" t="str">
        <f>IFERROR(__xludf.DUMMYFUNCTION("""COMPUTED_VALUE"""),"Y")</f>
        <v>Y</v>
      </c>
      <c r="P1173" s="1" t="str">
        <f>IFERROR(__xludf.DUMMYFUNCTION("""COMPUTED_VALUE"""),"ID 17073")</f>
        <v>ID 17073</v>
      </c>
    </row>
    <row r="1174">
      <c r="A1174" s="6">
        <f>IFERROR(__xludf.DUMMYFUNCTION("""COMPUTED_VALUE"""),45362.0)</f>
        <v>45362</v>
      </c>
      <c r="B1174">
        <f>IFERROR(__xludf.DUMMYFUNCTION("""COMPUTED_VALUE"""),19611.0)</f>
        <v>19611</v>
      </c>
      <c r="C1174" t="str">
        <f>IFERROR(__xludf.DUMMYFUNCTION("""COMPUTED_VALUE"""),"Pentel Mini R.S.V.P. Ballpoint Pen, Medium line, Assorted Ink Colors, 5 Pack (BK91MNBP5M)")</f>
        <v>Pentel Mini R.S.V.P. Ballpoint Pen, Medium line, Assorted Ink Colors, 5 Pack (BK91MNBP5M)</v>
      </c>
      <c r="D1174" t="str">
        <f>IFERROR(__xludf.DUMMYFUNCTION("""COMPUTED_VALUE"""),"B000UHFDL4")</f>
        <v>B000UHFDL4</v>
      </c>
      <c r="E1174" t="str">
        <f>IFERROR(__xludf.DUMMYFUNCTION("""COMPUTED_VALUE"""),"072512202272")</f>
        <v>072512202272</v>
      </c>
      <c r="F1174">
        <f>IFERROR(__xludf.DUMMYFUNCTION("""COMPUTED_VALUE"""),576.0)</f>
        <v>576</v>
      </c>
      <c r="G1174">
        <f>IFERROR(__xludf.DUMMYFUNCTION("""COMPUTED_VALUE"""),10000.0)</f>
        <v>10000</v>
      </c>
      <c r="H1174" s="2">
        <f>IFERROR(__xludf.DUMMYFUNCTION("""COMPUTED_VALUE"""),2.75)</f>
        <v>2.75</v>
      </c>
      <c r="I1174" s="2">
        <f>IFERROR(__xludf.DUMMYFUNCTION("""COMPUTED_VALUE"""),2.91)</f>
        <v>2.91</v>
      </c>
      <c r="J1174" s="2">
        <f>IFERROR(__xludf.DUMMYFUNCTION("""COMPUTED_VALUE"""),0.16000000000000014)</f>
        <v>0.16</v>
      </c>
      <c r="K1174" s="5">
        <f>IFERROR(__xludf.DUMMYFUNCTION("""COMPUTED_VALUE"""),0.05818181818181823)</f>
        <v>0.05818181818</v>
      </c>
      <c r="L1174">
        <f>IFERROR(__xludf.DUMMYFUNCTION("""COMPUTED_VALUE"""),7250.0)</f>
        <v>7250</v>
      </c>
      <c r="M1174" t="str">
        <f>IFERROR(__xludf.DUMMYFUNCTION("""COMPUTED_VALUE"""),"Office Product")</f>
        <v>Office Product</v>
      </c>
      <c r="O1174" t="str">
        <f>IFERROR(__xludf.DUMMYFUNCTION("""COMPUTED_VALUE"""),"N")</f>
        <v>N</v>
      </c>
      <c r="P1174" s="1" t="str">
        <f>IFERROR(__xludf.DUMMYFUNCTION("""COMPUTED_VALUE"""),"ID 19611")</f>
        <v>ID 19611</v>
      </c>
    </row>
    <row r="1175">
      <c r="A1175" s="6">
        <f>IFERROR(__xludf.DUMMYFUNCTION("""COMPUTED_VALUE"""),44497.0)</f>
        <v>44497</v>
      </c>
      <c r="B1175">
        <f>IFERROR(__xludf.DUMMYFUNCTION("""COMPUTED_VALUE"""),23008.0)</f>
        <v>23008</v>
      </c>
      <c r="C1175" t="str">
        <f>IFERROR(__xludf.DUMMYFUNCTION("""COMPUTED_VALUE"""),"BAZIC Staples Standard (26/6) Metallic Color 3000/Pack, Stapler Refill Standard Size Staple, Assorted Colors, 1-Pack")</f>
        <v>BAZIC Staples Standard (26/6) Metallic Color 3000/Pack, Stapler Refill Standard Size Staple, Assorted Colors, 1-Pack</v>
      </c>
      <c r="D1175" t="str">
        <f>IFERROR(__xludf.DUMMYFUNCTION("""COMPUTED_VALUE"""),"B00ESWRD10")</f>
        <v>B00ESWRD10</v>
      </c>
      <c r="E1175" t="str">
        <f>IFERROR(__xludf.DUMMYFUNCTION("""COMPUTED_VALUE"""),"764608006092")</f>
        <v>764608006092</v>
      </c>
      <c r="F1175">
        <f>IFERROR(__xludf.DUMMYFUNCTION("""COMPUTED_VALUE"""),2736.0)</f>
        <v>2736</v>
      </c>
      <c r="G1175">
        <f>IFERROR(__xludf.DUMMYFUNCTION("""COMPUTED_VALUE"""),5000.0)</f>
        <v>5000</v>
      </c>
      <c r="H1175" s="2">
        <f>IFERROR(__xludf.DUMMYFUNCTION("""COMPUTED_VALUE"""),1.0)</f>
        <v>1</v>
      </c>
      <c r="I1175" s="2">
        <f>IFERROR(__xludf.DUMMYFUNCTION("""COMPUTED_VALUE"""),1.16)</f>
        <v>1.16</v>
      </c>
      <c r="J1175" s="2">
        <f>IFERROR(__xludf.DUMMYFUNCTION("""COMPUTED_VALUE"""),0.15999999999999992)</f>
        <v>0.16</v>
      </c>
      <c r="K1175" s="5">
        <f>IFERROR(__xludf.DUMMYFUNCTION("""COMPUTED_VALUE"""),0.15999999999999992)</f>
        <v>0.16</v>
      </c>
      <c r="L1175">
        <f>IFERROR(__xludf.DUMMYFUNCTION("""COMPUTED_VALUE"""),12501.0)</f>
        <v>12501</v>
      </c>
      <c r="M1175" t="str">
        <f>IFERROR(__xludf.DUMMYFUNCTION("""COMPUTED_VALUE"""),"Office Product")</f>
        <v>Office Product</v>
      </c>
      <c r="O1175" t="str">
        <f>IFERROR(__xludf.DUMMYFUNCTION("""COMPUTED_VALUE"""),"Y")</f>
        <v>Y</v>
      </c>
      <c r="P1175" s="1" t="str">
        <f>IFERROR(__xludf.DUMMYFUNCTION("""COMPUTED_VALUE"""),"ID 23008")</f>
        <v>ID 23008</v>
      </c>
    </row>
    <row r="1176">
      <c r="A1176" s="6">
        <f>IFERROR(__xludf.DUMMYFUNCTION("""COMPUTED_VALUE"""),45383.0)</f>
        <v>45383</v>
      </c>
      <c r="B1176">
        <f>IFERROR(__xludf.DUMMYFUNCTION("""COMPUTED_VALUE"""),23177.0)</f>
        <v>23177</v>
      </c>
      <c r="C1176" t="str">
        <f>IFERROR(__xludf.DUMMYFUNCTION("""COMPUTED_VALUE"""),"Zebra Pen G-301 Stainless Steel Retractable Gel Pen, Medium Point, 0.7mm, Blue Ink, 2-Count, 2 Pack (41322)")</f>
        <v>Zebra Pen G-301 Stainless Steel Retractable Gel Pen, Medium Point, 0.7mm, Blue Ink, 2-Count, 2 Pack (41322)</v>
      </c>
      <c r="D1176" t="str">
        <f>IFERROR(__xludf.DUMMYFUNCTION("""COMPUTED_VALUE"""),"B004GBRUJS")</f>
        <v>B004GBRUJS</v>
      </c>
      <c r="E1176" t="str">
        <f>IFERROR(__xludf.DUMMYFUNCTION("""COMPUTED_VALUE"""),"045888413221")</f>
        <v>045888413221</v>
      </c>
      <c r="F1176">
        <f>IFERROR(__xludf.DUMMYFUNCTION("""COMPUTED_VALUE"""),336.0)</f>
        <v>336</v>
      </c>
      <c r="G1176">
        <f>IFERROR(__xludf.DUMMYFUNCTION("""COMPUTED_VALUE"""),10000.0)</f>
        <v>10000</v>
      </c>
      <c r="H1176" s="2">
        <f>IFERROR(__xludf.DUMMYFUNCTION("""COMPUTED_VALUE"""),3.75)</f>
        <v>3.75</v>
      </c>
      <c r="I1176" s="2">
        <f>IFERROR(__xludf.DUMMYFUNCTION("""COMPUTED_VALUE"""),3.91)</f>
        <v>3.91</v>
      </c>
      <c r="J1176" s="2">
        <f>IFERROR(__xludf.DUMMYFUNCTION("""COMPUTED_VALUE"""),0.16000000000000014)</f>
        <v>0.16</v>
      </c>
      <c r="K1176" s="5">
        <f>IFERROR(__xludf.DUMMYFUNCTION("""COMPUTED_VALUE"""),0.04266666666666671)</f>
        <v>0.04266666667</v>
      </c>
      <c r="L1176">
        <f>IFERROR(__xludf.DUMMYFUNCTION("""COMPUTED_VALUE"""),3962.0)</f>
        <v>3962</v>
      </c>
      <c r="M1176" t="str">
        <f>IFERROR(__xludf.DUMMYFUNCTION("""COMPUTED_VALUE"""),"Office Product")</f>
        <v>Office Product</v>
      </c>
      <c r="O1176" t="str">
        <f>IFERROR(__xludf.DUMMYFUNCTION("""COMPUTED_VALUE"""),"Y")</f>
        <v>Y</v>
      </c>
      <c r="P1176" s="1" t="str">
        <f>IFERROR(__xludf.DUMMYFUNCTION("""COMPUTED_VALUE"""),"ID 23177")</f>
        <v>ID 23177</v>
      </c>
    </row>
    <row r="1177">
      <c r="A1177" s="6">
        <f>IFERROR(__xludf.DUMMYFUNCTION("""COMPUTED_VALUE"""),45390.0)</f>
        <v>45390</v>
      </c>
      <c r="B1177">
        <f>IFERROR(__xludf.DUMMYFUNCTION("""COMPUTED_VALUE"""),10412.0)</f>
        <v>10412</v>
      </c>
      <c r="C1177" t="str">
        <f>IFERROR(__xludf.DUMMYFUNCTION("""COMPUTED_VALUE"""),"Chef Craft 21006 Splatter Screen, Stainless Steel/Aluminum, Painted 10 in Dia Silver")</f>
        <v>Chef Craft 21006 Splatter Screen, Stainless Steel/Aluminum, Painted 10 in Dia Silver</v>
      </c>
      <c r="D1177" t="str">
        <f>IFERROR(__xludf.DUMMYFUNCTION("""COMPUTED_VALUE"""),"B0021XM0UC")</f>
        <v>B0021XM0UC</v>
      </c>
      <c r="E1177" t="str">
        <f>IFERROR(__xludf.DUMMYFUNCTION("""COMPUTED_VALUE"""),"085455210068")</f>
        <v>085455210068</v>
      </c>
      <c r="F1177">
        <f>IFERROR(__xludf.DUMMYFUNCTION("""COMPUTED_VALUE"""),576.0)</f>
        <v>576</v>
      </c>
      <c r="G1177">
        <f>IFERROR(__xludf.DUMMYFUNCTION("""COMPUTED_VALUE"""),10000.0)</f>
        <v>10000</v>
      </c>
      <c r="H1177" s="2">
        <f>IFERROR(__xludf.DUMMYFUNCTION("""COMPUTED_VALUE"""),1.75)</f>
        <v>1.75</v>
      </c>
      <c r="I1177" s="2">
        <f>IFERROR(__xludf.DUMMYFUNCTION("""COMPUTED_VALUE"""),1.9)</f>
        <v>1.9</v>
      </c>
      <c r="J1177" s="2">
        <f>IFERROR(__xludf.DUMMYFUNCTION("""COMPUTED_VALUE"""),0.1499999999999999)</f>
        <v>0.15</v>
      </c>
      <c r="K1177" s="5">
        <f>IFERROR(__xludf.DUMMYFUNCTION("""COMPUTED_VALUE"""),0.08571428571428566)</f>
        <v>0.08571428571</v>
      </c>
      <c r="L1177">
        <f>IFERROR(__xludf.DUMMYFUNCTION("""COMPUTED_VALUE"""),17200.0)</f>
        <v>17200</v>
      </c>
      <c r="M1177" t="str">
        <f>IFERROR(__xludf.DUMMYFUNCTION("""COMPUTED_VALUE"""),"Kitchen")</f>
        <v>Kitchen</v>
      </c>
      <c r="O1177" t="str">
        <f>IFERROR(__xludf.DUMMYFUNCTION("""COMPUTED_VALUE"""),"Y")</f>
        <v>Y</v>
      </c>
      <c r="P1177" s="1" t="str">
        <f>IFERROR(__xludf.DUMMYFUNCTION("""COMPUTED_VALUE"""),"ID 10412")</f>
        <v>ID 10412</v>
      </c>
    </row>
    <row r="1178">
      <c r="A1178" s="6">
        <f>IFERROR(__xludf.DUMMYFUNCTION("""COMPUTED_VALUE"""),45376.0)</f>
        <v>45376</v>
      </c>
      <c r="B1178">
        <f>IFERROR(__xludf.DUMMYFUNCTION("""COMPUTED_VALUE"""),21074.0)</f>
        <v>21074</v>
      </c>
      <c r="C1178" t="str">
        <f>IFERROR(__xludf.DUMMYFUNCTION("""COMPUTED_VALUE"""),"Intex French Fries Float")</f>
        <v>Intex French Fries Float</v>
      </c>
      <c r="D1178" t="str">
        <f>IFERROR(__xludf.DUMMYFUNCTION("""COMPUTED_VALUE"""),"B07BHV6DHB")</f>
        <v>B07BHV6DHB</v>
      </c>
      <c r="E1178" t="str">
        <f>IFERROR(__xludf.DUMMYFUNCTION("""COMPUTED_VALUE"""),"078257587759")</f>
        <v>078257587759</v>
      </c>
      <c r="F1178">
        <f>IFERROR(__xludf.DUMMYFUNCTION("""COMPUTED_VALUE"""),132.0)</f>
        <v>132</v>
      </c>
      <c r="G1178">
        <f>IFERROR(__xludf.DUMMYFUNCTION("""COMPUTED_VALUE"""),132.0)</f>
        <v>132</v>
      </c>
      <c r="H1178" s="2">
        <f>IFERROR(__xludf.DUMMYFUNCTION("""COMPUTED_VALUE"""),7.0)</f>
        <v>7</v>
      </c>
      <c r="I1178" s="2">
        <f>IFERROR(__xludf.DUMMYFUNCTION("""COMPUTED_VALUE"""),7.15)</f>
        <v>7.15</v>
      </c>
      <c r="J1178" s="2">
        <f>IFERROR(__xludf.DUMMYFUNCTION("""COMPUTED_VALUE"""),0.15000000000000036)</f>
        <v>0.15</v>
      </c>
      <c r="K1178" s="5">
        <f>IFERROR(__xludf.DUMMYFUNCTION("""COMPUTED_VALUE"""),0.02142857142857148)</f>
        <v>0.02142857143</v>
      </c>
      <c r="L1178">
        <f>IFERROR(__xludf.DUMMYFUNCTION("""COMPUTED_VALUE"""),67058.0)</f>
        <v>67058</v>
      </c>
      <c r="M1178" t="str">
        <f>IFERROR(__xludf.DUMMYFUNCTION("""COMPUTED_VALUE"""),"Toy")</f>
        <v>Toy</v>
      </c>
      <c r="O1178" t="str">
        <f>IFERROR(__xludf.DUMMYFUNCTION("""COMPUTED_VALUE"""),"N")</f>
        <v>N</v>
      </c>
      <c r="P1178" s="1" t="str">
        <f>IFERROR(__xludf.DUMMYFUNCTION("""COMPUTED_VALUE"""),"ID 21074")</f>
        <v>ID 21074</v>
      </c>
    </row>
    <row r="1179">
      <c r="A1179" s="6">
        <f>IFERROR(__xludf.DUMMYFUNCTION("""COMPUTED_VALUE"""),45429.0)</f>
        <v>45429</v>
      </c>
      <c r="B1179">
        <f>IFERROR(__xludf.DUMMYFUNCTION("""COMPUTED_VALUE"""),23740.0)</f>
        <v>23740</v>
      </c>
      <c r="C1179" t="str">
        <f>IFERROR(__xludf.DUMMYFUNCTION("""COMPUTED_VALUE"""),"Tommy Cologne Spray for Men, 1.7 Ounce")</f>
        <v>Tommy Cologne Spray for Men, 1.7 Ounce</v>
      </c>
      <c r="D1179" t="str">
        <f>IFERROR(__xludf.DUMMYFUNCTION("""COMPUTED_VALUE"""),"B004697F2W")</f>
        <v>B004697F2W</v>
      </c>
      <c r="E1179" t="str">
        <f>IFERROR(__xludf.DUMMYFUNCTION("""COMPUTED_VALUE"""),"022548024317")</f>
        <v>022548024317</v>
      </c>
      <c r="F1179">
        <f>IFERROR(__xludf.DUMMYFUNCTION("""COMPUTED_VALUE"""),80.0)</f>
        <v>80</v>
      </c>
      <c r="G1179">
        <f>IFERROR(__xludf.DUMMYFUNCTION("""COMPUTED_VALUE"""),10000.0)</f>
        <v>10000</v>
      </c>
      <c r="H1179" s="2">
        <f>IFERROR(__xludf.DUMMYFUNCTION("""COMPUTED_VALUE"""),15.5)</f>
        <v>15.5</v>
      </c>
      <c r="I1179" s="2">
        <f>IFERROR(__xludf.DUMMYFUNCTION("""COMPUTED_VALUE"""),15.65)</f>
        <v>15.65</v>
      </c>
      <c r="J1179" s="2">
        <f>IFERROR(__xludf.DUMMYFUNCTION("""COMPUTED_VALUE"""),0.15000000000000036)</f>
        <v>0.15</v>
      </c>
      <c r="K1179" s="5">
        <f>IFERROR(__xludf.DUMMYFUNCTION("""COMPUTED_VALUE"""),0.009677419354838733)</f>
        <v>0.009677419355</v>
      </c>
      <c r="L1179">
        <f>IFERROR(__xludf.DUMMYFUNCTION("""COMPUTED_VALUE"""),72330.0)</f>
        <v>72330</v>
      </c>
      <c r="M1179" t="str">
        <f>IFERROR(__xludf.DUMMYFUNCTION("""COMPUTED_VALUE"""),"Beauty")</f>
        <v>Beauty</v>
      </c>
      <c r="O1179" t="str">
        <f>IFERROR(__xludf.DUMMYFUNCTION("""COMPUTED_VALUE"""),"Y")</f>
        <v>Y</v>
      </c>
      <c r="P1179" s="1" t="str">
        <f>IFERROR(__xludf.DUMMYFUNCTION("""COMPUTED_VALUE"""),"ID 23740")</f>
        <v>ID 23740</v>
      </c>
    </row>
    <row r="1180">
      <c r="A1180" s="6">
        <f>IFERROR(__xludf.DUMMYFUNCTION("""COMPUTED_VALUE"""),45376.0)</f>
        <v>45376</v>
      </c>
      <c r="B1180">
        <f>IFERROR(__xludf.DUMMYFUNCTION("""COMPUTED_VALUE"""),25123.0)</f>
        <v>25123</v>
      </c>
      <c r="C1180" t="str">
        <f>IFERROR(__xludf.DUMMYFUNCTION("""COMPUTED_VALUE"""),"Pacon 154 Character Self-Adhesive Letter Set")</f>
        <v>Pacon 154 Character Self-Adhesive Letter Set</v>
      </c>
      <c r="D1180" t="str">
        <f>IFERROR(__xludf.DUMMYFUNCTION("""COMPUTED_VALUE"""),"B00Z3NAXBK")</f>
        <v>B00Z3NAXBK</v>
      </c>
      <c r="E1180" t="str">
        <f>IFERROR(__xludf.DUMMYFUNCTION("""COMPUTED_VALUE"""),"045173516941")</f>
        <v>045173516941</v>
      </c>
      <c r="F1180">
        <f>IFERROR(__xludf.DUMMYFUNCTION("""COMPUTED_VALUE"""),432.0)</f>
        <v>432</v>
      </c>
      <c r="G1180">
        <f>IFERROR(__xludf.DUMMYFUNCTION("""COMPUTED_VALUE"""),10000.0)</f>
        <v>10000</v>
      </c>
      <c r="H1180" s="2">
        <f>IFERROR(__xludf.DUMMYFUNCTION("""COMPUTED_VALUE"""),8.5)</f>
        <v>8.5</v>
      </c>
      <c r="I1180" s="2">
        <f>IFERROR(__xludf.DUMMYFUNCTION("""COMPUTED_VALUE"""),8.65)</f>
        <v>8.65</v>
      </c>
      <c r="J1180" s="2">
        <f>IFERROR(__xludf.DUMMYFUNCTION("""COMPUTED_VALUE"""),0.15000000000000036)</f>
        <v>0.15</v>
      </c>
      <c r="K1180" s="5">
        <f>IFERROR(__xludf.DUMMYFUNCTION("""COMPUTED_VALUE"""),0.017647058823529453)</f>
        <v>0.01764705882</v>
      </c>
      <c r="L1180">
        <f>IFERROR(__xludf.DUMMYFUNCTION("""COMPUTED_VALUE"""),18706.0)</f>
        <v>18706</v>
      </c>
      <c r="M1180" t="str">
        <f>IFERROR(__xludf.DUMMYFUNCTION("""COMPUTED_VALUE"""),"Home")</f>
        <v>Home</v>
      </c>
      <c r="O1180" t="str">
        <f>IFERROR(__xludf.DUMMYFUNCTION("""COMPUTED_VALUE"""),"Y")</f>
        <v>Y</v>
      </c>
      <c r="P1180" s="1" t="str">
        <f>IFERROR(__xludf.DUMMYFUNCTION("""COMPUTED_VALUE"""),"ID 25123")</f>
        <v>ID 25123</v>
      </c>
    </row>
    <row r="1181">
      <c r="A1181" s="6">
        <f>IFERROR(__xludf.DUMMYFUNCTION("""COMPUTED_VALUE"""),45429.0)</f>
        <v>45429</v>
      </c>
      <c r="B1181">
        <f>IFERROR(__xludf.DUMMYFUNCTION("""COMPUTED_VALUE"""),17633.0)</f>
        <v>17633</v>
      </c>
      <c r="C1181" t="str">
        <f>IFERROR(__xludf.DUMMYFUNCTION("""COMPUTED_VALUE"""),"Guess Seductive by Guess 2.5 oz 75 ml EDT Spray")</f>
        <v>Guess Seductive by Guess 2.5 oz 75 ml EDT Spray</v>
      </c>
      <c r="D1181" t="str">
        <f>IFERROR(__xludf.DUMMYFUNCTION("""COMPUTED_VALUE"""),"B0041FXETY")</f>
        <v>B0041FXETY</v>
      </c>
      <c r="E1181" t="str">
        <f>IFERROR(__xludf.DUMMYFUNCTION("""COMPUTED_VALUE"""),"085715320117")</f>
        <v>085715320117</v>
      </c>
      <c r="F1181">
        <f>IFERROR(__xludf.DUMMYFUNCTION("""COMPUTED_VALUE"""),90.0)</f>
        <v>90</v>
      </c>
      <c r="G1181">
        <f>IFERROR(__xludf.DUMMYFUNCTION("""COMPUTED_VALUE"""),10000.0)</f>
        <v>10000</v>
      </c>
      <c r="H1181" s="2">
        <f>IFERROR(__xludf.DUMMYFUNCTION("""COMPUTED_VALUE"""),14.75)</f>
        <v>14.75</v>
      </c>
      <c r="I1181" s="2">
        <f>IFERROR(__xludf.DUMMYFUNCTION("""COMPUTED_VALUE"""),14.89)</f>
        <v>14.89</v>
      </c>
      <c r="J1181" s="2">
        <f>IFERROR(__xludf.DUMMYFUNCTION("""COMPUTED_VALUE"""),0.14000000000000057)</f>
        <v>0.14</v>
      </c>
      <c r="K1181" s="5">
        <f>IFERROR(__xludf.DUMMYFUNCTION("""COMPUTED_VALUE"""),0.009491525423728851)</f>
        <v>0.009491525424</v>
      </c>
      <c r="L1181">
        <f>IFERROR(__xludf.DUMMYFUNCTION("""COMPUTED_VALUE"""),12518.0)</f>
        <v>12518</v>
      </c>
      <c r="M1181" t="str">
        <f>IFERROR(__xludf.DUMMYFUNCTION("""COMPUTED_VALUE"""),"Beauty")</f>
        <v>Beauty</v>
      </c>
      <c r="O1181" t="str">
        <f>IFERROR(__xludf.DUMMYFUNCTION("""COMPUTED_VALUE"""),"Y")</f>
        <v>Y</v>
      </c>
      <c r="P1181" s="1" t="str">
        <f>IFERROR(__xludf.DUMMYFUNCTION("""COMPUTED_VALUE"""),"ID 17633")</f>
        <v>ID 17633</v>
      </c>
    </row>
    <row r="1182">
      <c r="A1182" s="6">
        <f>IFERROR(__xludf.DUMMYFUNCTION("""COMPUTED_VALUE"""),45126.0)</f>
        <v>45126</v>
      </c>
      <c r="B1182">
        <f>IFERROR(__xludf.DUMMYFUNCTION("""COMPUTED_VALUE"""),2553.0)</f>
        <v>2553</v>
      </c>
      <c r="C1182" t="str">
        <f>IFERROR(__xludf.DUMMYFUNCTION("""COMPUTED_VALUE"""),"US Toy Baseball Toy Figures (Set of 12)")</f>
        <v>US Toy Baseball Toy Figures (Set of 12)</v>
      </c>
      <c r="D1182" t="str">
        <f>IFERROR(__xludf.DUMMYFUNCTION("""COMPUTED_VALUE"""),"B00BTWDDZW")</f>
        <v>B00BTWDDZW</v>
      </c>
      <c r="E1182" t="str">
        <f>IFERROR(__xludf.DUMMYFUNCTION("""COMPUTED_VALUE"""),"049392024621")</f>
        <v>049392024621</v>
      </c>
      <c r="F1182">
        <f>IFERROR(__xludf.DUMMYFUNCTION("""COMPUTED_VALUE"""),192.0)</f>
        <v>192</v>
      </c>
      <c r="G1182">
        <f>IFERROR(__xludf.DUMMYFUNCTION("""COMPUTED_VALUE"""),2642.0)</f>
        <v>2642</v>
      </c>
      <c r="H1182" s="2">
        <f>IFERROR(__xludf.DUMMYFUNCTION("""COMPUTED_VALUE"""),8.0)</f>
        <v>8</v>
      </c>
      <c r="I1182" s="2">
        <f>IFERROR(__xludf.DUMMYFUNCTION("""COMPUTED_VALUE"""),8.14)</f>
        <v>8.14</v>
      </c>
      <c r="J1182" s="2">
        <f>IFERROR(__xludf.DUMMYFUNCTION("""COMPUTED_VALUE"""),0.14000000000000057)</f>
        <v>0.14</v>
      </c>
      <c r="K1182" s="5">
        <f>IFERROR(__xludf.DUMMYFUNCTION("""COMPUTED_VALUE"""),0.01750000000000007)</f>
        <v>0.0175</v>
      </c>
      <c r="L1182">
        <f>IFERROR(__xludf.DUMMYFUNCTION("""COMPUTED_VALUE"""),61019.0)</f>
        <v>61019</v>
      </c>
      <c r="M1182" t="str">
        <f>IFERROR(__xludf.DUMMYFUNCTION("""COMPUTED_VALUE"""),"Home")</f>
        <v>Home</v>
      </c>
      <c r="N1182" t="str">
        <f>IFERROR(__xludf.DUMMYFUNCTION("""COMPUTED_VALUE"""),"MAP: $7.99. If you violate the MAP pricing, the brand will remove you and require you to return the merchandise at a 50% restocking fee.")</f>
        <v>MAP: $7.99. If you violate the MAP pricing, the brand will remove you and require you to return the merchandise at a 50% restocking fee.</v>
      </c>
      <c r="O1182" t="str">
        <f>IFERROR(__xludf.DUMMYFUNCTION("""COMPUTED_VALUE"""),"N")</f>
        <v>N</v>
      </c>
      <c r="P1182" s="1" t="str">
        <f>IFERROR(__xludf.DUMMYFUNCTION("""COMPUTED_VALUE"""),"ID 2553")</f>
        <v>ID 2553</v>
      </c>
    </row>
    <row r="1183">
      <c r="A1183" s="6">
        <f>IFERROR(__xludf.DUMMYFUNCTION("""COMPUTED_VALUE"""),45376.0)</f>
        <v>45376</v>
      </c>
      <c r="B1183">
        <f>IFERROR(__xludf.DUMMYFUNCTION("""COMPUTED_VALUE"""),2085.0)</f>
        <v>2085</v>
      </c>
      <c r="C1183" t="str">
        <f>IFERROR(__xludf.DUMMYFUNCTION("""COMPUTED_VALUE"""),"US Toy Peace Sign Necklaces Costume")</f>
        <v>US Toy Peace Sign Necklaces Costume</v>
      </c>
      <c r="D1183" t="str">
        <f>IFERROR(__xludf.DUMMYFUNCTION("""COMPUTED_VALUE"""),"B00362RXOK")</f>
        <v>B00362RXOK</v>
      </c>
      <c r="E1183" t="str">
        <f>IFERROR(__xludf.DUMMYFUNCTION("""COMPUTED_VALUE"""),"049392260142")</f>
        <v>049392260142</v>
      </c>
      <c r="F1183">
        <f>IFERROR(__xludf.DUMMYFUNCTION("""COMPUTED_VALUE"""),360.0)</f>
        <v>360</v>
      </c>
      <c r="G1183">
        <f>IFERROR(__xludf.DUMMYFUNCTION("""COMPUTED_VALUE"""),1809.0)</f>
        <v>1809</v>
      </c>
      <c r="H1183" s="2">
        <f>IFERROR(__xludf.DUMMYFUNCTION("""COMPUTED_VALUE"""),3.5)</f>
        <v>3.5</v>
      </c>
      <c r="I1183" s="2">
        <f>IFERROR(__xludf.DUMMYFUNCTION("""COMPUTED_VALUE"""),3.64)</f>
        <v>3.64</v>
      </c>
      <c r="J1183" s="2">
        <f>IFERROR(__xludf.DUMMYFUNCTION("""COMPUTED_VALUE"""),0.14000000000000012)</f>
        <v>0.14</v>
      </c>
      <c r="K1183" s="5">
        <f>IFERROR(__xludf.DUMMYFUNCTION("""COMPUTED_VALUE"""),0.040000000000000036)</f>
        <v>0.04</v>
      </c>
      <c r="L1183">
        <f>IFERROR(__xludf.DUMMYFUNCTION("""COMPUTED_VALUE"""),94904.0)</f>
        <v>94904</v>
      </c>
      <c r="M1183" t="str">
        <f>IFERROR(__xludf.DUMMYFUNCTION("""COMPUTED_VALUE"""),"Toy")</f>
        <v>Toy</v>
      </c>
      <c r="N1183" t="str">
        <f>IFERROR(__xludf.DUMMYFUNCTION("""COMPUTED_VALUE"""),"MAP: $4.99. If you violate the MAP pricing, the brand will remove you and require you to return the merchandise at a 50% restocking fee.")</f>
        <v>MAP: $4.99. If you violate the MAP pricing, the brand will remove you and require you to return the merchandise at a 50% restocking fee.</v>
      </c>
      <c r="O1183" t="str">
        <f>IFERROR(__xludf.DUMMYFUNCTION("""COMPUTED_VALUE"""),"N")</f>
        <v>N</v>
      </c>
      <c r="P1183" s="1" t="str">
        <f>IFERROR(__xludf.DUMMYFUNCTION("""COMPUTED_VALUE"""),"ID 2085")</f>
        <v>ID 2085</v>
      </c>
    </row>
    <row r="1184">
      <c r="A1184" s="6">
        <f>IFERROR(__xludf.DUMMYFUNCTION("""COMPUTED_VALUE"""),43994.0)</f>
        <v>43994</v>
      </c>
      <c r="B1184">
        <f>IFERROR(__xludf.DUMMYFUNCTION("""COMPUTED_VALUE"""),15022.0)</f>
        <v>15022</v>
      </c>
      <c r="C1184" t="str">
        <f>IFERROR(__xludf.DUMMYFUNCTION("""COMPUTED_VALUE"""),"Revlon ColorStay Full Cover Foundation, Toast, 1.0 Fluid Ounce")</f>
        <v>Revlon ColorStay Full Cover Foundation, Toast, 1.0 Fluid Ounce</v>
      </c>
      <c r="D1184" t="str">
        <f>IFERROR(__xludf.DUMMYFUNCTION("""COMPUTED_VALUE"""),"B07B4F46KC")</f>
        <v>B07B4F46KC</v>
      </c>
      <c r="E1184" t="str">
        <f>IFERROR(__xludf.DUMMYFUNCTION("""COMPUTED_VALUE"""),"309971335129")</f>
        <v>309971335129</v>
      </c>
      <c r="F1184">
        <f>IFERROR(__xludf.DUMMYFUNCTION("""COMPUTED_VALUE"""),480.0)</f>
        <v>480</v>
      </c>
      <c r="G1184">
        <f>IFERROR(__xludf.DUMMYFUNCTION("""COMPUTED_VALUE"""),480.0)</f>
        <v>480</v>
      </c>
      <c r="H1184" s="2">
        <f>IFERROR(__xludf.DUMMYFUNCTION("""COMPUTED_VALUE"""),2.75)</f>
        <v>2.75</v>
      </c>
      <c r="I1184" s="2">
        <f>IFERROR(__xludf.DUMMYFUNCTION("""COMPUTED_VALUE"""),2.88)</f>
        <v>2.88</v>
      </c>
      <c r="J1184" s="2">
        <f>IFERROR(__xludf.DUMMYFUNCTION("""COMPUTED_VALUE"""),0.1299999999999999)</f>
        <v>0.13</v>
      </c>
      <c r="K1184" s="5">
        <f>IFERROR(__xludf.DUMMYFUNCTION("""COMPUTED_VALUE"""),0.04727272727272724)</f>
        <v>0.04727272727</v>
      </c>
      <c r="L1184">
        <f>IFERROR(__xludf.DUMMYFUNCTION("""COMPUTED_VALUE"""),1728.0)</f>
        <v>1728</v>
      </c>
      <c r="M1184" t="str">
        <f>IFERROR(__xludf.DUMMYFUNCTION("""COMPUTED_VALUE"""),"Beauty")</f>
        <v>Beauty</v>
      </c>
      <c r="O1184" t="str">
        <f>IFERROR(__xludf.DUMMYFUNCTION("""COMPUTED_VALUE"""),"N")</f>
        <v>N</v>
      </c>
      <c r="P1184" s="1" t="str">
        <f>IFERROR(__xludf.DUMMYFUNCTION("""COMPUTED_VALUE"""),"ID 15022")</f>
        <v>ID 15022</v>
      </c>
    </row>
    <row r="1185">
      <c r="A1185" s="6">
        <f>IFERROR(__xludf.DUMMYFUNCTION("""COMPUTED_VALUE"""),45390.0)</f>
        <v>45390</v>
      </c>
      <c r="B1185">
        <f>IFERROR(__xludf.DUMMYFUNCTION("""COMPUTED_VALUE"""),15743.0)</f>
        <v>15743</v>
      </c>
      <c r="C1185" t="str">
        <f>IFERROR(__xludf.DUMMYFUNCTION("""COMPUTED_VALUE"""),"Chef Craft Select Mixing Bowl Set, 5 Piece, Multiple Color")</f>
        <v>Chef Craft Select Mixing Bowl Set, 5 Piece, Multiple Color</v>
      </c>
      <c r="D1185" t="str">
        <f>IFERROR(__xludf.DUMMYFUNCTION("""COMPUTED_VALUE"""),"B006HCUZE6")</f>
        <v>B006HCUZE6</v>
      </c>
      <c r="E1185" t="str">
        <f>IFERROR(__xludf.DUMMYFUNCTION("""COMPUTED_VALUE"""),"085455216633")</f>
        <v>085455216633</v>
      </c>
      <c r="F1185">
        <f>IFERROR(__xludf.DUMMYFUNCTION("""COMPUTED_VALUE"""),228.0)</f>
        <v>228</v>
      </c>
      <c r="G1185">
        <f>IFERROR(__xludf.DUMMYFUNCTION("""COMPUTED_VALUE"""),10000.0)</f>
        <v>10000</v>
      </c>
      <c r="H1185" s="2">
        <f>IFERROR(__xludf.DUMMYFUNCTION("""COMPUTED_VALUE"""),6.0)</f>
        <v>6</v>
      </c>
      <c r="I1185" s="2">
        <f>IFERROR(__xludf.DUMMYFUNCTION("""COMPUTED_VALUE"""),6.13)</f>
        <v>6.13</v>
      </c>
      <c r="J1185" s="2">
        <f>IFERROR(__xludf.DUMMYFUNCTION("""COMPUTED_VALUE"""),0.1299999999999999)</f>
        <v>0.13</v>
      </c>
      <c r="K1185" s="5">
        <f>IFERROR(__xludf.DUMMYFUNCTION("""COMPUTED_VALUE"""),0.02166666666666665)</f>
        <v>0.02166666667</v>
      </c>
      <c r="L1185">
        <f>IFERROR(__xludf.DUMMYFUNCTION("""COMPUTED_VALUE"""),97777.0)</f>
        <v>97777</v>
      </c>
      <c r="M1185" t="str">
        <f>IFERROR(__xludf.DUMMYFUNCTION("""COMPUTED_VALUE"""),"Kitchen")</f>
        <v>Kitchen</v>
      </c>
      <c r="O1185" t="str">
        <f>IFERROR(__xludf.DUMMYFUNCTION("""COMPUTED_VALUE"""),"N")</f>
        <v>N</v>
      </c>
      <c r="P1185" s="1" t="str">
        <f>IFERROR(__xludf.DUMMYFUNCTION("""COMPUTED_VALUE"""),"ID 15743")</f>
        <v>ID 15743</v>
      </c>
    </row>
    <row r="1186">
      <c r="A1186" s="6">
        <f>IFERROR(__xludf.DUMMYFUNCTION("""COMPUTED_VALUE"""),45119.0)</f>
        <v>45119</v>
      </c>
      <c r="B1186">
        <f>IFERROR(__xludf.DUMMYFUNCTION("""COMPUTED_VALUE"""),19656.0)</f>
        <v>19656</v>
      </c>
      <c r="C1186" t="str">
        <f>IFERROR(__xludf.DUMMYFUNCTION("""COMPUTED_VALUE"""),"Pentel Super Hi-Polymer Lead Refill 0.2mm, Super Fine, HB, 12ct. Tubes, 2 Pack (C502BP2HB)")</f>
        <v>Pentel Super Hi-Polymer Lead Refill 0.2mm, Super Fine, HB, 12ct. Tubes, 2 Pack (C502BP2HB)</v>
      </c>
      <c r="D1186" t="str">
        <f>IFERROR(__xludf.DUMMYFUNCTION("""COMPUTED_VALUE"""),"B01IN8QCIY")</f>
        <v>B01IN8QCIY</v>
      </c>
      <c r="E1186" t="str">
        <f>IFERROR(__xludf.DUMMYFUNCTION("""COMPUTED_VALUE"""),"072512263587")</f>
        <v>072512263587</v>
      </c>
      <c r="F1186">
        <f>IFERROR(__xludf.DUMMYFUNCTION("""COMPUTED_VALUE"""),432.0)</f>
        <v>432</v>
      </c>
      <c r="G1186">
        <f>IFERROR(__xludf.DUMMYFUNCTION("""COMPUTED_VALUE"""),10000.0)</f>
        <v>10000</v>
      </c>
      <c r="H1186" s="2">
        <f>IFERROR(__xludf.DUMMYFUNCTION("""COMPUTED_VALUE"""),2.25)</f>
        <v>2.25</v>
      </c>
      <c r="I1186" s="2">
        <f>IFERROR(__xludf.DUMMYFUNCTION("""COMPUTED_VALUE"""),2.38)</f>
        <v>2.38</v>
      </c>
      <c r="J1186" s="2">
        <f>IFERROR(__xludf.DUMMYFUNCTION("""COMPUTED_VALUE"""),0.1299999999999999)</f>
        <v>0.13</v>
      </c>
      <c r="K1186" s="5">
        <f>IFERROR(__xludf.DUMMYFUNCTION("""COMPUTED_VALUE"""),0.057777777777777733)</f>
        <v>0.05777777778</v>
      </c>
      <c r="L1186">
        <f>IFERROR(__xludf.DUMMYFUNCTION("""COMPUTED_VALUE"""),46194.0)</f>
        <v>46194</v>
      </c>
      <c r="M1186" t="str">
        <f>IFERROR(__xludf.DUMMYFUNCTION("""COMPUTED_VALUE"""),"Office Product")</f>
        <v>Office Product</v>
      </c>
      <c r="O1186" t="str">
        <f>IFERROR(__xludf.DUMMYFUNCTION("""COMPUTED_VALUE"""),"Y")</f>
        <v>Y</v>
      </c>
      <c r="P1186" s="1" t="str">
        <f>IFERROR(__xludf.DUMMYFUNCTION("""COMPUTED_VALUE"""),"ID 19656")</f>
        <v>ID 19656</v>
      </c>
    </row>
    <row r="1187">
      <c r="A1187" s="6">
        <f>IFERROR(__xludf.DUMMYFUNCTION("""COMPUTED_VALUE"""),45306.0)</f>
        <v>45306</v>
      </c>
      <c r="B1187">
        <f>IFERROR(__xludf.DUMMYFUNCTION("""COMPUTED_VALUE"""),796.0)</f>
        <v>796</v>
      </c>
      <c r="C1187" t="str">
        <f>IFERROR(__xludf.DUMMYFUNCTION("""COMPUTED_VALUE"""),"handy helpers Bulk Buys Tempered Glass Lazy Susan")</f>
        <v>handy helpers Bulk Buys Tempered Glass Lazy Susan</v>
      </c>
      <c r="D1187" t="str">
        <f>IFERROR(__xludf.DUMMYFUNCTION("""COMPUTED_VALUE"""),"B005M25JJI")</f>
        <v>B005M25JJI</v>
      </c>
      <c r="E1187" t="str">
        <f>IFERROR(__xludf.DUMMYFUNCTION("""COMPUTED_VALUE"""),"6949196561640")</f>
        <v>6949196561640</v>
      </c>
      <c r="F1187">
        <f>IFERROR(__xludf.DUMMYFUNCTION("""COMPUTED_VALUE"""),204.0)</f>
        <v>204</v>
      </c>
      <c r="G1187">
        <f>IFERROR(__xludf.DUMMYFUNCTION("""COMPUTED_VALUE"""),253.0)</f>
        <v>253</v>
      </c>
      <c r="H1187" s="2">
        <f>IFERROR(__xludf.DUMMYFUNCTION("""COMPUTED_VALUE"""),6.0)</f>
        <v>6</v>
      </c>
      <c r="I1187" s="2">
        <f>IFERROR(__xludf.DUMMYFUNCTION("""COMPUTED_VALUE"""),6.13)</f>
        <v>6.13</v>
      </c>
      <c r="J1187" s="2">
        <f>IFERROR(__xludf.DUMMYFUNCTION("""COMPUTED_VALUE"""),0.1299999999999999)</f>
        <v>0.13</v>
      </c>
      <c r="K1187" s="5">
        <f>IFERROR(__xludf.DUMMYFUNCTION("""COMPUTED_VALUE"""),0.02166666666666665)</f>
        <v>0.02166666667</v>
      </c>
      <c r="L1187">
        <f>IFERROR(__xludf.DUMMYFUNCTION("""COMPUTED_VALUE"""),95830.0)</f>
        <v>95830</v>
      </c>
      <c r="M1187" t="str">
        <f>IFERROR(__xludf.DUMMYFUNCTION("""COMPUTED_VALUE"""),"Kitchen")</f>
        <v>Kitchen</v>
      </c>
      <c r="O1187" t="str">
        <f>IFERROR(__xludf.DUMMYFUNCTION("""COMPUTED_VALUE"""),"N")</f>
        <v>N</v>
      </c>
      <c r="P1187" s="1" t="str">
        <f>IFERROR(__xludf.DUMMYFUNCTION("""COMPUTED_VALUE"""),"ID 796")</f>
        <v>ID 796</v>
      </c>
    </row>
    <row r="1188">
      <c r="A1188" s="6">
        <f>IFERROR(__xludf.DUMMYFUNCTION("""COMPUTED_VALUE"""),45376.0)</f>
        <v>45376</v>
      </c>
      <c r="B1188">
        <f>IFERROR(__xludf.DUMMYFUNCTION("""COMPUTED_VALUE"""),17089.0)</f>
        <v>17089</v>
      </c>
      <c r="C1188" t="str">
        <f>IFERROR(__xludf.DUMMYFUNCTION("""COMPUTED_VALUE"""),"TICONDEROGA Pink Carnation Erasers, Wedge, Medium, Pink, 5-Pack (38945)")</f>
        <v>TICONDEROGA Pink Carnation Erasers, Wedge, Medium, Pink, 5-Pack (38945)</v>
      </c>
      <c r="D1188" t="str">
        <f>IFERROR(__xludf.DUMMYFUNCTION("""COMPUTED_VALUE"""),"B00FXCZOZQ")</f>
        <v>B00FXCZOZQ</v>
      </c>
      <c r="E1188" t="str">
        <f>IFERROR(__xludf.DUMMYFUNCTION("""COMPUTED_VALUE"""),"072067389459")</f>
        <v>072067389459</v>
      </c>
      <c r="F1188">
        <f>IFERROR(__xludf.DUMMYFUNCTION("""COMPUTED_VALUE"""),2592.0)</f>
        <v>2592</v>
      </c>
      <c r="G1188">
        <f>IFERROR(__xludf.DUMMYFUNCTION("""COMPUTED_VALUE"""),10000.0)</f>
        <v>10000</v>
      </c>
      <c r="H1188" s="2">
        <f>IFERROR(__xludf.DUMMYFUNCTION("""COMPUTED_VALUE"""),1.5)</f>
        <v>1.5</v>
      </c>
      <c r="I1188" s="2">
        <f>IFERROR(__xludf.DUMMYFUNCTION("""COMPUTED_VALUE"""),1.63)</f>
        <v>1.63</v>
      </c>
      <c r="J1188" s="2">
        <f>IFERROR(__xludf.DUMMYFUNCTION("""COMPUTED_VALUE"""),0.1299999999999999)</f>
        <v>0.13</v>
      </c>
      <c r="K1188" s="5">
        <f>IFERROR(__xludf.DUMMYFUNCTION("""COMPUTED_VALUE"""),0.0866666666666666)</f>
        <v>0.08666666667</v>
      </c>
      <c r="L1188">
        <f>IFERROR(__xludf.DUMMYFUNCTION("""COMPUTED_VALUE"""),81437.0)</f>
        <v>81437</v>
      </c>
      <c r="M1188" t="str">
        <f>IFERROR(__xludf.DUMMYFUNCTION("""COMPUTED_VALUE"""),"Office Product")</f>
        <v>Office Product</v>
      </c>
      <c r="O1188" t="str">
        <f>IFERROR(__xludf.DUMMYFUNCTION("""COMPUTED_VALUE"""),"Y")</f>
        <v>Y</v>
      </c>
      <c r="P1188" s="1" t="str">
        <f>IFERROR(__xludf.DUMMYFUNCTION("""COMPUTED_VALUE"""),"ID 17089")</f>
        <v>ID 17089</v>
      </c>
    </row>
    <row r="1189">
      <c r="A1189" s="6">
        <f>IFERROR(__xludf.DUMMYFUNCTION("""COMPUTED_VALUE"""),44531.0)</f>
        <v>44531</v>
      </c>
      <c r="B1189">
        <f>IFERROR(__xludf.DUMMYFUNCTION("""COMPUTED_VALUE"""),23574.0)</f>
        <v>23574</v>
      </c>
      <c r="C1189" t="str">
        <f>IFERROR(__xludf.DUMMYFUNCTION("""COMPUTED_VALUE"""),"Zebra Pen Mildliner Double Ended Highlighter Set, Broad and Fine Point Tips, Assorted Ink Planner Colors, 8-Pack (78108)")</f>
        <v>Zebra Pen Mildliner Double Ended Highlighter Set, Broad and Fine Point Tips, Assorted Ink Planner Colors, 8-Pack (78108)</v>
      </c>
      <c r="D1189" t="str">
        <f>IFERROR(__xludf.DUMMYFUNCTION("""COMPUTED_VALUE"""),"B0846M1S6S")</f>
        <v>B0846M1S6S</v>
      </c>
      <c r="E1189" t="str">
        <f>IFERROR(__xludf.DUMMYFUNCTION("""COMPUTED_VALUE"""),"45888781085")</f>
        <v>45888781085</v>
      </c>
      <c r="F1189">
        <f>IFERROR(__xludf.DUMMYFUNCTION("""COMPUTED_VALUE"""),160.0)</f>
        <v>160</v>
      </c>
      <c r="G1189">
        <f>IFERROR(__xludf.DUMMYFUNCTION("""COMPUTED_VALUE"""),1000.0)</f>
        <v>1000</v>
      </c>
      <c r="H1189" s="2">
        <f>IFERROR(__xludf.DUMMYFUNCTION("""COMPUTED_VALUE"""),7.75)</f>
        <v>7.75</v>
      </c>
      <c r="I1189" s="2">
        <f>IFERROR(__xludf.DUMMYFUNCTION("""COMPUTED_VALUE"""),7.88)</f>
        <v>7.88</v>
      </c>
      <c r="J1189" s="2">
        <f>IFERROR(__xludf.DUMMYFUNCTION("""COMPUTED_VALUE"""),0.1299999999999999)</f>
        <v>0.13</v>
      </c>
      <c r="K1189" s="5">
        <f>IFERROR(__xludf.DUMMYFUNCTION("""COMPUTED_VALUE"""),0.016774193548387082)</f>
        <v>0.01677419355</v>
      </c>
      <c r="L1189">
        <f>IFERROR(__xludf.DUMMYFUNCTION("""COMPUTED_VALUE"""),31165.0)</f>
        <v>31165</v>
      </c>
      <c r="M1189" t="str">
        <f>IFERROR(__xludf.DUMMYFUNCTION("""COMPUTED_VALUE"""),"Office Product")</f>
        <v>Office Product</v>
      </c>
      <c r="O1189" t="str">
        <f>IFERROR(__xludf.DUMMYFUNCTION("""COMPUTED_VALUE"""),"N")</f>
        <v>N</v>
      </c>
      <c r="P1189" s="1" t="str">
        <f>IFERROR(__xludf.DUMMYFUNCTION("""COMPUTED_VALUE"""),"ID 23574")</f>
        <v>ID 23574</v>
      </c>
    </row>
    <row r="1190">
      <c r="A1190" s="6">
        <f>IFERROR(__xludf.DUMMYFUNCTION("""COMPUTED_VALUE"""),44837.0)</f>
        <v>44837</v>
      </c>
      <c r="B1190">
        <f>IFERROR(__xludf.DUMMYFUNCTION("""COMPUTED_VALUE"""),23914.0)</f>
        <v>23914</v>
      </c>
      <c r="C1190" t="str">
        <f>IFERROR(__xludf.DUMMYFUNCTION("""COMPUTED_VALUE"""),"Westcott Finger Grip Ruler, Smoke Plastic, Inches and Metric, 12-Inch (00402)")</f>
        <v>Westcott Finger Grip Ruler, Smoke Plastic, Inches and Metric, 12-Inch (00402)</v>
      </c>
      <c r="D1190" t="str">
        <f>IFERROR(__xludf.DUMMYFUNCTION("""COMPUTED_VALUE"""),"B0006VZ8XM")</f>
        <v>B0006VZ8XM</v>
      </c>
      <c r="E1190" t="str">
        <f>IFERROR(__xludf.DUMMYFUNCTION("""COMPUTED_VALUE"""),"73577004023")</f>
        <v>73577004023</v>
      </c>
      <c r="F1190">
        <f>IFERROR(__xludf.DUMMYFUNCTION("""COMPUTED_VALUE"""),1296.0)</f>
        <v>1296</v>
      </c>
      <c r="G1190">
        <f>IFERROR(__xludf.DUMMYFUNCTION("""COMPUTED_VALUE"""),10000.0)</f>
        <v>10000</v>
      </c>
      <c r="H1190" s="2">
        <f>IFERROR(__xludf.DUMMYFUNCTION("""COMPUTED_VALUE"""),1.0)</f>
        <v>1</v>
      </c>
      <c r="I1190" s="2">
        <f>IFERROR(__xludf.DUMMYFUNCTION("""COMPUTED_VALUE"""),1.13)</f>
        <v>1.13</v>
      </c>
      <c r="J1190" s="2">
        <f>IFERROR(__xludf.DUMMYFUNCTION("""COMPUTED_VALUE"""),0.1299999999999999)</f>
        <v>0.13</v>
      </c>
      <c r="K1190" s="5">
        <f>IFERROR(__xludf.DUMMYFUNCTION("""COMPUTED_VALUE"""),0.1299999999999999)</f>
        <v>0.13</v>
      </c>
      <c r="L1190">
        <f>IFERROR(__xludf.DUMMYFUNCTION("""COMPUTED_VALUE"""),18902.0)</f>
        <v>18902</v>
      </c>
      <c r="M1190" t="str">
        <f>IFERROR(__xludf.DUMMYFUNCTION("""COMPUTED_VALUE"""),"Office Product")</f>
        <v>Office Product</v>
      </c>
      <c r="N1190"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190" t="str">
        <f>IFERROR(__xludf.DUMMYFUNCTION("""COMPUTED_VALUE"""),"Y")</f>
        <v>Y</v>
      </c>
      <c r="P1190" s="1" t="str">
        <f>IFERROR(__xludf.DUMMYFUNCTION("""COMPUTED_VALUE"""),"ID 23914")</f>
        <v>ID 23914</v>
      </c>
    </row>
    <row r="1191">
      <c r="A1191" s="6">
        <f>IFERROR(__xludf.DUMMYFUNCTION("""COMPUTED_VALUE"""),45390.0)</f>
        <v>45390</v>
      </c>
      <c r="B1191">
        <f>IFERROR(__xludf.DUMMYFUNCTION("""COMPUTED_VALUE"""),248.0)</f>
        <v>248</v>
      </c>
      <c r="C1191" t="str">
        <f>IFERROR(__xludf.DUMMYFUNCTION("""COMPUTED_VALUE"""),"Chef Craft Microwave Cover")</f>
        <v>Chef Craft Microwave Cover</v>
      </c>
      <c r="D1191" t="str">
        <f>IFERROR(__xludf.DUMMYFUNCTION("""COMPUTED_VALUE"""),"B00LQCB6I6")</f>
        <v>B00LQCB6I6</v>
      </c>
      <c r="E1191" t="str">
        <f>IFERROR(__xludf.DUMMYFUNCTION("""COMPUTED_VALUE"""),"085455215681")</f>
        <v>085455215681</v>
      </c>
      <c r="F1191">
        <f>IFERROR(__xludf.DUMMYFUNCTION("""COMPUTED_VALUE"""),1008.0)</f>
        <v>1008</v>
      </c>
      <c r="G1191">
        <f>IFERROR(__xludf.DUMMYFUNCTION("""COMPUTED_VALUE"""),10000.0)</f>
        <v>10000</v>
      </c>
      <c r="H1191" s="2">
        <f>IFERROR(__xludf.DUMMYFUNCTION("""COMPUTED_VALUE"""),1.0)</f>
        <v>1</v>
      </c>
      <c r="I1191" s="2">
        <f>IFERROR(__xludf.DUMMYFUNCTION("""COMPUTED_VALUE"""),1.13)</f>
        <v>1.13</v>
      </c>
      <c r="J1191" s="2">
        <f>IFERROR(__xludf.DUMMYFUNCTION("""COMPUTED_VALUE"""),0.1299999999999999)</f>
        <v>0.13</v>
      </c>
      <c r="K1191" s="5">
        <f>IFERROR(__xludf.DUMMYFUNCTION("""COMPUTED_VALUE"""),0.1299999999999999)</f>
        <v>0.13</v>
      </c>
      <c r="L1191">
        <f>IFERROR(__xludf.DUMMYFUNCTION("""COMPUTED_VALUE"""),1758.0)</f>
        <v>1758</v>
      </c>
      <c r="M1191" t="str">
        <f>IFERROR(__xludf.DUMMYFUNCTION("""COMPUTED_VALUE"""),"Home")</f>
        <v>Home</v>
      </c>
      <c r="O1191" t="str">
        <f>IFERROR(__xludf.DUMMYFUNCTION("""COMPUTED_VALUE"""),"N")</f>
        <v>N</v>
      </c>
      <c r="P1191" s="1" t="str">
        <f>IFERROR(__xludf.DUMMYFUNCTION("""COMPUTED_VALUE"""),"ID 248")</f>
        <v>ID 248</v>
      </c>
    </row>
    <row r="1192">
      <c r="A1192" s="6">
        <f>IFERROR(__xludf.DUMMYFUNCTION("""COMPUTED_VALUE"""),45113.0)</f>
        <v>45113</v>
      </c>
      <c r="B1192">
        <f>IFERROR(__xludf.DUMMYFUNCTION("""COMPUTED_VALUE"""),24657.0)</f>
        <v>24657</v>
      </c>
      <c r="C1192" t="str">
        <f>IFERROR(__xludf.DUMMYFUNCTION("""COMPUTED_VALUE"""),"Paper Mate InkJoy 100 ST Pens")</f>
        <v>Paper Mate InkJoy 100 ST Pens</v>
      </c>
      <c r="D1192" t="str">
        <f>IFERROR(__xludf.DUMMYFUNCTION("""COMPUTED_VALUE"""),"B013SPWK2E")</f>
        <v>B013SPWK2E</v>
      </c>
      <c r="E1192" t="str">
        <f>IFERROR(__xludf.DUMMYFUNCTION("""COMPUTED_VALUE"""),"071641104006")</f>
        <v>071641104006</v>
      </c>
      <c r="F1192">
        <f>IFERROR(__xludf.DUMMYFUNCTION("""COMPUTED_VALUE"""),1836.0)</f>
        <v>1836</v>
      </c>
      <c r="G1192">
        <f>IFERROR(__xludf.DUMMYFUNCTION("""COMPUTED_VALUE"""),10000.0)</f>
        <v>10000</v>
      </c>
      <c r="H1192" s="2">
        <f>IFERROR(__xludf.DUMMYFUNCTION("""COMPUTED_VALUE"""),1.5)</f>
        <v>1.5</v>
      </c>
      <c r="I1192" s="2">
        <f>IFERROR(__xludf.DUMMYFUNCTION("""COMPUTED_VALUE"""),1.63)</f>
        <v>1.63</v>
      </c>
      <c r="J1192" s="2">
        <f>IFERROR(__xludf.DUMMYFUNCTION("""COMPUTED_VALUE"""),0.1299999999999999)</f>
        <v>0.13</v>
      </c>
      <c r="K1192" s="5">
        <f>IFERROR(__xludf.DUMMYFUNCTION("""COMPUTED_VALUE"""),0.0866666666666666)</f>
        <v>0.08666666667</v>
      </c>
      <c r="L1192">
        <f>IFERROR(__xludf.DUMMYFUNCTION("""COMPUTED_VALUE"""),64616.0)</f>
        <v>64616</v>
      </c>
      <c r="M1192" t="str">
        <f>IFERROR(__xludf.DUMMYFUNCTION("""COMPUTED_VALUE"""),"Office Product")</f>
        <v>Office Product</v>
      </c>
      <c r="O1192" t="str">
        <f>IFERROR(__xludf.DUMMYFUNCTION("""COMPUTED_VALUE"""),"N")</f>
        <v>N</v>
      </c>
      <c r="P1192" s="1" t="str">
        <f>IFERROR(__xludf.DUMMYFUNCTION("""COMPUTED_VALUE"""),"ID 24657")</f>
        <v>ID 24657</v>
      </c>
    </row>
    <row r="1193">
      <c r="A1193" s="6">
        <f>IFERROR(__xludf.DUMMYFUNCTION("""COMPUTED_VALUE"""),45009.0)</f>
        <v>45009</v>
      </c>
      <c r="B1193">
        <f>IFERROR(__xludf.DUMMYFUNCTION("""COMPUTED_VALUE"""),12673.0)</f>
        <v>12673</v>
      </c>
      <c r="C1193" t="str">
        <f>IFERROR(__xludf.DUMMYFUNCTION("""COMPUTED_VALUE"""),"PaperPro inLIGHT Reduced Effort One-Hole Punch, Gray, Blue (2402)")</f>
        <v>PaperPro inLIGHT Reduced Effort One-Hole Punch, Gray, Blue (2402)</v>
      </c>
      <c r="D1193">
        <f>IFERROR(__xludf.DUMMYFUNCTION("""COMPUTED_VALUE"""),9.801478969E9)</f>
        <v>9801478969</v>
      </c>
      <c r="E1193" t="str">
        <f>IFERROR(__xludf.DUMMYFUNCTION("""COMPUTED_VALUE"""),"842048024026")</f>
        <v>842048024026</v>
      </c>
      <c r="F1193">
        <f>IFERROR(__xludf.DUMMYFUNCTION("""COMPUTED_VALUE"""),500.0)</f>
        <v>500</v>
      </c>
      <c r="G1193">
        <f>IFERROR(__xludf.DUMMYFUNCTION("""COMPUTED_VALUE"""),5000.0)</f>
        <v>5000</v>
      </c>
      <c r="H1193" s="2">
        <f>IFERROR(__xludf.DUMMYFUNCTION("""COMPUTED_VALUE"""),2.5)</f>
        <v>2.5</v>
      </c>
      <c r="I1193" s="2">
        <f>IFERROR(__xludf.DUMMYFUNCTION("""COMPUTED_VALUE"""),2.62)</f>
        <v>2.62</v>
      </c>
      <c r="J1193" s="2">
        <f>IFERROR(__xludf.DUMMYFUNCTION("""COMPUTED_VALUE"""),0.1200000000000001)</f>
        <v>0.12</v>
      </c>
      <c r="K1193" s="5">
        <f>IFERROR(__xludf.DUMMYFUNCTION("""COMPUTED_VALUE"""),0.04800000000000004)</f>
        <v>0.048</v>
      </c>
      <c r="L1193">
        <f>IFERROR(__xludf.DUMMYFUNCTION("""COMPUTED_VALUE"""),13753.0)</f>
        <v>13753</v>
      </c>
      <c r="M1193" t="str">
        <f>IFERROR(__xludf.DUMMYFUNCTION("""COMPUTED_VALUE"""),"Office Product")</f>
        <v>Office Product</v>
      </c>
      <c r="O1193" t="str">
        <f>IFERROR(__xludf.DUMMYFUNCTION("""COMPUTED_VALUE"""),"Y")</f>
        <v>Y</v>
      </c>
      <c r="P1193" s="1" t="str">
        <f>IFERROR(__xludf.DUMMYFUNCTION("""COMPUTED_VALUE"""),"ID 12673")</f>
        <v>ID 12673</v>
      </c>
    </row>
    <row r="1194">
      <c r="A1194" s="6">
        <f>IFERROR(__xludf.DUMMYFUNCTION("""COMPUTED_VALUE"""),45113.0)</f>
        <v>45113</v>
      </c>
      <c r="B1194">
        <f>IFERROR(__xludf.DUMMYFUNCTION("""COMPUTED_VALUE"""),17738.0)</f>
        <v>17738</v>
      </c>
      <c r="C1194" t="str">
        <f>IFERROR(__xludf.DUMMYFUNCTION("""COMPUTED_VALUE"""),"Paper Mate Flair Felt Tip Pens, Medium Point (0.7mm), Pastel Colors, 6 Count")</f>
        <v>Paper Mate Flair Felt Tip Pens, Medium Point (0.7mm), Pastel Colors, 6 Count</v>
      </c>
      <c r="D1194" t="str">
        <f>IFERROR(__xludf.DUMMYFUNCTION("""COMPUTED_VALUE"""),"B004YHU1L8")</f>
        <v>B004YHU1L8</v>
      </c>
      <c r="E1194" t="str">
        <f>IFERROR(__xludf.DUMMYFUNCTION("""COMPUTED_VALUE"""),"41540613909")</f>
        <v>41540613909</v>
      </c>
      <c r="F1194">
        <f>IFERROR(__xludf.DUMMYFUNCTION("""COMPUTED_VALUE"""),456.0)</f>
        <v>456</v>
      </c>
      <c r="G1194">
        <f>IFERROR(__xludf.DUMMYFUNCTION("""COMPUTED_VALUE"""),10000.0)</f>
        <v>10000</v>
      </c>
      <c r="H1194" s="2">
        <f>IFERROR(__xludf.DUMMYFUNCTION("""COMPUTED_VALUE"""),6.25)</f>
        <v>6.25</v>
      </c>
      <c r="I1194" s="2">
        <f>IFERROR(__xludf.DUMMYFUNCTION("""COMPUTED_VALUE"""),6.37)</f>
        <v>6.37</v>
      </c>
      <c r="J1194" s="2">
        <f>IFERROR(__xludf.DUMMYFUNCTION("""COMPUTED_VALUE"""),0.1200000000000001)</f>
        <v>0.12</v>
      </c>
      <c r="K1194" s="5">
        <f>IFERROR(__xludf.DUMMYFUNCTION("""COMPUTED_VALUE"""),0.019200000000000016)</f>
        <v>0.0192</v>
      </c>
      <c r="L1194">
        <f>IFERROR(__xludf.DUMMYFUNCTION("""COMPUTED_VALUE"""),46775.0)</f>
        <v>46775</v>
      </c>
      <c r="M1194" t="str">
        <f>IFERROR(__xludf.DUMMYFUNCTION("""COMPUTED_VALUE"""),"Office Product")</f>
        <v>Office Product</v>
      </c>
      <c r="O1194" t="str">
        <f>IFERROR(__xludf.DUMMYFUNCTION("""COMPUTED_VALUE"""),"N")</f>
        <v>N</v>
      </c>
      <c r="P1194" s="1" t="str">
        <f>IFERROR(__xludf.DUMMYFUNCTION("""COMPUTED_VALUE"""),"ID 17738")</f>
        <v>ID 17738</v>
      </c>
    </row>
    <row r="1195">
      <c r="A1195" s="6">
        <f>IFERROR(__xludf.DUMMYFUNCTION("""COMPUTED_VALUE"""),45105.0)</f>
        <v>45105</v>
      </c>
      <c r="B1195">
        <f>IFERROR(__xludf.DUMMYFUNCTION("""COMPUTED_VALUE"""),18434.0)</f>
        <v>18434</v>
      </c>
      <c r="C1195" t="str">
        <f>IFERROR(__xludf.DUMMYFUNCTION("""COMPUTED_VALUE"""),"Adams Employee Payroll Record Book, 2 Part, Carbonless, 4.19 x 7.19, 50 Sets per Book, White and Canary (D4740)")</f>
        <v>Adams Employee Payroll Record Book, 2 Part, Carbonless, 4.19 x 7.19, 50 Sets per Book, White and Canary (D4740)</v>
      </c>
      <c r="D1195" t="str">
        <f>IFERROR(__xludf.DUMMYFUNCTION("""COMPUTED_VALUE"""),"B00006ICSS")</f>
        <v>B00006ICSS</v>
      </c>
      <c r="E1195" t="str">
        <f>IFERROR(__xludf.DUMMYFUNCTION("""COMPUTED_VALUE"""),"087958247404")</f>
        <v>087958247404</v>
      </c>
      <c r="F1195">
        <f>IFERROR(__xludf.DUMMYFUNCTION("""COMPUTED_VALUE"""),880.0)</f>
        <v>880</v>
      </c>
      <c r="G1195">
        <f>IFERROR(__xludf.DUMMYFUNCTION("""COMPUTED_VALUE"""),10000.0)</f>
        <v>10000</v>
      </c>
      <c r="H1195" s="2">
        <f>IFERROR(__xludf.DUMMYFUNCTION("""COMPUTED_VALUE"""),2.75)</f>
        <v>2.75</v>
      </c>
      <c r="I1195" s="2">
        <f>IFERROR(__xludf.DUMMYFUNCTION("""COMPUTED_VALUE"""),2.87)</f>
        <v>2.87</v>
      </c>
      <c r="J1195" s="2">
        <f>IFERROR(__xludf.DUMMYFUNCTION("""COMPUTED_VALUE"""),0.1200000000000001)</f>
        <v>0.12</v>
      </c>
      <c r="K1195" s="5">
        <f>IFERROR(__xludf.DUMMYFUNCTION("""COMPUTED_VALUE"""),0.043636363636363674)</f>
        <v>0.04363636364</v>
      </c>
      <c r="L1195">
        <f>IFERROR(__xludf.DUMMYFUNCTION("""COMPUTED_VALUE"""),82220.0)</f>
        <v>82220</v>
      </c>
      <c r="M1195" t="str">
        <f>IFERROR(__xludf.DUMMYFUNCTION("""COMPUTED_VALUE"""),"Office Product")</f>
        <v>Office Product</v>
      </c>
      <c r="O1195" t="str">
        <f>IFERROR(__xludf.DUMMYFUNCTION("""COMPUTED_VALUE"""),"Y")</f>
        <v>Y</v>
      </c>
      <c r="P1195" s="1" t="str">
        <f>IFERROR(__xludf.DUMMYFUNCTION("""COMPUTED_VALUE"""),"ID 18434")</f>
        <v>ID 18434</v>
      </c>
    </row>
    <row r="1196">
      <c r="A1196" s="6">
        <f>IFERROR(__xludf.DUMMYFUNCTION("""COMPUTED_VALUE"""),44657.0)</f>
        <v>44657</v>
      </c>
      <c r="B1196">
        <f>IFERROR(__xludf.DUMMYFUNCTION("""COMPUTED_VALUE"""),4238.0)</f>
        <v>4238</v>
      </c>
      <c r="C1196" t="str">
        <f>IFERROR(__xludf.DUMMYFUNCTION("""COMPUTED_VALUE"""),"Super Hero Squad Show: Volume 1 and 2")</f>
        <v>Super Hero Squad Show: Volume 1 and 2</v>
      </c>
      <c r="D1196" t="str">
        <f>IFERROR(__xludf.DUMMYFUNCTION("""COMPUTED_VALUE"""),"B003ZHDREQ")</f>
        <v>B003ZHDREQ</v>
      </c>
      <c r="E1196" t="str">
        <f>IFERROR(__xludf.DUMMYFUNCTION("""COMPUTED_VALUE"""),"826663122107")</f>
        <v>826663122107</v>
      </c>
      <c r="F1196">
        <f>IFERROR(__xludf.DUMMYFUNCTION("""COMPUTED_VALUE"""),500.0)</f>
        <v>500</v>
      </c>
      <c r="G1196">
        <f>IFERROR(__xludf.DUMMYFUNCTION("""COMPUTED_VALUE"""),200.0)</f>
        <v>200</v>
      </c>
      <c r="H1196" s="2">
        <f>IFERROR(__xludf.DUMMYFUNCTION("""COMPUTED_VALUE"""),4.0)</f>
        <v>4</v>
      </c>
      <c r="I1196" s="2">
        <f>IFERROR(__xludf.DUMMYFUNCTION("""COMPUTED_VALUE"""),4.12)</f>
        <v>4.12</v>
      </c>
      <c r="J1196" s="2">
        <f>IFERROR(__xludf.DUMMYFUNCTION("""COMPUTED_VALUE"""),0.1200000000000001)</f>
        <v>0.12</v>
      </c>
      <c r="K1196" s="5">
        <f>IFERROR(__xludf.DUMMYFUNCTION("""COMPUTED_VALUE"""),0.030000000000000027)</f>
        <v>0.03</v>
      </c>
      <c r="L1196">
        <f>IFERROR(__xludf.DUMMYFUNCTION("""COMPUTED_VALUE"""),91293.0)</f>
        <v>91293</v>
      </c>
      <c r="M1196" t="str">
        <f>IFERROR(__xludf.DUMMYFUNCTION("""COMPUTED_VALUE"""),"DVD")</f>
        <v>DVD</v>
      </c>
      <c r="N1196" t="str">
        <f>IFERROR(__xludf.DUMMYFUNCTION("""COMPUTED_VALUE"""),"This item has saw cut barcode by the studio")</f>
        <v>This item has saw cut barcode by the studio</v>
      </c>
      <c r="O1196" t="str">
        <f>IFERROR(__xludf.DUMMYFUNCTION("""COMPUTED_VALUE"""),"N")</f>
        <v>N</v>
      </c>
      <c r="P1196" s="1" t="str">
        <f>IFERROR(__xludf.DUMMYFUNCTION("""COMPUTED_VALUE"""),"ID 4238")</f>
        <v>ID 4238</v>
      </c>
    </row>
    <row r="1197">
      <c r="A1197" s="6">
        <f>IFERROR(__xludf.DUMMYFUNCTION("""COMPUTED_VALUE"""),45259.0)</f>
        <v>45259</v>
      </c>
      <c r="B1197">
        <f>IFERROR(__xludf.DUMMYFUNCTION("""COMPUTED_VALUE"""),26043.0)</f>
        <v>26043</v>
      </c>
      <c r="C1197" t="str">
        <f>IFERROR(__xludf.DUMMYFUNCTION("""COMPUTED_VALUE"""),"White Rain Wholesale White Rain Kids 3 In 1 Strwbry Splash, 12 Fl Oz (Model: 927400)")</f>
        <v>White Rain Wholesale White Rain Kids 3 In 1 Strwbry Splash, 12 Fl Oz (Model: 927400)</v>
      </c>
      <c r="D1197" t="str">
        <f>IFERROR(__xludf.DUMMYFUNCTION("""COMPUTED_VALUE"""),"B00SFJY9R8")</f>
        <v>B00SFJY9R8</v>
      </c>
      <c r="E1197" t="str">
        <f>IFERROR(__xludf.DUMMYFUNCTION("""COMPUTED_VALUE"""),"809219000289")</f>
        <v>809219000289</v>
      </c>
      <c r="F1197">
        <f>IFERROR(__xludf.DUMMYFUNCTION("""COMPUTED_VALUE"""),978.0)</f>
        <v>978</v>
      </c>
      <c r="G1197">
        <f>IFERROR(__xludf.DUMMYFUNCTION("""COMPUTED_VALUE"""),6414.0)</f>
        <v>6414</v>
      </c>
      <c r="H1197" s="2">
        <f>IFERROR(__xludf.DUMMYFUNCTION("""COMPUTED_VALUE"""),1.0)</f>
        <v>1</v>
      </c>
      <c r="I1197" s="2">
        <f>IFERROR(__xludf.DUMMYFUNCTION("""COMPUTED_VALUE"""),1.12)</f>
        <v>1.12</v>
      </c>
      <c r="J1197" s="2">
        <f>IFERROR(__xludf.DUMMYFUNCTION("""COMPUTED_VALUE"""),0.1200000000000001)</f>
        <v>0.12</v>
      </c>
      <c r="K1197" s="5">
        <f>IFERROR(__xludf.DUMMYFUNCTION("""COMPUTED_VALUE"""),0.1200000000000001)</f>
        <v>0.12</v>
      </c>
      <c r="L1197">
        <f>IFERROR(__xludf.DUMMYFUNCTION("""COMPUTED_VALUE"""),31888.0)</f>
        <v>31888</v>
      </c>
      <c r="M1197" t="str">
        <f>IFERROR(__xludf.DUMMYFUNCTION("""COMPUTED_VALUE"""),"Beauty")</f>
        <v>Beauty</v>
      </c>
      <c r="N1197" t="str">
        <f>IFERROR(__xludf.DUMMYFUNCTION("""COMPUTED_VALUE"""),"Single bottle of strawberry")</f>
        <v>Single bottle of strawberry</v>
      </c>
      <c r="O1197" t="str">
        <f>IFERROR(__xludf.DUMMYFUNCTION("""COMPUTED_VALUE"""),"N")</f>
        <v>N</v>
      </c>
      <c r="P1197" s="1" t="str">
        <f>IFERROR(__xludf.DUMMYFUNCTION("""COMPUTED_VALUE"""),"ID 26043")</f>
        <v>ID 26043</v>
      </c>
    </row>
    <row r="1198">
      <c r="A1198" s="6">
        <f>IFERROR(__xludf.DUMMYFUNCTION("""COMPUTED_VALUE"""),44769.0)</f>
        <v>44769</v>
      </c>
      <c r="B1198">
        <f>IFERROR(__xludf.DUMMYFUNCTION("""COMPUTED_VALUE"""),1992.0)</f>
        <v>1992</v>
      </c>
      <c r="C1198" t="str">
        <f>IFERROR(__xludf.DUMMYFUNCTION("""COMPUTED_VALUE"""),"Yardley English Lavender by Yardley of London for Women Eau De Toilette Spray, 4.2 Ounce")</f>
        <v>Yardley English Lavender by Yardley of London for Women Eau De Toilette Spray, 4.2 Ounce</v>
      </c>
      <c r="D1198" t="str">
        <f>IFERROR(__xludf.DUMMYFUNCTION("""COMPUTED_VALUE"""),"B0010V37DA")</f>
        <v>B0010V37DA</v>
      </c>
      <c r="E1198" t="str">
        <f>IFERROR(__xludf.DUMMYFUNCTION("""COMPUTED_VALUE"""),"5060322952208")</f>
        <v>5060322952208</v>
      </c>
      <c r="F1198">
        <f>IFERROR(__xludf.DUMMYFUNCTION("""COMPUTED_VALUE"""),100.0)</f>
        <v>100</v>
      </c>
      <c r="G1198">
        <f>IFERROR(__xludf.DUMMYFUNCTION("""COMPUTED_VALUE"""),1000.0)</f>
        <v>1000</v>
      </c>
      <c r="H1198" s="2">
        <f>IFERROR(__xludf.DUMMYFUNCTION("""COMPUTED_VALUE"""),11.0)</f>
        <v>11</v>
      </c>
      <c r="I1198" s="2">
        <f>IFERROR(__xludf.DUMMYFUNCTION("""COMPUTED_VALUE"""),11.12)</f>
        <v>11.12</v>
      </c>
      <c r="J1198" s="2">
        <f>IFERROR(__xludf.DUMMYFUNCTION("""COMPUTED_VALUE"""),0.11999999999999922)</f>
        <v>0.12</v>
      </c>
      <c r="K1198" s="5">
        <f>IFERROR(__xludf.DUMMYFUNCTION("""COMPUTED_VALUE"""),0.010909090909090839)</f>
        <v>0.01090909091</v>
      </c>
      <c r="L1198">
        <f>IFERROR(__xludf.DUMMYFUNCTION("""COMPUTED_VALUE"""),29804.0)</f>
        <v>29804</v>
      </c>
      <c r="M1198" t="str">
        <f>IFERROR(__xludf.DUMMYFUNCTION("""COMPUTED_VALUE"""),"Beauty")</f>
        <v>Beauty</v>
      </c>
      <c r="O1198" t="str">
        <f>IFERROR(__xludf.DUMMYFUNCTION("""COMPUTED_VALUE"""),"N")</f>
        <v>N</v>
      </c>
      <c r="P1198" s="1" t="str">
        <f>IFERROR(__xludf.DUMMYFUNCTION("""COMPUTED_VALUE"""),"ID 1992")</f>
        <v>ID 1992</v>
      </c>
    </row>
    <row r="1199">
      <c r="A1199" s="6">
        <f>IFERROR(__xludf.DUMMYFUNCTION("""COMPUTED_VALUE"""),45390.0)</f>
        <v>45390</v>
      </c>
      <c r="B1199">
        <f>IFERROR(__xludf.DUMMYFUNCTION("""COMPUTED_VALUE"""),4146.0)</f>
        <v>4146</v>
      </c>
      <c r="C1199" t="str">
        <f>IFERROR(__xludf.DUMMYFUNCTION("""COMPUTED_VALUE"""),"Chef Craft 10211 1-Piece Stainless Steel Slotted Turner, 12-1/2-Inch")</f>
        <v>Chef Craft 10211 1-Piece Stainless Steel Slotted Turner, 12-1/2-Inch</v>
      </c>
      <c r="D1199" t="str">
        <f>IFERROR(__xludf.DUMMYFUNCTION("""COMPUTED_VALUE"""),"B001C28UES")</f>
        <v>B001C28UES</v>
      </c>
      <c r="E1199" t="str">
        <f>IFERROR(__xludf.DUMMYFUNCTION("""COMPUTED_VALUE"""),"085455102110")</f>
        <v>085455102110</v>
      </c>
      <c r="F1199">
        <f>IFERROR(__xludf.DUMMYFUNCTION("""COMPUTED_VALUE"""),720.0)</f>
        <v>720</v>
      </c>
      <c r="G1199">
        <f>IFERROR(__xludf.DUMMYFUNCTION("""COMPUTED_VALUE"""),10000.0)</f>
        <v>10000</v>
      </c>
      <c r="H1199" s="2">
        <f>IFERROR(__xludf.DUMMYFUNCTION("""COMPUTED_VALUE"""),1.75)</f>
        <v>1.75</v>
      </c>
      <c r="I1199" s="2">
        <f>IFERROR(__xludf.DUMMYFUNCTION("""COMPUTED_VALUE"""),1.86)</f>
        <v>1.86</v>
      </c>
      <c r="J1199" s="2">
        <f>IFERROR(__xludf.DUMMYFUNCTION("""COMPUTED_VALUE"""),0.1100000000000001)</f>
        <v>0.11</v>
      </c>
      <c r="K1199" s="5">
        <f>IFERROR(__xludf.DUMMYFUNCTION("""COMPUTED_VALUE"""),0.06285714285714292)</f>
        <v>0.06285714286</v>
      </c>
      <c r="L1199">
        <f>IFERROR(__xludf.DUMMYFUNCTION("""COMPUTED_VALUE"""),3197.0)</f>
        <v>3197</v>
      </c>
      <c r="M1199" t="str">
        <f>IFERROR(__xludf.DUMMYFUNCTION("""COMPUTED_VALUE"""),"Kitchen")</f>
        <v>Kitchen</v>
      </c>
      <c r="O1199" t="str">
        <f>IFERROR(__xludf.DUMMYFUNCTION("""COMPUTED_VALUE"""),"Y")</f>
        <v>Y</v>
      </c>
      <c r="P1199" s="1" t="str">
        <f>IFERROR(__xludf.DUMMYFUNCTION("""COMPUTED_VALUE"""),"ID 4146")</f>
        <v>ID 4146</v>
      </c>
    </row>
    <row r="1200">
      <c r="A1200" s="6">
        <f>IFERROR(__xludf.DUMMYFUNCTION("""COMPUTED_VALUE"""),45273.0)</f>
        <v>45273</v>
      </c>
      <c r="B1200">
        <f>IFERROR(__xludf.DUMMYFUNCTION("""COMPUTED_VALUE"""),15444.0)</f>
        <v>15444</v>
      </c>
      <c r="C1200" t="str">
        <f>IFERROR(__xludf.DUMMYFUNCTION("""COMPUTED_VALUE"""),"Elmer's E842L Carpenter's Interior Wood Filler; 32 Ounce; 1 Quart")</f>
        <v>Elmer's E842L Carpenter's Interior Wood Filler; 32 Ounce; 1 Quart</v>
      </c>
      <c r="D1200" t="str">
        <f>IFERROR(__xludf.DUMMYFUNCTION("""COMPUTED_VALUE"""),"B001E5L19O")</f>
        <v>B001E5L19O</v>
      </c>
      <c r="E1200" t="str">
        <f>IFERROR(__xludf.DUMMYFUNCTION("""COMPUTED_VALUE"""),"026000208420")</f>
        <v>026000208420</v>
      </c>
      <c r="F1200">
        <f>IFERROR(__xludf.DUMMYFUNCTION("""COMPUTED_VALUE"""),648.0)</f>
        <v>648</v>
      </c>
      <c r="G1200">
        <f>IFERROR(__xludf.DUMMYFUNCTION("""COMPUTED_VALUE"""),10000.0)</f>
        <v>10000</v>
      </c>
      <c r="H1200" s="2">
        <f>IFERROR(__xludf.DUMMYFUNCTION("""COMPUTED_VALUE"""),4.75)</f>
        <v>4.75</v>
      </c>
      <c r="I1200" s="2">
        <f>IFERROR(__xludf.DUMMYFUNCTION("""COMPUTED_VALUE"""),4.86)</f>
        <v>4.86</v>
      </c>
      <c r="J1200" s="2">
        <f>IFERROR(__xludf.DUMMYFUNCTION("""COMPUTED_VALUE"""),0.11000000000000032)</f>
        <v>0.11</v>
      </c>
      <c r="K1200" s="5">
        <f>IFERROR(__xludf.DUMMYFUNCTION("""COMPUTED_VALUE"""),0.023157894736842172)</f>
        <v>0.02315789474</v>
      </c>
      <c r="L1200">
        <f>IFERROR(__xludf.DUMMYFUNCTION("""COMPUTED_VALUE"""),26006.0)</f>
        <v>26006</v>
      </c>
      <c r="M1200" t="str">
        <f>IFERROR(__xludf.DUMMYFUNCTION("""COMPUTED_VALUE"""),"Home Improvement")</f>
        <v>Home Improvement</v>
      </c>
      <c r="O1200" t="str">
        <f>IFERROR(__xludf.DUMMYFUNCTION("""COMPUTED_VALUE"""),"Y")</f>
        <v>Y</v>
      </c>
      <c r="P1200" s="1" t="str">
        <f>IFERROR(__xludf.DUMMYFUNCTION("""COMPUTED_VALUE"""),"ID 15444")</f>
        <v>ID 15444</v>
      </c>
    </row>
    <row r="1201">
      <c r="A1201" s="6">
        <f>IFERROR(__xludf.DUMMYFUNCTION("""COMPUTED_VALUE"""),45118.0)</f>
        <v>45118</v>
      </c>
      <c r="B1201">
        <f>IFERROR(__xludf.DUMMYFUNCTION("""COMPUTED_VALUE"""),17822.0)</f>
        <v>17822</v>
      </c>
      <c r="C1201" t="str">
        <f>IFERROR(__xludf.DUMMYFUNCTION("""COMPUTED_VALUE"""),"Prismacolor Premier Double-Ended Brush Tip Markers, Black 098")</f>
        <v>Prismacolor Premier Double-Ended Brush Tip Markers, Black 098</v>
      </c>
      <c r="D1201" t="str">
        <f>IFERROR(__xludf.DUMMYFUNCTION("""COMPUTED_VALUE"""),"B007TNXQW0")</f>
        <v>B007TNXQW0</v>
      </c>
      <c r="E1201" t="str">
        <f>IFERROR(__xludf.DUMMYFUNCTION("""COMPUTED_VALUE"""),"070735002853")</f>
        <v>070735002853</v>
      </c>
      <c r="F1201">
        <f>IFERROR(__xludf.DUMMYFUNCTION("""COMPUTED_VALUE"""),1080.0)</f>
        <v>1080</v>
      </c>
      <c r="G1201">
        <f>IFERROR(__xludf.DUMMYFUNCTION("""COMPUTED_VALUE"""),10000.0)</f>
        <v>10000</v>
      </c>
      <c r="H1201" s="2">
        <f>IFERROR(__xludf.DUMMYFUNCTION("""COMPUTED_VALUE"""),3.0)</f>
        <v>3</v>
      </c>
      <c r="I1201" s="2">
        <f>IFERROR(__xludf.DUMMYFUNCTION("""COMPUTED_VALUE"""),3.11)</f>
        <v>3.11</v>
      </c>
      <c r="J1201" s="2">
        <f>IFERROR(__xludf.DUMMYFUNCTION("""COMPUTED_VALUE"""),0.10999999999999988)</f>
        <v>0.11</v>
      </c>
      <c r="K1201" s="5">
        <f>IFERROR(__xludf.DUMMYFUNCTION("""COMPUTED_VALUE"""),0.036666666666666625)</f>
        <v>0.03666666667</v>
      </c>
      <c r="L1201">
        <f>IFERROR(__xludf.DUMMYFUNCTION("""COMPUTED_VALUE"""),51975.0)</f>
        <v>51975</v>
      </c>
      <c r="M1201" t="str">
        <f>IFERROR(__xludf.DUMMYFUNCTION("""COMPUTED_VALUE"""),"Office Product")</f>
        <v>Office Product</v>
      </c>
      <c r="N1201" t="str">
        <f>IFERROR(__xludf.DUMMYFUNCTION("""COMPUTED_VALUE"""),"Open stock with indvidual UPC")</f>
        <v>Open stock with indvidual UPC</v>
      </c>
      <c r="O1201" t="str">
        <f>IFERROR(__xludf.DUMMYFUNCTION("""COMPUTED_VALUE"""),"N")</f>
        <v>N</v>
      </c>
      <c r="P1201" s="1" t="str">
        <f>IFERROR(__xludf.DUMMYFUNCTION("""COMPUTED_VALUE"""),"ID 17822")</f>
        <v>ID 17822</v>
      </c>
    </row>
    <row r="1202">
      <c r="A1202" s="6">
        <f>IFERROR(__xludf.DUMMYFUNCTION("""COMPUTED_VALUE"""),45362.0)</f>
        <v>45362</v>
      </c>
      <c r="B1202">
        <f>IFERROR(__xludf.DUMMYFUNCTION("""COMPUTED_VALUE"""),19740.0)</f>
        <v>19740</v>
      </c>
      <c r="C1202" t="str">
        <f>IFERROR(__xludf.DUMMYFUNCTION("""COMPUTED_VALUE"""),"Pentel Sparkle Pop Metallic Gel Pen, (1.0mm) Bold Line, Assorted Colors, 4-Pack, Bold (K91BP4M1)")</f>
        <v>Pentel Sparkle Pop Metallic Gel Pen, (1.0mm) Bold Line, Assorted Colors, 4-Pack, Bold (K91BP4M1)</v>
      </c>
      <c r="D1202" t="str">
        <f>IFERROR(__xludf.DUMMYFUNCTION("""COMPUTED_VALUE"""),"B079Q4GW6C")</f>
        <v>B079Q4GW6C</v>
      </c>
      <c r="E1202" t="str">
        <f>IFERROR(__xludf.DUMMYFUNCTION("""COMPUTED_VALUE"""),"072512270189")</f>
        <v>072512270189</v>
      </c>
      <c r="F1202">
        <f>IFERROR(__xludf.DUMMYFUNCTION("""COMPUTED_VALUE"""),288.0)</f>
        <v>288</v>
      </c>
      <c r="G1202">
        <f>IFERROR(__xludf.DUMMYFUNCTION("""COMPUTED_VALUE"""),10000.0)</f>
        <v>10000</v>
      </c>
      <c r="H1202" s="2">
        <f>IFERROR(__xludf.DUMMYFUNCTION("""COMPUTED_VALUE"""),5.25)</f>
        <v>5.25</v>
      </c>
      <c r="I1202" s="2">
        <f>IFERROR(__xludf.DUMMYFUNCTION("""COMPUTED_VALUE"""),5.36)</f>
        <v>5.36</v>
      </c>
      <c r="J1202" s="2">
        <f>IFERROR(__xludf.DUMMYFUNCTION("""COMPUTED_VALUE"""),0.11000000000000032)</f>
        <v>0.11</v>
      </c>
      <c r="K1202" s="5">
        <f>IFERROR(__xludf.DUMMYFUNCTION("""COMPUTED_VALUE"""),0.020952380952381014)</f>
        <v>0.02095238095</v>
      </c>
      <c r="L1202">
        <f>IFERROR(__xludf.DUMMYFUNCTION("""COMPUTED_VALUE"""),4767.0)</f>
        <v>4767</v>
      </c>
      <c r="M1202" t="str">
        <f>IFERROR(__xludf.DUMMYFUNCTION("""COMPUTED_VALUE"""),"Office Product")</f>
        <v>Office Product</v>
      </c>
      <c r="O1202" t="str">
        <f>IFERROR(__xludf.DUMMYFUNCTION("""COMPUTED_VALUE"""),"Y")</f>
        <v>Y</v>
      </c>
      <c r="P1202" s="1" t="str">
        <f>IFERROR(__xludf.DUMMYFUNCTION("""COMPUTED_VALUE"""),"ID 19740")</f>
        <v>ID 19740</v>
      </c>
    </row>
    <row r="1203">
      <c r="A1203" s="6">
        <f>IFERROR(__xludf.DUMMYFUNCTION("""COMPUTED_VALUE"""),44480.0)</f>
        <v>44480</v>
      </c>
      <c r="B1203">
        <f>IFERROR(__xludf.DUMMYFUNCTION("""COMPUTED_VALUE"""),22494.0)</f>
        <v>22494</v>
      </c>
      <c r="C1203" t="str">
        <f>IFERROR(__xludf.DUMMYFUNCTION("""COMPUTED_VALUE"""),"iDesign Emmy Fabric Storage Cube Bin with Front Window, Medium Basket Container with Dual Side Handles for Closet, Bedroom, Toys, Nursery - Blue")</f>
        <v>iDesign Emmy Fabric Storage Cube Bin with Front Window, Medium Basket Container with Dual Side Handles for Closet, Bedroom, Toys, Nursery - Blue</v>
      </c>
      <c r="D1203" t="str">
        <f>IFERROR(__xludf.DUMMYFUNCTION("""COMPUTED_VALUE"""),"B07Q698Y7M")</f>
        <v>B07Q698Y7M</v>
      </c>
      <c r="E1203" t="str">
        <f>IFERROR(__xludf.DUMMYFUNCTION("""COMPUTED_VALUE"""),"081492078265")</f>
        <v>081492078265</v>
      </c>
      <c r="F1203">
        <f>IFERROR(__xludf.DUMMYFUNCTION("""COMPUTED_VALUE"""),141.0)</f>
        <v>141</v>
      </c>
      <c r="G1203">
        <f>IFERROR(__xludf.DUMMYFUNCTION("""COMPUTED_VALUE"""),141.0)</f>
        <v>141</v>
      </c>
      <c r="H1203" s="2">
        <f>IFERROR(__xludf.DUMMYFUNCTION("""COMPUTED_VALUE"""),7.0)</f>
        <v>7</v>
      </c>
      <c r="I1203" s="2">
        <f>IFERROR(__xludf.DUMMYFUNCTION("""COMPUTED_VALUE"""),7.11)</f>
        <v>7.11</v>
      </c>
      <c r="J1203" s="2">
        <f>IFERROR(__xludf.DUMMYFUNCTION("""COMPUTED_VALUE"""),0.11000000000000032)</f>
        <v>0.11</v>
      </c>
      <c r="K1203" s="5">
        <f>IFERROR(__xludf.DUMMYFUNCTION("""COMPUTED_VALUE"""),0.01571428571428576)</f>
        <v>0.01571428571</v>
      </c>
      <c r="L1203">
        <f>IFERROR(__xludf.DUMMYFUNCTION("""COMPUTED_VALUE"""),59254.0)</f>
        <v>59254</v>
      </c>
      <c r="M1203" t="str">
        <f>IFERROR(__xludf.DUMMYFUNCTION("""COMPUTED_VALUE"""),"Home")</f>
        <v>Home</v>
      </c>
      <c r="O1203" t="str">
        <f>IFERROR(__xludf.DUMMYFUNCTION("""COMPUTED_VALUE"""),"N")</f>
        <v>N</v>
      </c>
      <c r="P1203" s="1" t="str">
        <f>IFERROR(__xludf.DUMMYFUNCTION("""COMPUTED_VALUE"""),"ID 22494")</f>
        <v>ID 22494</v>
      </c>
    </row>
    <row r="1204">
      <c r="A1204" s="6">
        <f>IFERROR(__xludf.DUMMYFUNCTION("""COMPUTED_VALUE"""),44627.0)</f>
        <v>44627</v>
      </c>
      <c r="B1204">
        <f>IFERROR(__xludf.DUMMYFUNCTION("""COMPUTED_VALUE"""),12164.0)</f>
        <v>12164</v>
      </c>
      <c r="C1204" t="str">
        <f>IFERROR(__xludf.DUMMYFUNCTION("""COMPUTED_VALUE"""),"Zippo Flask")</f>
        <v>Zippo Flask</v>
      </c>
      <c r="D1204" t="str">
        <f>IFERROR(__xludf.DUMMYFUNCTION("""COMPUTED_VALUE"""),"B00CA1GD9O")</f>
        <v>B00CA1GD9O</v>
      </c>
      <c r="E1204" t="str">
        <f>IFERROR(__xludf.DUMMYFUNCTION("""COMPUTED_VALUE"""),"41689369965")</f>
        <v>41689369965</v>
      </c>
      <c r="F1204">
        <f>IFERROR(__xludf.DUMMYFUNCTION("""COMPUTED_VALUE"""),260.0)</f>
        <v>260</v>
      </c>
      <c r="G1204">
        <f>IFERROR(__xludf.DUMMYFUNCTION("""COMPUTED_VALUE"""),6000.0)</f>
        <v>6000</v>
      </c>
      <c r="H1204" s="2">
        <f>IFERROR(__xludf.DUMMYFUNCTION("""COMPUTED_VALUE"""),9.5)</f>
        <v>9.5</v>
      </c>
      <c r="I1204" s="2">
        <f>IFERROR(__xludf.DUMMYFUNCTION("""COMPUTED_VALUE"""),9.61)</f>
        <v>9.61</v>
      </c>
      <c r="J1204" s="2">
        <f>IFERROR(__xludf.DUMMYFUNCTION("""COMPUTED_VALUE"""),0.10999999999999943)</f>
        <v>0.11</v>
      </c>
      <c r="K1204" s="5">
        <f>IFERROR(__xludf.DUMMYFUNCTION("""COMPUTED_VALUE"""),0.011578947368420993)</f>
        <v>0.01157894737</v>
      </c>
      <c r="L1204">
        <f>IFERROR(__xludf.DUMMYFUNCTION("""COMPUTED_VALUE"""),35592.0)</f>
        <v>35592</v>
      </c>
      <c r="M1204" t="str">
        <f>IFERROR(__xludf.DUMMYFUNCTION("""COMPUTED_VALUE"""),"Sports")</f>
        <v>Sports</v>
      </c>
      <c r="O1204" t="str">
        <f>IFERROR(__xludf.DUMMYFUNCTION("""COMPUTED_VALUE"""),"Y")</f>
        <v>Y</v>
      </c>
      <c r="P1204" s="1" t="str">
        <f>IFERROR(__xludf.DUMMYFUNCTION("""COMPUTED_VALUE"""),"ID 12164")</f>
        <v>ID 12164</v>
      </c>
    </row>
    <row r="1205">
      <c r="A1205" s="6">
        <f>IFERROR(__xludf.DUMMYFUNCTION("""COMPUTED_VALUE"""),45166.0)</f>
        <v>45166</v>
      </c>
      <c r="B1205">
        <f>IFERROR(__xludf.DUMMYFUNCTION("""COMPUTED_VALUE"""),18507.0)</f>
        <v>18507</v>
      </c>
      <c r="C1205" t="str">
        <f>IFERROR(__xludf.DUMMYFUNCTION("""COMPUTED_VALUE"""),"Adams Bill of Sale Forms Pack, Includes 2 Motor Vehicle and 2 General Bills of Sale, 8.5 x 11 Inches, White (ALFP111)")</f>
        <v>Adams Bill of Sale Forms Pack, Includes 2 Motor Vehicle and 2 General Bills of Sale, 8.5 x 11 Inches, White (ALFP111)</v>
      </c>
      <c r="D1205" t="str">
        <f>IFERROR(__xludf.DUMMYFUNCTION("""COMPUTED_VALUE"""),"B004PGKPCI")</f>
        <v>B004PGKPCI</v>
      </c>
      <c r="E1205" t="str">
        <f>IFERROR(__xludf.DUMMYFUNCTION("""COMPUTED_VALUE"""),"087958041118")</f>
        <v>087958041118</v>
      </c>
      <c r="F1205">
        <f>IFERROR(__xludf.DUMMYFUNCTION("""COMPUTED_VALUE"""),290.0)</f>
        <v>290</v>
      </c>
      <c r="G1205">
        <f>IFERROR(__xludf.DUMMYFUNCTION("""COMPUTED_VALUE"""),10000.0)</f>
        <v>10000</v>
      </c>
      <c r="H1205" s="2">
        <f>IFERROR(__xludf.DUMMYFUNCTION("""COMPUTED_VALUE"""),8.5)</f>
        <v>8.5</v>
      </c>
      <c r="I1205" s="2">
        <f>IFERROR(__xludf.DUMMYFUNCTION("""COMPUTED_VALUE"""),8.61)</f>
        <v>8.61</v>
      </c>
      <c r="J1205" s="2">
        <f>IFERROR(__xludf.DUMMYFUNCTION("""COMPUTED_VALUE"""),0.10999999999999943)</f>
        <v>0.11</v>
      </c>
      <c r="K1205" s="5">
        <f>IFERROR(__xludf.DUMMYFUNCTION("""COMPUTED_VALUE"""),0.012941176470588168)</f>
        <v>0.01294117647</v>
      </c>
      <c r="L1205">
        <f>IFERROR(__xludf.DUMMYFUNCTION("""COMPUTED_VALUE"""),56307.0)</f>
        <v>56307</v>
      </c>
      <c r="M1205" t="str">
        <f>IFERROR(__xludf.DUMMYFUNCTION("""COMPUTED_VALUE"""),"Office Product")</f>
        <v>Office Product</v>
      </c>
      <c r="O1205" t="str">
        <f>IFERROR(__xludf.DUMMYFUNCTION("""COMPUTED_VALUE"""),"Y")</f>
        <v>Y</v>
      </c>
      <c r="P1205" s="1" t="str">
        <f>IFERROR(__xludf.DUMMYFUNCTION("""COMPUTED_VALUE"""),"ID 18507")</f>
        <v>ID 18507</v>
      </c>
    </row>
    <row r="1206">
      <c r="A1206" s="6">
        <f>IFERROR(__xludf.DUMMYFUNCTION("""COMPUTED_VALUE"""),45350.0)</f>
        <v>45350</v>
      </c>
      <c r="B1206">
        <f>IFERROR(__xludf.DUMMYFUNCTION("""COMPUTED_VALUE"""),23924.0)</f>
        <v>23924</v>
      </c>
      <c r="C1206" t="str">
        <f>IFERROR(__xludf.DUMMYFUNCTION("""COMPUTED_VALUE"""),"ADVANTUS Gem 1.5-Inch T-Pins, 100 per Box (87T)")</f>
        <v>ADVANTUS Gem 1.5-Inch T-Pins, 100 per Box (87T)</v>
      </c>
      <c r="D1206" t="str">
        <f>IFERROR(__xludf.DUMMYFUNCTION("""COMPUTED_VALUE"""),"B001PLOM8Y")</f>
        <v>B001PLOM8Y</v>
      </c>
      <c r="E1206" t="str">
        <f>IFERROR(__xludf.DUMMYFUNCTION("""COMPUTED_VALUE"""),"097099020620")</f>
        <v>097099020620</v>
      </c>
      <c r="F1206">
        <f>IFERROR(__xludf.DUMMYFUNCTION("""COMPUTED_VALUE"""),500.0)</f>
        <v>500</v>
      </c>
      <c r="G1206">
        <f>IFERROR(__xludf.DUMMYFUNCTION("""COMPUTED_VALUE"""),10000.0)</f>
        <v>10000</v>
      </c>
      <c r="H1206" s="2">
        <f>IFERROR(__xludf.DUMMYFUNCTION("""COMPUTED_VALUE"""),2.75)</f>
        <v>2.75</v>
      </c>
      <c r="I1206" s="2">
        <f>IFERROR(__xludf.DUMMYFUNCTION("""COMPUTED_VALUE"""),2.85)</f>
        <v>2.85</v>
      </c>
      <c r="J1206" s="2">
        <f>IFERROR(__xludf.DUMMYFUNCTION("""COMPUTED_VALUE"""),0.10000000000000009)</f>
        <v>0.1</v>
      </c>
      <c r="K1206" s="5">
        <f>IFERROR(__xludf.DUMMYFUNCTION("""COMPUTED_VALUE"""),0.0363636363636364)</f>
        <v>0.03636363636</v>
      </c>
      <c r="L1206">
        <f>IFERROR(__xludf.DUMMYFUNCTION("""COMPUTED_VALUE"""),48650.0)</f>
        <v>48650</v>
      </c>
      <c r="M1206" t="str">
        <f>IFERROR(__xludf.DUMMYFUNCTION("""COMPUTED_VALUE"""),"Office Product")</f>
        <v>Office Product</v>
      </c>
      <c r="O1206" t="str">
        <f>IFERROR(__xludf.DUMMYFUNCTION("""COMPUTED_VALUE"""),"N")</f>
        <v>N</v>
      </c>
      <c r="P1206" s="1" t="str">
        <f>IFERROR(__xludf.DUMMYFUNCTION("""COMPUTED_VALUE"""),"ID 23924")</f>
        <v>ID 23924</v>
      </c>
    </row>
    <row r="1207">
      <c r="A1207" s="6">
        <f>IFERROR(__xludf.DUMMYFUNCTION("""COMPUTED_VALUE"""),45376.0)</f>
        <v>45376</v>
      </c>
      <c r="B1207">
        <f>IFERROR(__xludf.DUMMYFUNCTION("""COMPUTED_VALUE"""),21911.0)</f>
        <v>21911</v>
      </c>
      <c r="C1207" t="str">
        <f>IFERROR(__xludf.DUMMYFUNCTION("""COMPUTED_VALUE"""),"DIXON Industrial Carpenter Pencils, Hard Graphite Core, Red/Black, 7"", 12-Pack (19973)")</f>
        <v>DIXON Industrial Carpenter Pencils, Hard Graphite Core, Red/Black, 7", 12-Pack (19973)</v>
      </c>
      <c r="D1207" t="str">
        <f>IFERROR(__xludf.DUMMYFUNCTION("""COMPUTED_VALUE"""),"B000I1EI90")</f>
        <v>B000I1EI90</v>
      </c>
      <c r="E1207" t="str">
        <f>IFERROR(__xludf.DUMMYFUNCTION("""COMPUTED_VALUE"""),"072067199737")</f>
        <v>072067199737</v>
      </c>
      <c r="F1207">
        <f>IFERROR(__xludf.DUMMYFUNCTION("""COMPUTED_VALUE"""),720.0)</f>
        <v>720</v>
      </c>
      <c r="G1207">
        <f>IFERROR(__xludf.DUMMYFUNCTION("""COMPUTED_VALUE"""),10000.0)</f>
        <v>10000</v>
      </c>
      <c r="H1207" s="2">
        <f>IFERROR(__xludf.DUMMYFUNCTION("""COMPUTED_VALUE"""),5.25)</f>
        <v>5.25</v>
      </c>
      <c r="I1207" s="2">
        <f>IFERROR(__xludf.DUMMYFUNCTION("""COMPUTED_VALUE"""),5.35)</f>
        <v>5.35</v>
      </c>
      <c r="J1207" s="2">
        <f>IFERROR(__xludf.DUMMYFUNCTION("""COMPUTED_VALUE"""),0.09999999999999964)</f>
        <v>0.1</v>
      </c>
      <c r="K1207" s="5">
        <f>IFERROR(__xludf.DUMMYFUNCTION("""COMPUTED_VALUE"""),0.01904761904761898)</f>
        <v>0.01904761905</v>
      </c>
      <c r="L1207">
        <f>IFERROR(__xludf.DUMMYFUNCTION("""COMPUTED_VALUE"""),41356.0)</f>
        <v>41356</v>
      </c>
      <c r="M1207" t="str">
        <f>IFERROR(__xludf.DUMMYFUNCTION("""COMPUTED_VALUE"""),"Home Improvement")</f>
        <v>Home Improvement</v>
      </c>
      <c r="O1207" t="str">
        <f>IFERROR(__xludf.DUMMYFUNCTION("""COMPUTED_VALUE"""),"N")</f>
        <v>N</v>
      </c>
      <c r="P1207" s="1" t="str">
        <f>IFERROR(__xludf.DUMMYFUNCTION("""COMPUTED_VALUE"""),"ID 21911")</f>
        <v>ID 21911</v>
      </c>
    </row>
    <row r="1208">
      <c r="A1208" s="6">
        <f>IFERROR(__xludf.DUMMYFUNCTION("""COMPUTED_VALUE"""),45401.0)</f>
        <v>45401</v>
      </c>
      <c r="B1208">
        <f>IFERROR(__xludf.DUMMYFUNCTION("""COMPUTED_VALUE"""),12234.0)</f>
        <v>12234</v>
      </c>
      <c r="C1208" t="str">
        <f>IFERROR(__xludf.DUMMYFUNCTION("""COMPUTED_VALUE"""),"Home Basics 7 Piece Diamond Mug Set 6 11 oz Mugs and Mug Stand in Navy, Gray and White Fun and Stylish Decorative Display For your Kitchen")</f>
        <v>Home Basics 7 Piece Diamond Mug Set 6 11 oz Mugs and Mug Stand in Navy, Gray and White Fun and Stylish Decorative Display For your Kitchen</v>
      </c>
      <c r="D1208" t="str">
        <f>IFERROR(__xludf.DUMMYFUNCTION("""COMPUTED_VALUE"""),"B01F5T6LR6")</f>
        <v>B01F5T6LR6</v>
      </c>
      <c r="E1208" t="str">
        <f>IFERROR(__xludf.DUMMYFUNCTION("""COMPUTED_VALUE"""),"886466446473")</f>
        <v>886466446473</v>
      </c>
      <c r="F1208">
        <f>IFERROR(__xludf.DUMMYFUNCTION("""COMPUTED_VALUE"""),102.0)</f>
        <v>102</v>
      </c>
      <c r="G1208">
        <f>IFERROR(__xludf.DUMMYFUNCTION("""COMPUTED_VALUE"""),10000.0)</f>
        <v>10000</v>
      </c>
      <c r="H1208" s="2">
        <f>IFERROR(__xludf.DUMMYFUNCTION("""COMPUTED_VALUE"""),12.0)</f>
        <v>12</v>
      </c>
      <c r="I1208" s="2">
        <f>IFERROR(__xludf.DUMMYFUNCTION("""COMPUTED_VALUE"""),12.1)</f>
        <v>12.1</v>
      </c>
      <c r="J1208" s="2">
        <f>IFERROR(__xludf.DUMMYFUNCTION("""COMPUTED_VALUE"""),0.09999999999999964)</f>
        <v>0.1</v>
      </c>
      <c r="K1208" s="5">
        <f>IFERROR(__xludf.DUMMYFUNCTION("""COMPUTED_VALUE"""),0.008333333333333304)</f>
        <v>0.008333333333</v>
      </c>
      <c r="L1208">
        <f>IFERROR(__xludf.DUMMYFUNCTION("""COMPUTED_VALUE"""),57745.0)</f>
        <v>57745</v>
      </c>
      <c r="M1208" t="str">
        <f>IFERROR(__xludf.DUMMYFUNCTION("""COMPUTED_VALUE"""),"Kitchen")</f>
        <v>Kitchen</v>
      </c>
      <c r="O1208" t="str">
        <f>IFERROR(__xludf.DUMMYFUNCTION("""COMPUTED_VALUE"""),"Y")</f>
        <v>Y</v>
      </c>
      <c r="P1208" s="1" t="str">
        <f>IFERROR(__xludf.DUMMYFUNCTION("""COMPUTED_VALUE"""),"ID 12234")</f>
        <v>ID 12234</v>
      </c>
    </row>
    <row r="1209">
      <c r="A1209" s="6">
        <f>IFERROR(__xludf.DUMMYFUNCTION("""COMPUTED_VALUE"""),45390.0)</f>
        <v>45390</v>
      </c>
      <c r="B1209">
        <f>IFERROR(__xludf.DUMMYFUNCTION("""COMPUTED_VALUE"""),4397.0)</f>
        <v>4397</v>
      </c>
      <c r="C1209" t="str">
        <f>IFERROR(__xludf.DUMMYFUNCTION("""COMPUTED_VALUE"""),"Chef Craft FBA_12951, Slotted Skimmer, Silver")</f>
        <v>Chef Craft FBA_12951, Slotted Skimmer, Silver</v>
      </c>
      <c r="D1209" t="str">
        <f>IFERROR(__xludf.DUMMYFUNCTION("""COMPUTED_VALUE"""),"B002YI7DXI")</f>
        <v>B002YI7DXI</v>
      </c>
      <c r="E1209" t="str">
        <f>IFERROR(__xludf.DUMMYFUNCTION("""COMPUTED_VALUE"""),"085455129513")</f>
        <v>085455129513</v>
      </c>
      <c r="F1209">
        <f>IFERROR(__xludf.DUMMYFUNCTION("""COMPUTED_VALUE"""),720.0)</f>
        <v>720</v>
      </c>
      <c r="G1209">
        <f>IFERROR(__xludf.DUMMYFUNCTION("""COMPUTED_VALUE"""),10000.0)</f>
        <v>10000</v>
      </c>
      <c r="H1209" s="2">
        <f>IFERROR(__xludf.DUMMYFUNCTION("""COMPUTED_VALUE"""),1.75)</f>
        <v>1.75</v>
      </c>
      <c r="I1209" s="2">
        <f>IFERROR(__xludf.DUMMYFUNCTION("""COMPUTED_VALUE"""),1.84)</f>
        <v>1.84</v>
      </c>
      <c r="J1209" s="2">
        <f>IFERROR(__xludf.DUMMYFUNCTION("""COMPUTED_VALUE"""),0.09000000000000008)</f>
        <v>0.09</v>
      </c>
      <c r="K1209" s="5">
        <f>IFERROR(__xludf.DUMMYFUNCTION("""COMPUTED_VALUE"""),0.051428571428571476)</f>
        <v>0.05142857143</v>
      </c>
      <c r="L1209">
        <f>IFERROR(__xludf.DUMMYFUNCTION("""COMPUTED_VALUE"""),1423.0)</f>
        <v>1423</v>
      </c>
      <c r="M1209" t="str">
        <f>IFERROR(__xludf.DUMMYFUNCTION("""COMPUTED_VALUE"""),"Kitchen")</f>
        <v>Kitchen</v>
      </c>
      <c r="O1209" t="str">
        <f>IFERROR(__xludf.DUMMYFUNCTION("""COMPUTED_VALUE"""),"Y")</f>
        <v>Y</v>
      </c>
      <c r="P1209" s="1" t="str">
        <f>IFERROR(__xludf.DUMMYFUNCTION("""COMPUTED_VALUE"""),"ID 4397")</f>
        <v>ID 4397</v>
      </c>
    </row>
    <row r="1210">
      <c r="A1210" s="6">
        <f>IFERROR(__xludf.DUMMYFUNCTION("""COMPUTED_VALUE"""),45376.0)</f>
        <v>45376</v>
      </c>
      <c r="B1210">
        <f>IFERROR(__xludf.DUMMYFUNCTION("""COMPUTED_VALUE"""),14338.0)</f>
        <v>14338</v>
      </c>
      <c r="C1210" t="str">
        <f>IFERROR(__xludf.DUMMYFUNCTION("""COMPUTED_VALUE"""),"US Toy Plastic Golf Balls Game (1 Dozen)")</f>
        <v>US Toy Plastic Golf Balls Game (1 Dozen)</v>
      </c>
      <c r="D1210" t="str">
        <f>IFERROR(__xludf.DUMMYFUNCTION("""COMPUTED_VALUE"""),"B00B1642E2")</f>
        <v>B00B1642E2</v>
      </c>
      <c r="E1210" t="str">
        <f>IFERROR(__xludf.DUMMYFUNCTION("""COMPUTED_VALUE"""),"049392255308")</f>
        <v>049392255308</v>
      </c>
      <c r="F1210">
        <f>IFERROR(__xludf.DUMMYFUNCTION("""COMPUTED_VALUE"""),504.0)</f>
        <v>504</v>
      </c>
      <c r="G1210">
        <f>IFERROR(__xludf.DUMMYFUNCTION("""COMPUTED_VALUE"""),636.0)</f>
        <v>636</v>
      </c>
      <c r="H1210" s="2">
        <f>IFERROR(__xludf.DUMMYFUNCTION("""COMPUTED_VALUE"""),1.5)</f>
        <v>1.5</v>
      </c>
      <c r="I1210" s="2">
        <f>IFERROR(__xludf.DUMMYFUNCTION("""COMPUTED_VALUE"""),1.59)</f>
        <v>1.59</v>
      </c>
      <c r="J1210" s="2">
        <f>IFERROR(__xludf.DUMMYFUNCTION("""COMPUTED_VALUE"""),0.09000000000000008)</f>
        <v>0.09</v>
      </c>
      <c r="K1210" s="5">
        <f>IFERROR(__xludf.DUMMYFUNCTION("""COMPUTED_VALUE"""),0.06000000000000005)</f>
        <v>0.06</v>
      </c>
      <c r="L1210">
        <f>IFERROR(__xludf.DUMMYFUNCTION("""COMPUTED_VALUE"""),18267.0)</f>
        <v>18267</v>
      </c>
      <c r="M1210" t="str">
        <f>IFERROR(__xludf.DUMMYFUNCTION("""COMPUTED_VALUE"""),"Toy")</f>
        <v>Toy</v>
      </c>
      <c r="N1210" t="str">
        <f>IFERROR(__xludf.DUMMYFUNCTION("""COMPUTED_VALUE"""),"MAP: $2.99. If you violate the MAP pricing, the brand will remove you and require you to return the merchandise at a 50% restocking fee.")</f>
        <v>MAP: $2.99. If you violate the MAP pricing, the brand will remove you and require you to return the merchandise at a 50% restocking fee.</v>
      </c>
      <c r="O1210" t="str">
        <f>IFERROR(__xludf.DUMMYFUNCTION("""COMPUTED_VALUE"""),"N")</f>
        <v>N</v>
      </c>
      <c r="P1210" s="1" t="str">
        <f>IFERROR(__xludf.DUMMYFUNCTION("""COMPUTED_VALUE"""),"ID 14338")</f>
        <v>ID 14338</v>
      </c>
    </row>
    <row r="1211">
      <c r="A1211" s="6">
        <f>IFERROR(__xludf.DUMMYFUNCTION("""COMPUTED_VALUE"""),45390.0)</f>
        <v>45390</v>
      </c>
      <c r="B1211">
        <f>IFERROR(__xludf.DUMMYFUNCTION("""COMPUTED_VALUE"""),15412.0)</f>
        <v>15412</v>
      </c>
      <c r="C1211" t="str">
        <f>IFERROR(__xludf.DUMMYFUNCTION("""COMPUTED_VALUE"""),"Stainless Steel Clam Shell Food Service Tongs with Sliding Rings, 16 Inch")</f>
        <v>Stainless Steel Clam Shell Food Service Tongs with Sliding Rings, 16 Inch</v>
      </c>
      <c r="D1211" t="str">
        <f>IFERROR(__xludf.DUMMYFUNCTION("""COMPUTED_VALUE"""),"B00440D3F6")</f>
        <v>B00440D3F6</v>
      </c>
      <c r="E1211" t="str">
        <f>IFERROR(__xludf.DUMMYFUNCTION("""COMPUTED_VALUE"""),"085455214523")</f>
        <v>085455214523</v>
      </c>
      <c r="F1211">
        <f>IFERROR(__xludf.DUMMYFUNCTION("""COMPUTED_VALUE"""),864.0)</f>
        <v>864</v>
      </c>
      <c r="G1211">
        <f>IFERROR(__xludf.DUMMYFUNCTION("""COMPUTED_VALUE"""),10000.0)</f>
        <v>10000</v>
      </c>
      <c r="H1211" s="2">
        <f>IFERROR(__xludf.DUMMYFUNCTION("""COMPUTED_VALUE"""),1.25)</f>
        <v>1.25</v>
      </c>
      <c r="I1211" s="2">
        <f>IFERROR(__xludf.DUMMYFUNCTION("""COMPUTED_VALUE"""),1.34)</f>
        <v>1.34</v>
      </c>
      <c r="J1211" s="2">
        <f>IFERROR(__xludf.DUMMYFUNCTION("""COMPUTED_VALUE"""),0.09000000000000008)</f>
        <v>0.09</v>
      </c>
      <c r="K1211" s="5">
        <f>IFERROR(__xludf.DUMMYFUNCTION("""COMPUTED_VALUE"""),0.07200000000000006)</f>
        <v>0.072</v>
      </c>
      <c r="L1211">
        <f>IFERROR(__xludf.DUMMYFUNCTION("""COMPUTED_VALUE"""),36471.0)</f>
        <v>36471</v>
      </c>
      <c r="M1211" t="str">
        <f>IFERROR(__xludf.DUMMYFUNCTION("""COMPUTED_VALUE"""),"Kitchen")</f>
        <v>Kitchen</v>
      </c>
      <c r="O1211" t="str">
        <f>IFERROR(__xludf.DUMMYFUNCTION("""COMPUTED_VALUE"""),"Y")</f>
        <v>Y</v>
      </c>
      <c r="P1211" s="1" t="str">
        <f>IFERROR(__xludf.DUMMYFUNCTION("""COMPUTED_VALUE"""),"ID 15412")</f>
        <v>ID 15412</v>
      </c>
    </row>
    <row r="1212">
      <c r="A1212" s="6">
        <f>IFERROR(__xludf.DUMMYFUNCTION("""COMPUTED_VALUE"""),45390.0)</f>
        <v>45390</v>
      </c>
      <c r="B1212">
        <f>IFERROR(__xludf.DUMMYFUNCTION("""COMPUTED_VALUE"""),15745.0)</f>
        <v>15745</v>
      </c>
      <c r="C1212" t="str">
        <f>IFERROR(__xludf.DUMMYFUNCTION("""COMPUTED_VALUE"""),"Chef Craft Flat Grater with Small Holes")</f>
        <v>Chef Craft Flat Grater with Small Holes</v>
      </c>
      <c r="D1212" t="str">
        <f>IFERROR(__xludf.DUMMYFUNCTION("""COMPUTED_VALUE"""),"B000KKI4BC")</f>
        <v>B000KKI4BC</v>
      </c>
      <c r="E1212" t="str">
        <f>IFERROR(__xludf.DUMMYFUNCTION("""COMPUTED_VALUE"""),"085455209710")</f>
        <v>085455209710</v>
      </c>
      <c r="F1212">
        <f>IFERROR(__xludf.DUMMYFUNCTION("""COMPUTED_VALUE"""),864.0)</f>
        <v>864</v>
      </c>
      <c r="G1212">
        <f>IFERROR(__xludf.DUMMYFUNCTION("""COMPUTED_VALUE"""),10000.0)</f>
        <v>10000</v>
      </c>
      <c r="H1212" s="2">
        <f>IFERROR(__xludf.DUMMYFUNCTION("""COMPUTED_VALUE"""),1.25)</f>
        <v>1.25</v>
      </c>
      <c r="I1212" s="2">
        <f>IFERROR(__xludf.DUMMYFUNCTION("""COMPUTED_VALUE"""),1.34)</f>
        <v>1.34</v>
      </c>
      <c r="J1212" s="2">
        <f>IFERROR(__xludf.DUMMYFUNCTION("""COMPUTED_VALUE"""),0.09000000000000008)</f>
        <v>0.09</v>
      </c>
      <c r="K1212" s="5">
        <f>IFERROR(__xludf.DUMMYFUNCTION("""COMPUTED_VALUE"""),0.07200000000000006)</f>
        <v>0.072</v>
      </c>
      <c r="L1212">
        <f>IFERROR(__xludf.DUMMYFUNCTION("""COMPUTED_VALUE"""),55643.0)</f>
        <v>55643</v>
      </c>
      <c r="M1212" t="str">
        <f>IFERROR(__xludf.DUMMYFUNCTION("""COMPUTED_VALUE"""),"Kitchen")</f>
        <v>Kitchen</v>
      </c>
      <c r="O1212" t="str">
        <f>IFERROR(__xludf.DUMMYFUNCTION("""COMPUTED_VALUE"""),"Y")</f>
        <v>Y</v>
      </c>
      <c r="P1212" s="1" t="str">
        <f>IFERROR(__xludf.DUMMYFUNCTION("""COMPUTED_VALUE"""),"ID 15745")</f>
        <v>ID 15745</v>
      </c>
    </row>
    <row r="1213">
      <c r="A1213" s="6">
        <f>IFERROR(__xludf.DUMMYFUNCTION("""COMPUTED_VALUE"""),45113.0)</f>
        <v>45113</v>
      </c>
      <c r="B1213">
        <f>IFERROR(__xludf.DUMMYFUNCTION("""COMPUTED_VALUE"""),15230.0)</f>
        <v>15230</v>
      </c>
      <c r="C1213" t="str">
        <f>IFERROR(__xludf.DUMMYFUNCTION("""COMPUTED_VALUE"""),"Prismacolor 962 Premier Colorless Blender Pencils, 2-Count")</f>
        <v>Prismacolor 962 Premier Colorless Blender Pencils, 2-Count</v>
      </c>
      <c r="D1213" t="str">
        <f>IFERROR(__xludf.DUMMYFUNCTION("""COMPUTED_VALUE"""),"B002X94T8U")</f>
        <v>B002X94T8U</v>
      </c>
      <c r="E1213" t="str">
        <f>IFERROR(__xludf.DUMMYFUNCTION("""COMPUTED_VALUE"""),"70735009623")</f>
        <v>70735009623</v>
      </c>
      <c r="F1213">
        <f>IFERROR(__xludf.DUMMYFUNCTION("""COMPUTED_VALUE"""),1584.0)</f>
        <v>1584</v>
      </c>
      <c r="G1213">
        <f>IFERROR(__xludf.DUMMYFUNCTION("""COMPUTED_VALUE"""),10000.0)</f>
        <v>10000</v>
      </c>
      <c r="H1213" s="2">
        <f>IFERROR(__xludf.DUMMYFUNCTION("""COMPUTED_VALUE"""),2.0)</f>
        <v>2</v>
      </c>
      <c r="I1213" s="2">
        <f>IFERROR(__xludf.DUMMYFUNCTION("""COMPUTED_VALUE"""),2.09)</f>
        <v>2.09</v>
      </c>
      <c r="J1213" s="2">
        <f>IFERROR(__xludf.DUMMYFUNCTION("""COMPUTED_VALUE"""),0.08999999999999986)</f>
        <v>0.09</v>
      </c>
      <c r="K1213" s="5">
        <f>IFERROR(__xludf.DUMMYFUNCTION("""COMPUTED_VALUE"""),0.04499999999999993)</f>
        <v>0.045</v>
      </c>
      <c r="L1213">
        <f>IFERROR(__xludf.DUMMYFUNCTION("""COMPUTED_VALUE"""),19734.0)</f>
        <v>19734</v>
      </c>
      <c r="M1213" t="str">
        <f>IFERROR(__xludf.DUMMYFUNCTION("""COMPUTED_VALUE"""),"Office Product")</f>
        <v>Office Product</v>
      </c>
      <c r="O1213" t="str">
        <f>IFERROR(__xludf.DUMMYFUNCTION("""COMPUTED_VALUE"""),"Y")</f>
        <v>Y</v>
      </c>
      <c r="P1213" s="1" t="str">
        <f>IFERROR(__xludf.DUMMYFUNCTION("""COMPUTED_VALUE"""),"ID 15230")</f>
        <v>ID 15230</v>
      </c>
    </row>
    <row r="1214">
      <c r="A1214" s="6">
        <f>IFERROR(__xludf.DUMMYFUNCTION("""COMPUTED_VALUE"""),44941.0)</f>
        <v>44941</v>
      </c>
      <c r="B1214">
        <f>IFERROR(__xludf.DUMMYFUNCTION("""COMPUTED_VALUE"""),2547.0)</f>
        <v>2547</v>
      </c>
      <c r="C1214" t="str">
        <f>IFERROR(__xludf.DUMMYFUNCTION("""COMPUTED_VALUE"""),"Elmer's Disappearing Purple School Glue Sticks, Assorted Sizes: 3 Small + 3 Giant + 1 Jumbo Glue Stick (E4081)")</f>
        <v>Elmer's Disappearing Purple School Glue Sticks, Assorted Sizes: 3 Small + 3 Giant + 1 Jumbo Glue Stick (E4081)</v>
      </c>
      <c r="D1214" t="str">
        <f>IFERROR(__xludf.DUMMYFUNCTION("""COMPUTED_VALUE"""),"B01I7EKEOC")</f>
        <v>B01I7EKEOC</v>
      </c>
      <c r="E1214" t="str">
        <f>IFERROR(__xludf.DUMMYFUNCTION("""COMPUTED_VALUE"""),"26000040815")</f>
        <v>26000040815</v>
      </c>
      <c r="F1214">
        <f>IFERROR(__xludf.DUMMYFUNCTION("""COMPUTED_VALUE"""),624.0)</f>
        <v>624</v>
      </c>
      <c r="G1214">
        <f>IFERROR(__xludf.DUMMYFUNCTION("""COMPUTED_VALUE"""),3624.0)</f>
        <v>3624</v>
      </c>
      <c r="H1214" s="2">
        <f>IFERROR(__xludf.DUMMYFUNCTION("""COMPUTED_VALUE"""),5.0)</f>
        <v>5</v>
      </c>
      <c r="I1214" s="2">
        <f>IFERROR(__xludf.DUMMYFUNCTION("""COMPUTED_VALUE"""),5.09)</f>
        <v>5.09</v>
      </c>
      <c r="J1214" s="2">
        <f>IFERROR(__xludf.DUMMYFUNCTION("""COMPUTED_VALUE"""),0.08999999999999986)</f>
        <v>0.09</v>
      </c>
      <c r="K1214" s="5">
        <f>IFERROR(__xludf.DUMMYFUNCTION("""COMPUTED_VALUE"""),0.01799999999999997)</f>
        <v>0.018</v>
      </c>
      <c r="L1214">
        <f>IFERROR(__xludf.DUMMYFUNCTION("""COMPUTED_VALUE"""),53600.0)</f>
        <v>53600</v>
      </c>
      <c r="M1214" t="str">
        <f>IFERROR(__xludf.DUMMYFUNCTION("""COMPUTED_VALUE"""),"Office Product")</f>
        <v>Office Product</v>
      </c>
      <c r="O1214" t="str">
        <f>IFERROR(__xludf.DUMMYFUNCTION("""COMPUTED_VALUE"""),"Y")</f>
        <v>Y</v>
      </c>
      <c r="P1214" s="1" t="str">
        <f>IFERROR(__xludf.DUMMYFUNCTION("""COMPUTED_VALUE"""),"ID 2547")</f>
        <v>ID 2547</v>
      </c>
    </row>
    <row r="1215">
      <c r="A1215" s="6">
        <f>IFERROR(__xludf.DUMMYFUNCTION("""COMPUTED_VALUE"""),45357.0)</f>
        <v>45357</v>
      </c>
      <c r="B1215">
        <f>IFERROR(__xludf.DUMMYFUNCTION("""COMPUTED_VALUE"""),22328.0)</f>
        <v>22328</v>
      </c>
      <c r="C1215" t="str">
        <f>IFERROR(__xludf.DUMMYFUNCTION("""COMPUTED_VALUE"""),"PILOT FriXion Clicker Erasable, Refillable &amp; Retractable Gel Ink Pens, Fine Point, Red Ink, 2-Pack (31462)")</f>
        <v>PILOT FriXion Clicker Erasable, Refillable &amp; Retractable Gel Ink Pens, Fine Point, Red Ink, 2-Pack (31462)</v>
      </c>
      <c r="D1215" t="str">
        <f>IFERROR(__xludf.DUMMYFUNCTION("""COMPUTED_VALUE"""),"B009QYH54K")</f>
        <v>B009QYH54K</v>
      </c>
      <c r="E1215" t="str">
        <f>IFERROR(__xludf.DUMMYFUNCTION("""COMPUTED_VALUE"""),"072838314628")</f>
        <v>072838314628</v>
      </c>
      <c r="F1215">
        <f>IFERROR(__xludf.DUMMYFUNCTION("""COMPUTED_VALUE"""),336.0)</f>
        <v>336</v>
      </c>
      <c r="G1215">
        <f>IFERROR(__xludf.DUMMYFUNCTION("""COMPUTED_VALUE"""),10000.0)</f>
        <v>10000</v>
      </c>
      <c r="H1215" s="2">
        <f>IFERROR(__xludf.DUMMYFUNCTION("""COMPUTED_VALUE"""),3.25)</f>
        <v>3.25</v>
      </c>
      <c r="I1215" s="2">
        <f>IFERROR(__xludf.DUMMYFUNCTION("""COMPUTED_VALUE"""),3.34)</f>
        <v>3.34</v>
      </c>
      <c r="J1215" s="2">
        <f>IFERROR(__xludf.DUMMYFUNCTION("""COMPUTED_VALUE"""),0.08999999999999986)</f>
        <v>0.09</v>
      </c>
      <c r="K1215" s="5">
        <f>IFERROR(__xludf.DUMMYFUNCTION("""COMPUTED_VALUE"""),0.027692307692307648)</f>
        <v>0.02769230769</v>
      </c>
      <c r="L1215">
        <f>IFERROR(__xludf.DUMMYFUNCTION("""COMPUTED_VALUE"""),10665.0)</f>
        <v>10665</v>
      </c>
      <c r="M1215" t="str">
        <f>IFERROR(__xludf.DUMMYFUNCTION("""COMPUTED_VALUE"""),"Office Product")</f>
        <v>Office Product</v>
      </c>
      <c r="O1215" t="str">
        <f>IFERROR(__xludf.DUMMYFUNCTION("""COMPUTED_VALUE"""),"Y")</f>
        <v>Y</v>
      </c>
      <c r="P1215" s="1" t="str">
        <f>IFERROR(__xludf.DUMMYFUNCTION("""COMPUTED_VALUE"""),"ID 22328")</f>
        <v>ID 22328</v>
      </c>
    </row>
    <row r="1216">
      <c r="A1216" s="6">
        <f>IFERROR(__xludf.DUMMYFUNCTION("""COMPUTED_VALUE"""),45364.0)</f>
        <v>45364</v>
      </c>
      <c r="B1216">
        <f>IFERROR(__xludf.DUMMYFUNCTION("""COMPUTED_VALUE"""),22581.0)</f>
        <v>22581</v>
      </c>
      <c r="C1216" t="str">
        <f>IFERROR(__xludf.DUMMYFUNCTION("""COMPUTED_VALUE"""),"Blueline MiracleBind Notebook Refill Sheets 50 Sheets 9.25x7.25-Inch (AFR9050R)")</f>
        <v>Blueline MiracleBind Notebook Refill Sheets 50 Sheets 9.25x7.25-Inch (AFR9050R)</v>
      </c>
      <c r="D1216" t="str">
        <f>IFERROR(__xludf.DUMMYFUNCTION("""COMPUTED_VALUE"""),"B003N19DCE")</f>
        <v>B003N19DCE</v>
      </c>
      <c r="E1216" t="str">
        <f>IFERROR(__xludf.DUMMYFUNCTION("""COMPUTED_VALUE"""),"069775366223")</f>
        <v>069775366223</v>
      </c>
      <c r="F1216">
        <f>IFERROR(__xludf.DUMMYFUNCTION("""COMPUTED_VALUE"""),320.0)</f>
        <v>320</v>
      </c>
      <c r="G1216">
        <f>IFERROR(__xludf.DUMMYFUNCTION("""COMPUTED_VALUE"""),10000.0)</f>
        <v>10000</v>
      </c>
      <c r="H1216" s="2">
        <f>IFERROR(__xludf.DUMMYFUNCTION("""COMPUTED_VALUE"""),4.0)</f>
        <v>4</v>
      </c>
      <c r="I1216" s="2">
        <f>IFERROR(__xludf.DUMMYFUNCTION("""COMPUTED_VALUE"""),4.09)</f>
        <v>4.09</v>
      </c>
      <c r="J1216" s="2">
        <f>IFERROR(__xludf.DUMMYFUNCTION("""COMPUTED_VALUE"""),0.08999999999999986)</f>
        <v>0.09</v>
      </c>
      <c r="K1216" s="5">
        <f>IFERROR(__xludf.DUMMYFUNCTION("""COMPUTED_VALUE"""),0.022499999999999964)</f>
        <v>0.0225</v>
      </c>
      <c r="L1216">
        <f>IFERROR(__xludf.DUMMYFUNCTION("""COMPUTED_VALUE"""),55074.0)</f>
        <v>55074</v>
      </c>
      <c r="M1216" t="str">
        <f>IFERROR(__xludf.DUMMYFUNCTION("""COMPUTED_VALUE"""),"Office Product")</f>
        <v>Office Product</v>
      </c>
      <c r="O1216" t="str">
        <f>IFERROR(__xludf.DUMMYFUNCTION("""COMPUTED_VALUE"""),"Y")</f>
        <v>Y</v>
      </c>
      <c r="P1216" s="1" t="str">
        <f>IFERROR(__xludf.DUMMYFUNCTION("""COMPUTED_VALUE"""),"ID 22581")</f>
        <v>ID 22581</v>
      </c>
    </row>
    <row r="1217">
      <c r="A1217" s="6">
        <f>IFERROR(__xludf.DUMMYFUNCTION("""COMPUTED_VALUE"""),44497.0)</f>
        <v>44497</v>
      </c>
      <c r="B1217">
        <f>IFERROR(__xludf.DUMMYFUNCTION("""COMPUTED_VALUE"""),23005.0)</f>
        <v>23005</v>
      </c>
      <c r="C1217" t="str">
        <f>IFERROR(__xludf.DUMMYFUNCTION("""COMPUTED_VALUE"""),"BAZIC 1/2"" Burgundy 3-Ring View Binder w/ 2-Pockets")</f>
        <v>BAZIC 1/2" Burgundy 3-Ring View Binder w/ 2-Pockets</v>
      </c>
      <c r="D1217" t="str">
        <f>IFERROR(__xludf.DUMMYFUNCTION("""COMPUTED_VALUE"""),"B008FK5W0A")</f>
        <v>B008FK5W0A</v>
      </c>
      <c r="E1217" t="str">
        <f>IFERROR(__xludf.DUMMYFUNCTION("""COMPUTED_VALUE"""),"764608041000")</f>
        <v>764608041000</v>
      </c>
      <c r="F1217">
        <f>IFERROR(__xludf.DUMMYFUNCTION("""COMPUTED_VALUE"""),1344.0)</f>
        <v>1344</v>
      </c>
      <c r="G1217">
        <f>IFERROR(__xludf.DUMMYFUNCTION("""COMPUTED_VALUE"""),5000.0)</f>
        <v>5000</v>
      </c>
      <c r="H1217" s="2">
        <f>IFERROR(__xludf.DUMMYFUNCTION("""COMPUTED_VALUE"""),2.0)</f>
        <v>2</v>
      </c>
      <c r="I1217" s="2">
        <f>IFERROR(__xludf.DUMMYFUNCTION("""COMPUTED_VALUE"""),2.09)</f>
        <v>2.09</v>
      </c>
      <c r="J1217" s="2">
        <f>IFERROR(__xludf.DUMMYFUNCTION("""COMPUTED_VALUE"""),0.08999999999999986)</f>
        <v>0.09</v>
      </c>
      <c r="K1217" s="5">
        <f>IFERROR(__xludf.DUMMYFUNCTION("""COMPUTED_VALUE"""),0.04499999999999993)</f>
        <v>0.045</v>
      </c>
      <c r="L1217">
        <f>IFERROR(__xludf.DUMMYFUNCTION("""COMPUTED_VALUE"""),18578.0)</f>
        <v>18578</v>
      </c>
      <c r="M1217" t="str">
        <f>IFERROR(__xludf.DUMMYFUNCTION("""COMPUTED_VALUE"""),"Office Product")</f>
        <v>Office Product</v>
      </c>
      <c r="O1217" t="str">
        <f>IFERROR(__xludf.DUMMYFUNCTION("""COMPUTED_VALUE"""),"Y")</f>
        <v>Y</v>
      </c>
      <c r="P1217" s="1" t="str">
        <f>IFERROR(__xludf.DUMMYFUNCTION("""COMPUTED_VALUE"""),"ID 23005")</f>
        <v>ID 23005</v>
      </c>
    </row>
    <row r="1218">
      <c r="A1218" s="6">
        <f>IFERROR(__xludf.DUMMYFUNCTION("""COMPUTED_VALUE"""),45421.0)</f>
        <v>45421</v>
      </c>
      <c r="B1218">
        <f>IFERROR(__xludf.DUMMYFUNCTION("""COMPUTED_VALUE"""),12756.0)</f>
        <v>12756</v>
      </c>
      <c r="C1218" t="str">
        <f>IFERROR(__xludf.DUMMYFUNCTION("""COMPUTED_VALUE"""),"Chartpak Self-Adhesive Vinyl Capital Letters and Numbers, 1/4 Inches High, Black, 610 per Pack (01000)")</f>
        <v>Chartpak Self-Adhesive Vinyl Capital Letters and Numbers, 1/4 Inches High, Black, 610 per Pack (01000)</v>
      </c>
      <c r="D1218" t="str">
        <f>IFERROR(__xludf.DUMMYFUNCTION("""COMPUTED_VALUE"""),"B002XIHXJS")</f>
        <v>B002XIHXJS</v>
      </c>
      <c r="E1218" t="str">
        <f>IFERROR(__xludf.DUMMYFUNCTION("""COMPUTED_VALUE"""),"014173118493")</f>
        <v>014173118493</v>
      </c>
      <c r="F1218">
        <f>IFERROR(__xludf.DUMMYFUNCTION("""COMPUTED_VALUE"""),792.0)</f>
        <v>792</v>
      </c>
      <c r="G1218">
        <f>IFERROR(__xludf.DUMMYFUNCTION("""COMPUTED_VALUE"""),10000.0)</f>
        <v>10000</v>
      </c>
      <c r="H1218" s="2">
        <f>IFERROR(__xludf.DUMMYFUNCTION("""COMPUTED_VALUE"""),2.75)</f>
        <v>2.75</v>
      </c>
      <c r="I1218" s="2">
        <f>IFERROR(__xludf.DUMMYFUNCTION("""COMPUTED_VALUE"""),2.84)</f>
        <v>2.84</v>
      </c>
      <c r="J1218" s="2">
        <f>IFERROR(__xludf.DUMMYFUNCTION("""COMPUTED_VALUE"""),0.08999999999999986)</f>
        <v>0.09</v>
      </c>
      <c r="K1218" s="5">
        <f>IFERROR(__xludf.DUMMYFUNCTION("""COMPUTED_VALUE"""),0.032727272727272674)</f>
        <v>0.03272727273</v>
      </c>
      <c r="L1218">
        <f>IFERROR(__xludf.DUMMYFUNCTION("""COMPUTED_VALUE"""),2440.0)</f>
        <v>2440</v>
      </c>
      <c r="M1218" t="str">
        <f>IFERROR(__xludf.DUMMYFUNCTION("""COMPUTED_VALUE"""),"Office Product")</f>
        <v>Office Product</v>
      </c>
      <c r="O1218" t="str">
        <f>IFERROR(__xludf.DUMMYFUNCTION("""COMPUTED_VALUE"""),"N")</f>
        <v>N</v>
      </c>
      <c r="P1218" s="1" t="str">
        <f>IFERROR(__xludf.DUMMYFUNCTION("""COMPUTED_VALUE"""),"ID 12756")</f>
        <v>ID 12756</v>
      </c>
    </row>
    <row r="1219">
      <c r="A1219" s="6">
        <f>IFERROR(__xludf.DUMMYFUNCTION("""COMPUTED_VALUE"""),45421.0)</f>
        <v>45421</v>
      </c>
      <c r="B1219">
        <f>IFERROR(__xludf.DUMMYFUNCTION("""COMPUTED_VALUE"""),25553.0)</f>
        <v>25553</v>
      </c>
      <c r="C1219" t="str">
        <f>IFERROR(__xludf.DUMMYFUNCTION("""COMPUTED_VALUE"""),"Grumbacher Academy Watercolor Paint, 7.5ml/0.25 Ounce, Grumbacher Red (Naphthol) (A095)")</f>
        <v>Grumbacher Academy Watercolor Paint, 7.5ml/0.25 Ounce, Grumbacher Red (Naphthol) (A095)</v>
      </c>
      <c r="D1219" t="str">
        <f>IFERROR(__xludf.DUMMYFUNCTION("""COMPUTED_VALUE"""),"B004M51ZEO")</f>
        <v>B004M51ZEO</v>
      </c>
      <c r="E1219" t="str">
        <f>IFERROR(__xludf.DUMMYFUNCTION("""COMPUTED_VALUE"""),"014173350725")</f>
        <v>014173350725</v>
      </c>
      <c r="F1219">
        <f>IFERROR(__xludf.DUMMYFUNCTION("""COMPUTED_VALUE"""),864.0)</f>
        <v>864</v>
      </c>
      <c r="G1219">
        <f>IFERROR(__xludf.DUMMYFUNCTION("""COMPUTED_VALUE"""),10000.0)</f>
        <v>10000</v>
      </c>
      <c r="H1219" s="2">
        <f>IFERROR(__xludf.DUMMYFUNCTION("""COMPUTED_VALUE"""),2.5)</f>
        <v>2.5</v>
      </c>
      <c r="I1219" s="2">
        <f>IFERROR(__xludf.DUMMYFUNCTION("""COMPUTED_VALUE"""),2.59)</f>
        <v>2.59</v>
      </c>
      <c r="J1219" s="2">
        <f>IFERROR(__xludf.DUMMYFUNCTION("""COMPUTED_VALUE"""),0.08999999999999986)</f>
        <v>0.09</v>
      </c>
      <c r="K1219" s="5">
        <f>IFERROR(__xludf.DUMMYFUNCTION("""COMPUTED_VALUE"""),0.03599999999999994)</f>
        <v>0.036</v>
      </c>
      <c r="L1219">
        <f>IFERROR(__xludf.DUMMYFUNCTION("""COMPUTED_VALUE"""),28359.0)</f>
        <v>28359</v>
      </c>
      <c r="M1219" t="str">
        <f>IFERROR(__xludf.DUMMYFUNCTION("""COMPUTED_VALUE"""),"Office Product")</f>
        <v>Office Product</v>
      </c>
      <c r="O1219" t="str">
        <f>IFERROR(__xludf.DUMMYFUNCTION("""COMPUTED_VALUE"""),"Y")</f>
        <v>Y</v>
      </c>
      <c r="P1219" s="1" t="str">
        <f>IFERROR(__xludf.DUMMYFUNCTION("""COMPUTED_VALUE"""),"ID 25553")</f>
        <v>ID 25553</v>
      </c>
    </row>
    <row r="1220">
      <c r="A1220" s="6">
        <f>IFERROR(__xludf.DUMMYFUNCTION("""COMPUTED_VALUE"""),45421.0)</f>
        <v>45421</v>
      </c>
      <c r="B1220">
        <f>IFERROR(__xludf.DUMMYFUNCTION("""COMPUTED_VALUE"""),25563.0)</f>
        <v>25563</v>
      </c>
      <c r="C1220" t="str">
        <f>IFERROR(__xludf.DUMMYFUNCTION("""COMPUTED_VALUE"""),"Grumbacher Academy Watercolor Paint, 7.5ml/0.25 Ounce, Raw Umber Hue (A172)")</f>
        <v>Grumbacher Academy Watercolor Paint, 7.5ml/0.25 Ounce, Raw Umber Hue (A172)</v>
      </c>
      <c r="D1220" t="str">
        <f>IFERROR(__xludf.DUMMYFUNCTION("""COMPUTED_VALUE"""),"B004OKW00U")</f>
        <v>B004OKW00U</v>
      </c>
      <c r="E1220" t="str">
        <f>IFERROR(__xludf.DUMMYFUNCTION("""COMPUTED_VALUE"""),"014173350930")</f>
        <v>014173350930</v>
      </c>
      <c r="F1220">
        <f>IFERROR(__xludf.DUMMYFUNCTION("""COMPUTED_VALUE"""),864.0)</f>
        <v>864</v>
      </c>
      <c r="G1220">
        <f>IFERROR(__xludf.DUMMYFUNCTION("""COMPUTED_VALUE"""),10000.0)</f>
        <v>10000</v>
      </c>
      <c r="H1220" s="2">
        <f>IFERROR(__xludf.DUMMYFUNCTION("""COMPUTED_VALUE"""),2.5)</f>
        <v>2.5</v>
      </c>
      <c r="I1220" s="2">
        <f>IFERROR(__xludf.DUMMYFUNCTION("""COMPUTED_VALUE"""),2.59)</f>
        <v>2.59</v>
      </c>
      <c r="J1220" s="2">
        <f>IFERROR(__xludf.DUMMYFUNCTION("""COMPUTED_VALUE"""),0.08999999999999986)</f>
        <v>0.09</v>
      </c>
      <c r="K1220" s="5">
        <f>IFERROR(__xludf.DUMMYFUNCTION("""COMPUTED_VALUE"""),0.03599999999999994)</f>
        <v>0.036</v>
      </c>
      <c r="L1220">
        <f>IFERROR(__xludf.DUMMYFUNCTION("""COMPUTED_VALUE"""),11841.0)</f>
        <v>11841</v>
      </c>
      <c r="M1220" t="str">
        <f>IFERROR(__xludf.DUMMYFUNCTION("""COMPUTED_VALUE"""),"Office Product")</f>
        <v>Office Product</v>
      </c>
      <c r="O1220" t="str">
        <f>IFERROR(__xludf.DUMMYFUNCTION("""COMPUTED_VALUE"""),"Y")</f>
        <v>Y</v>
      </c>
      <c r="P1220" s="1" t="str">
        <f>IFERROR(__xludf.DUMMYFUNCTION("""COMPUTED_VALUE"""),"ID 25563")</f>
        <v>ID 25563</v>
      </c>
    </row>
    <row r="1221">
      <c r="A1221" s="6">
        <f>IFERROR(__xludf.DUMMYFUNCTION("""COMPUTED_VALUE"""),45376.0)</f>
        <v>45376</v>
      </c>
      <c r="B1221">
        <f>IFERROR(__xludf.DUMMYFUNCTION("""COMPUTED_VALUE"""),4291.0)</f>
        <v>4291</v>
      </c>
      <c r="C1221" t="str">
        <f>IFERROR(__xludf.DUMMYFUNCTION("""COMPUTED_VALUE"""),"US Toy Inflatable Surf Board Luau Decoration Theme Beach Pool Toy - 3 Feet Long")</f>
        <v>US Toy Inflatable Surf Board Luau Decoration Theme Beach Pool Toy - 3 Feet Long</v>
      </c>
      <c r="D1221" t="str">
        <f>IFERROR(__xludf.DUMMYFUNCTION("""COMPUTED_VALUE"""),"B00WQ5KMU0")</f>
        <v>B00WQ5KMU0</v>
      </c>
      <c r="E1221" t="str">
        <f>IFERROR(__xludf.DUMMYFUNCTION("""COMPUTED_VALUE"""),"049392291429")</f>
        <v>049392291429</v>
      </c>
      <c r="F1221">
        <f>IFERROR(__xludf.DUMMYFUNCTION("""COMPUTED_VALUE"""),504.0)</f>
        <v>504</v>
      </c>
      <c r="G1221">
        <f>IFERROR(__xludf.DUMMYFUNCTION("""COMPUTED_VALUE"""),3270.0)</f>
        <v>3270</v>
      </c>
      <c r="H1221" s="2">
        <f>IFERROR(__xludf.DUMMYFUNCTION("""COMPUTED_VALUE"""),2.5)</f>
        <v>2.5</v>
      </c>
      <c r="I1221" s="2">
        <f>IFERROR(__xludf.DUMMYFUNCTION("""COMPUTED_VALUE"""),2.58)</f>
        <v>2.58</v>
      </c>
      <c r="J1221" s="2">
        <f>IFERROR(__xludf.DUMMYFUNCTION("""COMPUTED_VALUE"""),0.08000000000000007)</f>
        <v>0.08</v>
      </c>
      <c r="K1221" s="5">
        <f>IFERROR(__xludf.DUMMYFUNCTION("""COMPUTED_VALUE"""),0.03200000000000003)</f>
        <v>0.032</v>
      </c>
      <c r="L1221">
        <f>IFERROR(__xludf.DUMMYFUNCTION("""COMPUTED_VALUE"""),2822.0)</f>
        <v>2822</v>
      </c>
      <c r="M1221" t="str">
        <f>IFERROR(__xludf.DUMMYFUNCTION("""COMPUTED_VALUE"""),"Toy")</f>
        <v>Toy</v>
      </c>
      <c r="N1221" t="str">
        <f>IFERROR(__xludf.DUMMYFUNCTION("""COMPUTED_VALUE"""),"Preorder. MAP: $4.29. If you violate the MAP pricing, the brand will remove you and require you to return the merchandise at a 50% restocking fee.")</f>
        <v>Preorder. MAP: $4.29. If you violate the MAP pricing, the brand will remove you and require you to return the merchandise at a 50% restocking fee.</v>
      </c>
      <c r="O1221" t="str">
        <f>IFERROR(__xludf.DUMMYFUNCTION("""COMPUTED_VALUE"""),"N")</f>
        <v>N</v>
      </c>
      <c r="P1221" s="1" t="str">
        <f>IFERROR(__xludf.DUMMYFUNCTION("""COMPUTED_VALUE"""),"ID 4291")</f>
        <v>ID 4291</v>
      </c>
    </row>
    <row r="1222">
      <c r="A1222" s="6">
        <f>IFERROR(__xludf.DUMMYFUNCTION("""COMPUTED_VALUE"""),45236.0)</f>
        <v>45236</v>
      </c>
      <c r="B1222">
        <f>IFERROR(__xludf.DUMMYFUNCTION("""COMPUTED_VALUE"""),6012.0)</f>
        <v>6012</v>
      </c>
      <c r="C1222" t="str">
        <f>IFERROR(__xludf.DUMMYFUNCTION("""COMPUTED_VALUE"""),"Loreal Revitalift Eye Cream 0.5 Ounce (14ml) (2 Pack)")</f>
        <v>Loreal Revitalift Eye Cream 0.5 Ounce (14ml) (2 Pack)</v>
      </c>
      <c r="D1222" t="str">
        <f>IFERROR(__xludf.DUMMYFUNCTION("""COMPUTED_VALUE"""),"B01C9DJKLA")</f>
        <v>B01C9DJKLA</v>
      </c>
      <c r="E1222" t="str">
        <f>IFERROR(__xludf.DUMMYFUNCTION("""COMPUTED_VALUE"""),"071249104613")</f>
        <v>071249104613</v>
      </c>
      <c r="F1222">
        <f>IFERROR(__xludf.DUMMYFUNCTION("""COMPUTED_VALUE"""),192.0)</f>
        <v>192</v>
      </c>
      <c r="G1222">
        <f>IFERROR(__xludf.DUMMYFUNCTION("""COMPUTED_VALUE"""),1320.0)</f>
        <v>1320</v>
      </c>
      <c r="H1222" s="2">
        <f>IFERROR(__xludf.DUMMYFUNCTION("""COMPUTED_VALUE"""),12.75)</f>
        <v>12.75</v>
      </c>
      <c r="I1222" s="2">
        <f>IFERROR(__xludf.DUMMYFUNCTION("""COMPUTED_VALUE"""),12.83)</f>
        <v>12.83</v>
      </c>
      <c r="J1222" s="2">
        <f>IFERROR(__xludf.DUMMYFUNCTION("""COMPUTED_VALUE"""),0.08000000000000007)</f>
        <v>0.08</v>
      </c>
      <c r="K1222" s="5">
        <f>IFERROR(__xludf.DUMMYFUNCTION("""COMPUTED_VALUE"""),0.0062745098039215744)</f>
        <v>0.006274509804</v>
      </c>
      <c r="L1222">
        <f>IFERROR(__xludf.DUMMYFUNCTION("""COMPUTED_VALUE"""),33008.0)</f>
        <v>33008</v>
      </c>
      <c r="M1222" t="str">
        <f>IFERROR(__xludf.DUMMYFUNCTION("""COMPUTED_VALUE"""),"Beauty")</f>
        <v>Beauty</v>
      </c>
      <c r="N1222" t="str">
        <f>IFERROR(__xludf.DUMMYFUNCTION("""COMPUTED_VALUE"""),"UOM: 2 single units. Bundling &amp; other prep buyers responsibility")</f>
        <v>UOM: 2 single units. Bundling &amp; other prep buyers responsibility</v>
      </c>
      <c r="O1222" t="str">
        <f>IFERROR(__xludf.DUMMYFUNCTION("""COMPUTED_VALUE"""),"N")</f>
        <v>N</v>
      </c>
      <c r="P1222" s="1" t="str">
        <f>IFERROR(__xludf.DUMMYFUNCTION("""COMPUTED_VALUE"""),"ID 6012")</f>
        <v>ID 6012</v>
      </c>
    </row>
    <row r="1223">
      <c r="A1223" s="6">
        <f>IFERROR(__xludf.DUMMYFUNCTION("""COMPUTED_VALUE"""),45390.0)</f>
        <v>45390</v>
      </c>
      <c r="B1223">
        <f>IFERROR(__xludf.DUMMYFUNCTION("""COMPUTED_VALUE"""),14125.0)</f>
        <v>14125</v>
      </c>
      <c r="C1223" t="str">
        <f>IFERROR(__xludf.DUMMYFUNCTION("""COMPUTED_VALUE"""),"Chef Craft 13072 Red Silicone 10.75"" Wire Whisk")</f>
        <v>Chef Craft 13072 Red Silicone 10.75" Wire Whisk</v>
      </c>
      <c r="D1223" t="str">
        <f>IFERROR(__xludf.DUMMYFUNCTION("""COMPUTED_VALUE"""),"B01MU8JXM6")</f>
        <v>B01MU8JXM6</v>
      </c>
      <c r="E1223" t="str">
        <f>IFERROR(__xludf.DUMMYFUNCTION("""COMPUTED_VALUE"""),"085455130724")</f>
        <v>085455130724</v>
      </c>
      <c r="F1223">
        <f>IFERROR(__xludf.DUMMYFUNCTION("""COMPUTED_VALUE"""),504.0)</f>
        <v>504</v>
      </c>
      <c r="G1223">
        <f>IFERROR(__xludf.DUMMYFUNCTION("""COMPUTED_VALUE"""),10000.0)</f>
        <v>10000</v>
      </c>
      <c r="H1223" s="2">
        <f>IFERROR(__xludf.DUMMYFUNCTION("""COMPUTED_VALUE"""),2.5)</f>
        <v>2.5</v>
      </c>
      <c r="I1223" s="2">
        <f>IFERROR(__xludf.DUMMYFUNCTION("""COMPUTED_VALUE"""),2.58)</f>
        <v>2.58</v>
      </c>
      <c r="J1223" s="2">
        <f>IFERROR(__xludf.DUMMYFUNCTION("""COMPUTED_VALUE"""),0.08000000000000007)</f>
        <v>0.08</v>
      </c>
      <c r="K1223" s="5">
        <f>IFERROR(__xludf.DUMMYFUNCTION("""COMPUTED_VALUE"""),0.03200000000000003)</f>
        <v>0.032</v>
      </c>
      <c r="L1223">
        <f>IFERROR(__xludf.DUMMYFUNCTION("""COMPUTED_VALUE"""),7170.0)</f>
        <v>7170</v>
      </c>
      <c r="M1223" t="str">
        <f>IFERROR(__xludf.DUMMYFUNCTION("""COMPUTED_VALUE"""),"Kitchen")</f>
        <v>Kitchen</v>
      </c>
      <c r="O1223" t="str">
        <f>IFERROR(__xludf.DUMMYFUNCTION("""COMPUTED_VALUE"""),"Y")</f>
        <v>Y</v>
      </c>
      <c r="P1223" s="1" t="str">
        <f>IFERROR(__xludf.DUMMYFUNCTION("""COMPUTED_VALUE"""),"ID 14125")</f>
        <v>ID 14125</v>
      </c>
    </row>
    <row r="1224">
      <c r="A1224" s="6">
        <f>IFERROR(__xludf.DUMMYFUNCTION("""COMPUTED_VALUE"""),43959.0)</f>
        <v>43959</v>
      </c>
      <c r="B1224">
        <f>IFERROR(__xludf.DUMMYFUNCTION("""COMPUTED_VALUE"""),14346.0)</f>
        <v>14346</v>
      </c>
      <c r="C1224" t="str">
        <f>IFERROR(__xludf.DUMMYFUNCTION("""COMPUTED_VALUE"""),"Avery 06-141 2.75"" White File Folder Labels 156 Count")</f>
        <v>Avery 06-141 2.75" White File Folder Labels 156 Count</v>
      </c>
      <c r="D1224" t="str">
        <f>IFERROR(__xludf.DUMMYFUNCTION("""COMPUTED_VALUE"""),"B00BX9K1F6")</f>
        <v>B00BX9K1F6</v>
      </c>
      <c r="E1224" t="str">
        <f>IFERROR(__xludf.DUMMYFUNCTION("""COMPUTED_VALUE"""),"72782061418")</f>
        <v>72782061418</v>
      </c>
      <c r="F1224">
        <f>IFERROR(__xludf.DUMMYFUNCTION("""COMPUTED_VALUE"""),1692.0)</f>
        <v>1692</v>
      </c>
      <c r="G1224">
        <f>IFERROR(__xludf.DUMMYFUNCTION("""COMPUTED_VALUE"""),5000.0)</f>
        <v>5000</v>
      </c>
      <c r="H1224" s="2">
        <f>IFERROR(__xludf.DUMMYFUNCTION("""COMPUTED_VALUE"""),1.0)</f>
        <v>1</v>
      </c>
      <c r="I1224" s="2">
        <f>IFERROR(__xludf.DUMMYFUNCTION("""COMPUTED_VALUE"""),1.08)</f>
        <v>1.08</v>
      </c>
      <c r="J1224" s="2">
        <f>IFERROR(__xludf.DUMMYFUNCTION("""COMPUTED_VALUE"""),0.08000000000000007)</f>
        <v>0.08</v>
      </c>
      <c r="K1224" s="5">
        <f>IFERROR(__xludf.DUMMYFUNCTION("""COMPUTED_VALUE"""),0.08000000000000007)</f>
        <v>0.08</v>
      </c>
      <c r="L1224">
        <f>IFERROR(__xludf.DUMMYFUNCTION("""COMPUTED_VALUE"""),94748.0)</f>
        <v>94748</v>
      </c>
      <c r="M1224" t="str">
        <f>IFERROR(__xludf.DUMMYFUNCTION("""COMPUTED_VALUE"""),"Office Product")</f>
        <v>Office Product</v>
      </c>
      <c r="O1224" t="str">
        <f>IFERROR(__xludf.DUMMYFUNCTION("""COMPUTED_VALUE"""),"N")</f>
        <v>N</v>
      </c>
      <c r="P1224" s="1" t="str">
        <f>IFERROR(__xludf.DUMMYFUNCTION("""COMPUTED_VALUE"""),"ID 14346")</f>
        <v>ID 14346</v>
      </c>
    </row>
    <row r="1225">
      <c r="A1225" s="6">
        <f>IFERROR(__xludf.DUMMYFUNCTION("""COMPUTED_VALUE"""),45376.0)</f>
        <v>45376</v>
      </c>
      <c r="B1225">
        <f>IFERROR(__xludf.DUMMYFUNCTION("""COMPUTED_VALUE"""),17053.0)</f>
        <v>17053</v>
      </c>
      <c r="C1225" t="str">
        <f>IFERROR(__xludf.DUMMYFUNCTION("""COMPUTED_VALUE"""),"PRANG Refill Pans for Oval Watercolor Paint Set, 12 Pans per Box, Yellow (00803)")</f>
        <v>PRANG Refill Pans for Oval Watercolor Paint Set, 12 Pans per Box, Yellow (00803)</v>
      </c>
      <c r="D1225" t="str">
        <f>IFERROR(__xludf.DUMMYFUNCTION("""COMPUTED_VALUE"""),"B0044SB7EW")</f>
        <v>B0044SB7EW</v>
      </c>
      <c r="E1225" t="str">
        <f>IFERROR(__xludf.DUMMYFUNCTION("""COMPUTED_VALUE"""),"072067008039")</f>
        <v>072067008039</v>
      </c>
      <c r="F1225">
        <f>IFERROR(__xludf.DUMMYFUNCTION("""COMPUTED_VALUE"""),816.0)</f>
        <v>816</v>
      </c>
      <c r="G1225">
        <f>IFERROR(__xludf.DUMMYFUNCTION("""COMPUTED_VALUE"""),10000.0)</f>
        <v>10000</v>
      </c>
      <c r="H1225" s="2">
        <f>IFERROR(__xludf.DUMMYFUNCTION("""COMPUTED_VALUE"""),4.5)</f>
        <v>4.5</v>
      </c>
      <c r="I1225" s="2">
        <f>IFERROR(__xludf.DUMMYFUNCTION("""COMPUTED_VALUE"""),4.58)</f>
        <v>4.58</v>
      </c>
      <c r="J1225" s="2">
        <f>IFERROR(__xludf.DUMMYFUNCTION("""COMPUTED_VALUE"""),0.08000000000000007)</f>
        <v>0.08</v>
      </c>
      <c r="K1225" s="5">
        <f>IFERROR(__xludf.DUMMYFUNCTION("""COMPUTED_VALUE"""),0.017777777777777795)</f>
        <v>0.01777777778</v>
      </c>
      <c r="L1225">
        <f>IFERROR(__xludf.DUMMYFUNCTION("""COMPUTED_VALUE"""),19115.0)</f>
        <v>19115</v>
      </c>
      <c r="M1225" t="str">
        <f>IFERROR(__xludf.DUMMYFUNCTION("""COMPUTED_VALUE"""),"Home Improvement")</f>
        <v>Home Improvement</v>
      </c>
      <c r="O1225" t="str">
        <f>IFERROR(__xludf.DUMMYFUNCTION("""COMPUTED_VALUE"""),"Y")</f>
        <v>Y</v>
      </c>
      <c r="P1225" s="1" t="str">
        <f>IFERROR(__xludf.DUMMYFUNCTION("""COMPUTED_VALUE"""),"ID 17053")</f>
        <v>ID 17053</v>
      </c>
    </row>
    <row r="1226">
      <c r="A1226" s="6">
        <f>IFERROR(__xludf.DUMMYFUNCTION("""COMPUTED_VALUE"""),45376.0)</f>
        <v>45376</v>
      </c>
      <c r="B1226">
        <f>IFERROR(__xludf.DUMMYFUNCTION("""COMPUTED_VALUE"""),17074.0)</f>
        <v>17074</v>
      </c>
      <c r="C1226" t="str">
        <f>IFERROR(__xludf.DUMMYFUNCTION("""COMPUTED_VALUE"""),"PRANG Refill Pans for Oval Watercolor Paint Set, 12 Pans per Box, Orange (00802)")</f>
        <v>PRANG Refill Pans for Oval Watercolor Paint Set, 12 Pans per Box, Orange (00802)</v>
      </c>
      <c r="D1226" t="str">
        <f>IFERROR(__xludf.DUMMYFUNCTION("""COMPUTED_VALUE"""),"B0044SESDO")</f>
        <v>B0044SESDO</v>
      </c>
      <c r="E1226" t="str">
        <f>IFERROR(__xludf.DUMMYFUNCTION("""COMPUTED_VALUE"""),"072067008022")</f>
        <v>072067008022</v>
      </c>
      <c r="F1226">
        <f>IFERROR(__xludf.DUMMYFUNCTION("""COMPUTED_VALUE"""),816.0)</f>
        <v>816</v>
      </c>
      <c r="G1226">
        <f>IFERROR(__xludf.DUMMYFUNCTION("""COMPUTED_VALUE"""),10000.0)</f>
        <v>10000</v>
      </c>
      <c r="H1226" s="2">
        <f>IFERROR(__xludf.DUMMYFUNCTION("""COMPUTED_VALUE"""),4.5)</f>
        <v>4.5</v>
      </c>
      <c r="I1226" s="2">
        <f>IFERROR(__xludf.DUMMYFUNCTION("""COMPUTED_VALUE"""),4.58)</f>
        <v>4.58</v>
      </c>
      <c r="J1226" s="2">
        <f>IFERROR(__xludf.DUMMYFUNCTION("""COMPUTED_VALUE"""),0.08000000000000007)</f>
        <v>0.08</v>
      </c>
      <c r="K1226" s="5">
        <f>IFERROR(__xludf.DUMMYFUNCTION("""COMPUTED_VALUE"""),0.017777777777777795)</f>
        <v>0.01777777778</v>
      </c>
      <c r="L1226">
        <f>IFERROR(__xludf.DUMMYFUNCTION("""COMPUTED_VALUE"""),19115.0)</f>
        <v>19115</v>
      </c>
      <c r="M1226" t="str">
        <f>IFERROR(__xludf.DUMMYFUNCTION("""COMPUTED_VALUE"""),"Office Product")</f>
        <v>Office Product</v>
      </c>
      <c r="O1226" t="str">
        <f>IFERROR(__xludf.DUMMYFUNCTION("""COMPUTED_VALUE"""),"Y")</f>
        <v>Y</v>
      </c>
      <c r="P1226" s="1" t="str">
        <f>IFERROR(__xludf.DUMMYFUNCTION("""COMPUTED_VALUE"""),"ID 17074")</f>
        <v>ID 17074</v>
      </c>
    </row>
    <row r="1227">
      <c r="A1227" s="6">
        <f>IFERROR(__xludf.DUMMYFUNCTION("""COMPUTED_VALUE"""),45166.0)</f>
        <v>45166</v>
      </c>
      <c r="B1227">
        <f>IFERROR(__xludf.DUMMYFUNCTION("""COMPUTED_VALUE"""),18493.0)</f>
        <v>18493</v>
      </c>
      <c r="C1227" t="str">
        <f>IFERROR(__xludf.DUMMYFUNCTION("""COMPUTED_VALUE"""),"Pendaflex Hanging Folder Tabs, 2"", Clear Pink, 25 Tabs and Inserts per Pack (42 PIN)")</f>
        <v>Pendaflex Hanging Folder Tabs, 2", Clear Pink, 25 Tabs and Inserts per Pack (42 PIN)</v>
      </c>
      <c r="D1227" t="str">
        <f>IFERROR(__xludf.DUMMYFUNCTION("""COMPUTED_VALUE"""),"B00006ICBZ")</f>
        <v>B00006ICBZ</v>
      </c>
      <c r="E1227" t="str">
        <f>IFERROR(__xludf.DUMMYFUNCTION("""COMPUTED_VALUE"""),"078787420199")</f>
        <v>078787420199</v>
      </c>
      <c r="F1227">
        <f>IFERROR(__xludf.DUMMYFUNCTION("""COMPUTED_VALUE"""),560.0)</f>
        <v>560</v>
      </c>
      <c r="G1227">
        <f>IFERROR(__xludf.DUMMYFUNCTION("""COMPUTED_VALUE"""),10000.0)</f>
        <v>10000</v>
      </c>
      <c r="H1227" s="2">
        <f>IFERROR(__xludf.DUMMYFUNCTION("""COMPUTED_VALUE"""),5.25)</f>
        <v>5.25</v>
      </c>
      <c r="I1227" s="2">
        <f>IFERROR(__xludf.DUMMYFUNCTION("""COMPUTED_VALUE"""),5.33)</f>
        <v>5.33</v>
      </c>
      <c r="J1227" s="2">
        <f>IFERROR(__xludf.DUMMYFUNCTION("""COMPUTED_VALUE"""),0.08000000000000007)</f>
        <v>0.08</v>
      </c>
      <c r="K1227" s="5">
        <f>IFERROR(__xludf.DUMMYFUNCTION("""COMPUTED_VALUE"""),0.015238095238095252)</f>
        <v>0.01523809524</v>
      </c>
      <c r="L1227">
        <f>IFERROR(__xludf.DUMMYFUNCTION("""COMPUTED_VALUE"""),99054.0)</f>
        <v>99054</v>
      </c>
      <c r="M1227" t="str">
        <f>IFERROR(__xludf.DUMMYFUNCTION("""COMPUTED_VALUE"""),"Office Product")</f>
        <v>Office Product</v>
      </c>
      <c r="O1227" t="str">
        <f>IFERROR(__xludf.DUMMYFUNCTION("""COMPUTED_VALUE"""),"Y")</f>
        <v>Y</v>
      </c>
      <c r="P1227" s="1" t="str">
        <f>IFERROR(__xludf.DUMMYFUNCTION("""COMPUTED_VALUE"""),"ID 18493")</f>
        <v>ID 18493</v>
      </c>
    </row>
    <row r="1228">
      <c r="A1228" s="6">
        <f>IFERROR(__xludf.DUMMYFUNCTION("""COMPUTED_VALUE"""),45357.0)</f>
        <v>45357</v>
      </c>
      <c r="B1228">
        <f>IFERROR(__xludf.DUMMYFUNCTION("""COMPUTED_VALUE"""),22314.0)</f>
        <v>22314</v>
      </c>
      <c r="C1228" t="str">
        <f>IFERROR(__xludf.DUMMYFUNCTION("""COMPUTED_VALUE"""),"PILOT Dr. Grip Center of Gravity Refillable &amp; Retractable Ballpoint Pen, Medium Point, Pink Grip, Black Ink, Single Pen (36182)")</f>
        <v>PILOT Dr. Grip Center of Gravity Refillable &amp; Retractable Ballpoint Pen, Medium Point, Pink Grip, Black Ink, Single Pen (36182)</v>
      </c>
      <c r="D1228" t="str">
        <f>IFERROR(__xludf.DUMMYFUNCTION("""COMPUTED_VALUE"""),"B0002Q8Z7C")</f>
        <v>B0002Q8Z7C</v>
      </c>
      <c r="E1228" t="str">
        <f>IFERROR(__xludf.DUMMYFUNCTION("""COMPUTED_VALUE"""),"072838361820")</f>
        <v>072838361820</v>
      </c>
      <c r="F1228">
        <f>IFERROR(__xludf.DUMMYFUNCTION("""COMPUTED_VALUE"""),288.0)</f>
        <v>288</v>
      </c>
      <c r="G1228">
        <f>IFERROR(__xludf.DUMMYFUNCTION("""COMPUTED_VALUE"""),10000.0)</f>
        <v>10000</v>
      </c>
      <c r="H1228" s="2">
        <f>IFERROR(__xludf.DUMMYFUNCTION("""COMPUTED_VALUE"""),5.0)</f>
        <v>5</v>
      </c>
      <c r="I1228" s="2">
        <f>IFERROR(__xludf.DUMMYFUNCTION("""COMPUTED_VALUE"""),5.08)</f>
        <v>5.08</v>
      </c>
      <c r="J1228" s="2">
        <f>IFERROR(__xludf.DUMMYFUNCTION("""COMPUTED_VALUE"""),0.08000000000000007)</f>
        <v>0.08</v>
      </c>
      <c r="K1228" s="5">
        <f>IFERROR(__xludf.DUMMYFUNCTION("""COMPUTED_VALUE"""),0.016000000000000014)</f>
        <v>0.016</v>
      </c>
      <c r="L1228">
        <f>IFERROR(__xludf.DUMMYFUNCTION("""COMPUTED_VALUE"""),1697.0)</f>
        <v>1697</v>
      </c>
      <c r="M1228" t="str">
        <f>IFERROR(__xludf.DUMMYFUNCTION("""COMPUTED_VALUE"""),"Office Product")</f>
        <v>Office Product</v>
      </c>
      <c r="O1228" t="str">
        <f>IFERROR(__xludf.DUMMYFUNCTION("""COMPUTED_VALUE"""),"Y")</f>
        <v>Y</v>
      </c>
      <c r="P1228" s="1" t="str">
        <f>IFERROR(__xludf.DUMMYFUNCTION("""COMPUTED_VALUE"""),"ID 22314")</f>
        <v>ID 22314</v>
      </c>
    </row>
    <row r="1229">
      <c r="A1229" s="6">
        <f>IFERROR(__xludf.DUMMYFUNCTION("""COMPUTED_VALUE"""),44958.0)</f>
        <v>44958</v>
      </c>
      <c r="B1229">
        <f>IFERROR(__xludf.DUMMYFUNCTION("""COMPUTED_VALUE"""),22443.0)</f>
        <v>22443</v>
      </c>
      <c r="C1229" t="str">
        <f>IFERROR(__xludf.DUMMYFUNCTION("""COMPUTED_VALUE"""),"Oxford Index Card Guides with Laminated Tabs, Alphabetical, A-Z, Assorted Colors, 3"" x 5"" Size, 25 Guides per Set (3514)")</f>
        <v>Oxford Index Card Guides with Laminated Tabs, Alphabetical, A-Z, Assorted Colors, 3" x 5" Size, 25 Guides per Set (3514)</v>
      </c>
      <c r="D1229" t="str">
        <f>IFERROR(__xludf.DUMMYFUNCTION("""COMPUTED_VALUE"""),"B0007NKQYU")</f>
        <v>B0007NKQYU</v>
      </c>
      <c r="E1229" t="str">
        <f>IFERROR(__xludf.DUMMYFUNCTION("""COMPUTED_VALUE"""),"078787035140")</f>
        <v>078787035140</v>
      </c>
      <c r="F1229">
        <f>IFERROR(__xludf.DUMMYFUNCTION("""COMPUTED_VALUE"""),480.0)</f>
        <v>480</v>
      </c>
      <c r="G1229">
        <f>IFERROR(__xludf.DUMMYFUNCTION("""COMPUTED_VALUE"""),10000.0)</f>
        <v>10000</v>
      </c>
      <c r="H1229" s="2">
        <f>IFERROR(__xludf.DUMMYFUNCTION("""COMPUTED_VALUE"""),5.0)</f>
        <v>5</v>
      </c>
      <c r="I1229" s="2">
        <f>IFERROR(__xludf.DUMMYFUNCTION("""COMPUTED_VALUE"""),5.08)</f>
        <v>5.08</v>
      </c>
      <c r="J1229" s="2">
        <f>IFERROR(__xludf.DUMMYFUNCTION("""COMPUTED_VALUE"""),0.08000000000000007)</f>
        <v>0.08</v>
      </c>
      <c r="K1229" s="5">
        <f>IFERROR(__xludf.DUMMYFUNCTION("""COMPUTED_VALUE"""),0.016000000000000014)</f>
        <v>0.016</v>
      </c>
      <c r="L1229">
        <f>IFERROR(__xludf.DUMMYFUNCTION("""COMPUTED_VALUE"""),61815.0)</f>
        <v>61815</v>
      </c>
      <c r="M1229" t="str">
        <f>IFERROR(__xludf.DUMMYFUNCTION("""COMPUTED_VALUE"""),"Office Product")</f>
        <v>Office Product</v>
      </c>
      <c r="N1229"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229" t="str">
        <f>IFERROR(__xludf.DUMMYFUNCTION("""COMPUTED_VALUE"""),"Y")</f>
        <v>Y</v>
      </c>
      <c r="P1229" s="1" t="str">
        <f>IFERROR(__xludf.DUMMYFUNCTION("""COMPUTED_VALUE"""),"ID 22443")</f>
        <v>ID 22443</v>
      </c>
    </row>
    <row r="1230">
      <c r="A1230" s="6">
        <f>IFERROR(__xludf.DUMMYFUNCTION("""COMPUTED_VALUE"""),45229.0)</f>
        <v>45229</v>
      </c>
      <c r="B1230">
        <f>IFERROR(__xludf.DUMMYFUNCTION("""COMPUTED_VALUE"""),20025.0)</f>
        <v>20025</v>
      </c>
      <c r="C1230" t="str">
        <f>IFERROR(__xludf.DUMMYFUNCTION("""COMPUTED_VALUE"""),"Swingline - Swi42132 - Breeze Automatic Stapler")</f>
        <v>Swingline - Swi42132 - Breeze Automatic Stapler</v>
      </c>
      <c r="D1230" t="str">
        <f>IFERROR(__xludf.DUMMYFUNCTION("""COMPUTED_VALUE"""),"B003WP3RKA")</f>
        <v>B003WP3RKA</v>
      </c>
      <c r="E1230" t="str">
        <f>IFERROR(__xludf.DUMMYFUNCTION("""COMPUTED_VALUE"""),"074711421324")</f>
        <v>074711421324</v>
      </c>
      <c r="F1230">
        <f>IFERROR(__xludf.DUMMYFUNCTION("""COMPUTED_VALUE"""),87.0)</f>
        <v>87</v>
      </c>
      <c r="G1230">
        <f>IFERROR(__xludf.DUMMYFUNCTION("""COMPUTED_VALUE"""),10000.0)</f>
        <v>10000</v>
      </c>
      <c r="H1230" s="2">
        <f>IFERROR(__xludf.DUMMYFUNCTION("""COMPUTED_VALUE"""),27.5)</f>
        <v>27.5</v>
      </c>
      <c r="I1230" s="2">
        <f>IFERROR(__xludf.DUMMYFUNCTION("""COMPUTED_VALUE"""),27.57)</f>
        <v>27.57</v>
      </c>
      <c r="J1230" s="2">
        <f>IFERROR(__xludf.DUMMYFUNCTION("""COMPUTED_VALUE"""),0.07000000000000028)</f>
        <v>0.07</v>
      </c>
      <c r="K1230" s="5">
        <f>IFERROR(__xludf.DUMMYFUNCTION("""COMPUTED_VALUE"""),0.0025454545454545556)</f>
        <v>0.002545454545</v>
      </c>
      <c r="L1230">
        <f>IFERROR(__xludf.DUMMYFUNCTION("""COMPUTED_VALUE"""),55712.0)</f>
        <v>55712</v>
      </c>
      <c r="M1230" t="str">
        <f>IFERROR(__xludf.DUMMYFUNCTION("""COMPUTED_VALUE"""),"Office Product")</f>
        <v>Office Product</v>
      </c>
      <c r="O1230" t="str">
        <f>IFERROR(__xludf.DUMMYFUNCTION("""COMPUTED_VALUE"""),"N")</f>
        <v>N</v>
      </c>
      <c r="P1230" s="1" t="str">
        <f>IFERROR(__xludf.DUMMYFUNCTION("""COMPUTED_VALUE"""),"ID 20025")</f>
        <v>ID 20025</v>
      </c>
    </row>
    <row r="1231">
      <c r="A1231" s="6">
        <f>IFERROR(__xludf.DUMMYFUNCTION("""COMPUTED_VALUE"""),45429.0)</f>
        <v>45429</v>
      </c>
      <c r="B1231">
        <f>IFERROR(__xludf.DUMMYFUNCTION("""COMPUTED_VALUE"""),15875.0)</f>
        <v>15875</v>
      </c>
      <c r="C1231" t="str">
        <f>IFERROR(__xludf.DUMMYFUNCTION("""COMPUTED_VALUE"""),"Giorgio Armani Acqua Di Gio For Men Eau De Toilette spray, 0.5 Ounce")</f>
        <v>Giorgio Armani Acqua Di Gio For Men Eau De Toilette spray, 0.5 Ounce</v>
      </c>
      <c r="D1231" t="str">
        <f>IFERROR(__xludf.DUMMYFUNCTION("""COMPUTED_VALUE"""),"B071GZBZQT")</f>
        <v>B071GZBZQT</v>
      </c>
      <c r="E1231" t="str">
        <f>IFERROR(__xludf.DUMMYFUNCTION("""COMPUTED_VALUE"""),"3614271576132")</f>
        <v>3614271576132</v>
      </c>
      <c r="F1231">
        <f>IFERROR(__xludf.DUMMYFUNCTION("""COMPUTED_VALUE"""),70.0)</f>
        <v>70</v>
      </c>
      <c r="G1231">
        <f>IFERROR(__xludf.DUMMYFUNCTION("""COMPUTED_VALUE"""),10000.0)</f>
        <v>10000</v>
      </c>
      <c r="H1231" s="2">
        <f>IFERROR(__xludf.DUMMYFUNCTION("""COMPUTED_VALUE"""),20.75)</f>
        <v>20.75</v>
      </c>
      <c r="I1231" s="2">
        <f>IFERROR(__xludf.DUMMYFUNCTION("""COMPUTED_VALUE"""),20.82)</f>
        <v>20.82</v>
      </c>
      <c r="J1231" s="2">
        <f>IFERROR(__xludf.DUMMYFUNCTION("""COMPUTED_VALUE"""),0.07000000000000028)</f>
        <v>0.07</v>
      </c>
      <c r="K1231" s="5">
        <f>IFERROR(__xludf.DUMMYFUNCTION("""COMPUTED_VALUE"""),0.0033734939759036283)</f>
        <v>0.003373493976</v>
      </c>
      <c r="L1231">
        <f>IFERROR(__xludf.DUMMYFUNCTION("""COMPUTED_VALUE"""),4140.0)</f>
        <v>4140</v>
      </c>
      <c r="M1231" t="str">
        <f>IFERROR(__xludf.DUMMYFUNCTION("""COMPUTED_VALUE"""),"Beauty")</f>
        <v>Beauty</v>
      </c>
      <c r="O1231" t="str">
        <f>IFERROR(__xludf.DUMMYFUNCTION("""COMPUTED_VALUE"""),"Y")</f>
        <v>Y</v>
      </c>
      <c r="P1231" s="1" t="str">
        <f>IFERROR(__xludf.DUMMYFUNCTION("""COMPUTED_VALUE"""),"ID 15875")</f>
        <v>ID 15875</v>
      </c>
    </row>
    <row r="1232">
      <c r="A1232" s="6">
        <f>IFERROR(__xludf.DUMMYFUNCTION("""COMPUTED_VALUE"""),44475.0)</f>
        <v>44475</v>
      </c>
      <c r="B1232">
        <f>IFERROR(__xludf.DUMMYFUNCTION("""COMPUTED_VALUE"""),22436.0)</f>
        <v>22436</v>
      </c>
      <c r="C1232" t="str">
        <f>IFERROR(__xludf.DUMMYFUNCTION("""COMPUTED_VALUE"""),"Cardinal 3 Ring Binder, 1 Inch Heavy Duty XtraLife Binder, Locking Slant-D Rings, Crack-Resistant Cover &amp; Spine, ClearVue Covers, Holds 270 Sheets, Black (26301)")</f>
        <v>Cardinal 3 Ring Binder, 1 Inch Heavy Duty XtraLife Binder, Locking Slant-D Rings, Crack-Resistant Cover &amp; Spine, ClearVue Covers, Holds 270 Sheets, Black (26301)</v>
      </c>
      <c r="D1232" t="str">
        <f>IFERROR(__xludf.DUMMYFUNCTION("""COMPUTED_VALUE"""),"B00016ZMG0")</f>
        <v>B00016ZMG0</v>
      </c>
      <c r="E1232" t="str">
        <f>IFERROR(__xludf.DUMMYFUNCTION("""COMPUTED_VALUE"""),"083086263019")</f>
        <v>083086263019</v>
      </c>
      <c r="F1232">
        <f>IFERROR(__xludf.DUMMYFUNCTION("""COMPUTED_VALUE"""),360.0)</f>
        <v>360</v>
      </c>
      <c r="G1232">
        <f>IFERROR(__xludf.DUMMYFUNCTION("""COMPUTED_VALUE"""),5000.0)</f>
        <v>5000</v>
      </c>
      <c r="H1232" s="2">
        <f>IFERROR(__xludf.DUMMYFUNCTION("""COMPUTED_VALUE"""),6.75)</f>
        <v>6.75</v>
      </c>
      <c r="I1232" s="2">
        <f>IFERROR(__xludf.DUMMYFUNCTION("""COMPUTED_VALUE"""),6.82)</f>
        <v>6.82</v>
      </c>
      <c r="J1232" s="2">
        <f>IFERROR(__xludf.DUMMYFUNCTION("""COMPUTED_VALUE"""),0.07000000000000028)</f>
        <v>0.07</v>
      </c>
      <c r="K1232" s="5">
        <f>IFERROR(__xludf.DUMMYFUNCTION("""COMPUTED_VALUE"""),0.010370370370370412)</f>
        <v>0.01037037037</v>
      </c>
      <c r="L1232">
        <f>IFERROR(__xludf.DUMMYFUNCTION("""COMPUTED_VALUE"""),91565.0)</f>
        <v>91565</v>
      </c>
      <c r="M1232" t="str">
        <f>IFERROR(__xludf.DUMMYFUNCTION("""COMPUTED_VALUE"""),"Office Product")</f>
        <v>Office Product</v>
      </c>
      <c r="N1232" t="str">
        <f>IFERROR(__xludf.DUMMYFUNCTION("""COMPUTED_VALUE"""),"UPC varies from the one published on amazon. This product will pull up if you enter our UPC into seller central. Styling/Packaging may vary")</f>
        <v>UPC varies from the one published on amazon. This product will pull up if you enter our UPC into seller central. Styling/Packaging may vary</v>
      </c>
      <c r="O1232" t="str">
        <f>IFERROR(__xludf.DUMMYFUNCTION("""COMPUTED_VALUE"""),"N")</f>
        <v>N</v>
      </c>
      <c r="P1232" s="1" t="str">
        <f>IFERROR(__xludf.DUMMYFUNCTION("""COMPUTED_VALUE"""),"ID 22436")</f>
        <v>ID 22436</v>
      </c>
    </row>
    <row r="1233">
      <c r="A1233" s="6">
        <f>IFERROR(__xludf.DUMMYFUNCTION("""COMPUTED_VALUE"""),44475.0)</f>
        <v>44475</v>
      </c>
      <c r="B1233">
        <f>IFERROR(__xludf.DUMMYFUNCTION("""COMPUTED_VALUE"""),22444.0)</f>
        <v>22444</v>
      </c>
      <c r="C1233" t="str">
        <f>IFERROR(__xludf.DUMMYFUNCTION("""COMPUTED_VALUE"""),"AMPAD Gold Fibre Project Planner, Top-Wire Bound, 8-1/2"" x 11-3/4"", Project Rule, Navy Cover, 70 Sheets (20-815) , White")</f>
        <v>AMPAD Gold Fibre Project Planner, Top-Wire Bound, 8-1/2" x 11-3/4", Project Rule, Navy Cover, 70 Sheets (20-815) , White</v>
      </c>
      <c r="D1233" t="str">
        <f>IFERROR(__xludf.DUMMYFUNCTION("""COMPUTED_VALUE"""),"B000A6TBI6")</f>
        <v>B000A6TBI6</v>
      </c>
      <c r="E1233" t="str">
        <f>IFERROR(__xludf.DUMMYFUNCTION("""COMPUTED_VALUE"""),"074319208150")</f>
        <v>074319208150</v>
      </c>
      <c r="F1233">
        <f>IFERROR(__xludf.DUMMYFUNCTION("""COMPUTED_VALUE"""),444.0)</f>
        <v>444</v>
      </c>
      <c r="G1233">
        <f>IFERROR(__xludf.DUMMYFUNCTION("""COMPUTED_VALUE"""),5000.0)</f>
        <v>5000</v>
      </c>
      <c r="H1233" s="2">
        <f>IFERROR(__xludf.DUMMYFUNCTION("""COMPUTED_VALUE"""),5.5)</f>
        <v>5.5</v>
      </c>
      <c r="I1233" s="2">
        <f>IFERROR(__xludf.DUMMYFUNCTION("""COMPUTED_VALUE"""),5.57)</f>
        <v>5.57</v>
      </c>
      <c r="J1233" s="2">
        <f>IFERROR(__xludf.DUMMYFUNCTION("""COMPUTED_VALUE"""),0.07000000000000028)</f>
        <v>0.07</v>
      </c>
      <c r="K1233" s="5">
        <f>IFERROR(__xludf.DUMMYFUNCTION("""COMPUTED_VALUE"""),0.01272727272727278)</f>
        <v>0.01272727273</v>
      </c>
      <c r="L1233">
        <f>IFERROR(__xludf.DUMMYFUNCTION("""COMPUTED_VALUE"""),34755.0)</f>
        <v>34755</v>
      </c>
      <c r="M1233" t="str">
        <f>IFERROR(__xludf.DUMMYFUNCTION("""COMPUTED_VALUE"""),"Office Product")</f>
        <v>Office Product</v>
      </c>
      <c r="O1233" t="str">
        <f>IFERROR(__xludf.DUMMYFUNCTION("""COMPUTED_VALUE"""),"Y")</f>
        <v>Y</v>
      </c>
      <c r="P1233" s="1" t="str">
        <f>IFERROR(__xludf.DUMMYFUNCTION("""COMPUTED_VALUE"""),"ID 22444")</f>
        <v>ID 22444</v>
      </c>
    </row>
    <row r="1234">
      <c r="A1234" s="6">
        <f>IFERROR(__xludf.DUMMYFUNCTION("""COMPUTED_VALUE"""),45401.0)</f>
        <v>45401</v>
      </c>
      <c r="B1234">
        <f>IFERROR(__xludf.DUMMYFUNCTION("""COMPUTED_VALUE"""),17620.0)</f>
        <v>17620</v>
      </c>
      <c r="C1234" t="str">
        <f>IFERROR(__xludf.DUMMYFUNCTION("""COMPUTED_VALUE"""),"Salvatore Ferragamo Signorina Eau de Parfum Spray for Women, 3.4 Ounce")</f>
        <v>Salvatore Ferragamo Signorina Eau de Parfum Spray for Women, 3.4 Ounce</v>
      </c>
      <c r="D1234" t="str">
        <f>IFERROR(__xludf.DUMMYFUNCTION("""COMPUTED_VALUE"""),"B0064N525K")</f>
        <v>B0064N525K</v>
      </c>
      <c r="E1234" t="str">
        <f>IFERROR(__xludf.DUMMYFUNCTION("""COMPUTED_VALUE"""),"8052464891306")</f>
        <v>8052464891306</v>
      </c>
      <c r="F1234">
        <f>IFERROR(__xludf.DUMMYFUNCTION("""COMPUTED_VALUE"""),40.0)</f>
        <v>40</v>
      </c>
      <c r="G1234">
        <f>IFERROR(__xludf.DUMMYFUNCTION("""COMPUTED_VALUE"""),10000.0)</f>
        <v>10000</v>
      </c>
      <c r="H1234" s="2">
        <f>IFERROR(__xludf.DUMMYFUNCTION("""COMPUTED_VALUE"""),36.5)</f>
        <v>36.5</v>
      </c>
      <c r="I1234" s="2">
        <f>IFERROR(__xludf.DUMMYFUNCTION("""COMPUTED_VALUE"""),36.57)</f>
        <v>36.57</v>
      </c>
      <c r="J1234" s="2">
        <f>IFERROR(__xludf.DUMMYFUNCTION("""COMPUTED_VALUE"""),0.07000000000000028)</f>
        <v>0.07</v>
      </c>
      <c r="K1234" s="5">
        <f>IFERROR(__xludf.DUMMYFUNCTION("""COMPUTED_VALUE"""),0.00191780821917809)</f>
        <v>0.001917808219</v>
      </c>
      <c r="L1234">
        <f>IFERROR(__xludf.DUMMYFUNCTION("""COMPUTED_VALUE"""),50462.0)</f>
        <v>50462</v>
      </c>
      <c r="M1234" t="str">
        <f>IFERROR(__xludf.DUMMYFUNCTION("""COMPUTED_VALUE"""),"Beauty")</f>
        <v>Beauty</v>
      </c>
      <c r="O1234" t="str">
        <f>IFERROR(__xludf.DUMMYFUNCTION("""COMPUTED_VALUE"""),"Y")</f>
        <v>Y</v>
      </c>
      <c r="P1234" s="1" t="str">
        <f>IFERROR(__xludf.DUMMYFUNCTION("""COMPUTED_VALUE"""),"ID 17620")</f>
        <v>ID 17620</v>
      </c>
    </row>
    <row r="1235">
      <c r="A1235" s="6">
        <f>IFERROR(__xludf.DUMMYFUNCTION("""COMPUTED_VALUE"""),44941.0)</f>
        <v>44941</v>
      </c>
      <c r="B1235">
        <f>IFERROR(__xludf.DUMMYFUNCTION("""COMPUTED_VALUE"""),24638.0)</f>
        <v>24638</v>
      </c>
      <c r="C1235" t="str">
        <f>IFERROR(__xludf.DUMMYFUNCTION("""COMPUTED_VALUE"""),"SAN35113PP - Sharpie Mini Markers")</f>
        <v>SAN35113PP - Sharpie Mini Markers</v>
      </c>
      <c r="D1235" t="str">
        <f>IFERROR(__xludf.DUMMYFUNCTION("""COMPUTED_VALUE"""),"B00ED3LA2W")</f>
        <v>B00ED3LA2W</v>
      </c>
      <c r="E1235" t="str">
        <f>IFERROR(__xludf.DUMMYFUNCTION("""COMPUTED_VALUE"""),"071641351134")</f>
        <v>071641351134</v>
      </c>
      <c r="F1235">
        <f>IFERROR(__xludf.DUMMYFUNCTION("""COMPUTED_VALUE"""),768.0)</f>
        <v>768</v>
      </c>
      <c r="G1235">
        <f>IFERROR(__xludf.DUMMYFUNCTION("""COMPUTED_VALUE"""),1000.0)</f>
        <v>1000</v>
      </c>
      <c r="H1235" s="2">
        <f>IFERROR(__xludf.DUMMYFUNCTION("""COMPUTED_VALUE"""),4.0)</f>
        <v>4</v>
      </c>
      <c r="I1235" s="2">
        <f>IFERROR(__xludf.DUMMYFUNCTION("""COMPUTED_VALUE"""),4.07)</f>
        <v>4.07</v>
      </c>
      <c r="J1235" s="2">
        <f>IFERROR(__xludf.DUMMYFUNCTION("""COMPUTED_VALUE"""),0.07000000000000028)</f>
        <v>0.07</v>
      </c>
      <c r="K1235" s="5">
        <f>IFERROR(__xludf.DUMMYFUNCTION("""COMPUTED_VALUE"""),0.01750000000000007)</f>
        <v>0.0175</v>
      </c>
      <c r="L1235">
        <f>IFERROR(__xludf.DUMMYFUNCTION("""COMPUTED_VALUE"""),30712.0)</f>
        <v>30712</v>
      </c>
      <c r="M1235" t="str">
        <f>IFERROR(__xludf.DUMMYFUNCTION("""COMPUTED_VALUE"""),"Office Product")</f>
        <v>Office Product</v>
      </c>
      <c r="N1235" t="str">
        <f>IFERROR(__xludf.DUMMYFUNCTION("""COMPUTED_VALUE"""),"Backorder, no ETA")</f>
        <v>Backorder, no ETA</v>
      </c>
      <c r="O1235" t="str">
        <f>IFERROR(__xludf.DUMMYFUNCTION("""COMPUTED_VALUE"""),"N")</f>
        <v>N</v>
      </c>
      <c r="P1235" s="1" t="str">
        <f>IFERROR(__xludf.DUMMYFUNCTION("""COMPUTED_VALUE"""),"ID 24638")</f>
        <v>ID 24638</v>
      </c>
    </row>
    <row r="1236">
      <c r="A1236" s="6">
        <f>IFERROR(__xludf.DUMMYFUNCTION("""COMPUTED_VALUE"""),45390.0)</f>
        <v>45390</v>
      </c>
      <c r="B1236">
        <f>IFERROR(__xludf.DUMMYFUNCTION("""COMPUTED_VALUE"""),4134.0)</f>
        <v>4134</v>
      </c>
      <c r="C1236" t="str">
        <f>IFERROR(__xludf.DUMMYFUNCTION("""COMPUTED_VALUE"""),"Chef Craft Old Fashioned Can Opener with Corkscrew")</f>
        <v>Chef Craft Old Fashioned Can Opener with Corkscrew</v>
      </c>
      <c r="D1236" t="str">
        <f>IFERROR(__xludf.DUMMYFUNCTION("""COMPUTED_VALUE"""),"B00LSD7JXY")</f>
        <v>B00LSD7JXY</v>
      </c>
      <c r="E1236" t="str">
        <f>IFERROR(__xludf.DUMMYFUNCTION("""COMPUTED_VALUE"""),"085455212956")</f>
        <v>085455212956</v>
      </c>
      <c r="F1236">
        <f>IFERROR(__xludf.DUMMYFUNCTION("""COMPUTED_VALUE"""),864.0)</f>
        <v>864</v>
      </c>
      <c r="G1236">
        <f>IFERROR(__xludf.DUMMYFUNCTION("""COMPUTED_VALUE"""),10000.0)</f>
        <v>10000</v>
      </c>
      <c r="H1236" s="2">
        <f>IFERROR(__xludf.DUMMYFUNCTION("""COMPUTED_VALUE"""),1.25)</f>
        <v>1.25</v>
      </c>
      <c r="I1236" s="2">
        <f>IFERROR(__xludf.DUMMYFUNCTION("""COMPUTED_VALUE"""),1.31)</f>
        <v>1.31</v>
      </c>
      <c r="J1236" s="2">
        <f>IFERROR(__xludf.DUMMYFUNCTION("""COMPUTED_VALUE"""),0.06000000000000005)</f>
        <v>0.06</v>
      </c>
      <c r="K1236" s="5">
        <f>IFERROR(__xludf.DUMMYFUNCTION("""COMPUTED_VALUE"""),0.04800000000000004)</f>
        <v>0.048</v>
      </c>
      <c r="L1236">
        <f>IFERROR(__xludf.DUMMYFUNCTION("""COMPUTED_VALUE"""),2464.0)</f>
        <v>2464</v>
      </c>
      <c r="M1236" t="str">
        <f>IFERROR(__xludf.DUMMYFUNCTION("""COMPUTED_VALUE"""),"Kitchen")</f>
        <v>Kitchen</v>
      </c>
      <c r="O1236" t="str">
        <f>IFERROR(__xludf.DUMMYFUNCTION("""COMPUTED_VALUE"""),"Y")</f>
        <v>Y</v>
      </c>
      <c r="P1236" s="1" t="str">
        <f>IFERROR(__xludf.DUMMYFUNCTION("""COMPUTED_VALUE"""),"ID 4134")</f>
        <v>ID 4134</v>
      </c>
    </row>
    <row r="1237">
      <c r="A1237" s="6">
        <f>IFERROR(__xludf.DUMMYFUNCTION("""COMPUTED_VALUE"""),45257.0)</f>
        <v>45257</v>
      </c>
      <c r="B1237">
        <f>IFERROR(__xludf.DUMMYFUNCTION("""COMPUTED_VALUE"""),26039.0)</f>
        <v>26039</v>
      </c>
      <c r="C1237" t="str">
        <f>IFERROR(__xludf.DUMMYFUNCTION("""COMPUTED_VALUE"""),"2 pack La's Totally Awesome All Purpose Cleaner, Degreaser &amp; Spot Remover 2 bottles total of 40 Oz")</f>
        <v>2 pack La's Totally Awesome All Purpose Cleaner, Degreaser &amp; Spot Remover 2 bottles total of 40 Oz</v>
      </c>
      <c r="D1237" t="str">
        <f>IFERROR(__xludf.DUMMYFUNCTION("""COMPUTED_VALUE"""),"B004XTTIWA")</f>
        <v>B004XTTIWA</v>
      </c>
      <c r="E1237" t="str">
        <f>IFERROR(__xludf.DUMMYFUNCTION("""COMPUTED_VALUE"""),"722429200167")</f>
        <v>722429200167</v>
      </c>
      <c r="F1237">
        <f>IFERROR(__xludf.DUMMYFUNCTION("""COMPUTED_VALUE"""),480.0)</f>
        <v>480</v>
      </c>
      <c r="G1237">
        <f>IFERROR(__xludf.DUMMYFUNCTION("""COMPUTED_VALUE"""),1524.0)</f>
        <v>1524</v>
      </c>
      <c r="H1237" s="2">
        <f>IFERROR(__xludf.DUMMYFUNCTION("""COMPUTED_VALUE"""),2.75)</f>
        <v>2.75</v>
      </c>
      <c r="I1237" s="2">
        <f>IFERROR(__xludf.DUMMYFUNCTION("""COMPUTED_VALUE"""),2.81)</f>
        <v>2.81</v>
      </c>
      <c r="J1237" s="2">
        <f>IFERROR(__xludf.DUMMYFUNCTION("""COMPUTED_VALUE"""),0.06000000000000005)</f>
        <v>0.06</v>
      </c>
      <c r="K1237" s="5">
        <f>IFERROR(__xludf.DUMMYFUNCTION("""COMPUTED_VALUE"""),0.021818181818181837)</f>
        <v>0.02181818182</v>
      </c>
      <c r="L1237">
        <f>IFERROR(__xludf.DUMMYFUNCTION("""COMPUTED_VALUE"""),60235.0)</f>
        <v>60235</v>
      </c>
      <c r="M1237" t="str">
        <f>IFERROR(__xludf.DUMMYFUNCTION("""COMPUTED_VALUE"""),"Home")</f>
        <v>Home</v>
      </c>
      <c r="N1237" t="str">
        <f>IFERROR(__xludf.DUMMYFUNCTION("""COMPUTED_VALUE"""),"UOM: 2 single units. Bundling &amp; other prep buyers responsibility. Styling/Packaging may vary")</f>
        <v>UOM: 2 single units. Bundling &amp; other prep buyers responsibility. Styling/Packaging may vary</v>
      </c>
      <c r="O1237" t="str">
        <f>IFERROR(__xludf.DUMMYFUNCTION("""COMPUTED_VALUE"""),"N")</f>
        <v>N</v>
      </c>
      <c r="P1237" s="1" t="str">
        <f>IFERROR(__xludf.DUMMYFUNCTION("""COMPUTED_VALUE"""),"ID 26039")</f>
        <v>ID 26039</v>
      </c>
    </row>
    <row r="1238">
      <c r="A1238" s="6">
        <f>IFERROR(__xludf.DUMMYFUNCTION("""COMPUTED_VALUE"""),45245.0)</f>
        <v>45245</v>
      </c>
      <c r="B1238">
        <f>IFERROR(__xludf.DUMMYFUNCTION("""COMPUTED_VALUE"""),26041.0)</f>
        <v>26041</v>
      </c>
      <c r="C1238" t="str">
        <f>IFERROR(__xludf.DUMMYFUNCTION("""COMPUTED_VALUE"""),"1 (6-ct.) Box JOLLY RANCHER ~ GREEN APPLE Singles to Go! Sugar Free Drink Mix.")</f>
        <v>1 (6-ct.) Box JOLLY RANCHER ~ GREEN APPLE Singles to Go! Sugar Free Drink Mix.</v>
      </c>
      <c r="D1238" t="str">
        <f>IFERROR(__xludf.DUMMYFUNCTION("""COMPUTED_VALUE"""),"B00DSGWTMU")</f>
        <v>B00DSGWTMU</v>
      </c>
      <c r="E1238" t="str">
        <f>IFERROR(__xludf.DUMMYFUNCTION("""COMPUTED_VALUE"""),"072392337996")</f>
        <v>072392337996</v>
      </c>
      <c r="F1238">
        <f>IFERROR(__xludf.DUMMYFUNCTION("""COMPUTED_VALUE"""),612.0)</f>
        <v>612</v>
      </c>
      <c r="G1238">
        <f>IFERROR(__xludf.DUMMYFUNCTION("""COMPUTED_VALUE"""),612.0)</f>
        <v>612</v>
      </c>
      <c r="H1238" s="2">
        <f>IFERROR(__xludf.DUMMYFUNCTION("""COMPUTED_VALUE"""),1.5)</f>
        <v>1.5</v>
      </c>
      <c r="I1238" s="2">
        <f>IFERROR(__xludf.DUMMYFUNCTION("""COMPUTED_VALUE"""),1.56)</f>
        <v>1.56</v>
      </c>
      <c r="J1238" s="2">
        <f>IFERROR(__xludf.DUMMYFUNCTION("""COMPUTED_VALUE"""),0.06000000000000005)</f>
        <v>0.06</v>
      </c>
      <c r="K1238" s="5">
        <f>IFERROR(__xludf.DUMMYFUNCTION("""COMPUTED_VALUE"""),0.040000000000000036)</f>
        <v>0.04</v>
      </c>
      <c r="L1238">
        <f>IFERROR(__xludf.DUMMYFUNCTION("""COMPUTED_VALUE"""),15858.0)</f>
        <v>15858</v>
      </c>
      <c r="M1238" t="str">
        <f>IFERROR(__xludf.DUMMYFUNCTION("""COMPUTED_VALUE"""),"Grocery")</f>
        <v>Grocery</v>
      </c>
      <c r="O1238" t="str">
        <f>IFERROR(__xludf.DUMMYFUNCTION("""COMPUTED_VALUE"""),"N")</f>
        <v>N</v>
      </c>
      <c r="P1238" s="1" t="str">
        <f>IFERROR(__xludf.DUMMYFUNCTION("""COMPUTED_VALUE"""),"ID 26041")</f>
        <v>ID 26041</v>
      </c>
    </row>
    <row r="1239">
      <c r="A1239" s="6">
        <f>IFERROR(__xludf.DUMMYFUNCTION("""COMPUTED_VALUE"""),44930.0)</f>
        <v>44930</v>
      </c>
      <c r="B1239">
        <f>IFERROR(__xludf.DUMMYFUNCTION("""COMPUTED_VALUE"""),17005.0)</f>
        <v>17005</v>
      </c>
      <c r="C1239" t="str">
        <f>IFERROR(__xludf.DUMMYFUNCTION("""COMPUTED_VALUE"""),"Revlon ColorStay Eyeliner Pencil, Black Brown, 0.01 ounce")</f>
        <v>Revlon ColorStay Eyeliner Pencil, Black Brown, 0.01 ounce</v>
      </c>
      <c r="D1239" t="str">
        <f>IFERROR(__xludf.DUMMYFUNCTION("""COMPUTED_VALUE"""),"B000H3I2JG")</f>
        <v>B000H3I2JG</v>
      </c>
      <c r="E1239" t="str">
        <f>IFERROR(__xludf.DUMMYFUNCTION("""COMPUTED_VALUE"""),"309973978027")</f>
        <v>309973978027</v>
      </c>
      <c r="F1239">
        <f>IFERROR(__xludf.DUMMYFUNCTION("""COMPUTED_VALUE"""),360.0)</f>
        <v>360</v>
      </c>
      <c r="G1239">
        <f>IFERROR(__xludf.DUMMYFUNCTION("""COMPUTED_VALUE"""),3600.0)</f>
        <v>3600</v>
      </c>
      <c r="H1239" s="2">
        <f>IFERROR(__xludf.DUMMYFUNCTION("""COMPUTED_VALUE"""),4.5)</f>
        <v>4.5</v>
      </c>
      <c r="I1239" s="2">
        <f>IFERROR(__xludf.DUMMYFUNCTION("""COMPUTED_VALUE"""),4.56)</f>
        <v>4.56</v>
      </c>
      <c r="J1239" s="2">
        <f>IFERROR(__xludf.DUMMYFUNCTION("""COMPUTED_VALUE"""),0.05999999999999961)</f>
        <v>0.06</v>
      </c>
      <c r="K1239" s="5">
        <f>IFERROR(__xludf.DUMMYFUNCTION("""COMPUTED_VALUE"""),0.013333333333333246)</f>
        <v>0.01333333333</v>
      </c>
      <c r="L1239">
        <f>IFERROR(__xludf.DUMMYFUNCTION("""COMPUTED_VALUE"""),130.0)</f>
        <v>130</v>
      </c>
      <c r="M1239" t="str">
        <f>IFERROR(__xludf.DUMMYFUNCTION("""COMPUTED_VALUE"""),"Beauty")</f>
        <v>Beauty</v>
      </c>
      <c r="O1239" t="str">
        <f>IFERROR(__xludf.DUMMYFUNCTION("""COMPUTED_VALUE"""),"Y")</f>
        <v>Y</v>
      </c>
      <c r="P1239" s="1" t="str">
        <f>IFERROR(__xludf.DUMMYFUNCTION("""COMPUTED_VALUE"""),"ID 17005")</f>
        <v>ID 17005</v>
      </c>
    </row>
    <row r="1240">
      <c r="A1240" s="6">
        <f>IFERROR(__xludf.DUMMYFUNCTION("""COMPUTED_VALUE"""),45390.0)</f>
        <v>45390</v>
      </c>
      <c r="B1240">
        <f>IFERROR(__xludf.DUMMYFUNCTION("""COMPUTED_VALUE"""),9157.0)</f>
        <v>9157</v>
      </c>
      <c r="C1240" t="str">
        <f>IFERROR(__xludf.DUMMYFUNCTION("""COMPUTED_VALUE"""),"Chef Craft Butterfly Can Opener")</f>
        <v>Chef Craft Butterfly Can Opener</v>
      </c>
      <c r="D1240" t="str">
        <f>IFERROR(__xludf.DUMMYFUNCTION("""COMPUTED_VALUE"""),"B00LSD7KGU")</f>
        <v>B00LSD7KGU</v>
      </c>
      <c r="E1240" t="str">
        <f>IFERROR(__xludf.DUMMYFUNCTION("""COMPUTED_VALUE"""),"085455211188")</f>
        <v>085455211188</v>
      </c>
      <c r="F1240">
        <f>IFERROR(__xludf.DUMMYFUNCTION("""COMPUTED_VALUE"""),1008.0)</f>
        <v>1008</v>
      </c>
      <c r="G1240">
        <f>IFERROR(__xludf.DUMMYFUNCTION("""COMPUTED_VALUE"""),10000.0)</f>
        <v>10000</v>
      </c>
      <c r="H1240" s="2">
        <f>IFERROR(__xludf.DUMMYFUNCTION("""COMPUTED_VALUE"""),1.25)</f>
        <v>1.25</v>
      </c>
      <c r="I1240" s="2">
        <f>IFERROR(__xludf.DUMMYFUNCTION("""COMPUTED_VALUE"""),1.3)</f>
        <v>1.3</v>
      </c>
      <c r="J1240" s="2">
        <f>IFERROR(__xludf.DUMMYFUNCTION("""COMPUTED_VALUE"""),0.050000000000000044)</f>
        <v>0.05</v>
      </c>
      <c r="K1240" s="5">
        <f>IFERROR(__xludf.DUMMYFUNCTION("""COMPUTED_VALUE"""),0.040000000000000036)</f>
        <v>0.04</v>
      </c>
      <c r="L1240">
        <f>IFERROR(__xludf.DUMMYFUNCTION("""COMPUTED_VALUE"""),2398.0)</f>
        <v>2398</v>
      </c>
      <c r="M1240" t="str">
        <f>IFERROR(__xludf.DUMMYFUNCTION("""COMPUTED_VALUE"""),"Kitchen")</f>
        <v>Kitchen</v>
      </c>
      <c r="O1240" t="str">
        <f>IFERROR(__xludf.DUMMYFUNCTION("""COMPUTED_VALUE"""),"N")</f>
        <v>N</v>
      </c>
      <c r="P1240" s="1" t="str">
        <f>IFERROR(__xludf.DUMMYFUNCTION("""COMPUTED_VALUE"""),"ID 9157")</f>
        <v>ID 9157</v>
      </c>
    </row>
    <row r="1241">
      <c r="A1241" s="6">
        <f>IFERROR(__xludf.DUMMYFUNCTION("""COMPUTED_VALUE"""),45369.0)</f>
        <v>45369</v>
      </c>
      <c r="B1241">
        <f>IFERROR(__xludf.DUMMYFUNCTION("""COMPUTED_VALUE"""),24078.0)</f>
        <v>24078</v>
      </c>
      <c r="C1241" t="str">
        <f>IFERROR(__xludf.DUMMYFUNCTION("""COMPUTED_VALUE"""),"Creativity Street Chenille Stems/Pipe Cleaners 12 Inch x 6mm 100-Piece, Purple")</f>
        <v>Creativity Street Chenille Stems/Pipe Cleaners 12 Inch x 6mm 100-Piece, Purple</v>
      </c>
      <c r="D1241" t="str">
        <f>IFERROR(__xludf.DUMMYFUNCTION("""COMPUTED_VALUE"""),"B00P0NJG0W")</f>
        <v>B00P0NJG0W</v>
      </c>
      <c r="E1241" t="str">
        <f>IFERROR(__xludf.DUMMYFUNCTION("""COMPUTED_VALUE"""),"021196710160")</f>
        <v>021196710160</v>
      </c>
      <c r="F1241">
        <f>IFERROR(__xludf.DUMMYFUNCTION("""COMPUTED_VALUE"""),3948.0)</f>
        <v>3948</v>
      </c>
      <c r="G1241">
        <f>IFERROR(__xludf.DUMMYFUNCTION("""COMPUTED_VALUE"""),10000.0)</f>
        <v>10000</v>
      </c>
      <c r="H1241" s="2">
        <f>IFERROR(__xludf.DUMMYFUNCTION("""COMPUTED_VALUE"""),1.0)</f>
        <v>1</v>
      </c>
      <c r="I1241" s="2">
        <f>IFERROR(__xludf.DUMMYFUNCTION("""COMPUTED_VALUE"""),1.05)</f>
        <v>1.05</v>
      </c>
      <c r="J1241" s="2">
        <f>IFERROR(__xludf.DUMMYFUNCTION("""COMPUTED_VALUE"""),0.050000000000000044)</f>
        <v>0.05</v>
      </c>
      <c r="K1241" s="5">
        <f>IFERROR(__xludf.DUMMYFUNCTION("""COMPUTED_VALUE"""),0.050000000000000044)</f>
        <v>0.05</v>
      </c>
      <c r="L1241">
        <f>IFERROR(__xludf.DUMMYFUNCTION("""COMPUTED_VALUE"""),47015.0)</f>
        <v>47015</v>
      </c>
      <c r="M1241" t="str">
        <f>IFERROR(__xludf.DUMMYFUNCTION("""COMPUTED_VALUE"""),"Toy")</f>
        <v>Toy</v>
      </c>
      <c r="N1241" t="str">
        <f>IFERROR(__xludf.DUMMYFUNCTION("""COMPUTED_VALUE"""),"2023 Close-out Pricing")</f>
        <v>2023 Close-out Pricing</v>
      </c>
      <c r="O1241" t="str">
        <f>IFERROR(__xludf.DUMMYFUNCTION("""COMPUTED_VALUE"""),"N")</f>
        <v>N</v>
      </c>
      <c r="P1241" s="1" t="str">
        <f>IFERROR(__xludf.DUMMYFUNCTION("""COMPUTED_VALUE"""),"ID 24078")</f>
        <v>ID 24078</v>
      </c>
    </row>
    <row r="1242">
      <c r="A1242" s="6">
        <f>IFERROR(__xludf.DUMMYFUNCTION("""COMPUTED_VALUE"""),45376.0)</f>
        <v>45376</v>
      </c>
      <c r="B1242">
        <f>IFERROR(__xludf.DUMMYFUNCTION("""COMPUTED_VALUE"""),25148.0)</f>
        <v>25148</v>
      </c>
      <c r="C1242" t="str">
        <f>IFERROR(__xludf.DUMMYFUNCTION("""COMPUTED_VALUE"""),"Creativity Street Chenille Stems/Pipe Cleaners 12 Inch x 4mm 100-Piece, Yellow")</f>
        <v>Creativity Street Chenille Stems/Pipe Cleaners 12 Inch x 4mm 100-Piece, Yellow</v>
      </c>
      <c r="D1242" t="str">
        <f>IFERROR(__xludf.DUMMYFUNCTION("""COMPUTED_VALUE"""),"B0044SEKXC")</f>
        <v>B0044SEKXC</v>
      </c>
      <c r="E1242" t="str">
        <f>IFERROR(__xludf.DUMMYFUNCTION("""COMPUTED_VALUE"""),"021196711259")</f>
        <v>021196711259</v>
      </c>
      <c r="F1242">
        <f>IFERROR(__xludf.DUMMYFUNCTION("""COMPUTED_VALUE"""),2616.0)</f>
        <v>2616</v>
      </c>
      <c r="G1242">
        <f>IFERROR(__xludf.DUMMYFUNCTION("""COMPUTED_VALUE"""),10000.0)</f>
        <v>10000</v>
      </c>
      <c r="H1242" s="2">
        <f>IFERROR(__xludf.DUMMYFUNCTION("""COMPUTED_VALUE"""),1.5)</f>
        <v>1.5</v>
      </c>
      <c r="I1242" s="2">
        <f>IFERROR(__xludf.DUMMYFUNCTION("""COMPUTED_VALUE"""),1.55)</f>
        <v>1.55</v>
      </c>
      <c r="J1242" s="2">
        <f>IFERROR(__xludf.DUMMYFUNCTION("""COMPUTED_VALUE"""),0.050000000000000044)</f>
        <v>0.05</v>
      </c>
      <c r="K1242" s="5">
        <f>IFERROR(__xludf.DUMMYFUNCTION("""COMPUTED_VALUE"""),0.03333333333333336)</f>
        <v>0.03333333333</v>
      </c>
      <c r="L1242">
        <f>IFERROR(__xludf.DUMMYFUNCTION("""COMPUTED_VALUE"""),12587.0)</f>
        <v>12587</v>
      </c>
      <c r="M1242" t="str">
        <f>IFERROR(__xludf.DUMMYFUNCTION("""COMPUTED_VALUE"""),"Toy")</f>
        <v>Toy</v>
      </c>
      <c r="O1242" t="str">
        <f>IFERROR(__xludf.DUMMYFUNCTION("""COMPUTED_VALUE"""),"N")</f>
        <v>N</v>
      </c>
      <c r="P1242" s="1" t="str">
        <f>IFERROR(__xludf.DUMMYFUNCTION("""COMPUTED_VALUE"""),"ID 25148")</f>
        <v>ID 25148</v>
      </c>
    </row>
    <row r="1243">
      <c r="A1243" s="6">
        <f>IFERROR(__xludf.DUMMYFUNCTION("""COMPUTED_VALUE"""),43844.0)</f>
        <v>43844</v>
      </c>
      <c r="B1243">
        <f>IFERROR(__xludf.DUMMYFUNCTION("""COMPUTED_VALUE"""),11522.0)</f>
        <v>11522</v>
      </c>
      <c r="C1243" t="str">
        <f>IFERROR(__xludf.DUMMYFUNCTION("""COMPUTED_VALUE"""),"ACE Ajax Barber Comb 7 Inch Long Durable Stronger")</f>
        <v>ACE Ajax Barber Comb 7 Inch Long Durable Stronger</v>
      </c>
      <c r="D1243" t="str">
        <f>IFERROR(__xludf.DUMMYFUNCTION("""COMPUTED_VALUE"""),"B0149K4R1Y")</f>
        <v>B0149K4R1Y</v>
      </c>
      <c r="E1243" t="str">
        <f>IFERROR(__xludf.DUMMYFUNCTION("""COMPUTED_VALUE"""),"13114618863")</f>
        <v>13114618863</v>
      </c>
      <c r="F1243">
        <f>IFERROR(__xludf.DUMMYFUNCTION("""COMPUTED_VALUE"""),924.0)</f>
        <v>924</v>
      </c>
      <c r="G1243">
        <f>IFERROR(__xludf.DUMMYFUNCTION("""COMPUTED_VALUE"""),4000.0)</f>
        <v>4000</v>
      </c>
      <c r="H1243" s="2">
        <f>IFERROR(__xludf.DUMMYFUNCTION("""COMPUTED_VALUE"""),2.0)</f>
        <v>2</v>
      </c>
      <c r="I1243" s="2">
        <f>IFERROR(__xludf.DUMMYFUNCTION("""COMPUTED_VALUE"""),2.04)</f>
        <v>2.04</v>
      </c>
      <c r="J1243" s="2">
        <f>IFERROR(__xludf.DUMMYFUNCTION("""COMPUTED_VALUE"""),0.040000000000000036)</f>
        <v>0.04</v>
      </c>
      <c r="K1243" s="5">
        <f>IFERROR(__xludf.DUMMYFUNCTION("""COMPUTED_VALUE"""),0.020000000000000018)</f>
        <v>0.02</v>
      </c>
      <c r="L1243">
        <f>IFERROR(__xludf.DUMMYFUNCTION("""COMPUTED_VALUE"""),52006.0)</f>
        <v>52006</v>
      </c>
      <c r="M1243" t="str">
        <f>IFERROR(__xludf.DUMMYFUNCTION("""COMPUTED_VALUE"""),"Single Detail Page Misc")</f>
        <v>Single Detail Page Misc</v>
      </c>
      <c r="O1243" t="str">
        <f>IFERROR(__xludf.DUMMYFUNCTION("""COMPUTED_VALUE"""),"N")</f>
        <v>N</v>
      </c>
      <c r="P1243" s="1" t="str">
        <f>IFERROR(__xludf.DUMMYFUNCTION("""COMPUTED_VALUE"""),"ID 11522")</f>
        <v>ID 11522</v>
      </c>
    </row>
    <row r="1244">
      <c r="A1244" s="6">
        <f>IFERROR(__xludf.DUMMYFUNCTION("""COMPUTED_VALUE"""),45376.0)</f>
        <v>45376</v>
      </c>
      <c r="B1244">
        <f>IFERROR(__xludf.DUMMYFUNCTION("""COMPUTED_VALUE"""),17065.0)</f>
        <v>17065</v>
      </c>
      <c r="C1244" t="str">
        <f>IFERROR(__xludf.DUMMYFUNCTION("""COMPUTED_VALUE"""),"PRANG Refill Pans for Half Pan Watercolor Paint Sets, 12 Pans per Box, Brown (08007)")</f>
        <v>PRANG Refill Pans for Half Pan Watercolor Paint Sets, 12 Pans per Box, Brown (08007)</v>
      </c>
      <c r="D1244" t="str">
        <f>IFERROR(__xludf.DUMMYFUNCTION("""COMPUTED_VALUE"""),"B0044S9A0U")</f>
        <v>B0044S9A0U</v>
      </c>
      <c r="E1244" t="str">
        <f>IFERROR(__xludf.DUMMYFUNCTION("""COMPUTED_VALUE"""),"072067080073")</f>
        <v>072067080073</v>
      </c>
      <c r="F1244">
        <f>IFERROR(__xludf.DUMMYFUNCTION("""COMPUTED_VALUE"""),888.0)</f>
        <v>888</v>
      </c>
      <c r="G1244">
        <f>IFERROR(__xludf.DUMMYFUNCTION("""COMPUTED_VALUE"""),10000.0)</f>
        <v>10000</v>
      </c>
      <c r="H1244" s="2">
        <f>IFERROR(__xludf.DUMMYFUNCTION("""COMPUTED_VALUE"""),4.25)</f>
        <v>4.25</v>
      </c>
      <c r="I1244" s="2">
        <f>IFERROR(__xludf.DUMMYFUNCTION("""COMPUTED_VALUE"""),4.29)</f>
        <v>4.29</v>
      </c>
      <c r="J1244" s="2">
        <f>IFERROR(__xludf.DUMMYFUNCTION("""COMPUTED_VALUE"""),0.040000000000000036)</f>
        <v>0.04</v>
      </c>
      <c r="K1244" s="5">
        <f>IFERROR(__xludf.DUMMYFUNCTION("""COMPUTED_VALUE"""),0.00941176470588236)</f>
        <v>0.009411764706</v>
      </c>
      <c r="L1244">
        <f>IFERROR(__xludf.DUMMYFUNCTION("""COMPUTED_VALUE"""),12972.0)</f>
        <v>12972</v>
      </c>
      <c r="M1244" t="str">
        <f>IFERROR(__xludf.DUMMYFUNCTION("""COMPUTED_VALUE"""),"Home Improvement")</f>
        <v>Home Improvement</v>
      </c>
      <c r="O1244" t="str">
        <f>IFERROR(__xludf.DUMMYFUNCTION("""COMPUTED_VALUE"""),"Y")</f>
        <v>Y</v>
      </c>
      <c r="P1244" s="1" t="str">
        <f>IFERROR(__xludf.DUMMYFUNCTION("""COMPUTED_VALUE"""),"ID 17065")</f>
        <v>ID 17065</v>
      </c>
    </row>
    <row r="1245">
      <c r="A1245" s="6">
        <f>IFERROR(__xludf.DUMMYFUNCTION("""COMPUTED_VALUE"""),45113.0)</f>
        <v>45113</v>
      </c>
      <c r="B1245">
        <f>IFERROR(__xludf.DUMMYFUNCTION("""COMPUTED_VALUE"""),17813.0)</f>
        <v>17813</v>
      </c>
      <c r="C1245" t="str">
        <f>IFERROR(__xludf.DUMMYFUNCTION("""COMPUTED_VALUE"""),"Rolodex Petite Refill Cards, 2 1/4 x 4, 100 Cards/Pack")</f>
        <v>Rolodex Petite Refill Cards, 2 1/4 x 4, 100 Cards/Pack</v>
      </c>
      <c r="D1245" t="str">
        <f>IFERROR(__xludf.DUMMYFUNCTION("""COMPUTED_VALUE"""),"B00BT2RYAC")</f>
        <v>B00BT2RYAC</v>
      </c>
      <c r="E1245" t="str">
        <f>IFERROR(__xludf.DUMMYFUNCTION("""COMPUTED_VALUE"""),"71912675532")</f>
        <v>71912675532</v>
      </c>
      <c r="F1245">
        <f>IFERROR(__xludf.DUMMYFUNCTION("""COMPUTED_VALUE"""),1104.0)</f>
        <v>1104</v>
      </c>
      <c r="G1245">
        <f>IFERROR(__xludf.DUMMYFUNCTION("""COMPUTED_VALUE"""),10000.0)</f>
        <v>10000</v>
      </c>
      <c r="H1245" s="2">
        <f>IFERROR(__xludf.DUMMYFUNCTION("""COMPUTED_VALUE"""),2.75)</f>
        <v>2.75</v>
      </c>
      <c r="I1245" s="2">
        <f>IFERROR(__xludf.DUMMYFUNCTION("""COMPUTED_VALUE"""),2.79)</f>
        <v>2.79</v>
      </c>
      <c r="J1245" s="2">
        <f>IFERROR(__xludf.DUMMYFUNCTION("""COMPUTED_VALUE"""),0.040000000000000036)</f>
        <v>0.04</v>
      </c>
      <c r="K1245" s="5">
        <f>IFERROR(__xludf.DUMMYFUNCTION("""COMPUTED_VALUE"""),0.014545454545454558)</f>
        <v>0.01454545455</v>
      </c>
      <c r="L1245">
        <f>IFERROR(__xludf.DUMMYFUNCTION("""COMPUTED_VALUE"""),17401.0)</f>
        <v>17401</v>
      </c>
      <c r="M1245" t="str">
        <f>IFERROR(__xludf.DUMMYFUNCTION("""COMPUTED_VALUE"""),"Office Product")</f>
        <v>Office Product</v>
      </c>
      <c r="O1245" t="str">
        <f>IFERROR(__xludf.DUMMYFUNCTION("""COMPUTED_VALUE"""),"N")</f>
        <v>N</v>
      </c>
      <c r="P1245" s="1" t="str">
        <f>IFERROR(__xludf.DUMMYFUNCTION("""COMPUTED_VALUE"""),"ID 17813")</f>
        <v>ID 17813</v>
      </c>
    </row>
    <row r="1246">
      <c r="A1246" s="6">
        <f>IFERROR(__xludf.DUMMYFUNCTION("""COMPUTED_VALUE"""),45362.0)</f>
        <v>45362</v>
      </c>
      <c r="B1246">
        <f>IFERROR(__xludf.DUMMYFUNCTION("""COMPUTED_VALUE"""),19733.0)</f>
        <v>19733</v>
      </c>
      <c r="C1246" t="str">
        <f>IFERROR(__xludf.DUMMYFUNCTION("""COMPUTED_VALUE"""),"Pentel EnerGel Alloy Retractable Liquid Gel Pen, Red Barrel, Black Ink, 1 pack (BL407B-A)")</f>
        <v>Pentel EnerGel Alloy Retractable Liquid Gel Pen, Red Barrel, Black Ink, 1 pack (BL407B-A)</v>
      </c>
      <c r="D1246" t="str">
        <f>IFERROR(__xludf.DUMMYFUNCTION("""COMPUTED_VALUE"""),"B0065PME9O")</f>
        <v>B0065PME9O</v>
      </c>
      <c r="E1246" t="str">
        <f>IFERROR(__xludf.DUMMYFUNCTION("""COMPUTED_VALUE"""),"884851009654")</f>
        <v>884851009654</v>
      </c>
      <c r="F1246">
        <f>IFERROR(__xludf.DUMMYFUNCTION("""COMPUTED_VALUE"""),312.0)</f>
        <v>312</v>
      </c>
      <c r="G1246">
        <f>IFERROR(__xludf.DUMMYFUNCTION("""COMPUTED_VALUE"""),10000.0)</f>
        <v>10000</v>
      </c>
      <c r="H1246" s="2">
        <f>IFERROR(__xludf.DUMMYFUNCTION("""COMPUTED_VALUE"""),4.5)</f>
        <v>4.5</v>
      </c>
      <c r="I1246" s="2">
        <f>IFERROR(__xludf.DUMMYFUNCTION("""COMPUTED_VALUE"""),4.54)</f>
        <v>4.54</v>
      </c>
      <c r="J1246" s="2">
        <f>IFERROR(__xludf.DUMMYFUNCTION("""COMPUTED_VALUE"""),0.040000000000000036)</f>
        <v>0.04</v>
      </c>
      <c r="K1246" s="5">
        <f>IFERROR(__xludf.DUMMYFUNCTION("""COMPUTED_VALUE"""),0.008888888888888898)</f>
        <v>0.008888888889</v>
      </c>
      <c r="L1246">
        <f>IFERROR(__xludf.DUMMYFUNCTION("""COMPUTED_VALUE"""),4167.0)</f>
        <v>4167</v>
      </c>
      <c r="M1246" t="str">
        <f>IFERROR(__xludf.DUMMYFUNCTION("""COMPUTED_VALUE"""),"Office Product")</f>
        <v>Office Product</v>
      </c>
      <c r="O1246" t="str">
        <f>IFERROR(__xludf.DUMMYFUNCTION("""COMPUTED_VALUE"""),"Y")</f>
        <v>Y</v>
      </c>
      <c r="P1246" s="1" t="str">
        <f>IFERROR(__xludf.DUMMYFUNCTION("""COMPUTED_VALUE"""),"ID 19733")</f>
        <v>ID 19733</v>
      </c>
    </row>
    <row r="1247">
      <c r="A1247" s="6">
        <f>IFERROR(__xludf.DUMMYFUNCTION("""COMPUTED_VALUE"""),45390.0)</f>
        <v>45390</v>
      </c>
      <c r="B1247">
        <f>IFERROR(__xludf.DUMMYFUNCTION("""COMPUTED_VALUE"""),21128.0)</f>
        <v>21128</v>
      </c>
      <c r="C1247" t="str">
        <f>IFERROR(__xludf.DUMMYFUNCTION("""COMPUTED_VALUE"""),"Chef Craft Premium Silicone Cooking Ladle, 11.25 inch, Gray")</f>
        <v>Chef Craft Premium Silicone Cooking Ladle, 11.25 inch, Gray</v>
      </c>
      <c r="D1247" t="str">
        <f>IFERROR(__xludf.DUMMYFUNCTION("""COMPUTED_VALUE"""),"B08SJCDCBM")</f>
        <v>B08SJCDCBM</v>
      </c>
      <c r="E1247" t="str">
        <f>IFERROR(__xludf.DUMMYFUNCTION("""COMPUTED_VALUE"""),"085455138607")</f>
        <v>085455138607</v>
      </c>
      <c r="F1247">
        <f>IFERROR(__xludf.DUMMYFUNCTION("""COMPUTED_VALUE"""),360.0)</f>
        <v>360</v>
      </c>
      <c r="G1247">
        <f>IFERROR(__xludf.DUMMYFUNCTION("""COMPUTED_VALUE"""),10000.0)</f>
        <v>10000</v>
      </c>
      <c r="H1247" s="2">
        <f>IFERROR(__xludf.DUMMYFUNCTION("""COMPUTED_VALUE"""),2.75)</f>
        <v>2.75</v>
      </c>
      <c r="I1247" s="2">
        <f>IFERROR(__xludf.DUMMYFUNCTION("""COMPUTED_VALUE"""),2.79)</f>
        <v>2.79</v>
      </c>
      <c r="J1247" s="2">
        <f>IFERROR(__xludf.DUMMYFUNCTION("""COMPUTED_VALUE"""),0.040000000000000036)</f>
        <v>0.04</v>
      </c>
      <c r="K1247" s="5">
        <f>IFERROR(__xludf.DUMMYFUNCTION("""COMPUTED_VALUE"""),0.014545454545454558)</f>
        <v>0.01454545455</v>
      </c>
      <c r="L1247">
        <f>IFERROR(__xludf.DUMMYFUNCTION("""COMPUTED_VALUE"""),8290.0)</f>
        <v>8290</v>
      </c>
      <c r="M1247" t="str">
        <f>IFERROR(__xludf.DUMMYFUNCTION("""COMPUTED_VALUE"""),"Kitchen")</f>
        <v>Kitchen</v>
      </c>
      <c r="O1247" t="str">
        <f>IFERROR(__xludf.DUMMYFUNCTION("""COMPUTED_VALUE"""),"Y")</f>
        <v>Y</v>
      </c>
      <c r="P1247" s="1" t="str">
        <f>IFERROR(__xludf.DUMMYFUNCTION("""COMPUTED_VALUE"""),"ID 21128")</f>
        <v>ID 21128</v>
      </c>
    </row>
    <row r="1248">
      <c r="A1248" s="6">
        <f>IFERROR(__xludf.DUMMYFUNCTION("""COMPUTED_VALUE"""),45383.0)</f>
        <v>45383</v>
      </c>
      <c r="B1248">
        <f>IFERROR(__xludf.DUMMYFUNCTION("""COMPUTED_VALUE"""),23178.0)</f>
        <v>23178</v>
      </c>
      <c r="C1248" t="str">
        <f>IFERROR(__xludf.DUMMYFUNCTION("""COMPUTED_VALUE"""),"Zebra Pen F-301 Bold Ballpoint Retractable Pens, 1.6mm Point Size, Black Ink, Pack of 2 (27312)")</f>
        <v>Zebra Pen F-301 Bold Ballpoint Retractable Pens, 1.6mm Point Size, Black Ink, Pack of 2 (27312)</v>
      </c>
      <c r="D1248" t="str">
        <f>IFERROR(__xludf.DUMMYFUNCTION("""COMPUTED_VALUE"""),"B003VNJ1B2")</f>
        <v>B003VNJ1B2</v>
      </c>
      <c r="E1248" t="str">
        <f>IFERROR(__xludf.DUMMYFUNCTION("""COMPUTED_VALUE"""),"045888273122")</f>
        <v>045888273122</v>
      </c>
      <c r="F1248">
        <f>IFERROR(__xludf.DUMMYFUNCTION("""COMPUTED_VALUE"""),396.0)</f>
        <v>396</v>
      </c>
      <c r="G1248">
        <f>IFERROR(__xludf.DUMMYFUNCTION("""COMPUTED_VALUE"""),10000.0)</f>
        <v>10000</v>
      </c>
      <c r="H1248" s="2">
        <f>IFERROR(__xludf.DUMMYFUNCTION("""COMPUTED_VALUE"""),3.25)</f>
        <v>3.25</v>
      </c>
      <c r="I1248" s="2">
        <f>IFERROR(__xludf.DUMMYFUNCTION("""COMPUTED_VALUE"""),3.29)</f>
        <v>3.29</v>
      </c>
      <c r="J1248" s="2">
        <f>IFERROR(__xludf.DUMMYFUNCTION("""COMPUTED_VALUE"""),0.040000000000000036)</f>
        <v>0.04</v>
      </c>
      <c r="K1248" s="5">
        <f>IFERROR(__xludf.DUMMYFUNCTION("""COMPUTED_VALUE"""),0.012307692307692318)</f>
        <v>0.01230769231</v>
      </c>
      <c r="L1248">
        <f>IFERROR(__xludf.DUMMYFUNCTION("""COMPUTED_VALUE"""),25864.0)</f>
        <v>25864</v>
      </c>
      <c r="M1248" t="str">
        <f>IFERROR(__xludf.DUMMYFUNCTION("""COMPUTED_VALUE"""),"Office Product")</f>
        <v>Office Product</v>
      </c>
      <c r="O1248" t="str">
        <f>IFERROR(__xludf.DUMMYFUNCTION("""COMPUTED_VALUE"""),"N")</f>
        <v>N</v>
      </c>
      <c r="P1248" s="1" t="str">
        <f>IFERROR(__xludf.DUMMYFUNCTION("""COMPUTED_VALUE"""),"ID 23178")</f>
        <v>ID 23178</v>
      </c>
    </row>
    <row r="1249">
      <c r="A1249" s="6">
        <f>IFERROR(__xludf.DUMMYFUNCTION("""COMPUTED_VALUE"""),44837.0)</f>
        <v>44837</v>
      </c>
      <c r="B1249">
        <f>IFERROR(__xludf.DUMMYFUNCTION("""COMPUTED_VALUE"""),23604.0)</f>
        <v>23604</v>
      </c>
      <c r="C1249" t="str">
        <f>IFERROR(__xludf.DUMMYFUNCTION("""COMPUTED_VALUE"""),"Scotch-Brite 28077 High Strength Disc, 8"" x 7/8"" A VFN, Maroon")</f>
        <v>Scotch-Brite 28077 High Strength Disc, 8" x 7/8" A VFN, Maroon</v>
      </c>
      <c r="D1249" t="str">
        <f>IFERROR(__xludf.DUMMYFUNCTION("""COMPUTED_VALUE"""),"B00OI7A6EG")</f>
        <v>B00OI7A6EG</v>
      </c>
      <c r="E1249" t="str">
        <f>IFERROR(__xludf.DUMMYFUNCTION("""COMPUTED_VALUE"""),"048011280776")</f>
        <v>048011280776</v>
      </c>
      <c r="F1249">
        <f>IFERROR(__xludf.DUMMYFUNCTION("""COMPUTED_VALUE"""),700.0)</f>
        <v>700</v>
      </c>
      <c r="G1249">
        <f>IFERROR(__xludf.DUMMYFUNCTION("""COMPUTED_VALUE"""),10000.0)</f>
        <v>10000</v>
      </c>
      <c r="H1249" s="2">
        <f>IFERROR(__xludf.DUMMYFUNCTION("""COMPUTED_VALUE"""),4.5)</f>
        <v>4.5</v>
      </c>
      <c r="I1249" s="2">
        <f>IFERROR(__xludf.DUMMYFUNCTION("""COMPUTED_VALUE"""),4.54)</f>
        <v>4.54</v>
      </c>
      <c r="J1249" s="2">
        <f>IFERROR(__xludf.DUMMYFUNCTION("""COMPUTED_VALUE"""),0.040000000000000036)</f>
        <v>0.04</v>
      </c>
      <c r="K1249" s="5">
        <f>IFERROR(__xludf.DUMMYFUNCTION("""COMPUTED_VALUE"""),0.008888888888888898)</f>
        <v>0.008888888889</v>
      </c>
      <c r="L1249">
        <f>IFERROR(__xludf.DUMMYFUNCTION("""COMPUTED_VALUE"""),50785.0)</f>
        <v>50785</v>
      </c>
      <c r="M1249" t="str">
        <f>IFERROR(__xludf.DUMMYFUNCTION("""COMPUTED_VALUE"""),"BISS Basic")</f>
        <v>BISS Basic</v>
      </c>
      <c r="O1249" t="str">
        <f>IFERROR(__xludf.DUMMYFUNCTION("""COMPUTED_VALUE"""),"N")</f>
        <v>N</v>
      </c>
      <c r="P1249" s="1" t="str">
        <f>IFERROR(__xludf.DUMMYFUNCTION("""COMPUTED_VALUE"""),"ID 23604")</f>
        <v>ID 23604</v>
      </c>
    </row>
    <row r="1250">
      <c r="A1250" s="6">
        <f>IFERROR(__xludf.DUMMYFUNCTION("""COMPUTED_VALUE"""),45420.0)</f>
        <v>45420</v>
      </c>
      <c r="B1250">
        <f>IFERROR(__xludf.DUMMYFUNCTION("""COMPUTED_VALUE"""),24160.0)</f>
        <v>24160</v>
      </c>
      <c r="C1250" t="str">
        <f>IFERROR(__xludf.DUMMYFUNCTION("""COMPUTED_VALUE"""),"VICTOR Ruler,Inch,Gloss,Stainless Steel,12in.")</f>
        <v>VICTOR Ruler,Inch,Gloss,Stainless Steel,12in.</v>
      </c>
      <c r="D1250" t="str">
        <f>IFERROR(__xludf.DUMMYFUNCTION("""COMPUTED_VALUE"""),"B00KTZ77S4")</f>
        <v>B00KTZ77S4</v>
      </c>
      <c r="E1250" t="str">
        <f>IFERROR(__xludf.DUMMYFUNCTION("""COMPUTED_VALUE"""),"014751191214")</f>
        <v>014751191214</v>
      </c>
      <c r="F1250">
        <f>IFERROR(__xludf.DUMMYFUNCTION("""COMPUTED_VALUE"""),288.0)</f>
        <v>288</v>
      </c>
      <c r="G1250">
        <f>IFERROR(__xludf.DUMMYFUNCTION("""COMPUTED_VALUE"""),10000.0)</f>
        <v>10000</v>
      </c>
      <c r="H1250" s="2">
        <f>IFERROR(__xludf.DUMMYFUNCTION("""COMPUTED_VALUE"""),5.5)</f>
        <v>5.5</v>
      </c>
      <c r="I1250" s="2">
        <f>IFERROR(__xludf.DUMMYFUNCTION("""COMPUTED_VALUE"""),5.54)</f>
        <v>5.54</v>
      </c>
      <c r="J1250" s="2">
        <f>IFERROR(__xludf.DUMMYFUNCTION("""COMPUTED_VALUE"""),0.040000000000000036)</f>
        <v>0.04</v>
      </c>
      <c r="K1250" s="5">
        <f>IFERROR(__xludf.DUMMYFUNCTION("""COMPUTED_VALUE"""),0.007272727272727279)</f>
        <v>0.007272727273</v>
      </c>
      <c r="L1250">
        <f>IFERROR(__xludf.DUMMYFUNCTION("""COMPUTED_VALUE"""),6069.0)</f>
        <v>6069</v>
      </c>
      <c r="M1250" t="str">
        <f>IFERROR(__xludf.DUMMYFUNCTION("""COMPUTED_VALUE"""),"Health and Beauty")</f>
        <v>Health and Beauty</v>
      </c>
      <c r="O1250" t="str">
        <f>IFERROR(__xludf.DUMMYFUNCTION("""COMPUTED_VALUE"""),"Y")</f>
        <v>Y</v>
      </c>
      <c r="P1250" s="1" t="str">
        <f>IFERROR(__xludf.DUMMYFUNCTION("""COMPUTED_VALUE"""),"ID 24160")</f>
        <v>ID 24160</v>
      </c>
    </row>
    <row r="1251">
      <c r="A1251" s="6">
        <f>IFERROR(__xludf.DUMMYFUNCTION("""COMPUTED_VALUE"""),45362.0)</f>
        <v>45362</v>
      </c>
      <c r="B1251">
        <f>IFERROR(__xludf.DUMMYFUNCTION("""COMPUTED_VALUE"""),10495.0)</f>
        <v>10495</v>
      </c>
      <c r="C1251" t="str">
        <f>IFERROR(__xludf.DUMMYFUNCTION("""COMPUTED_VALUE"""),"PENTEL Sharp Mechanical Drafting Pencil, 0.9 mm, Yellow Barrel, 2/Pack (P209BP2K6)")</f>
        <v>PENTEL Sharp Mechanical Drafting Pencil, 0.9 mm, Yellow Barrel, 2/Pack (P209BP2K6)</v>
      </c>
      <c r="D1251" t="str">
        <f>IFERROR(__xludf.DUMMYFUNCTION("""COMPUTED_VALUE"""),"B002VKWSYI")</f>
        <v>B002VKWSYI</v>
      </c>
      <c r="E1251" t="str">
        <f>IFERROR(__xludf.DUMMYFUNCTION("""COMPUTED_VALUE"""),"072512080481")</f>
        <v>072512080481</v>
      </c>
      <c r="F1251">
        <f>IFERROR(__xludf.DUMMYFUNCTION("""COMPUTED_VALUE"""),216.0)</f>
        <v>216</v>
      </c>
      <c r="G1251">
        <f>IFERROR(__xludf.DUMMYFUNCTION("""COMPUTED_VALUE"""),10000.0)</f>
        <v>10000</v>
      </c>
      <c r="H1251" s="2">
        <f>IFERROR(__xludf.DUMMYFUNCTION("""COMPUTED_VALUE"""),6.25)</f>
        <v>6.25</v>
      </c>
      <c r="I1251" s="2">
        <f>IFERROR(__xludf.DUMMYFUNCTION("""COMPUTED_VALUE"""),6.29)</f>
        <v>6.29</v>
      </c>
      <c r="J1251" s="2">
        <f>IFERROR(__xludf.DUMMYFUNCTION("""COMPUTED_VALUE"""),0.040000000000000036)</f>
        <v>0.04</v>
      </c>
      <c r="K1251" s="5">
        <f>IFERROR(__xludf.DUMMYFUNCTION("""COMPUTED_VALUE"""),0.0064000000000000055)</f>
        <v>0.0064</v>
      </c>
      <c r="L1251">
        <f>IFERROR(__xludf.DUMMYFUNCTION("""COMPUTED_VALUE"""),5776.0)</f>
        <v>5776</v>
      </c>
      <c r="M1251" t="str">
        <f>IFERROR(__xludf.DUMMYFUNCTION("""COMPUTED_VALUE"""),"Office Product")</f>
        <v>Office Product</v>
      </c>
      <c r="O1251" t="str">
        <f>IFERROR(__xludf.DUMMYFUNCTION("""COMPUTED_VALUE"""),"Y")</f>
        <v>Y</v>
      </c>
      <c r="P1251" s="1" t="str">
        <f>IFERROR(__xludf.DUMMYFUNCTION("""COMPUTED_VALUE"""),"ID 10495")</f>
        <v>ID 10495</v>
      </c>
    </row>
    <row r="1252">
      <c r="A1252" s="6">
        <f>IFERROR(__xludf.DUMMYFUNCTION("""COMPUTED_VALUE"""),45364.0)</f>
        <v>45364</v>
      </c>
      <c r="B1252">
        <f>IFERROR(__xludf.DUMMYFUNCTION("""COMPUTED_VALUE"""),22579.0)</f>
        <v>22579</v>
      </c>
      <c r="C1252" t="str">
        <f>IFERROR(__xludf.DUMMYFUNCTION("""COMPUTED_VALUE"""),"NATIONAL Analysis Pad, 13 Columns, Green Paper, 11 x 16.375"", 50 Sheets (45613)")</f>
        <v>NATIONAL Analysis Pad, 13 Columns, Green Paper, 11 x 16.375", 50 Sheets (45613)</v>
      </c>
      <c r="D1252" t="str">
        <f>IFERROR(__xludf.DUMMYFUNCTION("""COMPUTED_VALUE"""),"B000GR7WQC")</f>
        <v>B000GR7WQC</v>
      </c>
      <c r="E1252" t="str">
        <f>IFERROR(__xludf.DUMMYFUNCTION("""COMPUTED_VALUE"""),"073333456134")</f>
        <v>073333456134</v>
      </c>
      <c r="F1252">
        <f>IFERROR(__xludf.DUMMYFUNCTION("""COMPUTED_VALUE"""),240.0)</f>
        <v>240</v>
      </c>
      <c r="G1252">
        <f>IFERROR(__xludf.DUMMYFUNCTION("""COMPUTED_VALUE"""),10000.0)</f>
        <v>10000</v>
      </c>
      <c r="H1252" s="2">
        <f>IFERROR(__xludf.DUMMYFUNCTION("""COMPUTED_VALUE"""),6.0)</f>
        <v>6</v>
      </c>
      <c r="I1252" s="2">
        <f>IFERROR(__xludf.DUMMYFUNCTION("""COMPUTED_VALUE"""),6.03)</f>
        <v>6.03</v>
      </c>
      <c r="J1252" s="2">
        <f>IFERROR(__xludf.DUMMYFUNCTION("""COMPUTED_VALUE"""),0.03000000000000025)</f>
        <v>0.03</v>
      </c>
      <c r="K1252" s="5">
        <f>IFERROR(__xludf.DUMMYFUNCTION("""COMPUTED_VALUE"""),0.005000000000000042)</f>
        <v>0.005</v>
      </c>
      <c r="L1252">
        <f>IFERROR(__xludf.DUMMYFUNCTION("""COMPUTED_VALUE"""),11254.0)</f>
        <v>11254</v>
      </c>
      <c r="M1252" t="str">
        <f>IFERROR(__xludf.DUMMYFUNCTION("""COMPUTED_VALUE"""),"Office Product")</f>
        <v>Office Product</v>
      </c>
      <c r="O1252" t="str">
        <f>IFERROR(__xludf.DUMMYFUNCTION("""COMPUTED_VALUE"""),"Y")</f>
        <v>Y</v>
      </c>
      <c r="P1252" s="1" t="str">
        <f>IFERROR(__xludf.DUMMYFUNCTION("""COMPUTED_VALUE"""),"ID 22579")</f>
        <v>ID 22579</v>
      </c>
    </row>
    <row r="1253">
      <c r="A1253" s="6">
        <f>IFERROR(__xludf.DUMMYFUNCTION("""COMPUTED_VALUE"""),45421.0)</f>
        <v>45421</v>
      </c>
      <c r="B1253">
        <f>IFERROR(__xludf.DUMMYFUNCTION("""COMPUTED_VALUE"""),23099.0)</f>
        <v>23099</v>
      </c>
      <c r="C1253" t="str">
        <f>IFERROR(__xludf.DUMMYFUNCTION("""COMPUTED_VALUE"""),"Molotow ONE4ALL Acrylic Paint Marker, 2mm, True Blue, 1 Each (127.206)")</f>
        <v>Molotow ONE4ALL Acrylic Paint Marker, 2mm, True Blue, 1 Each (127.206)</v>
      </c>
      <c r="D1253" t="str">
        <f>IFERROR(__xludf.DUMMYFUNCTION("""COMPUTED_VALUE"""),"B0044D171K")</f>
        <v>B0044D171K</v>
      </c>
      <c r="E1253" t="str">
        <f>IFERROR(__xludf.DUMMYFUNCTION("""COMPUTED_VALUE"""),"4250397600093")</f>
        <v>4250397600093</v>
      </c>
      <c r="F1253">
        <f>IFERROR(__xludf.DUMMYFUNCTION("""COMPUTED_VALUE"""),600.0)</f>
        <v>600</v>
      </c>
      <c r="G1253">
        <f>IFERROR(__xludf.DUMMYFUNCTION("""COMPUTED_VALUE"""),10000.0)</f>
        <v>10000</v>
      </c>
      <c r="H1253" s="2">
        <f>IFERROR(__xludf.DUMMYFUNCTION("""COMPUTED_VALUE"""),5.5)</f>
        <v>5.5</v>
      </c>
      <c r="I1253" s="2">
        <f>IFERROR(__xludf.DUMMYFUNCTION("""COMPUTED_VALUE"""),5.53)</f>
        <v>5.53</v>
      </c>
      <c r="J1253" s="2">
        <f>IFERROR(__xludf.DUMMYFUNCTION("""COMPUTED_VALUE"""),0.03000000000000025)</f>
        <v>0.03</v>
      </c>
      <c r="K1253" s="5">
        <f>IFERROR(__xludf.DUMMYFUNCTION("""COMPUTED_VALUE"""),0.0054545454545455)</f>
        <v>0.005454545455</v>
      </c>
      <c r="L1253">
        <f>IFERROR(__xludf.DUMMYFUNCTION("""COMPUTED_VALUE"""),66997.0)</f>
        <v>66997</v>
      </c>
      <c r="M1253" t="str">
        <f>IFERROR(__xludf.DUMMYFUNCTION("""COMPUTED_VALUE"""),"Office Product")</f>
        <v>Office Product</v>
      </c>
      <c r="O1253" t="str">
        <f>IFERROR(__xludf.DUMMYFUNCTION("""COMPUTED_VALUE"""),"Y")</f>
        <v>Y</v>
      </c>
      <c r="P1253" s="1" t="str">
        <f>IFERROR(__xludf.DUMMYFUNCTION("""COMPUTED_VALUE"""),"ID 23099")</f>
        <v>ID 23099</v>
      </c>
    </row>
    <row r="1254">
      <c r="A1254" s="6">
        <f>IFERROR(__xludf.DUMMYFUNCTION("""COMPUTED_VALUE"""),45390.0)</f>
        <v>45390</v>
      </c>
      <c r="B1254">
        <f>IFERROR(__xludf.DUMMYFUNCTION("""COMPUTED_VALUE"""),15410.0)</f>
        <v>15410</v>
      </c>
      <c r="C1254" t="str">
        <f>IFERROR(__xludf.DUMMYFUNCTION("""COMPUTED_VALUE"""),"Chef Craft Mesh Strainers, Multisize, Silver")</f>
        <v>Chef Craft Mesh Strainers, Multisize, Silver</v>
      </c>
      <c r="D1254" t="str">
        <f>IFERROR(__xludf.DUMMYFUNCTION("""COMPUTED_VALUE"""),"B0044FWGB8")</f>
        <v>B0044FWGB8</v>
      </c>
      <c r="E1254" t="str">
        <f>IFERROR(__xludf.DUMMYFUNCTION("""COMPUTED_VALUE"""),"085455210389")</f>
        <v>085455210389</v>
      </c>
      <c r="F1254">
        <f>IFERROR(__xludf.DUMMYFUNCTION("""COMPUTED_VALUE"""),1008.0)</f>
        <v>1008</v>
      </c>
      <c r="G1254">
        <f>IFERROR(__xludf.DUMMYFUNCTION("""COMPUTED_VALUE"""),10000.0)</f>
        <v>10000</v>
      </c>
      <c r="H1254" s="2">
        <f>IFERROR(__xludf.DUMMYFUNCTION("""COMPUTED_VALUE"""),1.5)</f>
        <v>1.5</v>
      </c>
      <c r="I1254" s="2">
        <f>IFERROR(__xludf.DUMMYFUNCTION("""COMPUTED_VALUE"""),1.53)</f>
        <v>1.53</v>
      </c>
      <c r="J1254" s="2">
        <f>IFERROR(__xludf.DUMMYFUNCTION("""COMPUTED_VALUE"""),0.030000000000000027)</f>
        <v>0.03</v>
      </c>
      <c r="K1254" s="5">
        <f>IFERROR(__xludf.DUMMYFUNCTION("""COMPUTED_VALUE"""),0.020000000000000018)</f>
        <v>0.02</v>
      </c>
      <c r="L1254">
        <f>IFERROR(__xludf.DUMMYFUNCTION("""COMPUTED_VALUE"""),23625.0)</f>
        <v>23625</v>
      </c>
      <c r="M1254" t="str">
        <f>IFERROR(__xludf.DUMMYFUNCTION("""COMPUTED_VALUE"""),"Kitchen")</f>
        <v>Kitchen</v>
      </c>
      <c r="O1254" t="str">
        <f>IFERROR(__xludf.DUMMYFUNCTION("""COMPUTED_VALUE"""),"Y")</f>
        <v>Y</v>
      </c>
      <c r="P1254" s="1" t="str">
        <f>IFERROR(__xludf.DUMMYFUNCTION("""COMPUTED_VALUE"""),"ID 15410")</f>
        <v>ID 15410</v>
      </c>
    </row>
    <row r="1255">
      <c r="A1255" s="6">
        <f>IFERROR(__xludf.DUMMYFUNCTION("""COMPUTED_VALUE"""),45390.0)</f>
        <v>45390</v>
      </c>
      <c r="B1255">
        <f>IFERROR(__xludf.DUMMYFUNCTION("""COMPUTED_VALUE"""),21130.0)</f>
        <v>21130</v>
      </c>
      <c r="C1255" t="str">
        <f>IFERROR(__xludf.DUMMYFUNCTION("""COMPUTED_VALUE"""),"Chef Craft Premium Silicone Cooking Tongs, 12 inch, Gray")</f>
        <v>Chef Craft Premium Silicone Cooking Tongs, 12 inch, Gray</v>
      </c>
      <c r="D1255" t="str">
        <f>IFERROR(__xludf.DUMMYFUNCTION("""COMPUTED_VALUE"""),"B08SJ21XB7")</f>
        <v>B08SJ21XB7</v>
      </c>
      <c r="E1255" t="str">
        <f>IFERROR(__xludf.DUMMYFUNCTION("""COMPUTED_VALUE"""),"085455138850")</f>
        <v>085455138850</v>
      </c>
      <c r="F1255">
        <f>IFERROR(__xludf.DUMMYFUNCTION("""COMPUTED_VALUE"""),408.0)</f>
        <v>408</v>
      </c>
      <c r="G1255">
        <f>IFERROR(__xludf.DUMMYFUNCTION("""COMPUTED_VALUE"""),10000.0)</f>
        <v>10000</v>
      </c>
      <c r="H1255" s="2">
        <f>IFERROR(__xludf.DUMMYFUNCTION("""COMPUTED_VALUE"""),3.25)</f>
        <v>3.25</v>
      </c>
      <c r="I1255" s="2">
        <f>IFERROR(__xludf.DUMMYFUNCTION("""COMPUTED_VALUE"""),3.28)</f>
        <v>3.28</v>
      </c>
      <c r="J1255" s="2">
        <f>IFERROR(__xludf.DUMMYFUNCTION("""COMPUTED_VALUE"""),0.029999999999999805)</f>
        <v>0.03</v>
      </c>
      <c r="K1255" s="5">
        <f>IFERROR(__xludf.DUMMYFUNCTION("""COMPUTED_VALUE"""),0.009230769230769171)</f>
        <v>0.009230769231</v>
      </c>
      <c r="L1255">
        <f>IFERROR(__xludf.DUMMYFUNCTION("""COMPUTED_VALUE"""),32073.0)</f>
        <v>32073</v>
      </c>
      <c r="M1255" t="str">
        <f>IFERROR(__xludf.DUMMYFUNCTION("""COMPUTED_VALUE"""),"Kitchen")</f>
        <v>Kitchen</v>
      </c>
      <c r="O1255" t="str">
        <f>IFERROR(__xludf.DUMMYFUNCTION("""COMPUTED_VALUE"""),"Y")</f>
        <v>Y</v>
      </c>
      <c r="P1255" s="1" t="str">
        <f>IFERROR(__xludf.DUMMYFUNCTION("""COMPUTED_VALUE"""),"ID 21130")</f>
        <v>ID 21130</v>
      </c>
    </row>
    <row r="1256">
      <c r="A1256" s="6">
        <f>IFERROR(__xludf.DUMMYFUNCTION("""COMPUTED_VALUE"""),45376.0)</f>
        <v>45376</v>
      </c>
      <c r="B1256">
        <f>IFERROR(__xludf.DUMMYFUNCTION("""COMPUTED_VALUE"""),21947.0)</f>
        <v>21947</v>
      </c>
      <c r="C1256" t="str">
        <f>IFERROR(__xludf.DUMMYFUNCTION("""COMPUTED_VALUE"""),"PRANG Oval-8 Pan Watercolor Paint Set, 8 Assorted Colors, Refillable, Includes Brush (00800), 8-Color")</f>
        <v>PRANG Oval-8 Pan Watercolor Paint Set, 8 Assorted Colors, Refillable, Includes Brush (00800), 8-Color</v>
      </c>
      <c r="D1256" t="str">
        <f>IFERROR(__xludf.DUMMYFUNCTION("""COMPUTED_VALUE"""),"B0000E2PYB")</f>
        <v>B0000E2PYB</v>
      </c>
      <c r="E1256" t="str">
        <f>IFERROR(__xludf.DUMMYFUNCTION("""COMPUTED_VALUE"""),"072067008008")</f>
        <v>072067008008</v>
      </c>
      <c r="F1256">
        <f>IFERROR(__xludf.DUMMYFUNCTION("""COMPUTED_VALUE"""),1080.0)</f>
        <v>1080</v>
      </c>
      <c r="G1256">
        <f>IFERROR(__xludf.DUMMYFUNCTION("""COMPUTED_VALUE"""),10000.0)</f>
        <v>10000</v>
      </c>
      <c r="H1256" s="2">
        <f>IFERROR(__xludf.DUMMYFUNCTION("""COMPUTED_VALUE"""),3.5)</f>
        <v>3.5</v>
      </c>
      <c r="I1256" s="2">
        <f>IFERROR(__xludf.DUMMYFUNCTION("""COMPUTED_VALUE"""),3.53)</f>
        <v>3.53</v>
      </c>
      <c r="J1256" s="2">
        <f>IFERROR(__xludf.DUMMYFUNCTION("""COMPUTED_VALUE"""),0.029999999999999805)</f>
        <v>0.03</v>
      </c>
      <c r="K1256" s="5">
        <f>IFERROR(__xludf.DUMMYFUNCTION("""COMPUTED_VALUE"""),0.008571428571428516)</f>
        <v>0.008571428571</v>
      </c>
      <c r="L1256">
        <f>IFERROR(__xludf.DUMMYFUNCTION("""COMPUTED_VALUE"""),18158.0)</f>
        <v>18158</v>
      </c>
      <c r="M1256" t="str">
        <f>IFERROR(__xludf.DUMMYFUNCTION("""COMPUTED_VALUE"""),"BISS")</f>
        <v>BISS</v>
      </c>
      <c r="O1256" t="str">
        <f>IFERROR(__xludf.DUMMYFUNCTION("""COMPUTED_VALUE"""),"N")</f>
        <v>N</v>
      </c>
      <c r="P1256" s="1" t="str">
        <f>IFERROR(__xludf.DUMMYFUNCTION("""COMPUTED_VALUE"""),"ID 21947")</f>
        <v>ID 21947</v>
      </c>
    </row>
    <row r="1257">
      <c r="A1257" s="6">
        <f>IFERROR(__xludf.DUMMYFUNCTION("""COMPUTED_VALUE"""),45401.0)</f>
        <v>45401</v>
      </c>
      <c r="B1257">
        <f>IFERROR(__xludf.DUMMYFUNCTION("""COMPUTED_VALUE"""),12971.0)</f>
        <v>12971</v>
      </c>
      <c r="C1257" t="str">
        <f>IFERROR(__xludf.DUMMYFUNCTION("""COMPUTED_VALUE"""),"Home Basics Medium 40 oz. Square Glass Canister Jar Container Fresh Sealed with Air-Tight Stainless-Steel Twist Top Lid for Kitchen Pantry Food Storage Organization, Clear")</f>
        <v>Home Basics Medium 40 oz. Square Glass Canister Jar Container Fresh Sealed with Air-Tight Stainless-Steel Twist Top Lid for Kitchen Pantry Food Storage Organization, Clear</v>
      </c>
      <c r="D1257" t="str">
        <f>IFERROR(__xludf.DUMMYFUNCTION("""COMPUTED_VALUE"""),"B00439V8BE")</f>
        <v>B00439V8BE</v>
      </c>
      <c r="E1257" t="str">
        <f>IFERROR(__xludf.DUMMYFUNCTION("""COMPUTED_VALUE"""),"857198108212")</f>
        <v>857198108212</v>
      </c>
      <c r="F1257">
        <f>IFERROR(__xludf.DUMMYFUNCTION("""COMPUTED_VALUE"""),408.0)</f>
        <v>408</v>
      </c>
      <c r="G1257">
        <f>IFERROR(__xludf.DUMMYFUNCTION("""COMPUTED_VALUE"""),10000.0)</f>
        <v>10000</v>
      </c>
      <c r="H1257" s="2">
        <f>IFERROR(__xludf.DUMMYFUNCTION("""COMPUTED_VALUE"""),3.0)</f>
        <v>3</v>
      </c>
      <c r="I1257" s="2">
        <f>IFERROR(__xludf.DUMMYFUNCTION("""COMPUTED_VALUE"""),3.03)</f>
        <v>3.03</v>
      </c>
      <c r="J1257" s="2">
        <f>IFERROR(__xludf.DUMMYFUNCTION("""COMPUTED_VALUE"""),0.029999999999999805)</f>
        <v>0.03</v>
      </c>
      <c r="K1257" s="5">
        <f>IFERROR(__xludf.DUMMYFUNCTION("""COMPUTED_VALUE"""),0.009999999999999934)</f>
        <v>0.01</v>
      </c>
      <c r="L1257">
        <f>IFERROR(__xludf.DUMMYFUNCTION("""COMPUTED_VALUE"""),94182.0)</f>
        <v>94182</v>
      </c>
      <c r="M1257" t="str">
        <f>IFERROR(__xludf.DUMMYFUNCTION("""COMPUTED_VALUE"""),"Home")</f>
        <v>Home</v>
      </c>
      <c r="O1257" t="str">
        <f>IFERROR(__xludf.DUMMYFUNCTION("""COMPUTED_VALUE"""),"N")</f>
        <v>N</v>
      </c>
      <c r="P1257" s="1" t="str">
        <f>IFERROR(__xludf.DUMMYFUNCTION("""COMPUTED_VALUE"""),"ID 12971")</f>
        <v>ID 12971</v>
      </c>
    </row>
    <row r="1258">
      <c r="A1258" s="6">
        <f>IFERROR(__xludf.DUMMYFUNCTION("""COMPUTED_VALUE"""),45376.0)</f>
        <v>45376</v>
      </c>
      <c r="B1258">
        <f>IFERROR(__xludf.DUMMYFUNCTION("""COMPUTED_VALUE"""),1685.0)</f>
        <v>1685</v>
      </c>
      <c r="C1258" t="str">
        <f>IFERROR(__xludf.DUMMYFUNCTION("""COMPUTED_VALUE"""),"Inflatable Guitar, 40in (1/pkg)")</f>
        <v>Inflatable Guitar, 40in (1/pkg)</v>
      </c>
      <c r="D1258" t="str">
        <f>IFERROR(__xludf.DUMMYFUNCTION("""COMPUTED_VALUE"""),"B000R4N0QA")</f>
        <v>B000R4N0QA</v>
      </c>
      <c r="E1258" t="str">
        <f>IFERROR(__xludf.DUMMYFUNCTION("""COMPUTED_VALUE"""),"049392211861")</f>
        <v>049392211861</v>
      </c>
      <c r="F1258">
        <f>IFERROR(__xludf.DUMMYFUNCTION("""COMPUTED_VALUE"""),1008.0)</f>
        <v>1008</v>
      </c>
      <c r="G1258">
        <f>IFERROR(__xludf.DUMMYFUNCTION("""COMPUTED_VALUE"""),1941.0)</f>
        <v>1941</v>
      </c>
      <c r="H1258" s="2">
        <f>IFERROR(__xludf.DUMMYFUNCTION("""COMPUTED_VALUE"""),1.25)</f>
        <v>1.25</v>
      </c>
      <c r="I1258" s="2">
        <f>IFERROR(__xludf.DUMMYFUNCTION("""COMPUTED_VALUE"""),1.27)</f>
        <v>1.27</v>
      </c>
      <c r="J1258" s="2">
        <f>IFERROR(__xludf.DUMMYFUNCTION("""COMPUTED_VALUE"""),0.020000000000000018)</f>
        <v>0.02</v>
      </c>
      <c r="K1258" s="5">
        <f>IFERROR(__xludf.DUMMYFUNCTION("""COMPUTED_VALUE"""),0.016000000000000014)</f>
        <v>0.016</v>
      </c>
      <c r="L1258">
        <f>IFERROR(__xludf.DUMMYFUNCTION("""COMPUTED_VALUE"""),8362.0)</f>
        <v>8362</v>
      </c>
      <c r="M1258" t="str">
        <f>IFERROR(__xludf.DUMMYFUNCTION("""COMPUTED_VALUE"""),"Toy")</f>
        <v>Toy</v>
      </c>
      <c r="N1258" t="str">
        <f>IFERROR(__xludf.DUMMYFUNCTION("""COMPUTED_VALUE"""),"MAP $2.99. If you violate the MAP pricing the brand may choose to remove you from the listing")</f>
        <v>MAP $2.99. If you violate the MAP pricing the brand may choose to remove you from the listing</v>
      </c>
      <c r="O1258" t="str">
        <f>IFERROR(__xludf.DUMMYFUNCTION("""COMPUTED_VALUE"""),"Y")</f>
        <v>Y</v>
      </c>
      <c r="P1258" s="1" t="str">
        <f>IFERROR(__xludf.DUMMYFUNCTION("""COMPUTED_VALUE"""),"ID 1685")</f>
        <v>ID 1685</v>
      </c>
    </row>
    <row r="1259">
      <c r="A1259" s="6">
        <f>IFERROR(__xludf.DUMMYFUNCTION("""COMPUTED_VALUE"""),45390.0)</f>
        <v>45390</v>
      </c>
      <c r="B1259">
        <f>IFERROR(__xludf.DUMMYFUNCTION("""COMPUTED_VALUE"""),7513.0)</f>
        <v>7513</v>
      </c>
      <c r="C1259" t="str">
        <f>IFERROR(__xludf.DUMMYFUNCTION("""COMPUTED_VALUE"""),"Chef Craft 21852 Paring Knife 8 L x 4-1/4 W x 1/4 H")</f>
        <v>Chef Craft 21852 Paring Knife 8 L x 4-1/4 W x 1/4 H</v>
      </c>
      <c r="D1259" t="str">
        <f>IFERROR(__xludf.DUMMYFUNCTION("""COMPUTED_VALUE"""),"B01645M3JA")</f>
        <v>B01645M3JA</v>
      </c>
      <c r="E1259" t="str">
        <f>IFERROR(__xludf.DUMMYFUNCTION("""COMPUTED_VALUE"""),"085455218521")</f>
        <v>085455218521</v>
      </c>
      <c r="F1259">
        <f>IFERROR(__xludf.DUMMYFUNCTION("""COMPUTED_VALUE"""),864.0)</f>
        <v>864</v>
      </c>
      <c r="G1259">
        <f>IFERROR(__xludf.DUMMYFUNCTION("""COMPUTED_VALUE"""),10000.0)</f>
        <v>10000</v>
      </c>
      <c r="H1259" s="2">
        <f>IFERROR(__xludf.DUMMYFUNCTION("""COMPUTED_VALUE"""),1.25)</f>
        <v>1.25</v>
      </c>
      <c r="I1259" s="2">
        <f>IFERROR(__xludf.DUMMYFUNCTION("""COMPUTED_VALUE"""),1.27)</f>
        <v>1.27</v>
      </c>
      <c r="J1259" s="2">
        <f>IFERROR(__xludf.DUMMYFUNCTION("""COMPUTED_VALUE"""),0.020000000000000018)</f>
        <v>0.02</v>
      </c>
      <c r="K1259" s="5">
        <f>IFERROR(__xludf.DUMMYFUNCTION("""COMPUTED_VALUE"""),0.016000000000000014)</f>
        <v>0.016</v>
      </c>
      <c r="L1259">
        <f>IFERROR(__xludf.DUMMYFUNCTION("""COMPUTED_VALUE"""),7055.0)</f>
        <v>7055</v>
      </c>
      <c r="M1259" t="str">
        <f>IFERROR(__xludf.DUMMYFUNCTION("""COMPUTED_VALUE"""),"Kitchen")</f>
        <v>Kitchen</v>
      </c>
      <c r="O1259" t="str">
        <f>IFERROR(__xludf.DUMMYFUNCTION("""COMPUTED_VALUE"""),"Y")</f>
        <v>Y</v>
      </c>
      <c r="P1259" s="1" t="str">
        <f>IFERROR(__xludf.DUMMYFUNCTION("""COMPUTED_VALUE"""),"ID 7513")</f>
        <v>ID 7513</v>
      </c>
    </row>
    <row r="1260">
      <c r="A1260" s="6">
        <f>IFERROR(__xludf.DUMMYFUNCTION("""COMPUTED_VALUE"""),45357.0)</f>
        <v>45357</v>
      </c>
      <c r="B1260">
        <f>IFERROR(__xludf.DUMMYFUNCTION("""COMPUTED_VALUE"""),22330.0)</f>
        <v>22330</v>
      </c>
      <c r="C1260" t="str">
        <f>IFERROR(__xludf.DUMMYFUNCTION("""COMPUTED_VALUE"""),"PILOT Precise V5 RT Deco Collection Refillable &amp; Retractable Liquid Ink Rolling Ball Pens, Extra Fine Point (0.5mm) Black Ink, 2-Pack (41972)")</f>
        <v>PILOT Precise V5 RT Deco Collection Refillable &amp; Retractable Liquid Ink Rolling Ball Pens, Extra Fine Point (0.5mm) Black Ink, 2-Pack (41972)</v>
      </c>
      <c r="D1260" t="str">
        <f>IFERROR(__xludf.DUMMYFUNCTION("""COMPUTED_VALUE"""),"B01N6EMP1X")</f>
        <v>B01N6EMP1X</v>
      </c>
      <c r="E1260" t="str">
        <f>IFERROR(__xludf.DUMMYFUNCTION("""COMPUTED_VALUE"""),"072838419729")</f>
        <v>072838419729</v>
      </c>
      <c r="F1260">
        <f>IFERROR(__xludf.DUMMYFUNCTION("""COMPUTED_VALUE"""),480.0)</f>
        <v>480</v>
      </c>
      <c r="G1260">
        <f>IFERROR(__xludf.DUMMYFUNCTION("""COMPUTED_VALUE"""),10000.0)</f>
        <v>10000</v>
      </c>
      <c r="H1260" s="2">
        <f>IFERROR(__xludf.DUMMYFUNCTION("""COMPUTED_VALUE"""),2.75)</f>
        <v>2.75</v>
      </c>
      <c r="I1260" s="2">
        <f>IFERROR(__xludf.DUMMYFUNCTION("""COMPUTED_VALUE"""),2.77)</f>
        <v>2.77</v>
      </c>
      <c r="J1260" s="2">
        <f>IFERROR(__xludf.DUMMYFUNCTION("""COMPUTED_VALUE"""),0.020000000000000018)</f>
        <v>0.02</v>
      </c>
      <c r="K1260" s="5">
        <f>IFERROR(__xludf.DUMMYFUNCTION("""COMPUTED_VALUE"""),0.007272727272727279)</f>
        <v>0.007272727273</v>
      </c>
      <c r="L1260">
        <f>IFERROR(__xludf.DUMMYFUNCTION("""COMPUTED_VALUE"""),28876.0)</f>
        <v>28876</v>
      </c>
      <c r="M1260" t="str">
        <f>IFERROR(__xludf.DUMMYFUNCTION("""COMPUTED_VALUE"""),"Office Product")</f>
        <v>Office Product</v>
      </c>
      <c r="O1260" t="str">
        <f>IFERROR(__xludf.DUMMYFUNCTION("""COMPUTED_VALUE"""),"Y")</f>
        <v>Y</v>
      </c>
      <c r="P1260" s="1" t="str">
        <f>IFERROR(__xludf.DUMMYFUNCTION("""COMPUTED_VALUE"""),"ID 22330")</f>
        <v>ID 22330</v>
      </c>
    </row>
    <row r="1261">
      <c r="A1261" s="6">
        <f>IFERROR(__xludf.DUMMYFUNCTION("""COMPUTED_VALUE"""),45386.0)</f>
        <v>45386</v>
      </c>
      <c r="B1261">
        <f>IFERROR(__xludf.DUMMYFUNCTION("""COMPUTED_VALUE"""),23425.0)</f>
        <v>23425</v>
      </c>
      <c r="C1261" t="str">
        <f>IFERROR(__xludf.DUMMYFUNCTION("""COMPUTED_VALUE"""),"Hot Wheels 20 ct Bandages")</f>
        <v>Hot Wheels 20 ct Bandages</v>
      </c>
      <c r="D1261" t="str">
        <f>IFERROR(__xludf.DUMMYFUNCTION("""COMPUTED_VALUE"""),"B0866C1BQ5")</f>
        <v>B0866C1BQ5</v>
      </c>
      <c r="E1261" t="str">
        <f>IFERROR(__xludf.DUMMYFUNCTION("""COMPUTED_VALUE"""),"850010842202")</f>
        <v>850010842202</v>
      </c>
      <c r="F1261">
        <f>IFERROR(__xludf.DUMMYFUNCTION("""COMPUTED_VALUE"""),1104.0)</f>
        <v>1104</v>
      </c>
      <c r="G1261">
        <f>IFERROR(__xludf.DUMMYFUNCTION("""COMPUTED_VALUE"""),5028.0)</f>
        <v>5028</v>
      </c>
      <c r="H1261" s="2">
        <f>IFERROR(__xludf.DUMMYFUNCTION("""COMPUTED_VALUE"""),1.0)</f>
        <v>1</v>
      </c>
      <c r="I1261" s="2">
        <f>IFERROR(__xludf.DUMMYFUNCTION("""COMPUTED_VALUE"""),1.02)</f>
        <v>1.02</v>
      </c>
      <c r="J1261" s="2">
        <f>IFERROR(__xludf.DUMMYFUNCTION("""COMPUTED_VALUE"""),0.020000000000000018)</f>
        <v>0.02</v>
      </c>
      <c r="K1261" s="5">
        <f>IFERROR(__xludf.DUMMYFUNCTION("""COMPUTED_VALUE"""),0.020000000000000018)</f>
        <v>0.02</v>
      </c>
      <c r="L1261">
        <f>IFERROR(__xludf.DUMMYFUNCTION("""COMPUTED_VALUE"""),22210.0)</f>
        <v>22210</v>
      </c>
      <c r="M1261" t="str">
        <f>IFERROR(__xludf.DUMMYFUNCTION("""COMPUTED_VALUE"""),"Health and Beauty")</f>
        <v>Health and Beauty</v>
      </c>
      <c r="O1261" t="str">
        <f>IFERROR(__xludf.DUMMYFUNCTION("""COMPUTED_VALUE"""),"N")</f>
        <v>N</v>
      </c>
      <c r="P1261" s="1" t="str">
        <f>IFERROR(__xludf.DUMMYFUNCTION("""COMPUTED_VALUE"""),"ID 23425")</f>
        <v>ID 23425</v>
      </c>
    </row>
    <row r="1262">
      <c r="A1262" s="6">
        <f>IFERROR(__xludf.DUMMYFUNCTION("""COMPUTED_VALUE"""),45169.0)</f>
        <v>45169</v>
      </c>
      <c r="B1262">
        <f>IFERROR(__xludf.DUMMYFUNCTION("""COMPUTED_VALUE"""),25537.0)</f>
        <v>25537</v>
      </c>
      <c r="C1262" t="str">
        <f>IFERROR(__xludf.DUMMYFUNCTION("""COMPUTED_VALUE"""),"Garnier Nutrisse 5 Minute Nourishing Color Hair Mask with Triple Oils Delivers Day 1 Color Results, for Color Treated Hair, Warm Brown, 4.2 fl. oz.")</f>
        <v>Garnier Nutrisse 5 Minute Nourishing Color Hair Mask with Triple Oils Delivers Day 1 Color Results, for Color Treated Hair, Warm Brown, 4.2 fl. oz.</v>
      </c>
      <c r="D1262" t="str">
        <f>IFERROR(__xludf.DUMMYFUNCTION("""COMPUTED_VALUE"""),"B07ZGXJYZ3")</f>
        <v>B07ZGXJYZ3</v>
      </c>
      <c r="E1262" t="str">
        <f>IFERROR(__xludf.DUMMYFUNCTION("""COMPUTED_VALUE"""),"603084571376")</f>
        <v>603084571376</v>
      </c>
      <c r="F1262">
        <f>IFERROR(__xludf.DUMMYFUNCTION("""COMPUTED_VALUE"""),726.0)</f>
        <v>726</v>
      </c>
      <c r="G1262">
        <f>IFERROR(__xludf.DUMMYFUNCTION("""COMPUTED_VALUE"""),726.0)</f>
        <v>726</v>
      </c>
      <c r="H1262" s="2">
        <f>IFERROR(__xludf.DUMMYFUNCTION("""COMPUTED_VALUE"""),3.0)</f>
        <v>3</v>
      </c>
      <c r="I1262" s="2">
        <f>IFERROR(__xludf.DUMMYFUNCTION("""COMPUTED_VALUE"""),3.02)</f>
        <v>3.02</v>
      </c>
      <c r="J1262" s="2">
        <f>IFERROR(__xludf.DUMMYFUNCTION("""COMPUTED_VALUE"""),0.020000000000000018)</f>
        <v>0.02</v>
      </c>
      <c r="K1262" s="5">
        <f>IFERROR(__xludf.DUMMYFUNCTION("""COMPUTED_VALUE"""),0.006666666666666672)</f>
        <v>0.006666666667</v>
      </c>
      <c r="L1262">
        <f>IFERROR(__xludf.DUMMYFUNCTION("""COMPUTED_VALUE"""),15096.0)</f>
        <v>15096</v>
      </c>
      <c r="M1262" t="str">
        <f>IFERROR(__xludf.DUMMYFUNCTION("""COMPUTED_VALUE"""),"Beauty")</f>
        <v>Beauty</v>
      </c>
      <c r="O1262" t="str">
        <f>IFERROR(__xludf.DUMMYFUNCTION("""COMPUTED_VALUE"""),"N")</f>
        <v>N</v>
      </c>
      <c r="P1262" s="1" t="str">
        <f>IFERROR(__xludf.DUMMYFUNCTION("""COMPUTED_VALUE"""),"ID 25537")</f>
        <v>ID 25537</v>
      </c>
    </row>
    <row r="1263">
      <c r="A1263" s="6">
        <f>IFERROR(__xludf.DUMMYFUNCTION("""COMPUTED_VALUE"""),45429.0)</f>
        <v>45429</v>
      </c>
      <c r="B1263">
        <f>IFERROR(__xludf.DUMMYFUNCTION("""COMPUTED_VALUE"""),16197.0)</f>
        <v>16197</v>
      </c>
      <c r="C1263" t="str">
        <f>IFERROR(__xludf.DUMMYFUNCTION("""COMPUTED_VALUE"""),"AV Eau De Parfum Spray for Women by Adrienne Vittadini, 3 Ounce")</f>
        <v>AV Eau De Parfum Spray for Women by Adrienne Vittadini, 3 Ounce</v>
      </c>
      <c r="D1263" t="str">
        <f>IFERROR(__xludf.DUMMYFUNCTION("""COMPUTED_VALUE"""),"B005LQEE1O")</f>
        <v>B005LQEE1O</v>
      </c>
      <c r="E1263" t="str">
        <f>IFERROR(__xludf.DUMMYFUNCTION("""COMPUTED_VALUE"""),"0899219002376")</f>
        <v>0899219002376</v>
      </c>
      <c r="F1263">
        <f>IFERROR(__xludf.DUMMYFUNCTION("""COMPUTED_VALUE"""),140.0)</f>
        <v>140</v>
      </c>
      <c r="G1263">
        <f>IFERROR(__xludf.DUMMYFUNCTION("""COMPUTED_VALUE"""),10000.0)</f>
        <v>10000</v>
      </c>
      <c r="H1263" s="2">
        <f>IFERROR(__xludf.DUMMYFUNCTION("""COMPUTED_VALUE"""),9.5)</f>
        <v>9.5</v>
      </c>
      <c r="I1263" s="2">
        <f>IFERROR(__xludf.DUMMYFUNCTION("""COMPUTED_VALUE"""),9.52)</f>
        <v>9.52</v>
      </c>
      <c r="J1263" s="2">
        <f>IFERROR(__xludf.DUMMYFUNCTION("""COMPUTED_VALUE"""),0.019999999999999574)</f>
        <v>0.02</v>
      </c>
      <c r="K1263" s="5">
        <f>IFERROR(__xludf.DUMMYFUNCTION("""COMPUTED_VALUE"""),0.002105263157894692)</f>
        <v>0.002105263158</v>
      </c>
      <c r="L1263">
        <f>IFERROR(__xludf.DUMMYFUNCTION("""COMPUTED_VALUE"""),81773.0)</f>
        <v>81773</v>
      </c>
      <c r="M1263" t="str">
        <f>IFERROR(__xludf.DUMMYFUNCTION("""COMPUTED_VALUE"""),"Beauty")</f>
        <v>Beauty</v>
      </c>
      <c r="O1263" t="str">
        <f>IFERROR(__xludf.DUMMYFUNCTION("""COMPUTED_VALUE"""),"N")</f>
        <v>N</v>
      </c>
      <c r="P1263" s="1" t="str">
        <f>IFERROR(__xludf.DUMMYFUNCTION("""COMPUTED_VALUE"""),"ID 16197")</f>
        <v>ID 16197</v>
      </c>
    </row>
    <row r="1264">
      <c r="A1264" s="6" t="str">
        <f>IFERROR(__xludf.DUMMYFUNCTION("""COMPUTED_VALUE"""),"")</f>
        <v/>
      </c>
      <c r="C1264" t="str">
        <f>IFERROR(__xludf.DUMMYFUNCTION("""COMPUTED_VALUE"""),"")</f>
        <v/>
      </c>
      <c r="D1264" t="str">
        <f>IFERROR(__xludf.DUMMYFUNCTION("""COMPUTED_VALUE"""),"")</f>
        <v/>
      </c>
      <c r="E1264" t="str">
        <f>IFERROR(__xludf.DUMMYFUNCTION("""COMPUTED_VALUE"""),"")</f>
        <v/>
      </c>
      <c r="F1264" t="str">
        <f>IFERROR(__xludf.DUMMYFUNCTION("""COMPUTED_VALUE"""),"")</f>
        <v/>
      </c>
      <c r="G1264" t="str">
        <f>IFERROR(__xludf.DUMMYFUNCTION("""COMPUTED_VALUE"""),"")</f>
        <v/>
      </c>
      <c r="H1264" s="2" t="str">
        <f>IFERROR(__xludf.DUMMYFUNCTION("""COMPUTED_VALUE"""),"")</f>
        <v/>
      </c>
      <c r="I1264" s="2" t="str">
        <f>IFERROR(__xludf.DUMMYFUNCTION("""COMPUTED_VALUE"""),"")</f>
        <v/>
      </c>
      <c r="J1264" s="2">
        <f>IFERROR(__xludf.DUMMYFUNCTION("""COMPUTED_VALUE"""),0.0)</f>
        <v>0</v>
      </c>
      <c r="K1264" s="5" t="str">
        <f>IFERROR(__xludf.DUMMYFUNCTION("""COMPUTED_VALUE"""),"")</f>
        <v/>
      </c>
      <c r="L1264" t="str">
        <f>IFERROR(__xludf.DUMMYFUNCTION("""COMPUTED_VALUE"""),"")</f>
        <v/>
      </c>
      <c r="M1264" t="str">
        <f>IFERROR(__xludf.DUMMYFUNCTION("""COMPUTED_VALUE"""),"")</f>
        <v/>
      </c>
      <c r="N1264" t="str">
        <f>IFERROR(__xludf.DUMMYFUNCTION("""COMPUTED_VALUE"""),"")</f>
        <v/>
      </c>
      <c r="O1264" t="str">
        <f>IFERROR(__xludf.DUMMYFUNCTION("""COMPUTED_VALUE"""),"")</f>
        <v/>
      </c>
      <c r="P1264" t="str">
        <f>IFERROR(__xludf.DUMMYFUNCTION("""COMPUTED_VALUE"""),"ID ")</f>
        <v>ID </v>
      </c>
    </row>
    <row r="1265">
      <c r="A1265" s="6" t="str">
        <f>IFERROR(__xludf.DUMMYFUNCTION("""COMPUTED_VALUE"""),"")</f>
        <v/>
      </c>
      <c r="C1265" t="str">
        <f>IFERROR(__xludf.DUMMYFUNCTION("""COMPUTED_VALUE"""),"")</f>
        <v/>
      </c>
      <c r="D1265" t="str">
        <f>IFERROR(__xludf.DUMMYFUNCTION("""COMPUTED_VALUE"""),"")</f>
        <v/>
      </c>
      <c r="E1265" t="str">
        <f>IFERROR(__xludf.DUMMYFUNCTION("""COMPUTED_VALUE"""),"")</f>
        <v/>
      </c>
      <c r="F1265" t="str">
        <f>IFERROR(__xludf.DUMMYFUNCTION("""COMPUTED_VALUE"""),"")</f>
        <v/>
      </c>
      <c r="G1265" t="str">
        <f>IFERROR(__xludf.DUMMYFUNCTION("""COMPUTED_VALUE"""),"")</f>
        <v/>
      </c>
      <c r="H1265" s="2" t="str">
        <f>IFERROR(__xludf.DUMMYFUNCTION("""COMPUTED_VALUE"""),"")</f>
        <v/>
      </c>
      <c r="I1265" s="2" t="str">
        <f>IFERROR(__xludf.DUMMYFUNCTION("""COMPUTED_VALUE"""),"")</f>
        <v/>
      </c>
      <c r="J1265" s="2">
        <f>IFERROR(__xludf.DUMMYFUNCTION("""COMPUTED_VALUE"""),0.0)</f>
        <v>0</v>
      </c>
      <c r="K1265" s="5" t="str">
        <f>IFERROR(__xludf.DUMMYFUNCTION("""COMPUTED_VALUE"""),"")</f>
        <v/>
      </c>
      <c r="L1265" t="str">
        <f>IFERROR(__xludf.DUMMYFUNCTION("""COMPUTED_VALUE"""),"")</f>
        <v/>
      </c>
      <c r="M1265" t="str">
        <f>IFERROR(__xludf.DUMMYFUNCTION("""COMPUTED_VALUE"""),"")</f>
        <v/>
      </c>
      <c r="N1265" t="str">
        <f>IFERROR(__xludf.DUMMYFUNCTION("""COMPUTED_VALUE"""),"")</f>
        <v/>
      </c>
      <c r="O1265" t="str">
        <f>IFERROR(__xludf.DUMMYFUNCTION("""COMPUTED_VALUE"""),"")</f>
        <v/>
      </c>
      <c r="P1265" t="str">
        <f>IFERROR(__xludf.DUMMYFUNCTION("""COMPUTED_VALUE"""),"ID ")</f>
        <v>ID </v>
      </c>
    </row>
    <row r="1266">
      <c r="A1266" s="6" t="str">
        <f>IFERROR(__xludf.DUMMYFUNCTION("""COMPUTED_VALUE"""),"")</f>
        <v/>
      </c>
      <c r="C1266" t="str">
        <f>IFERROR(__xludf.DUMMYFUNCTION("""COMPUTED_VALUE"""),"")</f>
        <v/>
      </c>
      <c r="D1266" t="str">
        <f>IFERROR(__xludf.DUMMYFUNCTION("""COMPUTED_VALUE"""),"")</f>
        <v/>
      </c>
      <c r="E1266" t="str">
        <f>IFERROR(__xludf.DUMMYFUNCTION("""COMPUTED_VALUE"""),"")</f>
        <v/>
      </c>
      <c r="F1266" t="str">
        <f>IFERROR(__xludf.DUMMYFUNCTION("""COMPUTED_VALUE"""),"")</f>
        <v/>
      </c>
      <c r="G1266" t="str">
        <f>IFERROR(__xludf.DUMMYFUNCTION("""COMPUTED_VALUE"""),"")</f>
        <v/>
      </c>
      <c r="H1266" s="2" t="str">
        <f>IFERROR(__xludf.DUMMYFUNCTION("""COMPUTED_VALUE"""),"")</f>
        <v/>
      </c>
      <c r="I1266" s="2" t="str">
        <f>IFERROR(__xludf.DUMMYFUNCTION("""COMPUTED_VALUE"""),"")</f>
        <v/>
      </c>
      <c r="J1266" s="2">
        <f>IFERROR(__xludf.DUMMYFUNCTION("""COMPUTED_VALUE"""),0.0)</f>
        <v>0</v>
      </c>
      <c r="K1266" s="5" t="str">
        <f>IFERROR(__xludf.DUMMYFUNCTION("""COMPUTED_VALUE"""),"")</f>
        <v/>
      </c>
      <c r="L1266" t="str">
        <f>IFERROR(__xludf.DUMMYFUNCTION("""COMPUTED_VALUE"""),"")</f>
        <v/>
      </c>
      <c r="M1266" t="str">
        <f>IFERROR(__xludf.DUMMYFUNCTION("""COMPUTED_VALUE"""),"")</f>
        <v/>
      </c>
      <c r="N1266" t="str">
        <f>IFERROR(__xludf.DUMMYFUNCTION("""COMPUTED_VALUE"""),"")</f>
        <v/>
      </c>
      <c r="O1266" t="str">
        <f>IFERROR(__xludf.DUMMYFUNCTION("""COMPUTED_VALUE"""),"")</f>
        <v/>
      </c>
      <c r="P1266" t="str">
        <f>IFERROR(__xludf.DUMMYFUNCTION("""COMPUTED_VALUE"""),"ID ")</f>
        <v>ID </v>
      </c>
    </row>
    <row r="1267">
      <c r="A1267" s="6" t="str">
        <f>IFERROR(__xludf.DUMMYFUNCTION("""COMPUTED_VALUE"""),"")</f>
        <v/>
      </c>
      <c r="C1267" t="str">
        <f>IFERROR(__xludf.DUMMYFUNCTION("""COMPUTED_VALUE"""),"")</f>
        <v/>
      </c>
      <c r="D1267" t="str">
        <f>IFERROR(__xludf.DUMMYFUNCTION("""COMPUTED_VALUE"""),"")</f>
        <v/>
      </c>
      <c r="E1267" t="str">
        <f>IFERROR(__xludf.DUMMYFUNCTION("""COMPUTED_VALUE"""),"")</f>
        <v/>
      </c>
      <c r="F1267" t="str">
        <f>IFERROR(__xludf.DUMMYFUNCTION("""COMPUTED_VALUE"""),"")</f>
        <v/>
      </c>
      <c r="G1267" t="str">
        <f>IFERROR(__xludf.DUMMYFUNCTION("""COMPUTED_VALUE"""),"")</f>
        <v/>
      </c>
      <c r="H1267" s="2" t="str">
        <f>IFERROR(__xludf.DUMMYFUNCTION("""COMPUTED_VALUE"""),"")</f>
        <v/>
      </c>
      <c r="I1267" s="2" t="str">
        <f>IFERROR(__xludf.DUMMYFUNCTION("""COMPUTED_VALUE"""),"")</f>
        <v/>
      </c>
      <c r="J1267" s="2">
        <f>IFERROR(__xludf.DUMMYFUNCTION("""COMPUTED_VALUE"""),0.0)</f>
        <v>0</v>
      </c>
      <c r="K1267" s="5" t="str">
        <f>IFERROR(__xludf.DUMMYFUNCTION("""COMPUTED_VALUE"""),"")</f>
        <v/>
      </c>
      <c r="L1267" t="str">
        <f>IFERROR(__xludf.DUMMYFUNCTION("""COMPUTED_VALUE"""),"")</f>
        <v/>
      </c>
      <c r="M1267" t="str">
        <f>IFERROR(__xludf.DUMMYFUNCTION("""COMPUTED_VALUE"""),"")</f>
        <v/>
      </c>
      <c r="N1267" t="str">
        <f>IFERROR(__xludf.DUMMYFUNCTION("""COMPUTED_VALUE"""),"")</f>
        <v/>
      </c>
      <c r="O1267" t="str">
        <f>IFERROR(__xludf.DUMMYFUNCTION("""COMPUTED_VALUE"""),"")</f>
        <v/>
      </c>
      <c r="P1267" t="str">
        <f>IFERROR(__xludf.DUMMYFUNCTION("""COMPUTED_VALUE"""),"ID ")</f>
        <v>ID </v>
      </c>
    </row>
    <row r="1268">
      <c r="A1268" s="6" t="str">
        <f>IFERROR(__xludf.DUMMYFUNCTION("""COMPUTED_VALUE"""),"")</f>
        <v/>
      </c>
      <c r="C1268" t="str">
        <f>IFERROR(__xludf.DUMMYFUNCTION("""COMPUTED_VALUE"""),"")</f>
        <v/>
      </c>
      <c r="D1268" t="str">
        <f>IFERROR(__xludf.DUMMYFUNCTION("""COMPUTED_VALUE"""),"")</f>
        <v/>
      </c>
      <c r="E1268" t="str">
        <f>IFERROR(__xludf.DUMMYFUNCTION("""COMPUTED_VALUE"""),"")</f>
        <v/>
      </c>
      <c r="F1268" t="str">
        <f>IFERROR(__xludf.DUMMYFUNCTION("""COMPUTED_VALUE"""),"")</f>
        <v/>
      </c>
      <c r="G1268" t="str">
        <f>IFERROR(__xludf.DUMMYFUNCTION("""COMPUTED_VALUE"""),"")</f>
        <v/>
      </c>
      <c r="H1268" s="2" t="str">
        <f>IFERROR(__xludf.DUMMYFUNCTION("""COMPUTED_VALUE"""),"")</f>
        <v/>
      </c>
      <c r="I1268" s="2" t="str">
        <f>IFERROR(__xludf.DUMMYFUNCTION("""COMPUTED_VALUE"""),"")</f>
        <v/>
      </c>
      <c r="J1268" s="2">
        <f>IFERROR(__xludf.DUMMYFUNCTION("""COMPUTED_VALUE"""),0.0)</f>
        <v>0</v>
      </c>
      <c r="K1268" s="5" t="str">
        <f>IFERROR(__xludf.DUMMYFUNCTION("""COMPUTED_VALUE"""),"")</f>
        <v/>
      </c>
      <c r="L1268" t="str">
        <f>IFERROR(__xludf.DUMMYFUNCTION("""COMPUTED_VALUE"""),"")</f>
        <v/>
      </c>
      <c r="M1268" t="str">
        <f>IFERROR(__xludf.DUMMYFUNCTION("""COMPUTED_VALUE"""),"")</f>
        <v/>
      </c>
      <c r="N1268" t="str">
        <f>IFERROR(__xludf.DUMMYFUNCTION("""COMPUTED_VALUE"""),"")</f>
        <v/>
      </c>
      <c r="O1268" t="str">
        <f>IFERROR(__xludf.DUMMYFUNCTION("""COMPUTED_VALUE"""),"")</f>
        <v/>
      </c>
      <c r="P1268" t="str">
        <f>IFERROR(__xludf.DUMMYFUNCTION("""COMPUTED_VALUE"""),"ID ")</f>
        <v>ID </v>
      </c>
    </row>
    <row r="1269">
      <c r="A1269" s="6" t="str">
        <f>IFERROR(__xludf.DUMMYFUNCTION("""COMPUTED_VALUE"""),"")</f>
        <v/>
      </c>
      <c r="C1269" t="str">
        <f>IFERROR(__xludf.DUMMYFUNCTION("""COMPUTED_VALUE"""),"")</f>
        <v/>
      </c>
      <c r="D1269" t="str">
        <f>IFERROR(__xludf.DUMMYFUNCTION("""COMPUTED_VALUE"""),"")</f>
        <v/>
      </c>
      <c r="E1269" t="str">
        <f>IFERROR(__xludf.DUMMYFUNCTION("""COMPUTED_VALUE"""),"")</f>
        <v/>
      </c>
      <c r="F1269" t="str">
        <f>IFERROR(__xludf.DUMMYFUNCTION("""COMPUTED_VALUE"""),"")</f>
        <v/>
      </c>
      <c r="G1269" t="str">
        <f>IFERROR(__xludf.DUMMYFUNCTION("""COMPUTED_VALUE"""),"")</f>
        <v/>
      </c>
      <c r="H1269" s="2" t="str">
        <f>IFERROR(__xludf.DUMMYFUNCTION("""COMPUTED_VALUE"""),"")</f>
        <v/>
      </c>
      <c r="I1269" s="2" t="str">
        <f>IFERROR(__xludf.DUMMYFUNCTION("""COMPUTED_VALUE"""),"")</f>
        <v/>
      </c>
      <c r="J1269" s="2">
        <f>IFERROR(__xludf.DUMMYFUNCTION("""COMPUTED_VALUE"""),0.0)</f>
        <v>0</v>
      </c>
      <c r="K1269" s="5" t="str">
        <f>IFERROR(__xludf.DUMMYFUNCTION("""COMPUTED_VALUE"""),"")</f>
        <v/>
      </c>
      <c r="L1269" t="str">
        <f>IFERROR(__xludf.DUMMYFUNCTION("""COMPUTED_VALUE"""),"")</f>
        <v/>
      </c>
      <c r="M1269" t="str">
        <f>IFERROR(__xludf.DUMMYFUNCTION("""COMPUTED_VALUE"""),"")</f>
        <v/>
      </c>
      <c r="N1269" t="str">
        <f>IFERROR(__xludf.DUMMYFUNCTION("""COMPUTED_VALUE"""),"")</f>
        <v/>
      </c>
      <c r="O1269" t="str">
        <f>IFERROR(__xludf.DUMMYFUNCTION("""COMPUTED_VALUE"""),"")</f>
        <v/>
      </c>
      <c r="P1269" t="str">
        <f>IFERROR(__xludf.DUMMYFUNCTION("""COMPUTED_VALUE"""),"ID ")</f>
        <v>ID </v>
      </c>
    </row>
    <row r="1270">
      <c r="A1270" s="6" t="str">
        <f>IFERROR(__xludf.DUMMYFUNCTION("""COMPUTED_VALUE"""),"")</f>
        <v/>
      </c>
      <c r="C1270" t="str">
        <f>IFERROR(__xludf.DUMMYFUNCTION("""COMPUTED_VALUE"""),"")</f>
        <v/>
      </c>
      <c r="D1270" t="str">
        <f>IFERROR(__xludf.DUMMYFUNCTION("""COMPUTED_VALUE"""),"")</f>
        <v/>
      </c>
      <c r="E1270" t="str">
        <f>IFERROR(__xludf.DUMMYFUNCTION("""COMPUTED_VALUE"""),"")</f>
        <v/>
      </c>
      <c r="F1270" t="str">
        <f>IFERROR(__xludf.DUMMYFUNCTION("""COMPUTED_VALUE"""),"")</f>
        <v/>
      </c>
      <c r="G1270" t="str">
        <f>IFERROR(__xludf.DUMMYFUNCTION("""COMPUTED_VALUE"""),"")</f>
        <v/>
      </c>
      <c r="H1270" s="2" t="str">
        <f>IFERROR(__xludf.DUMMYFUNCTION("""COMPUTED_VALUE"""),"")</f>
        <v/>
      </c>
      <c r="I1270" s="2" t="str">
        <f>IFERROR(__xludf.DUMMYFUNCTION("""COMPUTED_VALUE"""),"")</f>
        <v/>
      </c>
      <c r="J1270" s="2">
        <f>IFERROR(__xludf.DUMMYFUNCTION("""COMPUTED_VALUE"""),0.0)</f>
        <v>0</v>
      </c>
      <c r="K1270" s="5" t="str">
        <f>IFERROR(__xludf.DUMMYFUNCTION("""COMPUTED_VALUE"""),"")</f>
        <v/>
      </c>
      <c r="L1270" t="str">
        <f>IFERROR(__xludf.DUMMYFUNCTION("""COMPUTED_VALUE"""),"")</f>
        <v/>
      </c>
      <c r="M1270" t="str">
        <f>IFERROR(__xludf.DUMMYFUNCTION("""COMPUTED_VALUE"""),"")</f>
        <v/>
      </c>
      <c r="N1270" t="str">
        <f>IFERROR(__xludf.DUMMYFUNCTION("""COMPUTED_VALUE"""),"")</f>
        <v/>
      </c>
      <c r="O1270" t="str">
        <f>IFERROR(__xludf.DUMMYFUNCTION("""COMPUTED_VALUE"""),"")</f>
        <v/>
      </c>
      <c r="P1270" t="str">
        <f>IFERROR(__xludf.DUMMYFUNCTION("""COMPUTED_VALUE"""),"ID ")</f>
        <v>ID </v>
      </c>
    </row>
    <row r="1271">
      <c r="A1271" s="6" t="str">
        <f>IFERROR(__xludf.DUMMYFUNCTION("""COMPUTED_VALUE"""),"")</f>
        <v/>
      </c>
      <c r="C1271" t="str">
        <f>IFERROR(__xludf.DUMMYFUNCTION("""COMPUTED_VALUE"""),"")</f>
        <v/>
      </c>
      <c r="D1271" t="str">
        <f>IFERROR(__xludf.DUMMYFUNCTION("""COMPUTED_VALUE"""),"")</f>
        <v/>
      </c>
      <c r="E1271" t="str">
        <f>IFERROR(__xludf.DUMMYFUNCTION("""COMPUTED_VALUE"""),"")</f>
        <v/>
      </c>
      <c r="F1271" t="str">
        <f>IFERROR(__xludf.DUMMYFUNCTION("""COMPUTED_VALUE"""),"")</f>
        <v/>
      </c>
      <c r="G1271" t="str">
        <f>IFERROR(__xludf.DUMMYFUNCTION("""COMPUTED_VALUE"""),"")</f>
        <v/>
      </c>
      <c r="H1271" s="2" t="str">
        <f>IFERROR(__xludf.DUMMYFUNCTION("""COMPUTED_VALUE"""),"")</f>
        <v/>
      </c>
      <c r="I1271" s="2" t="str">
        <f>IFERROR(__xludf.DUMMYFUNCTION("""COMPUTED_VALUE"""),"")</f>
        <v/>
      </c>
      <c r="J1271" s="2">
        <f>IFERROR(__xludf.DUMMYFUNCTION("""COMPUTED_VALUE"""),0.0)</f>
        <v>0</v>
      </c>
      <c r="K1271" s="5" t="str">
        <f>IFERROR(__xludf.DUMMYFUNCTION("""COMPUTED_VALUE"""),"")</f>
        <v/>
      </c>
      <c r="L1271" t="str">
        <f>IFERROR(__xludf.DUMMYFUNCTION("""COMPUTED_VALUE"""),"")</f>
        <v/>
      </c>
      <c r="M1271" t="str">
        <f>IFERROR(__xludf.DUMMYFUNCTION("""COMPUTED_VALUE"""),"")</f>
        <v/>
      </c>
      <c r="N1271" t="str">
        <f>IFERROR(__xludf.DUMMYFUNCTION("""COMPUTED_VALUE"""),"")</f>
        <v/>
      </c>
      <c r="O1271" t="str">
        <f>IFERROR(__xludf.DUMMYFUNCTION("""COMPUTED_VALUE"""),"")</f>
        <v/>
      </c>
      <c r="P1271" t="str">
        <f>IFERROR(__xludf.DUMMYFUNCTION("""COMPUTED_VALUE"""),"ID ")</f>
        <v>ID </v>
      </c>
    </row>
    <row r="1272">
      <c r="A1272" s="6" t="str">
        <f>IFERROR(__xludf.DUMMYFUNCTION("""COMPUTED_VALUE"""),"")</f>
        <v/>
      </c>
      <c r="C1272" t="str">
        <f>IFERROR(__xludf.DUMMYFUNCTION("""COMPUTED_VALUE"""),"")</f>
        <v/>
      </c>
      <c r="D1272" t="str">
        <f>IFERROR(__xludf.DUMMYFUNCTION("""COMPUTED_VALUE"""),"")</f>
        <v/>
      </c>
      <c r="E1272" t="str">
        <f>IFERROR(__xludf.DUMMYFUNCTION("""COMPUTED_VALUE"""),"")</f>
        <v/>
      </c>
      <c r="F1272" t="str">
        <f>IFERROR(__xludf.DUMMYFUNCTION("""COMPUTED_VALUE"""),"")</f>
        <v/>
      </c>
      <c r="G1272" t="str">
        <f>IFERROR(__xludf.DUMMYFUNCTION("""COMPUTED_VALUE"""),"")</f>
        <v/>
      </c>
      <c r="H1272" s="2" t="str">
        <f>IFERROR(__xludf.DUMMYFUNCTION("""COMPUTED_VALUE"""),"")</f>
        <v/>
      </c>
      <c r="I1272" s="2" t="str">
        <f>IFERROR(__xludf.DUMMYFUNCTION("""COMPUTED_VALUE"""),"")</f>
        <v/>
      </c>
      <c r="J1272" s="2">
        <f>IFERROR(__xludf.DUMMYFUNCTION("""COMPUTED_VALUE"""),0.0)</f>
        <v>0</v>
      </c>
      <c r="K1272" s="5" t="str">
        <f>IFERROR(__xludf.DUMMYFUNCTION("""COMPUTED_VALUE"""),"")</f>
        <v/>
      </c>
      <c r="L1272" t="str">
        <f>IFERROR(__xludf.DUMMYFUNCTION("""COMPUTED_VALUE"""),"")</f>
        <v/>
      </c>
      <c r="M1272" t="str">
        <f>IFERROR(__xludf.DUMMYFUNCTION("""COMPUTED_VALUE"""),"")</f>
        <v/>
      </c>
      <c r="N1272" t="str">
        <f>IFERROR(__xludf.DUMMYFUNCTION("""COMPUTED_VALUE"""),"")</f>
        <v/>
      </c>
      <c r="O1272" t="str">
        <f>IFERROR(__xludf.DUMMYFUNCTION("""COMPUTED_VALUE"""),"")</f>
        <v/>
      </c>
      <c r="P1272" t="str">
        <f>IFERROR(__xludf.DUMMYFUNCTION("""COMPUTED_VALUE"""),"ID ")</f>
        <v>ID </v>
      </c>
    </row>
    <row r="1273">
      <c r="A1273" s="6" t="str">
        <f>IFERROR(__xludf.DUMMYFUNCTION("""COMPUTED_VALUE"""),"")</f>
        <v/>
      </c>
      <c r="C1273" t="str">
        <f>IFERROR(__xludf.DUMMYFUNCTION("""COMPUTED_VALUE"""),"")</f>
        <v/>
      </c>
      <c r="D1273" t="str">
        <f>IFERROR(__xludf.DUMMYFUNCTION("""COMPUTED_VALUE"""),"")</f>
        <v/>
      </c>
      <c r="E1273" t="str">
        <f>IFERROR(__xludf.DUMMYFUNCTION("""COMPUTED_VALUE"""),"")</f>
        <v/>
      </c>
      <c r="F1273" t="str">
        <f>IFERROR(__xludf.DUMMYFUNCTION("""COMPUTED_VALUE"""),"")</f>
        <v/>
      </c>
      <c r="G1273" t="str">
        <f>IFERROR(__xludf.DUMMYFUNCTION("""COMPUTED_VALUE"""),"")</f>
        <v/>
      </c>
      <c r="H1273" s="2" t="str">
        <f>IFERROR(__xludf.DUMMYFUNCTION("""COMPUTED_VALUE"""),"")</f>
        <v/>
      </c>
      <c r="I1273" s="2" t="str">
        <f>IFERROR(__xludf.DUMMYFUNCTION("""COMPUTED_VALUE"""),"")</f>
        <v/>
      </c>
      <c r="J1273" s="2">
        <f>IFERROR(__xludf.DUMMYFUNCTION("""COMPUTED_VALUE"""),0.0)</f>
        <v>0</v>
      </c>
      <c r="K1273" s="5" t="str">
        <f>IFERROR(__xludf.DUMMYFUNCTION("""COMPUTED_VALUE"""),"")</f>
        <v/>
      </c>
      <c r="L1273" t="str">
        <f>IFERROR(__xludf.DUMMYFUNCTION("""COMPUTED_VALUE"""),"")</f>
        <v/>
      </c>
      <c r="M1273" t="str">
        <f>IFERROR(__xludf.DUMMYFUNCTION("""COMPUTED_VALUE"""),"")</f>
        <v/>
      </c>
      <c r="N1273" t="str">
        <f>IFERROR(__xludf.DUMMYFUNCTION("""COMPUTED_VALUE"""),"")</f>
        <v/>
      </c>
      <c r="O1273" t="str">
        <f>IFERROR(__xludf.DUMMYFUNCTION("""COMPUTED_VALUE"""),"")</f>
        <v/>
      </c>
      <c r="P1273" t="str">
        <f>IFERROR(__xludf.DUMMYFUNCTION("""COMPUTED_VALUE"""),"ID ")</f>
        <v>ID </v>
      </c>
    </row>
    <row r="1274">
      <c r="A1274" s="6" t="str">
        <f>IFERROR(__xludf.DUMMYFUNCTION("""COMPUTED_VALUE"""),"")</f>
        <v/>
      </c>
      <c r="C1274" t="str">
        <f>IFERROR(__xludf.DUMMYFUNCTION("""COMPUTED_VALUE"""),"")</f>
        <v/>
      </c>
      <c r="D1274" t="str">
        <f>IFERROR(__xludf.DUMMYFUNCTION("""COMPUTED_VALUE"""),"")</f>
        <v/>
      </c>
      <c r="E1274" t="str">
        <f>IFERROR(__xludf.DUMMYFUNCTION("""COMPUTED_VALUE"""),"")</f>
        <v/>
      </c>
      <c r="F1274" t="str">
        <f>IFERROR(__xludf.DUMMYFUNCTION("""COMPUTED_VALUE"""),"")</f>
        <v/>
      </c>
      <c r="G1274" t="str">
        <f>IFERROR(__xludf.DUMMYFUNCTION("""COMPUTED_VALUE"""),"")</f>
        <v/>
      </c>
      <c r="H1274" s="2" t="str">
        <f>IFERROR(__xludf.DUMMYFUNCTION("""COMPUTED_VALUE"""),"")</f>
        <v/>
      </c>
      <c r="I1274" s="2" t="str">
        <f>IFERROR(__xludf.DUMMYFUNCTION("""COMPUTED_VALUE"""),"")</f>
        <v/>
      </c>
      <c r="J1274" s="2">
        <f>IFERROR(__xludf.DUMMYFUNCTION("""COMPUTED_VALUE"""),0.0)</f>
        <v>0</v>
      </c>
      <c r="K1274" s="5" t="str">
        <f>IFERROR(__xludf.DUMMYFUNCTION("""COMPUTED_VALUE"""),"")</f>
        <v/>
      </c>
      <c r="L1274" t="str">
        <f>IFERROR(__xludf.DUMMYFUNCTION("""COMPUTED_VALUE"""),"")</f>
        <v/>
      </c>
      <c r="M1274" t="str">
        <f>IFERROR(__xludf.DUMMYFUNCTION("""COMPUTED_VALUE"""),"")</f>
        <v/>
      </c>
      <c r="N1274" t="str">
        <f>IFERROR(__xludf.DUMMYFUNCTION("""COMPUTED_VALUE"""),"")</f>
        <v/>
      </c>
      <c r="O1274" t="str">
        <f>IFERROR(__xludf.DUMMYFUNCTION("""COMPUTED_VALUE"""),"")</f>
        <v/>
      </c>
      <c r="P1274" t="str">
        <f>IFERROR(__xludf.DUMMYFUNCTION("""COMPUTED_VALUE"""),"ID ")</f>
        <v>ID </v>
      </c>
    </row>
    <row r="1275">
      <c r="A1275" s="6" t="str">
        <f>IFERROR(__xludf.DUMMYFUNCTION("""COMPUTED_VALUE"""),"")</f>
        <v/>
      </c>
      <c r="C1275" t="str">
        <f>IFERROR(__xludf.DUMMYFUNCTION("""COMPUTED_VALUE"""),"")</f>
        <v/>
      </c>
      <c r="D1275" t="str">
        <f>IFERROR(__xludf.DUMMYFUNCTION("""COMPUTED_VALUE"""),"")</f>
        <v/>
      </c>
      <c r="E1275" t="str">
        <f>IFERROR(__xludf.DUMMYFUNCTION("""COMPUTED_VALUE"""),"")</f>
        <v/>
      </c>
      <c r="F1275" t="str">
        <f>IFERROR(__xludf.DUMMYFUNCTION("""COMPUTED_VALUE"""),"")</f>
        <v/>
      </c>
      <c r="G1275" t="str">
        <f>IFERROR(__xludf.DUMMYFUNCTION("""COMPUTED_VALUE"""),"")</f>
        <v/>
      </c>
      <c r="H1275" s="2" t="str">
        <f>IFERROR(__xludf.DUMMYFUNCTION("""COMPUTED_VALUE"""),"")</f>
        <v/>
      </c>
      <c r="I1275" s="2" t="str">
        <f>IFERROR(__xludf.DUMMYFUNCTION("""COMPUTED_VALUE"""),"")</f>
        <v/>
      </c>
      <c r="J1275" s="2">
        <f>IFERROR(__xludf.DUMMYFUNCTION("""COMPUTED_VALUE"""),0.0)</f>
        <v>0</v>
      </c>
      <c r="K1275" s="5" t="str">
        <f>IFERROR(__xludf.DUMMYFUNCTION("""COMPUTED_VALUE"""),"")</f>
        <v/>
      </c>
      <c r="L1275" t="str">
        <f>IFERROR(__xludf.DUMMYFUNCTION("""COMPUTED_VALUE"""),"")</f>
        <v/>
      </c>
      <c r="M1275" t="str">
        <f>IFERROR(__xludf.DUMMYFUNCTION("""COMPUTED_VALUE"""),"")</f>
        <v/>
      </c>
      <c r="N1275" t="str">
        <f>IFERROR(__xludf.DUMMYFUNCTION("""COMPUTED_VALUE"""),"")</f>
        <v/>
      </c>
      <c r="O1275" t="str">
        <f>IFERROR(__xludf.DUMMYFUNCTION("""COMPUTED_VALUE"""),"")</f>
        <v/>
      </c>
      <c r="P1275" t="str">
        <f>IFERROR(__xludf.DUMMYFUNCTION("""COMPUTED_VALUE"""),"ID ")</f>
        <v>ID </v>
      </c>
    </row>
    <row r="1276">
      <c r="A1276" s="6" t="str">
        <f>IFERROR(__xludf.DUMMYFUNCTION("""COMPUTED_VALUE"""),"")</f>
        <v/>
      </c>
      <c r="C1276" t="str">
        <f>IFERROR(__xludf.DUMMYFUNCTION("""COMPUTED_VALUE"""),"")</f>
        <v/>
      </c>
      <c r="D1276" t="str">
        <f>IFERROR(__xludf.DUMMYFUNCTION("""COMPUTED_VALUE"""),"")</f>
        <v/>
      </c>
      <c r="E1276" t="str">
        <f>IFERROR(__xludf.DUMMYFUNCTION("""COMPUTED_VALUE"""),"")</f>
        <v/>
      </c>
      <c r="F1276" t="str">
        <f>IFERROR(__xludf.DUMMYFUNCTION("""COMPUTED_VALUE"""),"")</f>
        <v/>
      </c>
      <c r="G1276" t="str">
        <f>IFERROR(__xludf.DUMMYFUNCTION("""COMPUTED_VALUE"""),"")</f>
        <v/>
      </c>
      <c r="H1276" s="2" t="str">
        <f>IFERROR(__xludf.DUMMYFUNCTION("""COMPUTED_VALUE"""),"")</f>
        <v/>
      </c>
      <c r="I1276" s="2" t="str">
        <f>IFERROR(__xludf.DUMMYFUNCTION("""COMPUTED_VALUE"""),"")</f>
        <v/>
      </c>
      <c r="J1276" s="2">
        <f>IFERROR(__xludf.DUMMYFUNCTION("""COMPUTED_VALUE"""),0.0)</f>
        <v>0</v>
      </c>
      <c r="K1276" s="5" t="str">
        <f>IFERROR(__xludf.DUMMYFUNCTION("""COMPUTED_VALUE"""),"")</f>
        <v/>
      </c>
      <c r="L1276" t="str">
        <f>IFERROR(__xludf.DUMMYFUNCTION("""COMPUTED_VALUE"""),"")</f>
        <v/>
      </c>
      <c r="M1276" t="str">
        <f>IFERROR(__xludf.DUMMYFUNCTION("""COMPUTED_VALUE"""),"")</f>
        <v/>
      </c>
      <c r="N1276" t="str">
        <f>IFERROR(__xludf.DUMMYFUNCTION("""COMPUTED_VALUE"""),"")</f>
        <v/>
      </c>
      <c r="O1276" t="str">
        <f>IFERROR(__xludf.DUMMYFUNCTION("""COMPUTED_VALUE"""),"")</f>
        <v/>
      </c>
      <c r="P1276" t="str">
        <f>IFERROR(__xludf.DUMMYFUNCTION("""COMPUTED_VALUE"""),"ID ")</f>
        <v>ID </v>
      </c>
    </row>
    <row r="1277">
      <c r="A1277" s="6" t="str">
        <f>IFERROR(__xludf.DUMMYFUNCTION("""COMPUTED_VALUE"""),"")</f>
        <v/>
      </c>
      <c r="C1277" t="str">
        <f>IFERROR(__xludf.DUMMYFUNCTION("""COMPUTED_VALUE"""),"")</f>
        <v/>
      </c>
      <c r="D1277" t="str">
        <f>IFERROR(__xludf.DUMMYFUNCTION("""COMPUTED_VALUE"""),"")</f>
        <v/>
      </c>
      <c r="E1277" t="str">
        <f>IFERROR(__xludf.DUMMYFUNCTION("""COMPUTED_VALUE"""),"")</f>
        <v/>
      </c>
      <c r="F1277" t="str">
        <f>IFERROR(__xludf.DUMMYFUNCTION("""COMPUTED_VALUE"""),"")</f>
        <v/>
      </c>
      <c r="G1277" t="str">
        <f>IFERROR(__xludf.DUMMYFUNCTION("""COMPUTED_VALUE"""),"")</f>
        <v/>
      </c>
      <c r="H1277" s="2" t="str">
        <f>IFERROR(__xludf.DUMMYFUNCTION("""COMPUTED_VALUE"""),"")</f>
        <v/>
      </c>
      <c r="I1277" s="2" t="str">
        <f>IFERROR(__xludf.DUMMYFUNCTION("""COMPUTED_VALUE"""),"")</f>
        <v/>
      </c>
      <c r="J1277" s="2">
        <f>IFERROR(__xludf.DUMMYFUNCTION("""COMPUTED_VALUE"""),0.0)</f>
        <v>0</v>
      </c>
      <c r="K1277" s="5" t="str">
        <f>IFERROR(__xludf.DUMMYFUNCTION("""COMPUTED_VALUE"""),"")</f>
        <v/>
      </c>
      <c r="L1277" t="str">
        <f>IFERROR(__xludf.DUMMYFUNCTION("""COMPUTED_VALUE"""),"")</f>
        <v/>
      </c>
      <c r="M1277" t="str">
        <f>IFERROR(__xludf.DUMMYFUNCTION("""COMPUTED_VALUE"""),"")</f>
        <v/>
      </c>
      <c r="N1277" t="str">
        <f>IFERROR(__xludf.DUMMYFUNCTION("""COMPUTED_VALUE"""),"")</f>
        <v/>
      </c>
      <c r="O1277" t="str">
        <f>IFERROR(__xludf.DUMMYFUNCTION("""COMPUTED_VALUE"""),"")</f>
        <v/>
      </c>
      <c r="P1277" t="str">
        <f>IFERROR(__xludf.DUMMYFUNCTION("""COMPUTED_VALUE"""),"ID ")</f>
        <v>ID </v>
      </c>
    </row>
    <row r="1278">
      <c r="A1278" s="6" t="str">
        <f>IFERROR(__xludf.DUMMYFUNCTION("""COMPUTED_VALUE"""),"")</f>
        <v/>
      </c>
      <c r="C1278" t="str">
        <f>IFERROR(__xludf.DUMMYFUNCTION("""COMPUTED_VALUE"""),"")</f>
        <v/>
      </c>
      <c r="D1278" t="str">
        <f>IFERROR(__xludf.DUMMYFUNCTION("""COMPUTED_VALUE"""),"")</f>
        <v/>
      </c>
      <c r="E1278" t="str">
        <f>IFERROR(__xludf.DUMMYFUNCTION("""COMPUTED_VALUE"""),"")</f>
        <v/>
      </c>
      <c r="F1278" t="str">
        <f>IFERROR(__xludf.DUMMYFUNCTION("""COMPUTED_VALUE"""),"")</f>
        <v/>
      </c>
      <c r="G1278" t="str">
        <f>IFERROR(__xludf.DUMMYFUNCTION("""COMPUTED_VALUE"""),"")</f>
        <v/>
      </c>
      <c r="H1278" s="2" t="str">
        <f>IFERROR(__xludf.DUMMYFUNCTION("""COMPUTED_VALUE"""),"")</f>
        <v/>
      </c>
      <c r="I1278" s="2" t="str">
        <f>IFERROR(__xludf.DUMMYFUNCTION("""COMPUTED_VALUE"""),"")</f>
        <v/>
      </c>
      <c r="J1278" s="2">
        <f>IFERROR(__xludf.DUMMYFUNCTION("""COMPUTED_VALUE"""),0.0)</f>
        <v>0</v>
      </c>
      <c r="K1278" s="5" t="str">
        <f>IFERROR(__xludf.DUMMYFUNCTION("""COMPUTED_VALUE"""),"")</f>
        <v/>
      </c>
      <c r="L1278" t="str">
        <f>IFERROR(__xludf.DUMMYFUNCTION("""COMPUTED_VALUE"""),"")</f>
        <v/>
      </c>
      <c r="M1278" t="str">
        <f>IFERROR(__xludf.DUMMYFUNCTION("""COMPUTED_VALUE"""),"")</f>
        <v/>
      </c>
      <c r="N1278" t="str">
        <f>IFERROR(__xludf.DUMMYFUNCTION("""COMPUTED_VALUE"""),"")</f>
        <v/>
      </c>
      <c r="O1278" t="str">
        <f>IFERROR(__xludf.DUMMYFUNCTION("""COMPUTED_VALUE"""),"")</f>
        <v/>
      </c>
      <c r="P1278" t="str">
        <f>IFERROR(__xludf.DUMMYFUNCTION("""COMPUTED_VALUE"""),"ID ")</f>
        <v>ID </v>
      </c>
    </row>
    <row r="1279">
      <c r="A1279" s="6" t="str">
        <f>IFERROR(__xludf.DUMMYFUNCTION("""COMPUTED_VALUE"""),"")</f>
        <v/>
      </c>
      <c r="C1279" t="str">
        <f>IFERROR(__xludf.DUMMYFUNCTION("""COMPUTED_VALUE"""),"")</f>
        <v/>
      </c>
      <c r="D1279" t="str">
        <f>IFERROR(__xludf.DUMMYFUNCTION("""COMPUTED_VALUE"""),"")</f>
        <v/>
      </c>
      <c r="E1279" t="str">
        <f>IFERROR(__xludf.DUMMYFUNCTION("""COMPUTED_VALUE"""),"")</f>
        <v/>
      </c>
      <c r="F1279" t="str">
        <f>IFERROR(__xludf.DUMMYFUNCTION("""COMPUTED_VALUE"""),"")</f>
        <v/>
      </c>
      <c r="G1279" t="str">
        <f>IFERROR(__xludf.DUMMYFUNCTION("""COMPUTED_VALUE"""),"")</f>
        <v/>
      </c>
      <c r="H1279" s="2" t="str">
        <f>IFERROR(__xludf.DUMMYFUNCTION("""COMPUTED_VALUE"""),"")</f>
        <v/>
      </c>
      <c r="I1279" s="2" t="str">
        <f>IFERROR(__xludf.DUMMYFUNCTION("""COMPUTED_VALUE"""),"")</f>
        <v/>
      </c>
      <c r="J1279" s="2">
        <f>IFERROR(__xludf.DUMMYFUNCTION("""COMPUTED_VALUE"""),0.0)</f>
        <v>0</v>
      </c>
      <c r="K1279" s="5" t="str">
        <f>IFERROR(__xludf.DUMMYFUNCTION("""COMPUTED_VALUE"""),"")</f>
        <v/>
      </c>
      <c r="L1279" t="str">
        <f>IFERROR(__xludf.DUMMYFUNCTION("""COMPUTED_VALUE"""),"")</f>
        <v/>
      </c>
      <c r="M1279" t="str">
        <f>IFERROR(__xludf.DUMMYFUNCTION("""COMPUTED_VALUE"""),"")</f>
        <v/>
      </c>
      <c r="N1279" t="str">
        <f>IFERROR(__xludf.DUMMYFUNCTION("""COMPUTED_VALUE"""),"")</f>
        <v/>
      </c>
      <c r="O1279" t="str">
        <f>IFERROR(__xludf.DUMMYFUNCTION("""COMPUTED_VALUE"""),"")</f>
        <v/>
      </c>
      <c r="P1279" t="str">
        <f>IFERROR(__xludf.DUMMYFUNCTION("""COMPUTED_VALUE"""),"ID ")</f>
        <v>ID </v>
      </c>
    </row>
    <row r="1280">
      <c r="A1280" s="6" t="str">
        <f>IFERROR(__xludf.DUMMYFUNCTION("""COMPUTED_VALUE"""),"")</f>
        <v/>
      </c>
      <c r="C1280" t="str">
        <f>IFERROR(__xludf.DUMMYFUNCTION("""COMPUTED_VALUE"""),"")</f>
        <v/>
      </c>
      <c r="D1280" t="str">
        <f>IFERROR(__xludf.DUMMYFUNCTION("""COMPUTED_VALUE"""),"")</f>
        <v/>
      </c>
      <c r="E1280" t="str">
        <f>IFERROR(__xludf.DUMMYFUNCTION("""COMPUTED_VALUE"""),"")</f>
        <v/>
      </c>
      <c r="F1280" t="str">
        <f>IFERROR(__xludf.DUMMYFUNCTION("""COMPUTED_VALUE"""),"")</f>
        <v/>
      </c>
      <c r="G1280" t="str">
        <f>IFERROR(__xludf.DUMMYFUNCTION("""COMPUTED_VALUE"""),"")</f>
        <v/>
      </c>
      <c r="H1280" s="2" t="str">
        <f>IFERROR(__xludf.DUMMYFUNCTION("""COMPUTED_VALUE"""),"")</f>
        <v/>
      </c>
      <c r="I1280" s="2" t="str">
        <f>IFERROR(__xludf.DUMMYFUNCTION("""COMPUTED_VALUE"""),"")</f>
        <v/>
      </c>
      <c r="J1280" s="2">
        <f>IFERROR(__xludf.DUMMYFUNCTION("""COMPUTED_VALUE"""),0.0)</f>
        <v>0</v>
      </c>
      <c r="K1280" s="5" t="str">
        <f>IFERROR(__xludf.DUMMYFUNCTION("""COMPUTED_VALUE"""),"")</f>
        <v/>
      </c>
      <c r="L1280" t="str">
        <f>IFERROR(__xludf.DUMMYFUNCTION("""COMPUTED_VALUE"""),"")</f>
        <v/>
      </c>
      <c r="M1280" t="str">
        <f>IFERROR(__xludf.DUMMYFUNCTION("""COMPUTED_VALUE"""),"")</f>
        <v/>
      </c>
      <c r="N1280" t="str">
        <f>IFERROR(__xludf.DUMMYFUNCTION("""COMPUTED_VALUE"""),"")</f>
        <v/>
      </c>
      <c r="O1280" t="str">
        <f>IFERROR(__xludf.DUMMYFUNCTION("""COMPUTED_VALUE"""),"")</f>
        <v/>
      </c>
      <c r="P1280" t="str">
        <f>IFERROR(__xludf.DUMMYFUNCTION("""COMPUTED_VALUE"""),"ID ")</f>
        <v>ID </v>
      </c>
    </row>
    <row r="1281">
      <c r="A1281" s="6" t="str">
        <f>IFERROR(__xludf.DUMMYFUNCTION("""COMPUTED_VALUE"""),"")</f>
        <v/>
      </c>
      <c r="C1281" t="str">
        <f>IFERROR(__xludf.DUMMYFUNCTION("""COMPUTED_VALUE"""),"")</f>
        <v/>
      </c>
      <c r="D1281" t="str">
        <f>IFERROR(__xludf.DUMMYFUNCTION("""COMPUTED_VALUE"""),"")</f>
        <v/>
      </c>
      <c r="E1281" t="str">
        <f>IFERROR(__xludf.DUMMYFUNCTION("""COMPUTED_VALUE"""),"")</f>
        <v/>
      </c>
      <c r="F1281" t="str">
        <f>IFERROR(__xludf.DUMMYFUNCTION("""COMPUTED_VALUE"""),"")</f>
        <v/>
      </c>
      <c r="G1281" t="str">
        <f>IFERROR(__xludf.DUMMYFUNCTION("""COMPUTED_VALUE"""),"")</f>
        <v/>
      </c>
      <c r="H1281" s="2" t="str">
        <f>IFERROR(__xludf.DUMMYFUNCTION("""COMPUTED_VALUE"""),"")</f>
        <v/>
      </c>
      <c r="I1281" s="2" t="str">
        <f>IFERROR(__xludf.DUMMYFUNCTION("""COMPUTED_VALUE"""),"")</f>
        <v/>
      </c>
      <c r="J1281" s="2">
        <f>IFERROR(__xludf.DUMMYFUNCTION("""COMPUTED_VALUE"""),0.0)</f>
        <v>0</v>
      </c>
      <c r="K1281" s="5" t="str">
        <f>IFERROR(__xludf.DUMMYFUNCTION("""COMPUTED_VALUE"""),"")</f>
        <v/>
      </c>
      <c r="L1281" t="str">
        <f>IFERROR(__xludf.DUMMYFUNCTION("""COMPUTED_VALUE"""),"")</f>
        <v/>
      </c>
      <c r="M1281" t="str">
        <f>IFERROR(__xludf.DUMMYFUNCTION("""COMPUTED_VALUE"""),"")</f>
        <v/>
      </c>
      <c r="N1281" t="str">
        <f>IFERROR(__xludf.DUMMYFUNCTION("""COMPUTED_VALUE"""),"")</f>
        <v/>
      </c>
      <c r="O1281" t="str">
        <f>IFERROR(__xludf.DUMMYFUNCTION("""COMPUTED_VALUE"""),"")</f>
        <v/>
      </c>
      <c r="P1281" t="str">
        <f>IFERROR(__xludf.DUMMYFUNCTION("""COMPUTED_VALUE"""),"ID ")</f>
        <v>ID </v>
      </c>
    </row>
    <row r="1282">
      <c r="A1282" s="6" t="str">
        <f>IFERROR(__xludf.DUMMYFUNCTION("""COMPUTED_VALUE"""),"")</f>
        <v/>
      </c>
      <c r="C1282" t="str">
        <f>IFERROR(__xludf.DUMMYFUNCTION("""COMPUTED_VALUE"""),"")</f>
        <v/>
      </c>
      <c r="D1282" t="str">
        <f>IFERROR(__xludf.DUMMYFUNCTION("""COMPUTED_VALUE"""),"")</f>
        <v/>
      </c>
      <c r="E1282" t="str">
        <f>IFERROR(__xludf.DUMMYFUNCTION("""COMPUTED_VALUE"""),"")</f>
        <v/>
      </c>
      <c r="F1282" t="str">
        <f>IFERROR(__xludf.DUMMYFUNCTION("""COMPUTED_VALUE"""),"")</f>
        <v/>
      </c>
      <c r="G1282" t="str">
        <f>IFERROR(__xludf.DUMMYFUNCTION("""COMPUTED_VALUE"""),"")</f>
        <v/>
      </c>
      <c r="H1282" s="2" t="str">
        <f>IFERROR(__xludf.DUMMYFUNCTION("""COMPUTED_VALUE"""),"")</f>
        <v/>
      </c>
      <c r="I1282" s="2" t="str">
        <f>IFERROR(__xludf.DUMMYFUNCTION("""COMPUTED_VALUE"""),"")</f>
        <v/>
      </c>
      <c r="J1282" s="2">
        <f>IFERROR(__xludf.DUMMYFUNCTION("""COMPUTED_VALUE"""),0.0)</f>
        <v>0</v>
      </c>
      <c r="K1282" s="5" t="str">
        <f>IFERROR(__xludf.DUMMYFUNCTION("""COMPUTED_VALUE"""),"")</f>
        <v/>
      </c>
      <c r="L1282" t="str">
        <f>IFERROR(__xludf.DUMMYFUNCTION("""COMPUTED_VALUE"""),"")</f>
        <v/>
      </c>
      <c r="M1282" t="str">
        <f>IFERROR(__xludf.DUMMYFUNCTION("""COMPUTED_VALUE"""),"")</f>
        <v/>
      </c>
      <c r="N1282" t="str">
        <f>IFERROR(__xludf.DUMMYFUNCTION("""COMPUTED_VALUE"""),"")</f>
        <v/>
      </c>
      <c r="O1282" t="str">
        <f>IFERROR(__xludf.DUMMYFUNCTION("""COMPUTED_VALUE"""),"")</f>
        <v/>
      </c>
      <c r="P1282" t="str">
        <f>IFERROR(__xludf.DUMMYFUNCTION("""COMPUTED_VALUE"""),"ID ")</f>
        <v>ID </v>
      </c>
    </row>
    <row r="1283">
      <c r="A1283" s="6" t="str">
        <f>IFERROR(__xludf.DUMMYFUNCTION("""COMPUTED_VALUE"""),"")</f>
        <v/>
      </c>
      <c r="C1283" t="str">
        <f>IFERROR(__xludf.DUMMYFUNCTION("""COMPUTED_VALUE"""),"")</f>
        <v/>
      </c>
      <c r="D1283" t="str">
        <f>IFERROR(__xludf.DUMMYFUNCTION("""COMPUTED_VALUE"""),"")</f>
        <v/>
      </c>
      <c r="E1283" t="str">
        <f>IFERROR(__xludf.DUMMYFUNCTION("""COMPUTED_VALUE"""),"")</f>
        <v/>
      </c>
      <c r="F1283" t="str">
        <f>IFERROR(__xludf.DUMMYFUNCTION("""COMPUTED_VALUE"""),"")</f>
        <v/>
      </c>
      <c r="G1283" t="str">
        <f>IFERROR(__xludf.DUMMYFUNCTION("""COMPUTED_VALUE"""),"")</f>
        <v/>
      </c>
      <c r="H1283" s="2" t="str">
        <f>IFERROR(__xludf.DUMMYFUNCTION("""COMPUTED_VALUE"""),"")</f>
        <v/>
      </c>
      <c r="I1283" s="2" t="str">
        <f>IFERROR(__xludf.DUMMYFUNCTION("""COMPUTED_VALUE"""),"")</f>
        <v/>
      </c>
      <c r="J1283" s="2">
        <f>IFERROR(__xludf.DUMMYFUNCTION("""COMPUTED_VALUE"""),0.0)</f>
        <v>0</v>
      </c>
      <c r="K1283" s="5" t="str">
        <f>IFERROR(__xludf.DUMMYFUNCTION("""COMPUTED_VALUE"""),"")</f>
        <v/>
      </c>
      <c r="L1283" t="str">
        <f>IFERROR(__xludf.DUMMYFUNCTION("""COMPUTED_VALUE"""),"")</f>
        <v/>
      </c>
      <c r="M1283" t="str">
        <f>IFERROR(__xludf.DUMMYFUNCTION("""COMPUTED_VALUE"""),"")</f>
        <v/>
      </c>
      <c r="N1283" t="str">
        <f>IFERROR(__xludf.DUMMYFUNCTION("""COMPUTED_VALUE"""),"")</f>
        <v/>
      </c>
      <c r="O1283" t="str">
        <f>IFERROR(__xludf.DUMMYFUNCTION("""COMPUTED_VALUE"""),"")</f>
        <v/>
      </c>
      <c r="P1283" t="str">
        <f>IFERROR(__xludf.DUMMYFUNCTION("""COMPUTED_VALUE"""),"ID ")</f>
        <v>ID </v>
      </c>
    </row>
    <row r="1284">
      <c r="A1284" s="6" t="str">
        <f>IFERROR(__xludf.DUMMYFUNCTION("""COMPUTED_VALUE"""),"")</f>
        <v/>
      </c>
      <c r="C1284" t="str">
        <f>IFERROR(__xludf.DUMMYFUNCTION("""COMPUTED_VALUE"""),"")</f>
        <v/>
      </c>
      <c r="D1284" t="str">
        <f>IFERROR(__xludf.DUMMYFUNCTION("""COMPUTED_VALUE"""),"")</f>
        <v/>
      </c>
      <c r="E1284" t="str">
        <f>IFERROR(__xludf.DUMMYFUNCTION("""COMPUTED_VALUE"""),"")</f>
        <v/>
      </c>
      <c r="F1284" t="str">
        <f>IFERROR(__xludf.DUMMYFUNCTION("""COMPUTED_VALUE"""),"")</f>
        <v/>
      </c>
      <c r="G1284" t="str">
        <f>IFERROR(__xludf.DUMMYFUNCTION("""COMPUTED_VALUE"""),"")</f>
        <v/>
      </c>
      <c r="H1284" s="2" t="str">
        <f>IFERROR(__xludf.DUMMYFUNCTION("""COMPUTED_VALUE"""),"")</f>
        <v/>
      </c>
      <c r="I1284" s="2" t="str">
        <f>IFERROR(__xludf.DUMMYFUNCTION("""COMPUTED_VALUE"""),"")</f>
        <v/>
      </c>
      <c r="J1284" s="2">
        <f>IFERROR(__xludf.DUMMYFUNCTION("""COMPUTED_VALUE"""),0.0)</f>
        <v>0</v>
      </c>
      <c r="K1284" s="5" t="str">
        <f>IFERROR(__xludf.DUMMYFUNCTION("""COMPUTED_VALUE"""),"")</f>
        <v/>
      </c>
      <c r="L1284" t="str">
        <f>IFERROR(__xludf.DUMMYFUNCTION("""COMPUTED_VALUE"""),"")</f>
        <v/>
      </c>
      <c r="M1284" t="str">
        <f>IFERROR(__xludf.DUMMYFUNCTION("""COMPUTED_VALUE"""),"")</f>
        <v/>
      </c>
      <c r="N1284" t="str">
        <f>IFERROR(__xludf.DUMMYFUNCTION("""COMPUTED_VALUE"""),"")</f>
        <v/>
      </c>
      <c r="O1284" t="str">
        <f>IFERROR(__xludf.DUMMYFUNCTION("""COMPUTED_VALUE"""),"")</f>
        <v/>
      </c>
      <c r="P1284" t="str">
        <f>IFERROR(__xludf.DUMMYFUNCTION("""COMPUTED_VALUE"""),"ID ")</f>
        <v>ID </v>
      </c>
    </row>
    <row r="1285">
      <c r="A1285" s="6" t="str">
        <f>IFERROR(__xludf.DUMMYFUNCTION("""COMPUTED_VALUE"""),"")</f>
        <v/>
      </c>
      <c r="C1285" t="str">
        <f>IFERROR(__xludf.DUMMYFUNCTION("""COMPUTED_VALUE"""),"")</f>
        <v/>
      </c>
      <c r="D1285" t="str">
        <f>IFERROR(__xludf.DUMMYFUNCTION("""COMPUTED_VALUE"""),"")</f>
        <v/>
      </c>
      <c r="E1285" t="str">
        <f>IFERROR(__xludf.DUMMYFUNCTION("""COMPUTED_VALUE"""),"")</f>
        <v/>
      </c>
      <c r="F1285" t="str">
        <f>IFERROR(__xludf.DUMMYFUNCTION("""COMPUTED_VALUE"""),"")</f>
        <v/>
      </c>
      <c r="G1285" t="str">
        <f>IFERROR(__xludf.DUMMYFUNCTION("""COMPUTED_VALUE"""),"")</f>
        <v/>
      </c>
      <c r="H1285" s="2" t="str">
        <f>IFERROR(__xludf.DUMMYFUNCTION("""COMPUTED_VALUE"""),"")</f>
        <v/>
      </c>
      <c r="I1285" s="2" t="str">
        <f>IFERROR(__xludf.DUMMYFUNCTION("""COMPUTED_VALUE"""),"")</f>
        <v/>
      </c>
      <c r="J1285" s="2">
        <f>IFERROR(__xludf.DUMMYFUNCTION("""COMPUTED_VALUE"""),0.0)</f>
        <v>0</v>
      </c>
      <c r="K1285" s="5" t="str">
        <f>IFERROR(__xludf.DUMMYFUNCTION("""COMPUTED_VALUE"""),"")</f>
        <v/>
      </c>
      <c r="L1285" t="str">
        <f>IFERROR(__xludf.DUMMYFUNCTION("""COMPUTED_VALUE"""),"")</f>
        <v/>
      </c>
      <c r="M1285" t="str">
        <f>IFERROR(__xludf.DUMMYFUNCTION("""COMPUTED_VALUE"""),"")</f>
        <v/>
      </c>
      <c r="N1285" t="str">
        <f>IFERROR(__xludf.DUMMYFUNCTION("""COMPUTED_VALUE"""),"")</f>
        <v/>
      </c>
      <c r="O1285" t="str">
        <f>IFERROR(__xludf.DUMMYFUNCTION("""COMPUTED_VALUE"""),"")</f>
        <v/>
      </c>
      <c r="P1285" t="str">
        <f>IFERROR(__xludf.DUMMYFUNCTION("""COMPUTED_VALUE"""),"ID ")</f>
        <v>ID </v>
      </c>
    </row>
    <row r="1286">
      <c r="A1286" s="6" t="str">
        <f>IFERROR(__xludf.DUMMYFUNCTION("""COMPUTED_VALUE"""),"")</f>
        <v/>
      </c>
      <c r="C1286" t="str">
        <f>IFERROR(__xludf.DUMMYFUNCTION("""COMPUTED_VALUE"""),"")</f>
        <v/>
      </c>
      <c r="D1286" t="str">
        <f>IFERROR(__xludf.DUMMYFUNCTION("""COMPUTED_VALUE"""),"")</f>
        <v/>
      </c>
      <c r="E1286" t="str">
        <f>IFERROR(__xludf.DUMMYFUNCTION("""COMPUTED_VALUE"""),"")</f>
        <v/>
      </c>
      <c r="F1286" t="str">
        <f>IFERROR(__xludf.DUMMYFUNCTION("""COMPUTED_VALUE"""),"")</f>
        <v/>
      </c>
      <c r="G1286" t="str">
        <f>IFERROR(__xludf.DUMMYFUNCTION("""COMPUTED_VALUE"""),"")</f>
        <v/>
      </c>
      <c r="H1286" s="2" t="str">
        <f>IFERROR(__xludf.DUMMYFUNCTION("""COMPUTED_VALUE"""),"")</f>
        <v/>
      </c>
      <c r="I1286" s="2" t="str">
        <f>IFERROR(__xludf.DUMMYFUNCTION("""COMPUTED_VALUE"""),"")</f>
        <v/>
      </c>
      <c r="J1286" s="2">
        <f>IFERROR(__xludf.DUMMYFUNCTION("""COMPUTED_VALUE"""),0.0)</f>
        <v>0</v>
      </c>
      <c r="K1286" s="5" t="str">
        <f>IFERROR(__xludf.DUMMYFUNCTION("""COMPUTED_VALUE"""),"")</f>
        <v/>
      </c>
      <c r="L1286" t="str">
        <f>IFERROR(__xludf.DUMMYFUNCTION("""COMPUTED_VALUE"""),"")</f>
        <v/>
      </c>
      <c r="M1286" t="str">
        <f>IFERROR(__xludf.DUMMYFUNCTION("""COMPUTED_VALUE"""),"")</f>
        <v/>
      </c>
      <c r="N1286" t="str">
        <f>IFERROR(__xludf.DUMMYFUNCTION("""COMPUTED_VALUE"""),"")</f>
        <v/>
      </c>
      <c r="O1286" t="str">
        <f>IFERROR(__xludf.DUMMYFUNCTION("""COMPUTED_VALUE"""),"")</f>
        <v/>
      </c>
      <c r="P1286" t="str">
        <f>IFERROR(__xludf.DUMMYFUNCTION("""COMPUTED_VALUE"""),"ID ")</f>
        <v>ID </v>
      </c>
    </row>
    <row r="1287">
      <c r="A1287" s="6" t="str">
        <f>IFERROR(__xludf.DUMMYFUNCTION("""COMPUTED_VALUE"""),"")</f>
        <v/>
      </c>
      <c r="C1287" t="str">
        <f>IFERROR(__xludf.DUMMYFUNCTION("""COMPUTED_VALUE"""),"")</f>
        <v/>
      </c>
      <c r="D1287" t="str">
        <f>IFERROR(__xludf.DUMMYFUNCTION("""COMPUTED_VALUE"""),"")</f>
        <v/>
      </c>
      <c r="E1287" t="str">
        <f>IFERROR(__xludf.DUMMYFUNCTION("""COMPUTED_VALUE"""),"")</f>
        <v/>
      </c>
      <c r="F1287" t="str">
        <f>IFERROR(__xludf.DUMMYFUNCTION("""COMPUTED_VALUE"""),"")</f>
        <v/>
      </c>
      <c r="G1287" t="str">
        <f>IFERROR(__xludf.DUMMYFUNCTION("""COMPUTED_VALUE"""),"")</f>
        <v/>
      </c>
      <c r="H1287" s="2" t="str">
        <f>IFERROR(__xludf.DUMMYFUNCTION("""COMPUTED_VALUE"""),"")</f>
        <v/>
      </c>
      <c r="I1287" s="2" t="str">
        <f>IFERROR(__xludf.DUMMYFUNCTION("""COMPUTED_VALUE"""),"")</f>
        <v/>
      </c>
      <c r="J1287" s="2">
        <f>IFERROR(__xludf.DUMMYFUNCTION("""COMPUTED_VALUE"""),0.0)</f>
        <v>0</v>
      </c>
      <c r="K1287" s="5" t="str">
        <f>IFERROR(__xludf.DUMMYFUNCTION("""COMPUTED_VALUE"""),"")</f>
        <v/>
      </c>
      <c r="L1287" t="str">
        <f>IFERROR(__xludf.DUMMYFUNCTION("""COMPUTED_VALUE"""),"")</f>
        <v/>
      </c>
      <c r="M1287" t="str">
        <f>IFERROR(__xludf.DUMMYFUNCTION("""COMPUTED_VALUE"""),"")</f>
        <v/>
      </c>
      <c r="N1287" t="str">
        <f>IFERROR(__xludf.DUMMYFUNCTION("""COMPUTED_VALUE"""),"")</f>
        <v/>
      </c>
      <c r="O1287" t="str">
        <f>IFERROR(__xludf.DUMMYFUNCTION("""COMPUTED_VALUE"""),"")</f>
        <v/>
      </c>
      <c r="P1287" t="str">
        <f>IFERROR(__xludf.DUMMYFUNCTION("""COMPUTED_VALUE"""),"ID ")</f>
        <v>ID </v>
      </c>
    </row>
    <row r="1288">
      <c r="A1288" s="6" t="str">
        <f>IFERROR(__xludf.DUMMYFUNCTION("""COMPUTED_VALUE"""),"")</f>
        <v/>
      </c>
      <c r="C1288" t="str">
        <f>IFERROR(__xludf.DUMMYFUNCTION("""COMPUTED_VALUE"""),"")</f>
        <v/>
      </c>
      <c r="D1288" t="str">
        <f>IFERROR(__xludf.DUMMYFUNCTION("""COMPUTED_VALUE"""),"")</f>
        <v/>
      </c>
      <c r="E1288" t="str">
        <f>IFERROR(__xludf.DUMMYFUNCTION("""COMPUTED_VALUE"""),"")</f>
        <v/>
      </c>
      <c r="F1288" t="str">
        <f>IFERROR(__xludf.DUMMYFUNCTION("""COMPUTED_VALUE"""),"")</f>
        <v/>
      </c>
      <c r="G1288" t="str">
        <f>IFERROR(__xludf.DUMMYFUNCTION("""COMPUTED_VALUE"""),"")</f>
        <v/>
      </c>
      <c r="H1288" s="2" t="str">
        <f>IFERROR(__xludf.DUMMYFUNCTION("""COMPUTED_VALUE"""),"")</f>
        <v/>
      </c>
      <c r="I1288" s="2" t="str">
        <f>IFERROR(__xludf.DUMMYFUNCTION("""COMPUTED_VALUE"""),"")</f>
        <v/>
      </c>
      <c r="J1288" s="2">
        <f>IFERROR(__xludf.DUMMYFUNCTION("""COMPUTED_VALUE"""),0.0)</f>
        <v>0</v>
      </c>
      <c r="K1288" s="5" t="str">
        <f>IFERROR(__xludf.DUMMYFUNCTION("""COMPUTED_VALUE"""),"")</f>
        <v/>
      </c>
      <c r="L1288" t="str">
        <f>IFERROR(__xludf.DUMMYFUNCTION("""COMPUTED_VALUE"""),"")</f>
        <v/>
      </c>
      <c r="M1288" t="str">
        <f>IFERROR(__xludf.DUMMYFUNCTION("""COMPUTED_VALUE"""),"")</f>
        <v/>
      </c>
      <c r="N1288" t="str">
        <f>IFERROR(__xludf.DUMMYFUNCTION("""COMPUTED_VALUE"""),"")</f>
        <v/>
      </c>
      <c r="O1288" t="str">
        <f>IFERROR(__xludf.DUMMYFUNCTION("""COMPUTED_VALUE"""),"")</f>
        <v/>
      </c>
      <c r="P1288" t="str">
        <f>IFERROR(__xludf.DUMMYFUNCTION("""COMPUTED_VALUE"""),"ID ")</f>
        <v>ID </v>
      </c>
    </row>
    <row r="1289">
      <c r="A1289" s="6" t="str">
        <f>IFERROR(__xludf.DUMMYFUNCTION("""COMPUTED_VALUE"""),"")</f>
        <v/>
      </c>
      <c r="C1289" t="str">
        <f>IFERROR(__xludf.DUMMYFUNCTION("""COMPUTED_VALUE"""),"")</f>
        <v/>
      </c>
      <c r="D1289" t="str">
        <f>IFERROR(__xludf.DUMMYFUNCTION("""COMPUTED_VALUE"""),"")</f>
        <v/>
      </c>
      <c r="E1289" t="str">
        <f>IFERROR(__xludf.DUMMYFUNCTION("""COMPUTED_VALUE"""),"")</f>
        <v/>
      </c>
      <c r="F1289" t="str">
        <f>IFERROR(__xludf.DUMMYFUNCTION("""COMPUTED_VALUE"""),"")</f>
        <v/>
      </c>
      <c r="G1289" t="str">
        <f>IFERROR(__xludf.DUMMYFUNCTION("""COMPUTED_VALUE"""),"")</f>
        <v/>
      </c>
      <c r="H1289" s="2" t="str">
        <f>IFERROR(__xludf.DUMMYFUNCTION("""COMPUTED_VALUE"""),"")</f>
        <v/>
      </c>
      <c r="I1289" s="2" t="str">
        <f>IFERROR(__xludf.DUMMYFUNCTION("""COMPUTED_VALUE"""),"")</f>
        <v/>
      </c>
      <c r="J1289" s="2">
        <f>IFERROR(__xludf.DUMMYFUNCTION("""COMPUTED_VALUE"""),0.0)</f>
        <v>0</v>
      </c>
      <c r="K1289" s="5" t="str">
        <f>IFERROR(__xludf.DUMMYFUNCTION("""COMPUTED_VALUE"""),"")</f>
        <v/>
      </c>
      <c r="L1289" t="str">
        <f>IFERROR(__xludf.DUMMYFUNCTION("""COMPUTED_VALUE"""),"")</f>
        <v/>
      </c>
      <c r="M1289" t="str">
        <f>IFERROR(__xludf.DUMMYFUNCTION("""COMPUTED_VALUE"""),"")</f>
        <v/>
      </c>
      <c r="N1289" t="str">
        <f>IFERROR(__xludf.DUMMYFUNCTION("""COMPUTED_VALUE"""),"")</f>
        <v/>
      </c>
      <c r="O1289" t="str">
        <f>IFERROR(__xludf.DUMMYFUNCTION("""COMPUTED_VALUE"""),"")</f>
        <v/>
      </c>
      <c r="P1289" t="str">
        <f>IFERROR(__xludf.DUMMYFUNCTION("""COMPUTED_VALUE"""),"ID ")</f>
        <v>ID </v>
      </c>
    </row>
    <row r="1290">
      <c r="A1290" s="6" t="str">
        <f>IFERROR(__xludf.DUMMYFUNCTION("""COMPUTED_VALUE"""),"")</f>
        <v/>
      </c>
      <c r="C1290" t="str">
        <f>IFERROR(__xludf.DUMMYFUNCTION("""COMPUTED_VALUE"""),"")</f>
        <v/>
      </c>
      <c r="D1290" t="str">
        <f>IFERROR(__xludf.DUMMYFUNCTION("""COMPUTED_VALUE"""),"")</f>
        <v/>
      </c>
      <c r="E1290" t="str">
        <f>IFERROR(__xludf.DUMMYFUNCTION("""COMPUTED_VALUE"""),"")</f>
        <v/>
      </c>
      <c r="F1290" t="str">
        <f>IFERROR(__xludf.DUMMYFUNCTION("""COMPUTED_VALUE"""),"")</f>
        <v/>
      </c>
      <c r="G1290" t="str">
        <f>IFERROR(__xludf.DUMMYFUNCTION("""COMPUTED_VALUE"""),"")</f>
        <v/>
      </c>
      <c r="H1290" s="2" t="str">
        <f>IFERROR(__xludf.DUMMYFUNCTION("""COMPUTED_VALUE"""),"")</f>
        <v/>
      </c>
      <c r="I1290" s="2" t="str">
        <f>IFERROR(__xludf.DUMMYFUNCTION("""COMPUTED_VALUE"""),"")</f>
        <v/>
      </c>
      <c r="J1290" s="2">
        <f>IFERROR(__xludf.DUMMYFUNCTION("""COMPUTED_VALUE"""),0.0)</f>
        <v>0</v>
      </c>
      <c r="K1290" s="5" t="str">
        <f>IFERROR(__xludf.DUMMYFUNCTION("""COMPUTED_VALUE"""),"")</f>
        <v/>
      </c>
      <c r="L1290" t="str">
        <f>IFERROR(__xludf.DUMMYFUNCTION("""COMPUTED_VALUE"""),"")</f>
        <v/>
      </c>
      <c r="M1290" t="str">
        <f>IFERROR(__xludf.DUMMYFUNCTION("""COMPUTED_VALUE"""),"")</f>
        <v/>
      </c>
      <c r="N1290" t="str">
        <f>IFERROR(__xludf.DUMMYFUNCTION("""COMPUTED_VALUE"""),"")</f>
        <v/>
      </c>
      <c r="O1290" t="str">
        <f>IFERROR(__xludf.DUMMYFUNCTION("""COMPUTED_VALUE"""),"")</f>
        <v/>
      </c>
      <c r="P1290" t="str">
        <f>IFERROR(__xludf.DUMMYFUNCTION("""COMPUTED_VALUE"""),"ID ")</f>
        <v>ID </v>
      </c>
    </row>
    <row r="1291">
      <c r="A1291" s="6" t="str">
        <f>IFERROR(__xludf.DUMMYFUNCTION("""COMPUTED_VALUE"""),"")</f>
        <v/>
      </c>
      <c r="C1291" t="str">
        <f>IFERROR(__xludf.DUMMYFUNCTION("""COMPUTED_VALUE"""),"")</f>
        <v/>
      </c>
      <c r="D1291" t="str">
        <f>IFERROR(__xludf.DUMMYFUNCTION("""COMPUTED_VALUE"""),"")</f>
        <v/>
      </c>
      <c r="E1291" t="str">
        <f>IFERROR(__xludf.DUMMYFUNCTION("""COMPUTED_VALUE"""),"")</f>
        <v/>
      </c>
      <c r="F1291" t="str">
        <f>IFERROR(__xludf.DUMMYFUNCTION("""COMPUTED_VALUE"""),"")</f>
        <v/>
      </c>
      <c r="G1291" t="str">
        <f>IFERROR(__xludf.DUMMYFUNCTION("""COMPUTED_VALUE"""),"")</f>
        <v/>
      </c>
      <c r="H1291" s="2" t="str">
        <f>IFERROR(__xludf.DUMMYFUNCTION("""COMPUTED_VALUE"""),"")</f>
        <v/>
      </c>
      <c r="I1291" s="2" t="str">
        <f>IFERROR(__xludf.DUMMYFUNCTION("""COMPUTED_VALUE"""),"")</f>
        <v/>
      </c>
      <c r="J1291" s="2">
        <f>IFERROR(__xludf.DUMMYFUNCTION("""COMPUTED_VALUE"""),0.0)</f>
        <v>0</v>
      </c>
      <c r="K1291" s="5" t="str">
        <f>IFERROR(__xludf.DUMMYFUNCTION("""COMPUTED_VALUE"""),"")</f>
        <v/>
      </c>
      <c r="L1291" t="str">
        <f>IFERROR(__xludf.DUMMYFUNCTION("""COMPUTED_VALUE"""),"")</f>
        <v/>
      </c>
      <c r="M1291" t="str">
        <f>IFERROR(__xludf.DUMMYFUNCTION("""COMPUTED_VALUE"""),"")</f>
        <v/>
      </c>
      <c r="N1291" t="str">
        <f>IFERROR(__xludf.DUMMYFUNCTION("""COMPUTED_VALUE"""),"")</f>
        <v/>
      </c>
      <c r="O1291" t="str">
        <f>IFERROR(__xludf.DUMMYFUNCTION("""COMPUTED_VALUE"""),"")</f>
        <v/>
      </c>
      <c r="P1291" t="str">
        <f>IFERROR(__xludf.DUMMYFUNCTION("""COMPUTED_VALUE"""),"ID ")</f>
        <v>ID </v>
      </c>
    </row>
    <row r="1292">
      <c r="A1292" s="6" t="str">
        <f>IFERROR(__xludf.DUMMYFUNCTION("""COMPUTED_VALUE"""),"")</f>
        <v/>
      </c>
      <c r="C1292" t="str">
        <f>IFERROR(__xludf.DUMMYFUNCTION("""COMPUTED_VALUE"""),"")</f>
        <v/>
      </c>
      <c r="D1292" t="str">
        <f>IFERROR(__xludf.DUMMYFUNCTION("""COMPUTED_VALUE"""),"")</f>
        <v/>
      </c>
      <c r="E1292" t="str">
        <f>IFERROR(__xludf.DUMMYFUNCTION("""COMPUTED_VALUE"""),"")</f>
        <v/>
      </c>
      <c r="F1292" t="str">
        <f>IFERROR(__xludf.DUMMYFUNCTION("""COMPUTED_VALUE"""),"")</f>
        <v/>
      </c>
      <c r="G1292" t="str">
        <f>IFERROR(__xludf.DUMMYFUNCTION("""COMPUTED_VALUE"""),"")</f>
        <v/>
      </c>
      <c r="H1292" s="2" t="str">
        <f>IFERROR(__xludf.DUMMYFUNCTION("""COMPUTED_VALUE"""),"")</f>
        <v/>
      </c>
      <c r="I1292" s="2" t="str">
        <f>IFERROR(__xludf.DUMMYFUNCTION("""COMPUTED_VALUE"""),"")</f>
        <v/>
      </c>
      <c r="J1292" s="2">
        <f>IFERROR(__xludf.DUMMYFUNCTION("""COMPUTED_VALUE"""),0.0)</f>
        <v>0</v>
      </c>
      <c r="K1292" s="5" t="str">
        <f>IFERROR(__xludf.DUMMYFUNCTION("""COMPUTED_VALUE"""),"")</f>
        <v/>
      </c>
      <c r="L1292" t="str">
        <f>IFERROR(__xludf.DUMMYFUNCTION("""COMPUTED_VALUE"""),"")</f>
        <v/>
      </c>
      <c r="M1292" t="str">
        <f>IFERROR(__xludf.DUMMYFUNCTION("""COMPUTED_VALUE"""),"")</f>
        <v/>
      </c>
      <c r="N1292" t="str">
        <f>IFERROR(__xludf.DUMMYFUNCTION("""COMPUTED_VALUE"""),"")</f>
        <v/>
      </c>
      <c r="O1292" t="str">
        <f>IFERROR(__xludf.DUMMYFUNCTION("""COMPUTED_VALUE"""),"")</f>
        <v/>
      </c>
      <c r="P1292" t="str">
        <f>IFERROR(__xludf.DUMMYFUNCTION("""COMPUTED_VALUE"""),"ID ")</f>
        <v>ID </v>
      </c>
    </row>
    <row r="1293">
      <c r="A1293" s="6" t="str">
        <f>IFERROR(__xludf.DUMMYFUNCTION("""COMPUTED_VALUE"""),"")</f>
        <v/>
      </c>
      <c r="C1293" t="str">
        <f>IFERROR(__xludf.DUMMYFUNCTION("""COMPUTED_VALUE"""),"")</f>
        <v/>
      </c>
      <c r="D1293" t="str">
        <f>IFERROR(__xludf.DUMMYFUNCTION("""COMPUTED_VALUE"""),"")</f>
        <v/>
      </c>
      <c r="E1293" t="str">
        <f>IFERROR(__xludf.DUMMYFUNCTION("""COMPUTED_VALUE"""),"")</f>
        <v/>
      </c>
      <c r="F1293" t="str">
        <f>IFERROR(__xludf.DUMMYFUNCTION("""COMPUTED_VALUE"""),"")</f>
        <v/>
      </c>
      <c r="G1293" t="str">
        <f>IFERROR(__xludf.DUMMYFUNCTION("""COMPUTED_VALUE"""),"")</f>
        <v/>
      </c>
      <c r="H1293" s="2" t="str">
        <f>IFERROR(__xludf.DUMMYFUNCTION("""COMPUTED_VALUE"""),"")</f>
        <v/>
      </c>
      <c r="I1293" s="2" t="str">
        <f>IFERROR(__xludf.DUMMYFUNCTION("""COMPUTED_VALUE"""),"")</f>
        <v/>
      </c>
      <c r="J1293" s="2">
        <f>IFERROR(__xludf.DUMMYFUNCTION("""COMPUTED_VALUE"""),0.0)</f>
        <v>0</v>
      </c>
      <c r="K1293" s="5" t="str">
        <f>IFERROR(__xludf.DUMMYFUNCTION("""COMPUTED_VALUE"""),"")</f>
        <v/>
      </c>
      <c r="L1293" t="str">
        <f>IFERROR(__xludf.DUMMYFUNCTION("""COMPUTED_VALUE"""),"")</f>
        <v/>
      </c>
      <c r="M1293" t="str">
        <f>IFERROR(__xludf.DUMMYFUNCTION("""COMPUTED_VALUE"""),"")</f>
        <v/>
      </c>
      <c r="N1293" t="str">
        <f>IFERROR(__xludf.DUMMYFUNCTION("""COMPUTED_VALUE"""),"")</f>
        <v/>
      </c>
      <c r="O1293" t="str">
        <f>IFERROR(__xludf.DUMMYFUNCTION("""COMPUTED_VALUE"""),"")</f>
        <v/>
      </c>
      <c r="P1293" t="str">
        <f>IFERROR(__xludf.DUMMYFUNCTION("""COMPUTED_VALUE"""),"ID ")</f>
        <v>ID </v>
      </c>
    </row>
    <row r="1294">
      <c r="A1294" s="6" t="str">
        <f>IFERROR(__xludf.DUMMYFUNCTION("""COMPUTED_VALUE"""),"")</f>
        <v/>
      </c>
      <c r="C1294" t="str">
        <f>IFERROR(__xludf.DUMMYFUNCTION("""COMPUTED_VALUE"""),"")</f>
        <v/>
      </c>
      <c r="D1294" t="str">
        <f>IFERROR(__xludf.DUMMYFUNCTION("""COMPUTED_VALUE"""),"")</f>
        <v/>
      </c>
      <c r="E1294" t="str">
        <f>IFERROR(__xludf.DUMMYFUNCTION("""COMPUTED_VALUE"""),"")</f>
        <v/>
      </c>
      <c r="F1294" t="str">
        <f>IFERROR(__xludf.DUMMYFUNCTION("""COMPUTED_VALUE"""),"")</f>
        <v/>
      </c>
      <c r="G1294" t="str">
        <f>IFERROR(__xludf.DUMMYFUNCTION("""COMPUTED_VALUE"""),"")</f>
        <v/>
      </c>
      <c r="H1294" s="2" t="str">
        <f>IFERROR(__xludf.DUMMYFUNCTION("""COMPUTED_VALUE"""),"")</f>
        <v/>
      </c>
      <c r="I1294" s="2" t="str">
        <f>IFERROR(__xludf.DUMMYFUNCTION("""COMPUTED_VALUE"""),"")</f>
        <v/>
      </c>
      <c r="J1294" s="2">
        <f>IFERROR(__xludf.DUMMYFUNCTION("""COMPUTED_VALUE"""),0.0)</f>
        <v>0</v>
      </c>
      <c r="K1294" s="5" t="str">
        <f>IFERROR(__xludf.DUMMYFUNCTION("""COMPUTED_VALUE"""),"")</f>
        <v/>
      </c>
      <c r="L1294" t="str">
        <f>IFERROR(__xludf.DUMMYFUNCTION("""COMPUTED_VALUE"""),"")</f>
        <v/>
      </c>
      <c r="M1294" t="str">
        <f>IFERROR(__xludf.DUMMYFUNCTION("""COMPUTED_VALUE"""),"")</f>
        <v/>
      </c>
      <c r="N1294" t="str">
        <f>IFERROR(__xludf.DUMMYFUNCTION("""COMPUTED_VALUE"""),"")</f>
        <v/>
      </c>
      <c r="O1294" t="str">
        <f>IFERROR(__xludf.DUMMYFUNCTION("""COMPUTED_VALUE"""),"")</f>
        <v/>
      </c>
      <c r="P1294" t="str">
        <f>IFERROR(__xludf.DUMMYFUNCTION("""COMPUTED_VALUE"""),"ID ")</f>
        <v>ID </v>
      </c>
    </row>
    <row r="1295">
      <c r="A1295" s="6" t="str">
        <f>IFERROR(__xludf.DUMMYFUNCTION("""COMPUTED_VALUE"""),"")</f>
        <v/>
      </c>
      <c r="C1295" t="str">
        <f>IFERROR(__xludf.DUMMYFUNCTION("""COMPUTED_VALUE"""),"")</f>
        <v/>
      </c>
      <c r="D1295" t="str">
        <f>IFERROR(__xludf.DUMMYFUNCTION("""COMPUTED_VALUE"""),"")</f>
        <v/>
      </c>
      <c r="E1295" t="str">
        <f>IFERROR(__xludf.DUMMYFUNCTION("""COMPUTED_VALUE"""),"")</f>
        <v/>
      </c>
      <c r="F1295" t="str">
        <f>IFERROR(__xludf.DUMMYFUNCTION("""COMPUTED_VALUE"""),"")</f>
        <v/>
      </c>
      <c r="G1295" t="str">
        <f>IFERROR(__xludf.DUMMYFUNCTION("""COMPUTED_VALUE"""),"")</f>
        <v/>
      </c>
      <c r="H1295" s="2" t="str">
        <f>IFERROR(__xludf.DUMMYFUNCTION("""COMPUTED_VALUE"""),"")</f>
        <v/>
      </c>
      <c r="I1295" s="2" t="str">
        <f>IFERROR(__xludf.DUMMYFUNCTION("""COMPUTED_VALUE"""),"")</f>
        <v/>
      </c>
      <c r="J1295" s="2">
        <f>IFERROR(__xludf.DUMMYFUNCTION("""COMPUTED_VALUE"""),0.0)</f>
        <v>0</v>
      </c>
      <c r="K1295" s="5" t="str">
        <f>IFERROR(__xludf.DUMMYFUNCTION("""COMPUTED_VALUE"""),"")</f>
        <v/>
      </c>
      <c r="L1295" t="str">
        <f>IFERROR(__xludf.DUMMYFUNCTION("""COMPUTED_VALUE"""),"")</f>
        <v/>
      </c>
      <c r="M1295" t="str">
        <f>IFERROR(__xludf.DUMMYFUNCTION("""COMPUTED_VALUE"""),"")</f>
        <v/>
      </c>
      <c r="N1295" t="str">
        <f>IFERROR(__xludf.DUMMYFUNCTION("""COMPUTED_VALUE"""),"")</f>
        <v/>
      </c>
      <c r="O1295" t="str">
        <f>IFERROR(__xludf.DUMMYFUNCTION("""COMPUTED_VALUE"""),"")</f>
        <v/>
      </c>
      <c r="P1295" t="str">
        <f>IFERROR(__xludf.DUMMYFUNCTION("""COMPUTED_VALUE"""),"ID ")</f>
        <v>ID </v>
      </c>
    </row>
    <row r="1296">
      <c r="A1296" s="6" t="str">
        <f>IFERROR(__xludf.DUMMYFUNCTION("""COMPUTED_VALUE"""),"")</f>
        <v/>
      </c>
      <c r="C1296" t="str">
        <f>IFERROR(__xludf.DUMMYFUNCTION("""COMPUTED_VALUE"""),"")</f>
        <v/>
      </c>
      <c r="D1296" t="str">
        <f>IFERROR(__xludf.DUMMYFUNCTION("""COMPUTED_VALUE"""),"")</f>
        <v/>
      </c>
      <c r="E1296" t="str">
        <f>IFERROR(__xludf.DUMMYFUNCTION("""COMPUTED_VALUE"""),"")</f>
        <v/>
      </c>
      <c r="F1296" t="str">
        <f>IFERROR(__xludf.DUMMYFUNCTION("""COMPUTED_VALUE"""),"")</f>
        <v/>
      </c>
      <c r="G1296" t="str">
        <f>IFERROR(__xludf.DUMMYFUNCTION("""COMPUTED_VALUE"""),"")</f>
        <v/>
      </c>
      <c r="H1296" s="2" t="str">
        <f>IFERROR(__xludf.DUMMYFUNCTION("""COMPUTED_VALUE"""),"")</f>
        <v/>
      </c>
      <c r="I1296" s="2" t="str">
        <f>IFERROR(__xludf.DUMMYFUNCTION("""COMPUTED_VALUE"""),"")</f>
        <v/>
      </c>
      <c r="J1296" s="2">
        <f>IFERROR(__xludf.DUMMYFUNCTION("""COMPUTED_VALUE"""),0.0)</f>
        <v>0</v>
      </c>
      <c r="K1296" s="5" t="str">
        <f>IFERROR(__xludf.DUMMYFUNCTION("""COMPUTED_VALUE"""),"")</f>
        <v/>
      </c>
      <c r="L1296" t="str">
        <f>IFERROR(__xludf.DUMMYFUNCTION("""COMPUTED_VALUE"""),"")</f>
        <v/>
      </c>
      <c r="M1296" t="str">
        <f>IFERROR(__xludf.DUMMYFUNCTION("""COMPUTED_VALUE"""),"")</f>
        <v/>
      </c>
      <c r="N1296" t="str">
        <f>IFERROR(__xludf.DUMMYFUNCTION("""COMPUTED_VALUE"""),"")</f>
        <v/>
      </c>
      <c r="O1296" t="str">
        <f>IFERROR(__xludf.DUMMYFUNCTION("""COMPUTED_VALUE"""),"")</f>
        <v/>
      </c>
      <c r="P1296" t="str">
        <f>IFERROR(__xludf.DUMMYFUNCTION("""COMPUTED_VALUE"""),"ID ")</f>
        <v>ID </v>
      </c>
    </row>
    <row r="1297">
      <c r="A1297" s="6" t="str">
        <f>IFERROR(__xludf.DUMMYFUNCTION("""COMPUTED_VALUE"""),"")</f>
        <v/>
      </c>
      <c r="C1297" t="str">
        <f>IFERROR(__xludf.DUMMYFUNCTION("""COMPUTED_VALUE"""),"")</f>
        <v/>
      </c>
      <c r="D1297" t="str">
        <f>IFERROR(__xludf.DUMMYFUNCTION("""COMPUTED_VALUE"""),"")</f>
        <v/>
      </c>
      <c r="E1297" t="str">
        <f>IFERROR(__xludf.DUMMYFUNCTION("""COMPUTED_VALUE"""),"")</f>
        <v/>
      </c>
      <c r="F1297" t="str">
        <f>IFERROR(__xludf.DUMMYFUNCTION("""COMPUTED_VALUE"""),"")</f>
        <v/>
      </c>
      <c r="G1297" t="str">
        <f>IFERROR(__xludf.DUMMYFUNCTION("""COMPUTED_VALUE"""),"")</f>
        <v/>
      </c>
      <c r="H1297" s="2" t="str">
        <f>IFERROR(__xludf.DUMMYFUNCTION("""COMPUTED_VALUE"""),"")</f>
        <v/>
      </c>
      <c r="I1297" s="2" t="str">
        <f>IFERROR(__xludf.DUMMYFUNCTION("""COMPUTED_VALUE"""),"")</f>
        <v/>
      </c>
      <c r="J1297" s="2">
        <f>IFERROR(__xludf.DUMMYFUNCTION("""COMPUTED_VALUE"""),0.0)</f>
        <v>0</v>
      </c>
      <c r="K1297" s="5" t="str">
        <f>IFERROR(__xludf.DUMMYFUNCTION("""COMPUTED_VALUE"""),"")</f>
        <v/>
      </c>
      <c r="L1297" t="str">
        <f>IFERROR(__xludf.DUMMYFUNCTION("""COMPUTED_VALUE"""),"")</f>
        <v/>
      </c>
      <c r="M1297" t="str">
        <f>IFERROR(__xludf.DUMMYFUNCTION("""COMPUTED_VALUE"""),"")</f>
        <v/>
      </c>
      <c r="N1297" t="str">
        <f>IFERROR(__xludf.DUMMYFUNCTION("""COMPUTED_VALUE"""),"")</f>
        <v/>
      </c>
      <c r="O1297" t="str">
        <f>IFERROR(__xludf.DUMMYFUNCTION("""COMPUTED_VALUE"""),"")</f>
        <v/>
      </c>
      <c r="P1297" t="str">
        <f>IFERROR(__xludf.DUMMYFUNCTION("""COMPUTED_VALUE"""),"ID ")</f>
        <v>ID </v>
      </c>
    </row>
    <row r="1298">
      <c r="A1298" s="6" t="str">
        <f>IFERROR(__xludf.DUMMYFUNCTION("""COMPUTED_VALUE"""),"")</f>
        <v/>
      </c>
      <c r="C1298" t="str">
        <f>IFERROR(__xludf.DUMMYFUNCTION("""COMPUTED_VALUE"""),"")</f>
        <v/>
      </c>
      <c r="D1298" t="str">
        <f>IFERROR(__xludf.DUMMYFUNCTION("""COMPUTED_VALUE"""),"")</f>
        <v/>
      </c>
      <c r="E1298" t="str">
        <f>IFERROR(__xludf.DUMMYFUNCTION("""COMPUTED_VALUE"""),"")</f>
        <v/>
      </c>
      <c r="F1298" t="str">
        <f>IFERROR(__xludf.DUMMYFUNCTION("""COMPUTED_VALUE"""),"")</f>
        <v/>
      </c>
      <c r="G1298" t="str">
        <f>IFERROR(__xludf.DUMMYFUNCTION("""COMPUTED_VALUE"""),"")</f>
        <v/>
      </c>
      <c r="H1298" s="2" t="str">
        <f>IFERROR(__xludf.DUMMYFUNCTION("""COMPUTED_VALUE"""),"")</f>
        <v/>
      </c>
      <c r="I1298" s="2" t="str">
        <f>IFERROR(__xludf.DUMMYFUNCTION("""COMPUTED_VALUE"""),"")</f>
        <v/>
      </c>
      <c r="J1298" s="2">
        <f>IFERROR(__xludf.DUMMYFUNCTION("""COMPUTED_VALUE"""),0.0)</f>
        <v>0</v>
      </c>
      <c r="K1298" s="5" t="str">
        <f>IFERROR(__xludf.DUMMYFUNCTION("""COMPUTED_VALUE"""),"")</f>
        <v/>
      </c>
      <c r="L1298" t="str">
        <f>IFERROR(__xludf.DUMMYFUNCTION("""COMPUTED_VALUE"""),"")</f>
        <v/>
      </c>
      <c r="M1298" t="str">
        <f>IFERROR(__xludf.DUMMYFUNCTION("""COMPUTED_VALUE"""),"")</f>
        <v/>
      </c>
      <c r="N1298" t="str">
        <f>IFERROR(__xludf.DUMMYFUNCTION("""COMPUTED_VALUE"""),"")</f>
        <v/>
      </c>
      <c r="O1298" t="str">
        <f>IFERROR(__xludf.DUMMYFUNCTION("""COMPUTED_VALUE"""),"")</f>
        <v/>
      </c>
      <c r="P1298" t="str">
        <f>IFERROR(__xludf.DUMMYFUNCTION("""COMPUTED_VALUE"""),"ID ")</f>
        <v>ID </v>
      </c>
    </row>
    <row r="1299">
      <c r="A1299" s="6" t="str">
        <f>IFERROR(__xludf.DUMMYFUNCTION("""COMPUTED_VALUE"""),"")</f>
        <v/>
      </c>
      <c r="C1299" t="str">
        <f>IFERROR(__xludf.DUMMYFUNCTION("""COMPUTED_VALUE"""),"")</f>
        <v/>
      </c>
      <c r="D1299" t="str">
        <f>IFERROR(__xludf.DUMMYFUNCTION("""COMPUTED_VALUE"""),"")</f>
        <v/>
      </c>
      <c r="E1299" t="str">
        <f>IFERROR(__xludf.DUMMYFUNCTION("""COMPUTED_VALUE"""),"")</f>
        <v/>
      </c>
      <c r="F1299" t="str">
        <f>IFERROR(__xludf.DUMMYFUNCTION("""COMPUTED_VALUE"""),"")</f>
        <v/>
      </c>
      <c r="G1299" t="str">
        <f>IFERROR(__xludf.DUMMYFUNCTION("""COMPUTED_VALUE"""),"")</f>
        <v/>
      </c>
      <c r="H1299" s="2" t="str">
        <f>IFERROR(__xludf.DUMMYFUNCTION("""COMPUTED_VALUE"""),"")</f>
        <v/>
      </c>
      <c r="I1299" s="2" t="str">
        <f>IFERROR(__xludf.DUMMYFUNCTION("""COMPUTED_VALUE"""),"")</f>
        <v/>
      </c>
      <c r="J1299" s="2">
        <f>IFERROR(__xludf.DUMMYFUNCTION("""COMPUTED_VALUE"""),0.0)</f>
        <v>0</v>
      </c>
      <c r="K1299" s="5" t="str">
        <f>IFERROR(__xludf.DUMMYFUNCTION("""COMPUTED_VALUE"""),"")</f>
        <v/>
      </c>
      <c r="L1299" t="str">
        <f>IFERROR(__xludf.DUMMYFUNCTION("""COMPUTED_VALUE"""),"")</f>
        <v/>
      </c>
      <c r="M1299" t="str">
        <f>IFERROR(__xludf.DUMMYFUNCTION("""COMPUTED_VALUE"""),"")</f>
        <v/>
      </c>
      <c r="N1299" t="str">
        <f>IFERROR(__xludf.DUMMYFUNCTION("""COMPUTED_VALUE"""),"")</f>
        <v/>
      </c>
      <c r="O1299" t="str">
        <f>IFERROR(__xludf.DUMMYFUNCTION("""COMPUTED_VALUE"""),"")</f>
        <v/>
      </c>
      <c r="P1299" t="str">
        <f>IFERROR(__xludf.DUMMYFUNCTION("""COMPUTED_VALUE"""),"ID ")</f>
        <v>ID </v>
      </c>
    </row>
    <row r="1300">
      <c r="A1300" s="6" t="str">
        <f>IFERROR(__xludf.DUMMYFUNCTION("""COMPUTED_VALUE"""),"")</f>
        <v/>
      </c>
      <c r="C1300" t="str">
        <f>IFERROR(__xludf.DUMMYFUNCTION("""COMPUTED_VALUE"""),"")</f>
        <v/>
      </c>
      <c r="D1300" t="str">
        <f>IFERROR(__xludf.DUMMYFUNCTION("""COMPUTED_VALUE"""),"")</f>
        <v/>
      </c>
      <c r="E1300" t="str">
        <f>IFERROR(__xludf.DUMMYFUNCTION("""COMPUTED_VALUE"""),"")</f>
        <v/>
      </c>
      <c r="F1300" t="str">
        <f>IFERROR(__xludf.DUMMYFUNCTION("""COMPUTED_VALUE"""),"")</f>
        <v/>
      </c>
      <c r="G1300" t="str">
        <f>IFERROR(__xludf.DUMMYFUNCTION("""COMPUTED_VALUE"""),"")</f>
        <v/>
      </c>
      <c r="H1300" s="2" t="str">
        <f>IFERROR(__xludf.DUMMYFUNCTION("""COMPUTED_VALUE"""),"")</f>
        <v/>
      </c>
      <c r="I1300" s="2" t="str">
        <f>IFERROR(__xludf.DUMMYFUNCTION("""COMPUTED_VALUE"""),"")</f>
        <v/>
      </c>
      <c r="J1300" s="2">
        <f>IFERROR(__xludf.DUMMYFUNCTION("""COMPUTED_VALUE"""),0.0)</f>
        <v>0</v>
      </c>
      <c r="K1300" s="5" t="str">
        <f>IFERROR(__xludf.DUMMYFUNCTION("""COMPUTED_VALUE"""),"")</f>
        <v/>
      </c>
      <c r="L1300" t="str">
        <f>IFERROR(__xludf.DUMMYFUNCTION("""COMPUTED_VALUE"""),"")</f>
        <v/>
      </c>
      <c r="M1300" t="str">
        <f>IFERROR(__xludf.DUMMYFUNCTION("""COMPUTED_VALUE"""),"")</f>
        <v/>
      </c>
      <c r="N1300" t="str">
        <f>IFERROR(__xludf.DUMMYFUNCTION("""COMPUTED_VALUE"""),"")</f>
        <v/>
      </c>
      <c r="O1300" t="str">
        <f>IFERROR(__xludf.DUMMYFUNCTION("""COMPUTED_VALUE"""),"")</f>
        <v/>
      </c>
      <c r="P1300" t="str">
        <f>IFERROR(__xludf.DUMMYFUNCTION("""COMPUTED_VALUE"""),"ID ")</f>
        <v>ID </v>
      </c>
    </row>
    <row r="1301">
      <c r="A1301" s="6" t="str">
        <f>IFERROR(__xludf.DUMMYFUNCTION("""COMPUTED_VALUE"""),"")</f>
        <v/>
      </c>
      <c r="C1301" t="str">
        <f>IFERROR(__xludf.DUMMYFUNCTION("""COMPUTED_VALUE"""),"")</f>
        <v/>
      </c>
      <c r="D1301" t="str">
        <f>IFERROR(__xludf.DUMMYFUNCTION("""COMPUTED_VALUE"""),"")</f>
        <v/>
      </c>
      <c r="E1301" t="str">
        <f>IFERROR(__xludf.DUMMYFUNCTION("""COMPUTED_VALUE"""),"")</f>
        <v/>
      </c>
      <c r="F1301" t="str">
        <f>IFERROR(__xludf.DUMMYFUNCTION("""COMPUTED_VALUE"""),"")</f>
        <v/>
      </c>
      <c r="G1301" t="str">
        <f>IFERROR(__xludf.DUMMYFUNCTION("""COMPUTED_VALUE"""),"")</f>
        <v/>
      </c>
      <c r="H1301" s="2" t="str">
        <f>IFERROR(__xludf.DUMMYFUNCTION("""COMPUTED_VALUE"""),"")</f>
        <v/>
      </c>
      <c r="I1301" s="2" t="str">
        <f>IFERROR(__xludf.DUMMYFUNCTION("""COMPUTED_VALUE"""),"")</f>
        <v/>
      </c>
      <c r="J1301" s="2">
        <f>IFERROR(__xludf.DUMMYFUNCTION("""COMPUTED_VALUE"""),0.0)</f>
        <v>0</v>
      </c>
      <c r="K1301" s="5" t="str">
        <f>IFERROR(__xludf.DUMMYFUNCTION("""COMPUTED_VALUE"""),"")</f>
        <v/>
      </c>
      <c r="L1301" t="str">
        <f>IFERROR(__xludf.DUMMYFUNCTION("""COMPUTED_VALUE"""),"")</f>
        <v/>
      </c>
      <c r="M1301" t="str">
        <f>IFERROR(__xludf.DUMMYFUNCTION("""COMPUTED_VALUE"""),"")</f>
        <v/>
      </c>
      <c r="N1301" t="str">
        <f>IFERROR(__xludf.DUMMYFUNCTION("""COMPUTED_VALUE"""),"")</f>
        <v/>
      </c>
      <c r="O1301" t="str">
        <f>IFERROR(__xludf.DUMMYFUNCTION("""COMPUTED_VALUE"""),"")</f>
        <v/>
      </c>
      <c r="P1301" t="str">
        <f>IFERROR(__xludf.DUMMYFUNCTION("""COMPUTED_VALUE"""),"ID ")</f>
        <v>ID </v>
      </c>
    </row>
    <row r="1302">
      <c r="A1302" s="6" t="str">
        <f>IFERROR(__xludf.DUMMYFUNCTION("""COMPUTED_VALUE"""),"")</f>
        <v/>
      </c>
      <c r="C1302" t="str">
        <f>IFERROR(__xludf.DUMMYFUNCTION("""COMPUTED_VALUE"""),"")</f>
        <v/>
      </c>
      <c r="D1302" t="str">
        <f>IFERROR(__xludf.DUMMYFUNCTION("""COMPUTED_VALUE"""),"")</f>
        <v/>
      </c>
      <c r="E1302" t="str">
        <f>IFERROR(__xludf.DUMMYFUNCTION("""COMPUTED_VALUE"""),"")</f>
        <v/>
      </c>
      <c r="F1302" t="str">
        <f>IFERROR(__xludf.DUMMYFUNCTION("""COMPUTED_VALUE"""),"")</f>
        <v/>
      </c>
      <c r="G1302" t="str">
        <f>IFERROR(__xludf.DUMMYFUNCTION("""COMPUTED_VALUE"""),"")</f>
        <v/>
      </c>
      <c r="H1302" s="2" t="str">
        <f>IFERROR(__xludf.DUMMYFUNCTION("""COMPUTED_VALUE"""),"")</f>
        <v/>
      </c>
      <c r="I1302" s="2" t="str">
        <f>IFERROR(__xludf.DUMMYFUNCTION("""COMPUTED_VALUE"""),"")</f>
        <v/>
      </c>
      <c r="J1302" s="2">
        <f>IFERROR(__xludf.DUMMYFUNCTION("""COMPUTED_VALUE"""),0.0)</f>
        <v>0</v>
      </c>
      <c r="K1302" s="5" t="str">
        <f>IFERROR(__xludf.DUMMYFUNCTION("""COMPUTED_VALUE"""),"")</f>
        <v/>
      </c>
      <c r="L1302" t="str">
        <f>IFERROR(__xludf.DUMMYFUNCTION("""COMPUTED_VALUE"""),"")</f>
        <v/>
      </c>
      <c r="M1302" t="str">
        <f>IFERROR(__xludf.DUMMYFUNCTION("""COMPUTED_VALUE"""),"")</f>
        <v/>
      </c>
      <c r="N1302" t="str">
        <f>IFERROR(__xludf.DUMMYFUNCTION("""COMPUTED_VALUE"""),"")</f>
        <v/>
      </c>
      <c r="O1302" t="str">
        <f>IFERROR(__xludf.DUMMYFUNCTION("""COMPUTED_VALUE"""),"")</f>
        <v/>
      </c>
      <c r="P1302" t="str">
        <f>IFERROR(__xludf.DUMMYFUNCTION("""COMPUTED_VALUE"""),"ID ")</f>
        <v>ID </v>
      </c>
    </row>
    <row r="1303">
      <c r="A1303" s="6" t="str">
        <f>IFERROR(__xludf.DUMMYFUNCTION("""COMPUTED_VALUE"""),"")</f>
        <v/>
      </c>
      <c r="C1303" t="str">
        <f>IFERROR(__xludf.DUMMYFUNCTION("""COMPUTED_VALUE"""),"")</f>
        <v/>
      </c>
      <c r="D1303" t="str">
        <f>IFERROR(__xludf.DUMMYFUNCTION("""COMPUTED_VALUE"""),"")</f>
        <v/>
      </c>
      <c r="E1303" t="str">
        <f>IFERROR(__xludf.DUMMYFUNCTION("""COMPUTED_VALUE"""),"")</f>
        <v/>
      </c>
      <c r="F1303" t="str">
        <f>IFERROR(__xludf.DUMMYFUNCTION("""COMPUTED_VALUE"""),"")</f>
        <v/>
      </c>
      <c r="G1303" t="str">
        <f>IFERROR(__xludf.DUMMYFUNCTION("""COMPUTED_VALUE"""),"")</f>
        <v/>
      </c>
      <c r="H1303" s="2" t="str">
        <f>IFERROR(__xludf.DUMMYFUNCTION("""COMPUTED_VALUE"""),"")</f>
        <v/>
      </c>
      <c r="I1303" s="2" t="str">
        <f>IFERROR(__xludf.DUMMYFUNCTION("""COMPUTED_VALUE"""),"")</f>
        <v/>
      </c>
      <c r="J1303" s="2">
        <f>IFERROR(__xludf.DUMMYFUNCTION("""COMPUTED_VALUE"""),0.0)</f>
        <v>0</v>
      </c>
      <c r="K1303" s="5" t="str">
        <f>IFERROR(__xludf.DUMMYFUNCTION("""COMPUTED_VALUE"""),"")</f>
        <v/>
      </c>
      <c r="L1303" t="str">
        <f>IFERROR(__xludf.DUMMYFUNCTION("""COMPUTED_VALUE"""),"")</f>
        <v/>
      </c>
      <c r="M1303" t="str">
        <f>IFERROR(__xludf.DUMMYFUNCTION("""COMPUTED_VALUE"""),"")</f>
        <v/>
      </c>
      <c r="N1303" t="str">
        <f>IFERROR(__xludf.DUMMYFUNCTION("""COMPUTED_VALUE"""),"")</f>
        <v/>
      </c>
      <c r="O1303" t="str">
        <f>IFERROR(__xludf.DUMMYFUNCTION("""COMPUTED_VALUE"""),"")</f>
        <v/>
      </c>
      <c r="P1303" t="str">
        <f>IFERROR(__xludf.DUMMYFUNCTION("""COMPUTED_VALUE"""),"ID ")</f>
        <v>ID </v>
      </c>
    </row>
    <row r="1304">
      <c r="A1304" s="6" t="str">
        <f>IFERROR(__xludf.DUMMYFUNCTION("""COMPUTED_VALUE"""),"")</f>
        <v/>
      </c>
      <c r="C1304" t="str">
        <f>IFERROR(__xludf.DUMMYFUNCTION("""COMPUTED_VALUE"""),"")</f>
        <v/>
      </c>
      <c r="D1304" t="str">
        <f>IFERROR(__xludf.DUMMYFUNCTION("""COMPUTED_VALUE"""),"")</f>
        <v/>
      </c>
      <c r="E1304" t="str">
        <f>IFERROR(__xludf.DUMMYFUNCTION("""COMPUTED_VALUE"""),"")</f>
        <v/>
      </c>
      <c r="F1304" t="str">
        <f>IFERROR(__xludf.DUMMYFUNCTION("""COMPUTED_VALUE"""),"")</f>
        <v/>
      </c>
      <c r="G1304" t="str">
        <f>IFERROR(__xludf.DUMMYFUNCTION("""COMPUTED_VALUE"""),"")</f>
        <v/>
      </c>
      <c r="H1304" s="2" t="str">
        <f>IFERROR(__xludf.DUMMYFUNCTION("""COMPUTED_VALUE"""),"")</f>
        <v/>
      </c>
      <c r="I1304" s="2" t="str">
        <f>IFERROR(__xludf.DUMMYFUNCTION("""COMPUTED_VALUE"""),"")</f>
        <v/>
      </c>
      <c r="J1304" s="2">
        <f>IFERROR(__xludf.DUMMYFUNCTION("""COMPUTED_VALUE"""),0.0)</f>
        <v>0</v>
      </c>
      <c r="K1304" s="5" t="str">
        <f>IFERROR(__xludf.DUMMYFUNCTION("""COMPUTED_VALUE"""),"")</f>
        <v/>
      </c>
      <c r="L1304" t="str">
        <f>IFERROR(__xludf.DUMMYFUNCTION("""COMPUTED_VALUE"""),"")</f>
        <v/>
      </c>
      <c r="M1304" t="str">
        <f>IFERROR(__xludf.DUMMYFUNCTION("""COMPUTED_VALUE"""),"")</f>
        <v/>
      </c>
      <c r="N1304" t="str">
        <f>IFERROR(__xludf.DUMMYFUNCTION("""COMPUTED_VALUE"""),"")</f>
        <v/>
      </c>
      <c r="O1304" t="str">
        <f>IFERROR(__xludf.DUMMYFUNCTION("""COMPUTED_VALUE"""),"")</f>
        <v/>
      </c>
      <c r="P1304" t="str">
        <f>IFERROR(__xludf.DUMMYFUNCTION("""COMPUTED_VALUE"""),"ID ")</f>
        <v>ID </v>
      </c>
    </row>
    <row r="1305">
      <c r="A1305" s="6" t="str">
        <f>IFERROR(__xludf.DUMMYFUNCTION("""COMPUTED_VALUE"""),"")</f>
        <v/>
      </c>
      <c r="C1305" t="str">
        <f>IFERROR(__xludf.DUMMYFUNCTION("""COMPUTED_VALUE"""),"")</f>
        <v/>
      </c>
      <c r="D1305" t="str">
        <f>IFERROR(__xludf.DUMMYFUNCTION("""COMPUTED_VALUE"""),"")</f>
        <v/>
      </c>
      <c r="E1305" t="str">
        <f>IFERROR(__xludf.DUMMYFUNCTION("""COMPUTED_VALUE"""),"")</f>
        <v/>
      </c>
      <c r="F1305" t="str">
        <f>IFERROR(__xludf.DUMMYFUNCTION("""COMPUTED_VALUE"""),"")</f>
        <v/>
      </c>
      <c r="G1305" t="str">
        <f>IFERROR(__xludf.DUMMYFUNCTION("""COMPUTED_VALUE"""),"")</f>
        <v/>
      </c>
      <c r="H1305" s="2" t="str">
        <f>IFERROR(__xludf.DUMMYFUNCTION("""COMPUTED_VALUE"""),"")</f>
        <v/>
      </c>
      <c r="I1305" s="2" t="str">
        <f>IFERROR(__xludf.DUMMYFUNCTION("""COMPUTED_VALUE"""),"")</f>
        <v/>
      </c>
      <c r="J1305" s="2">
        <f>IFERROR(__xludf.DUMMYFUNCTION("""COMPUTED_VALUE"""),0.0)</f>
        <v>0</v>
      </c>
      <c r="K1305" s="5" t="str">
        <f>IFERROR(__xludf.DUMMYFUNCTION("""COMPUTED_VALUE"""),"")</f>
        <v/>
      </c>
      <c r="L1305" t="str">
        <f>IFERROR(__xludf.DUMMYFUNCTION("""COMPUTED_VALUE"""),"")</f>
        <v/>
      </c>
      <c r="M1305" t="str">
        <f>IFERROR(__xludf.DUMMYFUNCTION("""COMPUTED_VALUE"""),"")</f>
        <v/>
      </c>
      <c r="N1305" t="str">
        <f>IFERROR(__xludf.DUMMYFUNCTION("""COMPUTED_VALUE"""),"")</f>
        <v/>
      </c>
      <c r="O1305" t="str">
        <f>IFERROR(__xludf.DUMMYFUNCTION("""COMPUTED_VALUE"""),"")</f>
        <v/>
      </c>
      <c r="P1305" t="str">
        <f>IFERROR(__xludf.DUMMYFUNCTION("""COMPUTED_VALUE"""),"ID ")</f>
        <v>ID </v>
      </c>
    </row>
    <row r="1306">
      <c r="A1306" s="6" t="str">
        <f>IFERROR(__xludf.DUMMYFUNCTION("""COMPUTED_VALUE"""),"")</f>
        <v/>
      </c>
      <c r="C1306" t="str">
        <f>IFERROR(__xludf.DUMMYFUNCTION("""COMPUTED_VALUE"""),"")</f>
        <v/>
      </c>
      <c r="D1306" t="str">
        <f>IFERROR(__xludf.DUMMYFUNCTION("""COMPUTED_VALUE"""),"")</f>
        <v/>
      </c>
      <c r="E1306" t="str">
        <f>IFERROR(__xludf.DUMMYFUNCTION("""COMPUTED_VALUE"""),"")</f>
        <v/>
      </c>
      <c r="F1306" t="str">
        <f>IFERROR(__xludf.DUMMYFUNCTION("""COMPUTED_VALUE"""),"")</f>
        <v/>
      </c>
      <c r="G1306" t="str">
        <f>IFERROR(__xludf.DUMMYFUNCTION("""COMPUTED_VALUE"""),"")</f>
        <v/>
      </c>
      <c r="H1306" s="2" t="str">
        <f>IFERROR(__xludf.DUMMYFUNCTION("""COMPUTED_VALUE"""),"")</f>
        <v/>
      </c>
      <c r="I1306" s="2" t="str">
        <f>IFERROR(__xludf.DUMMYFUNCTION("""COMPUTED_VALUE"""),"")</f>
        <v/>
      </c>
      <c r="J1306" s="2">
        <f>IFERROR(__xludf.DUMMYFUNCTION("""COMPUTED_VALUE"""),0.0)</f>
        <v>0</v>
      </c>
      <c r="K1306" s="5" t="str">
        <f>IFERROR(__xludf.DUMMYFUNCTION("""COMPUTED_VALUE"""),"")</f>
        <v/>
      </c>
      <c r="L1306" t="str">
        <f>IFERROR(__xludf.DUMMYFUNCTION("""COMPUTED_VALUE"""),"")</f>
        <v/>
      </c>
      <c r="M1306" t="str">
        <f>IFERROR(__xludf.DUMMYFUNCTION("""COMPUTED_VALUE"""),"")</f>
        <v/>
      </c>
      <c r="N1306" t="str">
        <f>IFERROR(__xludf.DUMMYFUNCTION("""COMPUTED_VALUE"""),"")</f>
        <v/>
      </c>
      <c r="O1306" t="str">
        <f>IFERROR(__xludf.DUMMYFUNCTION("""COMPUTED_VALUE"""),"")</f>
        <v/>
      </c>
      <c r="P1306" t="str">
        <f>IFERROR(__xludf.DUMMYFUNCTION("""COMPUTED_VALUE"""),"ID ")</f>
        <v>ID </v>
      </c>
    </row>
    <row r="1307">
      <c r="A1307" s="6" t="str">
        <f>IFERROR(__xludf.DUMMYFUNCTION("""COMPUTED_VALUE"""),"")</f>
        <v/>
      </c>
      <c r="C1307" t="str">
        <f>IFERROR(__xludf.DUMMYFUNCTION("""COMPUTED_VALUE"""),"")</f>
        <v/>
      </c>
      <c r="D1307" t="str">
        <f>IFERROR(__xludf.DUMMYFUNCTION("""COMPUTED_VALUE"""),"")</f>
        <v/>
      </c>
      <c r="E1307" t="str">
        <f>IFERROR(__xludf.DUMMYFUNCTION("""COMPUTED_VALUE"""),"")</f>
        <v/>
      </c>
      <c r="F1307" t="str">
        <f>IFERROR(__xludf.DUMMYFUNCTION("""COMPUTED_VALUE"""),"")</f>
        <v/>
      </c>
      <c r="G1307" t="str">
        <f>IFERROR(__xludf.DUMMYFUNCTION("""COMPUTED_VALUE"""),"")</f>
        <v/>
      </c>
      <c r="H1307" s="2" t="str">
        <f>IFERROR(__xludf.DUMMYFUNCTION("""COMPUTED_VALUE"""),"")</f>
        <v/>
      </c>
      <c r="I1307" s="2" t="str">
        <f>IFERROR(__xludf.DUMMYFUNCTION("""COMPUTED_VALUE"""),"")</f>
        <v/>
      </c>
      <c r="J1307" s="2">
        <f>IFERROR(__xludf.DUMMYFUNCTION("""COMPUTED_VALUE"""),0.0)</f>
        <v>0</v>
      </c>
      <c r="K1307" s="5" t="str">
        <f>IFERROR(__xludf.DUMMYFUNCTION("""COMPUTED_VALUE"""),"")</f>
        <v/>
      </c>
      <c r="L1307" t="str">
        <f>IFERROR(__xludf.DUMMYFUNCTION("""COMPUTED_VALUE"""),"")</f>
        <v/>
      </c>
      <c r="M1307" t="str">
        <f>IFERROR(__xludf.DUMMYFUNCTION("""COMPUTED_VALUE"""),"")</f>
        <v/>
      </c>
      <c r="N1307" t="str">
        <f>IFERROR(__xludf.DUMMYFUNCTION("""COMPUTED_VALUE"""),"")</f>
        <v/>
      </c>
      <c r="O1307" t="str">
        <f>IFERROR(__xludf.DUMMYFUNCTION("""COMPUTED_VALUE"""),"")</f>
        <v/>
      </c>
      <c r="P1307" t="str">
        <f>IFERROR(__xludf.DUMMYFUNCTION("""COMPUTED_VALUE"""),"ID ")</f>
        <v>ID </v>
      </c>
    </row>
    <row r="1308">
      <c r="A1308" s="6" t="str">
        <f>IFERROR(__xludf.DUMMYFUNCTION("""COMPUTED_VALUE"""),"")</f>
        <v/>
      </c>
      <c r="C1308" t="str">
        <f>IFERROR(__xludf.DUMMYFUNCTION("""COMPUTED_VALUE"""),"")</f>
        <v/>
      </c>
      <c r="D1308" t="str">
        <f>IFERROR(__xludf.DUMMYFUNCTION("""COMPUTED_VALUE"""),"")</f>
        <v/>
      </c>
      <c r="E1308" t="str">
        <f>IFERROR(__xludf.DUMMYFUNCTION("""COMPUTED_VALUE"""),"")</f>
        <v/>
      </c>
      <c r="F1308" t="str">
        <f>IFERROR(__xludf.DUMMYFUNCTION("""COMPUTED_VALUE"""),"")</f>
        <v/>
      </c>
      <c r="G1308" t="str">
        <f>IFERROR(__xludf.DUMMYFUNCTION("""COMPUTED_VALUE"""),"")</f>
        <v/>
      </c>
      <c r="H1308" s="2" t="str">
        <f>IFERROR(__xludf.DUMMYFUNCTION("""COMPUTED_VALUE"""),"")</f>
        <v/>
      </c>
      <c r="I1308" s="2" t="str">
        <f>IFERROR(__xludf.DUMMYFUNCTION("""COMPUTED_VALUE"""),"")</f>
        <v/>
      </c>
      <c r="J1308" s="2">
        <f>IFERROR(__xludf.DUMMYFUNCTION("""COMPUTED_VALUE"""),0.0)</f>
        <v>0</v>
      </c>
      <c r="K1308" s="5" t="str">
        <f>IFERROR(__xludf.DUMMYFUNCTION("""COMPUTED_VALUE"""),"")</f>
        <v/>
      </c>
      <c r="L1308" t="str">
        <f>IFERROR(__xludf.DUMMYFUNCTION("""COMPUTED_VALUE"""),"")</f>
        <v/>
      </c>
      <c r="M1308" t="str">
        <f>IFERROR(__xludf.DUMMYFUNCTION("""COMPUTED_VALUE"""),"")</f>
        <v/>
      </c>
      <c r="N1308" t="str">
        <f>IFERROR(__xludf.DUMMYFUNCTION("""COMPUTED_VALUE"""),"")</f>
        <v/>
      </c>
      <c r="O1308" t="str">
        <f>IFERROR(__xludf.DUMMYFUNCTION("""COMPUTED_VALUE"""),"")</f>
        <v/>
      </c>
      <c r="P1308" t="str">
        <f>IFERROR(__xludf.DUMMYFUNCTION("""COMPUTED_VALUE"""),"ID ")</f>
        <v>ID </v>
      </c>
    </row>
    <row r="1309">
      <c r="A1309" s="6" t="str">
        <f>IFERROR(__xludf.DUMMYFUNCTION("""COMPUTED_VALUE"""),"")</f>
        <v/>
      </c>
      <c r="C1309" t="str">
        <f>IFERROR(__xludf.DUMMYFUNCTION("""COMPUTED_VALUE"""),"")</f>
        <v/>
      </c>
      <c r="D1309" t="str">
        <f>IFERROR(__xludf.DUMMYFUNCTION("""COMPUTED_VALUE"""),"")</f>
        <v/>
      </c>
      <c r="E1309" t="str">
        <f>IFERROR(__xludf.DUMMYFUNCTION("""COMPUTED_VALUE"""),"")</f>
        <v/>
      </c>
      <c r="F1309" t="str">
        <f>IFERROR(__xludf.DUMMYFUNCTION("""COMPUTED_VALUE"""),"")</f>
        <v/>
      </c>
      <c r="G1309" t="str">
        <f>IFERROR(__xludf.DUMMYFUNCTION("""COMPUTED_VALUE"""),"")</f>
        <v/>
      </c>
      <c r="H1309" s="2" t="str">
        <f>IFERROR(__xludf.DUMMYFUNCTION("""COMPUTED_VALUE"""),"")</f>
        <v/>
      </c>
      <c r="I1309" s="2" t="str">
        <f>IFERROR(__xludf.DUMMYFUNCTION("""COMPUTED_VALUE"""),"")</f>
        <v/>
      </c>
      <c r="J1309" s="2">
        <f>IFERROR(__xludf.DUMMYFUNCTION("""COMPUTED_VALUE"""),0.0)</f>
        <v>0</v>
      </c>
      <c r="K1309" s="5" t="str">
        <f>IFERROR(__xludf.DUMMYFUNCTION("""COMPUTED_VALUE"""),"")</f>
        <v/>
      </c>
      <c r="L1309" t="str">
        <f>IFERROR(__xludf.DUMMYFUNCTION("""COMPUTED_VALUE"""),"")</f>
        <v/>
      </c>
      <c r="M1309" t="str">
        <f>IFERROR(__xludf.DUMMYFUNCTION("""COMPUTED_VALUE"""),"")</f>
        <v/>
      </c>
      <c r="N1309" t="str">
        <f>IFERROR(__xludf.DUMMYFUNCTION("""COMPUTED_VALUE"""),"")</f>
        <v/>
      </c>
      <c r="O1309" t="str">
        <f>IFERROR(__xludf.DUMMYFUNCTION("""COMPUTED_VALUE"""),"")</f>
        <v/>
      </c>
      <c r="P1309" t="str">
        <f>IFERROR(__xludf.DUMMYFUNCTION("""COMPUTED_VALUE"""),"ID ")</f>
        <v>ID </v>
      </c>
    </row>
    <row r="1310">
      <c r="A1310" s="6" t="str">
        <f>IFERROR(__xludf.DUMMYFUNCTION("""COMPUTED_VALUE"""),"")</f>
        <v/>
      </c>
      <c r="C1310" t="str">
        <f>IFERROR(__xludf.DUMMYFUNCTION("""COMPUTED_VALUE"""),"")</f>
        <v/>
      </c>
      <c r="D1310" t="str">
        <f>IFERROR(__xludf.DUMMYFUNCTION("""COMPUTED_VALUE"""),"")</f>
        <v/>
      </c>
      <c r="E1310" t="str">
        <f>IFERROR(__xludf.DUMMYFUNCTION("""COMPUTED_VALUE"""),"")</f>
        <v/>
      </c>
      <c r="F1310" t="str">
        <f>IFERROR(__xludf.DUMMYFUNCTION("""COMPUTED_VALUE"""),"")</f>
        <v/>
      </c>
      <c r="G1310" t="str">
        <f>IFERROR(__xludf.DUMMYFUNCTION("""COMPUTED_VALUE"""),"")</f>
        <v/>
      </c>
      <c r="H1310" s="2" t="str">
        <f>IFERROR(__xludf.DUMMYFUNCTION("""COMPUTED_VALUE"""),"")</f>
        <v/>
      </c>
      <c r="I1310" s="2" t="str">
        <f>IFERROR(__xludf.DUMMYFUNCTION("""COMPUTED_VALUE"""),"")</f>
        <v/>
      </c>
      <c r="J1310" s="2">
        <f>IFERROR(__xludf.DUMMYFUNCTION("""COMPUTED_VALUE"""),0.0)</f>
        <v>0</v>
      </c>
      <c r="K1310" s="5" t="str">
        <f>IFERROR(__xludf.DUMMYFUNCTION("""COMPUTED_VALUE"""),"")</f>
        <v/>
      </c>
      <c r="L1310" t="str">
        <f>IFERROR(__xludf.DUMMYFUNCTION("""COMPUTED_VALUE"""),"")</f>
        <v/>
      </c>
      <c r="M1310" t="str">
        <f>IFERROR(__xludf.DUMMYFUNCTION("""COMPUTED_VALUE"""),"")</f>
        <v/>
      </c>
      <c r="N1310" t="str">
        <f>IFERROR(__xludf.DUMMYFUNCTION("""COMPUTED_VALUE"""),"")</f>
        <v/>
      </c>
      <c r="O1310" t="str">
        <f>IFERROR(__xludf.DUMMYFUNCTION("""COMPUTED_VALUE"""),"")</f>
        <v/>
      </c>
      <c r="P1310" t="str">
        <f>IFERROR(__xludf.DUMMYFUNCTION("""COMPUTED_VALUE"""),"ID ")</f>
        <v>ID </v>
      </c>
    </row>
    <row r="1311">
      <c r="A1311" s="6" t="str">
        <f>IFERROR(__xludf.DUMMYFUNCTION("""COMPUTED_VALUE"""),"")</f>
        <v/>
      </c>
      <c r="C1311" t="str">
        <f>IFERROR(__xludf.DUMMYFUNCTION("""COMPUTED_VALUE"""),"")</f>
        <v/>
      </c>
      <c r="D1311" t="str">
        <f>IFERROR(__xludf.DUMMYFUNCTION("""COMPUTED_VALUE"""),"")</f>
        <v/>
      </c>
      <c r="E1311" t="str">
        <f>IFERROR(__xludf.DUMMYFUNCTION("""COMPUTED_VALUE"""),"")</f>
        <v/>
      </c>
      <c r="F1311" t="str">
        <f>IFERROR(__xludf.DUMMYFUNCTION("""COMPUTED_VALUE"""),"")</f>
        <v/>
      </c>
      <c r="G1311" t="str">
        <f>IFERROR(__xludf.DUMMYFUNCTION("""COMPUTED_VALUE"""),"")</f>
        <v/>
      </c>
      <c r="H1311" s="2" t="str">
        <f>IFERROR(__xludf.DUMMYFUNCTION("""COMPUTED_VALUE"""),"")</f>
        <v/>
      </c>
      <c r="I1311" s="2" t="str">
        <f>IFERROR(__xludf.DUMMYFUNCTION("""COMPUTED_VALUE"""),"")</f>
        <v/>
      </c>
      <c r="J1311" s="2">
        <f>IFERROR(__xludf.DUMMYFUNCTION("""COMPUTED_VALUE"""),0.0)</f>
        <v>0</v>
      </c>
      <c r="K1311" s="5" t="str">
        <f>IFERROR(__xludf.DUMMYFUNCTION("""COMPUTED_VALUE"""),"")</f>
        <v/>
      </c>
      <c r="L1311" t="str">
        <f>IFERROR(__xludf.DUMMYFUNCTION("""COMPUTED_VALUE"""),"")</f>
        <v/>
      </c>
      <c r="M1311" t="str">
        <f>IFERROR(__xludf.DUMMYFUNCTION("""COMPUTED_VALUE"""),"")</f>
        <v/>
      </c>
      <c r="N1311" t="str">
        <f>IFERROR(__xludf.DUMMYFUNCTION("""COMPUTED_VALUE"""),"")</f>
        <v/>
      </c>
      <c r="O1311" t="str">
        <f>IFERROR(__xludf.DUMMYFUNCTION("""COMPUTED_VALUE"""),"")</f>
        <v/>
      </c>
      <c r="P1311" t="str">
        <f>IFERROR(__xludf.DUMMYFUNCTION("""COMPUTED_VALUE"""),"ID ")</f>
        <v>ID </v>
      </c>
    </row>
    <row r="1312">
      <c r="A1312" s="6" t="str">
        <f>IFERROR(__xludf.DUMMYFUNCTION("""COMPUTED_VALUE"""),"")</f>
        <v/>
      </c>
      <c r="C1312" t="str">
        <f>IFERROR(__xludf.DUMMYFUNCTION("""COMPUTED_VALUE"""),"")</f>
        <v/>
      </c>
      <c r="D1312" t="str">
        <f>IFERROR(__xludf.DUMMYFUNCTION("""COMPUTED_VALUE"""),"")</f>
        <v/>
      </c>
      <c r="E1312" t="str">
        <f>IFERROR(__xludf.DUMMYFUNCTION("""COMPUTED_VALUE"""),"")</f>
        <v/>
      </c>
      <c r="F1312" t="str">
        <f>IFERROR(__xludf.DUMMYFUNCTION("""COMPUTED_VALUE"""),"")</f>
        <v/>
      </c>
      <c r="G1312" t="str">
        <f>IFERROR(__xludf.DUMMYFUNCTION("""COMPUTED_VALUE"""),"")</f>
        <v/>
      </c>
      <c r="H1312" s="2" t="str">
        <f>IFERROR(__xludf.DUMMYFUNCTION("""COMPUTED_VALUE"""),"")</f>
        <v/>
      </c>
      <c r="I1312" s="2" t="str">
        <f>IFERROR(__xludf.DUMMYFUNCTION("""COMPUTED_VALUE"""),"")</f>
        <v/>
      </c>
      <c r="J1312" s="2">
        <f>IFERROR(__xludf.DUMMYFUNCTION("""COMPUTED_VALUE"""),0.0)</f>
        <v>0</v>
      </c>
      <c r="K1312" s="5" t="str">
        <f>IFERROR(__xludf.DUMMYFUNCTION("""COMPUTED_VALUE"""),"")</f>
        <v/>
      </c>
      <c r="L1312" t="str">
        <f>IFERROR(__xludf.DUMMYFUNCTION("""COMPUTED_VALUE"""),"")</f>
        <v/>
      </c>
      <c r="M1312" t="str">
        <f>IFERROR(__xludf.DUMMYFUNCTION("""COMPUTED_VALUE"""),"")</f>
        <v/>
      </c>
      <c r="N1312" t="str">
        <f>IFERROR(__xludf.DUMMYFUNCTION("""COMPUTED_VALUE"""),"")</f>
        <v/>
      </c>
      <c r="O1312" t="str">
        <f>IFERROR(__xludf.DUMMYFUNCTION("""COMPUTED_VALUE"""),"")</f>
        <v/>
      </c>
      <c r="P1312" t="str">
        <f>IFERROR(__xludf.DUMMYFUNCTION("""COMPUTED_VALUE"""),"ID ")</f>
        <v>ID </v>
      </c>
    </row>
    <row r="1313">
      <c r="A1313" s="6" t="str">
        <f>IFERROR(__xludf.DUMMYFUNCTION("""COMPUTED_VALUE"""),"")</f>
        <v/>
      </c>
      <c r="C1313" t="str">
        <f>IFERROR(__xludf.DUMMYFUNCTION("""COMPUTED_VALUE"""),"")</f>
        <v/>
      </c>
      <c r="D1313" t="str">
        <f>IFERROR(__xludf.DUMMYFUNCTION("""COMPUTED_VALUE"""),"")</f>
        <v/>
      </c>
      <c r="E1313" t="str">
        <f>IFERROR(__xludf.DUMMYFUNCTION("""COMPUTED_VALUE"""),"")</f>
        <v/>
      </c>
      <c r="F1313" t="str">
        <f>IFERROR(__xludf.DUMMYFUNCTION("""COMPUTED_VALUE"""),"")</f>
        <v/>
      </c>
      <c r="G1313" t="str">
        <f>IFERROR(__xludf.DUMMYFUNCTION("""COMPUTED_VALUE"""),"")</f>
        <v/>
      </c>
      <c r="H1313" s="2" t="str">
        <f>IFERROR(__xludf.DUMMYFUNCTION("""COMPUTED_VALUE"""),"")</f>
        <v/>
      </c>
      <c r="I1313" s="2" t="str">
        <f>IFERROR(__xludf.DUMMYFUNCTION("""COMPUTED_VALUE"""),"")</f>
        <v/>
      </c>
      <c r="J1313" s="2">
        <f>IFERROR(__xludf.DUMMYFUNCTION("""COMPUTED_VALUE"""),0.0)</f>
        <v>0</v>
      </c>
      <c r="K1313" s="5" t="str">
        <f>IFERROR(__xludf.DUMMYFUNCTION("""COMPUTED_VALUE"""),"")</f>
        <v/>
      </c>
      <c r="L1313" t="str">
        <f>IFERROR(__xludf.DUMMYFUNCTION("""COMPUTED_VALUE"""),"")</f>
        <v/>
      </c>
      <c r="M1313" t="str">
        <f>IFERROR(__xludf.DUMMYFUNCTION("""COMPUTED_VALUE"""),"")</f>
        <v/>
      </c>
      <c r="N1313" t="str">
        <f>IFERROR(__xludf.DUMMYFUNCTION("""COMPUTED_VALUE"""),"")</f>
        <v/>
      </c>
      <c r="O1313" t="str">
        <f>IFERROR(__xludf.DUMMYFUNCTION("""COMPUTED_VALUE"""),"")</f>
        <v/>
      </c>
      <c r="P1313" t="str">
        <f>IFERROR(__xludf.DUMMYFUNCTION("""COMPUTED_VALUE"""),"ID ")</f>
        <v>ID </v>
      </c>
    </row>
    <row r="1314">
      <c r="A1314" s="6" t="str">
        <f>IFERROR(__xludf.DUMMYFUNCTION("""COMPUTED_VALUE"""),"")</f>
        <v/>
      </c>
      <c r="C1314" t="str">
        <f>IFERROR(__xludf.DUMMYFUNCTION("""COMPUTED_VALUE"""),"")</f>
        <v/>
      </c>
      <c r="D1314" t="str">
        <f>IFERROR(__xludf.DUMMYFUNCTION("""COMPUTED_VALUE"""),"")</f>
        <v/>
      </c>
      <c r="E1314" t="str">
        <f>IFERROR(__xludf.DUMMYFUNCTION("""COMPUTED_VALUE"""),"")</f>
        <v/>
      </c>
      <c r="F1314" t="str">
        <f>IFERROR(__xludf.DUMMYFUNCTION("""COMPUTED_VALUE"""),"")</f>
        <v/>
      </c>
      <c r="G1314" t="str">
        <f>IFERROR(__xludf.DUMMYFUNCTION("""COMPUTED_VALUE"""),"")</f>
        <v/>
      </c>
      <c r="H1314" s="2" t="str">
        <f>IFERROR(__xludf.DUMMYFUNCTION("""COMPUTED_VALUE"""),"")</f>
        <v/>
      </c>
      <c r="I1314" s="2" t="str">
        <f>IFERROR(__xludf.DUMMYFUNCTION("""COMPUTED_VALUE"""),"")</f>
        <v/>
      </c>
      <c r="J1314" s="2">
        <f>IFERROR(__xludf.DUMMYFUNCTION("""COMPUTED_VALUE"""),0.0)</f>
        <v>0</v>
      </c>
      <c r="K1314" s="5" t="str">
        <f>IFERROR(__xludf.DUMMYFUNCTION("""COMPUTED_VALUE"""),"")</f>
        <v/>
      </c>
      <c r="L1314" t="str">
        <f>IFERROR(__xludf.DUMMYFUNCTION("""COMPUTED_VALUE"""),"")</f>
        <v/>
      </c>
      <c r="M1314" t="str">
        <f>IFERROR(__xludf.DUMMYFUNCTION("""COMPUTED_VALUE"""),"")</f>
        <v/>
      </c>
      <c r="N1314" t="str">
        <f>IFERROR(__xludf.DUMMYFUNCTION("""COMPUTED_VALUE"""),"")</f>
        <v/>
      </c>
      <c r="O1314" t="str">
        <f>IFERROR(__xludf.DUMMYFUNCTION("""COMPUTED_VALUE"""),"")</f>
        <v/>
      </c>
      <c r="P1314" t="str">
        <f>IFERROR(__xludf.DUMMYFUNCTION("""COMPUTED_VALUE"""),"ID ")</f>
        <v>ID </v>
      </c>
    </row>
    <row r="1315">
      <c r="A1315" s="6" t="str">
        <f>IFERROR(__xludf.DUMMYFUNCTION("""COMPUTED_VALUE"""),"")</f>
        <v/>
      </c>
      <c r="C1315" t="str">
        <f>IFERROR(__xludf.DUMMYFUNCTION("""COMPUTED_VALUE"""),"")</f>
        <v/>
      </c>
      <c r="D1315" t="str">
        <f>IFERROR(__xludf.DUMMYFUNCTION("""COMPUTED_VALUE"""),"")</f>
        <v/>
      </c>
      <c r="E1315" t="str">
        <f>IFERROR(__xludf.DUMMYFUNCTION("""COMPUTED_VALUE"""),"")</f>
        <v/>
      </c>
      <c r="F1315" t="str">
        <f>IFERROR(__xludf.DUMMYFUNCTION("""COMPUTED_VALUE"""),"")</f>
        <v/>
      </c>
      <c r="G1315" t="str">
        <f>IFERROR(__xludf.DUMMYFUNCTION("""COMPUTED_VALUE"""),"")</f>
        <v/>
      </c>
      <c r="H1315" s="2" t="str">
        <f>IFERROR(__xludf.DUMMYFUNCTION("""COMPUTED_VALUE"""),"")</f>
        <v/>
      </c>
      <c r="I1315" s="2" t="str">
        <f>IFERROR(__xludf.DUMMYFUNCTION("""COMPUTED_VALUE"""),"")</f>
        <v/>
      </c>
      <c r="J1315" s="2">
        <f>IFERROR(__xludf.DUMMYFUNCTION("""COMPUTED_VALUE"""),0.0)</f>
        <v>0</v>
      </c>
      <c r="K1315" s="5" t="str">
        <f>IFERROR(__xludf.DUMMYFUNCTION("""COMPUTED_VALUE"""),"")</f>
        <v/>
      </c>
      <c r="L1315" t="str">
        <f>IFERROR(__xludf.DUMMYFUNCTION("""COMPUTED_VALUE"""),"")</f>
        <v/>
      </c>
      <c r="M1315" t="str">
        <f>IFERROR(__xludf.DUMMYFUNCTION("""COMPUTED_VALUE"""),"")</f>
        <v/>
      </c>
      <c r="N1315" t="str">
        <f>IFERROR(__xludf.DUMMYFUNCTION("""COMPUTED_VALUE"""),"")</f>
        <v/>
      </c>
      <c r="O1315" t="str">
        <f>IFERROR(__xludf.DUMMYFUNCTION("""COMPUTED_VALUE"""),"")</f>
        <v/>
      </c>
      <c r="P1315" t="str">
        <f>IFERROR(__xludf.DUMMYFUNCTION("""COMPUTED_VALUE"""),"ID ")</f>
        <v>ID </v>
      </c>
    </row>
    <row r="1316">
      <c r="A1316" s="6" t="str">
        <f>IFERROR(__xludf.DUMMYFUNCTION("""COMPUTED_VALUE"""),"")</f>
        <v/>
      </c>
      <c r="C1316" t="str">
        <f>IFERROR(__xludf.DUMMYFUNCTION("""COMPUTED_VALUE"""),"")</f>
        <v/>
      </c>
      <c r="D1316" t="str">
        <f>IFERROR(__xludf.DUMMYFUNCTION("""COMPUTED_VALUE"""),"")</f>
        <v/>
      </c>
      <c r="E1316" t="str">
        <f>IFERROR(__xludf.DUMMYFUNCTION("""COMPUTED_VALUE"""),"")</f>
        <v/>
      </c>
      <c r="F1316" t="str">
        <f>IFERROR(__xludf.DUMMYFUNCTION("""COMPUTED_VALUE"""),"")</f>
        <v/>
      </c>
      <c r="G1316" t="str">
        <f>IFERROR(__xludf.DUMMYFUNCTION("""COMPUTED_VALUE"""),"")</f>
        <v/>
      </c>
      <c r="H1316" s="2" t="str">
        <f>IFERROR(__xludf.DUMMYFUNCTION("""COMPUTED_VALUE"""),"")</f>
        <v/>
      </c>
      <c r="I1316" s="2" t="str">
        <f>IFERROR(__xludf.DUMMYFUNCTION("""COMPUTED_VALUE"""),"")</f>
        <v/>
      </c>
      <c r="J1316" s="2">
        <f>IFERROR(__xludf.DUMMYFUNCTION("""COMPUTED_VALUE"""),0.0)</f>
        <v>0</v>
      </c>
      <c r="K1316" s="5" t="str">
        <f>IFERROR(__xludf.DUMMYFUNCTION("""COMPUTED_VALUE"""),"")</f>
        <v/>
      </c>
      <c r="L1316" t="str">
        <f>IFERROR(__xludf.DUMMYFUNCTION("""COMPUTED_VALUE"""),"")</f>
        <v/>
      </c>
      <c r="M1316" t="str">
        <f>IFERROR(__xludf.DUMMYFUNCTION("""COMPUTED_VALUE"""),"")</f>
        <v/>
      </c>
      <c r="N1316" t="str">
        <f>IFERROR(__xludf.DUMMYFUNCTION("""COMPUTED_VALUE"""),"")</f>
        <v/>
      </c>
      <c r="O1316" t="str">
        <f>IFERROR(__xludf.DUMMYFUNCTION("""COMPUTED_VALUE"""),"")</f>
        <v/>
      </c>
      <c r="P1316" t="str">
        <f>IFERROR(__xludf.DUMMYFUNCTION("""COMPUTED_VALUE"""),"ID ")</f>
        <v>ID </v>
      </c>
    </row>
    <row r="1317">
      <c r="A1317" s="6" t="str">
        <f>IFERROR(__xludf.DUMMYFUNCTION("""COMPUTED_VALUE"""),"")</f>
        <v/>
      </c>
      <c r="C1317" t="str">
        <f>IFERROR(__xludf.DUMMYFUNCTION("""COMPUTED_VALUE"""),"")</f>
        <v/>
      </c>
      <c r="D1317" t="str">
        <f>IFERROR(__xludf.DUMMYFUNCTION("""COMPUTED_VALUE"""),"")</f>
        <v/>
      </c>
      <c r="E1317" t="str">
        <f>IFERROR(__xludf.DUMMYFUNCTION("""COMPUTED_VALUE"""),"")</f>
        <v/>
      </c>
      <c r="F1317" t="str">
        <f>IFERROR(__xludf.DUMMYFUNCTION("""COMPUTED_VALUE"""),"")</f>
        <v/>
      </c>
      <c r="G1317" t="str">
        <f>IFERROR(__xludf.DUMMYFUNCTION("""COMPUTED_VALUE"""),"")</f>
        <v/>
      </c>
      <c r="H1317" s="2" t="str">
        <f>IFERROR(__xludf.DUMMYFUNCTION("""COMPUTED_VALUE"""),"")</f>
        <v/>
      </c>
      <c r="I1317" s="2" t="str">
        <f>IFERROR(__xludf.DUMMYFUNCTION("""COMPUTED_VALUE"""),"")</f>
        <v/>
      </c>
      <c r="J1317" s="2">
        <f>IFERROR(__xludf.DUMMYFUNCTION("""COMPUTED_VALUE"""),0.0)</f>
        <v>0</v>
      </c>
      <c r="K1317" s="5" t="str">
        <f>IFERROR(__xludf.DUMMYFUNCTION("""COMPUTED_VALUE"""),"")</f>
        <v/>
      </c>
      <c r="L1317" t="str">
        <f>IFERROR(__xludf.DUMMYFUNCTION("""COMPUTED_VALUE"""),"")</f>
        <v/>
      </c>
      <c r="M1317" t="str">
        <f>IFERROR(__xludf.DUMMYFUNCTION("""COMPUTED_VALUE"""),"")</f>
        <v/>
      </c>
      <c r="N1317" t="str">
        <f>IFERROR(__xludf.DUMMYFUNCTION("""COMPUTED_VALUE"""),"")</f>
        <v/>
      </c>
      <c r="O1317" t="str">
        <f>IFERROR(__xludf.DUMMYFUNCTION("""COMPUTED_VALUE"""),"")</f>
        <v/>
      </c>
      <c r="P1317" t="str">
        <f>IFERROR(__xludf.DUMMYFUNCTION("""COMPUTED_VALUE"""),"ID ")</f>
        <v>ID </v>
      </c>
    </row>
    <row r="1318">
      <c r="A1318" s="6" t="str">
        <f>IFERROR(__xludf.DUMMYFUNCTION("""COMPUTED_VALUE"""),"")</f>
        <v/>
      </c>
      <c r="C1318" t="str">
        <f>IFERROR(__xludf.DUMMYFUNCTION("""COMPUTED_VALUE"""),"")</f>
        <v/>
      </c>
      <c r="D1318" t="str">
        <f>IFERROR(__xludf.DUMMYFUNCTION("""COMPUTED_VALUE"""),"")</f>
        <v/>
      </c>
      <c r="E1318" t="str">
        <f>IFERROR(__xludf.DUMMYFUNCTION("""COMPUTED_VALUE"""),"")</f>
        <v/>
      </c>
      <c r="F1318" t="str">
        <f>IFERROR(__xludf.DUMMYFUNCTION("""COMPUTED_VALUE"""),"")</f>
        <v/>
      </c>
      <c r="G1318" t="str">
        <f>IFERROR(__xludf.DUMMYFUNCTION("""COMPUTED_VALUE"""),"")</f>
        <v/>
      </c>
      <c r="H1318" s="2" t="str">
        <f>IFERROR(__xludf.DUMMYFUNCTION("""COMPUTED_VALUE"""),"")</f>
        <v/>
      </c>
      <c r="I1318" s="2" t="str">
        <f>IFERROR(__xludf.DUMMYFUNCTION("""COMPUTED_VALUE"""),"")</f>
        <v/>
      </c>
      <c r="J1318" s="2">
        <f>IFERROR(__xludf.DUMMYFUNCTION("""COMPUTED_VALUE"""),0.0)</f>
        <v>0</v>
      </c>
      <c r="K1318" s="5" t="str">
        <f>IFERROR(__xludf.DUMMYFUNCTION("""COMPUTED_VALUE"""),"")</f>
        <v/>
      </c>
      <c r="L1318" t="str">
        <f>IFERROR(__xludf.DUMMYFUNCTION("""COMPUTED_VALUE"""),"")</f>
        <v/>
      </c>
      <c r="M1318" t="str">
        <f>IFERROR(__xludf.DUMMYFUNCTION("""COMPUTED_VALUE"""),"")</f>
        <v/>
      </c>
      <c r="N1318" t="str">
        <f>IFERROR(__xludf.DUMMYFUNCTION("""COMPUTED_VALUE"""),"")</f>
        <v/>
      </c>
      <c r="O1318" t="str">
        <f>IFERROR(__xludf.DUMMYFUNCTION("""COMPUTED_VALUE"""),"")</f>
        <v/>
      </c>
      <c r="P1318" t="str">
        <f>IFERROR(__xludf.DUMMYFUNCTION("""COMPUTED_VALUE"""),"ID ")</f>
        <v>ID </v>
      </c>
    </row>
    <row r="1319">
      <c r="A1319" s="6" t="str">
        <f>IFERROR(__xludf.DUMMYFUNCTION("""COMPUTED_VALUE"""),"")</f>
        <v/>
      </c>
      <c r="C1319" t="str">
        <f>IFERROR(__xludf.DUMMYFUNCTION("""COMPUTED_VALUE"""),"")</f>
        <v/>
      </c>
      <c r="D1319" t="str">
        <f>IFERROR(__xludf.DUMMYFUNCTION("""COMPUTED_VALUE"""),"")</f>
        <v/>
      </c>
      <c r="E1319" t="str">
        <f>IFERROR(__xludf.DUMMYFUNCTION("""COMPUTED_VALUE"""),"")</f>
        <v/>
      </c>
      <c r="F1319" t="str">
        <f>IFERROR(__xludf.DUMMYFUNCTION("""COMPUTED_VALUE"""),"")</f>
        <v/>
      </c>
      <c r="G1319" t="str">
        <f>IFERROR(__xludf.DUMMYFUNCTION("""COMPUTED_VALUE"""),"")</f>
        <v/>
      </c>
      <c r="H1319" s="2" t="str">
        <f>IFERROR(__xludf.DUMMYFUNCTION("""COMPUTED_VALUE"""),"")</f>
        <v/>
      </c>
      <c r="I1319" s="2" t="str">
        <f>IFERROR(__xludf.DUMMYFUNCTION("""COMPUTED_VALUE"""),"")</f>
        <v/>
      </c>
      <c r="J1319" s="2">
        <f>IFERROR(__xludf.DUMMYFUNCTION("""COMPUTED_VALUE"""),0.0)</f>
        <v>0</v>
      </c>
      <c r="K1319" s="5" t="str">
        <f>IFERROR(__xludf.DUMMYFUNCTION("""COMPUTED_VALUE"""),"")</f>
        <v/>
      </c>
      <c r="L1319" t="str">
        <f>IFERROR(__xludf.DUMMYFUNCTION("""COMPUTED_VALUE"""),"")</f>
        <v/>
      </c>
      <c r="M1319" t="str">
        <f>IFERROR(__xludf.DUMMYFUNCTION("""COMPUTED_VALUE"""),"")</f>
        <v/>
      </c>
      <c r="N1319" t="str">
        <f>IFERROR(__xludf.DUMMYFUNCTION("""COMPUTED_VALUE"""),"")</f>
        <v/>
      </c>
      <c r="O1319" t="str">
        <f>IFERROR(__xludf.DUMMYFUNCTION("""COMPUTED_VALUE"""),"")</f>
        <v/>
      </c>
      <c r="P1319" t="str">
        <f>IFERROR(__xludf.DUMMYFUNCTION("""COMPUTED_VALUE"""),"ID ")</f>
        <v>ID </v>
      </c>
    </row>
    <row r="1320">
      <c r="A1320" s="6" t="str">
        <f>IFERROR(__xludf.DUMMYFUNCTION("""COMPUTED_VALUE"""),"")</f>
        <v/>
      </c>
      <c r="C1320" t="str">
        <f>IFERROR(__xludf.DUMMYFUNCTION("""COMPUTED_VALUE"""),"")</f>
        <v/>
      </c>
      <c r="D1320" t="str">
        <f>IFERROR(__xludf.DUMMYFUNCTION("""COMPUTED_VALUE"""),"")</f>
        <v/>
      </c>
      <c r="E1320" t="str">
        <f>IFERROR(__xludf.DUMMYFUNCTION("""COMPUTED_VALUE"""),"")</f>
        <v/>
      </c>
      <c r="F1320" t="str">
        <f>IFERROR(__xludf.DUMMYFUNCTION("""COMPUTED_VALUE"""),"")</f>
        <v/>
      </c>
      <c r="G1320" t="str">
        <f>IFERROR(__xludf.DUMMYFUNCTION("""COMPUTED_VALUE"""),"")</f>
        <v/>
      </c>
      <c r="H1320" s="2" t="str">
        <f>IFERROR(__xludf.DUMMYFUNCTION("""COMPUTED_VALUE"""),"")</f>
        <v/>
      </c>
      <c r="I1320" s="2" t="str">
        <f>IFERROR(__xludf.DUMMYFUNCTION("""COMPUTED_VALUE"""),"")</f>
        <v/>
      </c>
      <c r="J1320" s="2">
        <f>IFERROR(__xludf.DUMMYFUNCTION("""COMPUTED_VALUE"""),0.0)</f>
        <v>0</v>
      </c>
      <c r="K1320" s="5" t="str">
        <f>IFERROR(__xludf.DUMMYFUNCTION("""COMPUTED_VALUE"""),"")</f>
        <v/>
      </c>
      <c r="L1320" t="str">
        <f>IFERROR(__xludf.DUMMYFUNCTION("""COMPUTED_VALUE"""),"")</f>
        <v/>
      </c>
      <c r="M1320" t="str">
        <f>IFERROR(__xludf.DUMMYFUNCTION("""COMPUTED_VALUE"""),"")</f>
        <v/>
      </c>
      <c r="N1320" t="str">
        <f>IFERROR(__xludf.DUMMYFUNCTION("""COMPUTED_VALUE"""),"")</f>
        <v/>
      </c>
      <c r="O1320" t="str">
        <f>IFERROR(__xludf.DUMMYFUNCTION("""COMPUTED_VALUE"""),"")</f>
        <v/>
      </c>
      <c r="P1320" t="str">
        <f>IFERROR(__xludf.DUMMYFUNCTION("""COMPUTED_VALUE"""),"ID ")</f>
        <v>ID </v>
      </c>
    </row>
    <row r="1321">
      <c r="A1321" s="6" t="str">
        <f>IFERROR(__xludf.DUMMYFUNCTION("""COMPUTED_VALUE"""),"")</f>
        <v/>
      </c>
      <c r="C1321" t="str">
        <f>IFERROR(__xludf.DUMMYFUNCTION("""COMPUTED_VALUE"""),"")</f>
        <v/>
      </c>
      <c r="D1321" t="str">
        <f>IFERROR(__xludf.DUMMYFUNCTION("""COMPUTED_VALUE"""),"")</f>
        <v/>
      </c>
      <c r="E1321" t="str">
        <f>IFERROR(__xludf.DUMMYFUNCTION("""COMPUTED_VALUE"""),"")</f>
        <v/>
      </c>
      <c r="F1321" t="str">
        <f>IFERROR(__xludf.DUMMYFUNCTION("""COMPUTED_VALUE"""),"")</f>
        <v/>
      </c>
      <c r="G1321" t="str">
        <f>IFERROR(__xludf.DUMMYFUNCTION("""COMPUTED_VALUE"""),"")</f>
        <v/>
      </c>
      <c r="H1321" s="2" t="str">
        <f>IFERROR(__xludf.DUMMYFUNCTION("""COMPUTED_VALUE"""),"")</f>
        <v/>
      </c>
      <c r="I1321" s="2" t="str">
        <f>IFERROR(__xludf.DUMMYFUNCTION("""COMPUTED_VALUE"""),"")</f>
        <v/>
      </c>
      <c r="J1321" s="2">
        <f>IFERROR(__xludf.DUMMYFUNCTION("""COMPUTED_VALUE"""),0.0)</f>
        <v>0</v>
      </c>
      <c r="K1321" s="5" t="str">
        <f>IFERROR(__xludf.DUMMYFUNCTION("""COMPUTED_VALUE"""),"")</f>
        <v/>
      </c>
      <c r="L1321" t="str">
        <f>IFERROR(__xludf.DUMMYFUNCTION("""COMPUTED_VALUE"""),"")</f>
        <v/>
      </c>
      <c r="M1321" t="str">
        <f>IFERROR(__xludf.DUMMYFUNCTION("""COMPUTED_VALUE"""),"")</f>
        <v/>
      </c>
      <c r="N1321" t="str">
        <f>IFERROR(__xludf.DUMMYFUNCTION("""COMPUTED_VALUE"""),"")</f>
        <v/>
      </c>
      <c r="O1321" t="str">
        <f>IFERROR(__xludf.DUMMYFUNCTION("""COMPUTED_VALUE"""),"")</f>
        <v/>
      </c>
      <c r="P1321" t="str">
        <f>IFERROR(__xludf.DUMMYFUNCTION("""COMPUTED_VALUE"""),"ID ")</f>
        <v>ID </v>
      </c>
    </row>
    <row r="1322">
      <c r="A1322" s="6" t="str">
        <f>IFERROR(__xludf.DUMMYFUNCTION("""COMPUTED_VALUE"""),"")</f>
        <v/>
      </c>
      <c r="C1322" t="str">
        <f>IFERROR(__xludf.DUMMYFUNCTION("""COMPUTED_VALUE"""),"")</f>
        <v/>
      </c>
      <c r="D1322" t="str">
        <f>IFERROR(__xludf.DUMMYFUNCTION("""COMPUTED_VALUE"""),"")</f>
        <v/>
      </c>
      <c r="E1322" t="str">
        <f>IFERROR(__xludf.DUMMYFUNCTION("""COMPUTED_VALUE"""),"")</f>
        <v/>
      </c>
      <c r="F1322" t="str">
        <f>IFERROR(__xludf.DUMMYFUNCTION("""COMPUTED_VALUE"""),"")</f>
        <v/>
      </c>
      <c r="G1322" t="str">
        <f>IFERROR(__xludf.DUMMYFUNCTION("""COMPUTED_VALUE"""),"")</f>
        <v/>
      </c>
      <c r="H1322" s="2" t="str">
        <f>IFERROR(__xludf.DUMMYFUNCTION("""COMPUTED_VALUE"""),"")</f>
        <v/>
      </c>
      <c r="I1322" s="2" t="str">
        <f>IFERROR(__xludf.DUMMYFUNCTION("""COMPUTED_VALUE"""),"")</f>
        <v/>
      </c>
      <c r="J1322" s="2">
        <f>IFERROR(__xludf.DUMMYFUNCTION("""COMPUTED_VALUE"""),0.0)</f>
        <v>0</v>
      </c>
      <c r="K1322" s="5" t="str">
        <f>IFERROR(__xludf.DUMMYFUNCTION("""COMPUTED_VALUE"""),"")</f>
        <v/>
      </c>
      <c r="L1322" t="str">
        <f>IFERROR(__xludf.DUMMYFUNCTION("""COMPUTED_VALUE"""),"")</f>
        <v/>
      </c>
      <c r="M1322" t="str">
        <f>IFERROR(__xludf.DUMMYFUNCTION("""COMPUTED_VALUE"""),"")</f>
        <v/>
      </c>
      <c r="N1322" t="str">
        <f>IFERROR(__xludf.DUMMYFUNCTION("""COMPUTED_VALUE"""),"")</f>
        <v/>
      </c>
      <c r="O1322" t="str">
        <f>IFERROR(__xludf.DUMMYFUNCTION("""COMPUTED_VALUE"""),"")</f>
        <v/>
      </c>
      <c r="P1322" t="str">
        <f>IFERROR(__xludf.DUMMYFUNCTION("""COMPUTED_VALUE"""),"ID ")</f>
        <v>ID </v>
      </c>
    </row>
    <row r="1323">
      <c r="A1323" s="6" t="str">
        <f>IFERROR(__xludf.DUMMYFUNCTION("""COMPUTED_VALUE"""),"")</f>
        <v/>
      </c>
      <c r="C1323" t="str">
        <f>IFERROR(__xludf.DUMMYFUNCTION("""COMPUTED_VALUE"""),"")</f>
        <v/>
      </c>
      <c r="D1323" t="str">
        <f>IFERROR(__xludf.DUMMYFUNCTION("""COMPUTED_VALUE"""),"")</f>
        <v/>
      </c>
      <c r="E1323" t="str">
        <f>IFERROR(__xludf.DUMMYFUNCTION("""COMPUTED_VALUE"""),"")</f>
        <v/>
      </c>
      <c r="F1323" t="str">
        <f>IFERROR(__xludf.DUMMYFUNCTION("""COMPUTED_VALUE"""),"")</f>
        <v/>
      </c>
      <c r="G1323" t="str">
        <f>IFERROR(__xludf.DUMMYFUNCTION("""COMPUTED_VALUE"""),"")</f>
        <v/>
      </c>
      <c r="H1323" s="2" t="str">
        <f>IFERROR(__xludf.DUMMYFUNCTION("""COMPUTED_VALUE"""),"")</f>
        <v/>
      </c>
      <c r="I1323" s="2" t="str">
        <f>IFERROR(__xludf.DUMMYFUNCTION("""COMPUTED_VALUE"""),"")</f>
        <v/>
      </c>
      <c r="J1323" s="2">
        <f>IFERROR(__xludf.DUMMYFUNCTION("""COMPUTED_VALUE"""),0.0)</f>
        <v>0</v>
      </c>
      <c r="K1323" s="5" t="str">
        <f>IFERROR(__xludf.DUMMYFUNCTION("""COMPUTED_VALUE"""),"")</f>
        <v/>
      </c>
      <c r="L1323" t="str">
        <f>IFERROR(__xludf.DUMMYFUNCTION("""COMPUTED_VALUE"""),"")</f>
        <v/>
      </c>
      <c r="M1323" t="str">
        <f>IFERROR(__xludf.DUMMYFUNCTION("""COMPUTED_VALUE"""),"")</f>
        <v/>
      </c>
      <c r="N1323" t="str">
        <f>IFERROR(__xludf.DUMMYFUNCTION("""COMPUTED_VALUE"""),"")</f>
        <v/>
      </c>
      <c r="O1323" t="str">
        <f>IFERROR(__xludf.DUMMYFUNCTION("""COMPUTED_VALUE"""),"")</f>
        <v/>
      </c>
      <c r="P1323" t="str">
        <f>IFERROR(__xludf.DUMMYFUNCTION("""COMPUTED_VALUE"""),"ID ")</f>
        <v>ID </v>
      </c>
    </row>
    <row r="1324">
      <c r="A1324" s="6" t="str">
        <f>IFERROR(__xludf.DUMMYFUNCTION("""COMPUTED_VALUE"""),"")</f>
        <v/>
      </c>
      <c r="C1324" t="str">
        <f>IFERROR(__xludf.DUMMYFUNCTION("""COMPUTED_VALUE"""),"")</f>
        <v/>
      </c>
      <c r="D1324" t="str">
        <f>IFERROR(__xludf.DUMMYFUNCTION("""COMPUTED_VALUE"""),"")</f>
        <v/>
      </c>
      <c r="E1324" t="str">
        <f>IFERROR(__xludf.DUMMYFUNCTION("""COMPUTED_VALUE"""),"")</f>
        <v/>
      </c>
      <c r="F1324" t="str">
        <f>IFERROR(__xludf.DUMMYFUNCTION("""COMPUTED_VALUE"""),"")</f>
        <v/>
      </c>
      <c r="G1324" t="str">
        <f>IFERROR(__xludf.DUMMYFUNCTION("""COMPUTED_VALUE"""),"")</f>
        <v/>
      </c>
      <c r="H1324" s="2" t="str">
        <f>IFERROR(__xludf.DUMMYFUNCTION("""COMPUTED_VALUE"""),"")</f>
        <v/>
      </c>
      <c r="I1324" s="2" t="str">
        <f>IFERROR(__xludf.DUMMYFUNCTION("""COMPUTED_VALUE"""),"")</f>
        <v/>
      </c>
      <c r="J1324" s="2">
        <f>IFERROR(__xludf.DUMMYFUNCTION("""COMPUTED_VALUE"""),0.0)</f>
        <v>0</v>
      </c>
      <c r="K1324" s="5" t="str">
        <f>IFERROR(__xludf.DUMMYFUNCTION("""COMPUTED_VALUE"""),"")</f>
        <v/>
      </c>
      <c r="L1324" t="str">
        <f>IFERROR(__xludf.DUMMYFUNCTION("""COMPUTED_VALUE"""),"")</f>
        <v/>
      </c>
      <c r="M1324" t="str">
        <f>IFERROR(__xludf.DUMMYFUNCTION("""COMPUTED_VALUE"""),"")</f>
        <v/>
      </c>
      <c r="N1324" t="str">
        <f>IFERROR(__xludf.DUMMYFUNCTION("""COMPUTED_VALUE"""),"")</f>
        <v/>
      </c>
      <c r="O1324" t="str">
        <f>IFERROR(__xludf.DUMMYFUNCTION("""COMPUTED_VALUE"""),"")</f>
        <v/>
      </c>
      <c r="P1324" t="str">
        <f>IFERROR(__xludf.DUMMYFUNCTION("""COMPUTED_VALUE"""),"ID ")</f>
        <v>ID </v>
      </c>
    </row>
    <row r="1325">
      <c r="A1325" s="6" t="str">
        <f>IFERROR(__xludf.DUMMYFUNCTION("""COMPUTED_VALUE"""),"")</f>
        <v/>
      </c>
      <c r="C1325" t="str">
        <f>IFERROR(__xludf.DUMMYFUNCTION("""COMPUTED_VALUE"""),"")</f>
        <v/>
      </c>
      <c r="D1325" t="str">
        <f>IFERROR(__xludf.DUMMYFUNCTION("""COMPUTED_VALUE"""),"")</f>
        <v/>
      </c>
      <c r="E1325" t="str">
        <f>IFERROR(__xludf.DUMMYFUNCTION("""COMPUTED_VALUE"""),"")</f>
        <v/>
      </c>
      <c r="F1325" t="str">
        <f>IFERROR(__xludf.DUMMYFUNCTION("""COMPUTED_VALUE"""),"")</f>
        <v/>
      </c>
      <c r="G1325" t="str">
        <f>IFERROR(__xludf.DUMMYFUNCTION("""COMPUTED_VALUE"""),"")</f>
        <v/>
      </c>
      <c r="H1325" s="2" t="str">
        <f>IFERROR(__xludf.DUMMYFUNCTION("""COMPUTED_VALUE"""),"")</f>
        <v/>
      </c>
      <c r="I1325" s="2" t="str">
        <f>IFERROR(__xludf.DUMMYFUNCTION("""COMPUTED_VALUE"""),"")</f>
        <v/>
      </c>
      <c r="J1325" s="2">
        <f>IFERROR(__xludf.DUMMYFUNCTION("""COMPUTED_VALUE"""),0.0)</f>
        <v>0</v>
      </c>
      <c r="K1325" s="5" t="str">
        <f>IFERROR(__xludf.DUMMYFUNCTION("""COMPUTED_VALUE"""),"")</f>
        <v/>
      </c>
      <c r="L1325" t="str">
        <f>IFERROR(__xludf.DUMMYFUNCTION("""COMPUTED_VALUE"""),"")</f>
        <v/>
      </c>
      <c r="M1325" t="str">
        <f>IFERROR(__xludf.DUMMYFUNCTION("""COMPUTED_VALUE"""),"")</f>
        <v/>
      </c>
      <c r="N1325" t="str">
        <f>IFERROR(__xludf.DUMMYFUNCTION("""COMPUTED_VALUE"""),"")</f>
        <v/>
      </c>
      <c r="O1325" t="str">
        <f>IFERROR(__xludf.DUMMYFUNCTION("""COMPUTED_VALUE"""),"")</f>
        <v/>
      </c>
      <c r="P1325" t="str">
        <f>IFERROR(__xludf.DUMMYFUNCTION("""COMPUTED_VALUE"""),"ID ")</f>
        <v>ID </v>
      </c>
    </row>
    <row r="1326">
      <c r="A1326" s="6" t="str">
        <f>IFERROR(__xludf.DUMMYFUNCTION("""COMPUTED_VALUE"""),"")</f>
        <v/>
      </c>
      <c r="C1326" t="str">
        <f>IFERROR(__xludf.DUMMYFUNCTION("""COMPUTED_VALUE"""),"")</f>
        <v/>
      </c>
      <c r="D1326" t="str">
        <f>IFERROR(__xludf.DUMMYFUNCTION("""COMPUTED_VALUE"""),"")</f>
        <v/>
      </c>
      <c r="E1326" t="str">
        <f>IFERROR(__xludf.DUMMYFUNCTION("""COMPUTED_VALUE"""),"")</f>
        <v/>
      </c>
      <c r="F1326" t="str">
        <f>IFERROR(__xludf.DUMMYFUNCTION("""COMPUTED_VALUE"""),"")</f>
        <v/>
      </c>
      <c r="G1326" t="str">
        <f>IFERROR(__xludf.DUMMYFUNCTION("""COMPUTED_VALUE"""),"")</f>
        <v/>
      </c>
      <c r="H1326" s="2" t="str">
        <f>IFERROR(__xludf.DUMMYFUNCTION("""COMPUTED_VALUE"""),"")</f>
        <v/>
      </c>
      <c r="I1326" s="2" t="str">
        <f>IFERROR(__xludf.DUMMYFUNCTION("""COMPUTED_VALUE"""),"")</f>
        <v/>
      </c>
      <c r="J1326" s="2">
        <f>IFERROR(__xludf.DUMMYFUNCTION("""COMPUTED_VALUE"""),0.0)</f>
        <v>0</v>
      </c>
      <c r="K1326" s="5" t="str">
        <f>IFERROR(__xludf.DUMMYFUNCTION("""COMPUTED_VALUE"""),"")</f>
        <v/>
      </c>
      <c r="L1326" t="str">
        <f>IFERROR(__xludf.DUMMYFUNCTION("""COMPUTED_VALUE"""),"")</f>
        <v/>
      </c>
      <c r="M1326" t="str">
        <f>IFERROR(__xludf.DUMMYFUNCTION("""COMPUTED_VALUE"""),"")</f>
        <v/>
      </c>
      <c r="N1326" t="str">
        <f>IFERROR(__xludf.DUMMYFUNCTION("""COMPUTED_VALUE"""),"")</f>
        <v/>
      </c>
      <c r="O1326" t="str">
        <f>IFERROR(__xludf.DUMMYFUNCTION("""COMPUTED_VALUE"""),"")</f>
        <v/>
      </c>
      <c r="P1326" t="str">
        <f>IFERROR(__xludf.DUMMYFUNCTION("""COMPUTED_VALUE"""),"ID ")</f>
        <v>ID </v>
      </c>
    </row>
    <row r="1327">
      <c r="A1327" s="6" t="str">
        <f>IFERROR(__xludf.DUMMYFUNCTION("""COMPUTED_VALUE"""),"")</f>
        <v/>
      </c>
      <c r="C1327" t="str">
        <f>IFERROR(__xludf.DUMMYFUNCTION("""COMPUTED_VALUE"""),"")</f>
        <v/>
      </c>
      <c r="D1327" t="str">
        <f>IFERROR(__xludf.DUMMYFUNCTION("""COMPUTED_VALUE"""),"")</f>
        <v/>
      </c>
      <c r="E1327" t="str">
        <f>IFERROR(__xludf.DUMMYFUNCTION("""COMPUTED_VALUE"""),"")</f>
        <v/>
      </c>
      <c r="F1327" t="str">
        <f>IFERROR(__xludf.DUMMYFUNCTION("""COMPUTED_VALUE"""),"")</f>
        <v/>
      </c>
      <c r="G1327" t="str">
        <f>IFERROR(__xludf.DUMMYFUNCTION("""COMPUTED_VALUE"""),"")</f>
        <v/>
      </c>
      <c r="H1327" s="2" t="str">
        <f>IFERROR(__xludf.DUMMYFUNCTION("""COMPUTED_VALUE"""),"")</f>
        <v/>
      </c>
      <c r="I1327" s="2" t="str">
        <f>IFERROR(__xludf.DUMMYFUNCTION("""COMPUTED_VALUE"""),"")</f>
        <v/>
      </c>
      <c r="J1327" s="2">
        <f>IFERROR(__xludf.DUMMYFUNCTION("""COMPUTED_VALUE"""),0.0)</f>
        <v>0</v>
      </c>
      <c r="K1327" s="5" t="str">
        <f>IFERROR(__xludf.DUMMYFUNCTION("""COMPUTED_VALUE"""),"")</f>
        <v/>
      </c>
      <c r="L1327" t="str">
        <f>IFERROR(__xludf.DUMMYFUNCTION("""COMPUTED_VALUE"""),"")</f>
        <v/>
      </c>
      <c r="M1327" t="str">
        <f>IFERROR(__xludf.DUMMYFUNCTION("""COMPUTED_VALUE"""),"")</f>
        <v/>
      </c>
      <c r="N1327" t="str">
        <f>IFERROR(__xludf.DUMMYFUNCTION("""COMPUTED_VALUE"""),"")</f>
        <v/>
      </c>
      <c r="O1327" t="str">
        <f>IFERROR(__xludf.DUMMYFUNCTION("""COMPUTED_VALUE"""),"")</f>
        <v/>
      </c>
      <c r="P1327" t="str">
        <f>IFERROR(__xludf.DUMMYFUNCTION("""COMPUTED_VALUE"""),"ID ")</f>
        <v>ID </v>
      </c>
    </row>
    <row r="1328">
      <c r="A1328" s="6" t="str">
        <f>IFERROR(__xludf.DUMMYFUNCTION("""COMPUTED_VALUE"""),"")</f>
        <v/>
      </c>
      <c r="C1328" t="str">
        <f>IFERROR(__xludf.DUMMYFUNCTION("""COMPUTED_VALUE"""),"")</f>
        <v/>
      </c>
      <c r="D1328" t="str">
        <f>IFERROR(__xludf.DUMMYFUNCTION("""COMPUTED_VALUE"""),"")</f>
        <v/>
      </c>
      <c r="E1328" t="str">
        <f>IFERROR(__xludf.DUMMYFUNCTION("""COMPUTED_VALUE"""),"")</f>
        <v/>
      </c>
      <c r="F1328" t="str">
        <f>IFERROR(__xludf.DUMMYFUNCTION("""COMPUTED_VALUE"""),"")</f>
        <v/>
      </c>
      <c r="G1328" t="str">
        <f>IFERROR(__xludf.DUMMYFUNCTION("""COMPUTED_VALUE"""),"")</f>
        <v/>
      </c>
      <c r="H1328" s="2" t="str">
        <f>IFERROR(__xludf.DUMMYFUNCTION("""COMPUTED_VALUE"""),"")</f>
        <v/>
      </c>
      <c r="I1328" s="2" t="str">
        <f>IFERROR(__xludf.DUMMYFUNCTION("""COMPUTED_VALUE"""),"")</f>
        <v/>
      </c>
      <c r="J1328" s="2">
        <f>IFERROR(__xludf.DUMMYFUNCTION("""COMPUTED_VALUE"""),0.0)</f>
        <v>0</v>
      </c>
      <c r="K1328" s="5" t="str">
        <f>IFERROR(__xludf.DUMMYFUNCTION("""COMPUTED_VALUE"""),"")</f>
        <v/>
      </c>
      <c r="L1328" t="str">
        <f>IFERROR(__xludf.DUMMYFUNCTION("""COMPUTED_VALUE"""),"")</f>
        <v/>
      </c>
      <c r="M1328" t="str">
        <f>IFERROR(__xludf.DUMMYFUNCTION("""COMPUTED_VALUE"""),"")</f>
        <v/>
      </c>
      <c r="N1328" t="str">
        <f>IFERROR(__xludf.DUMMYFUNCTION("""COMPUTED_VALUE"""),"")</f>
        <v/>
      </c>
      <c r="O1328" t="str">
        <f>IFERROR(__xludf.DUMMYFUNCTION("""COMPUTED_VALUE"""),"")</f>
        <v/>
      </c>
      <c r="P1328" t="str">
        <f>IFERROR(__xludf.DUMMYFUNCTION("""COMPUTED_VALUE"""),"ID ")</f>
        <v>ID </v>
      </c>
    </row>
    <row r="1329">
      <c r="A1329" s="6" t="str">
        <f>IFERROR(__xludf.DUMMYFUNCTION("""COMPUTED_VALUE"""),"")</f>
        <v/>
      </c>
      <c r="C1329" t="str">
        <f>IFERROR(__xludf.DUMMYFUNCTION("""COMPUTED_VALUE"""),"")</f>
        <v/>
      </c>
      <c r="D1329" t="str">
        <f>IFERROR(__xludf.DUMMYFUNCTION("""COMPUTED_VALUE"""),"")</f>
        <v/>
      </c>
      <c r="E1329" t="str">
        <f>IFERROR(__xludf.DUMMYFUNCTION("""COMPUTED_VALUE"""),"")</f>
        <v/>
      </c>
      <c r="F1329" t="str">
        <f>IFERROR(__xludf.DUMMYFUNCTION("""COMPUTED_VALUE"""),"")</f>
        <v/>
      </c>
      <c r="G1329" t="str">
        <f>IFERROR(__xludf.DUMMYFUNCTION("""COMPUTED_VALUE"""),"")</f>
        <v/>
      </c>
      <c r="H1329" s="2" t="str">
        <f>IFERROR(__xludf.DUMMYFUNCTION("""COMPUTED_VALUE"""),"")</f>
        <v/>
      </c>
      <c r="I1329" s="2" t="str">
        <f>IFERROR(__xludf.DUMMYFUNCTION("""COMPUTED_VALUE"""),"")</f>
        <v/>
      </c>
      <c r="J1329" s="2">
        <f>IFERROR(__xludf.DUMMYFUNCTION("""COMPUTED_VALUE"""),0.0)</f>
        <v>0</v>
      </c>
      <c r="K1329" s="5" t="str">
        <f>IFERROR(__xludf.DUMMYFUNCTION("""COMPUTED_VALUE"""),"")</f>
        <v/>
      </c>
      <c r="L1329" t="str">
        <f>IFERROR(__xludf.DUMMYFUNCTION("""COMPUTED_VALUE"""),"")</f>
        <v/>
      </c>
      <c r="M1329" t="str">
        <f>IFERROR(__xludf.DUMMYFUNCTION("""COMPUTED_VALUE"""),"")</f>
        <v/>
      </c>
      <c r="N1329" t="str">
        <f>IFERROR(__xludf.DUMMYFUNCTION("""COMPUTED_VALUE"""),"")</f>
        <v/>
      </c>
      <c r="O1329" t="str">
        <f>IFERROR(__xludf.DUMMYFUNCTION("""COMPUTED_VALUE"""),"")</f>
        <v/>
      </c>
      <c r="P1329" t="str">
        <f>IFERROR(__xludf.DUMMYFUNCTION("""COMPUTED_VALUE"""),"ID ")</f>
        <v>ID </v>
      </c>
    </row>
    <row r="1330">
      <c r="A1330" s="6" t="str">
        <f>IFERROR(__xludf.DUMMYFUNCTION("""COMPUTED_VALUE"""),"")</f>
        <v/>
      </c>
      <c r="C1330" t="str">
        <f>IFERROR(__xludf.DUMMYFUNCTION("""COMPUTED_VALUE"""),"")</f>
        <v/>
      </c>
      <c r="D1330" t="str">
        <f>IFERROR(__xludf.DUMMYFUNCTION("""COMPUTED_VALUE"""),"")</f>
        <v/>
      </c>
      <c r="E1330" t="str">
        <f>IFERROR(__xludf.DUMMYFUNCTION("""COMPUTED_VALUE"""),"")</f>
        <v/>
      </c>
      <c r="F1330" t="str">
        <f>IFERROR(__xludf.DUMMYFUNCTION("""COMPUTED_VALUE"""),"")</f>
        <v/>
      </c>
      <c r="G1330" t="str">
        <f>IFERROR(__xludf.DUMMYFUNCTION("""COMPUTED_VALUE"""),"")</f>
        <v/>
      </c>
      <c r="H1330" s="2" t="str">
        <f>IFERROR(__xludf.DUMMYFUNCTION("""COMPUTED_VALUE"""),"")</f>
        <v/>
      </c>
      <c r="I1330" s="2" t="str">
        <f>IFERROR(__xludf.DUMMYFUNCTION("""COMPUTED_VALUE"""),"")</f>
        <v/>
      </c>
      <c r="J1330" s="2">
        <f>IFERROR(__xludf.DUMMYFUNCTION("""COMPUTED_VALUE"""),0.0)</f>
        <v>0</v>
      </c>
      <c r="K1330" s="5" t="str">
        <f>IFERROR(__xludf.DUMMYFUNCTION("""COMPUTED_VALUE"""),"")</f>
        <v/>
      </c>
      <c r="L1330" t="str">
        <f>IFERROR(__xludf.DUMMYFUNCTION("""COMPUTED_VALUE"""),"")</f>
        <v/>
      </c>
      <c r="M1330" t="str">
        <f>IFERROR(__xludf.DUMMYFUNCTION("""COMPUTED_VALUE"""),"")</f>
        <v/>
      </c>
      <c r="N1330" t="str">
        <f>IFERROR(__xludf.DUMMYFUNCTION("""COMPUTED_VALUE"""),"")</f>
        <v/>
      </c>
      <c r="O1330" t="str">
        <f>IFERROR(__xludf.DUMMYFUNCTION("""COMPUTED_VALUE"""),"")</f>
        <v/>
      </c>
      <c r="P1330" t="str">
        <f>IFERROR(__xludf.DUMMYFUNCTION("""COMPUTED_VALUE"""),"ID ")</f>
        <v>ID </v>
      </c>
    </row>
    <row r="1331">
      <c r="A1331" s="6" t="str">
        <f>IFERROR(__xludf.DUMMYFUNCTION("""COMPUTED_VALUE"""),"")</f>
        <v/>
      </c>
      <c r="C1331" t="str">
        <f>IFERROR(__xludf.DUMMYFUNCTION("""COMPUTED_VALUE"""),"")</f>
        <v/>
      </c>
      <c r="D1331" t="str">
        <f>IFERROR(__xludf.DUMMYFUNCTION("""COMPUTED_VALUE"""),"")</f>
        <v/>
      </c>
      <c r="E1331" t="str">
        <f>IFERROR(__xludf.DUMMYFUNCTION("""COMPUTED_VALUE"""),"")</f>
        <v/>
      </c>
      <c r="F1331" t="str">
        <f>IFERROR(__xludf.DUMMYFUNCTION("""COMPUTED_VALUE"""),"")</f>
        <v/>
      </c>
      <c r="G1331" t="str">
        <f>IFERROR(__xludf.DUMMYFUNCTION("""COMPUTED_VALUE"""),"")</f>
        <v/>
      </c>
      <c r="H1331" s="2" t="str">
        <f>IFERROR(__xludf.DUMMYFUNCTION("""COMPUTED_VALUE"""),"")</f>
        <v/>
      </c>
      <c r="I1331" s="2" t="str">
        <f>IFERROR(__xludf.DUMMYFUNCTION("""COMPUTED_VALUE"""),"")</f>
        <v/>
      </c>
      <c r="J1331" s="2">
        <f>IFERROR(__xludf.DUMMYFUNCTION("""COMPUTED_VALUE"""),0.0)</f>
        <v>0</v>
      </c>
      <c r="K1331" s="5" t="str">
        <f>IFERROR(__xludf.DUMMYFUNCTION("""COMPUTED_VALUE"""),"")</f>
        <v/>
      </c>
      <c r="L1331" t="str">
        <f>IFERROR(__xludf.DUMMYFUNCTION("""COMPUTED_VALUE"""),"")</f>
        <v/>
      </c>
      <c r="M1331" t="str">
        <f>IFERROR(__xludf.DUMMYFUNCTION("""COMPUTED_VALUE"""),"")</f>
        <v/>
      </c>
      <c r="N1331" t="str">
        <f>IFERROR(__xludf.DUMMYFUNCTION("""COMPUTED_VALUE"""),"")</f>
        <v/>
      </c>
      <c r="O1331" t="str">
        <f>IFERROR(__xludf.DUMMYFUNCTION("""COMPUTED_VALUE"""),"")</f>
        <v/>
      </c>
      <c r="P1331" t="str">
        <f>IFERROR(__xludf.DUMMYFUNCTION("""COMPUTED_VALUE"""),"ID ")</f>
        <v>ID </v>
      </c>
    </row>
    <row r="1332">
      <c r="A1332" s="6" t="str">
        <f>IFERROR(__xludf.DUMMYFUNCTION("""COMPUTED_VALUE"""),"")</f>
        <v/>
      </c>
      <c r="C1332" t="str">
        <f>IFERROR(__xludf.DUMMYFUNCTION("""COMPUTED_VALUE"""),"")</f>
        <v/>
      </c>
      <c r="D1332" t="str">
        <f>IFERROR(__xludf.DUMMYFUNCTION("""COMPUTED_VALUE"""),"")</f>
        <v/>
      </c>
      <c r="E1332" t="str">
        <f>IFERROR(__xludf.DUMMYFUNCTION("""COMPUTED_VALUE"""),"")</f>
        <v/>
      </c>
      <c r="F1332" t="str">
        <f>IFERROR(__xludf.DUMMYFUNCTION("""COMPUTED_VALUE"""),"")</f>
        <v/>
      </c>
      <c r="G1332" t="str">
        <f>IFERROR(__xludf.DUMMYFUNCTION("""COMPUTED_VALUE"""),"")</f>
        <v/>
      </c>
      <c r="H1332" s="2" t="str">
        <f>IFERROR(__xludf.DUMMYFUNCTION("""COMPUTED_VALUE"""),"")</f>
        <v/>
      </c>
      <c r="I1332" s="2" t="str">
        <f>IFERROR(__xludf.DUMMYFUNCTION("""COMPUTED_VALUE"""),"")</f>
        <v/>
      </c>
      <c r="J1332" s="2">
        <f>IFERROR(__xludf.DUMMYFUNCTION("""COMPUTED_VALUE"""),0.0)</f>
        <v>0</v>
      </c>
      <c r="K1332" s="5" t="str">
        <f>IFERROR(__xludf.DUMMYFUNCTION("""COMPUTED_VALUE"""),"")</f>
        <v/>
      </c>
      <c r="L1332" t="str">
        <f>IFERROR(__xludf.DUMMYFUNCTION("""COMPUTED_VALUE"""),"")</f>
        <v/>
      </c>
      <c r="M1332" t="str">
        <f>IFERROR(__xludf.DUMMYFUNCTION("""COMPUTED_VALUE"""),"")</f>
        <v/>
      </c>
      <c r="N1332" t="str">
        <f>IFERROR(__xludf.DUMMYFUNCTION("""COMPUTED_VALUE"""),"")</f>
        <v/>
      </c>
      <c r="O1332" t="str">
        <f>IFERROR(__xludf.DUMMYFUNCTION("""COMPUTED_VALUE"""),"")</f>
        <v/>
      </c>
      <c r="P1332" t="str">
        <f>IFERROR(__xludf.DUMMYFUNCTION("""COMPUTED_VALUE"""),"ID ")</f>
        <v>ID </v>
      </c>
    </row>
    <row r="1333">
      <c r="A1333" s="6" t="str">
        <f>IFERROR(__xludf.DUMMYFUNCTION("""COMPUTED_VALUE"""),"")</f>
        <v/>
      </c>
      <c r="C1333" t="str">
        <f>IFERROR(__xludf.DUMMYFUNCTION("""COMPUTED_VALUE"""),"")</f>
        <v/>
      </c>
      <c r="D1333" t="str">
        <f>IFERROR(__xludf.DUMMYFUNCTION("""COMPUTED_VALUE"""),"")</f>
        <v/>
      </c>
      <c r="E1333" t="str">
        <f>IFERROR(__xludf.DUMMYFUNCTION("""COMPUTED_VALUE"""),"")</f>
        <v/>
      </c>
      <c r="F1333" t="str">
        <f>IFERROR(__xludf.DUMMYFUNCTION("""COMPUTED_VALUE"""),"")</f>
        <v/>
      </c>
      <c r="G1333" t="str">
        <f>IFERROR(__xludf.DUMMYFUNCTION("""COMPUTED_VALUE"""),"")</f>
        <v/>
      </c>
      <c r="H1333" s="2" t="str">
        <f>IFERROR(__xludf.DUMMYFUNCTION("""COMPUTED_VALUE"""),"")</f>
        <v/>
      </c>
      <c r="I1333" s="2" t="str">
        <f>IFERROR(__xludf.DUMMYFUNCTION("""COMPUTED_VALUE"""),"")</f>
        <v/>
      </c>
      <c r="J1333" s="2">
        <f>IFERROR(__xludf.DUMMYFUNCTION("""COMPUTED_VALUE"""),0.0)</f>
        <v>0</v>
      </c>
      <c r="K1333" s="5" t="str">
        <f>IFERROR(__xludf.DUMMYFUNCTION("""COMPUTED_VALUE"""),"")</f>
        <v/>
      </c>
      <c r="L1333" t="str">
        <f>IFERROR(__xludf.DUMMYFUNCTION("""COMPUTED_VALUE"""),"")</f>
        <v/>
      </c>
      <c r="M1333" t="str">
        <f>IFERROR(__xludf.DUMMYFUNCTION("""COMPUTED_VALUE"""),"")</f>
        <v/>
      </c>
      <c r="N1333" t="str">
        <f>IFERROR(__xludf.DUMMYFUNCTION("""COMPUTED_VALUE"""),"")</f>
        <v/>
      </c>
      <c r="O1333" t="str">
        <f>IFERROR(__xludf.DUMMYFUNCTION("""COMPUTED_VALUE"""),"")</f>
        <v/>
      </c>
      <c r="P1333" t="str">
        <f>IFERROR(__xludf.DUMMYFUNCTION("""COMPUTED_VALUE"""),"ID ")</f>
        <v>ID </v>
      </c>
    </row>
    <row r="1334">
      <c r="A1334" s="6" t="str">
        <f>IFERROR(__xludf.DUMMYFUNCTION("""COMPUTED_VALUE"""),"")</f>
        <v/>
      </c>
      <c r="C1334" t="str">
        <f>IFERROR(__xludf.DUMMYFUNCTION("""COMPUTED_VALUE"""),"")</f>
        <v/>
      </c>
      <c r="D1334" t="str">
        <f>IFERROR(__xludf.DUMMYFUNCTION("""COMPUTED_VALUE"""),"")</f>
        <v/>
      </c>
      <c r="E1334" t="str">
        <f>IFERROR(__xludf.DUMMYFUNCTION("""COMPUTED_VALUE"""),"")</f>
        <v/>
      </c>
      <c r="F1334" t="str">
        <f>IFERROR(__xludf.DUMMYFUNCTION("""COMPUTED_VALUE"""),"")</f>
        <v/>
      </c>
      <c r="G1334" t="str">
        <f>IFERROR(__xludf.DUMMYFUNCTION("""COMPUTED_VALUE"""),"")</f>
        <v/>
      </c>
      <c r="H1334" s="2" t="str">
        <f>IFERROR(__xludf.DUMMYFUNCTION("""COMPUTED_VALUE"""),"")</f>
        <v/>
      </c>
      <c r="I1334" s="2" t="str">
        <f>IFERROR(__xludf.DUMMYFUNCTION("""COMPUTED_VALUE"""),"")</f>
        <v/>
      </c>
      <c r="J1334" s="2">
        <f>IFERROR(__xludf.DUMMYFUNCTION("""COMPUTED_VALUE"""),0.0)</f>
        <v>0</v>
      </c>
      <c r="K1334" s="5" t="str">
        <f>IFERROR(__xludf.DUMMYFUNCTION("""COMPUTED_VALUE"""),"")</f>
        <v/>
      </c>
      <c r="L1334" t="str">
        <f>IFERROR(__xludf.DUMMYFUNCTION("""COMPUTED_VALUE"""),"")</f>
        <v/>
      </c>
      <c r="M1334" t="str">
        <f>IFERROR(__xludf.DUMMYFUNCTION("""COMPUTED_VALUE"""),"")</f>
        <v/>
      </c>
      <c r="N1334" t="str">
        <f>IFERROR(__xludf.DUMMYFUNCTION("""COMPUTED_VALUE"""),"")</f>
        <v/>
      </c>
      <c r="O1334" t="str">
        <f>IFERROR(__xludf.DUMMYFUNCTION("""COMPUTED_VALUE"""),"")</f>
        <v/>
      </c>
      <c r="P1334" t="str">
        <f>IFERROR(__xludf.DUMMYFUNCTION("""COMPUTED_VALUE"""),"ID ")</f>
        <v>ID </v>
      </c>
    </row>
    <row r="1335">
      <c r="A1335" s="6" t="str">
        <f>IFERROR(__xludf.DUMMYFUNCTION("""COMPUTED_VALUE"""),"")</f>
        <v/>
      </c>
      <c r="C1335" t="str">
        <f>IFERROR(__xludf.DUMMYFUNCTION("""COMPUTED_VALUE"""),"")</f>
        <v/>
      </c>
      <c r="D1335" t="str">
        <f>IFERROR(__xludf.DUMMYFUNCTION("""COMPUTED_VALUE"""),"")</f>
        <v/>
      </c>
      <c r="E1335" t="str">
        <f>IFERROR(__xludf.DUMMYFUNCTION("""COMPUTED_VALUE"""),"")</f>
        <v/>
      </c>
      <c r="F1335" t="str">
        <f>IFERROR(__xludf.DUMMYFUNCTION("""COMPUTED_VALUE"""),"")</f>
        <v/>
      </c>
      <c r="G1335" t="str">
        <f>IFERROR(__xludf.DUMMYFUNCTION("""COMPUTED_VALUE"""),"")</f>
        <v/>
      </c>
      <c r="H1335" s="2" t="str">
        <f>IFERROR(__xludf.DUMMYFUNCTION("""COMPUTED_VALUE"""),"")</f>
        <v/>
      </c>
      <c r="I1335" s="2" t="str">
        <f>IFERROR(__xludf.DUMMYFUNCTION("""COMPUTED_VALUE"""),"")</f>
        <v/>
      </c>
      <c r="J1335" s="2">
        <f>IFERROR(__xludf.DUMMYFUNCTION("""COMPUTED_VALUE"""),0.0)</f>
        <v>0</v>
      </c>
      <c r="K1335" s="5" t="str">
        <f>IFERROR(__xludf.DUMMYFUNCTION("""COMPUTED_VALUE"""),"")</f>
        <v/>
      </c>
      <c r="L1335" t="str">
        <f>IFERROR(__xludf.DUMMYFUNCTION("""COMPUTED_VALUE"""),"")</f>
        <v/>
      </c>
      <c r="M1335" t="str">
        <f>IFERROR(__xludf.DUMMYFUNCTION("""COMPUTED_VALUE"""),"")</f>
        <v/>
      </c>
      <c r="N1335" t="str">
        <f>IFERROR(__xludf.DUMMYFUNCTION("""COMPUTED_VALUE"""),"")</f>
        <v/>
      </c>
      <c r="O1335" t="str">
        <f>IFERROR(__xludf.DUMMYFUNCTION("""COMPUTED_VALUE"""),"")</f>
        <v/>
      </c>
      <c r="P1335" t="str">
        <f>IFERROR(__xludf.DUMMYFUNCTION("""COMPUTED_VALUE"""),"ID ")</f>
        <v>ID </v>
      </c>
    </row>
    <row r="1336">
      <c r="A1336" s="6" t="str">
        <f>IFERROR(__xludf.DUMMYFUNCTION("""COMPUTED_VALUE"""),"")</f>
        <v/>
      </c>
      <c r="C1336" t="str">
        <f>IFERROR(__xludf.DUMMYFUNCTION("""COMPUTED_VALUE"""),"")</f>
        <v/>
      </c>
      <c r="D1336" t="str">
        <f>IFERROR(__xludf.DUMMYFUNCTION("""COMPUTED_VALUE"""),"")</f>
        <v/>
      </c>
      <c r="E1336" t="str">
        <f>IFERROR(__xludf.DUMMYFUNCTION("""COMPUTED_VALUE"""),"")</f>
        <v/>
      </c>
      <c r="F1336" t="str">
        <f>IFERROR(__xludf.DUMMYFUNCTION("""COMPUTED_VALUE"""),"")</f>
        <v/>
      </c>
      <c r="G1336" t="str">
        <f>IFERROR(__xludf.DUMMYFUNCTION("""COMPUTED_VALUE"""),"")</f>
        <v/>
      </c>
      <c r="H1336" s="2" t="str">
        <f>IFERROR(__xludf.DUMMYFUNCTION("""COMPUTED_VALUE"""),"")</f>
        <v/>
      </c>
      <c r="I1336" s="2" t="str">
        <f>IFERROR(__xludf.DUMMYFUNCTION("""COMPUTED_VALUE"""),"")</f>
        <v/>
      </c>
      <c r="J1336" s="2">
        <f>IFERROR(__xludf.DUMMYFUNCTION("""COMPUTED_VALUE"""),0.0)</f>
        <v>0</v>
      </c>
      <c r="K1336" s="5" t="str">
        <f>IFERROR(__xludf.DUMMYFUNCTION("""COMPUTED_VALUE"""),"")</f>
        <v/>
      </c>
      <c r="L1336" t="str">
        <f>IFERROR(__xludf.DUMMYFUNCTION("""COMPUTED_VALUE"""),"")</f>
        <v/>
      </c>
      <c r="M1336" t="str">
        <f>IFERROR(__xludf.DUMMYFUNCTION("""COMPUTED_VALUE"""),"")</f>
        <v/>
      </c>
      <c r="N1336" t="str">
        <f>IFERROR(__xludf.DUMMYFUNCTION("""COMPUTED_VALUE"""),"")</f>
        <v/>
      </c>
      <c r="O1336" t="str">
        <f>IFERROR(__xludf.DUMMYFUNCTION("""COMPUTED_VALUE"""),"")</f>
        <v/>
      </c>
      <c r="P1336" t="str">
        <f>IFERROR(__xludf.DUMMYFUNCTION("""COMPUTED_VALUE"""),"ID ")</f>
        <v>ID </v>
      </c>
    </row>
    <row r="1337">
      <c r="A1337" s="6" t="str">
        <f>IFERROR(__xludf.DUMMYFUNCTION("""COMPUTED_VALUE"""),"")</f>
        <v/>
      </c>
      <c r="C1337" t="str">
        <f>IFERROR(__xludf.DUMMYFUNCTION("""COMPUTED_VALUE"""),"")</f>
        <v/>
      </c>
      <c r="D1337" t="str">
        <f>IFERROR(__xludf.DUMMYFUNCTION("""COMPUTED_VALUE"""),"")</f>
        <v/>
      </c>
      <c r="E1337" t="str">
        <f>IFERROR(__xludf.DUMMYFUNCTION("""COMPUTED_VALUE"""),"")</f>
        <v/>
      </c>
      <c r="F1337" t="str">
        <f>IFERROR(__xludf.DUMMYFUNCTION("""COMPUTED_VALUE"""),"")</f>
        <v/>
      </c>
      <c r="G1337" t="str">
        <f>IFERROR(__xludf.DUMMYFUNCTION("""COMPUTED_VALUE"""),"")</f>
        <v/>
      </c>
      <c r="H1337" s="2" t="str">
        <f>IFERROR(__xludf.DUMMYFUNCTION("""COMPUTED_VALUE"""),"")</f>
        <v/>
      </c>
      <c r="I1337" s="2" t="str">
        <f>IFERROR(__xludf.DUMMYFUNCTION("""COMPUTED_VALUE"""),"")</f>
        <v/>
      </c>
      <c r="J1337" s="2">
        <f>IFERROR(__xludf.DUMMYFUNCTION("""COMPUTED_VALUE"""),0.0)</f>
        <v>0</v>
      </c>
      <c r="K1337" s="5" t="str">
        <f>IFERROR(__xludf.DUMMYFUNCTION("""COMPUTED_VALUE"""),"")</f>
        <v/>
      </c>
      <c r="L1337" t="str">
        <f>IFERROR(__xludf.DUMMYFUNCTION("""COMPUTED_VALUE"""),"")</f>
        <v/>
      </c>
      <c r="M1337" t="str">
        <f>IFERROR(__xludf.DUMMYFUNCTION("""COMPUTED_VALUE"""),"")</f>
        <v/>
      </c>
      <c r="N1337" t="str">
        <f>IFERROR(__xludf.DUMMYFUNCTION("""COMPUTED_VALUE"""),"")</f>
        <v/>
      </c>
      <c r="O1337" t="str">
        <f>IFERROR(__xludf.DUMMYFUNCTION("""COMPUTED_VALUE"""),"")</f>
        <v/>
      </c>
      <c r="P1337" t="str">
        <f>IFERROR(__xludf.DUMMYFUNCTION("""COMPUTED_VALUE"""),"ID ")</f>
        <v>ID </v>
      </c>
    </row>
    <row r="1338">
      <c r="A1338" s="6" t="str">
        <f>IFERROR(__xludf.DUMMYFUNCTION("""COMPUTED_VALUE"""),"")</f>
        <v/>
      </c>
      <c r="C1338" t="str">
        <f>IFERROR(__xludf.DUMMYFUNCTION("""COMPUTED_VALUE"""),"")</f>
        <v/>
      </c>
      <c r="D1338" t="str">
        <f>IFERROR(__xludf.DUMMYFUNCTION("""COMPUTED_VALUE"""),"")</f>
        <v/>
      </c>
      <c r="E1338" t="str">
        <f>IFERROR(__xludf.DUMMYFUNCTION("""COMPUTED_VALUE"""),"")</f>
        <v/>
      </c>
      <c r="F1338" t="str">
        <f>IFERROR(__xludf.DUMMYFUNCTION("""COMPUTED_VALUE"""),"")</f>
        <v/>
      </c>
      <c r="G1338" t="str">
        <f>IFERROR(__xludf.DUMMYFUNCTION("""COMPUTED_VALUE"""),"")</f>
        <v/>
      </c>
      <c r="H1338" s="2" t="str">
        <f>IFERROR(__xludf.DUMMYFUNCTION("""COMPUTED_VALUE"""),"")</f>
        <v/>
      </c>
      <c r="I1338" s="2" t="str">
        <f>IFERROR(__xludf.DUMMYFUNCTION("""COMPUTED_VALUE"""),"")</f>
        <v/>
      </c>
      <c r="J1338" s="2">
        <f>IFERROR(__xludf.DUMMYFUNCTION("""COMPUTED_VALUE"""),0.0)</f>
        <v>0</v>
      </c>
      <c r="K1338" s="5" t="str">
        <f>IFERROR(__xludf.DUMMYFUNCTION("""COMPUTED_VALUE"""),"")</f>
        <v/>
      </c>
      <c r="L1338" t="str">
        <f>IFERROR(__xludf.DUMMYFUNCTION("""COMPUTED_VALUE"""),"")</f>
        <v/>
      </c>
      <c r="M1338" t="str">
        <f>IFERROR(__xludf.DUMMYFUNCTION("""COMPUTED_VALUE"""),"")</f>
        <v/>
      </c>
      <c r="N1338" t="str">
        <f>IFERROR(__xludf.DUMMYFUNCTION("""COMPUTED_VALUE"""),"")</f>
        <v/>
      </c>
      <c r="O1338" t="str">
        <f>IFERROR(__xludf.DUMMYFUNCTION("""COMPUTED_VALUE"""),"")</f>
        <v/>
      </c>
      <c r="P1338" t="str">
        <f>IFERROR(__xludf.DUMMYFUNCTION("""COMPUTED_VALUE"""),"ID ")</f>
        <v>ID </v>
      </c>
    </row>
    <row r="1339">
      <c r="A1339" s="6" t="str">
        <f>IFERROR(__xludf.DUMMYFUNCTION("""COMPUTED_VALUE"""),"")</f>
        <v/>
      </c>
      <c r="C1339" t="str">
        <f>IFERROR(__xludf.DUMMYFUNCTION("""COMPUTED_VALUE"""),"")</f>
        <v/>
      </c>
      <c r="D1339" t="str">
        <f>IFERROR(__xludf.DUMMYFUNCTION("""COMPUTED_VALUE"""),"")</f>
        <v/>
      </c>
      <c r="E1339" t="str">
        <f>IFERROR(__xludf.DUMMYFUNCTION("""COMPUTED_VALUE"""),"")</f>
        <v/>
      </c>
      <c r="F1339" t="str">
        <f>IFERROR(__xludf.DUMMYFUNCTION("""COMPUTED_VALUE"""),"")</f>
        <v/>
      </c>
      <c r="G1339" t="str">
        <f>IFERROR(__xludf.DUMMYFUNCTION("""COMPUTED_VALUE"""),"")</f>
        <v/>
      </c>
      <c r="H1339" s="2" t="str">
        <f>IFERROR(__xludf.DUMMYFUNCTION("""COMPUTED_VALUE"""),"")</f>
        <v/>
      </c>
      <c r="I1339" s="2" t="str">
        <f>IFERROR(__xludf.DUMMYFUNCTION("""COMPUTED_VALUE"""),"")</f>
        <v/>
      </c>
      <c r="J1339" s="2">
        <f>IFERROR(__xludf.DUMMYFUNCTION("""COMPUTED_VALUE"""),0.0)</f>
        <v>0</v>
      </c>
      <c r="K1339" s="5" t="str">
        <f>IFERROR(__xludf.DUMMYFUNCTION("""COMPUTED_VALUE"""),"")</f>
        <v/>
      </c>
      <c r="L1339" t="str">
        <f>IFERROR(__xludf.DUMMYFUNCTION("""COMPUTED_VALUE"""),"")</f>
        <v/>
      </c>
      <c r="M1339" t="str">
        <f>IFERROR(__xludf.DUMMYFUNCTION("""COMPUTED_VALUE"""),"")</f>
        <v/>
      </c>
      <c r="N1339" t="str">
        <f>IFERROR(__xludf.DUMMYFUNCTION("""COMPUTED_VALUE"""),"")</f>
        <v/>
      </c>
      <c r="O1339" t="str">
        <f>IFERROR(__xludf.DUMMYFUNCTION("""COMPUTED_VALUE"""),"")</f>
        <v/>
      </c>
      <c r="P1339" t="str">
        <f>IFERROR(__xludf.DUMMYFUNCTION("""COMPUTED_VALUE"""),"ID ")</f>
        <v>ID </v>
      </c>
    </row>
    <row r="1340">
      <c r="A1340" s="6" t="str">
        <f>IFERROR(__xludf.DUMMYFUNCTION("""COMPUTED_VALUE"""),"")</f>
        <v/>
      </c>
      <c r="C1340" t="str">
        <f>IFERROR(__xludf.DUMMYFUNCTION("""COMPUTED_VALUE"""),"")</f>
        <v/>
      </c>
      <c r="D1340" t="str">
        <f>IFERROR(__xludf.DUMMYFUNCTION("""COMPUTED_VALUE"""),"")</f>
        <v/>
      </c>
      <c r="E1340" t="str">
        <f>IFERROR(__xludf.DUMMYFUNCTION("""COMPUTED_VALUE"""),"")</f>
        <v/>
      </c>
      <c r="F1340" t="str">
        <f>IFERROR(__xludf.DUMMYFUNCTION("""COMPUTED_VALUE"""),"")</f>
        <v/>
      </c>
      <c r="G1340" t="str">
        <f>IFERROR(__xludf.DUMMYFUNCTION("""COMPUTED_VALUE"""),"")</f>
        <v/>
      </c>
      <c r="H1340" s="2" t="str">
        <f>IFERROR(__xludf.DUMMYFUNCTION("""COMPUTED_VALUE"""),"")</f>
        <v/>
      </c>
      <c r="I1340" s="2" t="str">
        <f>IFERROR(__xludf.DUMMYFUNCTION("""COMPUTED_VALUE"""),"")</f>
        <v/>
      </c>
      <c r="J1340" s="2">
        <f>IFERROR(__xludf.DUMMYFUNCTION("""COMPUTED_VALUE"""),0.0)</f>
        <v>0</v>
      </c>
      <c r="K1340" s="5" t="str">
        <f>IFERROR(__xludf.DUMMYFUNCTION("""COMPUTED_VALUE"""),"")</f>
        <v/>
      </c>
      <c r="L1340" t="str">
        <f>IFERROR(__xludf.DUMMYFUNCTION("""COMPUTED_VALUE"""),"")</f>
        <v/>
      </c>
      <c r="M1340" t="str">
        <f>IFERROR(__xludf.DUMMYFUNCTION("""COMPUTED_VALUE"""),"")</f>
        <v/>
      </c>
      <c r="N1340" t="str">
        <f>IFERROR(__xludf.DUMMYFUNCTION("""COMPUTED_VALUE"""),"")</f>
        <v/>
      </c>
      <c r="O1340" t="str">
        <f>IFERROR(__xludf.DUMMYFUNCTION("""COMPUTED_VALUE"""),"")</f>
        <v/>
      </c>
      <c r="P1340" t="str">
        <f>IFERROR(__xludf.DUMMYFUNCTION("""COMPUTED_VALUE"""),"ID ")</f>
        <v>ID </v>
      </c>
    </row>
    <row r="1341">
      <c r="A1341" s="6" t="str">
        <f>IFERROR(__xludf.DUMMYFUNCTION("""COMPUTED_VALUE"""),"")</f>
        <v/>
      </c>
      <c r="C1341" t="str">
        <f>IFERROR(__xludf.DUMMYFUNCTION("""COMPUTED_VALUE"""),"")</f>
        <v/>
      </c>
      <c r="D1341" t="str">
        <f>IFERROR(__xludf.DUMMYFUNCTION("""COMPUTED_VALUE"""),"")</f>
        <v/>
      </c>
      <c r="E1341" t="str">
        <f>IFERROR(__xludf.DUMMYFUNCTION("""COMPUTED_VALUE"""),"")</f>
        <v/>
      </c>
      <c r="F1341" t="str">
        <f>IFERROR(__xludf.DUMMYFUNCTION("""COMPUTED_VALUE"""),"")</f>
        <v/>
      </c>
      <c r="G1341" t="str">
        <f>IFERROR(__xludf.DUMMYFUNCTION("""COMPUTED_VALUE"""),"")</f>
        <v/>
      </c>
      <c r="H1341" s="2" t="str">
        <f>IFERROR(__xludf.DUMMYFUNCTION("""COMPUTED_VALUE"""),"")</f>
        <v/>
      </c>
      <c r="I1341" s="2" t="str">
        <f>IFERROR(__xludf.DUMMYFUNCTION("""COMPUTED_VALUE"""),"")</f>
        <v/>
      </c>
      <c r="J1341" s="2">
        <f>IFERROR(__xludf.DUMMYFUNCTION("""COMPUTED_VALUE"""),0.0)</f>
        <v>0</v>
      </c>
      <c r="K1341" s="5" t="str">
        <f>IFERROR(__xludf.DUMMYFUNCTION("""COMPUTED_VALUE"""),"")</f>
        <v/>
      </c>
      <c r="L1341" t="str">
        <f>IFERROR(__xludf.DUMMYFUNCTION("""COMPUTED_VALUE"""),"")</f>
        <v/>
      </c>
      <c r="M1341" t="str">
        <f>IFERROR(__xludf.DUMMYFUNCTION("""COMPUTED_VALUE"""),"")</f>
        <v/>
      </c>
      <c r="N1341" t="str">
        <f>IFERROR(__xludf.DUMMYFUNCTION("""COMPUTED_VALUE"""),"")</f>
        <v/>
      </c>
      <c r="O1341" t="str">
        <f>IFERROR(__xludf.DUMMYFUNCTION("""COMPUTED_VALUE"""),"")</f>
        <v/>
      </c>
      <c r="P1341" t="str">
        <f>IFERROR(__xludf.DUMMYFUNCTION("""COMPUTED_VALUE"""),"ID ")</f>
        <v>ID </v>
      </c>
    </row>
    <row r="1342">
      <c r="A1342" s="6" t="str">
        <f>IFERROR(__xludf.DUMMYFUNCTION("""COMPUTED_VALUE"""),"")</f>
        <v/>
      </c>
      <c r="C1342" t="str">
        <f>IFERROR(__xludf.DUMMYFUNCTION("""COMPUTED_VALUE"""),"")</f>
        <v/>
      </c>
      <c r="D1342" t="str">
        <f>IFERROR(__xludf.DUMMYFUNCTION("""COMPUTED_VALUE"""),"")</f>
        <v/>
      </c>
      <c r="E1342" t="str">
        <f>IFERROR(__xludf.DUMMYFUNCTION("""COMPUTED_VALUE"""),"")</f>
        <v/>
      </c>
      <c r="F1342" t="str">
        <f>IFERROR(__xludf.DUMMYFUNCTION("""COMPUTED_VALUE"""),"")</f>
        <v/>
      </c>
      <c r="G1342" t="str">
        <f>IFERROR(__xludf.DUMMYFUNCTION("""COMPUTED_VALUE"""),"")</f>
        <v/>
      </c>
      <c r="H1342" s="2" t="str">
        <f>IFERROR(__xludf.DUMMYFUNCTION("""COMPUTED_VALUE"""),"")</f>
        <v/>
      </c>
      <c r="I1342" s="2" t="str">
        <f>IFERROR(__xludf.DUMMYFUNCTION("""COMPUTED_VALUE"""),"")</f>
        <v/>
      </c>
      <c r="J1342" s="2">
        <f>IFERROR(__xludf.DUMMYFUNCTION("""COMPUTED_VALUE"""),0.0)</f>
        <v>0</v>
      </c>
      <c r="K1342" s="5" t="str">
        <f>IFERROR(__xludf.DUMMYFUNCTION("""COMPUTED_VALUE"""),"")</f>
        <v/>
      </c>
      <c r="L1342" t="str">
        <f>IFERROR(__xludf.DUMMYFUNCTION("""COMPUTED_VALUE"""),"")</f>
        <v/>
      </c>
      <c r="M1342" t="str">
        <f>IFERROR(__xludf.DUMMYFUNCTION("""COMPUTED_VALUE"""),"")</f>
        <v/>
      </c>
      <c r="N1342" t="str">
        <f>IFERROR(__xludf.DUMMYFUNCTION("""COMPUTED_VALUE"""),"")</f>
        <v/>
      </c>
      <c r="O1342" t="str">
        <f>IFERROR(__xludf.DUMMYFUNCTION("""COMPUTED_VALUE"""),"")</f>
        <v/>
      </c>
      <c r="P1342" t="str">
        <f>IFERROR(__xludf.DUMMYFUNCTION("""COMPUTED_VALUE"""),"ID ")</f>
        <v>ID </v>
      </c>
    </row>
    <row r="1343">
      <c r="A1343" s="6" t="str">
        <f>IFERROR(__xludf.DUMMYFUNCTION("""COMPUTED_VALUE"""),"")</f>
        <v/>
      </c>
      <c r="C1343" t="str">
        <f>IFERROR(__xludf.DUMMYFUNCTION("""COMPUTED_VALUE"""),"")</f>
        <v/>
      </c>
      <c r="D1343" t="str">
        <f>IFERROR(__xludf.DUMMYFUNCTION("""COMPUTED_VALUE"""),"")</f>
        <v/>
      </c>
      <c r="E1343" t="str">
        <f>IFERROR(__xludf.DUMMYFUNCTION("""COMPUTED_VALUE"""),"")</f>
        <v/>
      </c>
      <c r="F1343" t="str">
        <f>IFERROR(__xludf.DUMMYFUNCTION("""COMPUTED_VALUE"""),"")</f>
        <v/>
      </c>
      <c r="G1343" t="str">
        <f>IFERROR(__xludf.DUMMYFUNCTION("""COMPUTED_VALUE"""),"")</f>
        <v/>
      </c>
      <c r="H1343" s="2" t="str">
        <f>IFERROR(__xludf.DUMMYFUNCTION("""COMPUTED_VALUE"""),"")</f>
        <v/>
      </c>
      <c r="I1343" s="2" t="str">
        <f>IFERROR(__xludf.DUMMYFUNCTION("""COMPUTED_VALUE"""),"")</f>
        <v/>
      </c>
      <c r="J1343" s="2">
        <f>IFERROR(__xludf.DUMMYFUNCTION("""COMPUTED_VALUE"""),0.0)</f>
        <v>0</v>
      </c>
      <c r="K1343" s="5" t="str">
        <f>IFERROR(__xludf.DUMMYFUNCTION("""COMPUTED_VALUE"""),"")</f>
        <v/>
      </c>
      <c r="L1343" t="str">
        <f>IFERROR(__xludf.DUMMYFUNCTION("""COMPUTED_VALUE"""),"")</f>
        <v/>
      </c>
      <c r="M1343" t="str">
        <f>IFERROR(__xludf.DUMMYFUNCTION("""COMPUTED_VALUE"""),"")</f>
        <v/>
      </c>
      <c r="N1343" t="str">
        <f>IFERROR(__xludf.DUMMYFUNCTION("""COMPUTED_VALUE"""),"")</f>
        <v/>
      </c>
      <c r="O1343" t="str">
        <f>IFERROR(__xludf.DUMMYFUNCTION("""COMPUTED_VALUE"""),"")</f>
        <v/>
      </c>
      <c r="P1343" t="str">
        <f>IFERROR(__xludf.DUMMYFUNCTION("""COMPUTED_VALUE"""),"ID ")</f>
        <v>ID </v>
      </c>
    </row>
    <row r="1344">
      <c r="A1344" s="6" t="str">
        <f>IFERROR(__xludf.DUMMYFUNCTION("""COMPUTED_VALUE"""),"")</f>
        <v/>
      </c>
      <c r="C1344" t="str">
        <f>IFERROR(__xludf.DUMMYFUNCTION("""COMPUTED_VALUE"""),"")</f>
        <v/>
      </c>
      <c r="D1344" t="str">
        <f>IFERROR(__xludf.DUMMYFUNCTION("""COMPUTED_VALUE"""),"")</f>
        <v/>
      </c>
      <c r="E1344" t="str">
        <f>IFERROR(__xludf.DUMMYFUNCTION("""COMPUTED_VALUE"""),"")</f>
        <v/>
      </c>
      <c r="F1344" t="str">
        <f>IFERROR(__xludf.DUMMYFUNCTION("""COMPUTED_VALUE"""),"")</f>
        <v/>
      </c>
      <c r="G1344" t="str">
        <f>IFERROR(__xludf.DUMMYFUNCTION("""COMPUTED_VALUE"""),"")</f>
        <v/>
      </c>
      <c r="H1344" s="2" t="str">
        <f>IFERROR(__xludf.DUMMYFUNCTION("""COMPUTED_VALUE"""),"")</f>
        <v/>
      </c>
      <c r="I1344" s="2" t="str">
        <f>IFERROR(__xludf.DUMMYFUNCTION("""COMPUTED_VALUE"""),"")</f>
        <v/>
      </c>
      <c r="J1344" s="2">
        <f>IFERROR(__xludf.DUMMYFUNCTION("""COMPUTED_VALUE"""),0.0)</f>
        <v>0</v>
      </c>
      <c r="K1344" s="5" t="str">
        <f>IFERROR(__xludf.DUMMYFUNCTION("""COMPUTED_VALUE"""),"")</f>
        <v/>
      </c>
      <c r="L1344" t="str">
        <f>IFERROR(__xludf.DUMMYFUNCTION("""COMPUTED_VALUE"""),"")</f>
        <v/>
      </c>
      <c r="M1344" t="str">
        <f>IFERROR(__xludf.DUMMYFUNCTION("""COMPUTED_VALUE"""),"")</f>
        <v/>
      </c>
      <c r="N1344" t="str">
        <f>IFERROR(__xludf.DUMMYFUNCTION("""COMPUTED_VALUE"""),"")</f>
        <v/>
      </c>
      <c r="O1344" t="str">
        <f>IFERROR(__xludf.DUMMYFUNCTION("""COMPUTED_VALUE"""),"")</f>
        <v/>
      </c>
      <c r="P1344" t="str">
        <f>IFERROR(__xludf.DUMMYFUNCTION("""COMPUTED_VALUE"""),"ID ")</f>
        <v>ID </v>
      </c>
    </row>
    <row r="1345">
      <c r="A1345" s="6" t="str">
        <f>IFERROR(__xludf.DUMMYFUNCTION("""COMPUTED_VALUE"""),"")</f>
        <v/>
      </c>
      <c r="C1345" t="str">
        <f>IFERROR(__xludf.DUMMYFUNCTION("""COMPUTED_VALUE"""),"")</f>
        <v/>
      </c>
      <c r="D1345" t="str">
        <f>IFERROR(__xludf.DUMMYFUNCTION("""COMPUTED_VALUE"""),"")</f>
        <v/>
      </c>
      <c r="E1345" t="str">
        <f>IFERROR(__xludf.DUMMYFUNCTION("""COMPUTED_VALUE"""),"")</f>
        <v/>
      </c>
      <c r="F1345" t="str">
        <f>IFERROR(__xludf.DUMMYFUNCTION("""COMPUTED_VALUE"""),"")</f>
        <v/>
      </c>
      <c r="G1345" t="str">
        <f>IFERROR(__xludf.DUMMYFUNCTION("""COMPUTED_VALUE"""),"")</f>
        <v/>
      </c>
      <c r="H1345" s="2" t="str">
        <f>IFERROR(__xludf.DUMMYFUNCTION("""COMPUTED_VALUE"""),"")</f>
        <v/>
      </c>
      <c r="I1345" s="2" t="str">
        <f>IFERROR(__xludf.DUMMYFUNCTION("""COMPUTED_VALUE"""),"")</f>
        <v/>
      </c>
      <c r="J1345" s="2">
        <f>IFERROR(__xludf.DUMMYFUNCTION("""COMPUTED_VALUE"""),0.0)</f>
        <v>0</v>
      </c>
      <c r="K1345" s="5" t="str">
        <f>IFERROR(__xludf.DUMMYFUNCTION("""COMPUTED_VALUE"""),"")</f>
        <v/>
      </c>
      <c r="L1345" t="str">
        <f>IFERROR(__xludf.DUMMYFUNCTION("""COMPUTED_VALUE"""),"")</f>
        <v/>
      </c>
      <c r="M1345" t="str">
        <f>IFERROR(__xludf.DUMMYFUNCTION("""COMPUTED_VALUE"""),"")</f>
        <v/>
      </c>
      <c r="N1345" t="str">
        <f>IFERROR(__xludf.DUMMYFUNCTION("""COMPUTED_VALUE"""),"")</f>
        <v/>
      </c>
      <c r="O1345" t="str">
        <f>IFERROR(__xludf.DUMMYFUNCTION("""COMPUTED_VALUE"""),"")</f>
        <v/>
      </c>
      <c r="P1345" t="str">
        <f>IFERROR(__xludf.DUMMYFUNCTION("""COMPUTED_VALUE"""),"ID ")</f>
        <v>ID </v>
      </c>
    </row>
    <row r="1346">
      <c r="A1346" s="6" t="str">
        <f>IFERROR(__xludf.DUMMYFUNCTION("""COMPUTED_VALUE"""),"")</f>
        <v/>
      </c>
      <c r="C1346" t="str">
        <f>IFERROR(__xludf.DUMMYFUNCTION("""COMPUTED_VALUE"""),"")</f>
        <v/>
      </c>
      <c r="D1346" t="str">
        <f>IFERROR(__xludf.DUMMYFUNCTION("""COMPUTED_VALUE"""),"")</f>
        <v/>
      </c>
      <c r="E1346" t="str">
        <f>IFERROR(__xludf.DUMMYFUNCTION("""COMPUTED_VALUE"""),"")</f>
        <v/>
      </c>
      <c r="F1346" t="str">
        <f>IFERROR(__xludf.DUMMYFUNCTION("""COMPUTED_VALUE"""),"")</f>
        <v/>
      </c>
      <c r="G1346" t="str">
        <f>IFERROR(__xludf.DUMMYFUNCTION("""COMPUTED_VALUE"""),"")</f>
        <v/>
      </c>
      <c r="H1346" s="2" t="str">
        <f>IFERROR(__xludf.DUMMYFUNCTION("""COMPUTED_VALUE"""),"")</f>
        <v/>
      </c>
      <c r="I1346" s="2" t="str">
        <f>IFERROR(__xludf.DUMMYFUNCTION("""COMPUTED_VALUE"""),"")</f>
        <v/>
      </c>
      <c r="J1346" s="2">
        <f>IFERROR(__xludf.DUMMYFUNCTION("""COMPUTED_VALUE"""),0.0)</f>
        <v>0</v>
      </c>
      <c r="K1346" s="5" t="str">
        <f>IFERROR(__xludf.DUMMYFUNCTION("""COMPUTED_VALUE"""),"")</f>
        <v/>
      </c>
      <c r="L1346" t="str">
        <f>IFERROR(__xludf.DUMMYFUNCTION("""COMPUTED_VALUE"""),"")</f>
        <v/>
      </c>
      <c r="M1346" t="str">
        <f>IFERROR(__xludf.DUMMYFUNCTION("""COMPUTED_VALUE"""),"")</f>
        <v/>
      </c>
      <c r="N1346" t="str">
        <f>IFERROR(__xludf.DUMMYFUNCTION("""COMPUTED_VALUE"""),"")</f>
        <v/>
      </c>
      <c r="O1346" t="str">
        <f>IFERROR(__xludf.DUMMYFUNCTION("""COMPUTED_VALUE"""),"")</f>
        <v/>
      </c>
      <c r="P1346" t="str">
        <f>IFERROR(__xludf.DUMMYFUNCTION("""COMPUTED_VALUE"""),"ID ")</f>
        <v>ID </v>
      </c>
    </row>
    <row r="1347">
      <c r="A1347" s="6" t="str">
        <f>IFERROR(__xludf.DUMMYFUNCTION("""COMPUTED_VALUE"""),"")</f>
        <v/>
      </c>
      <c r="C1347" t="str">
        <f>IFERROR(__xludf.DUMMYFUNCTION("""COMPUTED_VALUE"""),"")</f>
        <v/>
      </c>
      <c r="D1347" t="str">
        <f>IFERROR(__xludf.DUMMYFUNCTION("""COMPUTED_VALUE"""),"")</f>
        <v/>
      </c>
      <c r="E1347" t="str">
        <f>IFERROR(__xludf.DUMMYFUNCTION("""COMPUTED_VALUE"""),"")</f>
        <v/>
      </c>
      <c r="F1347" t="str">
        <f>IFERROR(__xludf.DUMMYFUNCTION("""COMPUTED_VALUE"""),"")</f>
        <v/>
      </c>
      <c r="G1347" t="str">
        <f>IFERROR(__xludf.DUMMYFUNCTION("""COMPUTED_VALUE"""),"")</f>
        <v/>
      </c>
      <c r="H1347" s="2" t="str">
        <f>IFERROR(__xludf.DUMMYFUNCTION("""COMPUTED_VALUE"""),"")</f>
        <v/>
      </c>
      <c r="I1347" s="2" t="str">
        <f>IFERROR(__xludf.DUMMYFUNCTION("""COMPUTED_VALUE"""),"")</f>
        <v/>
      </c>
      <c r="J1347" s="2">
        <f>IFERROR(__xludf.DUMMYFUNCTION("""COMPUTED_VALUE"""),0.0)</f>
        <v>0</v>
      </c>
      <c r="K1347" s="5" t="str">
        <f>IFERROR(__xludf.DUMMYFUNCTION("""COMPUTED_VALUE"""),"")</f>
        <v/>
      </c>
      <c r="L1347" t="str">
        <f>IFERROR(__xludf.DUMMYFUNCTION("""COMPUTED_VALUE"""),"")</f>
        <v/>
      </c>
      <c r="M1347" t="str">
        <f>IFERROR(__xludf.DUMMYFUNCTION("""COMPUTED_VALUE"""),"")</f>
        <v/>
      </c>
      <c r="N1347" t="str">
        <f>IFERROR(__xludf.DUMMYFUNCTION("""COMPUTED_VALUE"""),"")</f>
        <v/>
      </c>
      <c r="O1347" t="str">
        <f>IFERROR(__xludf.DUMMYFUNCTION("""COMPUTED_VALUE"""),"")</f>
        <v/>
      </c>
      <c r="P1347" t="str">
        <f>IFERROR(__xludf.DUMMYFUNCTION("""COMPUTED_VALUE"""),"ID ")</f>
        <v>ID </v>
      </c>
    </row>
    <row r="1348">
      <c r="A1348" s="6" t="str">
        <f>IFERROR(__xludf.DUMMYFUNCTION("""COMPUTED_VALUE"""),"")</f>
        <v/>
      </c>
      <c r="C1348" t="str">
        <f>IFERROR(__xludf.DUMMYFUNCTION("""COMPUTED_VALUE"""),"")</f>
        <v/>
      </c>
      <c r="D1348" t="str">
        <f>IFERROR(__xludf.DUMMYFUNCTION("""COMPUTED_VALUE"""),"")</f>
        <v/>
      </c>
      <c r="E1348" t="str">
        <f>IFERROR(__xludf.DUMMYFUNCTION("""COMPUTED_VALUE"""),"")</f>
        <v/>
      </c>
      <c r="F1348" t="str">
        <f>IFERROR(__xludf.DUMMYFUNCTION("""COMPUTED_VALUE"""),"")</f>
        <v/>
      </c>
      <c r="G1348" t="str">
        <f>IFERROR(__xludf.DUMMYFUNCTION("""COMPUTED_VALUE"""),"")</f>
        <v/>
      </c>
      <c r="H1348" s="2" t="str">
        <f>IFERROR(__xludf.DUMMYFUNCTION("""COMPUTED_VALUE"""),"")</f>
        <v/>
      </c>
      <c r="I1348" s="2" t="str">
        <f>IFERROR(__xludf.DUMMYFUNCTION("""COMPUTED_VALUE"""),"")</f>
        <v/>
      </c>
      <c r="J1348" s="2">
        <f>IFERROR(__xludf.DUMMYFUNCTION("""COMPUTED_VALUE"""),0.0)</f>
        <v>0</v>
      </c>
      <c r="K1348" s="5" t="str">
        <f>IFERROR(__xludf.DUMMYFUNCTION("""COMPUTED_VALUE"""),"")</f>
        <v/>
      </c>
      <c r="L1348" t="str">
        <f>IFERROR(__xludf.DUMMYFUNCTION("""COMPUTED_VALUE"""),"")</f>
        <v/>
      </c>
      <c r="M1348" t="str">
        <f>IFERROR(__xludf.DUMMYFUNCTION("""COMPUTED_VALUE"""),"")</f>
        <v/>
      </c>
      <c r="N1348" t="str">
        <f>IFERROR(__xludf.DUMMYFUNCTION("""COMPUTED_VALUE"""),"")</f>
        <v/>
      </c>
      <c r="O1348" t="str">
        <f>IFERROR(__xludf.DUMMYFUNCTION("""COMPUTED_VALUE"""),"")</f>
        <v/>
      </c>
      <c r="P1348" t="str">
        <f>IFERROR(__xludf.DUMMYFUNCTION("""COMPUTED_VALUE"""),"ID ")</f>
        <v>ID </v>
      </c>
    </row>
    <row r="1349">
      <c r="A1349" s="6" t="str">
        <f>IFERROR(__xludf.DUMMYFUNCTION("""COMPUTED_VALUE"""),"")</f>
        <v/>
      </c>
      <c r="C1349" t="str">
        <f>IFERROR(__xludf.DUMMYFUNCTION("""COMPUTED_VALUE"""),"")</f>
        <v/>
      </c>
      <c r="D1349" t="str">
        <f>IFERROR(__xludf.DUMMYFUNCTION("""COMPUTED_VALUE"""),"")</f>
        <v/>
      </c>
      <c r="E1349" t="str">
        <f>IFERROR(__xludf.DUMMYFUNCTION("""COMPUTED_VALUE"""),"")</f>
        <v/>
      </c>
      <c r="F1349" t="str">
        <f>IFERROR(__xludf.DUMMYFUNCTION("""COMPUTED_VALUE"""),"")</f>
        <v/>
      </c>
      <c r="G1349" t="str">
        <f>IFERROR(__xludf.DUMMYFUNCTION("""COMPUTED_VALUE"""),"")</f>
        <v/>
      </c>
      <c r="H1349" s="2" t="str">
        <f>IFERROR(__xludf.DUMMYFUNCTION("""COMPUTED_VALUE"""),"")</f>
        <v/>
      </c>
      <c r="I1349" s="2" t="str">
        <f>IFERROR(__xludf.DUMMYFUNCTION("""COMPUTED_VALUE"""),"")</f>
        <v/>
      </c>
      <c r="J1349" s="2">
        <f>IFERROR(__xludf.DUMMYFUNCTION("""COMPUTED_VALUE"""),0.0)</f>
        <v>0</v>
      </c>
      <c r="K1349" s="5" t="str">
        <f>IFERROR(__xludf.DUMMYFUNCTION("""COMPUTED_VALUE"""),"")</f>
        <v/>
      </c>
      <c r="L1349" t="str">
        <f>IFERROR(__xludf.DUMMYFUNCTION("""COMPUTED_VALUE"""),"")</f>
        <v/>
      </c>
      <c r="M1349" t="str">
        <f>IFERROR(__xludf.DUMMYFUNCTION("""COMPUTED_VALUE"""),"")</f>
        <v/>
      </c>
      <c r="N1349" t="str">
        <f>IFERROR(__xludf.DUMMYFUNCTION("""COMPUTED_VALUE"""),"")</f>
        <v/>
      </c>
      <c r="O1349" t="str">
        <f>IFERROR(__xludf.DUMMYFUNCTION("""COMPUTED_VALUE"""),"")</f>
        <v/>
      </c>
      <c r="P1349" t="str">
        <f>IFERROR(__xludf.DUMMYFUNCTION("""COMPUTED_VALUE"""),"ID ")</f>
        <v>ID </v>
      </c>
    </row>
    <row r="1350">
      <c r="A1350" s="6" t="str">
        <f>IFERROR(__xludf.DUMMYFUNCTION("""COMPUTED_VALUE"""),"")</f>
        <v/>
      </c>
      <c r="C1350" t="str">
        <f>IFERROR(__xludf.DUMMYFUNCTION("""COMPUTED_VALUE"""),"")</f>
        <v/>
      </c>
      <c r="D1350" t="str">
        <f>IFERROR(__xludf.DUMMYFUNCTION("""COMPUTED_VALUE"""),"")</f>
        <v/>
      </c>
      <c r="E1350" t="str">
        <f>IFERROR(__xludf.DUMMYFUNCTION("""COMPUTED_VALUE"""),"")</f>
        <v/>
      </c>
      <c r="F1350" t="str">
        <f>IFERROR(__xludf.DUMMYFUNCTION("""COMPUTED_VALUE"""),"")</f>
        <v/>
      </c>
      <c r="G1350" t="str">
        <f>IFERROR(__xludf.DUMMYFUNCTION("""COMPUTED_VALUE"""),"")</f>
        <v/>
      </c>
      <c r="H1350" s="2" t="str">
        <f>IFERROR(__xludf.DUMMYFUNCTION("""COMPUTED_VALUE"""),"")</f>
        <v/>
      </c>
      <c r="I1350" s="2" t="str">
        <f>IFERROR(__xludf.DUMMYFUNCTION("""COMPUTED_VALUE"""),"")</f>
        <v/>
      </c>
      <c r="J1350" s="2">
        <f>IFERROR(__xludf.DUMMYFUNCTION("""COMPUTED_VALUE"""),0.0)</f>
        <v>0</v>
      </c>
      <c r="K1350" s="5" t="str">
        <f>IFERROR(__xludf.DUMMYFUNCTION("""COMPUTED_VALUE"""),"")</f>
        <v/>
      </c>
      <c r="L1350" t="str">
        <f>IFERROR(__xludf.DUMMYFUNCTION("""COMPUTED_VALUE"""),"")</f>
        <v/>
      </c>
      <c r="M1350" t="str">
        <f>IFERROR(__xludf.DUMMYFUNCTION("""COMPUTED_VALUE"""),"")</f>
        <v/>
      </c>
      <c r="N1350" t="str">
        <f>IFERROR(__xludf.DUMMYFUNCTION("""COMPUTED_VALUE"""),"")</f>
        <v/>
      </c>
      <c r="O1350" t="str">
        <f>IFERROR(__xludf.DUMMYFUNCTION("""COMPUTED_VALUE"""),"")</f>
        <v/>
      </c>
      <c r="P1350" t="str">
        <f>IFERROR(__xludf.DUMMYFUNCTION("""COMPUTED_VALUE"""),"ID ")</f>
        <v>ID </v>
      </c>
    </row>
    <row r="1351">
      <c r="A1351" s="6" t="str">
        <f>IFERROR(__xludf.DUMMYFUNCTION("""COMPUTED_VALUE"""),"")</f>
        <v/>
      </c>
      <c r="C1351" t="str">
        <f>IFERROR(__xludf.DUMMYFUNCTION("""COMPUTED_VALUE"""),"")</f>
        <v/>
      </c>
      <c r="D1351" t="str">
        <f>IFERROR(__xludf.DUMMYFUNCTION("""COMPUTED_VALUE"""),"")</f>
        <v/>
      </c>
      <c r="E1351" t="str">
        <f>IFERROR(__xludf.DUMMYFUNCTION("""COMPUTED_VALUE"""),"")</f>
        <v/>
      </c>
      <c r="F1351" t="str">
        <f>IFERROR(__xludf.DUMMYFUNCTION("""COMPUTED_VALUE"""),"")</f>
        <v/>
      </c>
      <c r="G1351" t="str">
        <f>IFERROR(__xludf.DUMMYFUNCTION("""COMPUTED_VALUE"""),"")</f>
        <v/>
      </c>
      <c r="H1351" s="2" t="str">
        <f>IFERROR(__xludf.DUMMYFUNCTION("""COMPUTED_VALUE"""),"")</f>
        <v/>
      </c>
      <c r="I1351" s="2" t="str">
        <f>IFERROR(__xludf.DUMMYFUNCTION("""COMPUTED_VALUE"""),"")</f>
        <v/>
      </c>
      <c r="J1351" s="2">
        <f>IFERROR(__xludf.DUMMYFUNCTION("""COMPUTED_VALUE"""),0.0)</f>
        <v>0</v>
      </c>
      <c r="K1351" s="5" t="str">
        <f>IFERROR(__xludf.DUMMYFUNCTION("""COMPUTED_VALUE"""),"")</f>
        <v/>
      </c>
      <c r="L1351" t="str">
        <f>IFERROR(__xludf.DUMMYFUNCTION("""COMPUTED_VALUE"""),"")</f>
        <v/>
      </c>
      <c r="M1351" t="str">
        <f>IFERROR(__xludf.DUMMYFUNCTION("""COMPUTED_VALUE"""),"")</f>
        <v/>
      </c>
      <c r="N1351" t="str">
        <f>IFERROR(__xludf.DUMMYFUNCTION("""COMPUTED_VALUE"""),"")</f>
        <v/>
      </c>
      <c r="O1351" t="str">
        <f>IFERROR(__xludf.DUMMYFUNCTION("""COMPUTED_VALUE"""),"")</f>
        <v/>
      </c>
      <c r="P1351" t="str">
        <f>IFERROR(__xludf.DUMMYFUNCTION("""COMPUTED_VALUE"""),"ID ")</f>
        <v>ID </v>
      </c>
    </row>
    <row r="1352">
      <c r="A1352" s="6" t="str">
        <f>IFERROR(__xludf.DUMMYFUNCTION("""COMPUTED_VALUE"""),"")</f>
        <v/>
      </c>
      <c r="C1352" t="str">
        <f>IFERROR(__xludf.DUMMYFUNCTION("""COMPUTED_VALUE"""),"")</f>
        <v/>
      </c>
      <c r="D1352" t="str">
        <f>IFERROR(__xludf.DUMMYFUNCTION("""COMPUTED_VALUE"""),"")</f>
        <v/>
      </c>
      <c r="E1352" t="str">
        <f>IFERROR(__xludf.DUMMYFUNCTION("""COMPUTED_VALUE"""),"")</f>
        <v/>
      </c>
      <c r="F1352" t="str">
        <f>IFERROR(__xludf.DUMMYFUNCTION("""COMPUTED_VALUE"""),"")</f>
        <v/>
      </c>
      <c r="G1352" t="str">
        <f>IFERROR(__xludf.DUMMYFUNCTION("""COMPUTED_VALUE"""),"")</f>
        <v/>
      </c>
      <c r="H1352" s="2" t="str">
        <f>IFERROR(__xludf.DUMMYFUNCTION("""COMPUTED_VALUE"""),"")</f>
        <v/>
      </c>
      <c r="I1352" s="2" t="str">
        <f>IFERROR(__xludf.DUMMYFUNCTION("""COMPUTED_VALUE"""),"")</f>
        <v/>
      </c>
      <c r="J1352" s="2">
        <f>IFERROR(__xludf.DUMMYFUNCTION("""COMPUTED_VALUE"""),0.0)</f>
        <v>0</v>
      </c>
      <c r="K1352" s="5" t="str">
        <f>IFERROR(__xludf.DUMMYFUNCTION("""COMPUTED_VALUE"""),"")</f>
        <v/>
      </c>
      <c r="L1352" t="str">
        <f>IFERROR(__xludf.DUMMYFUNCTION("""COMPUTED_VALUE"""),"")</f>
        <v/>
      </c>
      <c r="M1352" t="str">
        <f>IFERROR(__xludf.DUMMYFUNCTION("""COMPUTED_VALUE"""),"")</f>
        <v/>
      </c>
      <c r="N1352" t="str">
        <f>IFERROR(__xludf.DUMMYFUNCTION("""COMPUTED_VALUE"""),"")</f>
        <v/>
      </c>
      <c r="O1352" t="str">
        <f>IFERROR(__xludf.DUMMYFUNCTION("""COMPUTED_VALUE"""),"")</f>
        <v/>
      </c>
      <c r="P1352" t="str">
        <f>IFERROR(__xludf.DUMMYFUNCTION("""COMPUTED_VALUE"""),"ID ")</f>
        <v>ID </v>
      </c>
    </row>
    <row r="1353">
      <c r="A1353" s="6" t="str">
        <f>IFERROR(__xludf.DUMMYFUNCTION("""COMPUTED_VALUE"""),"")</f>
        <v/>
      </c>
      <c r="C1353" t="str">
        <f>IFERROR(__xludf.DUMMYFUNCTION("""COMPUTED_VALUE"""),"")</f>
        <v/>
      </c>
      <c r="D1353" t="str">
        <f>IFERROR(__xludf.DUMMYFUNCTION("""COMPUTED_VALUE"""),"")</f>
        <v/>
      </c>
      <c r="E1353" t="str">
        <f>IFERROR(__xludf.DUMMYFUNCTION("""COMPUTED_VALUE"""),"")</f>
        <v/>
      </c>
      <c r="F1353" t="str">
        <f>IFERROR(__xludf.DUMMYFUNCTION("""COMPUTED_VALUE"""),"")</f>
        <v/>
      </c>
      <c r="G1353" t="str">
        <f>IFERROR(__xludf.DUMMYFUNCTION("""COMPUTED_VALUE"""),"")</f>
        <v/>
      </c>
      <c r="H1353" s="2" t="str">
        <f>IFERROR(__xludf.DUMMYFUNCTION("""COMPUTED_VALUE"""),"")</f>
        <v/>
      </c>
      <c r="I1353" s="2" t="str">
        <f>IFERROR(__xludf.DUMMYFUNCTION("""COMPUTED_VALUE"""),"")</f>
        <v/>
      </c>
      <c r="J1353" s="2">
        <f>IFERROR(__xludf.DUMMYFUNCTION("""COMPUTED_VALUE"""),0.0)</f>
        <v>0</v>
      </c>
      <c r="K1353" s="5" t="str">
        <f>IFERROR(__xludf.DUMMYFUNCTION("""COMPUTED_VALUE"""),"")</f>
        <v/>
      </c>
      <c r="L1353" t="str">
        <f>IFERROR(__xludf.DUMMYFUNCTION("""COMPUTED_VALUE"""),"")</f>
        <v/>
      </c>
      <c r="M1353" t="str">
        <f>IFERROR(__xludf.DUMMYFUNCTION("""COMPUTED_VALUE"""),"")</f>
        <v/>
      </c>
      <c r="N1353" t="str">
        <f>IFERROR(__xludf.DUMMYFUNCTION("""COMPUTED_VALUE"""),"")</f>
        <v/>
      </c>
      <c r="O1353" t="str">
        <f>IFERROR(__xludf.DUMMYFUNCTION("""COMPUTED_VALUE"""),"")</f>
        <v/>
      </c>
      <c r="P1353" t="str">
        <f>IFERROR(__xludf.DUMMYFUNCTION("""COMPUTED_VALUE"""),"ID ")</f>
        <v>ID </v>
      </c>
    </row>
    <row r="1354">
      <c r="A1354" s="6" t="str">
        <f>IFERROR(__xludf.DUMMYFUNCTION("""COMPUTED_VALUE"""),"")</f>
        <v/>
      </c>
      <c r="C1354" t="str">
        <f>IFERROR(__xludf.DUMMYFUNCTION("""COMPUTED_VALUE"""),"")</f>
        <v/>
      </c>
      <c r="D1354" t="str">
        <f>IFERROR(__xludf.DUMMYFUNCTION("""COMPUTED_VALUE"""),"")</f>
        <v/>
      </c>
      <c r="E1354" t="str">
        <f>IFERROR(__xludf.DUMMYFUNCTION("""COMPUTED_VALUE"""),"")</f>
        <v/>
      </c>
      <c r="F1354" t="str">
        <f>IFERROR(__xludf.DUMMYFUNCTION("""COMPUTED_VALUE"""),"")</f>
        <v/>
      </c>
      <c r="G1354" t="str">
        <f>IFERROR(__xludf.DUMMYFUNCTION("""COMPUTED_VALUE"""),"")</f>
        <v/>
      </c>
      <c r="H1354" s="2" t="str">
        <f>IFERROR(__xludf.DUMMYFUNCTION("""COMPUTED_VALUE"""),"")</f>
        <v/>
      </c>
      <c r="I1354" s="2" t="str">
        <f>IFERROR(__xludf.DUMMYFUNCTION("""COMPUTED_VALUE"""),"")</f>
        <v/>
      </c>
      <c r="J1354" s="2">
        <f>IFERROR(__xludf.DUMMYFUNCTION("""COMPUTED_VALUE"""),0.0)</f>
        <v>0</v>
      </c>
      <c r="K1354" s="5" t="str">
        <f>IFERROR(__xludf.DUMMYFUNCTION("""COMPUTED_VALUE"""),"")</f>
        <v/>
      </c>
      <c r="L1354" t="str">
        <f>IFERROR(__xludf.DUMMYFUNCTION("""COMPUTED_VALUE"""),"")</f>
        <v/>
      </c>
      <c r="M1354" t="str">
        <f>IFERROR(__xludf.DUMMYFUNCTION("""COMPUTED_VALUE"""),"")</f>
        <v/>
      </c>
      <c r="N1354" t="str">
        <f>IFERROR(__xludf.DUMMYFUNCTION("""COMPUTED_VALUE"""),"")</f>
        <v/>
      </c>
      <c r="O1354" t="str">
        <f>IFERROR(__xludf.DUMMYFUNCTION("""COMPUTED_VALUE"""),"")</f>
        <v/>
      </c>
      <c r="P1354" t="str">
        <f>IFERROR(__xludf.DUMMYFUNCTION("""COMPUTED_VALUE"""),"ID ")</f>
        <v>ID </v>
      </c>
    </row>
    <row r="1355">
      <c r="A1355" s="6" t="str">
        <f>IFERROR(__xludf.DUMMYFUNCTION("""COMPUTED_VALUE"""),"")</f>
        <v/>
      </c>
      <c r="C1355" t="str">
        <f>IFERROR(__xludf.DUMMYFUNCTION("""COMPUTED_VALUE"""),"")</f>
        <v/>
      </c>
      <c r="D1355" t="str">
        <f>IFERROR(__xludf.DUMMYFUNCTION("""COMPUTED_VALUE"""),"")</f>
        <v/>
      </c>
      <c r="E1355" t="str">
        <f>IFERROR(__xludf.DUMMYFUNCTION("""COMPUTED_VALUE"""),"")</f>
        <v/>
      </c>
      <c r="F1355" t="str">
        <f>IFERROR(__xludf.DUMMYFUNCTION("""COMPUTED_VALUE"""),"")</f>
        <v/>
      </c>
      <c r="G1355" t="str">
        <f>IFERROR(__xludf.DUMMYFUNCTION("""COMPUTED_VALUE"""),"")</f>
        <v/>
      </c>
      <c r="H1355" s="2" t="str">
        <f>IFERROR(__xludf.DUMMYFUNCTION("""COMPUTED_VALUE"""),"")</f>
        <v/>
      </c>
      <c r="I1355" s="2" t="str">
        <f>IFERROR(__xludf.DUMMYFUNCTION("""COMPUTED_VALUE"""),"")</f>
        <v/>
      </c>
      <c r="J1355" s="2">
        <f>IFERROR(__xludf.DUMMYFUNCTION("""COMPUTED_VALUE"""),0.0)</f>
        <v>0</v>
      </c>
      <c r="K1355" s="5" t="str">
        <f>IFERROR(__xludf.DUMMYFUNCTION("""COMPUTED_VALUE"""),"")</f>
        <v/>
      </c>
      <c r="L1355" t="str">
        <f>IFERROR(__xludf.DUMMYFUNCTION("""COMPUTED_VALUE"""),"")</f>
        <v/>
      </c>
      <c r="M1355" t="str">
        <f>IFERROR(__xludf.DUMMYFUNCTION("""COMPUTED_VALUE"""),"")</f>
        <v/>
      </c>
      <c r="N1355" t="str">
        <f>IFERROR(__xludf.DUMMYFUNCTION("""COMPUTED_VALUE"""),"")</f>
        <v/>
      </c>
      <c r="O1355" t="str">
        <f>IFERROR(__xludf.DUMMYFUNCTION("""COMPUTED_VALUE"""),"")</f>
        <v/>
      </c>
      <c r="P1355" t="str">
        <f>IFERROR(__xludf.DUMMYFUNCTION("""COMPUTED_VALUE"""),"ID ")</f>
        <v>ID </v>
      </c>
    </row>
    <row r="1356">
      <c r="A1356" s="6" t="str">
        <f>IFERROR(__xludf.DUMMYFUNCTION("""COMPUTED_VALUE"""),"")</f>
        <v/>
      </c>
      <c r="C1356" t="str">
        <f>IFERROR(__xludf.DUMMYFUNCTION("""COMPUTED_VALUE"""),"")</f>
        <v/>
      </c>
      <c r="D1356" t="str">
        <f>IFERROR(__xludf.DUMMYFUNCTION("""COMPUTED_VALUE"""),"")</f>
        <v/>
      </c>
      <c r="E1356" t="str">
        <f>IFERROR(__xludf.DUMMYFUNCTION("""COMPUTED_VALUE"""),"")</f>
        <v/>
      </c>
      <c r="F1356" t="str">
        <f>IFERROR(__xludf.DUMMYFUNCTION("""COMPUTED_VALUE"""),"")</f>
        <v/>
      </c>
      <c r="G1356" t="str">
        <f>IFERROR(__xludf.DUMMYFUNCTION("""COMPUTED_VALUE"""),"")</f>
        <v/>
      </c>
      <c r="H1356" s="2" t="str">
        <f>IFERROR(__xludf.DUMMYFUNCTION("""COMPUTED_VALUE"""),"")</f>
        <v/>
      </c>
      <c r="I1356" s="2" t="str">
        <f>IFERROR(__xludf.DUMMYFUNCTION("""COMPUTED_VALUE"""),"")</f>
        <v/>
      </c>
      <c r="J1356" s="2">
        <f>IFERROR(__xludf.DUMMYFUNCTION("""COMPUTED_VALUE"""),0.0)</f>
        <v>0</v>
      </c>
      <c r="K1356" s="5" t="str">
        <f>IFERROR(__xludf.DUMMYFUNCTION("""COMPUTED_VALUE"""),"")</f>
        <v/>
      </c>
      <c r="L1356" t="str">
        <f>IFERROR(__xludf.DUMMYFUNCTION("""COMPUTED_VALUE"""),"")</f>
        <v/>
      </c>
      <c r="M1356" t="str">
        <f>IFERROR(__xludf.DUMMYFUNCTION("""COMPUTED_VALUE"""),"")</f>
        <v/>
      </c>
      <c r="N1356" t="str">
        <f>IFERROR(__xludf.DUMMYFUNCTION("""COMPUTED_VALUE"""),"")</f>
        <v/>
      </c>
      <c r="O1356" t="str">
        <f>IFERROR(__xludf.DUMMYFUNCTION("""COMPUTED_VALUE"""),"")</f>
        <v/>
      </c>
      <c r="P1356" t="str">
        <f>IFERROR(__xludf.DUMMYFUNCTION("""COMPUTED_VALUE"""),"ID ")</f>
        <v>ID </v>
      </c>
    </row>
    <row r="1357">
      <c r="A1357" s="6" t="str">
        <f>IFERROR(__xludf.DUMMYFUNCTION("""COMPUTED_VALUE"""),"")</f>
        <v/>
      </c>
      <c r="C1357" t="str">
        <f>IFERROR(__xludf.DUMMYFUNCTION("""COMPUTED_VALUE"""),"")</f>
        <v/>
      </c>
      <c r="D1357" t="str">
        <f>IFERROR(__xludf.DUMMYFUNCTION("""COMPUTED_VALUE"""),"")</f>
        <v/>
      </c>
      <c r="E1357" t="str">
        <f>IFERROR(__xludf.DUMMYFUNCTION("""COMPUTED_VALUE"""),"")</f>
        <v/>
      </c>
      <c r="F1357" t="str">
        <f>IFERROR(__xludf.DUMMYFUNCTION("""COMPUTED_VALUE"""),"")</f>
        <v/>
      </c>
      <c r="G1357" t="str">
        <f>IFERROR(__xludf.DUMMYFUNCTION("""COMPUTED_VALUE"""),"")</f>
        <v/>
      </c>
      <c r="H1357" s="2" t="str">
        <f>IFERROR(__xludf.DUMMYFUNCTION("""COMPUTED_VALUE"""),"")</f>
        <v/>
      </c>
      <c r="I1357" s="2" t="str">
        <f>IFERROR(__xludf.DUMMYFUNCTION("""COMPUTED_VALUE"""),"")</f>
        <v/>
      </c>
      <c r="J1357" s="2">
        <f>IFERROR(__xludf.DUMMYFUNCTION("""COMPUTED_VALUE"""),0.0)</f>
        <v>0</v>
      </c>
      <c r="K1357" s="5" t="str">
        <f>IFERROR(__xludf.DUMMYFUNCTION("""COMPUTED_VALUE"""),"")</f>
        <v/>
      </c>
      <c r="L1357" t="str">
        <f>IFERROR(__xludf.DUMMYFUNCTION("""COMPUTED_VALUE"""),"")</f>
        <v/>
      </c>
      <c r="M1357" t="str">
        <f>IFERROR(__xludf.DUMMYFUNCTION("""COMPUTED_VALUE"""),"")</f>
        <v/>
      </c>
      <c r="N1357" t="str">
        <f>IFERROR(__xludf.DUMMYFUNCTION("""COMPUTED_VALUE"""),"")</f>
        <v/>
      </c>
      <c r="O1357" t="str">
        <f>IFERROR(__xludf.DUMMYFUNCTION("""COMPUTED_VALUE"""),"")</f>
        <v/>
      </c>
      <c r="P1357" t="str">
        <f>IFERROR(__xludf.DUMMYFUNCTION("""COMPUTED_VALUE"""),"ID ")</f>
        <v>ID </v>
      </c>
    </row>
    <row r="1358">
      <c r="A1358" s="6" t="str">
        <f>IFERROR(__xludf.DUMMYFUNCTION("""COMPUTED_VALUE"""),"")</f>
        <v/>
      </c>
      <c r="C1358" t="str">
        <f>IFERROR(__xludf.DUMMYFUNCTION("""COMPUTED_VALUE"""),"")</f>
        <v/>
      </c>
      <c r="D1358" t="str">
        <f>IFERROR(__xludf.DUMMYFUNCTION("""COMPUTED_VALUE"""),"")</f>
        <v/>
      </c>
      <c r="E1358" t="str">
        <f>IFERROR(__xludf.DUMMYFUNCTION("""COMPUTED_VALUE"""),"")</f>
        <v/>
      </c>
      <c r="F1358" t="str">
        <f>IFERROR(__xludf.DUMMYFUNCTION("""COMPUTED_VALUE"""),"")</f>
        <v/>
      </c>
      <c r="G1358" t="str">
        <f>IFERROR(__xludf.DUMMYFUNCTION("""COMPUTED_VALUE"""),"")</f>
        <v/>
      </c>
      <c r="H1358" s="2" t="str">
        <f>IFERROR(__xludf.DUMMYFUNCTION("""COMPUTED_VALUE"""),"")</f>
        <v/>
      </c>
      <c r="I1358" s="2" t="str">
        <f>IFERROR(__xludf.DUMMYFUNCTION("""COMPUTED_VALUE"""),"")</f>
        <v/>
      </c>
      <c r="J1358" s="2">
        <f>IFERROR(__xludf.DUMMYFUNCTION("""COMPUTED_VALUE"""),0.0)</f>
        <v>0</v>
      </c>
      <c r="K1358" s="5" t="str">
        <f>IFERROR(__xludf.DUMMYFUNCTION("""COMPUTED_VALUE"""),"")</f>
        <v/>
      </c>
      <c r="L1358" t="str">
        <f>IFERROR(__xludf.DUMMYFUNCTION("""COMPUTED_VALUE"""),"")</f>
        <v/>
      </c>
      <c r="M1358" t="str">
        <f>IFERROR(__xludf.DUMMYFUNCTION("""COMPUTED_VALUE"""),"")</f>
        <v/>
      </c>
      <c r="N1358" t="str">
        <f>IFERROR(__xludf.DUMMYFUNCTION("""COMPUTED_VALUE"""),"")</f>
        <v/>
      </c>
      <c r="O1358" t="str">
        <f>IFERROR(__xludf.DUMMYFUNCTION("""COMPUTED_VALUE"""),"")</f>
        <v/>
      </c>
      <c r="P1358" t="str">
        <f>IFERROR(__xludf.DUMMYFUNCTION("""COMPUTED_VALUE"""),"ID ")</f>
        <v>ID </v>
      </c>
    </row>
    <row r="1359">
      <c r="A1359" s="6" t="str">
        <f>IFERROR(__xludf.DUMMYFUNCTION("""COMPUTED_VALUE"""),"")</f>
        <v/>
      </c>
      <c r="C1359" t="str">
        <f>IFERROR(__xludf.DUMMYFUNCTION("""COMPUTED_VALUE"""),"")</f>
        <v/>
      </c>
      <c r="D1359" t="str">
        <f>IFERROR(__xludf.DUMMYFUNCTION("""COMPUTED_VALUE"""),"")</f>
        <v/>
      </c>
      <c r="E1359" t="str">
        <f>IFERROR(__xludf.DUMMYFUNCTION("""COMPUTED_VALUE"""),"")</f>
        <v/>
      </c>
      <c r="F1359" t="str">
        <f>IFERROR(__xludf.DUMMYFUNCTION("""COMPUTED_VALUE"""),"")</f>
        <v/>
      </c>
      <c r="G1359" t="str">
        <f>IFERROR(__xludf.DUMMYFUNCTION("""COMPUTED_VALUE"""),"")</f>
        <v/>
      </c>
      <c r="H1359" s="2" t="str">
        <f>IFERROR(__xludf.DUMMYFUNCTION("""COMPUTED_VALUE"""),"")</f>
        <v/>
      </c>
      <c r="I1359" s="2" t="str">
        <f>IFERROR(__xludf.DUMMYFUNCTION("""COMPUTED_VALUE"""),"")</f>
        <v/>
      </c>
      <c r="J1359" s="2">
        <f>IFERROR(__xludf.DUMMYFUNCTION("""COMPUTED_VALUE"""),0.0)</f>
        <v>0</v>
      </c>
      <c r="K1359" s="5" t="str">
        <f>IFERROR(__xludf.DUMMYFUNCTION("""COMPUTED_VALUE"""),"")</f>
        <v/>
      </c>
      <c r="L1359" t="str">
        <f>IFERROR(__xludf.DUMMYFUNCTION("""COMPUTED_VALUE"""),"")</f>
        <v/>
      </c>
      <c r="M1359" t="str">
        <f>IFERROR(__xludf.DUMMYFUNCTION("""COMPUTED_VALUE"""),"")</f>
        <v/>
      </c>
      <c r="N1359" t="str">
        <f>IFERROR(__xludf.DUMMYFUNCTION("""COMPUTED_VALUE"""),"")</f>
        <v/>
      </c>
      <c r="O1359" t="str">
        <f>IFERROR(__xludf.DUMMYFUNCTION("""COMPUTED_VALUE"""),"")</f>
        <v/>
      </c>
      <c r="P1359" t="str">
        <f>IFERROR(__xludf.DUMMYFUNCTION("""COMPUTED_VALUE"""),"ID ")</f>
        <v>ID </v>
      </c>
    </row>
    <row r="1360">
      <c r="A1360" s="6" t="str">
        <f>IFERROR(__xludf.DUMMYFUNCTION("""COMPUTED_VALUE"""),"")</f>
        <v/>
      </c>
      <c r="C1360" t="str">
        <f>IFERROR(__xludf.DUMMYFUNCTION("""COMPUTED_VALUE"""),"")</f>
        <v/>
      </c>
      <c r="D1360" t="str">
        <f>IFERROR(__xludf.DUMMYFUNCTION("""COMPUTED_VALUE"""),"")</f>
        <v/>
      </c>
      <c r="E1360" t="str">
        <f>IFERROR(__xludf.DUMMYFUNCTION("""COMPUTED_VALUE"""),"")</f>
        <v/>
      </c>
      <c r="F1360" t="str">
        <f>IFERROR(__xludf.DUMMYFUNCTION("""COMPUTED_VALUE"""),"")</f>
        <v/>
      </c>
      <c r="G1360" t="str">
        <f>IFERROR(__xludf.DUMMYFUNCTION("""COMPUTED_VALUE"""),"")</f>
        <v/>
      </c>
      <c r="H1360" s="2" t="str">
        <f>IFERROR(__xludf.DUMMYFUNCTION("""COMPUTED_VALUE"""),"")</f>
        <v/>
      </c>
      <c r="I1360" s="2" t="str">
        <f>IFERROR(__xludf.DUMMYFUNCTION("""COMPUTED_VALUE"""),"")</f>
        <v/>
      </c>
      <c r="J1360" s="2">
        <f>IFERROR(__xludf.DUMMYFUNCTION("""COMPUTED_VALUE"""),0.0)</f>
        <v>0</v>
      </c>
      <c r="K1360" s="5" t="str">
        <f>IFERROR(__xludf.DUMMYFUNCTION("""COMPUTED_VALUE"""),"")</f>
        <v/>
      </c>
      <c r="L1360" t="str">
        <f>IFERROR(__xludf.DUMMYFUNCTION("""COMPUTED_VALUE"""),"")</f>
        <v/>
      </c>
      <c r="M1360" t="str">
        <f>IFERROR(__xludf.DUMMYFUNCTION("""COMPUTED_VALUE"""),"")</f>
        <v/>
      </c>
      <c r="N1360" t="str">
        <f>IFERROR(__xludf.DUMMYFUNCTION("""COMPUTED_VALUE"""),"")</f>
        <v/>
      </c>
      <c r="O1360" t="str">
        <f>IFERROR(__xludf.DUMMYFUNCTION("""COMPUTED_VALUE"""),"")</f>
        <v/>
      </c>
      <c r="P1360" t="str">
        <f>IFERROR(__xludf.DUMMYFUNCTION("""COMPUTED_VALUE"""),"ID ")</f>
        <v>ID </v>
      </c>
    </row>
    <row r="1361">
      <c r="A1361" s="6" t="str">
        <f>IFERROR(__xludf.DUMMYFUNCTION("""COMPUTED_VALUE"""),"")</f>
        <v/>
      </c>
      <c r="C1361" t="str">
        <f>IFERROR(__xludf.DUMMYFUNCTION("""COMPUTED_VALUE"""),"")</f>
        <v/>
      </c>
      <c r="D1361" t="str">
        <f>IFERROR(__xludf.DUMMYFUNCTION("""COMPUTED_VALUE"""),"")</f>
        <v/>
      </c>
      <c r="E1361" t="str">
        <f>IFERROR(__xludf.DUMMYFUNCTION("""COMPUTED_VALUE"""),"")</f>
        <v/>
      </c>
      <c r="F1361" t="str">
        <f>IFERROR(__xludf.DUMMYFUNCTION("""COMPUTED_VALUE"""),"")</f>
        <v/>
      </c>
      <c r="G1361" t="str">
        <f>IFERROR(__xludf.DUMMYFUNCTION("""COMPUTED_VALUE"""),"")</f>
        <v/>
      </c>
      <c r="H1361" s="2" t="str">
        <f>IFERROR(__xludf.DUMMYFUNCTION("""COMPUTED_VALUE"""),"")</f>
        <v/>
      </c>
      <c r="I1361" s="2" t="str">
        <f>IFERROR(__xludf.DUMMYFUNCTION("""COMPUTED_VALUE"""),"")</f>
        <v/>
      </c>
      <c r="J1361" s="2">
        <f>IFERROR(__xludf.DUMMYFUNCTION("""COMPUTED_VALUE"""),0.0)</f>
        <v>0</v>
      </c>
      <c r="K1361" s="5" t="str">
        <f>IFERROR(__xludf.DUMMYFUNCTION("""COMPUTED_VALUE"""),"")</f>
        <v/>
      </c>
      <c r="L1361" t="str">
        <f>IFERROR(__xludf.DUMMYFUNCTION("""COMPUTED_VALUE"""),"")</f>
        <v/>
      </c>
      <c r="M1361" t="str">
        <f>IFERROR(__xludf.DUMMYFUNCTION("""COMPUTED_VALUE"""),"")</f>
        <v/>
      </c>
      <c r="N1361" t="str">
        <f>IFERROR(__xludf.DUMMYFUNCTION("""COMPUTED_VALUE"""),"")</f>
        <v/>
      </c>
      <c r="O1361" t="str">
        <f>IFERROR(__xludf.DUMMYFUNCTION("""COMPUTED_VALUE"""),"")</f>
        <v/>
      </c>
      <c r="P1361" t="str">
        <f>IFERROR(__xludf.DUMMYFUNCTION("""COMPUTED_VALUE"""),"ID ")</f>
        <v>ID </v>
      </c>
    </row>
    <row r="1362">
      <c r="A1362" s="6" t="str">
        <f>IFERROR(__xludf.DUMMYFUNCTION("""COMPUTED_VALUE"""),"")</f>
        <v/>
      </c>
      <c r="C1362" t="str">
        <f>IFERROR(__xludf.DUMMYFUNCTION("""COMPUTED_VALUE"""),"")</f>
        <v/>
      </c>
      <c r="D1362" t="str">
        <f>IFERROR(__xludf.DUMMYFUNCTION("""COMPUTED_VALUE"""),"")</f>
        <v/>
      </c>
      <c r="E1362" t="str">
        <f>IFERROR(__xludf.DUMMYFUNCTION("""COMPUTED_VALUE"""),"")</f>
        <v/>
      </c>
      <c r="F1362" t="str">
        <f>IFERROR(__xludf.DUMMYFUNCTION("""COMPUTED_VALUE"""),"")</f>
        <v/>
      </c>
      <c r="G1362" t="str">
        <f>IFERROR(__xludf.DUMMYFUNCTION("""COMPUTED_VALUE"""),"")</f>
        <v/>
      </c>
      <c r="H1362" s="2" t="str">
        <f>IFERROR(__xludf.DUMMYFUNCTION("""COMPUTED_VALUE"""),"")</f>
        <v/>
      </c>
      <c r="I1362" s="2" t="str">
        <f>IFERROR(__xludf.DUMMYFUNCTION("""COMPUTED_VALUE"""),"")</f>
        <v/>
      </c>
      <c r="J1362" s="2">
        <f>IFERROR(__xludf.DUMMYFUNCTION("""COMPUTED_VALUE"""),0.0)</f>
        <v>0</v>
      </c>
      <c r="K1362" s="5" t="str">
        <f>IFERROR(__xludf.DUMMYFUNCTION("""COMPUTED_VALUE"""),"")</f>
        <v/>
      </c>
      <c r="L1362" t="str">
        <f>IFERROR(__xludf.DUMMYFUNCTION("""COMPUTED_VALUE"""),"")</f>
        <v/>
      </c>
      <c r="M1362" t="str">
        <f>IFERROR(__xludf.DUMMYFUNCTION("""COMPUTED_VALUE"""),"")</f>
        <v/>
      </c>
      <c r="N1362" t="str">
        <f>IFERROR(__xludf.DUMMYFUNCTION("""COMPUTED_VALUE"""),"")</f>
        <v/>
      </c>
      <c r="O1362" t="str">
        <f>IFERROR(__xludf.DUMMYFUNCTION("""COMPUTED_VALUE"""),"")</f>
        <v/>
      </c>
      <c r="P1362" t="str">
        <f>IFERROR(__xludf.DUMMYFUNCTION("""COMPUTED_VALUE"""),"ID ")</f>
        <v>ID </v>
      </c>
    </row>
    <row r="1363">
      <c r="A1363" s="6" t="str">
        <f>IFERROR(__xludf.DUMMYFUNCTION("""COMPUTED_VALUE"""),"")</f>
        <v/>
      </c>
      <c r="C1363" t="str">
        <f>IFERROR(__xludf.DUMMYFUNCTION("""COMPUTED_VALUE"""),"")</f>
        <v/>
      </c>
      <c r="D1363" t="str">
        <f>IFERROR(__xludf.DUMMYFUNCTION("""COMPUTED_VALUE"""),"")</f>
        <v/>
      </c>
      <c r="E1363" t="str">
        <f>IFERROR(__xludf.DUMMYFUNCTION("""COMPUTED_VALUE"""),"")</f>
        <v/>
      </c>
      <c r="F1363" t="str">
        <f>IFERROR(__xludf.DUMMYFUNCTION("""COMPUTED_VALUE"""),"")</f>
        <v/>
      </c>
      <c r="G1363" t="str">
        <f>IFERROR(__xludf.DUMMYFUNCTION("""COMPUTED_VALUE"""),"")</f>
        <v/>
      </c>
      <c r="H1363" s="2" t="str">
        <f>IFERROR(__xludf.DUMMYFUNCTION("""COMPUTED_VALUE"""),"")</f>
        <v/>
      </c>
      <c r="I1363" s="2" t="str">
        <f>IFERROR(__xludf.DUMMYFUNCTION("""COMPUTED_VALUE"""),"")</f>
        <v/>
      </c>
      <c r="J1363" s="2">
        <f>IFERROR(__xludf.DUMMYFUNCTION("""COMPUTED_VALUE"""),0.0)</f>
        <v>0</v>
      </c>
      <c r="K1363" s="5" t="str">
        <f>IFERROR(__xludf.DUMMYFUNCTION("""COMPUTED_VALUE"""),"")</f>
        <v/>
      </c>
      <c r="L1363" t="str">
        <f>IFERROR(__xludf.DUMMYFUNCTION("""COMPUTED_VALUE"""),"")</f>
        <v/>
      </c>
      <c r="M1363" t="str">
        <f>IFERROR(__xludf.DUMMYFUNCTION("""COMPUTED_VALUE"""),"")</f>
        <v/>
      </c>
      <c r="N1363" t="str">
        <f>IFERROR(__xludf.DUMMYFUNCTION("""COMPUTED_VALUE"""),"")</f>
        <v/>
      </c>
      <c r="O1363" t="str">
        <f>IFERROR(__xludf.DUMMYFUNCTION("""COMPUTED_VALUE"""),"")</f>
        <v/>
      </c>
      <c r="P1363" t="str">
        <f>IFERROR(__xludf.DUMMYFUNCTION("""COMPUTED_VALUE"""),"ID ")</f>
        <v>ID </v>
      </c>
    </row>
    <row r="1364">
      <c r="A1364" s="6" t="str">
        <f>IFERROR(__xludf.DUMMYFUNCTION("""COMPUTED_VALUE"""),"")</f>
        <v/>
      </c>
      <c r="C1364" t="str">
        <f>IFERROR(__xludf.DUMMYFUNCTION("""COMPUTED_VALUE"""),"")</f>
        <v/>
      </c>
      <c r="D1364" t="str">
        <f>IFERROR(__xludf.DUMMYFUNCTION("""COMPUTED_VALUE"""),"")</f>
        <v/>
      </c>
      <c r="E1364" t="str">
        <f>IFERROR(__xludf.DUMMYFUNCTION("""COMPUTED_VALUE"""),"")</f>
        <v/>
      </c>
      <c r="F1364" t="str">
        <f>IFERROR(__xludf.DUMMYFUNCTION("""COMPUTED_VALUE"""),"")</f>
        <v/>
      </c>
      <c r="G1364" t="str">
        <f>IFERROR(__xludf.DUMMYFUNCTION("""COMPUTED_VALUE"""),"")</f>
        <v/>
      </c>
      <c r="H1364" s="2" t="str">
        <f>IFERROR(__xludf.DUMMYFUNCTION("""COMPUTED_VALUE"""),"")</f>
        <v/>
      </c>
      <c r="I1364" s="2" t="str">
        <f>IFERROR(__xludf.DUMMYFUNCTION("""COMPUTED_VALUE"""),"")</f>
        <v/>
      </c>
      <c r="J1364" s="2">
        <f>IFERROR(__xludf.DUMMYFUNCTION("""COMPUTED_VALUE"""),0.0)</f>
        <v>0</v>
      </c>
      <c r="K1364" s="5" t="str">
        <f>IFERROR(__xludf.DUMMYFUNCTION("""COMPUTED_VALUE"""),"")</f>
        <v/>
      </c>
      <c r="L1364" t="str">
        <f>IFERROR(__xludf.DUMMYFUNCTION("""COMPUTED_VALUE"""),"")</f>
        <v/>
      </c>
      <c r="M1364" t="str">
        <f>IFERROR(__xludf.DUMMYFUNCTION("""COMPUTED_VALUE"""),"")</f>
        <v/>
      </c>
      <c r="N1364" t="str">
        <f>IFERROR(__xludf.DUMMYFUNCTION("""COMPUTED_VALUE"""),"")</f>
        <v/>
      </c>
      <c r="O1364" t="str">
        <f>IFERROR(__xludf.DUMMYFUNCTION("""COMPUTED_VALUE"""),"")</f>
        <v/>
      </c>
      <c r="P1364" t="str">
        <f>IFERROR(__xludf.DUMMYFUNCTION("""COMPUTED_VALUE"""),"ID ")</f>
        <v>ID </v>
      </c>
    </row>
    <row r="1365">
      <c r="A1365" s="6" t="str">
        <f>IFERROR(__xludf.DUMMYFUNCTION("""COMPUTED_VALUE"""),"")</f>
        <v/>
      </c>
      <c r="C1365" t="str">
        <f>IFERROR(__xludf.DUMMYFUNCTION("""COMPUTED_VALUE"""),"")</f>
        <v/>
      </c>
      <c r="D1365" t="str">
        <f>IFERROR(__xludf.DUMMYFUNCTION("""COMPUTED_VALUE"""),"")</f>
        <v/>
      </c>
      <c r="E1365" t="str">
        <f>IFERROR(__xludf.DUMMYFUNCTION("""COMPUTED_VALUE"""),"")</f>
        <v/>
      </c>
      <c r="F1365" t="str">
        <f>IFERROR(__xludf.DUMMYFUNCTION("""COMPUTED_VALUE"""),"")</f>
        <v/>
      </c>
      <c r="G1365" t="str">
        <f>IFERROR(__xludf.DUMMYFUNCTION("""COMPUTED_VALUE"""),"")</f>
        <v/>
      </c>
      <c r="H1365" s="2" t="str">
        <f>IFERROR(__xludf.DUMMYFUNCTION("""COMPUTED_VALUE"""),"")</f>
        <v/>
      </c>
      <c r="I1365" s="2" t="str">
        <f>IFERROR(__xludf.DUMMYFUNCTION("""COMPUTED_VALUE"""),"")</f>
        <v/>
      </c>
      <c r="J1365" s="2">
        <f>IFERROR(__xludf.DUMMYFUNCTION("""COMPUTED_VALUE"""),0.0)</f>
        <v>0</v>
      </c>
      <c r="K1365" s="5" t="str">
        <f>IFERROR(__xludf.DUMMYFUNCTION("""COMPUTED_VALUE"""),"")</f>
        <v/>
      </c>
      <c r="L1365" t="str">
        <f>IFERROR(__xludf.DUMMYFUNCTION("""COMPUTED_VALUE"""),"")</f>
        <v/>
      </c>
      <c r="M1365" t="str">
        <f>IFERROR(__xludf.DUMMYFUNCTION("""COMPUTED_VALUE"""),"")</f>
        <v/>
      </c>
      <c r="N1365" t="str">
        <f>IFERROR(__xludf.DUMMYFUNCTION("""COMPUTED_VALUE"""),"")</f>
        <v/>
      </c>
      <c r="O1365" t="str">
        <f>IFERROR(__xludf.DUMMYFUNCTION("""COMPUTED_VALUE"""),"")</f>
        <v/>
      </c>
      <c r="P1365" t="str">
        <f>IFERROR(__xludf.DUMMYFUNCTION("""COMPUTED_VALUE"""),"ID ")</f>
        <v>ID </v>
      </c>
    </row>
    <row r="1366">
      <c r="A1366" s="6" t="str">
        <f>IFERROR(__xludf.DUMMYFUNCTION("""COMPUTED_VALUE"""),"")</f>
        <v/>
      </c>
      <c r="C1366" t="str">
        <f>IFERROR(__xludf.DUMMYFUNCTION("""COMPUTED_VALUE"""),"")</f>
        <v/>
      </c>
      <c r="D1366" t="str">
        <f>IFERROR(__xludf.DUMMYFUNCTION("""COMPUTED_VALUE"""),"")</f>
        <v/>
      </c>
      <c r="E1366" t="str">
        <f>IFERROR(__xludf.DUMMYFUNCTION("""COMPUTED_VALUE"""),"")</f>
        <v/>
      </c>
      <c r="F1366" t="str">
        <f>IFERROR(__xludf.DUMMYFUNCTION("""COMPUTED_VALUE"""),"")</f>
        <v/>
      </c>
      <c r="G1366" t="str">
        <f>IFERROR(__xludf.DUMMYFUNCTION("""COMPUTED_VALUE"""),"")</f>
        <v/>
      </c>
      <c r="H1366" s="2" t="str">
        <f>IFERROR(__xludf.DUMMYFUNCTION("""COMPUTED_VALUE"""),"")</f>
        <v/>
      </c>
      <c r="I1366" s="2" t="str">
        <f>IFERROR(__xludf.DUMMYFUNCTION("""COMPUTED_VALUE"""),"")</f>
        <v/>
      </c>
      <c r="J1366" s="2">
        <f>IFERROR(__xludf.DUMMYFUNCTION("""COMPUTED_VALUE"""),0.0)</f>
        <v>0</v>
      </c>
      <c r="K1366" s="5" t="str">
        <f>IFERROR(__xludf.DUMMYFUNCTION("""COMPUTED_VALUE"""),"")</f>
        <v/>
      </c>
      <c r="L1366" t="str">
        <f>IFERROR(__xludf.DUMMYFUNCTION("""COMPUTED_VALUE"""),"")</f>
        <v/>
      </c>
      <c r="M1366" t="str">
        <f>IFERROR(__xludf.DUMMYFUNCTION("""COMPUTED_VALUE"""),"")</f>
        <v/>
      </c>
      <c r="N1366" t="str">
        <f>IFERROR(__xludf.DUMMYFUNCTION("""COMPUTED_VALUE"""),"")</f>
        <v/>
      </c>
      <c r="O1366" t="str">
        <f>IFERROR(__xludf.DUMMYFUNCTION("""COMPUTED_VALUE"""),"")</f>
        <v/>
      </c>
      <c r="P1366" t="str">
        <f>IFERROR(__xludf.DUMMYFUNCTION("""COMPUTED_VALUE"""),"ID ")</f>
        <v>ID </v>
      </c>
    </row>
    <row r="1367">
      <c r="A1367" s="6" t="str">
        <f>IFERROR(__xludf.DUMMYFUNCTION("""COMPUTED_VALUE"""),"")</f>
        <v/>
      </c>
      <c r="C1367" t="str">
        <f>IFERROR(__xludf.DUMMYFUNCTION("""COMPUTED_VALUE"""),"")</f>
        <v/>
      </c>
      <c r="D1367" t="str">
        <f>IFERROR(__xludf.DUMMYFUNCTION("""COMPUTED_VALUE"""),"")</f>
        <v/>
      </c>
      <c r="E1367" t="str">
        <f>IFERROR(__xludf.DUMMYFUNCTION("""COMPUTED_VALUE"""),"")</f>
        <v/>
      </c>
      <c r="F1367" t="str">
        <f>IFERROR(__xludf.DUMMYFUNCTION("""COMPUTED_VALUE"""),"")</f>
        <v/>
      </c>
      <c r="G1367" t="str">
        <f>IFERROR(__xludf.DUMMYFUNCTION("""COMPUTED_VALUE"""),"")</f>
        <v/>
      </c>
      <c r="H1367" s="2" t="str">
        <f>IFERROR(__xludf.DUMMYFUNCTION("""COMPUTED_VALUE"""),"")</f>
        <v/>
      </c>
      <c r="I1367" s="2" t="str">
        <f>IFERROR(__xludf.DUMMYFUNCTION("""COMPUTED_VALUE"""),"")</f>
        <v/>
      </c>
      <c r="J1367" s="2">
        <f>IFERROR(__xludf.DUMMYFUNCTION("""COMPUTED_VALUE"""),0.0)</f>
        <v>0</v>
      </c>
      <c r="K1367" s="5" t="str">
        <f>IFERROR(__xludf.DUMMYFUNCTION("""COMPUTED_VALUE"""),"")</f>
        <v/>
      </c>
      <c r="L1367" t="str">
        <f>IFERROR(__xludf.DUMMYFUNCTION("""COMPUTED_VALUE"""),"")</f>
        <v/>
      </c>
      <c r="M1367" t="str">
        <f>IFERROR(__xludf.DUMMYFUNCTION("""COMPUTED_VALUE"""),"")</f>
        <v/>
      </c>
      <c r="N1367" t="str">
        <f>IFERROR(__xludf.DUMMYFUNCTION("""COMPUTED_VALUE"""),"")</f>
        <v/>
      </c>
      <c r="O1367" t="str">
        <f>IFERROR(__xludf.DUMMYFUNCTION("""COMPUTED_VALUE"""),"")</f>
        <v/>
      </c>
      <c r="P1367" t="str">
        <f>IFERROR(__xludf.DUMMYFUNCTION("""COMPUTED_VALUE"""),"ID ")</f>
        <v>ID </v>
      </c>
    </row>
    <row r="1368">
      <c r="A1368" s="6" t="str">
        <f>IFERROR(__xludf.DUMMYFUNCTION("""COMPUTED_VALUE"""),"")</f>
        <v/>
      </c>
      <c r="C1368" t="str">
        <f>IFERROR(__xludf.DUMMYFUNCTION("""COMPUTED_VALUE"""),"")</f>
        <v/>
      </c>
      <c r="D1368" t="str">
        <f>IFERROR(__xludf.DUMMYFUNCTION("""COMPUTED_VALUE"""),"")</f>
        <v/>
      </c>
      <c r="E1368" t="str">
        <f>IFERROR(__xludf.DUMMYFUNCTION("""COMPUTED_VALUE"""),"")</f>
        <v/>
      </c>
      <c r="F1368" t="str">
        <f>IFERROR(__xludf.DUMMYFUNCTION("""COMPUTED_VALUE"""),"")</f>
        <v/>
      </c>
      <c r="G1368" t="str">
        <f>IFERROR(__xludf.DUMMYFUNCTION("""COMPUTED_VALUE"""),"")</f>
        <v/>
      </c>
      <c r="H1368" s="2" t="str">
        <f>IFERROR(__xludf.DUMMYFUNCTION("""COMPUTED_VALUE"""),"")</f>
        <v/>
      </c>
      <c r="I1368" s="2" t="str">
        <f>IFERROR(__xludf.DUMMYFUNCTION("""COMPUTED_VALUE"""),"")</f>
        <v/>
      </c>
      <c r="J1368" s="2">
        <f>IFERROR(__xludf.DUMMYFUNCTION("""COMPUTED_VALUE"""),0.0)</f>
        <v>0</v>
      </c>
      <c r="K1368" s="5" t="str">
        <f>IFERROR(__xludf.DUMMYFUNCTION("""COMPUTED_VALUE"""),"")</f>
        <v/>
      </c>
      <c r="L1368" t="str">
        <f>IFERROR(__xludf.DUMMYFUNCTION("""COMPUTED_VALUE"""),"")</f>
        <v/>
      </c>
      <c r="M1368" t="str">
        <f>IFERROR(__xludf.DUMMYFUNCTION("""COMPUTED_VALUE"""),"")</f>
        <v/>
      </c>
      <c r="N1368" t="str">
        <f>IFERROR(__xludf.DUMMYFUNCTION("""COMPUTED_VALUE"""),"")</f>
        <v/>
      </c>
      <c r="O1368" t="str">
        <f>IFERROR(__xludf.DUMMYFUNCTION("""COMPUTED_VALUE"""),"")</f>
        <v/>
      </c>
      <c r="P1368" t="str">
        <f>IFERROR(__xludf.DUMMYFUNCTION("""COMPUTED_VALUE"""),"ID ")</f>
        <v>ID </v>
      </c>
    </row>
    <row r="1369">
      <c r="A1369" s="6" t="str">
        <f>IFERROR(__xludf.DUMMYFUNCTION("""COMPUTED_VALUE"""),"")</f>
        <v/>
      </c>
      <c r="C1369" t="str">
        <f>IFERROR(__xludf.DUMMYFUNCTION("""COMPUTED_VALUE"""),"")</f>
        <v/>
      </c>
      <c r="D1369" t="str">
        <f>IFERROR(__xludf.DUMMYFUNCTION("""COMPUTED_VALUE"""),"")</f>
        <v/>
      </c>
      <c r="E1369" t="str">
        <f>IFERROR(__xludf.DUMMYFUNCTION("""COMPUTED_VALUE"""),"")</f>
        <v/>
      </c>
      <c r="F1369" t="str">
        <f>IFERROR(__xludf.DUMMYFUNCTION("""COMPUTED_VALUE"""),"")</f>
        <v/>
      </c>
      <c r="G1369" t="str">
        <f>IFERROR(__xludf.DUMMYFUNCTION("""COMPUTED_VALUE"""),"")</f>
        <v/>
      </c>
      <c r="H1369" s="2" t="str">
        <f>IFERROR(__xludf.DUMMYFUNCTION("""COMPUTED_VALUE"""),"")</f>
        <v/>
      </c>
      <c r="I1369" s="2" t="str">
        <f>IFERROR(__xludf.DUMMYFUNCTION("""COMPUTED_VALUE"""),"")</f>
        <v/>
      </c>
      <c r="J1369" s="2">
        <f>IFERROR(__xludf.DUMMYFUNCTION("""COMPUTED_VALUE"""),0.0)</f>
        <v>0</v>
      </c>
      <c r="K1369" s="5" t="str">
        <f>IFERROR(__xludf.DUMMYFUNCTION("""COMPUTED_VALUE"""),"")</f>
        <v/>
      </c>
      <c r="L1369" t="str">
        <f>IFERROR(__xludf.DUMMYFUNCTION("""COMPUTED_VALUE"""),"")</f>
        <v/>
      </c>
      <c r="M1369" t="str">
        <f>IFERROR(__xludf.DUMMYFUNCTION("""COMPUTED_VALUE"""),"")</f>
        <v/>
      </c>
      <c r="N1369" t="str">
        <f>IFERROR(__xludf.DUMMYFUNCTION("""COMPUTED_VALUE"""),"")</f>
        <v/>
      </c>
      <c r="O1369" t="str">
        <f>IFERROR(__xludf.DUMMYFUNCTION("""COMPUTED_VALUE"""),"")</f>
        <v/>
      </c>
      <c r="P1369" t="str">
        <f>IFERROR(__xludf.DUMMYFUNCTION("""COMPUTED_VALUE"""),"ID ")</f>
        <v>ID </v>
      </c>
    </row>
    <row r="1370">
      <c r="A1370" s="6" t="str">
        <f>IFERROR(__xludf.DUMMYFUNCTION("""COMPUTED_VALUE"""),"")</f>
        <v/>
      </c>
      <c r="C1370" t="str">
        <f>IFERROR(__xludf.DUMMYFUNCTION("""COMPUTED_VALUE"""),"")</f>
        <v/>
      </c>
      <c r="D1370" t="str">
        <f>IFERROR(__xludf.DUMMYFUNCTION("""COMPUTED_VALUE"""),"")</f>
        <v/>
      </c>
      <c r="E1370" t="str">
        <f>IFERROR(__xludf.DUMMYFUNCTION("""COMPUTED_VALUE"""),"")</f>
        <v/>
      </c>
      <c r="F1370" t="str">
        <f>IFERROR(__xludf.DUMMYFUNCTION("""COMPUTED_VALUE"""),"")</f>
        <v/>
      </c>
      <c r="G1370" t="str">
        <f>IFERROR(__xludf.DUMMYFUNCTION("""COMPUTED_VALUE"""),"")</f>
        <v/>
      </c>
      <c r="H1370" s="2" t="str">
        <f>IFERROR(__xludf.DUMMYFUNCTION("""COMPUTED_VALUE"""),"")</f>
        <v/>
      </c>
      <c r="I1370" s="2" t="str">
        <f>IFERROR(__xludf.DUMMYFUNCTION("""COMPUTED_VALUE"""),"")</f>
        <v/>
      </c>
      <c r="J1370" s="2">
        <f>IFERROR(__xludf.DUMMYFUNCTION("""COMPUTED_VALUE"""),0.0)</f>
        <v>0</v>
      </c>
      <c r="K1370" s="5" t="str">
        <f>IFERROR(__xludf.DUMMYFUNCTION("""COMPUTED_VALUE"""),"")</f>
        <v/>
      </c>
      <c r="L1370" t="str">
        <f>IFERROR(__xludf.DUMMYFUNCTION("""COMPUTED_VALUE"""),"")</f>
        <v/>
      </c>
      <c r="M1370" t="str">
        <f>IFERROR(__xludf.DUMMYFUNCTION("""COMPUTED_VALUE"""),"")</f>
        <v/>
      </c>
      <c r="N1370" t="str">
        <f>IFERROR(__xludf.DUMMYFUNCTION("""COMPUTED_VALUE"""),"")</f>
        <v/>
      </c>
      <c r="O1370" t="str">
        <f>IFERROR(__xludf.DUMMYFUNCTION("""COMPUTED_VALUE"""),"")</f>
        <v/>
      </c>
      <c r="P1370" t="str">
        <f>IFERROR(__xludf.DUMMYFUNCTION("""COMPUTED_VALUE"""),"ID ")</f>
        <v>ID </v>
      </c>
    </row>
    <row r="1371">
      <c r="A1371" s="6" t="str">
        <f>IFERROR(__xludf.DUMMYFUNCTION("""COMPUTED_VALUE"""),"")</f>
        <v/>
      </c>
      <c r="C1371" t="str">
        <f>IFERROR(__xludf.DUMMYFUNCTION("""COMPUTED_VALUE"""),"")</f>
        <v/>
      </c>
      <c r="D1371" t="str">
        <f>IFERROR(__xludf.DUMMYFUNCTION("""COMPUTED_VALUE"""),"")</f>
        <v/>
      </c>
      <c r="E1371" t="str">
        <f>IFERROR(__xludf.DUMMYFUNCTION("""COMPUTED_VALUE"""),"")</f>
        <v/>
      </c>
      <c r="F1371" t="str">
        <f>IFERROR(__xludf.DUMMYFUNCTION("""COMPUTED_VALUE"""),"")</f>
        <v/>
      </c>
      <c r="G1371" t="str">
        <f>IFERROR(__xludf.DUMMYFUNCTION("""COMPUTED_VALUE"""),"")</f>
        <v/>
      </c>
      <c r="H1371" s="2" t="str">
        <f>IFERROR(__xludf.DUMMYFUNCTION("""COMPUTED_VALUE"""),"")</f>
        <v/>
      </c>
      <c r="I1371" s="2" t="str">
        <f>IFERROR(__xludf.DUMMYFUNCTION("""COMPUTED_VALUE"""),"")</f>
        <v/>
      </c>
      <c r="J1371" s="2">
        <f>IFERROR(__xludf.DUMMYFUNCTION("""COMPUTED_VALUE"""),0.0)</f>
        <v>0</v>
      </c>
      <c r="K1371" s="5" t="str">
        <f>IFERROR(__xludf.DUMMYFUNCTION("""COMPUTED_VALUE"""),"")</f>
        <v/>
      </c>
      <c r="L1371" t="str">
        <f>IFERROR(__xludf.DUMMYFUNCTION("""COMPUTED_VALUE"""),"")</f>
        <v/>
      </c>
      <c r="M1371" t="str">
        <f>IFERROR(__xludf.DUMMYFUNCTION("""COMPUTED_VALUE"""),"")</f>
        <v/>
      </c>
      <c r="N1371" t="str">
        <f>IFERROR(__xludf.DUMMYFUNCTION("""COMPUTED_VALUE"""),"")</f>
        <v/>
      </c>
      <c r="O1371" t="str">
        <f>IFERROR(__xludf.DUMMYFUNCTION("""COMPUTED_VALUE"""),"")</f>
        <v/>
      </c>
      <c r="P1371" t="str">
        <f>IFERROR(__xludf.DUMMYFUNCTION("""COMPUTED_VALUE"""),"ID ")</f>
        <v>ID </v>
      </c>
    </row>
    <row r="1372">
      <c r="A1372" s="6" t="str">
        <f>IFERROR(__xludf.DUMMYFUNCTION("""COMPUTED_VALUE"""),"")</f>
        <v/>
      </c>
      <c r="C1372" t="str">
        <f>IFERROR(__xludf.DUMMYFUNCTION("""COMPUTED_VALUE"""),"")</f>
        <v/>
      </c>
      <c r="D1372" t="str">
        <f>IFERROR(__xludf.DUMMYFUNCTION("""COMPUTED_VALUE"""),"")</f>
        <v/>
      </c>
      <c r="E1372" t="str">
        <f>IFERROR(__xludf.DUMMYFUNCTION("""COMPUTED_VALUE"""),"")</f>
        <v/>
      </c>
      <c r="F1372" t="str">
        <f>IFERROR(__xludf.DUMMYFUNCTION("""COMPUTED_VALUE"""),"")</f>
        <v/>
      </c>
      <c r="G1372" t="str">
        <f>IFERROR(__xludf.DUMMYFUNCTION("""COMPUTED_VALUE"""),"")</f>
        <v/>
      </c>
      <c r="H1372" s="2" t="str">
        <f>IFERROR(__xludf.DUMMYFUNCTION("""COMPUTED_VALUE"""),"")</f>
        <v/>
      </c>
      <c r="I1372" s="2" t="str">
        <f>IFERROR(__xludf.DUMMYFUNCTION("""COMPUTED_VALUE"""),"")</f>
        <v/>
      </c>
      <c r="J1372" s="2">
        <f>IFERROR(__xludf.DUMMYFUNCTION("""COMPUTED_VALUE"""),0.0)</f>
        <v>0</v>
      </c>
      <c r="K1372" s="5" t="str">
        <f>IFERROR(__xludf.DUMMYFUNCTION("""COMPUTED_VALUE"""),"")</f>
        <v/>
      </c>
      <c r="L1372" t="str">
        <f>IFERROR(__xludf.DUMMYFUNCTION("""COMPUTED_VALUE"""),"")</f>
        <v/>
      </c>
      <c r="M1372" t="str">
        <f>IFERROR(__xludf.DUMMYFUNCTION("""COMPUTED_VALUE"""),"")</f>
        <v/>
      </c>
      <c r="N1372" t="str">
        <f>IFERROR(__xludf.DUMMYFUNCTION("""COMPUTED_VALUE"""),"")</f>
        <v/>
      </c>
      <c r="O1372" t="str">
        <f>IFERROR(__xludf.DUMMYFUNCTION("""COMPUTED_VALUE"""),"")</f>
        <v/>
      </c>
      <c r="P1372" t="str">
        <f>IFERROR(__xludf.DUMMYFUNCTION("""COMPUTED_VALUE"""),"ID ")</f>
        <v>ID </v>
      </c>
    </row>
    <row r="1373">
      <c r="A1373" s="6" t="str">
        <f>IFERROR(__xludf.DUMMYFUNCTION("""COMPUTED_VALUE"""),"")</f>
        <v/>
      </c>
      <c r="C1373" t="str">
        <f>IFERROR(__xludf.DUMMYFUNCTION("""COMPUTED_VALUE"""),"")</f>
        <v/>
      </c>
      <c r="D1373" t="str">
        <f>IFERROR(__xludf.DUMMYFUNCTION("""COMPUTED_VALUE"""),"")</f>
        <v/>
      </c>
      <c r="E1373" t="str">
        <f>IFERROR(__xludf.DUMMYFUNCTION("""COMPUTED_VALUE"""),"")</f>
        <v/>
      </c>
      <c r="F1373" t="str">
        <f>IFERROR(__xludf.DUMMYFUNCTION("""COMPUTED_VALUE"""),"")</f>
        <v/>
      </c>
      <c r="G1373" t="str">
        <f>IFERROR(__xludf.DUMMYFUNCTION("""COMPUTED_VALUE"""),"")</f>
        <v/>
      </c>
      <c r="H1373" s="2" t="str">
        <f>IFERROR(__xludf.DUMMYFUNCTION("""COMPUTED_VALUE"""),"")</f>
        <v/>
      </c>
      <c r="I1373" s="2" t="str">
        <f>IFERROR(__xludf.DUMMYFUNCTION("""COMPUTED_VALUE"""),"")</f>
        <v/>
      </c>
      <c r="J1373" s="2">
        <f>IFERROR(__xludf.DUMMYFUNCTION("""COMPUTED_VALUE"""),0.0)</f>
        <v>0</v>
      </c>
      <c r="K1373" s="5" t="str">
        <f>IFERROR(__xludf.DUMMYFUNCTION("""COMPUTED_VALUE"""),"")</f>
        <v/>
      </c>
      <c r="L1373" t="str">
        <f>IFERROR(__xludf.DUMMYFUNCTION("""COMPUTED_VALUE"""),"")</f>
        <v/>
      </c>
      <c r="M1373" t="str">
        <f>IFERROR(__xludf.DUMMYFUNCTION("""COMPUTED_VALUE"""),"")</f>
        <v/>
      </c>
      <c r="N1373" t="str">
        <f>IFERROR(__xludf.DUMMYFUNCTION("""COMPUTED_VALUE"""),"")</f>
        <v/>
      </c>
      <c r="O1373" t="str">
        <f>IFERROR(__xludf.DUMMYFUNCTION("""COMPUTED_VALUE"""),"")</f>
        <v/>
      </c>
      <c r="P1373" t="str">
        <f>IFERROR(__xludf.DUMMYFUNCTION("""COMPUTED_VALUE"""),"ID ")</f>
        <v>ID </v>
      </c>
    </row>
    <row r="1374">
      <c r="A1374" s="6" t="str">
        <f>IFERROR(__xludf.DUMMYFUNCTION("""COMPUTED_VALUE"""),"")</f>
        <v/>
      </c>
      <c r="C1374" t="str">
        <f>IFERROR(__xludf.DUMMYFUNCTION("""COMPUTED_VALUE"""),"")</f>
        <v/>
      </c>
      <c r="D1374" t="str">
        <f>IFERROR(__xludf.DUMMYFUNCTION("""COMPUTED_VALUE"""),"")</f>
        <v/>
      </c>
      <c r="E1374" t="str">
        <f>IFERROR(__xludf.DUMMYFUNCTION("""COMPUTED_VALUE"""),"")</f>
        <v/>
      </c>
      <c r="F1374" t="str">
        <f>IFERROR(__xludf.DUMMYFUNCTION("""COMPUTED_VALUE"""),"")</f>
        <v/>
      </c>
      <c r="G1374" t="str">
        <f>IFERROR(__xludf.DUMMYFUNCTION("""COMPUTED_VALUE"""),"")</f>
        <v/>
      </c>
      <c r="H1374" s="2" t="str">
        <f>IFERROR(__xludf.DUMMYFUNCTION("""COMPUTED_VALUE"""),"")</f>
        <v/>
      </c>
      <c r="I1374" s="2" t="str">
        <f>IFERROR(__xludf.DUMMYFUNCTION("""COMPUTED_VALUE"""),"")</f>
        <v/>
      </c>
      <c r="J1374" s="2">
        <f>IFERROR(__xludf.DUMMYFUNCTION("""COMPUTED_VALUE"""),0.0)</f>
        <v>0</v>
      </c>
      <c r="K1374" s="5" t="str">
        <f>IFERROR(__xludf.DUMMYFUNCTION("""COMPUTED_VALUE"""),"")</f>
        <v/>
      </c>
      <c r="L1374" t="str">
        <f>IFERROR(__xludf.DUMMYFUNCTION("""COMPUTED_VALUE"""),"")</f>
        <v/>
      </c>
      <c r="M1374" t="str">
        <f>IFERROR(__xludf.DUMMYFUNCTION("""COMPUTED_VALUE"""),"")</f>
        <v/>
      </c>
      <c r="N1374" t="str">
        <f>IFERROR(__xludf.DUMMYFUNCTION("""COMPUTED_VALUE"""),"")</f>
        <v/>
      </c>
      <c r="O1374" t="str">
        <f>IFERROR(__xludf.DUMMYFUNCTION("""COMPUTED_VALUE"""),"")</f>
        <v/>
      </c>
      <c r="P1374" t="str">
        <f>IFERROR(__xludf.DUMMYFUNCTION("""COMPUTED_VALUE"""),"ID ")</f>
        <v>ID </v>
      </c>
    </row>
    <row r="1375">
      <c r="A1375" s="6" t="str">
        <f>IFERROR(__xludf.DUMMYFUNCTION("""COMPUTED_VALUE"""),"")</f>
        <v/>
      </c>
      <c r="C1375" t="str">
        <f>IFERROR(__xludf.DUMMYFUNCTION("""COMPUTED_VALUE"""),"")</f>
        <v/>
      </c>
      <c r="D1375" t="str">
        <f>IFERROR(__xludf.DUMMYFUNCTION("""COMPUTED_VALUE"""),"")</f>
        <v/>
      </c>
      <c r="E1375" t="str">
        <f>IFERROR(__xludf.DUMMYFUNCTION("""COMPUTED_VALUE"""),"")</f>
        <v/>
      </c>
      <c r="F1375" t="str">
        <f>IFERROR(__xludf.DUMMYFUNCTION("""COMPUTED_VALUE"""),"")</f>
        <v/>
      </c>
      <c r="G1375" t="str">
        <f>IFERROR(__xludf.DUMMYFUNCTION("""COMPUTED_VALUE"""),"")</f>
        <v/>
      </c>
      <c r="H1375" s="2" t="str">
        <f>IFERROR(__xludf.DUMMYFUNCTION("""COMPUTED_VALUE"""),"")</f>
        <v/>
      </c>
      <c r="I1375" s="2" t="str">
        <f>IFERROR(__xludf.DUMMYFUNCTION("""COMPUTED_VALUE"""),"")</f>
        <v/>
      </c>
      <c r="J1375" s="2">
        <f>IFERROR(__xludf.DUMMYFUNCTION("""COMPUTED_VALUE"""),0.0)</f>
        <v>0</v>
      </c>
      <c r="K1375" s="5" t="str">
        <f>IFERROR(__xludf.DUMMYFUNCTION("""COMPUTED_VALUE"""),"")</f>
        <v/>
      </c>
      <c r="L1375" t="str">
        <f>IFERROR(__xludf.DUMMYFUNCTION("""COMPUTED_VALUE"""),"")</f>
        <v/>
      </c>
      <c r="M1375" t="str">
        <f>IFERROR(__xludf.DUMMYFUNCTION("""COMPUTED_VALUE"""),"")</f>
        <v/>
      </c>
      <c r="N1375" t="str">
        <f>IFERROR(__xludf.DUMMYFUNCTION("""COMPUTED_VALUE"""),"")</f>
        <v/>
      </c>
      <c r="O1375" t="str">
        <f>IFERROR(__xludf.DUMMYFUNCTION("""COMPUTED_VALUE"""),"")</f>
        <v/>
      </c>
      <c r="P1375" t="str">
        <f>IFERROR(__xludf.DUMMYFUNCTION("""COMPUTED_VALUE"""),"ID ")</f>
        <v>ID </v>
      </c>
    </row>
    <row r="1376">
      <c r="A1376" s="6" t="str">
        <f>IFERROR(__xludf.DUMMYFUNCTION("""COMPUTED_VALUE"""),"")</f>
        <v/>
      </c>
      <c r="C1376" t="str">
        <f>IFERROR(__xludf.DUMMYFUNCTION("""COMPUTED_VALUE"""),"")</f>
        <v/>
      </c>
      <c r="D1376" t="str">
        <f>IFERROR(__xludf.DUMMYFUNCTION("""COMPUTED_VALUE"""),"")</f>
        <v/>
      </c>
      <c r="E1376" t="str">
        <f>IFERROR(__xludf.DUMMYFUNCTION("""COMPUTED_VALUE"""),"")</f>
        <v/>
      </c>
      <c r="F1376" t="str">
        <f>IFERROR(__xludf.DUMMYFUNCTION("""COMPUTED_VALUE"""),"")</f>
        <v/>
      </c>
      <c r="G1376" t="str">
        <f>IFERROR(__xludf.DUMMYFUNCTION("""COMPUTED_VALUE"""),"")</f>
        <v/>
      </c>
      <c r="H1376" s="2" t="str">
        <f>IFERROR(__xludf.DUMMYFUNCTION("""COMPUTED_VALUE"""),"")</f>
        <v/>
      </c>
      <c r="I1376" s="2" t="str">
        <f>IFERROR(__xludf.DUMMYFUNCTION("""COMPUTED_VALUE"""),"")</f>
        <v/>
      </c>
      <c r="J1376" s="2">
        <f>IFERROR(__xludf.DUMMYFUNCTION("""COMPUTED_VALUE"""),0.0)</f>
        <v>0</v>
      </c>
      <c r="K1376" s="5" t="str">
        <f>IFERROR(__xludf.DUMMYFUNCTION("""COMPUTED_VALUE"""),"")</f>
        <v/>
      </c>
      <c r="L1376" t="str">
        <f>IFERROR(__xludf.DUMMYFUNCTION("""COMPUTED_VALUE"""),"")</f>
        <v/>
      </c>
      <c r="M1376" t="str">
        <f>IFERROR(__xludf.DUMMYFUNCTION("""COMPUTED_VALUE"""),"")</f>
        <v/>
      </c>
      <c r="N1376" t="str">
        <f>IFERROR(__xludf.DUMMYFUNCTION("""COMPUTED_VALUE"""),"")</f>
        <v/>
      </c>
      <c r="O1376" t="str">
        <f>IFERROR(__xludf.DUMMYFUNCTION("""COMPUTED_VALUE"""),"")</f>
        <v/>
      </c>
      <c r="P1376" t="str">
        <f>IFERROR(__xludf.DUMMYFUNCTION("""COMPUTED_VALUE"""),"ID ")</f>
        <v>ID </v>
      </c>
    </row>
    <row r="1377">
      <c r="A1377" s="6" t="str">
        <f>IFERROR(__xludf.DUMMYFUNCTION("""COMPUTED_VALUE"""),"")</f>
        <v/>
      </c>
      <c r="C1377" t="str">
        <f>IFERROR(__xludf.DUMMYFUNCTION("""COMPUTED_VALUE"""),"")</f>
        <v/>
      </c>
      <c r="D1377" t="str">
        <f>IFERROR(__xludf.DUMMYFUNCTION("""COMPUTED_VALUE"""),"")</f>
        <v/>
      </c>
      <c r="E1377" t="str">
        <f>IFERROR(__xludf.DUMMYFUNCTION("""COMPUTED_VALUE"""),"")</f>
        <v/>
      </c>
      <c r="F1377" t="str">
        <f>IFERROR(__xludf.DUMMYFUNCTION("""COMPUTED_VALUE"""),"")</f>
        <v/>
      </c>
      <c r="G1377" t="str">
        <f>IFERROR(__xludf.DUMMYFUNCTION("""COMPUTED_VALUE"""),"")</f>
        <v/>
      </c>
      <c r="H1377" s="2" t="str">
        <f>IFERROR(__xludf.DUMMYFUNCTION("""COMPUTED_VALUE"""),"")</f>
        <v/>
      </c>
      <c r="I1377" s="2" t="str">
        <f>IFERROR(__xludf.DUMMYFUNCTION("""COMPUTED_VALUE"""),"")</f>
        <v/>
      </c>
      <c r="J1377" s="2">
        <f>IFERROR(__xludf.DUMMYFUNCTION("""COMPUTED_VALUE"""),0.0)</f>
        <v>0</v>
      </c>
      <c r="K1377" s="5" t="str">
        <f>IFERROR(__xludf.DUMMYFUNCTION("""COMPUTED_VALUE"""),"")</f>
        <v/>
      </c>
      <c r="L1377" t="str">
        <f>IFERROR(__xludf.DUMMYFUNCTION("""COMPUTED_VALUE"""),"")</f>
        <v/>
      </c>
      <c r="M1377" t="str">
        <f>IFERROR(__xludf.DUMMYFUNCTION("""COMPUTED_VALUE"""),"")</f>
        <v/>
      </c>
      <c r="N1377" t="str">
        <f>IFERROR(__xludf.DUMMYFUNCTION("""COMPUTED_VALUE"""),"")</f>
        <v/>
      </c>
      <c r="O1377" t="str">
        <f>IFERROR(__xludf.DUMMYFUNCTION("""COMPUTED_VALUE"""),"")</f>
        <v/>
      </c>
      <c r="P1377" t="str">
        <f>IFERROR(__xludf.DUMMYFUNCTION("""COMPUTED_VALUE"""),"ID ")</f>
        <v>ID </v>
      </c>
    </row>
    <row r="1378">
      <c r="A1378" s="6" t="str">
        <f>IFERROR(__xludf.DUMMYFUNCTION("""COMPUTED_VALUE"""),"")</f>
        <v/>
      </c>
      <c r="C1378" t="str">
        <f>IFERROR(__xludf.DUMMYFUNCTION("""COMPUTED_VALUE"""),"")</f>
        <v/>
      </c>
      <c r="D1378" t="str">
        <f>IFERROR(__xludf.DUMMYFUNCTION("""COMPUTED_VALUE"""),"")</f>
        <v/>
      </c>
      <c r="E1378" t="str">
        <f>IFERROR(__xludf.DUMMYFUNCTION("""COMPUTED_VALUE"""),"")</f>
        <v/>
      </c>
      <c r="F1378" t="str">
        <f>IFERROR(__xludf.DUMMYFUNCTION("""COMPUTED_VALUE"""),"")</f>
        <v/>
      </c>
      <c r="G1378" t="str">
        <f>IFERROR(__xludf.DUMMYFUNCTION("""COMPUTED_VALUE"""),"")</f>
        <v/>
      </c>
      <c r="H1378" s="2" t="str">
        <f>IFERROR(__xludf.DUMMYFUNCTION("""COMPUTED_VALUE"""),"")</f>
        <v/>
      </c>
      <c r="I1378" s="2" t="str">
        <f>IFERROR(__xludf.DUMMYFUNCTION("""COMPUTED_VALUE"""),"")</f>
        <v/>
      </c>
      <c r="J1378" s="2">
        <f>IFERROR(__xludf.DUMMYFUNCTION("""COMPUTED_VALUE"""),0.0)</f>
        <v>0</v>
      </c>
      <c r="K1378" s="5" t="str">
        <f>IFERROR(__xludf.DUMMYFUNCTION("""COMPUTED_VALUE"""),"")</f>
        <v/>
      </c>
      <c r="L1378" t="str">
        <f>IFERROR(__xludf.DUMMYFUNCTION("""COMPUTED_VALUE"""),"")</f>
        <v/>
      </c>
      <c r="M1378" t="str">
        <f>IFERROR(__xludf.DUMMYFUNCTION("""COMPUTED_VALUE"""),"")</f>
        <v/>
      </c>
      <c r="N1378" t="str">
        <f>IFERROR(__xludf.DUMMYFUNCTION("""COMPUTED_VALUE"""),"")</f>
        <v/>
      </c>
      <c r="O1378" t="str">
        <f>IFERROR(__xludf.DUMMYFUNCTION("""COMPUTED_VALUE"""),"")</f>
        <v/>
      </c>
      <c r="P1378" t="str">
        <f>IFERROR(__xludf.DUMMYFUNCTION("""COMPUTED_VALUE"""),"ID ")</f>
        <v>ID </v>
      </c>
    </row>
    <row r="1379">
      <c r="A1379" s="6" t="str">
        <f>IFERROR(__xludf.DUMMYFUNCTION("""COMPUTED_VALUE"""),"")</f>
        <v/>
      </c>
      <c r="C1379" t="str">
        <f>IFERROR(__xludf.DUMMYFUNCTION("""COMPUTED_VALUE"""),"")</f>
        <v/>
      </c>
      <c r="D1379" t="str">
        <f>IFERROR(__xludf.DUMMYFUNCTION("""COMPUTED_VALUE"""),"")</f>
        <v/>
      </c>
      <c r="E1379" t="str">
        <f>IFERROR(__xludf.DUMMYFUNCTION("""COMPUTED_VALUE"""),"")</f>
        <v/>
      </c>
      <c r="F1379" t="str">
        <f>IFERROR(__xludf.DUMMYFUNCTION("""COMPUTED_VALUE"""),"")</f>
        <v/>
      </c>
      <c r="G1379" t="str">
        <f>IFERROR(__xludf.DUMMYFUNCTION("""COMPUTED_VALUE"""),"")</f>
        <v/>
      </c>
      <c r="H1379" s="2" t="str">
        <f>IFERROR(__xludf.DUMMYFUNCTION("""COMPUTED_VALUE"""),"")</f>
        <v/>
      </c>
      <c r="I1379" s="2" t="str">
        <f>IFERROR(__xludf.DUMMYFUNCTION("""COMPUTED_VALUE"""),"")</f>
        <v/>
      </c>
      <c r="J1379" s="2">
        <f>IFERROR(__xludf.DUMMYFUNCTION("""COMPUTED_VALUE"""),0.0)</f>
        <v>0</v>
      </c>
      <c r="K1379" s="5" t="str">
        <f>IFERROR(__xludf.DUMMYFUNCTION("""COMPUTED_VALUE"""),"")</f>
        <v/>
      </c>
      <c r="L1379" t="str">
        <f>IFERROR(__xludf.DUMMYFUNCTION("""COMPUTED_VALUE"""),"")</f>
        <v/>
      </c>
      <c r="M1379" t="str">
        <f>IFERROR(__xludf.DUMMYFUNCTION("""COMPUTED_VALUE"""),"")</f>
        <v/>
      </c>
      <c r="N1379" t="str">
        <f>IFERROR(__xludf.DUMMYFUNCTION("""COMPUTED_VALUE"""),"")</f>
        <v/>
      </c>
      <c r="O1379" t="str">
        <f>IFERROR(__xludf.DUMMYFUNCTION("""COMPUTED_VALUE"""),"")</f>
        <v/>
      </c>
      <c r="P1379" t="str">
        <f>IFERROR(__xludf.DUMMYFUNCTION("""COMPUTED_VALUE"""),"ID ")</f>
        <v>ID </v>
      </c>
    </row>
    <row r="1380">
      <c r="A1380" s="6" t="str">
        <f>IFERROR(__xludf.DUMMYFUNCTION("""COMPUTED_VALUE"""),"")</f>
        <v/>
      </c>
      <c r="C1380" t="str">
        <f>IFERROR(__xludf.DUMMYFUNCTION("""COMPUTED_VALUE"""),"")</f>
        <v/>
      </c>
      <c r="D1380" t="str">
        <f>IFERROR(__xludf.DUMMYFUNCTION("""COMPUTED_VALUE"""),"")</f>
        <v/>
      </c>
      <c r="E1380" t="str">
        <f>IFERROR(__xludf.DUMMYFUNCTION("""COMPUTED_VALUE"""),"")</f>
        <v/>
      </c>
      <c r="F1380" t="str">
        <f>IFERROR(__xludf.DUMMYFUNCTION("""COMPUTED_VALUE"""),"")</f>
        <v/>
      </c>
      <c r="G1380" t="str">
        <f>IFERROR(__xludf.DUMMYFUNCTION("""COMPUTED_VALUE"""),"")</f>
        <v/>
      </c>
      <c r="H1380" s="2" t="str">
        <f>IFERROR(__xludf.DUMMYFUNCTION("""COMPUTED_VALUE"""),"")</f>
        <v/>
      </c>
      <c r="I1380" s="2" t="str">
        <f>IFERROR(__xludf.DUMMYFUNCTION("""COMPUTED_VALUE"""),"")</f>
        <v/>
      </c>
      <c r="J1380" s="2">
        <f>IFERROR(__xludf.DUMMYFUNCTION("""COMPUTED_VALUE"""),0.0)</f>
        <v>0</v>
      </c>
      <c r="K1380" s="5" t="str">
        <f>IFERROR(__xludf.DUMMYFUNCTION("""COMPUTED_VALUE"""),"")</f>
        <v/>
      </c>
      <c r="L1380" t="str">
        <f>IFERROR(__xludf.DUMMYFUNCTION("""COMPUTED_VALUE"""),"")</f>
        <v/>
      </c>
      <c r="M1380" t="str">
        <f>IFERROR(__xludf.DUMMYFUNCTION("""COMPUTED_VALUE"""),"")</f>
        <v/>
      </c>
      <c r="N1380" t="str">
        <f>IFERROR(__xludf.DUMMYFUNCTION("""COMPUTED_VALUE"""),"")</f>
        <v/>
      </c>
      <c r="O1380" t="str">
        <f>IFERROR(__xludf.DUMMYFUNCTION("""COMPUTED_VALUE"""),"")</f>
        <v/>
      </c>
      <c r="P1380" t="str">
        <f>IFERROR(__xludf.DUMMYFUNCTION("""COMPUTED_VALUE"""),"ID ")</f>
        <v>ID </v>
      </c>
    </row>
    <row r="1381">
      <c r="A1381" s="6" t="str">
        <f>IFERROR(__xludf.DUMMYFUNCTION("""COMPUTED_VALUE"""),"")</f>
        <v/>
      </c>
      <c r="C1381" t="str">
        <f>IFERROR(__xludf.DUMMYFUNCTION("""COMPUTED_VALUE"""),"")</f>
        <v/>
      </c>
      <c r="D1381" t="str">
        <f>IFERROR(__xludf.DUMMYFUNCTION("""COMPUTED_VALUE"""),"")</f>
        <v/>
      </c>
      <c r="E1381" t="str">
        <f>IFERROR(__xludf.DUMMYFUNCTION("""COMPUTED_VALUE"""),"")</f>
        <v/>
      </c>
      <c r="F1381" t="str">
        <f>IFERROR(__xludf.DUMMYFUNCTION("""COMPUTED_VALUE"""),"")</f>
        <v/>
      </c>
      <c r="G1381" t="str">
        <f>IFERROR(__xludf.DUMMYFUNCTION("""COMPUTED_VALUE"""),"")</f>
        <v/>
      </c>
      <c r="H1381" s="2" t="str">
        <f>IFERROR(__xludf.DUMMYFUNCTION("""COMPUTED_VALUE"""),"")</f>
        <v/>
      </c>
      <c r="I1381" s="2" t="str">
        <f>IFERROR(__xludf.DUMMYFUNCTION("""COMPUTED_VALUE"""),"")</f>
        <v/>
      </c>
      <c r="J1381" s="2">
        <f>IFERROR(__xludf.DUMMYFUNCTION("""COMPUTED_VALUE"""),0.0)</f>
        <v>0</v>
      </c>
      <c r="K1381" s="5" t="str">
        <f>IFERROR(__xludf.DUMMYFUNCTION("""COMPUTED_VALUE"""),"")</f>
        <v/>
      </c>
      <c r="L1381" t="str">
        <f>IFERROR(__xludf.DUMMYFUNCTION("""COMPUTED_VALUE"""),"")</f>
        <v/>
      </c>
      <c r="M1381" t="str">
        <f>IFERROR(__xludf.DUMMYFUNCTION("""COMPUTED_VALUE"""),"")</f>
        <v/>
      </c>
      <c r="N1381" t="str">
        <f>IFERROR(__xludf.DUMMYFUNCTION("""COMPUTED_VALUE"""),"")</f>
        <v/>
      </c>
      <c r="O1381" t="str">
        <f>IFERROR(__xludf.DUMMYFUNCTION("""COMPUTED_VALUE"""),"")</f>
        <v/>
      </c>
      <c r="P1381" t="str">
        <f>IFERROR(__xludf.DUMMYFUNCTION("""COMPUTED_VALUE"""),"ID ")</f>
        <v>ID </v>
      </c>
    </row>
    <row r="1382">
      <c r="A1382" s="6" t="str">
        <f>IFERROR(__xludf.DUMMYFUNCTION("""COMPUTED_VALUE"""),"")</f>
        <v/>
      </c>
      <c r="C1382" t="str">
        <f>IFERROR(__xludf.DUMMYFUNCTION("""COMPUTED_VALUE"""),"")</f>
        <v/>
      </c>
      <c r="D1382" t="str">
        <f>IFERROR(__xludf.DUMMYFUNCTION("""COMPUTED_VALUE"""),"")</f>
        <v/>
      </c>
      <c r="E1382" t="str">
        <f>IFERROR(__xludf.DUMMYFUNCTION("""COMPUTED_VALUE"""),"")</f>
        <v/>
      </c>
      <c r="F1382" t="str">
        <f>IFERROR(__xludf.DUMMYFUNCTION("""COMPUTED_VALUE"""),"")</f>
        <v/>
      </c>
      <c r="G1382" t="str">
        <f>IFERROR(__xludf.DUMMYFUNCTION("""COMPUTED_VALUE"""),"")</f>
        <v/>
      </c>
      <c r="H1382" s="2" t="str">
        <f>IFERROR(__xludf.DUMMYFUNCTION("""COMPUTED_VALUE"""),"")</f>
        <v/>
      </c>
      <c r="I1382" s="2" t="str">
        <f>IFERROR(__xludf.DUMMYFUNCTION("""COMPUTED_VALUE"""),"")</f>
        <v/>
      </c>
      <c r="J1382" s="2">
        <f>IFERROR(__xludf.DUMMYFUNCTION("""COMPUTED_VALUE"""),0.0)</f>
        <v>0</v>
      </c>
      <c r="K1382" s="5" t="str">
        <f>IFERROR(__xludf.DUMMYFUNCTION("""COMPUTED_VALUE"""),"")</f>
        <v/>
      </c>
      <c r="L1382" t="str">
        <f>IFERROR(__xludf.DUMMYFUNCTION("""COMPUTED_VALUE"""),"")</f>
        <v/>
      </c>
      <c r="M1382" t="str">
        <f>IFERROR(__xludf.DUMMYFUNCTION("""COMPUTED_VALUE"""),"")</f>
        <v/>
      </c>
      <c r="N1382" t="str">
        <f>IFERROR(__xludf.DUMMYFUNCTION("""COMPUTED_VALUE"""),"")</f>
        <v/>
      </c>
      <c r="O1382" t="str">
        <f>IFERROR(__xludf.DUMMYFUNCTION("""COMPUTED_VALUE"""),"")</f>
        <v/>
      </c>
      <c r="P1382" t="str">
        <f>IFERROR(__xludf.DUMMYFUNCTION("""COMPUTED_VALUE"""),"ID ")</f>
        <v>ID </v>
      </c>
    </row>
    <row r="1383">
      <c r="A1383" s="6" t="str">
        <f>IFERROR(__xludf.DUMMYFUNCTION("""COMPUTED_VALUE"""),"")</f>
        <v/>
      </c>
      <c r="C1383" t="str">
        <f>IFERROR(__xludf.DUMMYFUNCTION("""COMPUTED_VALUE"""),"")</f>
        <v/>
      </c>
      <c r="D1383" t="str">
        <f>IFERROR(__xludf.DUMMYFUNCTION("""COMPUTED_VALUE"""),"")</f>
        <v/>
      </c>
      <c r="E1383" t="str">
        <f>IFERROR(__xludf.DUMMYFUNCTION("""COMPUTED_VALUE"""),"")</f>
        <v/>
      </c>
      <c r="F1383" t="str">
        <f>IFERROR(__xludf.DUMMYFUNCTION("""COMPUTED_VALUE"""),"")</f>
        <v/>
      </c>
      <c r="G1383" t="str">
        <f>IFERROR(__xludf.DUMMYFUNCTION("""COMPUTED_VALUE"""),"")</f>
        <v/>
      </c>
      <c r="H1383" s="2" t="str">
        <f>IFERROR(__xludf.DUMMYFUNCTION("""COMPUTED_VALUE"""),"")</f>
        <v/>
      </c>
      <c r="I1383" s="2" t="str">
        <f>IFERROR(__xludf.DUMMYFUNCTION("""COMPUTED_VALUE"""),"")</f>
        <v/>
      </c>
      <c r="J1383" s="2">
        <f>IFERROR(__xludf.DUMMYFUNCTION("""COMPUTED_VALUE"""),0.0)</f>
        <v>0</v>
      </c>
      <c r="K1383" s="5" t="str">
        <f>IFERROR(__xludf.DUMMYFUNCTION("""COMPUTED_VALUE"""),"")</f>
        <v/>
      </c>
      <c r="L1383" t="str">
        <f>IFERROR(__xludf.DUMMYFUNCTION("""COMPUTED_VALUE"""),"")</f>
        <v/>
      </c>
      <c r="M1383" t="str">
        <f>IFERROR(__xludf.DUMMYFUNCTION("""COMPUTED_VALUE"""),"")</f>
        <v/>
      </c>
      <c r="N1383" t="str">
        <f>IFERROR(__xludf.DUMMYFUNCTION("""COMPUTED_VALUE"""),"")</f>
        <v/>
      </c>
      <c r="O1383" t="str">
        <f>IFERROR(__xludf.DUMMYFUNCTION("""COMPUTED_VALUE"""),"")</f>
        <v/>
      </c>
      <c r="P1383" t="str">
        <f>IFERROR(__xludf.DUMMYFUNCTION("""COMPUTED_VALUE"""),"ID ")</f>
        <v>ID </v>
      </c>
    </row>
    <row r="1384">
      <c r="A1384" s="6" t="str">
        <f>IFERROR(__xludf.DUMMYFUNCTION("""COMPUTED_VALUE"""),"")</f>
        <v/>
      </c>
      <c r="C1384" t="str">
        <f>IFERROR(__xludf.DUMMYFUNCTION("""COMPUTED_VALUE"""),"")</f>
        <v/>
      </c>
      <c r="D1384" t="str">
        <f>IFERROR(__xludf.DUMMYFUNCTION("""COMPUTED_VALUE"""),"")</f>
        <v/>
      </c>
      <c r="E1384" t="str">
        <f>IFERROR(__xludf.DUMMYFUNCTION("""COMPUTED_VALUE"""),"")</f>
        <v/>
      </c>
      <c r="F1384" t="str">
        <f>IFERROR(__xludf.DUMMYFUNCTION("""COMPUTED_VALUE"""),"")</f>
        <v/>
      </c>
      <c r="G1384" t="str">
        <f>IFERROR(__xludf.DUMMYFUNCTION("""COMPUTED_VALUE"""),"")</f>
        <v/>
      </c>
      <c r="H1384" s="2" t="str">
        <f>IFERROR(__xludf.DUMMYFUNCTION("""COMPUTED_VALUE"""),"")</f>
        <v/>
      </c>
      <c r="I1384" s="2" t="str">
        <f>IFERROR(__xludf.DUMMYFUNCTION("""COMPUTED_VALUE"""),"")</f>
        <v/>
      </c>
      <c r="J1384" s="2">
        <f>IFERROR(__xludf.DUMMYFUNCTION("""COMPUTED_VALUE"""),0.0)</f>
        <v>0</v>
      </c>
      <c r="K1384" s="5" t="str">
        <f>IFERROR(__xludf.DUMMYFUNCTION("""COMPUTED_VALUE"""),"")</f>
        <v/>
      </c>
      <c r="L1384" t="str">
        <f>IFERROR(__xludf.DUMMYFUNCTION("""COMPUTED_VALUE"""),"")</f>
        <v/>
      </c>
      <c r="M1384" t="str">
        <f>IFERROR(__xludf.DUMMYFUNCTION("""COMPUTED_VALUE"""),"")</f>
        <v/>
      </c>
      <c r="N1384" t="str">
        <f>IFERROR(__xludf.DUMMYFUNCTION("""COMPUTED_VALUE"""),"")</f>
        <v/>
      </c>
      <c r="O1384" t="str">
        <f>IFERROR(__xludf.DUMMYFUNCTION("""COMPUTED_VALUE"""),"")</f>
        <v/>
      </c>
      <c r="P1384" t="str">
        <f>IFERROR(__xludf.DUMMYFUNCTION("""COMPUTED_VALUE"""),"ID ")</f>
        <v>ID </v>
      </c>
    </row>
    <row r="1385">
      <c r="A1385" s="6" t="str">
        <f>IFERROR(__xludf.DUMMYFUNCTION("""COMPUTED_VALUE"""),"")</f>
        <v/>
      </c>
      <c r="C1385" t="str">
        <f>IFERROR(__xludf.DUMMYFUNCTION("""COMPUTED_VALUE"""),"")</f>
        <v/>
      </c>
      <c r="D1385" t="str">
        <f>IFERROR(__xludf.DUMMYFUNCTION("""COMPUTED_VALUE"""),"")</f>
        <v/>
      </c>
      <c r="E1385" t="str">
        <f>IFERROR(__xludf.DUMMYFUNCTION("""COMPUTED_VALUE"""),"")</f>
        <v/>
      </c>
      <c r="F1385" t="str">
        <f>IFERROR(__xludf.DUMMYFUNCTION("""COMPUTED_VALUE"""),"")</f>
        <v/>
      </c>
      <c r="G1385" t="str">
        <f>IFERROR(__xludf.DUMMYFUNCTION("""COMPUTED_VALUE"""),"")</f>
        <v/>
      </c>
      <c r="H1385" s="2" t="str">
        <f>IFERROR(__xludf.DUMMYFUNCTION("""COMPUTED_VALUE"""),"")</f>
        <v/>
      </c>
      <c r="I1385" s="2" t="str">
        <f>IFERROR(__xludf.DUMMYFUNCTION("""COMPUTED_VALUE"""),"")</f>
        <v/>
      </c>
      <c r="J1385" s="2">
        <f>IFERROR(__xludf.DUMMYFUNCTION("""COMPUTED_VALUE"""),0.0)</f>
        <v>0</v>
      </c>
      <c r="K1385" s="5" t="str">
        <f>IFERROR(__xludf.DUMMYFUNCTION("""COMPUTED_VALUE"""),"")</f>
        <v/>
      </c>
      <c r="L1385" t="str">
        <f>IFERROR(__xludf.DUMMYFUNCTION("""COMPUTED_VALUE"""),"")</f>
        <v/>
      </c>
      <c r="M1385" t="str">
        <f>IFERROR(__xludf.DUMMYFUNCTION("""COMPUTED_VALUE"""),"")</f>
        <v/>
      </c>
      <c r="N1385" t="str">
        <f>IFERROR(__xludf.DUMMYFUNCTION("""COMPUTED_VALUE"""),"")</f>
        <v/>
      </c>
      <c r="O1385" t="str">
        <f>IFERROR(__xludf.DUMMYFUNCTION("""COMPUTED_VALUE"""),"")</f>
        <v/>
      </c>
      <c r="P1385" t="str">
        <f>IFERROR(__xludf.DUMMYFUNCTION("""COMPUTED_VALUE"""),"ID ")</f>
        <v>ID </v>
      </c>
    </row>
    <row r="1386">
      <c r="A1386" s="6" t="str">
        <f>IFERROR(__xludf.DUMMYFUNCTION("""COMPUTED_VALUE"""),"")</f>
        <v/>
      </c>
      <c r="C1386" t="str">
        <f>IFERROR(__xludf.DUMMYFUNCTION("""COMPUTED_VALUE"""),"")</f>
        <v/>
      </c>
      <c r="D1386" t="str">
        <f>IFERROR(__xludf.DUMMYFUNCTION("""COMPUTED_VALUE"""),"")</f>
        <v/>
      </c>
      <c r="E1386" t="str">
        <f>IFERROR(__xludf.DUMMYFUNCTION("""COMPUTED_VALUE"""),"")</f>
        <v/>
      </c>
      <c r="F1386" t="str">
        <f>IFERROR(__xludf.DUMMYFUNCTION("""COMPUTED_VALUE"""),"")</f>
        <v/>
      </c>
      <c r="G1386" t="str">
        <f>IFERROR(__xludf.DUMMYFUNCTION("""COMPUTED_VALUE"""),"")</f>
        <v/>
      </c>
      <c r="H1386" s="2" t="str">
        <f>IFERROR(__xludf.DUMMYFUNCTION("""COMPUTED_VALUE"""),"")</f>
        <v/>
      </c>
      <c r="I1386" s="2" t="str">
        <f>IFERROR(__xludf.DUMMYFUNCTION("""COMPUTED_VALUE"""),"")</f>
        <v/>
      </c>
      <c r="J1386" s="2">
        <f>IFERROR(__xludf.DUMMYFUNCTION("""COMPUTED_VALUE"""),0.0)</f>
        <v>0</v>
      </c>
      <c r="K1386" s="5" t="str">
        <f>IFERROR(__xludf.DUMMYFUNCTION("""COMPUTED_VALUE"""),"")</f>
        <v/>
      </c>
      <c r="L1386" t="str">
        <f>IFERROR(__xludf.DUMMYFUNCTION("""COMPUTED_VALUE"""),"")</f>
        <v/>
      </c>
      <c r="M1386" t="str">
        <f>IFERROR(__xludf.DUMMYFUNCTION("""COMPUTED_VALUE"""),"")</f>
        <v/>
      </c>
      <c r="N1386" t="str">
        <f>IFERROR(__xludf.DUMMYFUNCTION("""COMPUTED_VALUE"""),"")</f>
        <v/>
      </c>
      <c r="O1386" t="str">
        <f>IFERROR(__xludf.DUMMYFUNCTION("""COMPUTED_VALUE"""),"")</f>
        <v/>
      </c>
      <c r="P1386" t="str">
        <f>IFERROR(__xludf.DUMMYFUNCTION("""COMPUTED_VALUE"""),"ID ")</f>
        <v>ID </v>
      </c>
    </row>
    <row r="1387">
      <c r="A1387" s="6" t="str">
        <f>IFERROR(__xludf.DUMMYFUNCTION("""COMPUTED_VALUE"""),"")</f>
        <v/>
      </c>
      <c r="C1387" t="str">
        <f>IFERROR(__xludf.DUMMYFUNCTION("""COMPUTED_VALUE"""),"")</f>
        <v/>
      </c>
      <c r="D1387" t="str">
        <f>IFERROR(__xludf.DUMMYFUNCTION("""COMPUTED_VALUE"""),"")</f>
        <v/>
      </c>
      <c r="E1387" t="str">
        <f>IFERROR(__xludf.DUMMYFUNCTION("""COMPUTED_VALUE"""),"")</f>
        <v/>
      </c>
      <c r="F1387" t="str">
        <f>IFERROR(__xludf.DUMMYFUNCTION("""COMPUTED_VALUE"""),"")</f>
        <v/>
      </c>
      <c r="G1387" t="str">
        <f>IFERROR(__xludf.DUMMYFUNCTION("""COMPUTED_VALUE"""),"")</f>
        <v/>
      </c>
      <c r="H1387" s="2" t="str">
        <f>IFERROR(__xludf.DUMMYFUNCTION("""COMPUTED_VALUE"""),"")</f>
        <v/>
      </c>
      <c r="I1387" s="2" t="str">
        <f>IFERROR(__xludf.DUMMYFUNCTION("""COMPUTED_VALUE"""),"")</f>
        <v/>
      </c>
      <c r="J1387" s="2">
        <f>IFERROR(__xludf.DUMMYFUNCTION("""COMPUTED_VALUE"""),0.0)</f>
        <v>0</v>
      </c>
      <c r="K1387" s="5" t="str">
        <f>IFERROR(__xludf.DUMMYFUNCTION("""COMPUTED_VALUE"""),"")</f>
        <v/>
      </c>
      <c r="L1387" t="str">
        <f>IFERROR(__xludf.DUMMYFUNCTION("""COMPUTED_VALUE"""),"")</f>
        <v/>
      </c>
      <c r="M1387" t="str">
        <f>IFERROR(__xludf.DUMMYFUNCTION("""COMPUTED_VALUE"""),"")</f>
        <v/>
      </c>
      <c r="N1387" t="str">
        <f>IFERROR(__xludf.DUMMYFUNCTION("""COMPUTED_VALUE"""),"")</f>
        <v/>
      </c>
      <c r="O1387" t="str">
        <f>IFERROR(__xludf.DUMMYFUNCTION("""COMPUTED_VALUE"""),"")</f>
        <v/>
      </c>
      <c r="P1387" t="str">
        <f>IFERROR(__xludf.DUMMYFUNCTION("""COMPUTED_VALUE"""),"ID ")</f>
        <v>ID </v>
      </c>
    </row>
    <row r="1388">
      <c r="A1388" s="6" t="str">
        <f>IFERROR(__xludf.DUMMYFUNCTION("""COMPUTED_VALUE"""),"")</f>
        <v/>
      </c>
      <c r="C1388" t="str">
        <f>IFERROR(__xludf.DUMMYFUNCTION("""COMPUTED_VALUE"""),"")</f>
        <v/>
      </c>
      <c r="D1388" t="str">
        <f>IFERROR(__xludf.DUMMYFUNCTION("""COMPUTED_VALUE"""),"")</f>
        <v/>
      </c>
      <c r="E1388" t="str">
        <f>IFERROR(__xludf.DUMMYFUNCTION("""COMPUTED_VALUE"""),"")</f>
        <v/>
      </c>
      <c r="F1388" t="str">
        <f>IFERROR(__xludf.DUMMYFUNCTION("""COMPUTED_VALUE"""),"")</f>
        <v/>
      </c>
      <c r="G1388" t="str">
        <f>IFERROR(__xludf.DUMMYFUNCTION("""COMPUTED_VALUE"""),"")</f>
        <v/>
      </c>
      <c r="H1388" s="2" t="str">
        <f>IFERROR(__xludf.DUMMYFUNCTION("""COMPUTED_VALUE"""),"")</f>
        <v/>
      </c>
      <c r="I1388" s="2" t="str">
        <f>IFERROR(__xludf.DUMMYFUNCTION("""COMPUTED_VALUE"""),"")</f>
        <v/>
      </c>
      <c r="J1388" s="2">
        <f>IFERROR(__xludf.DUMMYFUNCTION("""COMPUTED_VALUE"""),0.0)</f>
        <v>0</v>
      </c>
      <c r="K1388" s="5" t="str">
        <f>IFERROR(__xludf.DUMMYFUNCTION("""COMPUTED_VALUE"""),"")</f>
        <v/>
      </c>
      <c r="L1388" t="str">
        <f>IFERROR(__xludf.DUMMYFUNCTION("""COMPUTED_VALUE"""),"")</f>
        <v/>
      </c>
      <c r="M1388" t="str">
        <f>IFERROR(__xludf.DUMMYFUNCTION("""COMPUTED_VALUE"""),"")</f>
        <v/>
      </c>
      <c r="N1388" t="str">
        <f>IFERROR(__xludf.DUMMYFUNCTION("""COMPUTED_VALUE"""),"")</f>
        <v/>
      </c>
      <c r="O1388" t="str">
        <f>IFERROR(__xludf.DUMMYFUNCTION("""COMPUTED_VALUE"""),"")</f>
        <v/>
      </c>
      <c r="P1388" t="str">
        <f>IFERROR(__xludf.DUMMYFUNCTION("""COMPUTED_VALUE"""),"ID ")</f>
        <v>ID </v>
      </c>
    </row>
    <row r="1389">
      <c r="A1389" s="6" t="str">
        <f>IFERROR(__xludf.DUMMYFUNCTION("""COMPUTED_VALUE"""),"")</f>
        <v/>
      </c>
      <c r="C1389" t="str">
        <f>IFERROR(__xludf.DUMMYFUNCTION("""COMPUTED_VALUE"""),"")</f>
        <v/>
      </c>
      <c r="D1389" t="str">
        <f>IFERROR(__xludf.DUMMYFUNCTION("""COMPUTED_VALUE"""),"")</f>
        <v/>
      </c>
      <c r="E1389" t="str">
        <f>IFERROR(__xludf.DUMMYFUNCTION("""COMPUTED_VALUE"""),"")</f>
        <v/>
      </c>
      <c r="F1389" t="str">
        <f>IFERROR(__xludf.DUMMYFUNCTION("""COMPUTED_VALUE"""),"")</f>
        <v/>
      </c>
      <c r="G1389" t="str">
        <f>IFERROR(__xludf.DUMMYFUNCTION("""COMPUTED_VALUE"""),"")</f>
        <v/>
      </c>
      <c r="H1389" s="2" t="str">
        <f>IFERROR(__xludf.DUMMYFUNCTION("""COMPUTED_VALUE"""),"")</f>
        <v/>
      </c>
      <c r="I1389" s="2" t="str">
        <f>IFERROR(__xludf.DUMMYFUNCTION("""COMPUTED_VALUE"""),"")</f>
        <v/>
      </c>
      <c r="J1389" s="2">
        <f>IFERROR(__xludf.DUMMYFUNCTION("""COMPUTED_VALUE"""),0.0)</f>
        <v>0</v>
      </c>
      <c r="K1389" s="5" t="str">
        <f>IFERROR(__xludf.DUMMYFUNCTION("""COMPUTED_VALUE"""),"")</f>
        <v/>
      </c>
      <c r="L1389" t="str">
        <f>IFERROR(__xludf.DUMMYFUNCTION("""COMPUTED_VALUE"""),"")</f>
        <v/>
      </c>
      <c r="M1389" t="str">
        <f>IFERROR(__xludf.DUMMYFUNCTION("""COMPUTED_VALUE"""),"")</f>
        <v/>
      </c>
      <c r="N1389" t="str">
        <f>IFERROR(__xludf.DUMMYFUNCTION("""COMPUTED_VALUE"""),"")</f>
        <v/>
      </c>
      <c r="O1389" t="str">
        <f>IFERROR(__xludf.DUMMYFUNCTION("""COMPUTED_VALUE"""),"")</f>
        <v/>
      </c>
      <c r="P1389" t="str">
        <f>IFERROR(__xludf.DUMMYFUNCTION("""COMPUTED_VALUE"""),"ID ")</f>
        <v>ID </v>
      </c>
    </row>
    <row r="1390">
      <c r="A1390" s="6" t="str">
        <f>IFERROR(__xludf.DUMMYFUNCTION("""COMPUTED_VALUE"""),"")</f>
        <v/>
      </c>
      <c r="C1390" t="str">
        <f>IFERROR(__xludf.DUMMYFUNCTION("""COMPUTED_VALUE"""),"")</f>
        <v/>
      </c>
      <c r="D1390" t="str">
        <f>IFERROR(__xludf.DUMMYFUNCTION("""COMPUTED_VALUE"""),"")</f>
        <v/>
      </c>
      <c r="E1390" t="str">
        <f>IFERROR(__xludf.DUMMYFUNCTION("""COMPUTED_VALUE"""),"")</f>
        <v/>
      </c>
      <c r="F1390" t="str">
        <f>IFERROR(__xludf.DUMMYFUNCTION("""COMPUTED_VALUE"""),"")</f>
        <v/>
      </c>
      <c r="G1390" t="str">
        <f>IFERROR(__xludf.DUMMYFUNCTION("""COMPUTED_VALUE"""),"")</f>
        <v/>
      </c>
      <c r="H1390" s="2" t="str">
        <f>IFERROR(__xludf.DUMMYFUNCTION("""COMPUTED_VALUE"""),"")</f>
        <v/>
      </c>
      <c r="I1390" s="2" t="str">
        <f>IFERROR(__xludf.DUMMYFUNCTION("""COMPUTED_VALUE"""),"")</f>
        <v/>
      </c>
      <c r="J1390" s="2">
        <f>IFERROR(__xludf.DUMMYFUNCTION("""COMPUTED_VALUE"""),0.0)</f>
        <v>0</v>
      </c>
      <c r="K1390" s="5" t="str">
        <f>IFERROR(__xludf.DUMMYFUNCTION("""COMPUTED_VALUE"""),"")</f>
        <v/>
      </c>
      <c r="L1390" t="str">
        <f>IFERROR(__xludf.DUMMYFUNCTION("""COMPUTED_VALUE"""),"")</f>
        <v/>
      </c>
      <c r="M1390" t="str">
        <f>IFERROR(__xludf.DUMMYFUNCTION("""COMPUTED_VALUE"""),"")</f>
        <v/>
      </c>
      <c r="N1390" t="str">
        <f>IFERROR(__xludf.DUMMYFUNCTION("""COMPUTED_VALUE"""),"")</f>
        <v/>
      </c>
      <c r="O1390" t="str">
        <f>IFERROR(__xludf.DUMMYFUNCTION("""COMPUTED_VALUE"""),"")</f>
        <v/>
      </c>
      <c r="P1390" t="str">
        <f>IFERROR(__xludf.DUMMYFUNCTION("""COMPUTED_VALUE"""),"ID ")</f>
        <v>ID </v>
      </c>
    </row>
    <row r="1391">
      <c r="A1391" s="6" t="str">
        <f>IFERROR(__xludf.DUMMYFUNCTION("""COMPUTED_VALUE"""),"")</f>
        <v/>
      </c>
      <c r="C1391" t="str">
        <f>IFERROR(__xludf.DUMMYFUNCTION("""COMPUTED_VALUE"""),"")</f>
        <v/>
      </c>
      <c r="D1391" t="str">
        <f>IFERROR(__xludf.DUMMYFUNCTION("""COMPUTED_VALUE"""),"")</f>
        <v/>
      </c>
      <c r="E1391" t="str">
        <f>IFERROR(__xludf.DUMMYFUNCTION("""COMPUTED_VALUE"""),"")</f>
        <v/>
      </c>
      <c r="F1391" t="str">
        <f>IFERROR(__xludf.DUMMYFUNCTION("""COMPUTED_VALUE"""),"")</f>
        <v/>
      </c>
      <c r="G1391" t="str">
        <f>IFERROR(__xludf.DUMMYFUNCTION("""COMPUTED_VALUE"""),"")</f>
        <v/>
      </c>
      <c r="H1391" s="2" t="str">
        <f>IFERROR(__xludf.DUMMYFUNCTION("""COMPUTED_VALUE"""),"")</f>
        <v/>
      </c>
      <c r="I1391" s="2" t="str">
        <f>IFERROR(__xludf.DUMMYFUNCTION("""COMPUTED_VALUE"""),"")</f>
        <v/>
      </c>
      <c r="J1391" s="2">
        <f>IFERROR(__xludf.DUMMYFUNCTION("""COMPUTED_VALUE"""),0.0)</f>
        <v>0</v>
      </c>
      <c r="K1391" s="5" t="str">
        <f>IFERROR(__xludf.DUMMYFUNCTION("""COMPUTED_VALUE"""),"")</f>
        <v/>
      </c>
      <c r="L1391" t="str">
        <f>IFERROR(__xludf.DUMMYFUNCTION("""COMPUTED_VALUE"""),"")</f>
        <v/>
      </c>
      <c r="M1391" t="str">
        <f>IFERROR(__xludf.DUMMYFUNCTION("""COMPUTED_VALUE"""),"")</f>
        <v/>
      </c>
      <c r="N1391" t="str">
        <f>IFERROR(__xludf.DUMMYFUNCTION("""COMPUTED_VALUE"""),"")</f>
        <v/>
      </c>
      <c r="O1391" t="str">
        <f>IFERROR(__xludf.DUMMYFUNCTION("""COMPUTED_VALUE"""),"")</f>
        <v/>
      </c>
      <c r="P1391" t="str">
        <f>IFERROR(__xludf.DUMMYFUNCTION("""COMPUTED_VALUE"""),"ID ")</f>
        <v>ID </v>
      </c>
    </row>
    <row r="1392">
      <c r="A1392" s="6" t="str">
        <f>IFERROR(__xludf.DUMMYFUNCTION("""COMPUTED_VALUE"""),"")</f>
        <v/>
      </c>
      <c r="C1392" t="str">
        <f>IFERROR(__xludf.DUMMYFUNCTION("""COMPUTED_VALUE"""),"")</f>
        <v/>
      </c>
      <c r="D1392" t="str">
        <f>IFERROR(__xludf.DUMMYFUNCTION("""COMPUTED_VALUE"""),"")</f>
        <v/>
      </c>
      <c r="E1392" t="str">
        <f>IFERROR(__xludf.DUMMYFUNCTION("""COMPUTED_VALUE"""),"")</f>
        <v/>
      </c>
      <c r="F1392" t="str">
        <f>IFERROR(__xludf.DUMMYFUNCTION("""COMPUTED_VALUE"""),"")</f>
        <v/>
      </c>
      <c r="G1392" t="str">
        <f>IFERROR(__xludf.DUMMYFUNCTION("""COMPUTED_VALUE"""),"")</f>
        <v/>
      </c>
      <c r="H1392" s="2" t="str">
        <f>IFERROR(__xludf.DUMMYFUNCTION("""COMPUTED_VALUE"""),"")</f>
        <v/>
      </c>
      <c r="I1392" s="2" t="str">
        <f>IFERROR(__xludf.DUMMYFUNCTION("""COMPUTED_VALUE"""),"")</f>
        <v/>
      </c>
      <c r="J1392" s="2">
        <f>IFERROR(__xludf.DUMMYFUNCTION("""COMPUTED_VALUE"""),0.0)</f>
        <v>0</v>
      </c>
      <c r="K1392" s="5" t="str">
        <f>IFERROR(__xludf.DUMMYFUNCTION("""COMPUTED_VALUE"""),"")</f>
        <v/>
      </c>
      <c r="L1392" t="str">
        <f>IFERROR(__xludf.DUMMYFUNCTION("""COMPUTED_VALUE"""),"")</f>
        <v/>
      </c>
      <c r="M1392" t="str">
        <f>IFERROR(__xludf.DUMMYFUNCTION("""COMPUTED_VALUE"""),"")</f>
        <v/>
      </c>
      <c r="N1392" t="str">
        <f>IFERROR(__xludf.DUMMYFUNCTION("""COMPUTED_VALUE"""),"")</f>
        <v/>
      </c>
      <c r="O1392" t="str">
        <f>IFERROR(__xludf.DUMMYFUNCTION("""COMPUTED_VALUE"""),"")</f>
        <v/>
      </c>
      <c r="P1392" t="str">
        <f>IFERROR(__xludf.DUMMYFUNCTION("""COMPUTED_VALUE"""),"ID ")</f>
        <v>ID </v>
      </c>
    </row>
    <row r="1393">
      <c r="A1393" s="6" t="str">
        <f>IFERROR(__xludf.DUMMYFUNCTION("""COMPUTED_VALUE"""),"")</f>
        <v/>
      </c>
      <c r="C1393" t="str">
        <f>IFERROR(__xludf.DUMMYFUNCTION("""COMPUTED_VALUE"""),"")</f>
        <v/>
      </c>
      <c r="D1393" t="str">
        <f>IFERROR(__xludf.DUMMYFUNCTION("""COMPUTED_VALUE"""),"")</f>
        <v/>
      </c>
      <c r="E1393" t="str">
        <f>IFERROR(__xludf.DUMMYFUNCTION("""COMPUTED_VALUE"""),"")</f>
        <v/>
      </c>
      <c r="F1393" t="str">
        <f>IFERROR(__xludf.DUMMYFUNCTION("""COMPUTED_VALUE"""),"")</f>
        <v/>
      </c>
      <c r="G1393" t="str">
        <f>IFERROR(__xludf.DUMMYFUNCTION("""COMPUTED_VALUE"""),"")</f>
        <v/>
      </c>
      <c r="H1393" s="2" t="str">
        <f>IFERROR(__xludf.DUMMYFUNCTION("""COMPUTED_VALUE"""),"")</f>
        <v/>
      </c>
      <c r="I1393" s="2" t="str">
        <f>IFERROR(__xludf.DUMMYFUNCTION("""COMPUTED_VALUE"""),"")</f>
        <v/>
      </c>
      <c r="J1393" s="2">
        <f>IFERROR(__xludf.DUMMYFUNCTION("""COMPUTED_VALUE"""),0.0)</f>
        <v>0</v>
      </c>
      <c r="K1393" s="5" t="str">
        <f>IFERROR(__xludf.DUMMYFUNCTION("""COMPUTED_VALUE"""),"")</f>
        <v/>
      </c>
      <c r="L1393" t="str">
        <f>IFERROR(__xludf.DUMMYFUNCTION("""COMPUTED_VALUE"""),"")</f>
        <v/>
      </c>
      <c r="M1393" t="str">
        <f>IFERROR(__xludf.DUMMYFUNCTION("""COMPUTED_VALUE"""),"")</f>
        <v/>
      </c>
      <c r="N1393" t="str">
        <f>IFERROR(__xludf.DUMMYFUNCTION("""COMPUTED_VALUE"""),"")</f>
        <v/>
      </c>
      <c r="O1393" t="str">
        <f>IFERROR(__xludf.DUMMYFUNCTION("""COMPUTED_VALUE"""),"")</f>
        <v/>
      </c>
      <c r="P1393" t="str">
        <f>IFERROR(__xludf.DUMMYFUNCTION("""COMPUTED_VALUE"""),"ID ")</f>
        <v>ID </v>
      </c>
    </row>
    <row r="1394">
      <c r="A1394" s="6" t="str">
        <f>IFERROR(__xludf.DUMMYFUNCTION("""COMPUTED_VALUE"""),"")</f>
        <v/>
      </c>
      <c r="C1394" t="str">
        <f>IFERROR(__xludf.DUMMYFUNCTION("""COMPUTED_VALUE"""),"")</f>
        <v/>
      </c>
      <c r="D1394" t="str">
        <f>IFERROR(__xludf.DUMMYFUNCTION("""COMPUTED_VALUE"""),"")</f>
        <v/>
      </c>
      <c r="E1394" t="str">
        <f>IFERROR(__xludf.DUMMYFUNCTION("""COMPUTED_VALUE"""),"")</f>
        <v/>
      </c>
      <c r="F1394" t="str">
        <f>IFERROR(__xludf.DUMMYFUNCTION("""COMPUTED_VALUE"""),"")</f>
        <v/>
      </c>
      <c r="G1394" t="str">
        <f>IFERROR(__xludf.DUMMYFUNCTION("""COMPUTED_VALUE"""),"")</f>
        <v/>
      </c>
      <c r="H1394" s="2" t="str">
        <f>IFERROR(__xludf.DUMMYFUNCTION("""COMPUTED_VALUE"""),"")</f>
        <v/>
      </c>
      <c r="I1394" s="2" t="str">
        <f>IFERROR(__xludf.DUMMYFUNCTION("""COMPUTED_VALUE"""),"")</f>
        <v/>
      </c>
      <c r="J1394" s="2">
        <f>IFERROR(__xludf.DUMMYFUNCTION("""COMPUTED_VALUE"""),0.0)</f>
        <v>0</v>
      </c>
      <c r="K1394" s="5" t="str">
        <f>IFERROR(__xludf.DUMMYFUNCTION("""COMPUTED_VALUE"""),"")</f>
        <v/>
      </c>
      <c r="L1394" t="str">
        <f>IFERROR(__xludf.DUMMYFUNCTION("""COMPUTED_VALUE"""),"")</f>
        <v/>
      </c>
      <c r="M1394" t="str">
        <f>IFERROR(__xludf.DUMMYFUNCTION("""COMPUTED_VALUE"""),"")</f>
        <v/>
      </c>
      <c r="N1394" t="str">
        <f>IFERROR(__xludf.DUMMYFUNCTION("""COMPUTED_VALUE"""),"")</f>
        <v/>
      </c>
      <c r="O1394" t="str">
        <f>IFERROR(__xludf.DUMMYFUNCTION("""COMPUTED_VALUE"""),"")</f>
        <v/>
      </c>
      <c r="P1394" t="str">
        <f>IFERROR(__xludf.DUMMYFUNCTION("""COMPUTED_VALUE"""),"ID ")</f>
        <v>ID </v>
      </c>
    </row>
    <row r="1395">
      <c r="A1395" s="6" t="str">
        <f>IFERROR(__xludf.DUMMYFUNCTION("""COMPUTED_VALUE"""),"")</f>
        <v/>
      </c>
      <c r="C1395" t="str">
        <f>IFERROR(__xludf.DUMMYFUNCTION("""COMPUTED_VALUE"""),"")</f>
        <v/>
      </c>
      <c r="D1395" t="str">
        <f>IFERROR(__xludf.DUMMYFUNCTION("""COMPUTED_VALUE"""),"")</f>
        <v/>
      </c>
      <c r="E1395" t="str">
        <f>IFERROR(__xludf.DUMMYFUNCTION("""COMPUTED_VALUE"""),"")</f>
        <v/>
      </c>
      <c r="F1395" t="str">
        <f>IFERROR(__xludf.DUMMYFUNCTION("""COMPUTED_VALUE"""),"")</f>
        <v/>
      </c>
      <c r="G1395" t="str">
        <f>IFERROR(__xludf.DUMMYFUNCTION("""COMPUTED_VALUE"""),"")</f>
        <v/>
      </c>
      <c r="H1395" s="2" t="str">
        <f>IFERROR(__xludf.DUMMYFUNCTION("""COMPUTED_VALUE"""),"")</f>
        <v/>
      </c>
      <c r="I1395" s="2" t="str">
        <f>IFERROR(__xludf.DUMMYFUNCTION("""COMPUTED_VALUE"""),"")</f>
        <v/>
      </c>
      <c r="J1395" s="2">
        <f>IFERROR(__xludf.DUMMYFUNCTION("""COMPUTED_VALUE"""),0.0)</f>
        <v>0</v>
      </c>
      <c r="K1395" s="5" t="str">
        <f>IFERROR(__xludf.DUMMYFUNCTION("""COMPUTED_VALUE"""),"")</f>
        <v/>
      </c>
      <c r="L1395" t="str">
        <f>IFERROR(__xludf.DUMMYFUNCTION("""COMPUTED_VALUE"""),"")</f>
        <v/>
      </c>
      <c r="M1395" t="str">
        <f>IFERROR(__xludf.DUMMYFUNCTION("""COMPUTED_VALUE"""),"")</f>
        <v/>
      </c>
      <c r="N1395" t="str">
        <f>IFERROR(__xludf.DUMMYFUNCTION("""COMPUTED_VALUE"""),"")</f>
        <v/>
      </c>
      <c r="O1395" t="str">
        <f>IFERROR(__xludf.DUMMYFUNCTION("""COMPUTED_VALUE"""),"")</f>
        <v/>
      </c>
      <c r="P1395" t="str">
        <f>IFERROR(__xludf.DUMMYFUNCTION("""COMPUTED_VALUE"""),"ID ")</f>
        <v>ID </v>
      </c>
    </row>
    <row r="1396">
      <c r="A1396" s="6" t="str">
        <f>IFERROR(__xludf.DUMMYFUNCTION("""COMPUTED_VALUE"""),"")</f>
        <v/>
      </c>
      <c r="C1396" t="str">
        <f>IFERROR(__xludf.DUMMYFUNCTION("""COMPUTED_VALUE"""),"")</f>
        <v/>
      </c>
      <c r="D1396" t="str">
        <f>IFERROR(__xludf.DUMMYFUNCTION("""COMPUTED_VALUE"""),"")</f>
        <v/>
      </c>
      <c r="E1396" t="str">
        <f>IFERROR(__xludf.DUMMYFUNCTION("""COMPUTED_VALUE"""),"")</f>
        <v/>
      </c>
      <c r="F1396" t="str">
        <f>IFERROR(__xludf.DUMMYFUNCTION("""COMPUTED_VALUE"""),"")</f>
        <v/>
      </c>
      <c r="G1396" t="str">
        <f>IFERROR(__xludf.DUMMYFUNCTION("""COMPUTED_VALUE"""),"")</f>
        <v/>
      </c>
      <c r="H1396" s="2" t="str">
        <f>IFERROR(__xludf.DUMMYFUNCTION("""COMPUTED_VALUE"""),"")</f>
        <v/>
      </c>
      <c r="I1396" s="2" t="str">
        <f>IFERROR(__xludf.DUMMYFUNCTION("""COMPUTED_VALUE"""),"")</f>
        <v/>
      </c>
      <c r="J1396" s="2">
        <f>IFERROR(__xludf.DUMMYFUNCTION("""COMPUTED_VALUE"""),0.0)</f>
        <v>0</v>
      </c>
      <c r="K1396" s="5" t="str">
        <f>IFERROR(__xludf.DUMMYFUNCTION("""COMPUTED_VALUE"""),"")</f>
        <v/>
      </c>
      <c r="L1396" t="str">
        <f>IFERROR(__xludf.DUMMYFUNCTION("""COMPUTED_VALUE"""),"")</f>
        <v/>
      </c>
      <c r="M1396" t="str">
        <f>IFERROR(__xludf.DUMMYFUNCTION("""COMPUTED_VALUE"""),"")</f>
        <v/>
      </c>
      <c r="N1396" t="str">
        <f>IFERROR(__xludf.DUMMYFUNCTION("""COMPUTED_VALUE"""),"")</f>
        <v/>
      </c>
      <c r="O1396" t="str">
        <f>IFERROR(__xludf.DUMMYFUNCTION("""COMPUTED_VALUE"""),"")</f>
        <v/>
      </c>
      <c r="P1396" t="str">
        <f>IFERROR(__xludf.DUMMYFUNCTION("""COMPUTED_VALUE"""),"ID ")</f>
        <v>ID </v>
      </c>
    </row>
    <row r="1397">
      <c r="A1397" s="6" t="str">
        <f>IFERROR(__xludf.DUMMYFUNCTION("""COMPUTED_VALUE"""),"")</f>
        <v/>
      </c>
      <c r="C1397" t="str">
        <f>IFERROR(__xludf.DUMMYFUNCTION("""COMPUTED_VALUE"""),"")</f>
        <v/>
      </c>
      <c r="D1397" t="str">
        <f>IFERROR(__xludf.DUMMYFUNCTION("""COMPUTED_VALUE"""),"")</f>
        <v/>
      </c>
      <c r="E1397" t="str">
        <f>IFERROR(__xludf.DUMMYFUNCTION("""COMPUTED_VALUE"""),"")</f>
        <v/>
      </c>
      <c r="F1397" t="str">
        <f>IFERROR(__xludf.DUMMYFUNCTION("""COMPUTED_VALUE"""),"")</f>
        <v/>
      </c>
      <c r="G1397" t="str">
        <f>IFERROR(__xludf.DUMMYFUNCTION("""COMPUTED_VALUE"""),"")</f>
        <v/>
      </c>
      <c r="H1397" s="2" t="str">
        <f>IFERROR(__xludf.DUMMYFUNCTION("""COMPUTED_VALUE"""),"")</f>
        <v/>
      </c>
      <c r="I1397" s="2" t="str">
        <f>IFERROR(__xludf.DUMMYFUNCTION("""COMPUTED_VALUE"""),"")</f>
        <v/>
      </c>
      <c r="J1397" s="2">
        <f>IFERROR(__xludf.DUMMYFUNCTION("""COMPUTED_VALUE"""),0.0)</f>
        <v>0</v>
      </c>
      <c r="K1397" s="5" t="str">
        <f>IFERROR(__xludf.DUMMYFUNCTION("""COMPUTED_VALUE"""),"")</f>
        <v/>
      </c>
      <c r="L1397" t="str">
        <f>IFERROR(__xludf.DUMMYFUNCTION("""COMPUTED_VALUE"""),"")</f>
        <v/>
      </c>
      <c r="M1397" t="str">
        <f>IFERROR(__xludf.DUMMYFUNCTION("""COMPUTED_VALUE"""),"")</f>
        <v/>
      </c>
      <c r="N1397" t="str">
        <f>IFERROR(__xludf.DUMMYFUNCTION("""COMPUTED_VALUE"""),"")</f>
        <v/>
      </c>
      <c r="O1397" t="str">
        <f>IFERROR(__xludf.DUMMYFUNCTION("""COMPUTED_VALUE"""),"")</f>
        <v/>
      </c>
      <c r="P1397" t="str">
        <f>IFERROR(__xludf.DUMMYFUNCTION("""COMPUTED_VALUE"""),"ID ")</f>
        <v>ID </v>
      </c>
    </row>
    <row r="1398">
      <c r="A1398" s="6" t="str">
        <f>IFERROR(__xludf.DUMMYFUNCTION("""COMPUTED_VALUE"""),"")</f>
        <v/>
      </c>
      <c r="C1398" t="str">
        <f>IFERROR(__xludf.DUMMYFUNCTION("""COMPUTED_VALUE"""),"")</f>
        <v/>
      </c>
      <c r="D1398" t="str">
        <f>IFERROR(__xludf.DUMMYFUNCTION("""COMPUTED_VALUE"""),"")</f>
        <v/>
      </c>
      <c r="E1398" t="str">
        <f>IFERROR(__xludf.DUMMYFUNCTION("""COMPUTED_VALUE"""),"")</f>
        <v/>
      </c>
      <c r="F1398" t="str">
        <f>IFERROR(__xludf.DUMMYFUNCTION("""COMPUTED_VALUE"""),"")</f>
        <v/>
      </c>
      <c r="G1398" t="str">
        <f>IFERROR(__xludf.DUMMYFUNCTION("""COMPUTED_VALUE"""),"")</f>
        <v/>
      </c>
      <c r="H1398" s="2" t="str">
        <f>IFERROR(__xludf.DUMMYFUNCTION("""COMPUTED_VALUE"""),"")</f>
        <v/>
      </c>
      <c r="I1398" s="2" t="str">
        <f>IFERROR(__xludf.DUMMYFUNCTION("""COMPUTED_VALUE"""),"")</f>
        <v/>
      </c>
      <c r="J1398" s="2">
        <f>IFERROR(__xludf.DUMMYFUNCTION("""COMPUTED_VALUE"""),0.0)</f>
        <v>0</v>
      </c>
      <c r="K1398" s="5" t="str">
        <f>IFERROR(__xludf.DUMMYFUNCTION("""COMPUTED_VALUE"""),"")</f>
        <v/>
      </c>
      <c r="L1398" t="str">
        <f>IFERROR(__xludf.DUMMYFUNCTION("""COMPUTED_VALUE"""),"")</f>
        <v/>
      </c>
      <c r="M1398" t="str">
        <f>IFERROR(__xludf.DUMMYFUNCTION("""COMPUTED_VALUE"""),"")</f>
        <v/>
      </c>
      <c r="N1398" t="str">
        <f>IFERROR(__xludf.DUMMYFUNCTION("""COMPUTED_VALUE"""),"")</f>
        <v/>
      </c>
      <c r="O1398" t="str">
        <f>IFERROR(__xludf.DUMMYFUNCTION("""COMPUTED_VALUE"""),"")</f>
        <v/>
      </c>
      <c r="P1398" t="str">
        <f>IFERROR(__xludf.DUMMYFUNCTION("""COMPUTED_VALUE"""),"ID ")</f>
        <v>ID </v>
      </c>
    </row>
    <row r="1399">
      <c r="A1399" s="6" t="str">
        <f>IFERROR(__xludf.DUMMYFUNCTION("""COMPUTED_VALUE"""),"")</f>
        <v/>
      </c>
      <c r="C1399" t="str">
        <f>IFERROR(__xludf.DUMMYFUNCTION("""COMPUTED_VALUE"""),"")</f>
        <v/>
      </c>
      <c r="D1399" t="str">
        <f>IFERROR(__xludf.DUMMYFUNCTION("""COMPUTED_VALUE"""),"")</f>
        <v/>
      </c>
      <c r="E1399" t="str">
        <f>IFERROR(__xludf.DUMMYFUNCTION("""COMPUTED_VALUE"""),"")</f>
        <v/>
      </c>
      <c r="F1399" t="str">
        <f>IFERROR(__xludf.DUMMYFUNCTION("""COMPUTED_VALUE"""),"")</f>
        <v/>
      </c>
      <c r="G1399" t="str">
        <f>IFERROR(__xludf.DUMMYFUNCTION("""COMPUTED_VALUE"""),"")</f>
        <v/>
      </c>
      <c r="H1399" s="2" t="str">
        <f>IFERROR(__xludf.DUMMYFUNCTION("""COMPUTED_VALUE"""),"")</f>
        <v/>
      </c>
      <c r="I1399" s="2" t="str">
        <f>IFERROR(__xludf.DUMMYFUNCTION("""COMPUTED_VALUE"""),"")</f>
        <v/>
      </c>
      <c r="J1399" s="2">
        <f>IFERROR(__xludf.DUMMYFUNCTION("""COMPUTED_VALUE"""),0.0)</f>
        <v>0</v>
      </c>
      <c r="K1399" s="5" t="str">
        <f>IFERROR(__xludf.DUMMYFUNCTION("""COMPUTED_VALUE"""),"")</f>
        <v/>
      </c>
      <c r="L1399" t="str">
        <f>IFERROR(__xludf.DUMMYFUNCTION("""COMPUTED_VALUE"""),"")</f>
        <v/>
      </c>
      <c r="M1399" t="str">
        <f>IFERROR(__xludf.DUMMYFUNCTION("""COMPUTED_VALUE"""),"")</f>
        <v/>
      </c>
      <c r="N1399" t="str">
        <f>IFERROR(__xludf.DUMMYFUNCTION("""COMPUTED_VALUE"""),"")</f>
        <v/>
      </c>
      <c r="O1399" t="str">
        <f>IFERROR(__xludf.DUMMYFUNCTION("""COMPUTED_VALUE"""),"")</f>
        <v/>
      </c>
      <c r="P1399" t="str">
        <f>IFERROR(__xludf.DUMMYFUNCTION("""COMPUTED_VALUE"""),"ID ")</f>
        <v>ID </v>
      </c>
    </row>
    <row r="1400">
      <c r="A1400" s="6" t="str">
        <f>IFERROR(__xludf.DUMMYFUNCTION("""COMPUTED_VALUE"""),"")</f>
        <v/>
      </c>
      <c r="C1400" t="str">
        <f>IFERROR(__xludf.DUMMYFUNCTION("""COMPUTED_VALUE"""),"")</f>
        <v/>
      </c>
      <c r="D1400" t="str">
        <f>IFERROR(__xludf.DUMMYFUNCTION("""COMPUTED_VALUE"""),"")</f>
        <v/>
      </c>
      <c r="E1400" t="str">
        <f>IFERROR(__xludf.DUMMYFUNCTION("""COMPUTED_VALUE"""),"")</f>
        <v/>
      </c>
      <c r="F1400" t="str">
        <f>IFERROR(__xludf.DUMMYFUNCTION("""COMPUTED_VALUE"""),"")</f>
        <v/>
      </c>
      <c r="G1400" t="str">
        <f>IFERROR(__xludf.DUMMYFUNCTION("""COMPUTED_VALUE"""),"")</f>
        <v/>
      </c>
      <c r="H1400" s="2" t="str">
        <f>IFERROR(__xludf.DUMMYFUNCTION("""COMPUTED_VALUE"""),"")</f>
        <v/>
      </c>
      <c r="I1400" s="2" t="str">
        <f>IFERROR(__xludf.DUMMYFUNCTION("""COMPUTED_VALUE"""),"")</f>
        <v/>
      </c>
      <c r="J1400" s="2">
        <f>IFERROR(__xludf.DUMMYFUNCTION("""COMPUTED_VALUE"""),0.0)</f>
        <v>0</v>
      </c>
      <c r="K1400" s="5" t="str">
        <f>IFERROR(__xludf.DUMMYFUNCTION("""COMPUTED_VALUE"""),"")</f>
        <v/>
      </c>
      <c r="L1400" t="str">
        <f>IFERROR(__xludf.DUMMYFUNCTION("""COMPUTED_VALUE"""),"")</f>
        <v/>
      </c>
      <c r="M1400" t="str">
        <f>IFERROR(__xludf.DUMMYFUNCTION("""COMPUTED_VALUE"""),"")</f>
        <v/>
      </c>
      <c r="N1400" t="str">
        <f>IFERROR(__xludf.DUMMYFUNCTION("""COMPUTED_VALUE"""),"")</f>
        <v/>
      </c>
      <c r="O1400" t="str">
        <f>IFERROR(__xludf.DUMMYFUNCTION("""COMPUTED_VALUE"""),"")</f>
        <v/>
      </c>
      <c r="P1400" t="str">
        <f>IFERROR(__xludf.DUMMYFUNCTION("""COMPUTED_VALUE"""),"ID ")</f>
        <v>ID </v>
      </c>
    </row>
    <row r="1401">
      <c r="A1401" s="6" t="str">
        <f>IFERROR(__xludf.DUMMYFUNCTION("""COMPUTED_VALUE"""),"")</f>
        <v/>
      </c>
      <c r="C1401" t="str">
        <f>IFERROR(__xludf.DUMMYFUNCTION("""COMPUTED_VALUE"""),"")</f>
        <v/>
      </c>
      <c r="D1401" t="str">
        <f>IFERROR(__xludf.DUMMYFUNCTION("""COMPUTED_VALUE"""),"")</f>
        <v/>
      </c>
      <c r="E1401" t="str">
        <f>IFERROR(__xludf.DUMMYFUNCTION("""COMPUTED_VALUE"""),"")</f>
        <v/>
      </c>
      <c r="F1401" t="str">
        <f>IFERROR(__xludf.DUMMYFUNCTION("""COMPUTED_VALUE"""),"")</f>
        <v/>
      </c>
      <c r="G1401" t="str">
        <f>IFERROR(__xludf.DUMMYFUNCTION("""COMPUTED_VALUE"""),"")</f>
        <v/>
      </c>
      <c r="H1401" s="2" t="str">
        <f>IFERROR(__xludf.DUMMYFUNCTION("""COMPUTED_VALUE"""),"")</f>
        <v/>
      </c>
      <c r="I1401" s="2" t="str">
        <f>IFERROR(__xludf.DUMMYFUNCTION("""COMPUTED_VALUE"""),"")</f>
        <v/>
      </c>
      <c r="J1401" s="2">
        <f>IFERROR(__xludf.DUMMYFUNCTION("""COMPUTED_VALUE"""),0.0)</f>
        <v>0</v>
      </c>
      <c r="K1401" s="5" t="str">
        <f>IFERROR(__xludf.DUMMYFUNCTION("""COMPUTED_VALUE"""),"")</f>
        <v/>
      </c>
      <c r="L1401" t="str">
        <f>IFERROR(__xludf.DUMMYFUNCTION("""COMPUTED_VALUE"""),"")</f>
        <v/>
      </c>
      <c r="M1401" t="str">
        <f>IFERROR(__xludf.DUMMYFUNCTION("""COMPUTED_VALUE"""),"")</f>
        <v/>
      </c>
      <c r="N1401" t="str">
        <f>IFERROR(__xludf.DUMMYFUNCTION("""COMPUTED_VALUE"""),"")</f>
        <v/>
      </c>
      <c r="O1401" t="str">
        <f>IFERROR(__xludf.DUMMYFUNCTION("""COMPUTED_VALUE"""),"")</f>
        <v/>
      </c>
      <c r="P1401" t="str">
        <f>IFERROR(__xludf.DUMMYFUNCTION("""COMPUTED_VALUE"""),"ID ")</f>
        <v>ID </v>
      </c>
    </row>
    <row r="1402">
      <c r="A1402" s="6" t="str">
        <f>IFERROR(__xludf.DUMMYFUNCTION("""COMPUTED_VALUE"""),"")</f>
        <v/>
      </c>
      <c r="C1402" t="str">
        <f>IFERROR(__xludf.DUMMYFUNCTION("""COMPUTED_VALUE"""),"")</f>
        <v/>
      </c>
      <c r="D1402" t="str">
        <f>IFERROR(__xludf.DUMMYFUNCTION("""COMPUTED_VALUE"""),"")</f>
        <v/>
      </c>
      <c r="E1402" t="str">
        <f>IFERROR(__xludf.DUMMYFUNCTION("""COMPUTED_VALUE"""),"")</f>
        <v/>
      </c>
      <c r="F1402" t="str">
        <f>IFERROR(__xludf.DUMMYFUNCTION("""COMPUTED_VALUE"""),"")</f>
        <v/>
      </c>
      <c r="G1402" t="str">
        <f>IFERROR(__xludf.DUMMYFUNCTION("""COMPUTED_VALUE"""),"")</f>
        <v/>
      </c>
      <c r="H1402" s="2" t="str">
        <f>IFERROR(__xludf.DUMMYFUNCTION("""COMPUTED_VALUE"""),"")</f>
        <v/>
      </c>
      <c r="I1402" s="2" t="str">
        <f>IFERROR(__xludf.DUMMYFUNCTION("""COMPUTED_VALUE"""),"")</f>
        <v/>
      </c>
      <c r="J1402" s="2">
        <f>IFERROR(__xludf.DUMMYFUNCTION("""COMPUTED_VALUE"""),0.0)</f>
        <v>0</v>
      </c>
      <c r="K1402" s="5" t="str">
        <f>IFERROR(__xludf.DUMMYFUNCTION("""COMPUTED_VALUE"""),"")</f>
        <v/>
      </c>
      <c r="L1402" t="str">
        <f>IFERROR(__xludf.DUMMYFUNCTION("""COMPUTED_VALUE"""),"")</f>
        <v/>
      </c>
      <c r="M1402" t="str">
        <f>IFERROR(__xludf.DUMMYFUNCTION("""COMPUTED_VALUE"""),"")</f>
        <v/>
      </c>
      <c r="N1402" t="str">
        <f>IFERROR(__xludf.DUMMYFUNCTION("""COMPUTED_VALUE"""),"")</f>
        <v/>
      </c>
      <c r="O1402" t="str">
        <f>IFERROR(__xludf.DUMMYFUNCTION("""COMPUTED_VALUE"""),"")</f>
        <v/>
      </c>
      <c r="P1402" t="str">
        <f>IFERROR(__xludf.DUMMYFUNCTION("""COMPUTED_VALUE"""),"ID ")</f>
        <v>ID </v>
      </c>
    </row>
    <row r="1403">
      <c r="A1403" s="6" t="str">
        <f>IFERROR(__xludf.DUMMYFUNCTION("""COMPUTED_VALUE"""),"")</f>
        <v/>
      </c>
      <c r="C1403" t="str">
        <f>IFERROR(__xludf.DUMMYFUNCTION("""COMPUTED_VALUE"""),"")</f>
        <v/>
      </c>
      <c r="D1403" t="str">
        <f>IFERROR(__xludf.DUMMYFUNCTION("""COMPUTED_VALUE"""),"")</f>
        <v/>
      </c>
      <c r="E1403" t="str">
        <f>IFERROR(__xludf.DUMMYFUNCTION("""COMPUTED_VALUE"""),"")</f>
        <v/>
      </c>
      <c r="F1403" t="str">
        <f>IFERROR(__xludf.DUMMYFUNCTION("""COMPUTED_VALUE"""),"")</f>
        <v/>
      </c>
      <c r="G1403" t="str">
        <f>IFERROR(__xludf.DUMMYFUNCTION("""COMPUTED_VALUE"""),"")</f>
        <v/>
      </c>
      <c r="H1403" s="2" t="str">
        <f>IFERROR(__xludf.DUMMYFUNCTION("""COMPUTED_VALUE"""),"")</f>
        <v/>
      </c>
      <c r="I1403" s="2" t="str">
        <f>IFERROR(__xludf.DUMMYFUNCTION("""COMPUTED_VALUE"""),"")</f>
        <v/>
      </c>
      <c r="J1403" s="2">
        <f>IFERROR(__xludf.DUMMYFUNCTION("""COMPUTED_VALUE"""),0.0)</f>
        <v>0</v>
      </c>
      <c r="K1403" s="5" t="str">
        <f>IFERROR(__xludf.DUMMYFUNCTION("""COMPUTED_VALUE"""),"")</f>
        <v/>
      </c>
      <c r="L1403" t="str">
        <f>IFERROR(__xludf.DUMMYFUNCTION("""COMPUTED_VALUE"""),"")</f>
        <v/>
      </c>
      <c r="M1403" t="str">
        <f>IFERROR(__xludf.DUMMYFUNCTION("""COMPUTED_VALUE"""),"")</f>
        <v/>
      </c>
      <c r="N1403" t="str">
        <f>IFERROR(__xludf.DUMMYFUNCTION("""COMPUTED_VALUE"""),"")</f>
        <v/>
      </c>
      <c r="O1403" t="str">
        <f>IFERROR(__xludf.DUMMYFUNCTION("""COMPUTED_VALUE"""),"")</f>
        <v/>
      </c>
      <c r="P1403" t="str">
        <f>IFERROR(__xludf.DUMMYFUNCTION("""COMPUTED_VALUE"""),"ID ")</f>
        <v>ID </v>
      </c>
    </row>
    <row r="1404">
      <c r="A1404" s="6" t="str">
        <f>IFERROR(__xludf.DUMMYFUNCTION("""COMPUTED_VALUE"""),"")</f>
        <v/>
      </c>
      <c r="C1404" t="str">
        <f>IFERROR(__xludf.DUMMYFUNCTION("""COMPUTED_VALUE"""),"")</f>
        <v/>
      </c>
      <c r="D1404" t="str">
        <f>IFERROR(__xludf.DUMMYFUNCTION("""COMPUTED_VALUE"""),"")</f>
        <v/>
      </c>
      <c r="E1404" t="str">
        <f>IFERROR(__xludf.DUMMYFUNCTION("""COMPUTED_VALUE"""),"")</f>
        <v/>
      </c>
      <c r="F1404" t="str">
        <f>IFERROR(__xludf.DUMMYFUNCTION("""COMPUTED_VALUE"""),"")</f>
        <v/>
      </c>
      <c r="G1404" t="str">
        <f>IFERROR(__xludf.DUMMYFUNCTION("""COMPUTED_VALUE"""),"")</f>
        <v/>
      </c>
      <c r="H1404" s="2" t="str">
        <f>IFERROR(__xludf.DUMMYFUNCTION("""COMPUTED_VALUE"""),"")</f>
        <v/>
      </c>
      <c r="I1404" s="2" t="str">
        <f>IFERROR(__xludf.DUMMYFUNCTION("""COMPUTED_VALUE"""),"")</f>
        <v/>
      </c>
      <c r="J1404" s="2">
        <f>IFERROR(__xludf.DUMMYFUNCTION("""COMPUTED_VALUE"""),0.0)</f>
        <v>0</v>
      </c>
      <c r="K1404" s="5" t="str">
        <f>IFERROR(__xludf.DUMMYFUNCTION("""COMPUTED_VALUE"""),"")</f>
        <v/>
      </c>
      <c r="L1404" t="str">
        <f>IFERROR(__xludf.DUMMYFUNCTION("""COMPUTED_VALUE"""),"")</f>
        <v/>
      </c>
      <c r="M1404" t="str">
        <f>IFERROR(__xludf.DUMMYFUNCTION("""COMPUTED_VALUE"""),"")</f>
        <v/>
      </c>
      <c r="N1404" t="str">
        <f>IFERROR(__xludf.DUMMYFUNCTION("""COMPUTED_VALUE"""),"")</f>
        <v/>
      </c>
      <c r="O1404" t="str">
        <f>IFERROR(__xludf.DUMMYFUNCTION("""COMPUTED_VALUE"""),"")</f>
        <v/>
      </c>
      <c r="P1404" t="str">
        <f>IFERROR(__xludf.DUMMYFUNCTION("""COMPUTED_VALUE"""),"ID ")</f>
        <v>ID </v>
      </c>
    </row>
    <row r="1405">
      <c r="A1405" s="6" t="str">
        <f>IFERROR(__xludf.DUMMYFUNCTION("""COMPUTED_VALUE"""),"")</f>
        <v/>
      </c>
      <c r="C1405" t="str">
        <f>IFERROR(__xludf.DUMMYFUNCTION("""COMPUTED_VALUE"""),"")</f>
        <v/>
      </c>
      <c r="D1405" t="str">
        <f>IFERROR(__xludf.DUMMYFUNCTION("""COMPUTED_VALUE"""),"")</f>
        <v/>
      </c>
      <c r="E1405" t="str">
        <f>IFERROR(__xludf.DUMMYFUNCTION("""COMPUTED_VALUE"""),"")</f>
        <v/>
      </c>
      <c r="F1405" t="str">
        <f>IFERROR(__xludf.DUMMYFUNCTION("""COMPUTED_VALUE"""),"")</f>
        <v/>
      </c>
      <c r="G1405" t="str">
        <f>IFERROR(__xludf.DUMMYFUNCTION("""COMPUTED_VALUE"""),"")</f>
        <v/>
      </c>
      <c r="H1405" s="2" t="str">
        <f>IFERROR(__xludf.DUMMYFUNCTION("""COMPUTED_VALUE"""),"")</f>
        <v/>
      </c>
      <c r="I1405" s="2" t="str">
        <f>IFERROR(__xludf.DUMMYFUNCTION("""COMPUTED_VALUE"""),"")</f>
        <v/>
      </c>
      <c r="J1405" s="2">
        <f>IFERROR(__xludf.DUMMYFUNCTION("""COMPUTED_VALUE"""),0.0)</f>
        <v>0</v>
      </c>
      <c r="K1405" s="5" t="str">
        <f>IFERROR(__xludf.DUMMYFUNCTION("""COMPUTED_VALUE"""),"")</f>
        <v/>
      </c>
      <c r="L1405" t="str">
        <f>IFERROR(__xludf.DUMMYFUNCTION("""COMPUTED_VALUE"""),"")</f>
        <v/>
      </c>
      <c r="M1405" t="str">
        <f>IFERROR(__xludf.DUMMYFUNCTION("""COMPUTED_VALUE"""),"")</f>
        <v/>
      </c>
      <c r="N1405" t="str">
        <f>IFERROR(__xludf.DUMMYFUNCTION("""COMPUTED_VALUE"""),"")</f>
        <v/>
      </c>
      <c r="O1405" t="str">
        <f>IFERROR(__xludf.DUMMYFUNCTION("""COMPUTED_VALUE"""),"")</f>
        <v/>
      </c>
      <c r="P1405" t="str">
        <f>IFERROR(__xludf.DUMMYFUNCTION("""COMPUTED_VALUE"""),"ID ")</f>
        <v>ID </v>
      </c>
    </row>
    <row r="1406">
      <c r="A1406" s="6" t="str">
        <f>IFERROR(__xludf.DUMMYFUNCTION("""COMPUTED_VALUE"""),"")</f>
        <v/>
      </c>
      <c r="C1406" t="str">
        <f>IFERROR(__xludf.DUMMYFUNCTION("""COMPUTED_VALUE"""),"")</f>
        <v/>
      </c>
      <c r="D1406" t="str">
        <f>IFERROR(__xludf.DUMMYFUNCTION("""COMPUTED_VALUE"""),"")</f>
        <v/>
      </c>
      <c r="E1406" t="str">
        <f>IFERROR(__xludf.DUMMYFUNCTION("""COMPUTED_VALUE"""),"")</f>
        <v/>
      </c>
      <c r="F1406" t="str">
        <f>IFERROR(__xludf.DUMMYFUNCTION("""COMPUTED_VALUE"""),"")</f>
        <v/>
      </c>
      <c r="G1406" t="str">
        <f>IFERROR(__xludf.DUMMYFUNCTION("""COMPUTED_VALUE"""),"")</f>
        <v/>
      </c>
      <c r="H1406" s="2" t="str">
        <f>IFERROR(__xludf.DUMMYFUNCTION("""COMPUTED_VALUE"""),"")</f>
        <v/>
      </c>
      <c r="I1406" s="2" t="str">
        <f>IFERROR(__xludf.DUMMYFUNCTION("""COMPUTED_VALUE"""),"")</f>
        <v/>
      </c>
      <c r="J1406" s="2">
        <f>IFERROR(__xludf.DUMMYFUNCTION("""COMPUTED_VALUE"""),0.0)</f>
        <v>0</v>
      </c>
      <c r="K1406" s="5" t="str">
        <f>IFERROR(__xludf.DUMMYFUNCTION("""COMPUTED_VALUE"""),"")</f>
        <v/>
      </c>
      <c r="L1406" t="str">
        <f>IFERROR(__xludf.DUMMYFUNCTION("""COMPUTED_VALUE"""),"")</f>
        <v/>
      </c>
      <c r="M1406" t="str">
        <f>IFERROR(__xludf.DUMMYFUNCTION("""COMPUTED_VALUE"""),"")</f>
        <v/>
      </c>
      <c r="N1406" t="str">
        <f>IFERROR(__xludf.DUMMYFUNCTION("""COMPUTED_VALUE"""),"")</f>
        <v/>
      </c>
      <c r="O1406" t="str">
        <f>IFERROR(__xludf.DUMMYFUNCTION("""COMPUTED_VALUE"""),"")</f>
        <v/>
      </c>
      <c r="P1406" t="str">
        <f>IFERROR(__xludf.DUMMYFUNCTION("""COMPUTED_VALUE"""),"ID ")</f>
        <v>ID </v>
      </c>
    </row>
    <row r="1407">
      <c r="A1407" s="6" t="str">
        <f>IFERROR(__xludf.DUMMYFUNCTION("""COMPUTED_VALUE"""),"")</f>
        <v/>
      </c>
      <c r="C1407" t="str">
        <f>IFERROR(__xludf.DUMMYFUNCTION("""COMPUTED_VALUE"""),"")</f>
        <v/>
      </c>
      <c r="D1407" t="str">
        <f>IFERROR(__xludf.DUMMYFUNCTION("""COMPUTED_VALUE"""),"")</f>
        <v/>
      </c>
      <c r="E1407" t="str">
        <f>IFERROR(__xludf.DUMMYFUNCTION("""COMPUTED_VALUE"""),"")</f>
        <v/>
      </c>
      <c r="F1407" t="str">
        <f>IFERROR(__xludf.DUMMYFUNCTION("""COMPUTED_VALUE"""),"")</f>
        <v/>
      </c>
      <c r="G1407" t="str">
        <f>IFERROR(__xludf.DUMMYFUNCTION("""COMPUTED_VALUE"""),"")</f>
        <v/>
      </c>
      <c r="H1407" s="2" t="str">
        <f>IFERROR(__xludf.DUMMYFUNCTION("""COMPUTED_VALUE"""),"")</f>
        <v/>
      </c>
      <c r="I1407" s="2" t="str">
        <f>IFERROR(__xludf.DUMMYFUNCTION("""COMPUTED_VALUE"""),"")</f>
        <v/>
      </c>
      <c r="J1407" s="2">
        <f>IFERROR(__xludf.DUMMYFUNCTION("""COMPUTED_VALUE"""),0.0)</f>
        <v>0</v>
      </c>
      <c r="K1407" s="5" t="str">
        <f>IFERROR(__xludf.DUMMYFUNCTION("""COMPUTED_VALUE"""),"")</f>
        <v/>
      </c>
      <c r="L1407" t="str">
        <f>IFERROR(__xludf.DUMMYFUNCTION("""COMPUTED_VALUE"""),"")</f>
        <v/>
      </c>
      <c r="M1407" t="str">
        <f>IFERROR(__xludf.DUMMYFUNCTION("""COMPUTED_VALUE"""),"")</f>
        <v/>
      </c>
      <c r="N1407" t="str">
        <f>IFERROR(__xludf.DUMMYFUNCTION("""COMPUTED_VALUE"""),"")</f>
        <v/>
      </c>
      <c r="O1407" t="str">
        <f>IFERROR(__xludf.DUMMYFUNCTION("""COMPUTED_VALUE"""),"")</f>
        <v/>
      </c>
      <c r="P1407" t="str">
        <f>IFERROR(__xludf.DUMMYFUNCTION("""COMPUTED_VALUE"""),"ID ")</f>
        <v>ID </v>
      </c>
    </row>
    <row r="1408">
      <c r="A1408" s="6" t="str">
        <f>IFERROR(__xludf.DUMMYFUNCTION("""COMPUTED_VALUE"""),"")</f>
        <v/>
      </c>
      <c r="C1408" t="str">
        <f>IFERROR(__xludf.DUMMYFUNCTION("""COMPUTED_VALUE"""),"")</f>
        <v/>
      </c>
      <c r="D1408" t="str">
        <f>IFERROR(__xludf.DUMMYFUNCTION("""COMPUTED_VALUE"""),"")</f>
        <v/>
      </c>
      <c r="E1408" t="str">
        <f>IFERROR(__xludf.DUMMYFUNCTION("""COMPUTED_VALUE"""),"")</f>
        <v/>
      </c>
      <c r="F1408" t="str">
        <f>IFERROR(__xludf.DUMMYFUNCTION("""COMPUTED_VALUE"""),"")</f>
        <v/>
      </c>
      <c r="G1408" t="str">
        <f>IFERROR(__xludf.DUMMYFUNCTION("""COMPUTED_VALUE"""),"")</f>
        <v/>
      </c>
      <c r="H1408" s="2" t="str">
        <f>IFERROR(__xludf.DUMMYFUNCTION("""COMPUTED_VALUE"""),"")</f>
        <v/>
      </c>
      <c r="I1408" s="2" t="str">
        <f>IFERROR(__xludf.DUMMYFUNCTION("""COMPUTED_VALUE"""),"")</f>
        <v/>
      </c>
      <c r="J1408" s="2">
        <f>IFERROR(__xludf.DUMMYFUNCTION("""COMPUTED_VALUE"""),0.0)</f>
        <v>0</v>
      </c>
      <c r="K1408" s="5" t="str">
        <f>IFERROR(__xludf.DUMMYFUNCTION("""COMPUTED_VALUE"""),"")</f>
        <v/>
      </c>
      <c r="L1408" t="str">
        <f>IFERROR(__xludf.DUMMYFUNCTION("""COMPUTED_VALUE"""),"")</f>
        <v/>
      </c>
      <c r="M1408" t="str">
        <f>IFERROR(__xludf.DUMMYFUNCTION("""COMPUTED_VALUE"""),"")</f>
        <v/>
      </c>
      <c r="N1408" t="str">
        <f>IFERROR(__xludf.DUMMYFUNCTION("""COMPUTED_VALUE"""),"")</f>
        <v/>
      </c>
      <c r="O1408" t="str">
        <f>IFERROR(__xludf.DUMMYFUNCTION("""COMPUTED_VALUE"""),"")</f>
        <v/>
      </c>
      <c r="P1408" t="str">
        <f>IFERROR(__xludf.DUMMYFUNCTION("""COMPUTED_VALUE"""),"ID ")</f>
        <v>ID </v>
      </c>
    </row>
    <row r="1409">
      <c r="A1409" s="6" t="str">
        <f>IFERROR(__xludf.DUMMYFUNCTION("""COMPUTED_VALUE"""),"")</f>
        <v/>
      </c>
      <c r="C1409" t="str">
        <f>IFERROR(__xludf.DUMMYFUNCTION("""COMPUTED_VALUE"""),"")</f>
        <v/>
      </c>
      <c r="D1409" t="str">
        <f>IFERROR(__xludf.DUMMYFUNCTION("""COMPUTED_VALUE"""),"")</f>
        <v/>
      </c>
      <c r="E1409" t="str">
        <f>IFERROR(__xludf.DUMMYFUNCTION("""COMPUTED_VALUE"""),"")</f>
        <v/>
      </c>
      <c r="F1409" t="str">
        <f>IFERROR(__xludf.DUMMYFUNCTION("""COMPUTED_VALUE"""),"")</f>
        <v/>
      </c>
      <c r="G1409" t="str">
        <f>IFERROR(__xludf.DUMMYFUNCTION("""COMPUTED_VALUE"""),"")</f>
        <v/>
      </c>
      <c r="H1409" s="2" t="str">
        <f>IFERROR(__xludf.DUMMYFUNCTION("""COMPUTED_VALUE"""),"")</f>
        <v/>
      </c>
      <c r="I1409" s="2" t="str">
        <f>IFERROR(__xludf.DUMMYFUNCTION("""COMPUTED_VALUE"""),"")</f>
        <v/>
      </c>
      <c r="J1409" s="2">
        <f>IFERROR(__xludf.DUMMYFUNCTION("""COMPUTED_VALUE"""),0.0)</f>
        <v>0</v>
      </c>
      <c r="K1409" s="5" t="str">
        <f>IFERROR(__xludf.DUMMYFUNCTION("""COMPUTED_VALUE"""),"")</f>
        <v/>
      </c>
      <c r="L1409" t="str">
        <f>IFERROR(__xludf.DUMMYFUNCTION("""COMPUTED_VALUE"""),"")</f>
        <v/>
      </c>
      <c r="M1409" t="str">
        <f>IFERROR(__xludf.DUMMYFUNCTION("""COMPUTED_VALUE"""),"")</f>
        <v/>
      </c>
      <c r="N1409" t="str">
        <f>IFERROR(__xludf.DUMMYFUNCTION("""COMPUTED_VALUE"""),"")</f>
        <v/>
      </c>
      <c r="O1409" t="str">
        <f>IFERROR(__xludf.DUMMYFUNCTION("""COMPUTED_VALUE"""),"")</f>
        <v/>
      </c>
      <c r="P1409" t="str">
        <f>IFERROR(__xludf.DUMMYFUNCTION("""COMPUTED_VALUE"""),"ID ")</f>
        <v>ID </v>
      </c>
    </row>
    <row r="1410">
      <c r="A1410" s="6" t="str">
        <f>IFERROR(__xludf.DUMMYFUNCTION("""COMPUTED_VALUE"""),"")</f>
        <v/>
      </c>
      <c r="C1410" t="str">
        <f>IFERROR(__xludf.DUMMYFUNCTION("""COMPUTED_VALUE"""),"")</f>
        <v/>
      </c>
      <c r="D1410" t="str">
        <f>IFERROR(__xludf.DUMMYFUNCTION("""COMPUTED_VALUE"""),"")</f>
        <v/>
      </c>
      <c r="E1410" t="str">
        <f>IFERROR(__xludf.DUMMYFUNCTION("""COMPUTED_VALUE"""),"")</f>
        <v/>
      </c>
      <c r="F1410" t="str">
        <f>IFERROR(__xludf.DUMMYFUNCTION("""COMPUTED_VALUE"""),"")</f>
        <v/>
      </c>
      <c r="G1410" t="str">
        <f>IFERROR(__xludf.DUMMYFUNCTION("""COMPUTED_VALUE"""),"")</f>
        <v/>
      </c>
      <c r="H1410" s="2" t="str">
        <f>IFERROR(__xludf.DUMMYFUNCTION("""COMPUTED_VALUE"""),"")</f>
        <v/>
      </c>
      <c r="I1410" s="2" t="str">
        <f>IFERROR(__xludf.DUMMYFUNCTION("""COMPUTED_VALUE"""),"")</f>
        <v/>
      </c>
      <c r="J1410" s="2">
        <f>IFERROR(__xludf.DUMMYFUNCTION("""COMPUTED_VALUE"""),0.0)</f>
        <v>0</v>
      </c>
      <c r="K1410" s="5" t="str">
        <f>IFERROR(__xludf.DUMMYFUNCTION("""COMPUTED_VALUE"""),"")</f>
        <v/>
      </c>
      <c r="L1410" t="str">
        <f>IFERROR(__xludf.DUMMYFUNCTION("""COMPUTED_VALUE"""),"")</f>
        <v/>
      </c>
      <c r="M1410" t="str">
        <f>IFERROR(__xludf.DUMMYFUNCTION("""COMPUTED_VALUE"""),"")</f>
        <v/>
      </c>
      <c r="N1410" t="str">
        <f>IFERROR(__xludf.DUMMYFUNCTION("""COMPUTED_VALUE"""),"")</f>
        <v/>
      </c>
      <c r="O1410" t="str">
        <f>IFERROR(__xludf.DUMMYFUNCTION("""COMPUTED_VALUE"""),"")</f>
        <v/>
      </c>
      <c r="P1410" t="str">
        <f>IFERROR(__xludf.DUMMYFUNCTION("""COMPUTED_VALUE"""),"ID ")</f>
        <v>ID </v>
      </c>
    </row>
    <row r="1411">
      <c r="A1411" s="6" t="str">
        <f>IFERROR(__xludf.DUMMYFUNCTION("""COMPUTED_VALUE"""),"")</f>
        <v/>
      </c>
      <c r="C1411" t="str">
        <f>IFERROR(__xludf.DUMMYFUNCTION("""COMPUTED_VALUE"""),"")</f>
        <v/>
      </c>
      <c r="D1411" t="str">
        <f>IFERROR(__xludf.DUMMYFUNCTION("""COMPUTED_VALUE"""),"")</f>
        <v/>
      </c>
      <c r="E1411" t="str">
        <f>IFERROR(__xludf.DUMMYFUNCTION("""COMPUTED_VALUE"""),"")</f>
        <v/>
      </c>
      <c r="F1411" t="str">
        <f>IFERROR(__xludf.DUMMYFUNCTION("""COMPUTED_VALUE"""),"")</f>
        <v/>
      </c>
      <c r="G1411" t="str">
        <f>IFERROR(__xludf.DUMMYFUNCTION("""COMPUTED_VALUE"""),"")</f>
        <v/>
      </c>
      <c r="H1411" s="2" t="str">
        <f>IFERROR(__xludf.DUMMYFUNCTION("""COMPUTED_VALUE"""),"")</f>
        <v/>
      </c>
      <c r="I1411" s="2" t="str">
        <f>IFERROR(__xludf.DUMMYFUNCTION("""COMPUTED_VALUE"""),"")</f>
        <v/>
      </c>
      <c r="J1411" s="2">
        <f>IFERROR(__xludf.DUMMYFUNCTION("""COMPUTED_VALUE"""),0.0)</f>
        <v>0</v>
      </c>
      <c r="K1411" s="5" t="str">
        <f>IFERROR(__xludf.DUMMYFUNCTION("""COMPUTED_VALUE"""),"")</f>
        <v/>
      </c>
      <c r="L1411" t="str">
        <f>IFERROR(__xludf.DUMMYFUNCTION("""COMPUTED_VALUE"""),"")</f>
        <v/>
      </c>
      <c r="M1411" t="str">
        <f>IFERROR(__xludf.DUMMYFUNCTION("""COMPUTED_VALUE"""),"")</f>
        <v/>
      </c>
      <c r="N1411" t="str">
        <f>IFERROR(__xludf.DUMMYFUNCTION("""COMPUTED_VALUE"""),"")</f>
        <v/>
      </c>
      <c r="O1411" t="str">
        <f>IFERROR(__xludf.DUMMYFUNCTION("""COMPUTED_VALUE"""),"")</f>
        <v/>
      </c>
      <c r="P1411" t="str">
        <f>IFERROR(__xludf.DUMMYFUNCTION("""COMPUTED_VALUE"""),"ID ")</f>
        <v>ID </v>
      </c>
    </row>
    <row r="1412">
      <c r="A1412" s="6" t="str">
        <f>IFERROR(__xludf.DUMMYFUNCTION("""COMPUTED_VALUE"""),"")</f>
        <v/>
      </c>
      <c r="C1412" t="str">
        <f>IFERROR(__xludf.DUMMYFUNCTION("""COMPUTED_VALUE"""),"")</f>
        <v/>
      </c>
      <c r="D1412" t="str">
        <f>IFERROR(__xludf.DUMMYFUNCTION("""COMPUTED_VALUE"""),"")</f>
        <v/>
      </c>
      <c r="E1412" t="str">
        <f>IFERROR(__xludf.DUMMYFUNCTION("""COMPUTED_VALUE"""),"")</f>
        <v/>
      </c>
      <c r="F1412" t="str">
        <f>IFERROR(__xludf.DUMMYFUNCTION("""COMPUTED_VALUE"""),"")</f>
        <v/>
      </c>
      <c r="G1412" t="str">
        <f>IFERROR(__xludf.DUMMYFUNCTION("""COMPUTED_VALUE"""),"")</f>
        <v/>
      </c>
      <c r="H1412" s="2" t="str">
        <f>IFERROR(__xludf.DUMMYFUNCTION("""COMPUTED_VALUE"""),"")</f>
        <v/>
      </c>
      <c r="I1412" s="2" t="str">
        <f>IFERROR(__xludf.DUMMYFUNCTION("""COMPUTED_VALUE"""),"")</f>
        <v/>
      </c>
      <c r="J1412" s="2">
        <f>IFERROR(__xludf.DUMMYFUNCTION("""COMPUTED_VALUE"""),0.0)</f>
        <v>0</v>
      </c>
      <c r="K1412" s="5" t="str">
        <f>IFERROR(__xludf.DUMMYFUNCTION("""COMPUTED_VALUE"""),"")</f>
        <v/>
      </c>
      <c r="L1412" t="str">
        <f>IFERROR(__xludf.DUMMYFUNCTION("""COMPUTED_VALUE"""),"")</f>
        <v/>
      </c>
      <c r="M1412" t="str">
        <f>IFERROR(__xludf.DUMMYFUNCTION("""COMPUTED_VALUE"""),"")</f>
        <v/>
      </c>
      <c r="N1412" t="str">
        <f>IFERROR(__xludf.DUMMYFUNCTION("""COMPUTED_VALUE"""),"")</f>
        <v/>
      </c>
      <c r="O1412" t="str">
        <f>IFERROR(__xludf.DUMMYFUNCTION("""COMPUTED_VALUE"""),"")</f>
        <v/>
      </c>
      <c r="P1412" t="str">
        <f>IFERROR(__xludf.DUMMYFUNCTION("""COMPUTED_VALUE"""),"ID ")</f>
        <v>ID </v>
      </c>
    </row>
    <row r="1413">
      <c r="A1413" s="6" t="str">
        <f>IFERROR(__xludf.DUMMYFUNCTION("""COMPUTED_VALUE"""),"")</f>
        <v/>
      </c>
      <c r="C1413" t="str">
        <f>IFERROR(__xludf.DUMMYFUNCTION("""COMPUTED_VALUE"""),"")</f>
        <v/>
      </c>
      <c r="D1413" t="str">
        <f>IFERROR(__xludf.DUMMYFUNCTION("""COMPUTED_VALUE"""),"")</f>
        <v/>
      </c>
      <c r="E1413" t="str">
        <f>IFERROR(__xludf.DUMMYFUNCTION("""COMPUTED_VALUE"""),"")</f>
        <v/>
      </c>
      <c r="F1413" t="str">
        <f>IFERROR(__xludf.DUMMYFUNCTION("""COMPUTED_VALUE"""),"")</f>
        <v/>
      </c>
      <c r="G1413" t="str">
        <f>IFERROR(__xludf.DUMMYFUNCTION("""COMPUTED_VALUE"""),"")</f>
        <v/>
      </c>
      <c r="H1413" s="2" t="str">
        <f>IFERROR(__xludf.DUMMYFUNCTION("""COMPUTED_VALUE"""),"")</f>
        <v/>
      </c>
      <c r="I1413" s="2" t="str">
        <f>IFERROR(__xludf.DUMMYFUNCTION("""COMPUTED_VALUE"""),"")</f>
        <v/>
      </c>
      <c r="J1413" s="2">
        <f>IFERROR(__xludf.DUMMYFUNCTION("""COMPUTED_VALUE"""),0.0)</f>
        <v>0</v>
      </c>
      <c r="K1413" s="5" t="str">
        <f>IFERROR(__xludf.DUMMYFUNCTION("""COMPUTED_VALUE"""),"")</f>
        <v/>
      </c>
      <c r="L1413" t="str">
        <f>IFERROR(__xludf.DUMMYFUNCTION("""COMPUTED_VALUE"""),"")</f>
        <v/>
      </c>
      <c r="M1413" t="str">
        <f>IFERROR(__xludf.DUMMYFUNCTION("""COMPUTED_VALUE"""),"")</f>
        <v/>
      </c>
      <c r="N1413" t="str">
        <f>IFERROR(__xludf.DUMMYFUNCTION("""COMPUTED_VALUE"""),"")</f>
        <v/>
      </c>
      <c r="O1413" t="str">
        <f>IFERROR(__xludf.DUMMYFUNCTION("""COMPUTED_VALUE"""),"")</f>
        <v/>
      </c>
      <c r="P1413" t="str">
        <f>IFERROR(__xludf.DUMMYFUNCTION("""COMPUTED_VALUE"""),"ID ")</f>
        <v>ID </v>
      </c>
    </row>
    <row r="1414">
      <c r="A1414" s="6" t="str">
        <f>IFERROR(__xludf.DUMMYFUNCTION("""COMPUTED_VALUE"""),"")</f>
        <v/>
      </c>
      <c r="C1414" t="str">
        <f>IFERROR(__xludf.DUMMYFUNCTION("""COMPUTED_VALUE"""),"")</f>
        <v/>
      </c>
      <c r="D1414" t="str">
        <f>IFERROR(__xludf.DUMMYFUNCTION("""COMPUTED_VALUE"""),"")</f>
        <v/>
      </c>
      <c r="E1414" t="str">
        <f>IFERROR(__xludf.DUMMYFUNCTION("""COMPUTED_VALUE"""),"")</f>
        <v/>
      </c>
      <c r="F1414" t="str">
        <f>IFERROR(__xludf.DUMMYFUNCTION("""COMPUTED_VALUE"""),"")</f>
        <v/>
      </c>
      <c r="G1414" t="str">
        <f>IFERROR(__xludf.DUMMYFUNCTION("""COMPUTED_VALUE"""),"")</f>
        <v/>
      </c>
      <c r="H1414" s="2" t="str">
        <f>IFERROR(__xludf.DUMMYFUNCTION("""COMPUTED_VALUE"""),"")</f>
        <v/>
      </c>
      <c r="I1414" s="2" t="str">
        <f>IFERROR(__xludf.DUMMYFUNCTION("""COMPUTED_VALUE"""),"")</f>
        <v/>
      </c>
      <c r="J1414" s="2">
        <f>IFERROR(__xludf.DUMMYFUNCTION("""COMPUTED_VALUE"""),0.0)</f>
        <v>0</v>
      </c>
      <c r="K1414" s="5" t="str">
        <f>IFERROR(__xludf.DUMMYFUNCTION("""COMPUTED_VALUE"""),"")</f>
        <v/>
      </c>
      <c r="L1414" t="str">
        <f>IFERROR(__xludf.DUMMYFUNCTION("""COMPUTED_VALUE"""),"")</f>
        <v/>
      </c>
      <c r="M1414" t="str">
        <f>IFERROR(__xludf.DUMMYFUNCTION("""COMPUTED_VALUE"""),"")</f>
        <v/>
      </c>
      <c r="N1414" t="str">
        <f>IFERROR(__xludf.DUMMYFUNCTION("""COMPUTED_VALUE"""),"")</f>
        <v/>
      </c>
      <c r="O1414" t="str">
        <f>IFERROR(__xludf.DUMMYFUNCTION("""COMPUTED_VALUE"""),"")</f>
        <v/>
      </c>
      <c r="P1414" t="str">
        <f>IFERROR(__xludf.DUMMYFUNCTION("""COMPUTED_VALUE"""),"ID ")</f>
        <v>ID </v>
      </c>
    </row>
    <row r="1415">
      <c r="A1415" s="6" t="str">
        <f>IFERROR(__xludf.DUMMYFUNCTION("""COMPUTED_VALUE"""),"")</f>
        <v/>
      </c>
      <c r="C1415" t="str">
        <f>IFERROR(__xludf.DUMMYFUNCTION("""COMPUTED_VALUE"""),"")</f>
        <v/>
      </c>
      <c r="D1415" t="str">
        <f>IFERROR(__xludf.DUMMYFUNCTION("""COMPUTED_VALUE"""),"")</f>
        <v/>
      </c>
      <c r="E1415" t="str">
        <f>IFERROR(__xludf.DUMMYFUNCTION("""COMPUTED_VALUE"""),"")</f>
        <v/>
      </c>
      <c r="F1415" t="str">
        <f>IFERROR(__xludf.DUMMYFUNCTION("""COMPUTED_VALUE"""),"")</f>
        <v/>
      </c>
      <c r="G1415" t="str">
        <f>IFERROR(__xludf.DUMMYFUNCTION("""COMPUTED_VALUE"""),"")</f>
        <v/>
      </c>
      <c r="H1415" s="2" t="str">
        <f>IFERROR(__xludf.DUMMYFUNCTION("""COMPUTED_VALUE"""),"")</f>
        <v/>
      </c>
      <c r="I1415" s="2" t="str">
        <f>IFERROR(__xludf.DUMMYFUNCTION("""COMPUTED_VALUE"""),"")</f>
        <v/>
      </c>
      <c r="J1415" s="2">
        <f>IFERROR(__xludf.DUMMYFUNCTION("""COMPUTED_VALUE"""),0.0)</f>
        <v>0</v>
      </c>
      <c r="K1415" s="5" t="str">
        <f>IFERROR(__xludf.DUMMYFUNCTION("""COMPUTED_VALUE"""),"")</f>
        <v/>
      </c>
      <c r="L1415" t="str">
        <f>IFERROR(__xludf.DUMMYFUNCTION("""COMPUTED_VALUE"""),"")</f>
        <v/>
      </c>
      <c r="M1415" t="str">
        <f>IFERROR(__xludf.DUMMYFUNCTION("""COMPUTED_VALUE"""),"")</f>
        <v/>
      </c>
      <c r="N1415" t="str">
        <f>IFERROR(__xludf.DUMMYFUNCTION("""COMPUTED_VALUE"""),"")</f>
        <v/>
      </c>
      <c r="O1415" t="str">
        <f>IFERROR(__xludf.DUMMYFUNCTION("""COMPUTED_VALUE"""),"")</f>
        <v/>
      </c>
      <c r="P1415" t="str">
        <f>IFERROR(__xludf.DUMMYFUNCTION("""COMPUTED_VALUE"""),"ID ")</f>
        <v>ID </v>
      </c>
    </row>
    <row r="1416">
      <c r="A1416" s="6" t="str">
        <f>IFERROR(__xludf.DUMMYFUNCTION("""COMPUTED_VALUE"""),"")</f>
        <v/>
      </c>
      <c r="C1416" t="str">
        <f>IFERROR(__xludf.DUMMYFUNCTION("""COMPUTED_VALUE"""),"")</f>
        <v/>
      </c>
      <c r="D1416" t="str">
        <f>IFERROR(__xludf.DUMMYFUNCTION("""COMPUTED_VALUE"""),"")</f>
        <v/>
      </c>
      <c r="E1416" t="str">
        <f>IFERROR(__xludf.DUMMYFUNCTION("""COMPUTED_VALUE"""),"")</f>
        <v/>
      </c>
      <c r="F1416" t="str">
        <f>IFERROR(__xludf.DUMMYFUNCTION("""COMPUTED_VALUE"""),"")</f>
        <v/>
      </c>
      <c r="G1416" t="str">
        <f>IFERROR(__xludf.DUMMYFUNCTION("""COMPUTED_VALUE"""),"")</f>
        <v/>
      </c>
      <c r="H1416" s="2" t="str">
        <f>IFERROR(__xludf.DUMMYFUNCTION("""COMPUTED_VALUE"""),"")</f>
        <v/>
      </c>
      <c r="I1416" s="2" t="str">
        <f>IFERROR(__xludf.DUMMYFUNCTION("""COMPUTED_VALUE"""),"")</f>
        <v/>
      </c>
      <c r="J1416" s="2">
        <f>IFERROR(__xludf.DUMMYFUNCTION("""COMPUTED_VALUE"""),0.0)</f>
        <v>0</v>
      </c>
      <c r="K1416" s="5" t="str">
        <f>IFERROR(__xludf.DUMMYFUNCTION("""COMPUTED_VALUE"""),"")</f>
        <v/>
      </c>
      <c r="L1416" t="str">
        <f>IFERROR(__xludf.DUMMYFUNCTION("""COMPUTED_VALUE"""),"")</f>
        <v/>
      </c>
      <c r="M1416" t="str">
        <f>IFERROR(__xludf.DUMMYFUNCTION("""COMPUTED_VALUE"""),"")</f>
        <v/>
      </c>
      <c r="N1416" t="str">
        <f>IFERROR(__xludf.DUMMYFUNCTION("""COMPUTED_VALUE"""),"")</f>
        <v/>
      </c>
      <c r="O1416" t="str">
        <f>IFERROR(__xludf.DUMMYFUNCTION("""COMPUTED_VALUE"""),"")</f>
        <v/>
      </c>
      <c r="P1416" t="str">
        <f>IFERROR(__xludf.DUMMYFUNCTION("""COMPUTED_VALUE"""),"ID ")</f>
        <v>ID </v>
      </c>
    </row>
    <row r="1417">
      <c r="A1417" s="6" t="str">
        <f>IFERROR(__xludf.DUMMYFUNCTION("""COMPUTED_VALUE"""),"")</f>
        <v/>
      </c>
      <c r="C1417" t="str">
        <f>IFERROR(__xludf.DUMMYFUNCTION("""COMPUTED_VALUE"""),"")</f>
        <v/>
      </c>
      <c r="D1417" t="str">
        <f>IFERROR(__xludf.DUMMYFUNCTION("""COMPUTED_VALUE"""),"")</f>
        <v/>
      </c>
      <c r="E1417" t="str">
        <f>IFERROR(__xludf.DUMMYFUNCTION("""COMPUTED_VALUE"""),"")</f>
        <v/>
      </c>
      <c r="F1417" t="str">
        <f>IFERROR(__xludf.DUMMYFUNCTION("""COMPUTED_VALUE"""),"")</f>
        <v/>
      </c>
      <c r="G1417" t="str">
        <f>IFERROR(__xludf.DUMMYFUNCTION("""COMPUTED_VALUE"""),"")</f>
        <v/>
      </c>
      <c r="H1417" s="2" t="str">
        <f>IFERROR(__xludf.DUMMYFUNCTION("""COMPUTED_VALUE"""),"")</f>
        <v/>
      </c>
      <c r="I1417" s="2" t="str">
        <f>IFERROR(__xludf.DUMMYFUNCTION("""COMPUTED_VALUE"""),"")</f>
        <v/>
      </c>
      <c r="J1417" s="2">
        <f>IFERROR(__xludf.DUMMYFUNCTION("""COMPUTED_VALUE"""),0.0)</f>
        <v>0</v>
      </c>
      <c r="K1417" s="5" t="str">
        <f>IFERROR(__xludf.DUMMYFUNCTION("""COMPUTED_VALUE"""),"")</f>
        <v/>
      </c>
      <c r="L1417" t="str">
        <f>IFERROR(__xludf.DUMMYFUNCTION("""COMPUTED_VALUE"""),"")</f>
        <v/>
      </c>
      <c r="M1417" t="str">
        <f>IFERROR(__xludf.DUMMYFUNCTION("""COMPUTED_VALUE"""),"")</f>
        <v/>
      </c>
      <c r="N1417" t="str">
        <f>IFERROR(__xludf.DUMMYFUNCTION("""COMPUTED_VALUE"""),"")</f>
        <v/>
      </c>
      <c r="O1417" t="str">
        <f>IFERROR(__xludf.DUMMYFUNCTION("""COMPUTED_VALUE"""),"")</f>
        <v/>
      </c>
      <c r="P1417" t="str">
        <f>IFERROR(__xludf.DUMMYFUNCTION("""COMPUTED_VALUE"""),"ID ")</f>
        <v>ID </v>
      </c>
    </row>
    <row r="1418">
      <c r="A1418" s="6" t="str">
        <f>IFERROR(__xludf.DUMMYFUNCTION("""COMPUTED_VALUE"""),"")</f>
        <v/>
      </c>
      <c r="C1418" t="str">
        <f>IFERROR(__xludf.DUMMYFUNCTION("""COMPUTED_VALUE"""),"")</f>
        <v/>
      </c>
      <c r="D1418" t="str">
        <f>IFERROR(__xludf.DUMMYFUNCTION("""COMPUTED_VALUE"""),"")</f>
        <v/>
      </c>
      <c r="E1418" t="str">
        <f>IFERROR(__xludf.DUMMYFUNCTION("""COMPUTED_VALUE"""),"")</f>
        <v/>
      </c>
      <c r="F1418" t="str">
        <f>IFERROR(__xludf.DUMMYFUNCTION("""COMPUTED_VALUE"""),"")</f>
        <v/>
      </c>
      <c r="G1418" t="str">
        <f>IFERROR(__xludf.DUMMYFUNCTION("""COMPUTED_VALUE"""),"")</f>
        <v/>
      </c>
      <c r="H1418" s="2" t="str">
        <f>IFERROR(__xludf.DUMMYFUNCTION("""COMPUTED_VALUE"""),"")</f>
        <v/>
      </c>
      <c r="I1418" s="2" t="str">
        <f>IFERROR(__xludf.DUMMYFUNCTION("""COMPUTED_VALUE"""),"")</f>
        <v/>
      </c>
      <c r="J1418" s="2">
        <f>IFERROR(__xludf.DUMMYFUNCTION("""COMPUTED_VALUE"""),0.0)</f>
        <v>0</v>
      </c>
      <c r="K1418" s="5" t="str">
        <f>IFERROR(__xludf.DUMMYFUNCTION("""COMPUTED_VALUE"""),"")</f>
        <v/>
      </c>
      <c r="L1418" t="str">
        <f>IFERROR(__xludf.DUMMYFUNCTION("""COMPUTED_VALUE"""),"")</f>
        <v/>
      </c>
      <c r="M1418" t="str">
        <f>IFERROR(__xludf.DUMMYFUNCTION("""COMPUTED_VALUE"""),"")</f>
        <v/>
      </c>
      <c r="N1418" t="str">
        <f>IFERROR(__xludf.DUMMYFUNCTION("""COMPUTED_VALUE"""),"")</f>
        <v/>
      </c>
      <c r="O1418" t="str">
        <f>IFERROR(__xludf.DUMMYFUNCTION("""COMPUTED_VALUE"""),"")</f>
        <v/>
      </c>
      <c r="P1418" t="str">
        <f>IFERROR(__xludf.DUMMYFUNCTION("""COMPUTED_VALUE"""),"ID ")</f>
        <v>ID </v>
      </c>
    </row>
    <row r="1419">
      <c r="A1419" s="6" t="str">
        <f>IFERROR(__xludf.DUMMYFUNCTION("""COMPUTED_VALUE"""),"")</f>
        <v/>
      </c>
      <c r="C1419" t="str">
        <f>IFERROR(__xludf.DUMMYFUNCTION("""COMPUTED_VALUE"""),"")</f>
        <v/>
      </c>
      <c r="D1419" t="str">
        <f>IFERROR(__xludf.DUMMYFUNCTION("""COMPUTED_VALUE"""),"")</f>
        <v/>
      </c>
      <c r="E1419" t="str">
        <f>IFERROR(__xludf.DUMMYFUNCTION("""COMPUTED_VALUE"""),"")</f>
        <v/>
      </c>
      <c r="F1419" t="str">
        <f>IFERROR(__xludf.DUMMYFUNCTION("""COMPUTED_VALUE"""),"")</f>
        <v/>
      </c>
      <c r="G1419" t="str">
        <f>IFERROR(__xludf.DUMMYFUNCTION("""COMPUTED_VALUE"""),"")</f>
        <v/>
      </c>
      <c r="H1419" s="2" t="str">
        <f>IFERROR(__xludf.DUMMYFUNCTION("""COMPUTED_VALUE"""),"")</f>
        <v/>
      </c>
      <c r="I1419" s="2" t="str">
        <f>IFERROR(__xludf.DUMMYFUNCTION("""COMPUTED_VALUE"""),"")</f>
        <v/>
      </c>
      <c r="J1419" s="2">
        <f>IFERROR(__xludf.DUMMYFUNCTION("""COMPUTED_VALUE"""),0.0)</f>
        <v>0</v>
      </c>
      <c r="K1419" s="5" t="str">
        <f>IFERROR(__xludf.DUMMYFUNCTION("""COMPUTED_VALUE"""),"")</f>
        <v/>
      </c>
      <c r="L1419" t="str">
        <f>IFERROR(__xludf.DUMMYFUNCTION("""COMPUTED_VALUE"""),"")</f>
        <v/>
      </c>
      <c r="M1419" t="str">
        <f>IFERROR(__xludf.DUMMYFUNCTION("""COMPUTED_VALUE"""),"")</f>
        <v/>
      </c>
      <c r="N1419" t="str">
        <f>IFERROR(__xludf.DUMMYFUNCTION("""COMPUTED_VALUE"""),"")</f>
        <v/>
      </c>
      <c r="O1419" t="str">
        <f>IFERROR(__xludf.DUMMYFUNCTION("""COMPUTED_VALUE"""),"")</f>
        <v/>
      </c>
      <c r="P1419" t="str">
        <f>IFERROR(__xludf.DUMMYFUNCTION("""COMPUTED_VALUE"""),"ID ")</f>
        <v>ID </v>
      </c>
    </row>
    <row r="1420">
      <c r="A1420" s="6" t="str">
        <f>IFERROR(__xludf.DUMMYFUNCTION("""COMPUTED_VALUE"""),"")</f>
        <v/>
      </c>
      <c r="C1420" t="str">
        <f>IFERROR(__xludf.DUMMYFUNCTION("""COMPUTED_VALUE"""),"")</f>
        <v/>
      </c>
      <c r="D1420" t="str">
        <f>IFERROR(__xludf.DUMMYFUNCTION("""COMPUTED_VALUE"""),"")</f>
        <v/>
      </c>
      <c r="E1420" t="str">
        <f>IFERROR(__xludf.DUMMYFUNCTION("""COMPUTED_VALUE"""),"")</f>
        <v/>
      </c>
      <c r="F1420" t="str">
        <f>IFERROR(__xludf.DUMMYFUNCTION("""COMPUTED_VALUE"""),"")</f>
        <v/>
      </c>
      <c r="G1420" t="str">
        <f>IFERROR(__xludf.DUMMYFUNCTION("""COMPUTED_VALUE"""),"")</f>
        <v/>
      </c>
      <c r="H1420" s="2" t="str">
        <f>IFERROR(__xludf.DUMMYFUNCTION("""COMPUTED_VALUE"""),"")</f>
        <v/>
      </c>
      <c r="I1420" s="2" t="str">
        <f>IFERROR(__xludf.DUMMYFUNCTION("""COMPUTED_VALUE"""),"")</f>
        <v/>
      </c>
      <c r="J1420" s="2">
        <f>IFERROR(__xludf.DUMMYFUNCTION("""COMPUTED_VALUE"""),0.0)</f>
        <v>0</v>
      </c>
      <c r="K1420" s="5" t="str">
        <f>IFERROR(__xludf.DUMMYFUNCTION("""COMPUTED_VALUE"""),"")</f>
        <v/>
      </c>
      <c r="L1420" t="str">
        <f>IFERROR(__xludf.DUMMYFUNCTION("""COMPUTED_VALUE"""),"")</f>
        <v/>
      </c>
      <c r="M1420" t="str">
        <f>IFERROR(__xludf.DUMMYFUNCTION("""COMPUTED_VALUE"""),"")</f>
        <v/>
      </c>
      <c r="N1420" t="str">
        <f>IFERROR(__xludf.DUMMYFUNCTION("""COMPUTED_VALUE"""),"")</f>
        <v/>
      </c>
      <c r="O1420" t="str">
        <f>IFERROR(__xludf.DUMMYFUNCTION("""COMPUTED_VALUE"""),"")</f>
        <v/>
      </c>
      <c r="P1420" t="str">
        <f>IFERROR(__xludf.DUMMYFUNCTION("""COMPUTED_VALUE"""),"ID ")</f>
        <v>ID </v>
      </c>
    </row>
    <row r="1421">
      <c r="A1421" s="6" t="str">
        <f>IFERROR(__xludf.DUMMYFUNCTION("""COMPUTED_VALUE"""),"")</f>
        <v/>
      </c>
      <c r="C1421" t="str">
        <f>IFERROR(__xludf.DUMMYFUNCTION("""COMPUTED_VALUE"""),"")</f>
        <v/>
      </c>
      <c r="D1421" t="str">
        <f>IFERROR(__xludf.DUMMYFUNCTION("""COMPUTED_VALUE"""),"")</f>
        <v/>
      </c>
      <c r="E1421" t="str">
        <f>IFERROR(__xludf.DUMMYFUNCTION("""COMPUTED_VALUE"""),"")</f>
        <v/>
      </c>
      <c r="F1421" t="str">
        <f>IFERROR(__xludf.DUMMYFUNCTION("""COMPUTED_VALUE"""),"")</f>
        <v/>
      </c>
      <c r="G1421" t="str">
        <f>IFERROR(__xludf.DUMMYFUNCTION("""COMPUTED_VALUE"""),"")</f>
        <v/>
      </c>
      <c r="H1421" s="2" t="str">
        <f>IFERROR(__xludf.DUMMYFUNCTION("""COMPUTED_VALUE"""),"")</f>
        <v/>
      </c>
      <c r="I1421" s="2" t="str">
        <f>IFERROR(__xludf.DUMMYFUNCTION("""COMPUTED_VALUE"""),"")</f>
        <v/>
      </c>
      <c r="J1421" s="2">
        <f>IFERROR(__xludf.DUMMYFUNCTION("""COMPUTED_VALUE"""),0.0)</f>
        <v>0</v>
      </c>
      <c r="K1421" s="5" t="str">
        <f>IFERROR(__xludf.DUMMYFUNCTION("""COMPUTED_VALUE"""),"")</f>
        <v/>
      </c>
      <c r="L1421" t="str">
        <f>IFERROR(__xludf.DUMMYFUNCTION("""COMPUTED_VALUE"""),"")</f>
        <v/>
      </c>
      <c r="M1421" t="str">
        <f>IFERROR(__xludf.DUMMYFUNCTION("""COMPUTED_VALUE"""),"")</f>
        <v/>
      </c>
      <c r="N1421" t="str">
        <f>IFERROR(__xludf.DUMMYFUNCTION("""COMPUTED_VALUE"""),"")</f>
        <v/>
      </c>
      <c r="O1421" t="str">
        <f>IFERROR(__xludf.DUMMYFUNCTION("""COMPUTED_VALUE"""),"")</f>
        <v/>
      </c>
      <c r="P1421" t="str">
        <f>IFERROR(__xludf.DUMMYFUNCTION("""COMPUTED_VALUE"""),"ID ")</f>
        <v>ID </v>
      </c>
    </row>
    <row r="1422">
      <c r="A1422" s="6" t="str">
        <f>IFERROR(__xludf.DUMMYFUNCTION("""COMPUTED_VALUE"""),"")</f>
        <v/>
      </c>
      <c r="C1422" t="str">
        <f>IFERROR(__xludf.DUMMYFUNCTION("""COMPUTED_VALUE"""),"")</f>
        <v/>
      </c>
      <c r="D1422" t="str">
        <f>IFERROR(__xludf.DUMMYFUNCTION("""COMPUTED_VALUE"""),"")</f>
        <v/>
      </c>
      <c r="E1422" t="str">
        <f>IFERROR(__xludf.DUMMYFUNCTION("""COMPUTED_VALUE"""),"")</f>
        <v/>
      </c>
      <c r="F1422" t="str">
        <f>IFERROR(__xludf.DUMMYFUNCTION("""COMPUTED_VALUE"""),"")</f>
        <v/>
      </c>
      <c r="G1422" t="str">
        <f>IFERROR(__xludf.DUMMYFUNCTION("""COMPUTED_VALUE"""),"")</f>
        <v/>
      </c>
      <c r="H1422" s="2" t="str">
        <f>IFERROR(__xludf.DUMMYFUNCTION("""COMPUTED_VALUE"""),"")</f>
        <v/>
      </c>
      <c r="I1422" s="2" t="str">
        <f>IFERROR(__xludf.DUMMYFUNCTION("""COMPUTED_VALUE"""),"")</f>
        <v/>
      </c>
      <c r="J1422" s="2">
        <f>IFERROR(__xludf.DUMMYFUNCTION("""COMPUTED_VALUE"""),0.0)</f>
        <v>0</v>
      </c>
      <c r="K1422" s="5" t="str">
        <f>IFERROR(__xludf.DUMMYFUNCTION("""COMPUTED_VALUE"""),"")</f>
        <v/>
      </c>
      <c r="L1422" t="str">
        <f>IFERROR(__xludf.DUMMYFUNCTION("""COMPUTED_VALUE"""),"")</f>
        <v/>
      </c>
      <c r="M1422" t="str">
        <f>IFERROR(__xludf.DUMMYFUNCTION("""COMPUTED_VALUE"""),"")</f>
        <v/>
      </c>
      <c r="N1422" t="str">
        <f>IFERROR(__xludf.DUMMYFUNCTION("""COMPUTED_VALUE"""),"")</f>
        <v/>
      </c>
      <c r="O1422" t="str">
        <f>IFERROR(__xludf.DUMMYFUNCTION("""COMPUTED_VALUE"""),"")</f>
        <v/>
      </c>
      <c r="P1422" t="str">
        <f>IFERROR(__xludf.DUMMYFUNCTION("""COMPUTED_VALUE"""),"ID ")</f>
        <v>ID </v>
      </c>
    </row>
    <row r="1423">
      <c r="A1423" s="6" t="str">
        <f>IFERROR(__xludf.DUMMYFUNCTION("""COMPUTED_VALUE"""),"")</f>
        <v/>
      </c>
      <c r="C1423" t="str">
        <f>IFERROR(__xludf.DUMMYFUNCTION("""COMPUTED_VALUE"""),"")</f>
        <v/>
      </c>
      <c r="D1423" t="str">
        <f>IFERROR(__xludf.DUMMYFUNCTION("""COMPUTED_VALUE"""),"")</f>
        <v/>
      </c>
      <c r="E1423" t="str">
        <f>IFERROR(__xludf.DUMMYFUNCTION("""COMPUTED_VALUE"""),"")</f>
        <v/>
      </c>
      <c r="F1423" t="str">
        <f>IFERROR(__xludf.DUMMYFUNCTION("""COMPUTED_VALUE"""),"")</f>
        <v/>
      </c>
      <c r="G1423" t="str">
        <f>IFERROR(__xludf.DUMMYFUNCTION("""COMPUTED_VALUE"""),"")</f>
        <v/>
      </c>
      <c r="H1423" s="2" t="str">
        <f>IFERROR(__xludf.DUMMYFUNCTION("""COMPUTED_VALUE"""),"")</f>
        <v/>
      </c>
      <c r="I1423" s="2" t="str">
        <f>IFERROR(__xludf.DUMMYFUNCTION("""COMPUTED_VALUE"""),"")</f>
        <v/>
      </c>
      <c r="J1423" s="2">
        <f>IFERROR(__xludf.DUMMYFUNCTION("""COMPUTED_VALUE"""),0.0)</f>
        <v>0</v>
      </c>
      <c r="K1423" s="5" t="str">
        <f>IFERROR(__xludf.DUMMYFUNCTION("""COMPUTED_VALUE"""),"")</f>
        <v/>
      </c>
      <c r="L1423" t="str">
        <f>IFERROR(__xludf.DUMMYFUNCTION("""COMPUTED_VALUE"""),"")</f>
        <v/>
      </c>
      <c r="M1423" t="str">
        <f>IFERROR(__xludf.DUMMYFUNCTION("""COMPUTED_VALUE"""),"")</f>
        <v/>
      </c>
      <c r="N1423" t="str">
        <f>IFERROR(__xludf.DUMMYFUNCTION("""COMPUTED_VALUE"""),"")</f>
        <v/>
      </c>
      <c r="O1423" t="str">
        <f>IFERROR(__xludf.DUMMYFUNCTION("""COMPUTED_VALUE"""),"")</f>
        <v/>
      </c>
      <c r="P1423" t="str">
        <f>IFERROR(__xludf.DUMMYFUNCTION("""COMPUTED_VALUE"""),"ID ")</f>
        <v>ID </v>
      </c>
    </row>
    <row r="1424">
      <c r="A1424" s="6" t="str">
        <f>IFERROR(__xludf.DUMMYFUNCTION("""COMPUTED_VALUE"""),"")</f>
        <v/>
      </c>
      <c r="C1424" t="str">
        <f>IFERROR(__xludf.DUMMYFUNCTION("""COMPUTED_VALUE"""),"")</f>
        <v/>
      </c>
      <c r="D1424" t="str">
        <f>IFERROR(__xludf.DUMMYFUNCTION("""COMPUTED_VALUE"""),"")</f>
        <v/>
      </c>
      <c r="E1424" t="str">
        <f>IFERROR(__xludf.DUMMYFUNCTION("""COMPUTED_VALUE"""),"")</f>
        <v/>
      </c>
      <c r="F1424" t="str">
        <f>IFERROR(__xludf.DUMMYFUNCTION("""COMPUTED_VALUE"""),"")</f>
        <v/>
      </c>
      <c r="G1424" t="str">
        <f>IFERROR(__xludf.DUMMYFUNCTION("""COMPUTED_VALUE"""),"")</f>
        <v/>
      </c>
      <c r="H1424" s="2" t="str">
        <f>IFERROR(__xludf.DUMMYFUNCTION("""COMPUTED_VALUE"""),"")</f>
        <v/>
      </c>
      <c r="I1424" s="2" t="str">
        <f>IFERROR(__xludf.DUMMYFUNCTION("""COMPUTED_VALUE"""),"")</f>
        <v/>
      </c>
      <c r="J1424" s="2">
        <f>IFERROR(__xludf.DUMMYFUNCTION("""COMPUTED_VALUE"""),0.0)</f>
        <v>0</v>
      </c>
      <c r="K1424" s="5" t="str">
        <f>IFERROR(__xludf.DUMMYFUNCTION("""COMPUTED_VALUE"""),"")</f>
        <v/>
      </c>
      <c r="L1424" t="str">
        <f>IFERROR(__xludf.DUMMYFUNCTION("""COMPUTED_VALUE"""),"")</f>
        <v/>
      </c>
      <c r="M1424" t="str">
        <f>IFERROR(__xludf.DUMMYFUNCTION("""COMPUTED_VALUE"""),"")</f>
        <v/>
      </c>
      <c r="N1424" t="str">
        <f>IFERROR(__xludf.DUMMYFUNCTION("""COMPUTED_VALUE"""),"")</f>
        <v/>
      </c>
      <c r="O1424" t="str">
        <f>IFERROR(__xludf.DUMMYFUNCTION("""COMPUTED_VALUE"""),"")</f>
        <v/>
      </c>
      <c r="P1424" t="str">
        <f>IFERROR(__xludf.DUMMYFUNCTION("""COMPUTED_VALUE"""),"ID ")</f>
        <v>ID </v>
      </c>
    </row>
    <row r="1425">
      <c r="A1425" s="6" t="str">
        <f>IFERROR(__xludf.DUMMYFUNCTION("""COMPUTED_VALUE"""),"")</f>
        <v/>
      </c>
      <c r="C1425" t="str">
        <f>IFERROR(__xludf.DUMMYFUNCTION("""COMPUTED_VALUE"""),"")</f>
        <v/>
      </c>
      <c r="D1425" t="str">
        <f>IFERROR(__xludf.DUMMYFUNCTION("""COMPUTED_VALUE"""),"")</f>
        <v/>
      </c>
      <c r="E1425" t="str">
        <f>IFERROR(__xludf.DUMMYFUNCTION("""COMPUTED_VALUE"""),"")</f>
        <v/>
      </c>
      <c r="F1425" t="str">
        <f>IFERROR(__xludf.DUMMYFUNCTION("""COMPUTED_VALUE"""),"")</f>
        <v/>
      </c>
      <c r="G1425" t="str">
        <f>IFERROR(__xludf.DUMMYFUNCTION("""COMPUTED_VALUE"""),"")</f>
        <v/>
      </c>
      <c r="H1425" s="2" t="str">
        <f>IFERROR(__xludf.DUMMYFUNCTION("""COMPUTED_VALUE"""),"")</f>
        <v/>
      </c>
      <c r="I1425" s="2" t="str">
        <f>IFERROR(__xludf.DUMMYFUNCTION("""COMPUTED_VALUE"""),"")</f>
        <v/>
      </c>
      <c r="J1425" s="2">
        <f>IFERROR(__xludf.DUMMYFUNCTION("""COMPUTED_VALUE"""),0.0)</f>
        <v>0</v>
      </c>
      <c r="K1425" s="5" t="str">
        <f>IFERROR(__xludf.DUMMYFUNCTION("""COMPUTED_VALUE"""),"")</f>
        <v/>
      </c>
      <c r="L1425" t="str">
        <f>IFERROR(__xludf.DUMMYFUNCTION("""COMPUTED_VALUE"""),"")</f>
        <v/>
      </c>
      <c r="M1425" t="str">
        <f>IFERROR(__xludf.DUMMYFUNCTION("""COMPUTED_VALUE"""),"")</f>
        <v/>
      </c>
      <c r="N1425" t="str">
        <f>IFERROR(__xludf.DUMMYFUNCTION("""COMPUTED_VALUE"""),"")</f>
        <v/>
      </c>
      <c r="O1425" t="str">
        <f>IFERROR(__xludf.DUMMYFUNCTION("""COMPUTED_VALUE"""),"")</f>
        <v/>
      </c>
      <c r="P1425" t="str">
        <f>IFERROR(__xludf.DUMMYFUNCTION("""COMPUTED_VALUE"""),"ID ")</f>
        <v>ID </v>
      </c>
    </row>
    <row r="1426">
      <c r="A1426" s="6" t="str">
        <f>IFERROR(__xludf.DUMMYFUNCTION("""COMPUTED_VALUE"""),"")</f>
        <v/>
      </c>
      <c r="C1426" t="str">
        <f>IFERROR(__xludf.DUMMYFUNCTION("""COMPUTED_VALUE"""),"")</f>
        <v/>
      </c>
      <c r="D1426" t="str">
        <f>IFERROR(__xludf.DUMMYFUNCTION("""COMPUTED_VALUE"""),"")</f>
        <v/>
      </c>
      <c r="E1426" t="str">
        <f>IFERROR(__xludf.DUMMYFUNCTION("""COMPUTED_VALUE"""),"")</f>
        <v/>
      </c>
      <c r="F1426" t="str">
        <f>IFERROR(__xludf.DUMMYFUNCTION("""COMPUTED_VALUE"""),"")</f>
        <v/>
      </c>
      <c r="G1426" t="str">
        <f>IFERROR(__xludf.DUMMYFUNCTION("""COMPUTED_VALUE"""),"")</f>
        <v/>
      </c>
      <c r="H1426" s="2" t="str">
        <f>IFERROR(__xludf.DUMMYFUNCTION("""COMPUTED_VALUE"""),"")</f>
        <v/>
      </c>
      <c r="I1426" s="2" t="str">
        <f>IFERROR(__xludf.DUMMYFUNCTION("""COMPUTED_VALUE"""),"")</f>
        <v/>
      </c>
      <c r="J1426" s="2">
        <f>IFERROR(__xludf.DUMMYFUNCTION("""COMPUTED_VALUE"""),0.0)</f>
        <v>0</v>
      </c>
      <c r="K1426" s="5" t="str">
        <f>IFERROR(__xludf.DUMMYFUNCTION("""COMPUTED_VALUE"""),"")</f>
        <v/>
      </c>
      <c r="L1426" t="str">
        <f>IFERROR(__xludf.DUMMYFUNCTION("""COMPUTED_VALUE"""),"")</f>
        <v/>
      </c>
      <c r="M1426" t="str">
        <f>IFERROR(__xludf.DUMMYFUNCTION("""COMPUTED_VALUE"""),"")</f>
        <v/>
      </c>
      <c r="N1426" t="str">
        <f>IFERROR(__xludf.DUMMYFUNCTION("""COMPUTED_VALUE"""),"")</f>
        <v/>
      </c>
      <c r="O1426" t="str">
        <f>IFERROR(__xludf.DUMMYFUNCTION("""COMPUTED_VALUE"""),"")</f>
        <v/>
      </c>
      <c r="P1426" t="str">
        <f>IFERROR(__xludf.DUMMYFUNCTION("""COMPUTED_VALUE"""),"ID ")</f>
        <v>ID </v>
      </c>
    </row>
    <row r="1427">
      <c r="A1427" s="6" t="str">
        <f>IFERROR(__xludf.DUMMYFUNCTION("""COMPUTED_VALUE"""),"")</f>
        <v/>
      </c>
      <c r="C1427" t="str">
        <f>IFERROR(__xludf.DUMMYFUNCTION("""COMPUTED_VALUE"""),"")</f>
        <v/>
      </c>
      <c r="D1427" t="str">
        <f>IFERROR(__xludf.DUMMYFUNCTION("""COMPUTED_VALUE"""),"")</f>
        <v/>
      </c>
      <c r="E1427" t="str">
        <f>IFERROR(__xludf.DUMMYFUNCTION("""COMPUTED_VALUE"""),"")</f>
        <v/>
      </c>
      <c r="F1427" t="str">
        <f>IFERROR(__xludf.DUMMYFUNCTION("""COMPUTED_VALUE"""),"")</f>
        <v/>
      </c>
      <c r="G1427" t="str">
        <f>IFERROR(__xludf.DUMMYFUNCTION("""COMPUTED_VALUE"""),"")</f>
        <v/>
      </c>
      <c r="H1427" s="2" t="str">
        <f>IFERROR(__xludf.DUMMYFUNCTION("""COMPUTED_VALUE"""),"")</f>
        <v/>
      </c>
      <c r="I1427" s="2" t="str">
        <f>IFERROR(__xludf.DUMMYFUNCTION("""COMPUTED_VALUE"""),"")</f>
        <v/>
      </c>
      <c r="J1427" s="2">
        <f>IFERROR(__xludf.DUMMYFUNCTION("""COMPUTED_VALUE"""),0.0)</f>
        <v>0</v>
      </c>
      <c r="K1427" s="5" t="str">
        <f>IFERROR(__xludf.DUMMYFUNCTION("""COMPUTED_VALUE"""),"")</f>
        <v/>
      </c>
      <c r="L1427" t="str">
        <f>IFERROR(__xludf.DUMMYFUNCTION("""COMPUTED_VALUE"""),"")</f>
        <v/>
      </c>
      <c r="M1427" t="str">
        <f>IFERROR(__xludf.DUMMYFUNCTION("""COMPUTED_VALUE"""),"")</f>
        <v/>
      </c>
      <c r="N1427" t="str">
        <f>IFERROR(__xludf.DUMMYFUNCTION("""COMPUTED_VALUE"""),"")</f>
        <v/>
      </c>
      <c r="O1427" t="str">
        <f>IFERROR(__xludf.DUMMYFUNCTION("""COMPUTED_VALUE"""),"")</f>
        <v/>
      </c>
      <c r="P1427" t="str">
        <f>IFERROR(__xludf.DUMMYFUNCTION("""COMPUTED_VALUE"""),"ID ")</f>
        <v>ID </v>
      </c>
    </row>
    <row r="1428">
      <c r="A1428" s="6" t="str">
        <f>IFERROR(__xludf.DUMMYFUNCTION("""COMPUTED_VALUE"""),"")</f>
        <v/>
      </c>
      <c r="C1428" t="str">
        <f>IFERROR(__xludf.DUMMYFUNCTION("""COMPUTED_VALUE"""),"")</f>
        <v/>
      </c>
      <c r="D1428" t="str">
        <f>IFERROR(__xludf.DUMMYFUNCTION("""COMPUTED_VALUE"""),"")</f>
        <v/>
      </c>
      <c r="E1428" t="str">
        <f>IFERROR(__xludf.DUMMYFUNCTION("""COMPUTED_VALUE"""),"")</f>
        <v/>
      </c>
      <c r="F1428" t="str">
        <f>IFERROR(__xludf.DUMMYFUNCTION("""COMPUTED_VALUE"""),"")</f>
        <v/>
      </c>
      <c r="G1428" t="str">
        <f>IFERROR(__xludf.DUMMYFUNCTION("""COMPUTED_VALUE"""),"")</f>
        <v/>
      </c>
      <c r="H1428" s="2" t="str">
        <f>IFERROR(__xludf.DUMMYFUNCTION("""COMPUTED_VALUE"""),"")</f>
        <v/>
      </c>
      <c r="I1428" s="2" t="str">
        <f>IFERROR(__xludf.DUMMYFUNCTION("""COMPUTED_VALUE"""),"")</f>
        <v/>
      </c>
      <c r="J1428" s="2">
        <f>IFERROR(__xludf.DUMMYFUNCTION("""COMPUTED_VALUE"""),0.0)</f>
        <v>0</v>
      </c>
      <c r="K1428" s="5" t="str">
        <f>IFERROR(__xludf.DUMMYFUNCTION("""COMPUTED_VALUE"""),"")</f>
        <v/>
      </c>
      <c r="L1428" t="str">
        <f>IFERROR(__xludf.DUMMYFUNCTION("""COMPUTED_VALUE"""),"")</f>
        <v/>
      </c>
      <c r="M1428" t="str">
        <f>IFERROR(__xludf.DUMMYFUNCTION("""COMPUTED_VALUE"""),"")</f>
        <v/>
      </c>
      <c r="N1428" t="str">
        <f>IFERROR(__xludf.DUMMYFUNCTION("""COMPUTED_VALUE"""),"")</f>
        <v/>
      </c>
      <c r="O1428" t="str">
        <f>IFERROR(__xludf.DUMMYFUNCTION("""COMPUTED_VALUE"""),"")</f>
        <v/>
      </c>
      <c r="P1428" t="str">
        <f>IFERROR(__xludf.DUMMYFUNCTION("""COMPUTED_VALUE"""),"ID ")</f>
        <v>ID </v>
      </c>
    </row>
    <row r="1429">
      <c r="A1429" s="6" t="str">
        <f>IFERROR(__xludf.DUMMYFUNCTION("""COMPUTED_VALUE"""),"")</f>
        <v/>
      </c>
      <c r="C1429" t="str">
        <f>IFERROR(__xludf.DUMMYFUNCTION("""COMPUTED_VALUE"""),"")</f>
        <v/>
      </c>
      <c r="D1429" t="str">
        <f>IFERROR(__xludf.DUMMYFUNCTION("""COMPUTED_VALUE"""),"")</f>
        <v/>
      </c>
      <c r="E1429" t="str">
        <f>IFERROR(__xludf.DUMMYFUNCTION("""COMPUTED_VALUE"""),"")</f>
        <v/>
      </c>
      <c r="F1429" t="str">
        <f>IFERROR(__xludf.DUMMYFUNCTION("""COMPUTED_VALUE"""),"")</f>
        <v/>
      </c>
      <c r="G1429" t="str">
        <f>IFERROR(__xludf.DUMMYFUNCTION("""COMPUTED_VALUE"""),"")</f>
        <v/>
      </c>
      <c r="H1429" s="2" t="str">
        <f>IFERROR(__xludf.DUMMYFUNCTION("""COMPUTED_VALUE"""),"")</f>
        <v/>
      </c>
      <c r="I1429" s="2" t="str">
        <f>IFERROR(__xludf.DUMMYFUNCTION("""COMPUTED_VALUE"""),"")</f>
        <v/>
      </c>
      <c r="J1429" s="2">
        <f>IFERROR(__xludf.DUMMYFUNCTION("""COMPUTED_VALUE"""),0.0)</f>
        <v>0</v>
      </c>
      <c r="K1429" s="5" t="str">
        <f>IFERROR(__xludf.DUMMYFUNCTION("""COMPUTED_VALUE"""),"")</f>
        <v/>
      </c>
      <c r="L1429" t="str">
        <f>IFERROR(__xludf.DUMMYFUNCTION("""COMPUTED_VALUE"""),"")</f>
        <v/>
      </c>
      <c r="M1429" t="str">
        <f>IFERROR(__xludf.DUMMYFUNCTION("""COMPUTED_VALUE"""),"")</f>
        <v/>
      </c>
      <c r="N1429" t="str">
        <f>IFERROR(__xludf.DUMMYFUNCTION("""COMPUTED_VALUE"""),"")</f>
        <v/>
      </c>
      <c r="O1429" t="str">
        <f>IFERROR(__xludf.DUMMYFUNCTION("""COMPUTED_VALUE"""),"")</f>
        <v/>
      </c>
      <c r="P1429" t="str">
        <f>IFERROR(__xludf.DUMMYFUNCTION("""COMPUTED_VALUE"""),"ID ")</f>
        <v>ID </v>
      </c>
    </row>
    <row r="1430">
      <c r="A1430" s="6" t="str">
        <f>IFERROR(__xludf.DUMMYFUNCTION("""COMPUTED_VALUE"""),"")</f>
        <v/>
      </c>
      <c r="C1430" t="str">
        <f>IFERROR(__xludf.DUMMYFUNCTION("""COMPUTED_VALUE"""),"")</f>
        <v/>
      </c>
      <c r="D1430" t="str">
        <f>IFERROR(__xludf.DUMMYFUNCTION("""COMPUTED_VALUE"""),"")</f>
        <v/>
      </c>
      <c r="E1430" t="str">
        <f>IFERROR(__xludf.DUMMYFUNCTION("""COMPUTED_VALUE"""),"")</f>
        <v/>
      </c>
      <c r="F1430" t="str">
        <f>IFERROR(__xludf.DUMMYFUNCTION("""COMPUTED_VALUE"""),"")</f>
        <v/>
      </c>
      <c r="G1430" t="str">
        <f>IFERROR(__xludf.DUMMYFUNCTION("""COMPUTED_VALUE"""),"")</f>
        <v/>
      </c>
      <c r="H1430" s="2" t="str">
        <f>IFERROR(__xludf.DUMMYFUNCTION("""COMPUTED_VALUE"""),"")</f>
        <v/>
      </c>
      <c r="I1430" s="2" t="str">
        <f>IFERROR(__xludf.DUMMYFUNCTION("""COMPUTED_VALUE"""),"")</f>
        <v/>
      </c>
      <c r="J1430" s="2">
        <f>IFERROR(__xludf.DUMMYFUNCTION("""COMPUTED_VALUE"""),0.0)</f>
        <v>0</v>
      </c>
      <c r="K1430" s="5" t="str">
        <f>IFERROR(__xludf.DUMMYFUNCTION("""COMPUTED_VALUE"""),"")</f>
        <v/>
      </c>
      <c r="L1430" t="str">
        <f>IFERROR(__xludf.DUMMYFUNCTION("""COMPUTED_VALUE"""),"")</f>
        <v/>
      </c>
      <c r="M1430" t="str">
        <f>IFERROR(__xludf.DUMMYFUNCTION("""COMPUTED_VALUE"""),"")</f>
        <v/>
      </c>
      <c r="N1430" t="str">
        <f>IFERROR(__xludf.DUMMYFUNCTION("""COMPUTED_VALUE"""),"")</f>
        <v/>
      </c>
      <c r="O1430" t="str">
        <f>IFERROR(__xludf.DUMMYFUNCTION("""COMPUTED_VALUE"""),"")</f>
        <v/>
      </c>
      <c r="P1430" t="str">
        <f>IFERROR(__xludf.DUMMYFUNCTION("""COMPUTED_VALUE"""),"ID ")</f>
        <v>ID </v>
      </c>
    </row>
    <row r="1431">
      <c r="A1431" s="6" t="str">
        <f>IFERROR(__xludf.DUMMYFUNCTION("""COMPUTED_VALUE"""),"")</f>
        <v/>
      </c>
      <c r="C1431" t="str">
        <f>IFERROR(__xludf.DUMMYFUNCTION("""COMPUTED_VALUE"""),"")</f>
        <v/>
      </c>
      <c r="D1431" t="str">
        <f>IFERROR(__xludf.DUMMYFUNCTION("""COMPUTED_VALUE"""),"")</f>
        <v/>
      </c>
      <c r="E1431" t="str">
        <f>IFERROR(__xludf.DUMMYFUNCTION("""COMPUTED_VALUE"""),"")</f>
        <v/>
      </c>
      <c r="F1431" t="str">
        <f>IFERROR(__xludf.DUMMYFUNCTION("""COMPUTED_VALUE"""),"")</f>
        <v/>
      </c>
      <c r="G1431" t="str">
        <f>IFERROR(__xludf.DUMMYFUNCTION("""COMPUTED_VALUE"""),"")</f>
        <v/>
      </c>
      <c r="H1431" s="2" t="str">
        <f>IFERROR(__xludf.DUMMYFUNCTION("""COMPUTED_VALUE"""),"")</f>
        <v/>
      </c>
      <c r="I1431" s="2" t="str">
        <f>IFERROR(__xludf.DUMMYFUNCTION("""COMPUTED_VALUE"""),"")</f>
        <v/>
      </c>
      <c r="J1431" s="2">
        <f>IFERROR(__xludf.DUMMYFUNCTION("""COMPUTED_VALUE"""),0.0)</f>
        <v>0</v>
      </c>
      <c r="K1431" s="5" t="str">
        <f>IFERROR(__xludf.DUMMYFUNCTION("""COMPUTED_VALUE"""),"")</f>
        <v/>
      </c>
      <c r="L1431" t="str">
        <f>IFERROR(__xludf.DUMMYFUNCTION("""COMPUTED_VALUE"""),"")</f>
        <v/>
      </c>
      <c r="M1431" t="str">
        <f>IFERROR(__xludf.DUMMYFUNCTION("""COMPUTED_VALUE"""),"")</f>
        <v/>
      </c>
      <c r="N1431" t="str">
        <f>IFERROR(__xludf.DUMMYFUNCTION("""COMPUTED_VALUE"""),"")</f>
        <v/>
      </c>
      <c r="O1431" t="str">
        <f>IFERROR(__xludf.DUMMYFUNCTION("""COMPUTED_VALUE"""),"")</f>
        <v/>
      </c>
      <c r="P1431" t="str">
        <f>IFERROR(__xludf.DUMMYFUNCTION("""COMPUTED_VALUE"""),"ID ")</f>
        <v>ID </v>
      </c>
    </row>
    <row r="1432">
      <c r="A1432" s="6" t="str">
        <f>IFERROR(__xludf.DUMMYFUNCTION("""COMPUTED_VALUE"""),"")</f>
        <v/>
      </c>
      <c r="C1432" t="str">
        <f>IFERROR(__xludf.DUMMYFUNCTION("""COMPUTED_VALUE"""),"")</f>
        <v/>
      </c>
      <c r="D1432" t="str">
        <f>IFERROR(__xludf.DUMMYFUNCTION("""COMPUTED_VALUE"""),"")</f>
        <v/>
      </c>
      <c r="E1432" t="str">
        <f>IFERROR(__xludf.DUMMYFUNCTION("""COMPUTED_VALUE"""),"")</f>
        <v/>
      </c>
      <c r="F1432" t="str">
        <f>IFERROR(__xludf.DUMMYFUNCTION("""COMPUTED_VALUE"""),"")</f>
        <v/>
      </c>
      <c r="G1432" t="str">
        <f>IFERROR(__xludf.DUMMYFUNCTION("""COMPUTED_VALUE"""),"")</f>
        <v/>
      </c>
      <c r="H1432" s="2" t="str">
        <f>IFERROR(__xludf.DUMMYFUNCTION("""COMPUTED_VALUE"""),"")</f>
        <v/>
      </c>
      <c r="I1432" s="2" t="str">
        <f>IFERROR(__xludf.DUMMYFUNCTION("""COMPUTED_VALUE"""),"")</f>
        <v/>
      </c>
      <c r="J1432" s="2">
        <f>IFERROR(__xludf.DUMMYFUNCTION("""COMPUTED_VALUE"""),0.0)</f>
        <v>0</v>
      </c>
      <c r="K1432" s="5" t="str">
        <f>IFERROR(__xludf.DUMMYFUNCTION("""COMPUTED_VALUE"""),"")</f>
        <v/>
      </c>
      <c r="L1432" t="str">
        <f>IFERROR(__xludf.DUMMYFUNCTION("""COMPUTED_VALUE"""),"")</f>
        <v/>
      </c>
      <c r="M1432" t="str">
        <f>IFERROR(__xludf.DUMMYFUNCTION("""COMPUTED_VALUE"""),"")</f>
        <v/>
      </c>
      <c r="N1432" t="str">
        <f>IFERROR(__xludf.DUMMYFUNCTION("""COMPUTED_VALUE"""),"")</f>
        <v/>
      </c>
      <c r="O1432" t="str">
        <f>IFERROR(__xludf.DUMMYFUNCTION("""COMPUTED_VALUE"""),"")</f>
        <v/>
      </c>
      <c r="P1432" t="str">
        <f>IFERROR(__xludf.DUMMYFUNCTION("""COMPUTED_VALUE"""),"ID ")</f>
        <v>ID </v>
      </c>
    </row>
    <row r="1433">
      <c r="A1433" s="6" t="str">
        <f>IFERROR(__xludf.DUMMYFUNCTION("""COMPUTED_VALUE"""),"")</f>
        <v/>
      </c>
      <c r="C1433" t="str">
        <f>IFERROR(__xludf.DUMMYFUNCTION("""COMPUTED_VALUE"""),"")</f>
        <v/>
      </c>
      <c r="D1433" t="str">
        <f>IFERROR(__xludf.DUMMYFUNCTION("""COMPUTED_VALUE"""),"")</f>
        <v/>
      </c>
      <c r="E1433" t="str">
        <f>IFERROR(__xludf.DUMMYFUNCTION("""COMPUTED_VALUE"""),"")</f>
        <v/>
      </c>
      <c r="F1433" t="str">
        <f>IFERROR(__xludf.DUMMYFUNCTION("""COMPUTED_VALUE"""),"")</f>
        <v/>
      </c>
      <c r="G1433" t="str">
        <f>IFERROR(__xludf.DUMMYFUNCTION("""COMPUTED_VALUE"""),"")</f>
        <v/>
      </c>
      <c r="H1433" s="2" t="str">
        <f>IFERROR(__xludf.DUMMYFUNCTION("""COMPUTED_VALUE"""),"")</f>
        <v/>
      </c>
      <c r="I1433" s="2" t="str">
        <f>IFERROR(__xludf.DUMMYFUNCTION("""COMPUTED_VALUE"""),"")</f>
        <v/>
      </c>
      <c r="J1433" s="2">
        <f>IFERROR(__xludf.DUMMYFUNCTION("""COMPUTED_VALUE"""),0.0)</f>
        <v>0</v>
      </c>
      <c r="K1433" s="5" t="str">
        <f>IFERROR(__xludf.DUMMYFUNCTION("""COMPUTED_VALUE"""),"")</f>
        <v/>
      </c>
      <c r="L1433" t="str">
        <f>IFERROR(__xludf.DUMMYFUNCTION("""COMPUTED_VALUE"""),"")</f>
        <v/>
      </c>
      <c r="M1433" t="str">
        <f>IFERROR(__xludf.DUMMYFUNCTION("""COMPUTED_VALUE"""),"")</f>
        <v/>
      </c>
      <c r="N1433" t="str">
        <f>IFERROR(__xludf.DUMMYFUNCTION("""COMPUTED_VALUE"""),"")</f>
        <v/>
      </c>
      <c r="O1433" t="str">
        <f>IFERROR(__xludf.DUMMYFUNCTION("""COMPUTED_VALUE"""),"")</f>
        <v/>
      </c>
      <c r="P1433" t="str">
        <f>IFERROR(__xludf.DUMMYFUNCTION("""COMPUTED_VALUE"""),"ID ")</f>
        <v>ID </v>
      </c>
    </row>
    <row r="1434">
      <c r="A1434" s="6" t="str">
        <f>IFERROR(__xludf.DUMMYFUNCTION("""COMPUTED_VALUE"""),"")</f>
        <v/>
      </c>
      <c r="C1434" t="str">
        <f>IFERROR(__xludf.DUMMYFUNCTION("""COMPUTED_VALUE"""),"")</f>
        <v/>
      </c>
      <c r="D1434" t="str">
        <f>IFERROR(__xludf.DUMMYFUNCTION("""COMPUTED_VALUE"""),"")</f>
        <v/>
      </c>
      <c r="E1434" t="str">
        <f>IFERROR(__xludf.DUMMYFUNCTION("""COMPUTED_VALUE"""),"")</f>
        <v/>
      </c>
      <c r="F1434" t="str">
        <f>IFERROR(__xludf.DUMMYFUNCTION("""COMPUTED_VALUE"""),"")</f>
        <v/>
      </c>
      <c r="G1434" t="str">
        <f>IFERROR(__xludf.DUMMYFUNCTION("""COMPUTED_VALUE"""),"")</f>
        <v/>
      </c>
      <c r="H1434" s="2" t="str">
        <f>IFERROR(__xludf.DUMMYFUNCTION("""COMPUTED_VALUE"""),"")</f>
        <v/>
      </c>
      <c r="I1434" s="2" t="str">
        <f>IFERROR(__xludf.DUMMYFUNCTION("""COMPUTED_VALUE"""),"")</f>
        <v/>
      </c>
      <c r="J1434" s="2">
        <f>IFERROR(__xludf.DUMMYFUNCTION("""COMPUTED_VALUE"""),0.0)</f>
        <v>0</v>
      </c>
      <c r="K1434" s="5" t="str">
        <f>IFERROR(__xludf.DUMMYFUNCTION("""COMPUTED_VALUE"""),"")</f>
        <v/>
      </c>
      <c r="L1434" t="str">
        <f>IFERROR(__xludf.DUMMYFUNCTION("""COMPUTED_VALUE"""),"")</f>
        <v/>
      </c>
      <c r="M1434" t="str">
        <f>IFERROR(__xludf.DUMMYFUNCTION("""COMPUTED_VALUE"""),"")</f>
        <v/>
      </c>
      <c r="N1434" t="str">
        <f>IFERROR(__xludf.DUMMYFUNCTION("""COMPUTED_VALUE"""),"")</f>
        <v/>
      </c>
      <c r="O1434" t="str">
        <f>IFERROR(__xludf.DUMMYFUNCTION("""COMPUTED_VALUE"""),"")</f>
        <v/>
      </c>
      <c r="P1434" t="str">
        <f>IFERROR(__xludf.DUMMYFUNCTION("""COMPUTED_VALUE"""),"ID ")</f>
        <v>ID </v>
      </c>
    </row>
    <row r="1435">
      <c r="A1435" s="6" t="str">
        <f>IFERROR(__xludf.DUMMYFUNCTION("""COMPUTED_VALUE"""),"")</f>
        <v/>
      </c>
      <c r="C1435" t="str">
        <f>IFERROR(__xludf.DUMMYFUNCTION("""COMPUTED_VALUE"""),"")</f>
        <v/>
      </c>
      <c r="D1435" t="str">
        <f>IFERROR(__xludf.DUMMYFUNCTION("""COMPUTED_VALUE"""),"")</f>
        <v/>
      </c>
      <c r="E1435" t="str">
        <f>IFERROR(__xludf.DUMMYFUNCTION("""COMPUTED_VALUE"""),"")</f>
        <v/>
      </c>
      <c r="F1435" t="str">
        <f>IFERROR(__xludf.DUMMYFUNCTION("""COMPUTED_VALUE"""),"")</f>
        <v/>
      </c>
      <c r="G1435" t="str">
        <f>IFERROR(__xludf.DUMMYFUNCTION("""COMPUTED_VALUE"""),"")</f>
        <v/>
      </c>
      <c r="H1435" s="2" t="str">
        <f>IFERROR(__xludf.DUMMYFUNCTION("""COMPUTED_VALUE"""),"")</f>
        <v/>
      </c>
      <c r="I1435" s="2" t="str">
        <f>IFERROR(__xludf.DUMMYFUNCTION("""COMPUTED_VALUE"""),"")</f>
        <v/>
      </c>
      <c r="J1435" s="2">
        <f>IFERROR(__xludf.DUMMYFUNCTION("""COMPUTED_VALUE"""),0.0)</f>
        <v>0</v>
      </c>
      <c r="K1435" s="5" t="str">
        <f>IFERROR(__xludf.DUMMYFUNCTION("""COMPUTED_VALUE"""),"")</f>
        <v/>
      </c>
      <c r="L1435" t="str">
        <f>IFERROR(__xludf.DUMMYFUNCTION("""COMPUTED_VALUE"""),"")</f>
        <v/>
      </c>
      <c r="M1435" t="str">
        <f>IFERROR(__xludf.DUMMYFUNCTION("""COMPUTED_VALUE"""),"")</f>
        <v/>
      </c>
      <c r="N1435" t="str">
        <f>IFERROR(__xludf.DUMMYFUNCTION("""COMPUTED_VALUE"""),"")</f>
        <v/>
      </c>
      <c r="O1435" t="str">
        <f>IFERROR(__xludf.DUMMYFUNCTION("""COMPUTED_VALUE"""),"")</f>
        <v/>
      </c>
      <c r="P1435" t="str">
        <f>IFERROR(__xludf.DUMMYFUNCTION("""COMPUTED_VALUE"""),"ID ")</f>
        <v>ID </v>
      </c>
    </row>
    <row r="1436">
      <c r="A1436" s="6" t="str">
        <f>IFERROR(__xludf.DUMMYFUNCTION("""COMPUTED_VALUE"""),"")</f>
        <v/>
      </c>
      <c r="C1436" t="str">
        <f>IFERROR(__xludf.DUMMYFUNCTION("""COMPUTED_VALUE"""),"")</f>
        <v/>
      </c>
      <c r="D1436" t="str">
        <f>IFERROR(__xludf.DUMMYFUNCTION("""COMPUTED_VALUE"""),"")</f>
        <v/>
      </c>
      <c r="E1436" t="str">
        <f>IFERROR(__xludf.DUMMYFUNCTION("""COMPUTED_VALUE"""),"")</f>
        <v/>
      </c>
      <c r="F1436" t="str">
        <f>IFERROR(__xludf.DUMMYFUNCTION("""COMPUTED_VALUE"""),"")</f>
        <v/>
      </c>
      <c r="G1436" t="str">
        <f>IFERROR(__xludf.DUMMYFUNCTION("""COMPUTED_VALUE"""),"")</f>
        <v/>
      </c>
      <c r="H1436" s="2" t="str">
        <f>IFERROR(__xludf.DUMMYFUNCTION("""COMPUTED_VALUE"""),"")</f>
        <v/>
      </c>
      <c r="I1436" s="2" t="str">
        <f>IFERROR(__xludf.DUMMYFUNCTION("""COMPUTED_VALUE"""),"")</f>
        <v/>
      </c>
      <c r="J1436" s="2">
        <f>IFERROR(__xludf.DUMMYFUNCTION("""COMPUTED_VALUE"""),0.0)</f>
        <v>0</v>
      </c>
      <c r="K1436" s="5" t="str">
        <f>IFERROR(__xludf.DUMMYFUNCTION("""COMPUTED_VALUE"""),"")</f>
        <v/>
      </c>
      <c r="L1436" t="str">
        <f>IFERROR(__xludf.DUMMYFUNCTION("""COMPUTED_VALUE"""),"")</f>
        <v/>
      </c>
      <c r="M1436" t="str">
        <f>IFERROR(__xludf.DUMMYFUNCTION("""COMPUTED_VALUE"""),"")</f>
        <v/>
      </c>
      <c r="N1436" t="str">
        <f>IFERROR(__xludf.DUMMYFUNCTION("""COMPUTED_VALUE"""),"")</f>
        <v/>
      </c>
      <c r="O1436" t="str">
        <f>IFERROR(__xludf.DUMMYFUNCTION("""COMPUTED_VALUE"""),"")</f>
        <v/>
      </c>
      <c r="P1436" t="str">
        <f>IFERROR(__xludf.DUMMYFUNCTION("""COMPUTED_VALUE"""),"ID ")</f>
        <v>ID </v>
      </c>
    </row>
    <row r="1437">
      <c r="A1437" s="6" t="str">
        <f>IFERROR(__xludf.DUMMYFUNCTION("""COMPUTED_VALUE"""),"")</f>
        <v/>
      </c>
      <c r="C1437" t="str">
        <f>IFERROR(__xludf.DUMMYFUNCTION("""COMPUTED_VALUE"""),"")</f>
        <v/>
      </c>
      <c r="D1437" t="str">
        <f>IFERROR(__xludf.DUMMYFUNCTION("""COMPUTED_VALUE"""),"")</f>
        <v/>
      </c>
      <c r="E1437" t="str">
        <f>IFERROR(__xludf.DUMMYFUNCTION("""COMPUTED_VALUE"""),"")</f>
        <v/>
      </c>
      <c r="F1437" t="str">
        <f>IFERROR(__xludf.DUMMYFUNCTION("""COMPUTED_VALUE"""),"")</f>
        <v/>
      </c>
      <c r="G1437" t="str">
        <f>IFERROR(__xludf.DUMMYFUNCTION("""COMPUTED_VALUE"""),"")</f>
        <v/>
      </c>
      <c r="H1437" s="2" t="str">
        <f>IFERROR(__xludf.DUMMYFUNCTION("""COMPUTED_VALUE"""),"")</f>
        <v/>
      </c>
      <c r="I1437" s="2" t="str">
        <f>IFERROR(__xludf.DUMMYFUNCTION("""COMPUTED_VALUE"""),"")</f>
        <v/>
      </c>
      <c r="J1437" s="2">
        <f>IFERROR(__xludf.DUMMYFUNCTION("""COMPUTED_VALUE"""),0.0)</f>
        <v>0</v>
      </c>
      <c r="K1437" s="5" t="str">
        <f>IFERROR(__xludf.DUMMYFUNCTION("""COMPUTED_VALUE"""),"")</f>
        <v/>
      </c>
      <c r="L1437" t="str">
        <f>IFERROR(__xludf.DUMMYFUNCTION("""COMPUTED_VALUE"""),"")</f>
        <v/>
      </c>
      <c r="M1437" t="str">
        <f>IFERROR(__xludf.DUMMYFUNCTION("""COMPUTED_VALUE"""),"")</f>
        <v/>
      </c>
      <c r="N1437" t="str">
        <f>IFERROR(__xludf.DUMMYFUNCTION("""COMPUTED_VALUE"""),"")</f>
        <v/>
      </c>
      <c r="O1437" t="str">
        <f>IFERROR(__xludf.DUMMYFUNCTION("""COMPUTED_VALUE"""),"")</f>
        <v/>
      </c>
      <c r="P1437" t="str">
        <f>IFERROR(__xludf.DUMMYFUNCTION("""COMPUTED_VALUE"""),"ID ")</f>
        <v>ID </v>
      </c>
    </row>
    <row r="1438">
      <c r="A1438" s="6" t="str">
        <f>IFERROR(__xludf.DUMMYFUNCTION("""COMPUTED_VALUE"""),"")</f>
        <v/>
      </c>
      <c r="C1438" t="str">
        <f>IFERROR(__xludf.DUMMYFUNCTION("""COMPUTED_VALUE"""),"")</f>
        <v/>
      </c>
      <c r="D1438" t="str">
        <f>IFERROR(__xludf.DUMMYFUNCTION("""COMPUTED_VALUE"""),"")</f>
        <v/>
      </c>
      <c r="E1438" t="str">
        <f>IFERROR(__xludf.DUMMYFUNCTION("""COMPUTED_VALUE"""),"")</f>
        <v/>
      </c>
      <c r="F1438" t="str">
        <f>IFERROR(__xludf.DUMMYFUNCTION("""COMPUTED_VALUE"""),"")</f>
        <v/>
      </c>
      <c r="G1438" t="str">
        <f>IFERROR(__xludf.DUMMYFUNCTION("""COMPUTED_VALUE"""),"")</f>
        <v/>
      </c>
      <c r="H1438" s="2" t="str">
        <f>IFERROR(__xludf.DUMMYFUNCTION("""COMPUTED_VALUE"""),"")</f>
        <v/>
      </c>
      <c r="I1438" s="2" t="str">
        <f>IFERROR(__xludf.DUMMYFUNCTION("""COMPUTED_VALUE"""),"")</f>
        <v/>
      </c>
      <c r="J1438" s="2">
        <f>IFERROR(__xludf.DUMMYFUNCTION("""COMPUTED_VALUE"""),0.0)</f>
        <v>0</v>
      </c>
      <c r="K1438" s="5" t="str">
        <f>IFERROR(__xludf.DUMMYFUNCTION("""COMPUTED_VALUE"""),"")</f>
        <v/>
      </c>
      <c r="L1438" t="str">
        <f>IFERROR(__xludf.DUMMYFUNCTION("""COMPUTED_VALUE"""),"")</f>
        <v/>
      </c>
      <c r="M1438" t="str">
        <f>IFERROR(__xludf.DUMMYFUNCTION("""COMPUTED_VALUE"""),"")</f>
        <v/>
      </c>
      <c r="N1438" t="str">
        <f>IFERROR(__xludf.DUMMYFUNCTION("""COMPUTED_VALUE"""),"")</f>
        <v/>
      </c>
      <c r="O1438" t="str">
        <f>IFERROR(__xludf.DUMMYFUNCTION("""COMPUTED_VALUE"""),"")</f>
        <v/>
      </c>
      <c r="P1438" t="str">
        <f>IFERROR(__xludf.DUMMYFUNCTION("""COMPUTED_VALUE"""),"ID ")</f>
        <v>ID </v>
      </c>
    </row>
    <row r="1439">
      <c r="A1439" s="6" t="str">
        <f>IFERROR(__xludf.DUMMYFUNCTION("""COMPUTED_VALUE"""),"")</f>
        <v/>
      </c>
      <c r="C1439" t="str">
        <f>IFERROR(__xludf.DUMMYFUNCTION("""COMPUTED_VALUE"""),"")</f>
        <v/>
      </c>
      <c r="D1439" t="str">
        <f>IFERROR(__xludf.DUMMYFUNCTION("""COMPUTED_VALUE"""),"")</f>
        <v/>
      </c>
      <c r="E1439" t="str">
        <f>IFERROR(__xludf.DUMMYFUNCTION("""COMPUTED_VALUE"""),"")</f>
        <v/>
      </c>
      <c r="F1439" t="str">
        <f>IFERROR(__xludf.DUMMYFUNCTION("""COMPUTED_VALUE"""),"")</f>
        <v/>
      </c>
      <c r="G1439" t="str">
        <f>IFERROR(__xludf.DUMMYFUNCTION("""COMPUTED_VALUE"""),"")</f>
        <v/>
      </c>
      <c r="H1439" s="2" t="str">
        <f>IFERROR(__xludf.DUMMYFUNCTION("""COMPUTED_VALUE"""),"")</f>
        <v/>
      </c>
      <c r="I1439" s="2" t="str">
        <f>IFERROR(__xludf.DUMMYFUNCTION("""COMPUTED_VALUE"""),"")</f>
        <v/>
      </c>
      <c r="J1439" s="2">
        <f>IFERROR(__xludf.DUMMYFUNCTION("""COMPUTED_VALUE"""),0.0)</f>
        <v>0</v>
      </c>
      <c r="K1439" s="5" t="str">
        <f>IFERROR(__xludf.DUMMYFUNCTION("""COMPUTED_VALUE"""),"")</f>
        <v/>
      </c>
      <c r="L1439" t="str">
        <f>IFERROR(__xludf.DUMMYFUNCTION("""COMPUTED_VALUE"""),"")</f>
        <v/>
      </c>
      <c r="M1439" t="str">
        <f>IFERROR(__xludf.DUMMYFUNCTION("""COMPUTED_VALUE"""),"")</f>
        <v/>
      </c>
      <c r="N1439" t="str">
        <f>IFERROR(__xludf.DUMMYFUNCTION("""COMPUTED_VALUE"""),"")</f>
        <v/>
      </c>
      <c r="O1439" t="str">
        <f>IFERROR(__xludf.DUMMYFUNCTION("""COMPUTED_VALUE"""),"")</f>
        <v/>
      </c>
      <c r="P1439" t="str">
        <f>IFERROR(__xludf.DUMMYFUNCTION("""COMPUTED_VALUE"""),"ID ")</f>
        <v>ID </v>
      </c>
    </row>
    <row r="1440">
      <c r="A1440" s="6" t="str">
        <f>IFERROR(__xludf.DUMMYFUNCTION("""COMPUTED_VALUE"""),"")</f>
        <v/>
      </c>
      <c r="C1440" t="str">
        <f>IFERROR(__xludf.DUMMYFUNCTION("""COMPUTED_VALUE"""),"")</f>
        <v/>
      </c>
      <c r="D1440" t="str">
        <f>IFERROR(__xludf.DUMMYFUNCTION("""COMPUTED_VALUE"""),"")</f>
        <v/>
      </c>
      <c r="E1440" t="str">
        <f>IFERROR(__xludf.DUMMYFUNCTION("""COMPUTED_VALUE"""),"")</f>
        <v/>
      </c>
      <c r="F1440" t="str">
        <f>IFERROR(__xludf.DUMMYFUNCTION("""COMPUTED_VALUE"""),"")</f>
        <v/>
      </c>
      <c r="G1440" t="str">
        <f>IFERROR(__xludf.DUMMYFUNCTION("""COMPUTED_VALUE"""),"")</f>
        <v/>
      </c>
      <c r="H1440" s="2" t="str">
        <f>IFERROR(__xludf.DUMMYFUNCTION("""COMPUTED_VALUE"""),"")</f>
        <v/>
      </c>
      <c r="I1440" s="2" t="str">
        <f>IFERROR(__xludf.DUMMYFUNCTION("""COMPUTED_VALUE"""),"")</f>
        <v/>
      </c>
      <c r="J1440" s="2">
        <f>IFERROR(__xludf.DUMMYFUNCTION("""COMPUTED_VALUE"""),0.0)</f>
        <v>0</v>
      </c>
      <c r="K1440" s="5" t="str">
        <f>IFERROR(__xludf.DUMMYFUNCTION("""COMPUTED_VALUE"""),"")</f>
        <v/>
      </c>
      <c r="L1440" t="str">
        <f>IFERROR(__xludf.DUMMYFUNCTION("""COMPUTED_VALUE"""),"")</f>
        <v/>
      </c>
      <c r="M1440" t="str">
        <f>IFERROR(__xludf.DUMMYFUNCTION("""COMPUTED_VALUE"""),"")</f>
        <v/>
      </c>
      <c r="N1440" t="str">
        <f>IFERROR(__xludf.DUMMYFUNCTION("""COMPUTED_VALUE"""),"")</f>
        <v/>
      </c>
      <c r="O1440" t="str">
        <f>IFERROR(__xludf.DUMMYFUNCTION("""COMPUTED_VALUE"""),"")</f>
        <v/>
      </c>
      <c r="P1440" t="str">
        <f>IFERROR(__xludf.DUMMYFUNCTION("""COMPUTED_VALUE"""),"ID ")</f>
        <v>ID </v>
      </c>
    </row>
    <row r="1441">
      <c r="A1441" s="6" t="str">
        <f>IFERROR(__xludf.DUMMYFUNCTION("""COMPUTED_VALUE"""),"")</f>
        <v/>
      </c>
      <c r="C1441" t="str">
        <f>IFERROR(__xludf.DUMMYFUNCTION("""COMPUTED_VALUE"""),"")</f>
        <v/>
      </c>
      <c r="D1441" t="str">
        <f>IFERROR(__xludf.DUMMYFUNCTION("""COMPUTED_VALUE"""),"")</f>
        <v/>
      </c>
      <c r="E1441" t="str">
        <f>IFERROR(__xludf.DUMMYFUNCTION("""COMPUTED_VALUE"""),"")</f>
        <v/>
      </c>
      <c r="F1441" t="str">
        <f>IFERROR(__xludf.DUMMYFUNCTION("""COMPUTED_VALUE"""),"")</f>
        <v/>
      </c>
      <c r="G1441" t="str">
        <f>IFERROR(__xludf.DUMMYFUNCTION("""COMPUTED_VALUE"""),"")</f>
        <v/>
      </c>
      <c r="H1441" s="2" t="str">
        <f>IFERROR(__xludf.DUMMYFUNCTION("""COMPUTED_VALUE"""),"")</f>
        <v/>
      </c>
      <c r="I1441" s="2" t="str">
        <f>IFERROR(__xludf.DUMMYFUNCTION("""COMPUTED_VALUE"""),"")</f>
        <v/>
      </c>
      <c r="J1441" s="2">
        <f>IFERROR(__xludf.DUMMYFUNCTION("""COMPUTED_VALUE"""),0.0)</f>
        <v>0</v>
      </c>
      <c r="K1441" s="5" t="str">
        <f>IFERROR(__xludf.DUMMYFUNCTION("""COMPUTED_VALUE"""),"")</f>
        <v/>
      </c>
      <c r="L1441" t="str">
        <f>IFERROR(__xludf.DUMMYFUNCTION("""COMPUTED_VALUE"""),"")</f>
        <v/>
      </c>
      <c r="M1441" t="str">
        <f>IFERROR(__xludf.DUMMYFUNCTION("""COMPUTED_VALUE"""),"")</f>
        <v/>
      </c>
      <c r="N1441" t="str">
        <f>IFERROR(__xludf.DUMMYFUNCTION("""COMPUTED_VALUE"""),"")</f>
        <v/>
      </c>
      <c r="O1441" t="str">
        <f>IFERROR(__xludf.DUMMYFUNCTION("""COMPUTED_VALUE"""),"")</f>
        <v/>
      </c>
      <c r="P1441" t="str">
        <f>IFERROR(__xludf.DUMMYFUNCTION("""COMPUTED_VALUE"""),"ID ")</f>
        <v>ID </v>
      </c>
    </row>
    <row r="1442">
      <c r="A1442" s="6" t="str">
        <f>IFERROR(__xludf.DUMMYFUNCTION("""COMPUTED_VALUE"""),"")</f>
        <v/>
      </c>
      <c r="C1442" t="str">
        <f>IFERROR(__xludf.DUMMYFUNCTION("""COMPUTED_VALUE"""),"")</f>
        <v/>
      </c>
      <c r="D1442" t="str">
        <f>IFERROR(__xludf.DUMMYFUNCTION("""COMPUTED_VALUE"""),"")</f>
        <v/>
      </c>
      <c r="E1442" t="str">
        <f>IFERROR(__xludf.DUMMYFUNCTION("""COMPUTED_VALUE"""),"")</f>
        <v/>
      </c>
      <c r="F1442" t="str">
        <f>IFERROR(__xludf.DUMMYFUNCTION("""COMPUTED_VALUE"""),"")</f>
        <v/>
      </c>
      <c r="G1442" t="str">
        <f>IFERROR(__xludf.DUMMYFUNCTION("""COMPUTED_VALUE"""),"")</f>
        <v/>
      </c>
      <c r="H1442" s="2" t="str">
        <f>IFERROR(__xludf.DUMMYFUNCTION("""COMPUTED_VALUE"""),"")</f>
        <v/>
      </c>
      <c r="I1442" s="2" t="str">
        <f>IFERROR(__xludf.DUMMYFUNCTION("""COMPUTED_VALUE"""),"")</f>
        <v/>
      </c>
      <c r="J1442" s="2">
        <f>IFERROR(__xludf.DUMMYFUNCTION("""COMPUTED_VALUE"""),0.0)</f>
        <v>0</v>
      </c>
      <c r="K1442" s="5" t="str">
        <f>IFERROR(__xludf.DUMMYFUNCTION("""COMPUTED_VALUE"""),"")</f>
        <v/>
      </c>
      <c r="L1442" t="str">
        <f>IFERROR(__xludf.DUMMYFUNCTION("""COMPUTED_VALUE"""),"")</f>
        <v/>
      </c>
      <c r="M1442" t="str">
        <f>IFERROR(__xludf.DUMMYFUNCTION("""COMPUTED_VALUE"""),"")</f>
        <v/>
      </c>
      <c r="N1442" t="str">
        <f>IFERROR(__xludf.DUMMYFUNCTION("""COMPUTED_VALUE"""),"")</f>
        <v/>
      </c>
      <c r="O1442" t="str">
        <f>IFERROR(__xludf.DUMMYFUNCTION("""COMPUTED_VALUE"""),"")</f>
        <v/>
      </c>
      <c r="P1442" t="str">
        <f>IFERROR(__xludf.DUMMYFUNCTION("""COMPUTED_VALUE"""),"ID ")</f>
        <v>ID </v>
      </c>
    </row>
    <row r="1443">
      <c r="A1443" s="6" t="str">
        <f>IFERROR(__xludf.DUMMYFUNCTION("""COMPUTED_VALUE"""),"")</f>
        <v/>
      </c>
      <c r="C1443" t="str">
        <f>IFERROR(__xludf.DUMMYFUNCTION("""COMPUTED_VALUE"""),"")</f>
        <v/>
      </c>
      <c r="D1443" t="str">
        <f>IFERROR(__xludf.DUMMYFUNCTION("""COMPUTED_VALUE"""),"")</f>
        <v/>
      </c>
      <c r="E1443" t="str">
        <f>IFERROR(__xludf.DUMMYFUNCTION("""COMPUTED_VALUE"""),"")</f>
        <v/>
      </c>
      <c r="F1443" t="str">
        <f>IFERROR(__xludf.DUMMYFUNCTION("""COMPUTED_VALUE"""),"")</f>
        <v/>
      </c>
      <c r="G1443" t="str">
        <f>IFERROR(__xludf.DUMMYFUNCTION("""COMPUTED_VALUE"""),"")</f>
        <v/>
      </c>
      <c r="H1443" s="2" t="str">
        <f>IFERROR(__xludf.DUMMYFUNCTION("""COMPUTED_VALUE"""),"")</f>
        <v/>
      </c>
      <c r="I1443" s="2" t="str">
        <f>IFERROR(__xludf.DUMMYFUNCTION("""COMPUTED_VALUE"""),"")</f>
        <v/>
      </c>
      <c r="J1443" s="2">
        <f>IFERROR(__xludf.DUMMYFUNCTION("""COMPUTED_VALUE"""),0.0)</f>
        <v>0</v>
      </c>
      <c r="K1443" s="5" t="str">
        <f>IFERROR(__xludf.DUMMYFUNCTION("""COMPUTED_VALUE"""),"")</f>
        <v/>
      </c>
      <c r="L1443" t="str">
        <f>IFERROR(__xludf.DUMMYFUNCTION("""COMPUTED_VALUE"""),"")</f>
        <v/>
      </c>
      <c r="M1443" t="str">
        <f>IFERROR(__xludf.DUMMYFUNCTION("""COMPUTED_VALUE"""),"")</f>
        <v/>
      </c>
      <c r="N1443" t="str">
        <f>IFERROR(__xludf.DUMMYFUNCTION("""COMPUTED_VALUE"""),"")</f>
        <v/>
      </c>
      <c r="O1443" t="str">
        <f>IFERROR(__xludf.DUMMYFUNCTION("""COMPUTED_VALUE"""),"")</f>
        <v/>
      </c>
      <c r="P1443" t="str">
        <f>IFERROR(__xludf.DUMMYFUNCTION("""COMPUTED_VALUE"""),"ID ")</f>
        <v>ID </v>
      </c>
    </row>
    <row r="1444">
      <c r="A1444" s="6" t="str">
        <f>IFERROR(__xludf.DUMMYFUNCTION("""COMPUTED_VALUE"""),"")</f>
        <v/>
      </c>
      <c r="C1444" t="str">
        <f>IFERROR(__xludf.DUMMYFUNCTION("""COMPUTED_VALUE"""),"")</f>
        <v/>
      </c>
      <c r="D1444" t="str">
        <f>IFERROR(__xludf.DUMMYFUNCTION("""COMPUTED_VALUE"""),"")</f>
        <v/>
      </c>
      <c r="E1444" t="str">
        <f>IFERROR(__xludf.DUMMYFUNCTION("""COMPUTED_VALUE"""),"")</f>
        <v/>
      </c>
      <c r="F1444" t="str">
        <f>IFERROR(__xludf.DUMMYFUNCTION("""COMPUTED_VALUE"""),"")</f>
        <v/>
      </c>
      <c r="G1444" t="str">
        <f>IFERROR(__xludf.DUMMYFUNCTION("""COMPUTED_VALUE"""),"")</f>
        <v/>
      </c>
      <c r="H1444" s="2" t="str">
        <f>IFERROR(__xludf.DUMMYFUNCTION("""COMPUTED_VALUE"""),"")</f>
        <v/>
      </c>
      <c r="I1444" s="2" t="str">
        <f>IFERROR(__xludf.DUMMYFUNCTION("""COMPUTED_VALUE"""),"")</f>
        <v/>
      </c>
      <c r="J1444" s="2">
        <f>IFERROR(__xludf.DUMMYFUNCTION("""COMPUTED_VALUE"""),0.0)</f>
        <v>0</v>
      </c>
      <c r="K1444" s="5" t="str">
        <f>IFERROR(__xludf.DUMMYFUNCTION("""COMPUTED_VALUE"""),"")</f>
        <v/>
      </c>
      <c r="L1444" t="str">
        <f>IFERROR(__xludf.DUMMYFUNCTION("""COMPUTED_VALUE"""),"")</f>
        <v/>
      </c>
      <c r="M1444" t="str">
        <f>IFERROR(__xludf.DUMMYFUNCTION("""COMPUTED_VALUE"""),"")</f>
        <v/>
      </c>
      <c r="N1444" t="str">
        <f>IFERROR(__xludf.DUMMYFUNCTION("""COMPUTED_VALUE"""),"")</f>
        <v/>
      </c>
      <c r="O1444" t="str">
        <f>IFERROR(__xludf.DUMMYFUNCTION("""COMPUTED_VALUE"""),"")</f>
        <v/>
      </c>
      <c r="P1444" t="str">
        <f>IFERROR(__xludf.DUMMYFUNCTION("""COMPUTED_VALUE"""),"ID ")</f>
        <v>ID </v>
      </c>
    </row>
    <row r="1445">
      <c r="A1445" s="6" t="str">
        <f>IFERROR(__xludf.DUMMYFUNCTION("""COMPUTED_VALUE"""),"")</f>
        <v/>
      </c>
      <c r="C1445" t="str">
        <f>IFERROR(__xludf.DUMMYFUNCTION("""COMPUTED_VALUE"""),"")</f>
        <v/>
      </c>
      <c r="D1445" t="str">
        <f>IFERROR(__xludf.DUMMYFUNCTION("""COMPUTED_VALUE"""),"")</f>
        <v/>
      </c>
      <c r="E1445" t="str">
        <f>IFERROR(__xludf.DUMMYFUNCTION("""COMPUTED_VALUE"""),"")</f>
        <v/>
      </c>
      <c r="F1445" t="str">
        <f>IFERROR(__xludf.DUMMYFUNCTION("""COMPUTED_VALUE"""),"")</f>
        <v/>
      </c>
      <c r="G1445" t="str">
        <f>IFERROR(__xludf.DUMMYFUNCTION("""COMPUTED_VALUE"""),"")</f>
        <v/>
      </c>
      <c r="H1445" s="2" t="str">
        <f>IFERROR(__xludf.DUMMYFUNCTION("""COMPUTED_VALUE"""),"")</f>
        <v/>
      </c>
      <c r="I1445" s="2" t="str">
        <f>IFERROR(__xludf.DUMMYFUNCTION("""COMPUTED_VALUE"""),"")</f>
        <v/>
      </c>
      <c r="J1445" s="2">
        <f>IFERROR(__xludf.DUMMYFUNCTION("""COMPUTED_VALUE"""),0.0)</f>
        <v>0</v>
      </c>
      <c r="K1445" s="5" t="str">
        <f>IFERROR(__xludf.DUMMYFUNCTION("""COMPUTED_VALUE"""),"")</f>
        <v/>
      </c>
      <c r="L1445" t="str">
        <f>IFERROR(__xludf.DUMMYFUNCTION("""COMPUTED_VALUE"""),"")</f>
        <v/>
      </c>
      <c r="M1445" t="str">
        <f>IFERROR(__xludf.DUMMYFUNCTION("""COMPUTED_VALUE"""),"")</f>
        <v/>
      </c>
      <c r="N1445" t="str">
        <f>IFERROR(__xludf.DUMMYFUNCTION("""COMPUTED_VALUE"""),"")</f>
        <v/>
      </c>
      <c r="O1445" t="str">
        <f>IFERROR(__xludf.DUMMYFUNCTION("""COMPUTED_VALUE"""),"")</f>
        <v/>
      </c>
      <c r="P1445" t="str">
        <f>IFERROR(__xludf.DUMMYFUNCTION("""COMPUTED_VALUE"""),"ID ")</f>
        <v>ID </v>
      </c>
    </row>
    <row r="1446">
      <c r="A1446" s="6" t="str">
        <f>IFERROR(__xludf.DUMMYFUNCTION("""COMPUTED_VALUE"""),"")</f>
        <v/>
      </c>
      <c r="C1446" t="str">
        <f>IFERROR(__xludf.DUMMYFUNCTION("""COMPUTED_VALUE"""),"")</f>
        <v/>
      </c>
      <c r="D1446" t="str">
        <f>IFERROR(__xludf.DUMMYFUNCTION("""COMPUTED_VALUE"""),"")</f>
        <v/>
      </c>
      <c r="E1446" t="str">
        <f>IFERROR(__xludf.DUMMYFUNCTION("""COMPUTED_VALUE"""),"")</f>
        <v/>
      </c>
      <c r="F1446" t="str">
        <f>IFERROR(__xludf.DUMMYFUNCTION("""COMPUTED_VALUE"""),"")</f>
        <v/>
      </c>
      <c r="G1446" t="str">
        <f>IFERROR(__xludf.DUMMYFUNCTION("""COMPUTED_VALUE"""),"")</f>
        <v/>
      </c>
      <c r="H1446" s="2" t="str">
        <f>IFERROR(__xludf.DUMMYFUNCTION("""COMPUTED_VALUE"""),"")</f>
        <v/>
      </c>
      <c r="I1446" s="2" t="str">
        <f>IFERROR(__xludf.DUMMYFUNCTION("""COMPUTED_VALUE"""),"")</f>
        <v/>
      </c>
      <c r="J1446" s="2">
        <f>IFERROR(__xludf.DUMMYFUNCTION("""COMPUTED_VALUE"""),0.0)</f>
        <v>0</v>
      </c>
      <c r="K1446" s="5" t="str">
        <f>IFERROR(__xludf.DUMMYFUNCTION("""COMPUTED_VALUE"""),"")</f>
        <v/>
      </c>
      <c r="L1446" t="str">
        <f>IFERROR(__xludf.DUMMYFUNCTION("""COMPUTED_VALUE"""),"")</f>
        <v/>
      </c>
      <c r="M1446" t="str">
        <f>IFERROR(__xludf.DUMMYFUNCTION("""COMPUTED_VALUE"""),"")</f>
        <v/>
      </c>
      <c r="N1446" t="str">
        <f>IFERROR(__xludf.DUMMYFUNCTION("""COMPUTED_VALUE"""),"")</f>
        <v/>
      </c>
      <c r="O1446" t="str">
        <f>IFERROR(__xludf.DUMMYFUNCTION("""COMPUTED_VALUE"""),"")</f>
        <v/>
      </c>
      <c r="P1446" t="str">
        <f>IFERROR(__xludf.DUMMYFUNCTION("""COMPUTED_VALUE"""),"ID ")</f>
        <v>ID </v>
      </c>
    </row>
    <row r="1447">
      <c r="A1447" s="6" t="str">
        <f>IFERROR(__xludf.DUMMYFUNCTION("""COMPUTED_VALUE"""),"")</f>
        <v/>
      </c>
      <c r="C1447" t="str">
        <f>IFERROR(__xludf.DUMMYFUNCTION("""COMPUTED_VALUE"""),"")</f>
        <v/>
      </c>
      <c r="D1447" t="str">
        <f>IFERROR(__xludf.DUMMYFUNCTION("""COMPUTED_VALUE"""),"")</f>
        <v/>
      </c>
      <c r="E1447" t="str">
        <f>IFERROR(__xludf.DUMMYFUNCTION("""COMPUTED_VALUE"""),"")</f>
        <v/>
      </c>
      <c r="F1447" t="str">
        <f>IFERROR(__xludf.DUMMYFUNCTION("""COMPUTED_VALUE"""),"")</f>
        <v/>
      </c>
      <c r="G1447" t="str">
        <f>IFERROR(__xludf.DUMMYFUNCTION("""COMPUTED_VALUE"""),"")</f>
        <v/>
      </c>
      <c r="H1447" s="2" t="str">
        <f>IFERROR(__xludf.DUMMYFUNCTION("""COMPUTED_VALUE"""),"")</f>
        <v/>
      </c>
      <c r="I1447" s="2" t="str">
        <f>IFERROR(__xludf.DUMMYFUNCTION("""COMPUTED_VALUE"""),"")</f>
        <v/>
      </c>
      <c r="J1447" s="2">
        <f>IFERROR(__xludf.DUMMYFUNCTION("""COMPUTED_VALUE"""),0.0)</f>
        <v>0</v>
      </c>
      <c r="K1447" s="5" t="str">
        <f>IFERROR(__xludf.DUMMYFUNCTION("""COMPUTED_VALUE"""),"")</f>
        <v/>
      </c>
      <c r="L1447" t="str">
        <f>IFERROR(__xludf.DUMMYFUNCTION("""COMPUTED_VALUE"""),"")</f>
        <v/>
      </c>
      <c r="M1447" t="str">
        <f>IFERROR(__xludf.DUMMYFUNCTION("""COMPUTED_VALUE"""),"")</f>
        <v/>
      </c>
      <c r="N1447" t="str">
        <f>IFERROR(__xludf.DUMMYFUNCTION("""COMPUTED_VALUE"""),"")</f>
        <v/>
      </c>
      <c r="O1447" t="str">
        <f>IFERROR(__xludf.DUMMYFUNCTION("""COMPUTED_VALUE"""),"")</f>
        <v/>
      </c>
      <c r="P1447" t="str">
        <f>IFERROR(__xludf.DUMMYFUNCTION("""COMPUTED_VALUE"""),"ID ")</f>
        <v>ID </v>
      </c>
    </row>
    <row r="1448">
      <c r="A1448" s="6" t="str">
        <f>IFERROR(__xludf.DUMMYFUNCTION("""COMPUTED_VALUE"""),"")</f>
        <v/>
      </c>
      <c r="C1448" t="str">
        <f>IFERROR(__xludf.DUMMYFUNCTION("""COMPUTED_VALUE"""),"")</f>
        <v/>
      </c>
      <c r="D1448" t="str">
        <f>IFERROR(__xludf.DUMMYFUNCTION("""COMPUTED_VALUE"""),"")</f>
        <v/>
      </c>
      <c r="E1448" t="str">
        <f>IFERROR(__xludf.DUMMYFUNCTION("""COMPUTED_VALUE"""),"")</f>
        <v/>
      </c>
      <c r="F1448" t="str">
        <f>IFERROR(__xludf.DUMMYFUNCTION("""COMPUTED_VALUE"""),"")</f>
        <v/>
      </c>
      <c r="G1448" t="str">
        <f>IFERROR(__xludf.DUMMYFUNCTION("""COMPUTED_VALUE"""),"")</f>
        <v/>
      </c>
      <c r="H1448" s="2" t="str">
        <f>IFERROR(__xludf.DUMMYFUNCTION("""COMPUTED_VALUE"""),"")</f>
        <v/>
      </c>
      <c r="I1448" s="2" t="str">
        <f>IFERROR(__xludf.DUMMYFUNCTION("""COMPUTED_VALUE"""),"")</f>
        <v/>
      </c>
      <c r="J1448" s="2">
        <f>IFERROR(__xludf.DUMMYFUNCTION("""COMPUTED_VALUE"""),0.0)</f>
        <v>0</v>
      </c>
      <c r="K1448" s="5" t="str">
        <f>IFERROR(__xludf.DUMMYFUNCTION("""COMPUTED_VALUE"""),"")</f>
        <v/>
      </c>
      <c r="L1448" t="str">
        <f>IFERROR(__xludf.DUMMYFUNCTION("""COMPUTED_VALUE"""),"")</f>
        <v/>
      </c>
      <c r="M1448" t="str">
        <f>IFERROR(__xludf.DUMMYFUNCTION("""COMPUTED_VALUE"""),"")</f>
        <v/>
      </c>
      <c r="N1448" t="str">
        <f>IFERROR(__xludf.DUMMYFUNCTION("""COMPUTED_VALUE"""),"")</f>
        <v/>
      </c>
      <c r="O1448" t="str">
        <f>IFERROR(__xludf.DUMMYFUNCTION("""COMPUTED_VALUE"""),"")</f>
        <v/>
      </c>
      <c r="P1448" t="str">
        <f>IFERROR(__xludf.DUMMYFUNCTION("""COMPUTED_VALUE"""),"ID ")</f>
        <v>ID </v>
      </c>
    </row>
    <row r="1449">
      <c r="A1449" s="6" t="str">
        <f>IFERROR(__xludf.DUMMYFUNCTION("""COMPUTED_VALUE"""),"")</f>
        <v/>
      </c>
      <c r="C1449" t="str">
        <f>IFERROR(__xludf.DUMMYFUNCTION("""COMPUTED_VALUE"""),"")</f>
        <v/>
      </c>
      <c r="D1449" t="str">
        <f>IFERROR(__xludf.DUMMYFUNCTION("""COMPUTED_VALUE"""),"")</f>
        <v/>
      </c>
      <c r="E1449" t="str">
        <f>IFERROR(__xludf.DUMMYFUNCTION("""COMPUTED_VALUE"""),"")</f>
        <v/>
      </c>
      <c r="F1449" t="str">
        <f>IFERROR(__xludf.DUMMYFUNCTION("""COMPUTED_VALUE"""),"")</f>
        <v/>
      </c>
      <c r="G1449" t="str">
        <f>IFERROR(__xludf.DUMMYFUNCTION("""COMPUTED_VALUE"""),"")</f>
        <v/>
      </c>
      <c r="H1449" s="2" t="str">
        <f>IFERROR(__xludf.DUMMYFUNCTION("""COMPUTED_VALUE"""),"")</f>
        <v/>
      </c>
      <c r="I1449" s="2" t="str">
        <f>IFERROR(__xludf.DUMMYFUNCTION("""COMPUTED_VALUE"""),"")</f>
        <v/>
      </c>
      <c r="J1449" s="2">
        <f>IFERROR(__xludf.DUMMYFUNCTION("""COMPUTED_VALUE"""),0.0)</f>
        <v>0</v>
      </c>
      <c r="K1449" s="5" t="str">
        <f>IFERROR(__xludf.DUMMYFUNCTION("""COMPUTED_VALUE"""),"")</f>
        <v/>
      </c>
      <c r="L1449" t="str">
        <f>IFERROR(__xludf.DUMMYFUNCTION("""COMPUTED_VALUE"""),"")</f>
        <v/>
      </c>
      <c r="M1449" t="str">
        <f>IFERROR(__xludf.DUMMYFUNCTION("""COMPUTED_VALUE"""),"")</f>
        <v/>
      </c>
      <c r="N1449" t="str">
        <f>IFERROR(__xludf.DUMMYFUNCTION("""COMPUTED_VALUE"""),"")</f>
        <v/>
      </c>
      <c r="O1449" t="str">
        <f>IFERROR(__xludf.DUMMYFUNCTION("""COMPUTED_VALUE"""),"")</f>
        <v/>
      </c>
      <c r="P1449" t="str">
        <f>IFERROR(__xludf.DUMMYFUNCTION("""COMPUTED_VALUE"""),"ID ")</f>
        <v>ID </v>
      </c>
    </row>
    <row r="1450">
      <c r="A1450" s="6" t="str">
        <f>IFERROR(__xludf.DUMMYFUNCTION("""COMPUTED_VALUE"""),"")</f>
        <v/>
      </c>
      <c r="C1450" t="str">
        <f>IFERROR(__xludf.DUMMYFUNCTION("""COMPUTED_VALUE"""),"")</f>
        <v/>
      </c>
      <c r="D1450" t="str">
        <f>IFERROR(__xludf.DUMMYFUNCTION("""COMPUTED_VALUE"""),"")</f>
        <v/>
      </c>
      <c r="E1450" t="str">
        <f>IFERROR(__xludf.DUMMYFUNCTION("""COMPUTED_VALUE"""),"")</f>
        <v/>
      </c>
      <c r="F1450" t="str">
        <f>IFERROR(__xludf.DUMMYFUNCTION("""COMPUTED_VALUE"""),"")</f>
        <v/>
      </c>
      <c r="G1450" t="str">
        <f>IFERROR(__xludf.DUMMYFUNCTION("""COMPUTED_VALUE"""),"")</f>
        <v/>
      </c>
      <c r="H1450" s="2" t="str">
        <f>IFERROR(__xludf.DUMMYFUNCTION("""COMPUTED_VALUE"""),"")</f>
        <v/>
      </c>
      <c r="I1450" s="2" t="str">
        <f>IFERROR(__xludf.DUMMYFUNCTION("""COMPUTED_VALUE"""),"")</f>
        <v/>
      </c>
      <c r="J1450" s="2">
        <f>IFERROR(__xludf.DUMMYFUNCTION("""COMPUTED_VALUE"""),0.0)</f>
        <v>0</v>
      </c>
      <c r="K1450" s="5" t="str">
        <f>IFERROR(__xludf.DUMMYFUNCTION("""COMPUTED_VALUE"""),"")</f>
        <v/>
      </c>
      <c r="L1450" t="str">
        <f>IFERROR(__xludf.DUMMYFUNCTION("""COMPUTED_VALUE"""),"")</f>
        <v/>
      </c>
      <c r="M1450" t="str">
        <f>IFERROR(__xludf.DUMMYFUNCTION("""COMPUTED_VALUE"""),"")</f>
        <v/>
      </c>
      <c r="N1450" t="str">
        <f>IFERROR(__xludf.DUMMYFUNCTION("""COMPUTED_VALUE"""),"")</f>
        <v/>
      </c>
      <c r="O1450" t="str">
        <f>IFERROR(__xludf.DUMMYFUNCTION("""COMPUTED_VALUE"""),"")</f>
        <v/>
      </c>
      <c r="P1450" t="str">
        <f>IFERROR(__xludf.DUMMYFUNCTION("""COMPUTED_VALUE"""),"ID ")</f>
        <v>ID </v>
      </c>
    </row>
    <row r="1451">
      <c r="A1451" s="6" t="str">
        <f>IFERROR(__xludf.DUMMYFUNCTION("""COMPUTED_VALUE"""),"")</f>
        <v/>
      </c>
      <c r="C1451" t="str">
        <f>IFERROR(__xludf.DUMMYFUNCTION("""COMPUTED_VALUE"""),"")</f>
        <v/>
      </c>
      <c r="D1451" t="str">
        <f>IFERROR(__xludf.DUMMYFUNCTION("""COMPUTED_VALUE"""),"")</f>
        <v/>
      </c>
      <c r="E1451" t="str">
        <f>IFERROR(__xludf.DUMMYFUNCTION("""COMPUTED_VALUE"""),"")</f>
        <v/>
      </c>
      <c r="F1451" t="str">
        <f>IFERROR(__xludf.DUMMYFUNCTION("""COMPUTED_VALUE"""),"")</f>
        <v/>
      </c>
      <c r="G1451" t="str">
        <f>IFERROR(__xludf.DUMMYFUNCTION("""COMPUTED_VALUE"""),"")</f>
        <v/>
      </c>
      <c r="H1451" s="2" t="str">
        <f>IFERROR(__xludf.DUMMYFUNCTION("""COMPUTED_VALUE"""),"")</f>
        <v/>
      </c>
      <c r="I1451" s="2" t="str">
        <f>IFERROR(__xludf.DUMMYFUNCTION("""COMPUTED_VALUE"""),"")</f>
        <v/>
      </c>
      <c r="J1451" s="2">
        <f>IFERROR(__xludf.DUMMYFUNCTION("""COMPUTED_VALUE"""),0.0)</f>
        <v>0</v>
      </c>
      <c r="K1451" s="5" t="str">
        <f>IFERROR(__xludf.DUMMYFUNCTION("""COMPUTED_VALUE"""),"")</f>
        <v/>
      </c>
      <c r="L1451" t="str">
        <f>IFERROR(__xludf.DUMMYFUNCTION("""COMPUTED_VALUE"""),"")</f>
        <v/>
      </c>
      <c r="M1451" t="str">
        <f>IFERROR(__xludf.DUMMYFUNCTION("""COMPUTED_VALUE"""),"")</f>
        <v/>
      </c>
      <c r="N1451" t="str">
        <f>IFERROR(__xludf.DUMMYFUNCTION("""COMPUTED_VALUE"""),"")</f>
        <v/>
      </c>
      <c r="O1451" t="str">
        <f>IFERROR(__xludf.DUMMYFUNCTION("""COMPUTED_VALUE"""),"")</f>
        <v/>
      </c>
      <c r="P1451" t="str">
        <f>IFERROR(__xludf.DUMMYFUNCTION("""COMPUTED_VALUE"""),"ID ")</f>
        <v>ID </v>
      </c>
    </row>
    <row r="1452">
      <c r="A1452" s="6" t="str">
        <f>IFERROR(__xludf.DUMMYFUNCTION("""COMPUTED_VALUE"""),"")</f>
        <v/>
      </c>
      <c r="C1452" t="str">
        <f>IFERROR(__xludf.DUMMYFUNCTION("""COMPUTED_VALUE"""),"")</f>
        <v/>
      </c>
      <c r="D1452" t="str">
        <f>IFERROR(__xludf.DUMMYFUNCTION("""COMPUTED_VALUE"""),"")</f>
        <v/>
      </c>
      <c r="E1452" t="str">
        <f>IFERROR(__xludf.DUMMYFUNCTION("""COMPUTED_VALUE"""),"")</f>
        <v/>
      </c>
      <c r="F1452" t="str">
        <f>IFERROR(__xludf.DUMMYFUNCTION("""COMPUTED_VALUE"""),"")</f>
        <v/>
      </c>
      <c r="G1452" t="str">
        <f>IFERROR(__xludf.DUMMYFUNCTION("""COMPUTED_VALUE"""),"")</f>
        <v/>
      </c>
      <c r="H1452" s="2" t="str">
        <f>IFERROR(__xludf.DUMMYFUNCTION("""COMPUTED_VALUE"""),"")</f>
        <v/>
      </c>
      <c r="I1452" s="2" t="str">
        <f>IFERROR(__xludf.DUMMYFUNCTION("""COMPUTED_VALUE"""),"")</f>
        <v/>
      </c>
      <c r="J1452" s="2">
        <f>IFERROR(__xludf.DUMMYFUNCTION("""COMPUTED_VALUE"""),0.0)</f>
        <v>0</v>
      </c>
      <c r="K1452" s="5" t="str">
        <f>IFERROR(__xludf.DUMMYFUNCTION("""COMPUTED_VALUE"""),"")</f>
        <v/>
      </c>
      <c r="L1452" t="str">
        <f>IFERROR(__xludf.DUMMYFUNCTION("""COMPUTED_VALUE"""),"")</f>
        <v/>
      </c>
      <c r="M1452" t="str">
        <f>IFERROR(__xludf.DUMMYFUNCTION("""COMPUTED_VALUE"""),"")</f>
        <v/>
      </c>
      <c r="N1452" t="str">
        <f>IFERROR(__xludf.DUMMYFUNCTION("""COMPUTED_VALUE"""),"")</f>
        <v/>
      </c>
      <c r="O1452" t="str">
        <f>IFERROR(__xludf.DUMMYFUNCTION("""COMPUTED_VALUE"""),"")</f>
        <v/>
      </c>
      <c r="P1452" t="str">
        <f>IFERROR(__xludf.DUMMYFUNCTION("""COMPUTED_VALUE"""),"ID ")</f>
        <v>ID </v>
      </c>
    </row>
    <row r="1453">
      <c r="A1453" s="6" t="str">
        <f>IFERROR(__xludf.DUMMYFUNCTION("""COMPUTED_VALUE"""),"")</f>
        <v/>
      </c>
      <c r="C1453" t="str">
        <f>IFERROR(__xludf.DUMMYFUNCTION("""COMPUTED_VALUE"""),"")</f>
        <v/>
      </c>
      <c r="D1453" t="str">
        <f>IFERROR(__xludf.DUMMYFUNCTION("""COMPUTED_VALUE"""),"")</f>
        <v/>
      </c>
      <c r="E1453" t="str">
        <f>IFERROR(__xludf.DUMMYFUNCTION("""COMPUTED_VALUE"""),"")</f>
        <v/>
      </c>
      <c r="F1453" t="str">
        <f>IFERROR(__xludf.DUMMYFUNCTION("""COMPUTED_VALUE"""),"")</f>
        <v/>
      </c>
      <c r="G1453" t="str">
        <f>IFERROR(__xludf.DUMMYFUNCTION("""COMPUTED_VALUE"""),"")</f>
        <v/>
      </c>
      <c r="H1453" s="2" t="str">
        <f>IFERROR(__xludf.DUMMYFUNCTION("""COMPUTED_VALUE"""),"")</f>
        <v/>
      </c>
      <c r="I1453" s="2" t="str">
        <f>IFERROR(__xludf.DUMMYFUNCTION("""COMPUTED_VALUE"""),"")</f>
        <v/>
      </c>
      <c r="J1453" s="2">
        <f>IFERROR(__xludf.DUMMYFUNCTION("""COMPUTED_VALUE"""),0.0)</f>
        <v>0</v>
      </c>
      <c r="K1453" s="5" t="str">
        <f>IFERROR(__xludf.DUMMYFUNCTION("""COMPUTED_VALUE"""),"")</f>
        <v/>
      </c>
      <c r="L1453" t="str">
        <f>IFERROR(__xludf.DUMMYFUNCTION("""COMPUTED_VALUE"""),"")</f>
        <v/>
      </c>
      <c r="M1453" t="str">
        <f>IFERROR(__xludf.DUMMYFUNCTION("""COMPUTED_VALUE"""),"")</f>
        <v/>
      </c>
      <c r="N1453" t="str">
        <f>IFERROR(__xludf.DUMMYFUNCTION("""COMPUTED_VALUE"""),"")</f>
        <v/>
      </c>
      <c r="O1453" t="str">
        <f>IFERROR(__xludf.DUMMYFUNCTION("""COMPUTED_VALUE"""),"")</f>
        <v/>
      </c>
      <c r="P1453" t="str">
        <f>IFERROR(__xludf.DUMMYFUNCTION("""COMPUTED_VALUE"""),"ID ")</f>
        <v>ID </v>
      </c>
    </row>
    <row r="1454">
      <c r="A1454" s="6" t="str">
        <f>IFERROR(__xludf.DUMMYFUNCTION("""COMPUTED_VALUE"""),"")</f>
        <v/>
      </c>
      <c r="C1454" t="str">
        <f>IFERROR(__xludf.DUMMYFUNCTION("""COMPUTED_VALUE"""),"")</f>
        <v/>
      </c>
      <c r="D1454" t="str">
        <f>IFERROR(__xludf.DUMMYFUNCTION("""COMPUTED_VALUE"""),"")</f>
        <v/>
      </c>
      <c r="E1454" t="str">
        <f>IFERROR(__xludf.DUMMYFUNCTION("""COMPUTED_VALUE"""),"")</f>
        <v/>
      </c>
      <c r="F1454" t="str">
        <f>IFERROR(__xludf.DUMMYFUNCTION("""COMPUTED_VALUE"""),"")</f>
        <v/>
      </c>
      <c r="G1454" t="str">
        <f>IFERROR(__xludf.DUMMYFUNCTION("""COMPUTED_VALUE"""),"")</f>
        <v/>
      </c>
      <c r="H1454" s="2" t="str">
        <f>IFERROR(__xludf.DUMMYFUNCTION("""COMPUTED_VALUE"""),"")</f>
        <v/>
      </c>
      <c r="I1454" s="2" t="str">
        <f>IFERROR(__xludf.DUMMYFUNCTION("""COMPUTED_VALUE"""),"")</f>
        <v/>
      </c>
      <c r="J1454" s="2">
        <f>IFERROR(__xludf.DUMMYFUNCTION("""COMPUTED_VALUE"""),0.0)</f>
        <v>0</v>
      </c>
      <c r="K1454" s="5" t="str">
        <f>IFERROR(__xludf.DUMMYFUNCTION("""COMPUTED_VALUE"""),"")</f>
        <v/>
      </c>
      <c r="L1454" t="str">
        <f>IFERROR(__xludf.DUMMYFUNCTION("""COMPUTED_VALUE"""),"")</f>
        <v/>
      </c>
      <c r="M1454" t="str">
        <f>IFERROR(__xludf.DUMMYFUNCTION("""COMPUTED_VALUE"""),"")</f>
        <v/>
      </c>
      <c r="N1454" t="str">
        <f>IFERROR(__xludf.DUMMYFUNCTION("""COMPUTED_VALUE"""),"")</f>
        <v/>
      </c>
      <c r="O1454" t="str">
        <f>IFERROR(__xludf.DUMMYFUNCTION("""COMPUTED_VALUE"""),"")</f>
        <v/>
      </c>
      <c r="P1454" t="str">
        <f>IFERROR(__xludf.DUMMYFUNCTION("""COMPUTED_VALUE"""),"ID ")</f>
        <v>ID </v>
      </c>
    </row>
    <row r="1455">
      <c r="A1455" s="6" t="str">
        <f>IFERROR(__xludf.DUMMYFUNCTION("""COMPUTED_VALUE"""),"")</f>
        <v/>
      </c>
      <c r="C1455" t="str">
        <f>IFERROR(__xludf.DUMMYFUNCTION("""COMPUTED_VALUE"""),"")</f>
        <v/>
      </c>
      <c r="D1455" t="str">
        <f>IFERROR(__xludf.DUMMYFUNCTION("""COMPUTED_VALUE"""),"")</f>
        <v/>
      </c>
      <c r="E1455" t="str">
        <f>IFERROR(__xludf.DUMMYFUNCTION("""COMPUTED_VALUE"""),"")</f>
        <v/>
      </c>
      <c r="F1455" t="str">
        <f>IFERROR(__xludf.DUMMYFUNCTION("""COMPUTED_VALUE"""),"")</f>
        <v/>
      </c>
      <c r="G1455" t="str">
        <f>IFERROR(__xludf.DUMMYFUNCTION("""COMPUTED_VALUE"""),"")</f>
        <v/>
      </c>
      <c r="H1455" s="2" t="str">
        <f>IFERROR(__xludf.DUMMYFUNCTION("""COMPUTED_VALUE"""),"")</f>
        <v/>
      </c>
      <c r="I1455" s="2" t="str">
        <f>IFERROR(__xludf.DUMMYFUNCTION("""COMPUTED_VALUE"""),"")</f>
        <v/>
      </c>
      <c r="J1455" s="2">
        <f>IFERROR(__xludf.DUMMYFUNCTION("""COMPUTED_VALUE"""),0.0)</f>
        <v>0</v>
      </c>
      <c r="K1455" s="5" t="str">
        <f>IFERROR(__xludf.DUMMYFUNCTION("""COMPUTED_VALUE"""),"")</f>
        <v/>
      </c>
      <c r="L1455" t="str">
        <f>IFERROR(__xludf.DUMMYFUNCTION("""COMPUTED_VALUE"""),"")</f>
        <v/>
      </c>
      <c r="M1455" t="str">
        <f>IFERROR(__xludf.DUMMYFUNCTION("""COMPUTED_VALUE"""),"")</f>
        <v/>
      </c>
      <c r="N1455" t="str">
        <f>IFERROR(__xludf.DUMMYFUNCTION("""COMPUTED_VALUE"""),"")</f>
        <v/>
      </c>
      <c r="O1455" t="str">
        <f>IFERROR(__xludf.DUMMYFUNCTION("""COMPUTED_VALUE"""),"")</f>
        <v/>
      </c>
      <c r="P1455" t="str">
        <f>IFERROR(__xludf.DUMMYFUNCTION("""COMPUTED_VALUE"""),"ID ")</f>
        <v>ID </v>
      </c>
    </row>
    <row r="1456">
      <c r="A1456" s="6" t="str">
        <f>IFERROR(__xludf.DUMMYFUNCTION("""COMPUTED_VALUE"""),"")</f>
        <v/>
      </c>
      <c r="C1456" t="str">
        <f>IFERROR(__xludf.DUMMYFUNCTION("""COMPUTED_VALUE"""),"")</f>
        <v/>
      </c>
      <c r="D1456" t="str">
        <f>IFERROR(__xludf.DUMMYFUNCTION("""COMPUTED_VALUE"""),"")</f>
        <v/>
      </c>
      <c r="E1456" t="str">
        <f>IFERROR(__xludf.DUMMYFUNCTION("""COMPUTED_VALUE"""),"")</f>
        <v/>
      </c>
      <c r="F1456" t="str">
        <f>IFERROR(__xludf.DUMMYFUNCTION("""COMPUTED_VALUE"""),"")</f>
        <v/>
      </c>
      <c r="G1456" t="str">
        <f>IFERROR(__xludf.DUMMYFUNCTION("""COMPUTED_VALUE"""),"")</f>
        <v/>
      </c>
      <c r="H1456" s="2" t="str">
        <f>IFERROR(__xludf.DUMMYFUNCTION("""COMPUTED_VALUE"""),"")</f>
        <v/>
      </c>
      <c r="I1456" s="2" t="str">
        <f>IFERROR(__xludf.DUMMYFUNCTION("""COMPUTED_VALUE"""),"")</f>
        <v/>
      </c>
      <c r="J1456" s="2">
        <f>IFERROR(__xludf.DUMMYFUNCTION("""COMPUTED_VALUE"""),0.0)</f>
        <v>0</v>
      </c>
      <c r="K1456" s="5" t="str">
        <f>IFERROR(__xludf.DUMMYFUNCTION("""COMPUTED_VALUE"""),"")</f>
        <v/>
      </c>
      <c r="L1456" t="str">
        <f>IFERROR(__xludf.DUMMYFUNCTION("""COMPUTED_VALUE"""),"")</f>
        <v/>
      </c>
      <c r="M1456" t="str">
        <f>IFERROR(__xludf.DUMMYFUNCTION("""COMPUTED_VALUE"""),"")</f>
        <v/>
      </c>
      <c r="N1456" t="str">
        <f>IFERROR(__xludf.DUMMYFUNCTION("""COMPUTED_VALUE"""),"")</f>
        <v/>
      </c>
      <c r="O1456" t="str">
        <f>IFERROR(__xludf.DUMMYFUNCTION("""COMPUTED_VALUE"""),"")</f>
        <v/>
      </c>
      <c r="P1456" t="str">
        <f>IFERROR(__xludf.DUMMYFUNCTION("""COMPUTED_VALUE"""),"ID ")</f>
        <v>ID </v>
      </c>
    </row>
    <row r="1457">
      <c r="A1457" s="6" t="str">
        <f>IFERROR(__xludf.DUMMYFUNCTION("""COMPUTED_VALUE"""),"")</f>
        <v/>
      </c>
      <c r="C1457" t="str">
        <f>IFERROR(__xludf.DUMMYFUNCTION("""COMPUTED_VALUE"""),"")</f>
        <v/>
      </c>
      <c r="D1457" t="str">
        <f>IFERROR(__xludf.DUMMYFUNCTION("""COMPUTED_VALUE"""),"")</f>
        <v/>
      </c>
      <c r="E1457" t="str">
        <f>IFERROR(__xludf.DUMMYFUNCTION("""COMPUTED_VALUE"""),"")</f>
        <v/>
      </c>
      <c r="F1457" t="str">
        <f>IFERROR(__xludf.DUMMYFUNCTION("""COMPUTED_VALUE"""),"")</f>
        <v/>
      </c>
      <c r="G1457" t="str">
        <f>IFERROR(__xludf.DUMMYFUNCTION("""COMPUTED_VALUE"""),"")</f>
        <v/>
      </c>
      <c r="H1457" s="2" t="str">
        <f>IFERROR(__xludf.DUMMYFUNCTION("""COMPUTED_VALUE"""),"")</f>
        <v/>
      </c>
      <c r="I1457" s="2" t="str">
        <f>IFERROR(__xludf.DUMMYFUNCTION("""COMPUTED_VALUE"""),"")</f>
        <v/>
      </c>
      <c r="J1457" s="2">
        <f>IFERROR(__xludf.DUMMYFUNCTION("""COMPUTED_VALUE"""),0.0)</f>
        <v>0</v>
      </c>
      <c r="K1457" s="5" t="str">
        <f>IFERROR(__xludf.DUMMYFUNCTION("""COMPUTED_VALUE"""),"")</f>
        <v/>
      </c>
      <c r="L1457" t="str">
        <f>IFERROR(__xludf.DUMMYFUNCTION("""COMPUTED_VALUE"""),"")</f>
        <v/>
      </c>
      <c r="M1457" t="str">
        <f>IFERROR(__xludf.DUMMYFUNCTION("""COMPUTED_VALUE"""),"")</f>
        <v/>
      </c>
      <c r="N1457" t="str">
        <f>IFERROR(__xludf.DUMMYFUNCTION("""COMPUTED_VALUE"""),"")</f>
        <v/>
      </c>
      <c r="O1457" t="str">
        <f>IFERROR(__xludf.DUMMYFUNCTION("""COMPUTED_VALUE"""),"")</f>
        <v/>
      </c>
      <c r="P1457" t="str">
        <f>IFERROR(__xludf.DUMMYFUNCTION("""COMPUTED_VALUE"""),"ID ")</f>
        <v>ID </v>
      </c>
    </row>
    <row r="1458">
      <c r="A1458" s="6" t="str">
        <f>IFERROR(__xludf.DUMMYFUNCTION("""COMPUTED_VALUE"""),"")</f>
        <v/>
      </c>
      <c r="C1458" t="str">
        <f>IFERROR(__xludf.DUMMYFUNCTION("""COMPUTED_VALUE"""),"")</f>
        <v/>
      </c>
      <c r="D1458" t="str">
        <f>IFERROR(__xludf.DUMMYFUNCTION("""COMPUTED_VALUE"""),"")</f>
        <v/>
      </c>
      <c r="E1458" t="str">
        <f>IFERROR(__xludf.DUMMYFUNCTION("""COMPUTED_VALUE"""),"")</f>
        <v/>
      </c>
      <c r="F1458" t="str">
        <f>IFERROR(__xludf.DUMMYFUNCTION("""COMPUTED_VALUE"""),"")</f>
        <v/>
      </c>
      <c r="G1458" t="str">
        <f>IFERROR(__xludf.DUMMYFUNCTION("""COMPUTED_VALUE"""),"")</f>
        <v/>
      </c>
      <c r="H1458" s="2" t="str">
        <f>IFERROR(__xludf.DUMMYFUNCTION("""COMPUTED_VALUE"""),"")</f>
        <v/>
      </c>
      <c r="I1458" s="2" t="str">
        <f>IFERROR(__xludf.DUMMYFUNCTION("""COMPUTED_VALUE"""),"")</f>
        <v/>
      </c>
      <c r="J1458" s="2">
        <f>IFERROR(__xludf.DUMMYFUNCTION("""COMPUTED_VALUE"""),0.0)</f>
        <v>0</v>
      </c>
      <c r="K1458" s="5" t="str">
        <f>IFERROR(__xludf.DUMMYFUNCTION("""COMPUTED_VALUE"""),"")</f>
        <v/>
      </c>
      <c r="L1458" t="str">
        <f>IFERROR(__xludf.DUMMYFUNCTION("""COMPUTED_VALUE"""),"")</f>
        <v/>
      </c>
      <c r="M1458" t="str">
        <f>IFERROR(__xludf.DUMMYFUNCTION("""COMPUTED_VALUE"""),"")</f>
        <v/>
      </c>
      <c r="N1458" t="str">
        <f>IFERROR(__xludf.DUMMYFUNCTION("""COMPUTED_VALUE"""),"")</f>
        <v/>
      </c>
      <c r="O1458" t="str">
        <f>IFERROR(__xludf.DUMMYFUNCTION("""COMPUTED_VALUE"""),"")</f>
        <v/>
      </c>
      <c r="P1458" t="str">
        <f>IFERROR(__xludf.DUMMYFUNCTION("""COMPUTED_VALUE"""),"ID ")</f>
        <v>ID </v>
      </c>
    </row>
    <row r="1459">
      <c r="A1459" s="6" t="str">
        <f>IFERROR(__xludf.DUMMYFUNCTION("""COMPUTED_VALUE"""),"")</f>
        <v/>
      </c>
      <c r="C1459" t="str">
        <f>IFERROR(__xludf.DUMMYFUNCTION("""COMPUTED_VALUE"""),"")</f>
        <v/>
      </c>
      <c r="D1459" t="str">
        <f>IFERROR(__xludf.DUMMYFUNCTION("""COMPUTED_VALUE"""),"")</f>
        <v/>
      </c>
      <c r="E1459" t="str">
        <f>IFERROR(__xludf.DUMMYFUNCTION("""COMPUTED_VALUE"""),"")</f>
        <v/>
      </c>
      <c r="F1459" t="str">
        <f>IFERROR(__xludf.DUMMYFUNCTION("""COMPUTED_VALUE"""),"")</f>
        <v/>
      </c>
      <c r="G1459" t="str">
        <f>IFERROR(__xludf.DUMMYFUNCTION("""COMPUTED_VALUE"""),"")</f>
        <v/>
      </c>
      <c r="H1459" s="2" t="str">
        <f>IFERROR(__xludf.DUMMYFUNCTION("""COMPUTED_VALUE"""),"")</f>
        <v/>
      </c>
      <c r="I1459" s="2" t="str">
        <f>IFERROR(__xludf.DUMMYFUNCTION("""COMPUTED_VALUE"""),"")</f>
        <v/>
      </c>
      <c r="J1459" s="2">
        <f>IFERROR(__xludf.DUMMYFUNCTION("""COMPUTED_VALUE"""),0.0)</f>
        <v>0</v>
      </c>
      <c r="K1459" s="5" t="str">
        <f>IFERROR(__xludf.DUMMYFUNCTION("""COMPUTED_VALUE"""),"")</f>
        <v/>
      </c>
      <c r="L1459" t="str">
        <f>IFERROR(__xludf.DUMMYFUNCTION("""COMPUTED_VALUE"""),"")</f>
        <v/>
      </c>
      <c r="M1459" t="str">
        <f>IFERROR(__xludf.DUMMYFUNCTION("""COMPUTED_VALUE"""),"")</f>
        <v/>
      </c>
      <c r="N1459" t="str">
        <f>IFERROR(__xludf.DUMMYFUNCTION("""COMPUTED_VALUE"""),"")</f>
        <v/>
      </c>
      <c r="O1459" t="str">
        <f>IFERROR(__xludf.DUMMYFUNCTION("""COMPUTED_VALUE"""),"")</f>
        <v/>
      </c>
      <c r="P1459" t="str">
        <f>IFERROR(__xludf.DUMMYFUNCTION("""COMPUTED_VALUE"""),"ID ")</f>
        <v>ID </v>
      </c>
    </row>
    <row r="1460">
      <c r="A1460" s="6" t="str">
        <f>IFERROR(__xludf.DUMMYFUNCTION("""COMPUTED_VALUE"""),"")</f>
        <v/>
      </c>
      <c r="C1460" t="str">
        <f>IFERROR(__xludf.DUMMYFUNCTION("""COMPUTED_VALUE"""),"")</f>
        <v/>
      </c>
      <c r="D1460" t="str">
        <f>IFERROR(__xludf.DUMMYFUNCTION("""COMPUTED_VALUE"""),"")</f>
        <v/>
      </c>
      <c r="E1460" t="str">
        <f>IFERROR(__xludf.DUMMYFUNCTION("""COMPUTED_VALUE"""),"")</f>
        <v/>
      </c>
      <c r="F1460" t="str">
        <f>IFERROR(__xludf.DUMMYFUNCTION("""COMPUTED_VALUE"""),"")</f>
        <v/>
      </c>
      <c r="G1460" t="str">
        <f>IFERROR(__xludf.DUMMYFUNCTION("""COMPUTED_VALUE"""),"")</f>
        <v/>
      </c>
      <c r="H1460" s="2" t="str">
        <f>IFERROR(__xludf.DUMMYFUNCTION("""COMPUTED_VALUE"""),"")</f>
        <v/>
      </c>
      <c r="I1460" s="2" t="str">
        <f>IFERROR(__xludf.DUMMYFUNCTION("""COMPUTED_VALUE"""),"")</f>
        <v/>
      </c>
      <c r="J1460" s="2">
        <f>IFERROR(__xludf.DUMMYFUNCTION("""COMPUTED_VALUE"""),0.0)</f>
        <v>0</v>
      </c>
      <c r="K1460" s="5" t="str">
        <f>IFERROR(__xludf.DUMMYFUNCTION("""COMPUTED_VALUE"""),"")</f>
        <v/>
      </c>
      <c r="L1460" t="str">
        <f>IFERROR(__xludf.DUMMYFUNCTION("""COMPUTED_VALUE"""),"")</f>
        <v/>
      </c>
      <c r="M1460" t="str">
        <f>IFERROR(__xludf.DUMMYFUNCTION("""COMPUTED_VALUE"""),"")</f>
        <v/>
      </c>
      <c r="N1460" t="str">
        <f>IFERROR(__xludf.DUMMYFUNCTION("""COMPUTED_VALUE"""),"")</f>
        <v/>
      </c>
      <c r="O1460" t="str">
        <f>IFERROR(__xludf.DUMMYFUNCTION("""COMPUTED_VALUE"""),"")</f>
        <v/>
      </c>
      <c r="P1460" t="str">
        <f>IFERROR(__xludf.DUMMYFUNCTION("""COMPUTED_VALUE"""),"ID ")</f>
        <v>ID </v>
      </c>
    </row>
    <row r="1461">
      <c r="A1461" s="6" t="str">
        <f>IFERROR(__xludf.DUMMYFUNCTION("""COMPUTED_VALUE"""),"")</f>
        <v/>
      </c>
      <c r="C1461" t="str">
        <f>IFERROR(__xludf.DUMMYFUNCTION("""COMPUTED_VALUE"""),"")</f>
        <v/>
      </c>
      <c r="D1461" t="str">
        <f>IFERROR(__xludf.DUMMYFUNCTION("""COMPUTED_VALUE"""),"")</f>
        <v/>
      </c>
      <c r="E1461" t="str">
        <f>IFERROR(__xludf.DUMMYFUNCTION("""COMPUTED_VALUE"""),"")</f>
        <v/>
      </c>
      <c r="F1461" t="str">
        <f>IFERROR(__xludf.DUMMYFUNCTION("""COMPUTED_VALUE"""),"")</f>
        <v/>
      </c>
      <c r="G1461" t="str">
        <f>IFERROR(__xludf.DUMMYFUNCTION("""COMPUTED_VALUE"""),"")</f>
        <v/>
      </c>
      <c r="H1461" s="2" t="str">
        <f>IFERROR(__xludf.DUMMYFUNCTION("""COMPUTED_VALUE"""),"")</f>
        <v/>
      </c>
      <c r="I1461" s="2" t="str">
        <f>IFERROR(__xludf.DUMMYFUNCTION("""COMPUTED_VALUE"""),"")</f>
        <v/>
      </c>
      <c r="J1461" s="2">
        <f>IFERROR(__xludf.DUMMYFUNCTION("""COMPUTED_VALUE"""),0.0)</f>
        <v>0</v>
      </c>
      <c r="K1461" s="5" t="str">
        <f>IFERROR(__xludf.DUMMYFUNCTION("""COMPUTED_VALUE"""),"")</f>
        <v/>
      </c>
      <c r="L1461" t="str">
        <f>IFERROR(__xludf.DUMMYFUNCTION("""COMPUTED_VALUE"""),"")</f>
        <v/>
      </c>
      <c r="M1461" t="str">
        <f>IFERROR(__xludf.DUMMYFUNCTION("""COMPUTED_VALUE"""),"")</f>
        <v/>
      </c>
      <c r="N1461" t="str">
        <f>IFERROR(__xludf.DUMMYFUNCTION("""COMPUTED_VALUE"""),"")</f>
        <v/>
      </c>
      <c r="O1461" t="str">
        <f>IFERROR(__xludf.DUMMYFUNCTION("""COMPUTED_VALUE"""),"")</f>
        <v/>
      </c>
      <c r="P1461" t="str">
        <f>IFERROR(__xludf.DUMMYFUNCTION("""COMPUTED_VALUE"""),"ID ")</f>
        <v>ID </v>
      </c>
    </row>
    <row r="1462">
      <c r="A1462" s="6" t="str">
        <f>IFERROR(__xludf.DUMMYFUNCTION("""COMPUTED_VALUE"""),"")</f>
        <v/>
      </c>
      <c r="C1462" t="str">
        <f>IFERROR(__xludf.DUMMYFUNCTION("""COMPUTED_VALUE"""),"")</f>
        <v/>
      </c>
      <c r="D1462" t="str">
        <f>IFERROR(__xludf.DUMMYFUNCTION("""COMPUTED_VALUE"""),"")</f>
        <v/>
      </c>
      <c r="E1462" t="str">
        <f>IFERROR(__xludf.DUMMYFUNCTION("""COMPUTED_VALUE"""),"")</f>
        <v/>
      </c>
      <c r="F1462" t="str">
        <f>IFERROR(__xludf.DUMMYFUNCTION("""COMPUTED_VALUE"""),"")</f>
        <v/>
      </c>
      <c r="G1462" t="str">
        <f>IFERROR(__xludf.DUMMYFUNCTION("""COMPUTED_VALUE"""),"")</f>
        <v/>
      </c>
      <c r="H1462" s="2" t="str">
        <f>IFERROR(__xludf.DUMMYFUNCTION("""COMPUTED_VALUE"""),"")</f>
        <v/>
      </c>
      <c r="I1462" s="2" t="str">
        <f>IFERROR(__xludf.DUMMYFUNCTION("""COMPUTED_VALUE"""),"")</f>
        <v/>
      </c>
      <c r="J1462" s="2">
        <f>IFERROR(__xludf.DUMMYFUNCTION("""COMPUTED_VALUE"""),0.0)</f>
        <v>0</v>
      </c>
      <c r="K1462" s="5" t="str">
        <f>IFERROR(__xludf.DUMMYFUNCTION("""COMPUTED_VALUE"""),"")</f>
        <v/>
      </c>
      <c r="L1462" t="str">
        <f>IFERROR(__xludf.DUMMYFUNCTION("""COMPUTED_VALUE"""),"")</f>
        <v/>
      </c>
      <c r="M1462" t="str">
        <f>IFERROR(__xludf.DUMMYFUNCTION("""COMPUTED_VALUE"""),"")</f>
        <v/>
      </c>
      <c r="N1462" t="str">
        <f>IFERROR(__xludf.DUMMYFUNCTION("""COMPUTED_VALUE"""),"")</f>
        <v/>
      </c>
      <c r="O1462" t="str">
        <f>IFERROR(__xludf.DUMMYFUNCTION("""COMPUTED_VALUE"""),"")</f>
        <v/>
      </c>
      <c r="P1462" t="str">
        <f>IFERROR(__xludf.DUMMYFUNCTION("""COMPUTED_VALUE"""),"ID ")</f>
        <v>ID </v>
      </c>
    </row>
    <row r="1463">
      <c r="A1463" s="6" t="str">
        <f>IFERROR(__xludf.DUMMYFUNCTION("""COMPUTED_VALUE"""),"")</f>
        <v/>
      </c>
      <c r="C1463" t="str">
        <f>IFERROR(__xludf.DUMMYFUNCTION("""COMPUTED_VALUE"""),"")</f>
        <v/>
      </c>
      <c r="D1463" t="str">
        <f>IFERROR(__xludf.DUMMYFUNCTION("""COMPUTED_VALUE"""),"")</f>
        <v/>
      </c>
      <c r="E1463" t="str">
        <f>IFERROR(__xludf.DUMMYFUNCTION("""COMPUTED_VALUE"""),"")</f>
        <v/>
      </c>
      <c r="F1463" t="str">
        <f>IFERROR(__xludf.DUMMYFUNCTION("""COMPUTED_VALUE"""),"")</f>
        <v/>
      </c>
      <c r="G1463" t="str">
        <f>IFERROR(__xludf.DUMMYFUNCTION("""COMPUTED_VALUE"""),"")</f>
        <v/>
      </c>
      <c r="H1463" s="2" t="str">
        <f>IFERROR(__xludf.DUMMYFUNCTION("""COMPUTED_VALUE"""),"")</f>
        <v/>
      </c>
      <c r="I1463" s="2" t="str">
        <f>IFERROR(__xludf.DUMMYFUNCTION("""COMPUTED_VALUE"""),"")</f>
        <v/>
      </c>
      <c r="J1463" s="2">
        <f>IFERROR(__xludf.DUMMYFUNCTION("""COMPUTED_VALUE"""),0.0)</f>
        <v>0</v>
      </c>
      <c r="K1463" s="5" t="str">
        <f>IFERROR(__xludf.DUMMYFUNCTION("""COMPUTED_VALUE"""),"")</f>
        <v/>
      </c>
      <c r="L1463" t="str">
        <f>IFERROR(__xludf.DUMMYFUNCTION("""COMPUTED_VALUE"""),"")</f>
        <v/>
      </c>
      <c r="M1463" t="str">
        <f>IFERROR(__xludf.DUMMYFUNCTION("""COMPUTED_VALUE"""),"")</f>
        <v/>
      </c>
      <c r="N1463" t="str">
        <f>IFERROR(__xludf.DUMMYFUNCTION("""COMPUTED_VALUE"""),"")</f>
        <v/>
      </c>
      <c r="O1463" t="str">
        <f>IFERROR(__xludf.DUMMYFUNCTION("""COMPUTED_VALUE"""),"")</f>
        <v/>
      </c>
      <c r="P1463" t="str">
        <f>IFERROR(__xludf.DUMMYFUNCTION("""COMPUTED_VALUE"""),"ID ")</f>
        <v>ID </v>
      </c>
    </row>
    <row r="1464">
      <c r="A1464" s="6" t="str">
        <f>IFERROR(__xludf.DUMMYFUNCTION("""COMPUTED_VALUE"""),"")</f>
        <v/>
      </c>
      <c r="C1464" t="str">
        <f>IFERROR(__xludf.DUMMYFUNCTION("""COMPUTED_VALUE"""),"")</f>
        <v/>
      </c>
      <c r="D1464" t="str">
        <f>IFERROR(__xludf.DUMMYFUNCTION("""COMPUTED_VALUE"""),"")</f>
        <v/>
      </c>
      <c r="E1464" t="str">
        <f>IFERROR(__xludf.DUMMYFUNCTION("""COMPUTED_VALUE"""),"")</f>
        <v/>
      </c>
      <c r="F1464" t="str">
        <f>IFERROR(__xludf.DUMMYFUNCTION("""COMPUTED_VALUE"""),"")</f>
        <v/>
      </c>
      <c r="G1464" t="str">
        <f>IFERROR(__xludf.DUMMYFUNCTION("""COMPUTED_VALUE"""),"")</f>
        <v/>
      </c>
      <c r="H1464" s="2" t="str">
        <f>IFERROR(__xludf.DUMMYFUNCTION("""COMPUTED_VALUE"""),"")</f>
        <v/>
      </c>
      <c r="I1464" s="2" t="str">
        <f>IFERROR(__xludf.DUMMYFUNCTION("""COMPUTED_VALUE"""),"")</f>
        <v/>
      </c>
      <c r="J1464" s="2">
        <f>IFERROR(__xludf.DUMMYFUNCTION("""COMPUTED_VALUE"""),0.0)</f>
        <v>0</v>
      </c>
      <c r="K1464" s="5" t="str">
        <f>IFERROR(__xludf.DUMMYFUNCTION("""COMPUTED_VALUE"""),"")</f>
        <v/>
      </c>
      <c r="L1464" t="str">
        <f>IFERROR(__xludf.DUMMYFUNCTION("""COMPUTED_VALUE"""),"")</f>
        <v/>
      </c>
      <c r="M1464" t="str">
        <f>IFERROR(__xludf.DUMMYFUNCTION("""COMPUTED_VALUE"""),"")</f>
        <v/>
      </c>
      <c r="N1464" t="str">
        <f>IFERROR(__xludf.DUMMYFUNCTION("""COMPUTED_VALUE"""),"")</f>
        <v/>
      </c>
      <c r="O1464" t="str">
        <f>IFERROR(__xludf.DUMMYFUNCTION("""COMPUTED_VALUE"""),"")</f>
        <v/>
      </c>
      <c r="P1464" t="str">
        <f>IFERROR(__xludf.DUMMYFUNCTION("""COMPUTED_VALUE"""),"ID ")</f>
        <v>ID </v>
      </c>
    </row>
    <row r="1465">
      <c r="A1465" s="6" t="str">
        <f>IFERROR(__xludf.DUMMYFUNCTION("""COMPUTED_VALUE"""),"")</f>
        <v/>
      </c>
      <c r="C1465" t="str">
        <f>IFERROR(__xludf.DUMMYFUNCTION("""COMPUTED_VALUE"""),"")</f>
        <v/>
      </c>
      <c r="D1465" t="str">
        <f>IFERROR(__xludf.DUMMYFUNCTION("""COMPUTED_VALUE"""),"")</f>
        <v/>
      </c>
      <c r="E1465" t="str">
        <f>IFERROR(__xludf.DUMMYFUNCTION("""COMPUTED_VALUE"""),"")</f>
        <v/>
      </c>
      <c r="F1465" t="str">
        <f>IFERROR(__xludf.DUMMYFUNCTION("""COMPUTED_VALUE"""),"")</f>
        <v/>
      </c>
      <c r="G1465" t="str">
        <f>IFERROR(__xludf.DUMMYFUNCTION("""COMPUTED_VALUE"""),"")</f>
        <v/>
      </c>
      <c r="H1465" s="2" t="str">
        <f>IFERROR(__xludf.DUMMYFUNCTION("""COMPUTED_VALUE"""),"")</f>
        <v/>
      </c>
      <c r="I1465" s="2" t="str">
        <f>IFERROR(__xludf.DUMMYFUNCTION("""COMPUTED_VALUE"""),"")</f>
        <v/>
      </c>
      <c r="J1465" s="2">
        <f>IFERROR(__xludf.DUMMYFUNCTION("""COMPUTED_VALUE"""),0.0)</f>
        <v>0</v>
      </c>
      <c r="K1465" s="5" t="str">
        <f>IFERROR(__xludf.DUMMYFUNCTION("""COMPUTED_VALUE"""),"")</f>
        <v/>
      </c>
      <c r="L1465" t="str">
        <f>IFERROR(__xludf.DUMMYFUNCTION("""COMPUTED_VALUE"""),"")</f>
        <v/>
      </c>
      <c r="M1465" t="str">
        <f>IFERROR(__xludf.DUMMYFUNCTION("""COMPUTED_VALUE"""),"")</f>
        <v/>
      </c>
      <c r="N1465" t="str">
        <f>IFERROR(__xludf.DUMMYFUNCTION("""COMPUTED_VALUE"""),"")</f>
        <v/>
      </c>
      <c r="O1465" t="str">
        <f>IFERROR(__xludf.DUMMYFUNCTION("""COMPUTED_VALUE"""),"")</f>
        <v/>
      </c>
      <c r="P1465" t="str">
        <f>IFERROR(__xludf.DUMMYFUNCTION("""COMPUTED_VALUE"""),"ID ")</f>
        <v>ID </v>
      </c>
    </row>
    <row r="1466">
      <c r="A1466" s="6" t="str">
        <f>IFERROR(__xludf.DUMMYFUNCTION("""COMPUTED_VALUE"""),"")</f>
        <v/>
      </c>
      <c r="C1466" t="str">
        <f>IFERROR(__xludf.DUMMYFUNCTION("""COMPUTED_VALUE"""),"")</f>
        <v/>
      </c>
      <c r="D1466" t="str">
        <f>IFERROR(__xludf.DUMMYFUNCTION("""COMPUTED_VALUE"""),"")</f>
        <v/>
      </c>
      <c r="E1466" t="str">
        <f>IFERROR(__xludf.DUMMYFUNCTION("""COMPUTED_VALUE"""),"")</f>
        <v/>
      </c>
      <c r="F1466" t="str">
        <f>IFERROR(__xludf.DUMMYFUNCTION("""COMPUTED_VALUE"""),"")</f>
        <v/>
      </c>
      <c r="G1466" t="str">
        <f>IFERROR(__xludf.DUMMYFUNCTION("""COMPUTED_VALUE"""),"")</f>
        <v/>
      </c>
      <c r="H1466" s="2" t="str">
        <f>IFERROR(__xludf.DUMMYFUNCTION("""COMPUTED_VALUE"""),"")</f>
        <v/>
      </c>
      <c r="I1466" s="2" t="str">
        <f>IFERROR(__xludf.DUMMYFUNCTION("""COMPUTED_VALUE"""),"")</f>
        <v/>
      </c>
      <c r="J1466" s="2">
        <f>IFERROR(__xludf.DUMMYFUNCTION("""COMPUTED_VALUE"""),0.0)</f>
        <v>0</v>
      </c>
      <c r="K1466" s="5" t="str">
        <f>IFERROR(__xludf.DUMMYFUNCTION("""COMPUTED_VALUE"""),"")</f>
        <v/>
      </c>
      <c r="L1466" t="str">
        <f>IFERROR(__xludf.DUMMYFUNCTION("""COMPUTED_VALUE"""),"")</f>
        <v/>
      </c>
      <c r="M1466" t="str">
        <f>IFERROR(__xludf.DUMMYFUNCTION("""COMPUTED_VALUE"""),"")</f>
        <v/>
      </c>
      <c r="N1466" t="str">
        <f>IFERROR(__xludf.DUMMYFUNCTION("""COMPUTED_VALUE"""),"")</f>
        <v/>
      </c>
      <c r="O1466" t="str">
        <f>IFERROR(__xludf.DUMMYFUNCTION("""COMPUTED_VALUE"""),"")</f>
        <v/>
      </c>
      <c r="P1466" t="str">
        <f>IFERROR(__xludf.DUMMYFUNCTION("""COMPUTED_VALUE"""),"ID ")</f>
        <v>ID </v>
      </c>
    </row>
    <row r="1467">
      <c r="A1467" s="6" t="str">
        <f>IFERROR(__xludf.DUMMYFUNCTION("""COMPUTED_VALUE"""),"")</f>
        <v/>
      </c>
      <c r="C1467" t="str">
        <f>IFERROR(__xludf.DUMMYFUNCTION("""COMPUTED_VALUE"""),"")</f>
        <v/>
      </c>
      <c r="D1467" t="str">
        <f>IFERROR(__xludf.DUMMYFUNCTION("""COMPUTED_VALUE"""),"")</f>
        <v/>
      </c>
      <c r="E1467" t="str">
        <f>IFERROR(__xludf.DUMMYFUNCTION("""COMPUTED_VALUE"""),"")</f>
        <v/>
      </c>
      <c r="F1467" t="str">
        <f>IFERROR(__xludf.DUMMYFUNCTION("""COMPUTED_VALUE"""),"")</f>
        <v/>
      </c>
      <c r="G1467" t="str">
        <f>IFERROR(__xludf.DUMMYFUNCTION("""COMPUTED_VALUE"""),"")</f>
        <v/>
      </c>
      <c r="H1467" s="2" t="str">
        <f>IFERROR(__xludf.DUMMYFUNCTION("""COMPUTED_VALUE"""),"")</f>
        <v/>
      </c>
      <c r="I1467" s="2" t="str">
        <f>IFERROR(__xludf.DUMMYFUNCTION("""COMPUTED_VALUE"""),"")</f>
        <v/>
      </c>
      <c r="J1467" s="2">
        <f>IFERROR(__xludf.DUMMYFUNCTION("""COMPUTED_VALUE"""),0.0)</f>
        <v>0</v>
      </c>
      <c r="K1467" s="5" t="str">
        <f>IFERROR(__xludf.DUMMYFUNCTION("""COMPUTED_VALUE"""),"")</f>
        <v/>
      </c>
      <c r="L1467" t="str">
        <f>IFERROR(__xludf.DUMMYFUNCTION("""COMPUTED_VALUE"""),"")</f>
        <v/>
      </c>
      <c r="M1467" t="str">
        <f>IFERROR(__xludf.DUMMYFUNCTION("""COMPUTED_VALUE"""),"")</f>
        <v/>
      </c>
      <c r="N1467" t="str">
        <f>IFERROR(__xludf.DUMMYFUNCTION("""COMPUTED_VALUE"""),"")</f>
        <v/>
      </c>
      <c r="O1467" t="str">
        <f>IFERROR(__xludf.DUMMYFUNCTION("""COMPUTED_VALUE"""),"")</f>
        <v/>
      </c>
      <c r="P1467" t="str">
        <f>IFERROR(__xludf.DUMMYFUNCTION("""COMPUTED_VALUE"""),"ID ")</f>
        <v>ID </v>
      </c>
    </row>
    <row r="1468">
      <c r="A1468" s="6" t="str">
        <f>IFERROR(__xludf.DUMMYFUNCTION("""COMPUTED_VALUE"""),"")</f>
        <v/>
      </c>
      <c r="C1468" t="str">
        <f>IFERROR(__xludf.DUMMYFUNCTION("""COMPUTED_VALUE"""),"")</f>
        <v/>
      </c>
      <c r="D1468" t="str">
        <f>IFERROR(__xludf.DUMMYFUNCTION("""COMPUTED_VALUE"""),"")</f>
        <v/>
      </c>
      <c r="E1468" t="str">
        <f>IFERROR(__xludf.DUMMYFUNCTION("""COMPUTED_VALUE"""),"")</f>
        <v/>
      </c>
      <c r="F1468" t="str">
        <f>IFERROR(__xludf.DUMMYFUNCTION("""COMPUTED_VALUE"""),"")</f>
        <v/>
      </c>
      <c r="G1468" t="str">
        <f>IFERROR(__xludf.DUMMYFUNCTION("""COMPUTED_VALUE"""),"")</f>
        <v/>
      </c>
      <c r="H1468" s="2" t="str">
        <f>IFERROR(__xludf.DUMMYFUNCTION("""COMPUTED_VALUE"""),"")</f>
        <v/>
      </c>
      <c r="I1468" s="2" t="str">
        <f>IFERROR(__xludf.DUMMYFUNCTION("""COMPUTED_VALUE"""),"")</f>
        <v/>
      </c>
      <c r="J1468" s="2">
        <f>IFERROR(__xludf.DUMMYFUNCTION("""COMPUTED_VALUE"""),0.0)</f>
        <v>0</v>
      </c>
      <c r="K1468" s="5" t="str">
        <f>IFERROR(__xludf.DUMMYFUNCTION("""COMPUTED_VALUE"""),"")</f>
        <v/>
      </c>
      <c r="L1468" t="str">
        <f>IFERROR(__xludf.DUMMYFUNCTION("""COMPUTED_VALUE"""),"")</f>
        <v/>
      </c>
      <c r="M1468" t="str">
        <f>IFERROR(__xludf.DUMMYFUNCTION("""COMPUTED_VALUE"""),"")</f>
        <v/>
      </c>
      <c r="N1468" t="str">
        <f>IFERROR(__xludf.DUMMYFUNCTION("""COMPUTED_VALUE"""),"")</f>
        <v/>
      </c>
      <c r="O1468" t="str">
        <f>IFERROR(__xludf.DUMMYFUNCTION("""COMPUTED_VALUE"""),"")</f>
        <v/>
      </c>
      <c r="P1468" t="str">
        <f>IFERROR(__xludf.DUMMYFUNCTION("""COMPUTED_VALUE"""),"ID ")</f>
        <v>ID </v>
      </c>
    </row>
    <row r="1469">
      <c r="A1469" s="6" t="str">
        <f>IFERROR(__xludf.DUMMYFUNCTION("""COMPUTED_VALUE"""),"")</f>
        <v/>
      </c>
      <c r="C1469" t="str">
        <f>IFERROR(__xludf.DUMMYFUNCTION("""COMPUTED_VALUE"""),"")</f>
        <v/>
      </c>
      <c r="D1469" t="str">
        <f>IFERROR(__xludf.DUMMYFUNCTION("""COMPUTED_VALUE"""),"")</f>
        <v/>
      </c>
      <c r="E1469" t="str">
        <f>IFERROR(__xludf.DUMMYFUNCTION("""COMPUTED_VALUE"""),"")</f>
        <v/>
      </c>
      <c r="F1469" t="str">
        <f>IFERROR(__xludf.DUMMYFUNCTION("""COMPUTED_VALUE"""),"")</f>
        <v/>
      </c>
      <c r="G1469" t="str">
        <f>IFERROR(__xludf.DUMMYFUNCTION("""COMPUTED_VALUE"""),"")</f>
        <v/>
      </c>
      <c r="H1469" s="2" t="str">
        <f>IFERROR(__xludf.DUMMYFUNCTION("""COMPUTED_VALUE"""),"")</f>
        <v/>
      </c>
      <c r="I1469" s="2" t="str">
        <f>IFERROR(__xludf.DUMMYFUNCTION("""COMPUTED_VALUE"""),"")</f>
        <v/>
      </c>
      <c r="J1469" s="2">
        <f>IFERROR(__xludf.DUMMYFUNCTION("""COMPUTED_VALUE"""),0.0)</f>
        <v>0</v>
      </c>
      <c r="K1469" s="5" t="str">
        <f>IFERROR(__xludf.DUMMYFUNCTION("""COMPUTED_VALUE"""),"")</f>
        <v/>
      </c>
      <c r="L1469" t="str">
        <f>IFERROR(__xludf.DUMMYFUNCTION("""COMPUTED_VALUE"""),"")</f>
        <v/>
      </c>
      <c r="M1469" t="str">
        <f>IFERROR(__xludf.DUMMYFUNCTION("""COMPUTED_VALUE"""),"")</f>
        <v/>
      </c>
      <c r="N1469" t="str">
        <f>IFERROR(__xludf.DUMMYFUNCTION("""COMPUTED_VALUE"""),"")</f>
        <v/>
      </c>
      <c r="O1469" t="str">
        <f>IFERROR(__xludf.DUMMYFUNCTION("""COMPUTED_VALUE"""),"")</f>
        <v/>
      </c>
      <c r="P1469" t="str">
        <f>IFERROR(__xludf.DUMMYFUNCTION("""COMPUTED_VALUE"""),"ID ")</f>
        <v>ID </v>
      </c>
    </row>
    <row r="1470">
      <c r="A1470" s="6" t="str">
        <f>IFERROR(__xludf.DUMMYFUNCTION("""COMPUTED_VALUE"""),"")</f>
        <v/>
      </c>
      <c r="C1470" t="str">
        <f>IFERROR(__xludf.DUMMYFUNCTION("""COMPUTED_VALUE"""),"")</f>
        <v/>
      </c>
      <c r="D1470" t="str">
        <f>IFERROR(__xludf.DUMMYFUNCTION("""COMPUTED_VALUE"""),"")</f>
        <v/>
      </c>
      <c r="E1470" t="str">
        <f>IFERROR(__xludf.DUMMYFUNCTION("""COMPUTED_VALUE"""),"")</f>
        <v/>
      </c>
      <c r="F1470" t="str">
        <f>IFERROR(__xludf.DUMMYFUNCTION("""COMPUTED_VALUE"""),"")</f>
        <v/>
      </c>
      <c r="G1470" t="str">
        <f>IFERROR(__xludf.DUMMYFUNCTION("""COMPUTED_VALUE"""),"")</f>
        <v/>
      </c>
      <c r="H1470" s="2" t="str">
        <f>IFERROR(__xludf.DUMMYFUNCTION("""COMPUTED_VALUE"""),"")</f>
        <v/>
      </c>
      <c r="I1470" s="2" t="str">
        <f>IFERROR(__xludf.DUMMYFUNCTION("""COMPUTED_VALUE"""),"")</f>
        <v/>
      </c>
      <c r="J1470" s="2">
        <f>IFERROR(__xludf.DUMMYFUNCTION("""COMPUTED_VALUE"""),0.0)</f>
        <v>0</v>
      </c>
      <c r="K1470" s="5" t="str">
        <f>IFERROR(__xludf.DUMMYFUNCTION("""COMPUTED_VALUE"""),"")</f>
        <v/>
      </c>
      <c r="L1470" t="str">
        <f>IFERROR(__xludf.DUMMYFUNCTION("""COMPUTED_VALUE"""),"")</f>
        <v/>
      </c>
      <c r="M1470" t="str">
        <f>IFERROR(__xludf.DUMMYFUNCTION("""COMPUTED_VALUE"""),"")</f>
        <v/>
      </c>
      <c r="N1470" t="str">
        <f>IFERROR(__xludf.DUMMYFUNCTION("""COMPUTED_VALUE"""),"")</f>
        <v/>
      </c>
      <c r="O1470" t="str">
        <f>IFERROR(__xludf.DUMMYFUNCTION("""COMPUTED_VALUE"""),"")</f>
        <v/>
      </c>
      <c r="P1470" t="str">
        <f>IFERROR(__xludf.DUMMYFUNCTION("""COMPUTED_VALUE"""),"ID ")</f>
        <v>ID </v>
      </c>
    </row>
    <row r="1471">
      <c r="A1471" s="6" t="str">
        <f>IFERROR(__xludf.DUMMYFUNCTION("""COMPUTED_VALUE"""),"")</f>
        <v/>
      </c>
      <c r="C1471" t="str">
        <f>IFERROR(__xludf.DUMMYFUNCTION("""COMPUTED_VALUE"""),"")</f>
        <v/>
      </c>
      <c r="D1471" t="str">
        <f>IFERROR(__xludf.DUMMYFUNCTION("""COMPUTED_VALUE"""),"")</f>
        <v/>
      </c>
      <c r="E1471" t="str">
        <f>IFERROR(__xludf.DUMMYFUNCTION("""COMPUTED_VALUE"""),"")</f>
        <v/>
      </c>
      <c r="F1471" t="str">
        <f>IFERROR(__xludf.DUMMYFUNCTION("""COMPUTED_VALUE"""),"")</f>
        <v/>
      </c>
      <c r="G1471" t="str">
        <f>IFERROR(__xludf.DUMMYFUNCTION("""COMPUTED_VALUE"""),"")</f>
        <v/>
      </c>
      <c r="H1471" s="2" t="str">
        <f>IFERROR(__xludf.DUMMYFUNCTION("""COMPUTED_VALUE"""),"")</f>
        <v/>
      </c>
      <c r="I1471" s="2" t="str">
        <f>IFERROR(__xludf.DUMMYFUNCTION("""COMPUTED_VALUE"""),"")</f>
        <v/>
      </c>
      <c r="J1471" s="2">
        <f>IFERROR(__xludf.DUMMYFUNCTION("""COMPUTED_VALUE"""),0.0)</f>
        <v>0</v>
      </c>
      <c r="K1471" s="5" t="str">
        <f>IFERROR(__xludf.DUMMYFUNCTION("""COMPUTED_VALUE"""),"")</f>
        <v/>
      </c>
      <c r="L1471" t="str">
        <f>IFERROR(__xludf.DUMMYFUNCTION("""COMPUTED_VALUE"""),"")</f>
        <v/>
      </c>
      <c r="M1471" t="str">
        <f>IFERROR(__xludf.DUMMYFUNCTION("""COMPUTED_VALUE"""),"")</f>
        <v/>
      </c>
      <c r="N1471" t="str">
        <f>IFERROR(__xludf.DUMMYFUNCTION("""COMPUTED_VALUE"""),"")</f>
        <v/>
      </c>
      <c r="O1471" t="str">
        <f>IFERROR(__xludf.DUMMYFUNCTION("""COMPUTED_VALUE"""),"")</f>
        <v/>
      </c>
      <c r="P1471" t="str">
        <f>IFERROR(__xludf.DUMMYFUNCTION("""COMPUTED_VALUE"""),"ID ")</f>
        <v>ID </v>
      </c>
    </row>
    <row r="1472">
      <c r="A1472" s="6" t="str">
        <f>IFERROR(__xludf.DUMMYFUNCTION("""COMPUTED_VALUE"""),"")</f>
        <v/>
      </c>
      <c r="C1472" t="str">
        <f>IFERROR(__xludf.DUMMYFUNCTION("""COMPUTED_VALUE"""),"")</f>
        <v/>
      </c>
      <c r="D1472" t="str">
        <f>IFERROR(__xludf.DUMMYFUNCTION("""COMPUTED_VALUE"""),"")</f>
        <v/>
      </c>
      <c r="E1472" t="str">
        <f>IFERROR(__xludf.DUMMYFUNCTION("""COMPUTED_VALUE"""),"")</f>
        <v/>
      </c>
      <c r="F1472" t="str">
        <f>IFERROR(__xludf.DUMMYFUNCTION("""COMPUTED_VALUE"""),"")</f>
        <v/>
      </c>
      <c r="G1472" t="str">
        <f>IFERROR(__xludf.DUMMYFUNCTION("""COMPUTED_VALUE"""),"")</f>
        <v/>
      </c>
      <c r="H1472" s="2" t="str">
        <f>IFERROR(__xludf.DUMMYFUNCTION("""COMPUTED_VALUE"""),"")</f>
        <v/>
      </c>
      <c r="I1472" s="2" t="str">
        <f>IFERROR(__xludf.DUMMYFUNCTION("""COMPUTED_VALUE"""),"")</f>
        <v/>
      </c>
      <c r="J1472" s="2">
        <f>IFERROR(__xludf.DUMMYFUNCTION("""COMPUTED_VALUE"""),0.0)</f>
        <v>0</v>
      </c>
      <c r="K1472" s="5" t="str">
        <f>IFERROR(__xludf.DUMMYFUNCTION("""COMPUTED_VALUE"""),"")</f>
        <v/>
      </c>
      <c r="L1472" t="str">
        <f>IFERROR(__xludf.DUMMYFUNCTION("""COMPUTED_VALUE"""),"")</f>
        <v/>
      </c>
      <c r="M1472" t="str">
        <f>IFERROR(__xludf.DUMMYFUNCTION("""COMPUTED_VALUE"""),"")</f>
        <v/>
      </c>
      <c r="N1472" t="str">
        <f>IFERROR(__xludf.DUMMYFUNCTION("""COMPUTED_VALUE"""),"")</f>
        <v/>
      </c>
      <c r="O1472" t="str">
        <f>IFERROR(__xludf.DUMMYFUNCTION("""COMPUTED_VALUE"""),"")</f>
        <v/>
      </c>
      <c r="P1472" t="str">
        <f>IFERROR(__xludf.DUMMYFUNCTION("""COMPUTED_VALUE"""),"ID ")</f>
        <v>ID </v>
      </c>
    </row>
    <row r="1473">
      <c r="A1473" s="6" t="str">
        <f>IFERROR(__xludf.DUMMYFUNCTION("""COMPUTED_VALUE"""),"")</f>
        <v/>
      </c>
      <c r="C1473" t="str">
        <f>IFERROR(__xludf.DUMMYFUNCTION("""COMPUTED_VALUE"""),"")</f>
        <v/>
      </c>
      <c r="D1473" t="str">
        <f>IFERROR(__xludf.DUMMYFUNCTION("""COMPUTED_VALUE"""),"")</f>
        <v/>
      </c>
      <c r="E1473" t="str">
        <f>IFERROR(__xludf.DUMMYFUNCTION("""COMPUTED_VALUE"""),"")</f>
        <v/>
      </c>
      <c r="F1473" t="str">
        <f>IFERROR(__xludf.DUMMYFUNCTION("""COMPUTED_VALUE"""),"")</f>
        <v/>
      </c>
      <c r="G1473" t="str">
        <f>IFERROR(__xludf.DUMMYFUNCTION("""COMPUTED_VALUE"""),"")</f>
        <v/>
      </c>
      <c r="H1473" s="2" t="str">
        <f>IFERROR(__xludf.DUMMYFUNCTION("""COMPUTED_VALUE"""),"")</f>
        <v/>
      </c>
      <c r="I1473" s="2" t="str">
        <f>IFERROR(__xludf.DUMMYFUNCTION("""COMPUTED_VALUE"""),"")</f>
        <v/>
      </c>
      <c r="J1473" s="2">
        <f>IFERROR(__xludf.DUMMYFUNCTION("""COMPUTED_VALUE"""),0.0)</f>
        <v>0</v>
      </c>
      <c r="K1473" s="5" t="str">
        <f>IFERROR(__xludf.DUMMYFUNCTION("""COMPUTED_VALUE"""),"")</f>
        <v/>
      </c>
      <c r="L1473" t="str">
        <f>IFERROR(__xludf.DUMMYFUNCTION("""COMPUTED_VALUE"""),"")</f>
        <v/>
      </c>
      <c r="M1473" t="str">
        <f>IFERROR(__xludf.DUMMYFUNCTION("""COMPUTED_VALUE"""),"")</f>
        <v/>
      </c>
      <c r="N1473" t="str">
        <f>IFERROR(__xludf.DUMMYFUNCTION("""COMPUTED_VALUE"""),"")</f>
        <v/>
      </c>
      <c r="O1473" t="str">
        <f>IFERROR(__xludf.DUMMYFUNCTION("""COMPUTED_VALUE"""),"")</f>
        <v/>
      </c>
      <c r="P1473" t="str">
        <f>IFERROR(__xludf.DUMMYFUNCTION("""COMPUTED_VALUE"""),"ID ")</f>
        <v>ID </v>
      </c>
    </row>
    <row r="1474">
      <c r="A1474" s="6" t="str">
        <f>IFERROR(__xludf.DUMMYFUNCTION("""COMPUTED_VALUE"""),"")</f>
        <v/>
      </c>
      <c r="C1474" t="str">
        <f>IFERROR(__xludf.DUMMYFUNCTION("""COMPUTED_VALUE"""),"")</f>
        <v/>
      </c>
      <c r="D1474" t="str">
        <f>IFERROR(__xludf.DUMMYFUNCTION("""COMPUTED_VALUE"""),"")</f>
        <v/>
      </c>
      <c r="E1474" t="str">
        <f>IFERROR(__xludf.DUMMYFUNCTION("""COMPUTED_VALUE"""),"")</f>
        <v/>
      </c>
      <c r="F1474" t="str">
        <f>IFERROR(__xludf.DUMMYFUNCTION("""COMPUTED_VALUE"""),"")</f>
        <v/>
      </c>
      <c r="G1474" t="str">
        <f>IFERROR(__xludf.DUMMYFUNCTION("""COMPUTED_VALUE"""),"")</f>
        <v/>
      </c>
      <c r="H1474" s="2" t="str">
        <f>IFERROR(__xludf.DUMMYFUNCTION("""COMPUTED_VALUE"""),"")</f>
        <v/>
      </c>
      <c r="I1474" s="2" t="str">
        <f>IFERROR(__xludf.DUMMYFUNCTION("""COMPUTED_VALUE"""),"")</f>
        <v/>
      </c>
      <c r="J1474" s="2">
        <f>IFERROR(__xludf.DUMMYFUNCTION("""COMPUTED_VALUE"""),0.0)</f>
        <v>0</v>
      </c>
      <c r="K1474" s="5" t="str">
        <f>IFERROR(__xludf.DUMMYFUNCTION("""COMPUTED_VALUE"""),"")</f>
        <v/>
      </c>
      <c r="L1474" t="str">
        <f>IFERROR(__xludf.DUMMYFUNCTION("""COMPUTED_VALUE"""),"")</f>
        <v/>
      </c>
      <c r="M1474" t="str">
        <f>IFERROR(__xludf.DUMMYFUNCTION("""COMPUTED_VALUE"""),"")</f>
        <v/>
      </c>
      <c r="N1474" t="str">
        <f>IFERROR(__xludf.DUMMYFUNCTION("""COMPUTED_VALUE"""),"")</f>
        <v/>
      </c>
      <c r="O1474" t="str">
        <f>IFERROR(__xludf.DUMMYFUNCTION("""COMPUTED_VALUE"""),"")</f>
        <v/>
      </c>
      <c r="P1474" t="str">
        <f>IFERROR(__xludf.DUMMYFUNCTION("""COMPUTED_VALUE"""),"ID ")</f>
        <v>ID </v>
      </c>
    </row>
    <row r="1475">
      <c r="A1475" s="6" t="str">
        <f>IFERROR(__xludf.DUMMYFUNCTION("""COMPUTED_VALUE"""),"")</f>
        <v/>
      </c>
      <c r="C1475" t="str">
        <f>IFERROR(__xludf.DUMMYFUNCTION("""COMPUTED_VALUE"""),"")</f>
        <v/>
      </c>
      <c r="D1475" t="str">
        <f>IFERROR(__xludf.DUMMYFUNCTION("""COMPUTED_VALUE"""),"")</f>
        <v/>
      </c>
      <c r="E1475" t="str">
        <f>IFERROR(__xludf.DUMMYFUNCTION("""COMPUTED_VALUE"""),"")</f>
        <v/>
      </c>
      <c r="F1475" t="str">
        <f>IFERROR(__xludf.DUMMYFUNCTION("""COMPUTED_VALUE"""),"")</f>
        <v/>
      </c>
      <c r="G1475" t="str">
        <f>IFERROR(__xludf.DUMMYFUNCTION("""COMPUTED_VALUE"""),"")</f>
        <v/>
      </c>
      <c r="H1475" s="2" t="str">
        <f>IFERROR(__xludf.DUMMYFUNCTION("""COMPUTED_VALUE"""),"")</f>
        <v/>
      </c>
      <c r="I1475" s="2" t="str">
        <f>IFERROR(__xludf.DUMMYFUNCTION("""COMPUTED_VALUE"""),"")</f>
        <v/>
      </c>
      <c r="J1475" s="2">
        <f>IFERROR(__xludf.DUMMYFUNCTION("""COMPUTED_VALUE"""),0.0)</f>
        <v>0</v>
      </c>
      <c r="K1475" s="5" t="str">
        <f>IFERROR(__xludf.DUMMYFUNCTION("""COMPUTED_VALUE"""),"")</f>
        <v/>
      </c>
      <c r="L1475" t="str">
        <f>IFERROR(__xludf.DUMMYFUNCTION("""COMPUTED_VALUE"""),"")</f>
        <v/>
      </c>
      <c r="M1475" t="str">
        <f>IFERROR(__xludf.DUMMYFUNCTION("""COMPUTED_VALUE"""),"")</f>
        <v/>
      </c>
      <c r="N1475" t="str">
        <f>IFERROR(__xludf.DUMMYFUNCTION("""COMPUTED_VALUE"""),"")</f>
        <v/>
      </c>
      <c r="O1475" t="str">
        <f>IFERROR(__xludf.DUMMYFUNCTION("""COMPUTED_VALUE"""),"")</f>
        <v/>
      </c>
      <c r="P1475" t="str">
        <f>IFERROR(__xludf.DUMMYFUNCTION("""COMPUTED_VALUE"""),"ID ")</f>
        <v>ID </v>
      </c>
    </row>
    <row r="1476">
      <c r="A1476" s="6" t="str">
        <f>IFERROR(__xludf.DUMMYFUNCTION("""COMPUTED_VALUE"""),"")</f>
        <v/>
      </c>
      <c r="C1476" t="str">
        <f>IFERROR(__xludf.DUMMYFUNCTION("""COMPUTED_VALUE"""),"")</f>
        <v/>
      </c>
      <c r="D1476" t="str">
        <f>IFERROR(__xludf.DUMMYFUNCTION("""COMPUTED_VALUE"""),"")</f>
        <v/>
      </c>
      <c r="E1476" t="str">
        <f>IFERROR(__xludf.DUMMYFUNCTION("""COMPUTED_VALUE"""),"")</f>
        <v/>
      </c>
      <c r="F1476" t="str">
        <f>IFERROR(__xludf.DUMMYFUNCTION("""COMPUTED_VALUE"""),"")</f>
        <v/>
      </c>
      <c r="G1476" t="str">
        <f>IFERROR(__xludf.DUMMYFUNCTION("""COMPUTED_VALUE"""),"")</f>
        <v/>
      </c>
      <c r="H1476" s="2" t="str">
        <f>IFERROR(__xludf.DUMMYFUNCTION("""COMPUTED_VALUE"""),"")</f>
        <v/>
      </c>
      <c r="I1476" s="2" t="str">
        <f>IFERROR(__xludf.DUMMYFUNCTION("""COMPUTED_VALUE"""),"")</f>
        <v/>
      </c>
      <c r="J1476" s="2">
        <f>IFERROR(__xludf.DUMMYFUNCTION("""COMPUTED_VALUE"""),0.0)</f>
        <v>0</v>
      </c>
      <c r="K1476" s="5" t="str">
        <f>IFERROR(__xludf.DUMMYFUNCTION("""COMPUTED_VALUE"""),"")</f>
        <v/>
      </c>
      <c r="L1476" t="str">
        <f>IFERROR(__xludf.DUMMYFUNCTION("""COMPUTED_VALUE"""),"")</f>
        <v/>
      </c>
      <c r="M1476" t="str">
        <f>IFERROR(__xludf.DUMMYFUNCTION("""COMPUTED_VALUE"""),"")</f>
        <v/>
      </c>
      <c r="N1476" t="str">
        <f>IFERROR(__xludf.DUMMYFUNCTION("""COMPUTED_VALUE"""),"")</f>
        <v/>
      </c>
      <c r="O1476" t="str">
        <f>IFERROR(__xludf.DUMMYFUNCTION("""COMPUTED_VALUE"""),"")</f>
        <v/>
      </c>
      <c r="P1476" t="str">
        <f>IFERROR(__xludf.DUMMYFUNCTION("""COMPUTED_VALUE"""),"ID ")</f>
        <v>ID </v>
      </c>
    </row>
    <row r="1477">
      <c r="A1477" s="6" t="str">
        <f>IFERROR(__xludf.DUMMYFUNCTION("""COMPUTED_VALUE"""),"")</f>
        <v/>
      </c>
      <c r="C1477" t="str">
        <f>IFERROR(__xludf.DUMMYFUNCTION("""COMPUTED_VALUE"""),"")</f>
        <v/>
      </c>
      <c r="D1477" t="str">
        <f>IFERROR(__xludf.DUMMYFUNCTION("""COMPUTED_VALUE"""),"")</f>
        <v/>
      </c>
      <c r="E1477" t="str">
        <f>IFERROR(__xludf.DUMMYFUNCTION("""COMPUTED_VALUE"""),"")</f>
        <v/>
      </c>
      <c r="F1477" t="str">
        <f>IFERROR(__xludf.DUMMYFUNCTION("""COMPUTED_VALUE"""),"")</f>
        <v/>
      </c>
      <c r="G1477" t="str">
        <f>IFERROR(__xludf.DUMMYFUNCTION("""COMPUTED_VALUE"""),"")</f>
        <v/>
      </c>
      <c r="H1477" s="2" t="str">
        <f>IFERROR(__xludf.DUMMYFUNCTION("""COMPUTED_VALUE"""),"")</f>
        <v/>
      </c>
      <c r="I1477" s="2" t="str">
        <f>IFERROR(__xludf.DUMMYFUNCTION("""COMPUTED_VALUE"""),"")</f>
        <v/>
      </c>
      <c r="J1477" s="2">
        <f>IFERROR(__xludf.DUMMYFUNCTION("""COMPUTED_VALUE"""),0.0)</f>
        <v>0</v>
      </c>
      <c r="K1477" s="5" t="str">
        <f>IFERROR(__xludf.DUMMYFUNCTION("""COMPUTED_VALUE"""),"")</f>
        <v/>
      </c>
      <c r="L1477" t="str">
        <f>IFERROR(__xludf.DUMMYFUNCTION("""COMPUTED_VALUE"""),"")</f>
        <v/>
      </c>
      <c r="M1477" t="str">
        <f>IFERROR(__xludf.DUMMYFUNCTION("""COMPUTED_VALUE"""),"")</f>
        <v/>
      </c>
      <c r="N1477" t="str">
        <f>IFERROR(__xludf.DUMMYFUNCTION("""COMPUTED_VALUE"""),"")</f>
        <v/>
      </c>
      <c r="O1477" t="str">
        <f>IFERROR(__xludf.DUMMYFUNCTION("""COMPUTED_VALUE"""),"")</f>
        <v/>
      </c>
      <c r="P1477" t="str">
        <f>IFERROR(__xludf.DUMMYFUNCTION("""COMPUTED_VALUE"""),"ID ")</f>
        <v>ID </v>
      </c>
    </row>
    <row r="1478">
      <c r="A1478" s="6" t="str">
        <f>IFERROR(__xludf.DUMMYFUNCTION("""COMPUTED_VALUE"""),"")</f>
        <v/>
      </c>
      <c r="C1478" t="str">
        <f>IFERROR(__xludf.DUMMYFUNCTION("""COMPUTED_VALUE"""),"")</f>
        <v/>
      </c>
      <c r="D1478" t="str">
        <f>IFERROR(__xludf.DUMMYFUNCTION("""COMPUTED_VALUE"""),"")</f>
        <v/>
      </c>
      <c r="E1478" t="str">
        <f>IFERROR(__xludf.DUMMYFUNCTION("""COMPUTED_VALUE"""),"")</f>
        <v/>
      </c>
      <c r="F1478" t="str">
        <f>IFERROR(__xludf.DUMMYFUNCTION("""COMPUTED_VALUE"""),"")</f>
        <v/>
      </c>
      <c r="G1478" t="str">
        <f>IFERROR(__xludf.DUMMYFUNCTION("""COMPUTED_VALUE"""),"")</f>
        <v/>
      </c>
      <c r="H1478" s="2" t="str">
        <f>IFERROR(__xludf.DUMMYFUNCTION("""COMPUTED_VALUE"""),"")</f>
        <v/>
      </c>
      <c r="I1478" s="2" t="str">
        <f>IFERROR(__xludf.DUMMYFUNCTION("""COMPUTED_VALUE"""),"")</f>
        <v/>
      </c>
      <c r="J1478" s="2">
        <f>IFERROR(__xludf.DUMMYFUNCTION("""COMPUTED_VALUE"""),0.0)</f>
        <v>0</v>
      </c>
      <c r="K1478" s="5" t="str">
        <f>IFERROR(__xludf.DUMMYFUNCTION("""COMPUTED_VALUE"""),"")</f>
        <v/>
      </c>
      <c r="L1478" t="str">
        <f>IFERROR(__xludf.DUMMYFUNCTION("""COMPUTED_VALUE"""),"")</f>
        <v/>
      </c>
      <c r="M1478" t="str">
        <f>IFERROR(__xludf.DUMMYFUNCTION("""COMPUTED_VALUE"""),"")</f>
        <v/>
      </c>
      <c r="N1478" t="str">
        <f>IFERROR(__xludf.DUMMYFUNCTION("""COMPUTED_VALUE"""),"")</f>
        <v/>
      </c>
      <c r="O1478" t="str">
        <f>IFERROR(__xludf.DUMMYFUNCTION("""COMPUTED_VALUE"""),"")</f>
        <v/>
      </c>
      <c r="P1478" t="str">
        <f>IFERROR(__xludf.DUMMYFUNCTION("""COMPUTED_VALUE"""),"ID ")</f>
        <v>ID </v>
      </c>
    </row>
    <row r="1479">
      <c r="A1479" s="6" t="str">
        <f>IFERROR(__xludf.DUMMYFUNCTION("""COMPUTED_VALUE"""),"")</f>
        <v/>
      </c>
      <c r="C1479" t="str">
        <f>IFERROR(__xludf.DUMMYFUNCTION("""COMPUTED_VALUE"""),"")</f>
        <v/>
      </c>
      <c r="D1479" t="str">
        <f>IFERROR(__xludf.DUMMYFUNCTION("""COMPUTED_VALUE"""),"")</f>
        <v/>
      </c>
      <c r="E1479" t="str">
        <f>IFERROR(__xludf.DUMMYFUNCTION("""COMPUTED_VALUE"""),"")</f>
        <v/>
      </c>
      <c r="F1479" t="str">
        <f>IFERROR(__xludf.DUMMYFUNCTION("""COMPUTED_VALUE"""),"")</f>
        <v/>
      </c>
      <c r="G1479" t="str">
        <f>IFERROR(__xludf.DUMMYFUNCTION("""COMPUTED_VALUE"""),"")</f>
        <v/>
      </c>
      <c r="H1479" s="2" t="str">
        <f>IFERROR(__xludf.DUMMYFUNCTION("""COMPUTED_VALUE"""),"")</f>
        <v/>
      </c>
      <c r="I1479" s="2" t="str">
        <f>IFERROR(__xludf.DUMMYFUNCTION("""COMPUTED_VALUE"""),"")</f>
        <v/>
      </c>
      <c r="J1479" s="2">
        <f>IFERROR(__xludf.DUMMYFUNCTION("""COMPUTED_VALUE"""),0.0)</f>
        <v>0</v>
      </c>
      <c r="K1479" s="5" t="str">
        <f>IFERROR(__xludf.DUMMYFUNCTION("""COMPUTED_VALUE"""),"")</f>
        <v/>
      </c>
      <c r="L1479" t="str">
        <f>IFERROR(__xludf.DUMMYFUNCTION("""COMPUTED_VALUE"""),"")</f>
        <v/>
      </c>
      <c r="M1479" t="str">
        <f>IFERROR(__xludf.DUMMYFUNCTION("""COMPUTED_VALUE"""),"")</f>
        <v/>
      </c>
      <c r="N1479" t="str">
        <f>IFERROR(__xludf.DUMMYFUNCTION("""COMPUTED_VALUE"""),"")</f>
        <v/>
      </c>
      <c r="O1479" t="str">
        <f>IFERROR(__xludf.DUMMYFUNCTION("""COMPUTED_VALUE"""),"")</f>
        <v/>
      </c>
      <c r="P1479" t="str">
        <f>IFERROR(__xludf.DUMMYFUNCTION("""COMPUTED_VALUE"""),"ID ")</f>
        <v>ID </v>
      </c>
    </row>
    <row r="1480">
      <c r="A1480" s="6" t="str">
        <f>IFERROR(__xludf.DUMMYFUNCTION("""COMPUTED_VALUE"""),"")</f>
        <v/>
      </c>
      <c r="C1480" t="str">
        <f>IFERROR(__xludf.DUMMYFUNCTION("""COMPUTED_VALUE"""),"")</f>
        <v/>
      </c>
      <c r="D1480" t="str">
        <f>IFERROR(__xludf.DUMMYFUNCTION("""COMPUTED_VALUE"""),"")</f>
        <v/>
      </c>
      <c r="E1480" t="str">
        <f>IFERROR(__xludf.DUMMYFUNCTION("""COMPUTED_VALUE"""),"")</f>
        <v/>
      </c>
      <c r="F1480" t="str">
        <f>IFERROR(__xludf.DUMMYFUNCTION("""COMPUTED_VALUE"""),"")</f>
        <v/>
      </c>
      <c r="G1480" t="str">
        <f>IFERROR(__xludf.DUMMYFUNCTION("""COMPUTED_VALUE"""),"")</f>
        <v/>
      </c>
      <c r="H1480" s="2" t="str">
        <f>IFERROR(__xludf.DUMMYFUNCTION("""COMPUTED_VALUE"""),"")</f>
        <v/>
      </c>
      <c r="I1480" s="2" t="str">
        <f>IFERROR(__xludf.DUMMYFUNCTION("""COMPUTED_VALUE"""),"")</f>
        <v/>
      </c>
      <c r="J1480" s="2">
        <f>IFERROR(__xludf.DUMMYFUNCTION("""COMPUTED_VALUE"""),0.0)</f>
        <v>0</v>
      </c>
      <c r="K1480" s="5" t="str">
        <f>IFERROR(__xludf.DUMMYFUNCTION("""COMPUTED_VALUE"""),"")</f>
        <v/>
      </c>
      <c r="L1480" t="str">
        <f>IFERROR(__xludf.DUMMYFUNCTION("""COMPUTED_VALUE"""),"")</f>
        <v/>
      </c>
      <c r="M1480" t="str">
        <f>IFERROR(__xludf.DUMMYFUNCTION("""COMPUTED_VALUE"""),"")</f>
        <v/>
      </c>
      <c r="N1480" t="str">
        <f>IFERROR(__xludf.DUMMYFUNCTION("""COMPUTED_VALUE"""),"")</f>
        <v/>
      </c>
      <c r="O1480" t="str">
        <f>IFERROR(__xludf.DUMMYFUNCTION("""COMPUTED_VALUE"""),"")</f>
        <v/>
      </c>
      <c r="P1480" t="str">
        <f>IFERROR(__xludf.DUMMYFUNCTION("""COMPUTED_VALUE"""),"ID ")</f>
        <v>ID </v>
      </c>
    </row>
    <row r="1481">
      <c r="A1481" s="6" t="str">
        <f>IFERROR(__xludf.DUMMYFUNCTION("""COMPUTED_VALUE"""),"")</f>
        <v/>
      </c>
      <c r="C1481" t="str">
        <f>IFERROR(__xludf.DUMMYFUNCTION("""COMPUTED_VALUE"""),"")</f>
        <v/>
      </c>
      <c r="D1481" t="str">
        <f>IFERROR(__xludf.DUMMYFUNCTION("""COMPUTED_VALUE"""),"")</f>
        <v/>
      </c>
      <c r="E1481" t="str">
        <f>IFERROR(__xludf.DUMMYFUNCTION("""COMPUTED_VALUE"""),"")</f>
        <v/>
      </c>
      <c r="F1481" t="str">
        <f>IFERROR(__xludf.DUMMYFUNCTION("""COMPUTED_VALUE"""),"")</f>
        <v/>
      </c>
      <c r="G1481" t="str">
        <f>IFERROR(__xludf.DUMMYFUNCTION("""COMPUTED_VALUE"""),"")</f>
        <v/>
      </c>
      <c r="H1481" s="2" t="str">
        <f>IFERROR(__xludf.DUMMYFUNCTION("""COMPUTED_VALUE"""),"")</f>
        <v/>
      </c>
      <c r="I1481" s="2" t="str">
        <f>IFERROR(__xludf.DUMMYFUNCTION("""COMPUTED_VALUE"""),"")</f>
        <v/>
      </c>
      <c r="J1481" s="2">
        <f>IFERROR(__xludf.DUMMYFUNCTION("""COMPUTED_VALUE"""),0.0)</f>
        <v>0</v>
      </c>
      <c r="K1481" s="5" t="str">
        <f>IFERROR(__xludf.DUMMYFUNCTION("""COMPUTED_VALUE"""),"")</f>
        <v/>
      </c>
      <c r="L1481" t="str">
        <f>IFERROR(__xludf.DUMMYFUNCTION("""COMPUTED_VALUE"""),"")</f>
        <v/>
      </c>
      <c r="M1481" t="str">
        <f>IFERROR(__xludf.DUMMYFUNCTION("""COMPUTED_VALUE"""),"")</f>
        <v/>
      </c>
      <c r="N1481" t="str">
        <f>IFERROR(__xludf.DUMMYFUNCTION("""COMPUTED_VALUE"""),"")</f>
        <v/>
      </c>
      <c r="O1481" t="str">
        <f>IFERROR(__xludf.DUMMYFUNCTION("""COMPUTED_VALUE"""),"")</f>
        <v/>
      </c>
      <c r="P1481" t="str">
        <f>IFERROR(__xludf.DUMMYFUNCTION("""COMPUTED_VALUE"""),"ID ")</f>
        <v>ID </v>
      </c>
    </row>
    <row r="1482">
      <c r="A1482" s="6" t="str">
        <f>IFERROR(__xludf.DUMMYFUNCTION("""COMPUTED_VALUE"""),"")</f>
        <v/>
      </c>
      <c r="C1482" t="str">
        <f>IFERROR(__xludf.DUMMYFUNCTION("""COMPUTED_VALUE"""),"")</f>
        <v/>
      </c>
      <c r="D1482" t="str">
        <f>IFERROR(__xludf.DUMMYFUNCTION("""COMPUTED_VALUE"""),"")</f>
        <v/>
      </c>
      <c r="E1482" t="str">
        <f>IFERROR(__xludf.DUMMYFUNCTION("""COMPUTED_VALUE"""),"")</f>
        <v/>
      </c>
      <c r="F1482" t="str">
        <f>IFERROR(__xludf.DUMMYFUNCTION("""COMPUTED_VALUE"""),"")</f>
        <v/>
      </c>
      <c r="G1482" t="str">
        <f>IFERROR(__xludf.DUMMYFUNCTION("""COMPUTED_VALUE"""),"")</f>
        <v/>
      </c>
      <c r="H1482" s="2" t="str">
        <f>IFERROR(__xludf.DUMMYFUNCTION("""COMPUTED_VALUE"""),"")</f>
        <v/>
      </c>
      <c r="I1482" s="2" t="str">
        <f>IFERROR(__xludf.DUMMYFUNCTION("""COMPUTED_VALUE"""),"")</f>
        <v/>
      </c>
      <c r="J1482" s="2">
        <f>IFERROR(__xludf.DUMMYFUNCTION("""COMPUTED_VALUE"""),0.0)</f>
        <v>0</v>
      </c>
      <c r="K1482" s="5" t="str">
        <f>IFERROR(__xludf.DUMMYFUNCTION("""COMPUTED_VALUE"""),"")</f>
        <v/>
      </c>
      <c r="L1482" t="str">
        <f>IFERROR(__xludf.DUMMYFUNCTION("""COMPUTED_VALUE"""),"")</f>
        <v/>
      </c>
      <c r="M1482" t="str">
        <f>IFERROR(__xludf.DUMMYFUNCTION("""COMPUTED_VALUE"""),"")</f>
        <v/>
      </c>
      <c r="N1482" t="str">
        <f>IFERROR(__xludf.DUMMYFUNCTION("""COMPUTED_VALUE"""),"")</f>
        <v/>
      </c>
      <c r="O1482" t="str">
        <f>IFERROR(__xludf.DUMMYFUNCTION("""COMPUTED_VALUE"""),"")</f>
        <v/>
      </c>
      <c r="P1482" t="str">
        <f>IFERROR(__xludf.DUMMYFUNCTION("""COMPUTED_VALUE"""),"ID ")</f>
        <v>ID </v>
      </c>
    </row>
    <row r="1483">
      <c r="A1483" s="6" t="str">
        <f>IFERROR(__xludf.DUMMYFUNCTION("""COMPUTED_VALUE"""),"")</f>
        <v/>
      </c>
      <c r="C1483" t="str">
        <f>IFERROR(__xludf.DUMMYFUNCTION("""COMPUTED_VALUE"""),"")</f>
        <v/>
      </c>
      <c r="D1483" t="str">
        <f>IFERROR(__xludf.DUMMYFUNCTION("""COMPUTED_VALUE"""),"")</f>
        <v/>
      </c>
      <c r="E1483" t="str">
        <f>IFERROR(__xludf.DUMMYFUNCTION("""COMPUTED_VALUE"""),"")</f>
        <v/>
      </c>
      <c r="F1483" t="str">
        <f>IFERROR(__xludf.DUMMYFUNCTION("""COMPUTED_VALUE"""),"")</f>
        <v/>
      </c>
      <c r="G1483" t="str">
        <f>IFERROR(__xludf.DUMMYFUNCTION("""COMPUTED_VALUE"""),"")</f>
        <v/>
      </c>
      <c r="H1483" s="2" t="str">
        <f>IFERROR(__xludf.DUMMYFUNCTION("""COMPUTED_VALUE"""),"")</f>
        <v/>
      </c>
      <c r="I1483" s="2" t="str">
        <f>IFERROR(__xludf.DUMMYFUNCTION("""COMPUTED_VALUE"""),"")</f>
        <v/>
      </c>
      <c r="J1483" s="2">
        <f>IFERROR(__xludf.DUMMYFUNCTION("""COMPUTED_VALUE"""),0.0)</f>
        <v>0</v>
      </c>
      <c r="K1483" s="5" t="str">
        <f>IFERROR(__xludf.DUMMYFUNCTION("""COMPUTED_VALUE"""),"")</f>
        <v/>
      </c>
      <c r="L1483" t="str">
        <f>IFERROR(__xludf.DUMMYFUNCTION("""COMPUTED_VALUE"""),"")</f>
        <v/>
      </c>
      <c r="M1483" t="str">
        <f>IFERROR(__xludf.DUMMYFUNCTION("""COMPUTED_VALUE"""),"")</f>
        <v/>
      </c>
      <c r="N1483" t="str">
        <f>IFERROR(__xludf.DUMMYFUNCTION("""COMPUTED_VALUE"""),"")</f>
        <v/>
      </c>
      <c r="O1483" t="str">
        <f>IFERROR(__xludf.DUMMYFUNCTION("""COMPUTED_VALUE"""),"")</f>
        <v/>
      </c>
      <c r="P1483" t="str">
        <f>IFERROR(__xludf.DUMMYFUNCTION("""COMPUTED_VALUE"""),"ID ")</f>
        <v>ID </v>
      </c>
    </row>
    <row r="1484">
      <c r="A1484" s="6" t="str">
        <f>IFERROR(__xludf.DUMMYFUNCTION("""COMPUTED_VALUE"""),"")</f>
        <v/>
      </c>
      <c r="C1484" t="str">
        <f>IFERROR(__xludf.DUMMYFUNCTION("""COMPUTED_VALUE"""),"")</f>
        <v/>
      </c>
      <c r="D1484" t="str">
        <f>IFERROR(__xludf.DUMMYFUNCTION("""COMPUTED_VALUE"""),"")</f>
        <v/>
      </c>
      <c r="E1484" t="str">
        <f>IFERROR(__xludf.DUMMYFUNCTION("""COMPUTED_VALUE"""),"")</f>
        <v/>
      </c>
      <c r="F1484" t="str">
        <f>IFERROR(__xludf.DUMMYFUNCTION("""COMPUTED_VALUE"""),"")</f>
        <v/>
      </c>
      <c r="G1484" t="str">
        <f>IFERROR(__xludf.DUMMYFUNCTION("""COMPUTED_VALUE"""),"")</f>
        <v/>
      </c>
      <c r="H1484" s="2" t="str">
        <f>IFERROR(__xludf.DUMMYFUNCTION("""COMPUTED_VALUE"""),"")</f>
        <v/>
      </c>
      <c r="I1484" s="2" t="str">
        <f>IFERROR(__xludf.DUMMYFUNCTION("""COMPUTED_VALUE"""),"")</f>
        <v/>
      </c>
      <c r="J1484" s="2">
        <f>IFERROR(__xludf.DUMMYFUNCTION("""COMPUTED_VALUE"""),0.0)</f>
        <v>0</v>
      </c>
      <c r="K1484" s="5" t="str">
        <f>IFERROR(__xludf.DUMMYFUNCTION("""COMPUTED_VALUE"""),"")</f>
        <v/>
      </c>
      <c r="L1484" t="str">
        <f>IFERROR(__xludf.DUMMYFUNCTION("""COMPUTED_VALUE"""),"")</f>
        <v/>
      </c>
      <c r="M1484" t="str">
        <f>IFERROR(__xludf.DUMMYFUNCTION("""COMPUTED_VALUE"""),"")</f>
        <v/>
      </c>
      <c r="N1484" t="str">
        <f>IFERROR(__xludf.DUMMYFUNCTION("""COMPUTED_VALUE"""),"")</f>
        <v/>
      </c>
      <c r="O1484" t="str">
        <f>IFERROR(__xludf.DUMMYFUNCTION("""COMPUTED_VALUE"""),"")</f>
        <v/>
      </c>
      <c r="P1484" t="str">
        <f>IFERROR(__xludf.DUMMYFUNCTION("""COMPUTED_VALUE"""),"ID ")</f>
        <v>ID </v>
      </c>
    </row>
    <row r="1485">
      <c r="A1485" s="6" t="str">
        <f>IFERROR(__xludf.DUMMYFUNCTION("""COMPUTED_VALUE"""),"")</f>
        <v/>
      </c>
      <c r="C1485" t="str">
        <f>IFERROR(__xludf.DUMMYFUNCTION("""COMPUTED_VALUE"""),"")</f>
        <v/>
      </c>
      <c r="D1485" t="str">
        <f>IFERROR(__xludf.DUMMYFUNCTION("""COMPUTED_VALUE"""),"")</f>
        <v/>
      </c>
      <c r="E1485" t="str">
        <f>IFERROR(__xludf.DUMMYFUNCTION("""COMPUTED_VALUE"""),"")</f>
        <v/>
      </c>
      <c r="F1485" t="str">
        <f>IFERROR(__xludf.DUMMYFUNCTION("""COMPUTED_VALUE"""),"")</f>
        <v/>
      </c>
      <c r="G1485" t="str">
        <f>IFERROR(__xludf.DUMMYFUNCTION("""COMPUTED_VALUE"""),"")</f>
        <v/>
      </c>
      <c r="H1485" s="2" t="str">
        <f>IFERROR(__xludf.DUMMYFUNCTION("""COMPUTED_VALUE"""),"")</f>
        <v/>
      </c>
      <c r="I1485" s="2" t="str">
        <f>IFERROR(__xludf.DUMMYFUNCTION("""COMPUTED_VALUE"""),"")</f>
        <v/>
      </c>
      <c r="J1485" s="2">
        <f>IFERROR(__xludf.DUMMYFUNCTION("""COMPUTED_VALUE"""),0.0)</f>
        <v>0</v>
      </c>
      <c r="K1485" s="5" t="str">
        <f>IFERROR(__xludf.DUMMYFUNCTION("""COMPUTED_VALUE"""),"")</f>
        <v/>
      </c>
      <c r="L1485" t="str">
        <f>IFERROR(__xludf.DUMMYFUNCTION("""COMPUTED_VALUE"""),"")</f>
        <v/>
      </c>
      <c r="M1485" t="str">
        <f>IFERROR(__xludf.DUMMYFUNCTION("""COMPUTED_VALUE"""),"")</f>
        <v/>
      </c>
      <c r="N1485" t="str">
        <f>IFERROR(__xludf.DUMMYFUNCTION("""COMPUTED_VALUE"""),"")</f>
        <v/>
      </c>
      <c r="O1485" t="str">
        <f>IFERROR(__xludf.DUMMYFUNCTION("""COMPUTED_VALUE"""),"")</f>
        <v/>
      </c>
      <c r="P1485" t="str">
        <f>IFERROR(__xludf.DUMMYFUNCTION("""COMPUTED_VALUE"""),"ID ")</f>
        <v>ID </v>
      </c>
    </row>
    <row r="1486">
      <c r="A1486" s="6" t="str">
        <f>IFERROR(__xludf.DUMMYFUNCTION("""COMPUTED_VALUE"""),"")</f>
        <v/>
      </c>
      <c r="C1486" t="str">
        <f>IFERROR(__xludf.DUMMYFUNCTION("""COMPUTED_VALUE"""),"")</f>
        <v/>
      </c>
      <c r="D1486" t="str">
        <f>IFERROR(__xludf.DUMMYFUNCTION("""COMPUTED_VALUE"""),"")</f>
        <v/>
      </c>
      <c r="E1486" t="str">
        <f>IFERROR(__xludf.DUMMYFUNCTION("""COMPUTED_VALUE"""),"")</f>
        <v/>
      </c>
      <c r="F1486" t="str">
        <f>IFERROR(__xludf.DUMMYFUNCTION("""COMPUTED_VALUE"""),"")</f>
        <v/>
      </c>
      <c r="G1486" t="str">
        <f>IFERROR(__xludf.DUMMYFUNCTION("""COMPUTED_VALUE"""),"")</f>
        <v/>
      </c>
      <c r="H1486" s="2" t="str">
        <f>IFERROR(__xludf.DUMMYFUNCTION("""COMPUTED_VALUE"""),"")</f>
        <v/>
      </c>
      <c r="I1486" s="2" t="str">
        <f>IFERROR(__xludf.DUMMYFUNCTION("""COMPUTED_VALUE"""),"")</f>
        <v/>
      </c>
      <c r="J1486" s="2">
        <f>IFERROR(__xludf.DUMMYFUNCTION("""COMPUTED_VALUE"""),0.0)</f>
        <v>0</v>
      </c>
      <c r="K1486" s="5" t="str">
        <f>IFERROR(__xludf.DUMMYFUNCTION("""COMPUTED_VALUE"""),"")</f>
        <v/>
      </c>
      <c r="L1486" t="str">
        <f>IFERROR(__xludf.DUMMYFUNCTION("""COMPUTED_VALUE"""),"")</f>
        <v/>
      </c>
      <c r="M1486" t="str">
        <f>IFERROR(__xludf.DUMMYFUNCTION("""COMPUTED_VALUE"""),"")</f>
        <v/>
      </c>
      <c r="N1486" t="str">
        <f>IFERROR(__xludf.DUMMYFUNCTION("""COMPUTED_VALUE"""),"")</f>
        <v/>
      </c>
      <c r="O1486" t="str">
        <f>IFERROR(__xludf.DUMMYFUNCTION("""COMPUTED_VALUE"""),"")</f>
        <v/>
      </c>
      <c r="P1486" t="str">
        <f>IFERROR(__xludf.DUMMYFUNCTION("""COMPUTED_VALUE"""),"ID ")</f>
        <v>ID </v>
      </c>
    </row>
    <row r="1487">
      <c r="A1487" s="6" t="str">
        <f>IFERROR(__xludf.DUMMYFUNCTION("""COMPUTED_VALUE"""),"")</f>
        <v/>
      </c>
      <c r="C1487" t="str">
        <f>IFERROR(__xludf.DUMMYFUNCTION("""COMPUTED_VALUE"""),"")</f>
        <v/>
      </c>
      <c r="D1487" t="str">
        <f>IFERROR(__xludf.DUMMYFUNCTION("""COMPUTED_VALUE"""),"")</f>
        <v/>
      </c>
      <c r="E1487" t="str">
        <f>IFERROR(__xludf.DUMMYFUNCTION("""COMPUTED_VALUE"""),"")</f>
        <v/>
      </c>
      <c r="F1487" t="str">
        <f>IFERROR(__xludf.DUMMYFUNCTION("""COMPUTED_VALUE"""),"")</f>
        <v/>
      </c>
      <c r="G1487" t="str">
        <f>IFERROR(__xludf.DUMMYFUNCTION("""COMPUTED_VALUE"""),"")</f>
        <v/>
      </c>
      <c r="H1487" s="2" t="str">
        <f>IFERROR(__xludf.DUMMYFUNCTION("""COMPUTED_VALUE"""),"")</f>
        <v/>
      </c>
      <c r="I1487" s="2" t="str">
        <f>IFERROR(__xludf.DUMMYFUNCTION("""COMPUTED_VALUE"""),"")</f>
        <v/>
      </c>
      <c r="J1487" s="2">
        <f>IFERROR(__xludf.DUMMYFUNCTION("""COMPUTED_VALUE"""),0.0)</f>
        <v>0</v>
      </c>
      <c r="K1487" s="5" t="str">
        <f>IFERROR(__xludf.DUMMYFUNCTION("""COMPUTED_VALUE"""),"")</f>
        <v/>
      </c>
      <c r="L1487" t="str">
        <f>IFERROR(__xludf.DUMMYFUNCTION("""COMPUTED_VALUE"""),"")</f>
        <v/>
      </c>
      <c r="M1487" t="str">
        <f>IFERROR(__xludf.DUMMYFUNCTION("""COMPUTED_VALUE"""),"")</f>
        <v/>
      </c>
      <c r="N1487" t="str">
        <f>IFERROR(__xludf.DUMMYFUNCTION("""COMPUTED_VALUE"""),"")</f>
        <v/>
      </c>
      <c r="O1487" t="str">
        <f>IFERROR(__xludf.DUMMYFUNCTION("""COMPUTED_VALUE"""),"")</f>
        <v/>
      </c>
      <c r="P1487" t="str">
        <f>IFERROR(__xludf.DUMMYFUNCTION("""COMPUTED_VALUE"""),"ID ")</f>
        <v>ID </v>
      </c>
    </row>
    <row r="1488">
      <c r="A1488" s="6" t="str">
        <f>IFERROR(__xludf.DUMMYFUNCTION("""COMPUTED_VALUE"""),"")</f>
        <v/>
      </c>
      <c r="C1488" t="str">
        <f>IFERROR(__xludf.DUMMYFUNCTION("""COMPUTED_VALUE"""),"")</f>
        <v/>
      </c>
      <c r="D1488" t="str">
        <f>IFERROR(__xludf.DUMMYFUNCTION("""COMPUTED_VALUE"""),"")</f>
        <v/>
      </c>
      <c r="E1488" t="str">
        <f>IFERROR(__xludf.DUMMYFUNCTION("""COMPUTED_VALUE"""),"")</f>
        <v/>
      </c>
      <c r="F1488" t="str">
        <f>IFERROR(__xludf.DUMMYFUNCTION("""COMPUTED_VALUE"""),"")</f>
        <v/>
      </c>
      <c r="G1488" t="str">
        <f>IFERROR(__xludf.DUMMYFUNCTION("""COMPUTED_VALUE"""),"")</f>
        <v/>
      </c>
      <c r="H1488" s="2" t="str">
        <f>IFERROR(__xludf.DUMMYFUNCTION("""COMPUTED_VALUE"""),"")</f>
        <v/>
      </c>
      <c r="I1488" s="2" t="str">
        <f>IFERROR(__xludf.DUMMYFUNCTION("""COMPUTED_VALUE"""),"")</f>
        <v/>
      </c>
      <c r="J1488" s="2">
        <f>IFERROR(__xludf.DUMMYFUNCTION("""COMPUTED_VALUE"""),0.0)</f>
        <v>0</v>
      </c>
      <c r="K1488" s="5" t="str">
        <f>IFERROR(__xludf.DUMMYFUNCTION("""COMPUTED_VALUE"""),"")</f>
        <v/>
      </c>
      <c r="L1488" t="str">
        <f>IFERROR(__xludf.DUMMYFUNCTION("""COMPUTED_VALUE"""),"")</f>
        <v/>
      </c>
      <c r="M1488" t="str">
        <f>IFERROR(__xludf.DUMMYFUNCTION("""COMPUTED_VALUE"""),"")</f>
        <v/>
      </c>
      <c r="N1488" t="str">
        <f>IFERROR(__xludf.DUMMYFUNCTION("""COMPUTED_VALUE"""),"")</f>
        <v/>
      </c>
      <c r="O1488" t="str">
        <f>IFERROR(__xludf.DUMMYFUNCTION("""COMPUTED_VALUE"""),"")</f>
        <v/>
      </c>
      <c r="P1488" t="str">
        <f>IFERROR(__xludf.DUMMYFUNCTION("""COMPUTED_VALUE"""),"ID ")</f>
        <v>ID </v>
      </c>
    </row>
    <row r="1489">
      <c r="A1489" s="6" t="str">
        <f>IFERROR(__xludf.DUMMYFUNCTION("""COMPUTED_VALUE"""),"")</f>
        <v/>
      </c>
      <c r="C1489" t="str">
        <f>IFERROR(__xludf.DUMMYFUNCTION("""COMPUTED_VALUE"""),"")</f>
        <v/>
      </c>
      <c r="D1489" t="str">
        <f>IFERROR(__xludf.DUMMYFUNCTION("""COMPUTED_VALUE"""),"")</f>
        <v/>
      </c>
      <c r="E1489" t="str">
        <f>IFERROR(__xludf.DUMMYFUNCTION("""COMPUTED_VALUE"""),"")</f>
        <v/>
      </c>
      <c r="F1489" t="str">
        <f>IFERROR(__xludf.DUMMYFUNCTION("""COMPUTED_VALUE"""),"")</f>
        <v/>
      </c>
      <c r="G1489" t="str">
        <f>IFERROR(__xludf.DUMMYFUNCTION("""COMPUTED_VALUE"""),"")</f>
        <v/>
      </c>
      <c r="H1489" s="2" t="str">
        <f>IFERROR(__xludf.DUMMYFUNCTION("""COMPUTED_VALUE"""),"")</f>
        <v/>
      </c>
      <c r="I1489" s="2" t="str">
        <f>IFERROR(__xludf.DUMMYFUNCTION("""COMPUTED_VALUE"""),"")</f>
        <v/>
      </c>
      <c r="J1489" s="2">
        <f>IFERROR(__xludf.DUMMYFUNCTION("""COMPUTED_VALUE"""),0.0)</f>
        <v>0</v>
      </c>
      <c r="K1489" s="5" t="str">
        <f>IFERROR(__xludf.DUMMYFUNCTION("""COMPUTED_VALUE"""),"")</f>
        <v/>
      </c>
      <c r="L1489" t="str">
        <f>IFERROR(__xludf.DUMMYFUNCTION("""COMPUTED_VALUE"""),"")</f>
        <v/>
      </c>
      <c r="M1489" t="str">
        <f>IFERROR(__xludf.DUMMYFUNCTION("""COMPUTED_VALUE"""),"")</f>
        <v/>
      </c>
      <c r="N1489" t="str">
        <f>IFERROR(__xludf.DUMMYFUNCTION("""COMPUTED_VALUE"""),"")</f>
        <v/>
      </c>
      <c r="O1489" t="str">
        <f>IFERROR(__xludf.DUMMYFUNCTION("""COMPUTED_VALUE"""),"")</f>
        <v/>
      </c>
      <c r="P1489" t="str">
        <f>IFERROR(__xludf.DUMMYFUNCTION("""COMPUTED_VALUE"""),"ID ")</f>
        <v>ID </v>
      </c>
    </row>
    <row r="1490">
      <c r="A1490" s="6" t="str">
        <f>IFERROR(__xludf.DUMMYFUNCTION("""COMPUTED_VALUE"""),"")</f>
        <v/>
      </c>
      <c r="C1490" t="str">
        <f>IFERROR(__xludf.DUMMYFUNCTION("""COMPUTED_VALUE"""),"")</f>
        <v/>
      </c>
      <c r="D1490" t="str">
        <f>IFERROR(__xludf.DUMMYFUNCTION("""COMPUTED_VALUE"""),"")</f>
        <v/>
      </c>
      <c r="E1490" t="str">
        <f>IFERROR(__xludf.DUMMYFUNCTION("""COMPUTED_VALUE"""),"")</f>
        <v/>
      </c>
      <c r="F1490" t="str">
        <f>IFERROR(__xludf.DUMMYFUNCTION("""COMPUTED_VALUE"""),"")</f>
        <v/>
      </c>
      <c r="G1490" t="str">
        <f>IFERROR(__xludf.DUMMYFUNCTION("""COMPUTED_VALUE"""),"")</f>
        <v/>
      </c>
      <c r="H1490" s="2" t="str">
        <f>IFERROR(__xludf.DUMMYFUNCTION("""COMPUTED_VALUE"""),"")</f>
        <v/>
      </c>
      <c r="I1490" s="2" t="str">
        <f>IFERROR(__xludf.DUMMYFUNCTION("""COMPUTED_VALUE"""),"")</f>
        <v/>
      </c>
      <c r="J1490" s="2">
        <f>IFERROR(__xludf.DUMMYFUNCTION("""COMPUTED_VALUE"""),0.0)</f>
        <v>0</v>
      </c>
      <c r="K1490" s="5" t="str">
        <f>IFERROR(__xludf.DUMMYFUNCTION("""COMPUTED_VALUE"""),"")</f>
        <v/>
      </c>
      <c r="L1490" t="str">
        <f>IFERROR(__xludf.DUMMYFUNCTION("""COMPUTED_VALUE"""),"")</f>
        <v/>
      </c>
      <c r="M1490" t="str">
        <f>IFERROR(__xludf.DUMMYFUNCTION("""COMPUTED_VALUE"""),"")</f>
        <v/>
      </c>
      <c r="N1490" t="str">
        <f>IFERROR(__xludf.DUMMYFUNCTION("""COMPUTED_VALUE"""),"")</f>
        <v/>
      </c>
      <c r="O1490" t="str">
        <f>IFERROR(__xludf.DUMMYFUNCTION("""COMPUTED_VALUE"""),"")</f>
        <v/>
      </c>
      <c r="P1490" t="str">
        <f>IFERROR(__xludf.DUMMYFUNCTION("""COMPUTED_VALUE"""),"ID ")</f>
        <v>ID </v>
      </c>
    </row>
    <row r="1491">
      <c r="A1491" s="6" t="str">
        <f>IFERROR(__xludf.DUMMYFUNCTION("""COMPUTED_VALUE"""),"")</f>
        <v/>
      </c>
      <c r="C1491" t="str">
        <f>IFERROR(__xludf.DUMMYFUNCTION("""COMPUTED_VALUE"""),"")</f>
        <v/>
      </c>
      <c r="D1491" t="str">
        <f>IFERROR(__xludf.DUMMYFUNCTION("""COMPUTED_VALUE"""),"")</f>
        <v/>
      </c>
      <c r="E1491" t="str">
        <f>IFERROR(__xludf.DUMMYFUNCTION("""COMPUTED_VALUE"""),"")</f>
        <v/>
      </c>
      <c r="F1491" t="str">
        <f>IFERROR(__xludf.DUMMYFUNCTION("""COMPUTED_VALUE"""),"")</f>
        <v/>
      </c>
      <c r="G1491" t="str">
        <f>IFERROR(__xludf.DUMMYFUNCTION("""COMPUTED_VALUE"""),"")</f>
        <v/>
      </c>
      <c r="H1491" s="2" t="str">
        <f>IFERROR(__xludf.DUMMYFUNCTION("""COMPUTED_VALUE"""),"")</f>
        <v/>
      </c>
      <c r="I1491" s="2" t="str">
        <f>IFERROR(__xludf.DUMMYFUNCTION("""COMPUTED_VALUE"""),"")</f>
        <v/>
      </c>
      <c r="J1491" s="2">
        <f>IFERROR(__xludf.DUMMYFUNCTION("""COMPUTED_VALUE"""),0.0)</f>
        <v>0</v>
      </c>
      <c r="K1491" s="5" t="str">
        <f>IFERROR(__xludf.DUMMYFUNCTION("""COMPUTED_VALUE"""),"")</f>
        <v/>
      </c>
      <c r="L1491" t="str">
        <f>IFERROR(__xludf.DUMMYFUNCTION("""COMPUTED_VALUE"""),"")</f>
        <v/>
      </c>
      <c r="M1491" t="str">
        <f>IFERROR(__xludf.DUMMYFUNCTION("""COMPUTED_VALUE"""),"")</f>
        <v/>
      </c>
      <c r="N1491" t="str">
        <f>IFERROR(__xludf.DUMMYFUNCTION("""COMPUTED_VALUE"""),"")</f>
        <v/>
      </c>
      <c r="O1491" t="str">
        <f>IFERROR(__xludf.DUMMYFUNCTION("""COMPUTED_VALUE"""),"")</f>
        <v/>
      </c>
      <c r="P1491" t="str">
        <f>IFERROR(__xludf.DUMMYFUNCTION("""COMPUTED_VALUE"""),"ID ")</f>
        <v>ID </v>
      </c>
    </row>
    <row r="1492">
      <c r="A1492" s="6" t="str">
        <f>IFERROR(__xludf.DUMMYFUNCTION("""COMPUTED_VALUE"""),"")</f>
        <v/>
      </c>
      <c r="C1492" t="str">
        <f>IFERROR(__xludf.DUMMYFUNCTION("""COMPUTED_VALUE"""),"")</f>
        <v/>
      </c>
      <c r="D1492" t="str">
        <f>IFERROR(__xludf.DUMMYFUNCTION("""COMPUTED_VALUE"""),"")</f>
        <v/>
      </c>
      <c r="E1492" t="str">
        <f>IFERROR(__xludf.DUMMYFUNCTION("""COMPUTED_VALUE"""),"")</f>
        <v/>
      </c>
      <c r="F1492" t="str">
        <f>IFERROR(__xludf.DUMMYFUNCTION("""COMPUTED_VALUE"""),"")</f>
        <v/>
      </c>
      <c r="G1492" t="str">
        <f>IFERROR(__xludf.DUMMYFUNCTION("""COMPUTED_VALUE"""),"")</f>
        <v/>
      </c>
      <c r="H1492" s="2" t="str">
        <f>IFERROR(__xludf.DUMMYFUNCTION("""COMPUTED_VALUE"""),"")</f>
        <v/>
      </c>
      <c r="I1492" s="2" t="str">
        <f>IFERROR(__xludf.DUMMYFUNCTION("""COMPUTED_VALUE"""),"")</f>
        <v/>
      </c>
      <c r="J1492" s="2">
        <f>IFERROR(__xludf.DUMMYFUNCTION("""COMPUTED_VALUE"""),0.0)</f>
        <v>0</v>
      </c>
      <c r="K1492" s="5" t="str">
        <f>IFERROR(__xludf.DUMMYFUNCTION("""COMPUTED_VALUE"""),"")</f>
        <v/>
      </c>
      <c r="L1492" t="str">
        <f>IFERROR(__xludf.DUMMYFUNCTION("""COMPUTED_VALUE"""),"")</f>
        <v/>
      </c>
      <c r="M1492" t="str">
        <f>IFERROR(__xludf.DUMMYFUNCTION("""COMPUTED_VALUE"""),"")</f>
        <v/>
      </c>
      <c r="N1492" t="str">
        <f>IFERROR(__xludf.DUMMYFUNCTION("""COMPUTED_VALUE"""),"")</f>
        <v/>
      </c>
      <c r="O1492" t="str">
        <f>IFERROR(__xludf.DUMMYFUNCTION("""COMPUTED_VALUE"""),"")</f>
        <v/>
      </c>
      <c r="P1492" t="str">
        <f>IFERROR(__xludf.DUMMYFUNCTION("""COMPUTED_VALUE"""),"ID ")</f>
        <v>ID </v>
      </c>
    </row>
    <row r="1493">
      <c r="A1493" s="6" t="str">
        <f>IFERROR(__xludf.DUMMYFUNCTION("""COMPUTED_VALUE"""),"")</f>
        <v/>
      </c>
      <c r="C1493" t="str">
        <f>IFERROR(__xludf.DUMMYFUNCTION("""COMPUTED_VALUE"""),"")</f>
        <v/>
      </c>
      <c r="D1493" t="str">
        <f>IFERROR(__xludf.DUMMYFUNCTION("""COMPUTED_VALUE"""),"")</f>
        <v/>
      </c>
      <c r="E1493" t="str">
        <f>IFERROR(__xludf.DUMMYFUNCTION("""COMPUTED_VALUE"""),"")</f>
        <v/>
      </c>
      <c r="F1493" t="str">
        <f>IFERROR(__xludf.DUMMYFUNCTION("""COMPUTED_VALUE"""),"")</f>
        <v/>
      </c>
      <c r="G1493" t="str">
        <f>IFERROR(__xludf.DUMMYFUNCTION("""COMPUTED_VALUE"""),"")</f>
        <v/>
      </c>
      <c r="H1493" s="2" t="str">
        <f>IFERROR(__xludf.DUMMYFUNCTION("""COMPUTED_VALUE"""),"")</f>
        <v/>
      </c>
      <c r="I1493" s="2" t="str">
        <f>IFERROR(__xludf.DUMMYFUNCTION("""COMPUTED_VALUE"""),"")</f>
        <v/>
      </c>
      <c r="J1493" s="2">
        <f>IFERROR(__xludf.DUMMYFUNCTION("""COMPUTED_VALUE"""),0.0)</f>
        <v>0</v>
      </c>
      <c r="K1493" s="5" t="str">
        <f>IFERROR(__xludf.DUMMYFUNCTION("""COMPUTED_VALUE"""),"")</f>
        <v/>
      </c>
      <c r="L1493" t="str">
        <f>IFERROR(__xludf.DUMMYFUNCTION("""COMPUTED_VALUE"""),"")</f>
        <v/>
      </c>
      <c r="M1493" t="str">
        <f>IFERROR(__xludf.DUMMYFUNCTION("""COMPUTED_VALUE"""),"")</f>
        <v/>
      </c>
      <c r="N1493" t="str">
        <f>IFERROR(__xludf.DUMMYFUNCTION("""COMPUTED_VALUE"""),"")</f>
        <v/>
      </c>
      <c r="O1493" t="str">
        <f>IFERROR(__xludf.DUMMYFUNCTION("""COMPUTED_VALUE"""),"")</f>
        <v/>
      </c>
      <c r="P1493" t="str">
        <f>IFERROR(__xludf.DUMMYFUNCTION("""COMPUTED_VALUE"""),"ID ")</f>
        <v>ID </v>
      </c>
    </row>
    <row r="1494">
      <c r="A1494" s="6" t="str">
        <f>IFERROR(__xludf.DUMMYFUNCTION("""COMPUTED_VALUE"""),"")</f>
        <v/>
      </c>
      <c r="C1494" t="str">
        <f>IFERROR(__xludf.DUMMYFUNCTION("""COMPUTED_VALUE"""),"")</f>
        <v/>
      </c>
      <c r="D1494" t="str">
        <f>IFERROR(__xludf.DUMMYFUNCTION("""COMPUTED_VALUE"""),"")</f>
        <v/>
      </c>
      <c r="E1494" t="str">
        <f>IFERROR(__xludf.DUMMYFUNCTION("""COMPUTED_VALUE"""),"")</f>
        <v/>
      </c>
      <c r="F1494" t="str">
        <f>IFERROR(__xludf.DUMMYFUNCTION("""COMPUTED_VALUE"""),"")</f>
        <v/>
      </c>
      <c r="G1494" t="str">
        <f>IFERROR(__xludf.DUMMYFUNCTION("""COMPUTED_VALUE"""),"")</f>
        <v/>
      </c>
      <c r="H1494" s="2" t="str">
        <f>IFERROR(__xludf.DUMMYFUNCTION("""COMPUTED_VALUE"""),"")</f>
        <v/>
      </c>
      <c r="I1494" s="2" t="str">
        <f>IFERROR(__xludf.DUMMYFUNCTION("""COMPUTED_VALUE"""),"")</f>
        <v/>
      </c>
      <c r="J1494" s="2">
        <f>IFERROR(__xludf.DUMMYFUNCTION("""COMPUTED_VALUE"""),0.0)</f>
        <v>0</v>
      </c>
      <c r="K1494" s="5" t="str">
        <f>IFERROR(__xludf.DUMMYFUNCTION("""COMPUTED_VALUE"""),"")</f>
        <v/>
      </c>
      <c r="L1494" t="str">
        <f>IFERROR(__xludf.DUMMYFUNCTION("""COMPUTED_VALUE"""),"")</f>
        <v/>
      </c>
      <c r="M1494" t="str">
        <f>IFERROR(__xludf.DUMMYFUNCTION("""COMPUTED_VALUE"""),"")</f>
        <v/>
      </c>
      <c r="N1494" t="str">
        <f>IFERROR(__xludf.DUMMYFUNCTION("""COMPUTED_VALUE"""),"")</f>
        <v/>
      </c>
      <c r="O1494" t="str">
        <f>IFERROR(__xludf.DUMMYFUNCTION("""COMPUTED_VALUE"""),"")</f>
        <v/>
      </c>
      <c r="P1494" t="str">
        <f>IFERROR(__xludf.DUMMYFUNCTION("""COMPUTED_VALUE"""),"ID ")</f>
        <v>ID </v>
      </c>
    </row>
    <row r="1495">
      <c r="A1495" s="6" t="str">
        <f>IFERROR(__xludf.DUMMYFUNCTION("""COMPUTED_VALUE"""),"")</f>
        <v/>
      </c>
      <c r="C1495" t="str">
        <f>IFERROR(__xludf.DUMMYFUNCTION("""COMPUTED_VALUE"""),"")</f>
        <v/>
      </c>
      <c r="D1495" t="str">
        <f>IFERROR(__xludf.DUMMYFUNCTION("""COMPUTED_VALUE"""),"")</f>
        <v/>
      </c>
      <c r="E1495" t="str">
        <f>IFERROR(__xludf.DUMMYFUNCTION("""COMPUTED_VALUE"""),"")</f>
        <v/>
      </c>
      <c r="F1495" t="str">
        <f>IFERROR(__xludf.DUMMYFUNCTION("""COMPUTED_VALUE"""),"")</f>
        <v/>
      </c>
      <c r="G1495" t="str">
        <f>IFERROR(__xludf.DUMMYFUNCTION("""COMPUTED_VALUE"""),"")</f>
        <v/>
      </c>
      <c r="H1495" s="2" t="str">
        <f>IFERROR(__xludf.DUMMYFUNCTION("""COMPUTED_VALUE"""),"")</f>
        <v/>
      </c>
      <c r="I1495" s="2" t="str">
        <f>IFERROR(__xludf.DUMMYFUNCTION("""COMPUTED_VALUE"""),"")</f>
        <v/>
      </c>
      <c r="J1495" s="2">
        <f>IFERROR(__xludf.DUMMYFUNCTION("""COMPUTED_VALUE"""),0.0)</f>
        <v>0</v>
      </c>
      <c r="K1495" s="5" t="str">
        <f>IFERROR(__xludf.DUMMYFUNCTION("""COMPUTED_VALUE"""),"")</f>
        <v/>
      </c>
      <c r="L1495" t="str">
        <f>IFERROR(__xludf.DUMMYFUNCTION("""COMPUTED_VALUE"""),"")</f>
        <v/>
      </c>
      <c r="M1495" t="str">
        <f>IFERROR(__xludf.DUMMYFUNCTION("""COMPUTED_VALUE"""),"")</f>
        <v/>
      </c>
      <c r="N1495" t="str">
        <f>IFERROR(__xludf.DUMMYFUNCTION("""COMPUTED_VALUE"""),"")</f>
        <v/>
      </c>
      <c r="O1495" t="str">
        <f>IFERROR(__xludf.DUMMYFUNCTION("""COMPUTED_VALUE"""),"")</f>
        <v/>
      </c>
      <c r="P1495" t="str">
        <f>IFERROR(__xludf.DUMMYFUNCTION("""COMPUTED_VALUE"""),"ID ")</f>
        <v>ID </v>
      </c>
    </row>
    <row r="1496">
      <c r="A1496" s="6" t="str">
        <f>IFERROR(__xludf.DUMMYFUNCTION("""COMPUTED_VALUE"""),"")</f>
        <v/>
      </c>
      <c r="C1496" t="str">
        <f>IFERROR(__xludf.DUMMYFUNCTION("""COMPUTED_VALUE"""),"")</f>
        <v/>
      </c>
      <c r="D1496" t="str">
        <f>IFERROR(__xludf.DUMMYFUNCTION("""COMPUTED_VALUE"""),"")</f>
        <v/>
      </c>
      <c r="E1496" t="str">
        <f>IFERROR(__xludf.DUMMYFUNCTION("""COMPUTED_VALUE"""),"")</f>
        <v/>
      </c>
      <c r="F1496" t="str">
        <f>IFERROR(__xludf.DUMMYFUNCTION("""COMPUTED_VALUE"""),"")</f>
        <v/>
      </c>
      <c r="G1496" t="str">
        <f>IFERROR(__xludf.DUMMYFUNCTION("""COMPUTED_VALUE"""),"")</f>
        <v/>
      </c>
      <c r="H1496" s="2" t="str">
        <f>IFERROR(__xludf.DUMMYFUNCTION("""COMPUTED_VALUE"""),"")</f>
        <v/>
      </c>
      <c r="I1496" s="2" t="str">
        <f>IFERROR(__xludf.DUMMYFUNCTION("""COMPUTED_VALUE"""),"")</f>
        <v/>
      </c>
      <c r="J1496" s="2">
        <f>IFERROR(__xludf.DUMMYFUNCTION("""COMPUTED_VALUE"""),0.0)</f>
        <v>0</v>
      </c>
      <c r="K1496" s="5" t="str">
        <f>IFERROR(__xludf.DUMMYFUNCTION("""COMPUTED_VALUE"""),"")</f>
        <v/>
      </c>
      <c r="L1496" t="str">
        <f>IFERROR(__xludf.DUMMYFUNCTION("""COMPUTED_VALUE"""),"")</f>
        <v/>
      </c>
      <c r="M1496" t="str">
        <f>IFERROR(__xludf.DUMMYFUNCTION("""COMPUTED_VALUE"""),"")</f>
        <v/>
      </c>
      <c r="N1496" t="str">
        <f>IFERROR(__xludf.DUMMYFUNCTION("""COMPUTED_VALUE"""),"")</f>
        <v/>
      </c>
      <c r="O1496" t="str">
        <f>IFERROR(__xludf.DUMMYFUNCTION("""COMPUTED_VALUE"""),"")</f>
        <v/>
      </c>
      <c r="P1496" t="str">
        <f>IFERROR(__xludf.DUMMYFUNCTION("""COMPUTED_VALUE"""),"ID ")</f>
        <v>ID </v>
      </c>
    </row>
    <row r="1497">
      <c r="A1497" s="6" t="str">
        <f>IFERROR(__xludf.DUMMYFUNCTION("""COMPUTED_VALUE"""),"")</f>
        <v/>
      </c>
      <c r="C1497" t="str">
        <f>IFERROR(__xludf.DUMMYFUNCTION("""COMPUTED_VALUE"""),"")</f>
        <v/>
      </c>
      <c r="D1497" t="str">
        <f>IFERROR(__xludf.DUMMYFUNCTION("""COMPUTED_VALUE"""),"")</f>
        <v/>
      </c>
      <c r="E1497" t="str">
        <f>IFERROR(__xludf.DUMMYFUNCTION("""COMPUTED_VALUE"""),"")</f>
        <v/>
      </c>
      <c r="F1497" t="str">
        <f>IFERROR(__xludf.DUMMYFUNCTION("""COMPUTED_VALUE"""),"")</f>
        <v/>
      </c>
      <c r="G1497" t="str">
        <f>IFERROR(__xludf.DUMMYFUNCTION("""COMPUTED_VALUE"""),"")</f>
        <v/>
      </c>
      <c r="H1497" s="2" t="str">
        <f>IFERROR(__xludf.DUMMYFUNCTION("""COMPUTED_VALUE"""),"")</f>
        <v/>
      </c>
      <c r="I1497" s="2" t="str">
        <f>IFERROR(__xludf.DUMMYFUNCTION("""COMPUTED_VALUE"""),"")</f>
        <v/>
      </c>
      <c r="J1497" s="2">
        <f>IFERROR(__xludf.DUMMYFUNCTION("""COMPUTED_VALUE"""),0.0)</f>
        <v>0</v>
      </c>
      <c r="K1497" s="5" t="str">
        <f>IFERROR(__xludf.DUMMYFUNCTION("""COMPUTED_VALUE"""),"")</f>
        <v/>
      </c>
      <c r="L1497" t="str">
        <f>IFERROR(__xludf.DUMMYFUNCTION("""COMPUTED_VALUE"""),"")</f>
        <v/>
      </c>
      <c r="M1497" t="str">
        <f>IFERROR(__xludf.DUMMYFUNCTION("""COMPUTED_VALUE"""),"")</f>
        <v/>
      </c>
      <c r="N1497" t="str">
        <f>IFERROR(__xludf.DUMMYFUNCTION("""COMPUTED_VALUE"""),"")</f>
        <v/>
      </c>
      <c r="O1497" t="str">
        <f>IFERROR(__xludf.DUMMYFUNCTION("""COMPUTED_VALUE"""),"")</f>
        <v/>
      </c>
      <c r="P1497" t="str">
        <f>IFERROR(__xludf.DUMMYFUNCTION("""COMPUTED_VALUE"""),"ID ")</f>
        <v>ID </v>
      </c>
    </row>
    <row r="1498">
      <c r="A1498" s="6" t="str">
        <f>IFERROR(__xludf.DUMMYFUNCTION("""COMPUTED_VALUE"""),"")</f>
        <v/>
      </c>
      <c r="C1498" t="str">
        <f>IFERROR(__xludf.DUMMYFUNCTION("""COMPUTED_VALUE"""),"")</f>
        <v/>
      </c>
      <c r="D1498" t="str">
        <f>IFERROR(__xludf.DUMMYFUNCTION("""COMPUTED_VALUE"""),"")</f>
        <v/>
      </c>
      <c r="E1498" t="str">
        <f>IFERROR(__xludf.DUMMYFUNCTION("""COMPUTED_VALUE"""),"")</f>
        <v/>
      </c>
      <c r="F1498" t="str">
        <f>IFERROR(__xludf.DUMMYFUNCTION("""COMPUTED_VALUE"""),"")</f>
        <v/>
      </c>
      <c r="G1498" t="str">
        <f>IFERROR(__xludf.DUMMYFUNCTION("""COMPUTED_VALUE"""),"")</f>
        <v/>
      </c>
      <c r="H1498" s="2" t="str">
        <f>IFERROR(__xludf.DUMMYFUNCTION("""COMPUTED_VALUE"""),"")</f>
        <v/>
      </c>
      <c r="I1498" s="2" t="str">
        <f>IFERROR(__xludf.DUMMYFUNCTION("""COMPUTED_VALUE"""),"")</f>
        <v/>
      </c>
      <c r="J1498" s="2">
        <f>IFERROR(__xludf.DUMMYFUNCTION("""COMPUTED_VALUE"""),0.0)</f>
        <v>0</v>
      </c>
      <c r="K1498" s="5" t="str">
        <f>IFERROR(__xludf.DUMMYFUNCTION("""COMPUTED_VALUE"""),"")</f>
        <v/>
      </c>
      <c r="L1498" t="str">
        <f>IFERROR(__xludf.DUMMYFUNCTION("""COMPUTED_VALUE"""),"")</f>
        <v/>
      </c>
      <c r="M1498" t="str">
        <f>IFERROR(__xludf.DUMMYFUNCTION("""COMPUTED_VALUE"""),"")</f>
        <v/>
      </c>
      <c r="N1498" t="str">
        <f>IFERROR(__xludf.DUMMYFUNCTION("""COMPUTED_VALUE"""),"")</f>
        <v/>
      </c>
      <c r="O1498" t="str">
        <f>IFERROR(__xludf.DUMMYFUNCTION("""COMPUTED_VALUE"""),"")</f>
        <v/>
      </c>
      <c r="P1498" t="str">
        <f>IFERROR(__xludf.DUMMYFUNCTION("""COMPUTED_VALUE"""),"ID ")</f>
        <v>ID </v>
      </c>
    </row>
    <row r="1499">
      <c r="A1499" s="6" t="str">
        <f>IFERROR(__xludf.DUMMYFUNCTION("""COMPUTED_VALUE"""),"")</f>
        <v/>
      </c>
      <c r="C1499" t="str">
        <f>IFERROR(__xludf.DUMMYFUNCTION("""COMPUTED_VALUE"""),"")</f>
        <v/>
      </c>
      <c r="D1499" t="str">
        <f>IFERROR(__xludf.DUMMYFUNCTION("""COMPUTED_VALUE"""),"")</f>
        <v/>
      </c>
      <c r="E1499" t="str">
        <f>IFERROR(__xludf.DUMMYFUNCTION("""COMPUTED_VALUE"""),"")</f>
        <v/>
      </c>
      <c r="F1499" t="str">
        <f>IFERROR(__xludf.DUMMYFUNCTION("""COMPUTED_VALUE"""),"")</f>
        <v/>
      </c>
      <c r="G1499" t="str">
        <f>IFERROR(__xludf.DUMMYFUNCTION("""COMPUTED_VALUE"""),"")</f>
        <v/>
      </c>
      <c r="H1499" s="2" t="str">
        <f>IFERROR(__xludf.DUMMYFUNCTION("""COMPUTED_VALUE"""),"")</f>
        <v/>
      </c>
      <c r="I1499" s="2" t="str">
        <f>IFERROR(__xludf.DUMMYFUNCTION("""COMPUTED_VALUE"""),"")</f>
        <v/>
      </c>
      <c r="J1499" s="2">
        <f>IFERROR(__xludf.DUMMYFUNCTION("""COMPUTED_VALUE"""),0.0)</f>
        <v>0</v>
      </c>
      <c r="K1499" s="5" t="str">
        <f>IFERROR(__xludf.DUMMYFUNCTION("""COMPUTED_VALUE"""),"")</f>
        <v/>
      </c>
      <c r="L1499" t="str">
        <f>IFERROR(__xludf.DUMMYFUNCTION("""COMPUTED_VALUE"""),"")</f>
        <v/>
      </c>
      <c r="M1499" t="str">
        <f>IFERROR(__xludf.DUMMYFUNCTION("""COMPUTED_VALUE"""),"")</f>
        <v/>
      </c>
      <c r="N1499" t="str">
        <f>IFERROR(__xludf.DUMMYFUNCTION("""COMPUTED_VALUE"""),"")</f>
        <v/>
      </c>
      <c r="O1499" t="str">
        <f>IFERROR(__xludf.DUMMYFUNCTION("""COMPUTED_VALUE"""),"")</f>
        <v/>
      </c>
      <c r="P1499" t="str">
        <f>IFERROR(__xludf.DUMMYFUNCTION("""COMPUTED_VALUE"""),"ID ")</f>
        <v>ID </v>
      </c>
    </row>
    <row r="1500">
      <c r="A1500" s="6" t="str">
        <f>IFERROR(__xludf.DUMMYFUNCTION("""COMPUTED_VALUE"""),"")</f>
        <v/>
      </c>
      <c r="C1500" t="str">
        <f>IFERROR(__xludf.DUMMYFUNCTION("""COMPUTED_VALUE"""),"")</f>
        <v/>
      </c>
      <c r="D1500" t="str">
        <f>IFERROR(__xludf.DUMMYFUNCTION("""COMPUTED_VALUE"""),"")</f>
        <v/>
      </c>
      <c r="E1500" t="str">
        <f>IFERROR(__xludf.DUMMYFUNCTION("""COMPUTED_VALUE"""),"")</f>
        <v/>
      </c>
      <c r="F1500" t="str">
        <f>IFERROR(__xludf.DUMMYFUNCTION("""COMPUTED_VALUE"""),"")</f>
        <v/>
      </c>
      <c r="G1500" t="str">
        <f>IFERROR(__xludf.DUMMYFUNCTION("""COMPUTED_VALUE"""),"")</f>
        <v/>
      </c>
      <c r="H1500" s="2" t="str">
        <f>IFERROR(__xludf.DUMMYFUNCTION("""COMPUTED_VALUE"""),"")</f>
        <v/>
      </c>
      <c r="I1500" s="2" t="str">
        <f>IFERROR(__xludf.DUMMYFUNCTION("""COMPUTED_VALUE"""),"")</f>
        <v/>
      </c>
      <c r="J1500" s="2">
        <f>IFERROR(__xludf.DUMMYFUNCTION("""COMPUTED_VALUE"""),0.0)</f>
        <v>0</v>
      </c>
      <c r="K1500" s="5" t="str">
        <f>IFERROR(__xludf.DUMMYFUNCTION("""COMPUTED_VALUE"""),"")</f>
        <v/>
      </c>
      <c r="L1500" t="str">
        <f>IFERROR(__xludf.DUMMYFUNCTION("""COMPUTED_VALUE"""),"")</f>
        <v/>
      </c>
      <c r="M1500" t="str">
        <f>IFERROR(__xludf.DUMMYFUNCTION("""COMPUTED_VALUE"""),"")</f>
        <v/>
      </c>
      <c r="N1500" t="str">
        <f>IFERROR(__xludf.DUMMYFUNCTION("""COMPUTED_VALUE"""),"")</f>
        <v/>
      </c>
      <c r="O1500" t="str">
        <f>IFERROR(__xludf.DUMMYFUNCTION("""COMPUTED_VALUE"""),"")</f>
        <v/>
      </c>
      <c r="P1500" t="str">
        <f>IFERROR(__xludf.DUMMYFUNCTION("""COMPUTED_VALUE"""),"ID ")</f>
        <v>ID </v>
      </c>
    </row>
    <row r="1501">
      <c r="A1501" s="6" t="str">
        <f>IFERROR(__xludf.DUMMYFUNCTION("""COMPUTED_VALUE"""),"")</f>
        <v/>
      </c>
      <c r="C1501" t="str">
        <f>IFERROR(__xludf.DUMMYFUNCTION("""COMPUTED_VALUE"""),"")</f>
        <v/>
      </c>
      <c r="D1501" t="str">
        <f>IFERROR(__xludf.DUMMYFUNCTION("""COMPUTED_VALUE"""),"")</f>
        <v/>
      </c>
      <c r="E1501" t="str">
        <f>IFERROR(__xludf.DUMMYFUNCTION("""COMPUTED_VALUE"""),"")</f>
        <v/>
      </c>
      <c r="F1501" t="str">
        <f>IFERROR(__xludf.DUMMYFUNCTION("""COMPUTED_VALUE"""),"")</f>
        <v/>
      </c>
      <c r="G1501" t="str">
        <f>IFERROR(__xludf.DUMMYFUNCTION("""COMPUTED_VALUE"""),"")</f>
        <v/>
      </c>
      <c r="H1501" s="2" t="str">
        <f>IFERROR(__xludf.DUMMYFUNCTION("""COMPUTED_VALUE"""),"")</f>
        <v/>
      </c>
      <c r="I1501" s="2" t="str">
        <f>IFERROR(__xludf.DUMMYFUNCTION("""COMPUTED_VALUE"""),"")</f>
        <v/>
      </c>
      <c r="J1501" s="2">
        <f>IFERROR(__xludf.DUMMYFUNCTION("""COMPUTED_VALUE"""),0.0)</f>
        <v>0</v>
      </c>
      <c r="K1501" s="5" t="str">
        <f>IFERROR(__xludf.DUMMYFUNCTION("""COMPUTED_VALUE"""),"")</f>
        <v/>
      </c>
      <c r="L1501" t="str">
        <f>IFERROR(__xludf.DUMMYFUNCTION("""COMPUTED_VALUE"""),"")</f>
        <v/>
      </c>
      <c r="M1501" t="str">
        <f>IFERROR(__xludf.DUMMYFUNCTION("""COMPUTED_VALUE"""),"")</f>
        <v/>
      </c>
      <c r="N1501" t="str">
        <f>IFERROR(__xludf.DUMMYFUNCTION("""COMPUTED_VALUE"""),"")</f>
        <v/>
      </c>
      <c r="O1501" t="str">
        <f>IFERROR(__xludf.DUMMYFUNCTION("""COMPUTED_VALUE"""),"")</f>
        <v/>
      </c>
      <c r="P1501" t="str">
        <f>IFERROR(__xludf.DUMMYFUNCTION("""COMPUTED_VALUE"""),"ID ")</f>
        <v>ID </v>
      </c>
    </row>
    <row r="1502">
      <c r="A1502" s="6" t="str">
        <f>IFERROR(__xludf.DUMMYFUNCTION("""COMPUTED_VALUE"""),"")</f>
        <v/>
      </c>
      <c r="C1502" t="str">
        <f>IFERROR(__xludf.DUMMYFUNCTION("""COMPUTED_VALUE"""),"")</f>
        <v/>
      </c>
      <c r="D1502" t="str">
        <f>IFERROR(__xludf.DUMMYFUNCTION("""COMPUTED_VALUE"""),"")</f>
        <v/>
      </c>
      <c r="E1502" t="str">
        <f>IFERROR(__xludf.DUMMYFUNCTION("""COMPUTED_VALUE"""),"")</f>
        <v/>
      </c>
      <c r="F1502" t="str">
        <f>IFERROR(__xludf.DUMMYFUNCTION("""COMPUTED_VALUE"""),"")</f>
        <v/>
      </c>
      <c r="G1502" t="str">
        <f>IFERROR(__xludf.DUMMYFUNCTION("""COMPUTED_VALUE"""),"")</f>
        <v/>
      </c>
      <c r="H1502" s="2" t="str">
        <f>IFERROR(__xludf.DUMMYFUNCTION("""COMPUTED_VALUE"""),"")</f>
        <v/>
      </c>
      <c r="I1502" s="2" t="str">
        <f>IFERROR(__xludf.DUMMYFUNCTION("""COMPUTED_VALUE"""),"")</f>
        <v/>
      </c>
      <c r="J1502" s="2">
        <f>IFERROR(__xludf.DUMMYFUNCTION("""COMPUTED_VALUE"""),0.0)</f>
        <v>0</v>
      </c>
      <c r="K1502" s="5" t="str">
        <f>IFERROR(__xludf.DUMMYFUNCTION("""COMPUTED_VALUE"""),"")</f>
        <v/>
      </c>
      <c r="L1502" t="str">
        <f>IFERROR(__xludf.DUMMYFUNCTION("""COMPUTED_VALUE"""),"")</f>
        <v/>
      </c>
      <c r="M1502" t="str">
        <f>IFERROR(__xludf.DUMMYFUNCTION("""COMPUTED_VALUE"""),"")</f>
        <v/>
      </c>
      <c r="N1502" t="str">
        <f>IFERROR(__xludf.DUMMYFUNCTION("""COMPUTED_VALUE"""),"")</f>
        <v/>
      </c>
      <c r="O1502" t="str">
        <f>IFERROR(__xludf.DUMMYFUNCTION("""COMPUTED_VALUE"""),"")</f>
        <v/>
      </c>
      <c r="P1502" t="str">
        <f>IFERROR(__xludf.DUMMYFUNCTION("""COMPUTED_VALUE"""),"ID ")</f>
        <v>ID </v>
      </c>
    </row>
    <row r="1503">
      <c r="A1503" s="6" t="str">
        <f>IFERROR(__xludf.DUMMYFUNCTION("""COMPUTED_VALUE"""),"")</f>
        <v/>
      </c>
      <c r="C1503" t="str">
        <f>IFERROR(__xludf.DUMMYFUNCTION("""COMPUTED_VALUE"""),"")</f>
        <v/>
      </c>
      <c r="D1503" t="str">
        <f>IFERROR(__xludf.DUMMYFUNCTION("""COMPUTED_VALUE"""),"")</f>
        <v/>
      </c>
      <c r="E1503" t="str">
        <f>IFERROR(__xludf.DUMMYFUNCTION("""COMPUTED_VALUE"""),"")</f>
        <v/>
      </c>
      <c r="F1503" t="str">
        <f>IFERROR(__xludf.DUMMYFUNCTION("""COMPUTED_VALUE"""),"")</f>
        <v/>
      </c>
      <c r="G1503" t="str">
        <f>IFERROR(__xludf.DUMMYFUNCTION("""COMPUTED_VALUE"""),"")</f>
        <v/>
      </c>
      <c r="H1503" s="2" t="str">
        <f>IFERROR(__xludf.DUMMYFUNCTION("""COMPUTED_VALUE"""),"")</f>
        <v/>
      </c>
      <c r="I1503" s="2" t="str">
        <f>IFERROR(__xludf.DUMMYFUNCTION("""COMPUTED_VALUE"""),"")</f>
        <v/>
      </c>
      <c r="J1503" s="2">
        <f>IFERROR(__xludf.DUMMYFUNCTION("""COMPUTED_VALUE"""),0.0)</f>
        <v>0</v>
      </c>
      <c r="K1503" s="5" t="str">
        <f>IFERROR(__xludf.DUMMYFUNCTION("""COMPUTED_VALUE"""),"")</f>
        <v/>
      </c>
      <c r="L1503" t="str">
        <f>IFERROR(__xludf.DUMMYFUNCTION("""COMPUTED_VALUE"""),"")</f>
        <v/>
      </c>
      <c r="M1503" t="str">
        <f>IFERROR(__xludf.DUMMYFUNCTION("""COMPUTED_VALUE"""),"")</f>
        <v/>
      </c>
      <c r="N1503" t="str">
        <f>IFERROR(__xludf.DUMMYFUNCTION("""COMPUTED_VALUE"""),"")</f>
        <v/>
      </c>
      <c r="O1503" t="str">
        <f>IFERROR(__xludf.DUMMYFUNCTION("""COMPUTED_VALUE"""),"")</f>
        <v/>
      </c>
      <c r="P1503" t="str">
        <f>IFERROR(__xludf.DUMMYFUNCTION("""COMPUTED_VALUE"""),"ID ")</f>
        <v>ID </v>
      </c>
    </row>
    <row r="1504">
      <c r="A1504" s="6" t="str">
        <f>IFERROR(__xludf.DUMMYFUNCTION("""COMPUTED_VALUE"""),"")</f>
        <v/>
      </c>
      <c r="C1504" t="str">
        <f>IFERROR(__xludf.DUMMYFUNCTION("""COMPUTED_VALUE"""),"")</f>
        <v/>
      </c>
      <c r="D1504" t="str">
        <f>IFERROR(__xludf.DUMMYFUNCTION("""COMPUTED_VALUE"""),"")</f>
        <v/>
      </c>
      <c r="E1504" t="str">
        <f>IFERROR(__xludf.DUMMYFUNCTION("""COMPUTED_VALUE"""),"")</f>
        <v/>
      </c>
      <c r="F1504" t="str">
        <f>IFERROR(__xludf.DUMMYFUNCTION("""COMPUTED_VALUE"""),"")</f>
        <v/>
      </c>
      <c r="G1504" t="str">
        <f>IFERROR(__xludf.DUMMYFUNCTION("""COMPUTED_VALUE"""),"")</f>
        <v/>
      </c>
      <c r="H1504" s="2" t="str">
        <f>IFERROR(__xludf.DUMMYFUNCTION("""COMPUTED_VALUE"""),"")</f>
        <v/>
      </c>
      <c r="I1504" s="2" t="str">
        <f>IFERROR(__xludf.DUMMYFUNCTION("""COMPUTED_VALUE"""),"")</f>
        <v/>
      </c>
      <c r="J1504" s="2">
        <f>IFERROR(__xludf.DUMMYFUNCTION("""COMPUTED_VALUE"""),0.0)</f>
        <v>0</v>
      </c>
      <c r="K1504" s="5" t="str">
        <f>IFERROR(__xludf.DUMMYFUNCTION("""COMPUTED_VALUE"""),"")</f>
        <v/>
      </c>
      <c r="L1504" t="str">
        <f>IFERROR(__xludf.DUMMYFUNCTION("""COMPUTED_VALUE"""),"")</f>
        <v/>
      </c>
      <c r="M1504" t="str">
        <f>IFERROR(__xludf.DUMMYFUNCTION("""COMPUTED_VALUE"""),"")</f>
        <v/>
      </c>
      <c r="N1504" t="str">
        <f>IFERROR(__xludf.DUMMYFUNCTION("""COMPUTED_VALUE"""),"")</f>
        <v/>
      </c>
      <c r="O1504" t="str">
        <f>IFERROR(__xludf.DUMMYFUNCTION("""COMPUTED_VALUE"""),"")</f>
        <v/>
      </c>
      <c r="P1504" t="str">
        <f>IFERROR(__xludf.DUMMYFUNCTION("""COMPUTED_VALUE"""),"ID ")</f>
        <v>ID </v>
      </c>
    </row>
    <row r="1505">
      <c r="A1505" s="6" t="str">
        <f>IFERROR(__xludf.DUMMYFUNCTION("""COMPUTED_VALUE"""),"")</f>
        <v/>
      </c>
      <c r="C1505" t="str">
        <f>IFERROR(__xludf.DUMMYFUNCTION("""COMPUTED_VALUE"""),"")</f>
        <v/>
      </c>
      <c r="D1505" t="str">
        <f>IFERROR(__xludf.DUMMYFUNCTION("""COMPUTED_VALUE"""),"")</f>
        <v/>
      </c>
      <c r="E1505" t="str">
        <f>IFERROR(__xludf.DUMMYFUNCTION("""COMPUTED_VALUE"""),"")</f>
        <v/>
      </c>
      <c r="F1505" t="str">
        <f>IFERROR(__xludf.DUMMYFUNCTION("""COMPUTED_VALUE"""),"")</f>
        <v/>
      </c>
      <c r="G1505" t="str">
        <f>IFERROR(__xludf.DUMMYFUNCTION("""COMPUTED_VALUE"""),"")</f>
        <v/>
      </c>
      <c r="H1505" s="2" t="str">
        <f>IFERROR(__xludf.DUMMYFUNCTION("""COMPUTED_VALUE"""),"")</f>
        <v/>
      </c>
      <c r="I1505" s="2" t="str">
        <f>IFERROR(__xludf.DUMMYFUNCTION("""COMPUTED_VALUE"""),"")</f>
        <v/>
      </c>
      <c r="J1505" s="2">
        <f>IFERROR(__xludf.DUMMYFUNCTION("""COMPUTED_VALUE"""),0.0)</f>
        <v>0</v>
      </c>
      <c r="K1505" s="5" t="str">
        <f>IFERROR(__xludf.DUMMYFUNCTION("""COMPUTED_VALUE"""),"")</f>
        <v/>
      </c>
      <c r="L1505" t="str">
        <f>IFERROR(__xludf.DUMMYFUNCTION("""COMPUTED_VALUE"""),"")</f>
        <v/>
      </c>
      <c r="M1505" t="str">
        <f>IFERROR(__xludf.DUMMYFUNCTION("""COMPUTED_VALUE"""),"")</f>
        <v/>
      </c>
      <c r="N1505" t="str">
        <f>IFERROR(__xludf.DUMMYFUNCTION("""COMPUTED_VALUE"""),"")</f>
        <v/>
      </c>
      <c r="O1505" t="str">
        <f>IFERROR(__xludf.DUMMYFUNCTION("""COMPUTED_VALUE"""),"")</f>
        <v/>
      </c>
      <c r="P1505" t="str">
        <f>IFERROR(__xludf.DUMMYFUNCTION("""COMPUTED_VALUE"""),"ID ")</f>
        <v>ID </v>
      </c>
    </row>
    <row r="1506">
      <c r="A1506" s="6" t="str">
        <f>IFERROR(__xludf.DUMMYFUNCTION("""COMPUTED_VALUE"""),"")</f>
        <v/>
      </c>
      <c r="C1506" t="str">
        <f>IFERROR(__xludf.DUMMYFUNCTION("""COMPUTED_VALUE"""),"")</f>
        <v/>
      </c>
      <c r="D1506" t="str">
        <f>IFERROR(__xludf.DUMMYFUNCTION("""COMPUTED_VALUE"""),"")</f>
        <v/>
      </c>
      <c r="E1506" t="str">
        <f>IFERROR(__xludf.DUMMYFUNCTION("""COMPUTED_VALUE"""),"")</f>
        <v/>
      </c>
      <c r="F1506" t="str">
        <f>IFERROR(__xludf.DUMMYFUNCTION("""COMPUTED_VALUE"""),"")</f>
        <v/>
      </c>
      <c r="G1506" t="str">
        <f>IFERROR(__xludf.DUMMYFUNCTION("""COMPUTED_VALUE"""),"")</f>
        <v/>
      </c>
      <c r="H1506" s="2" t="str">
        <f>IFERROR(__xludf.DUMMYFUNCTION("""COMPUTED_VALUE"""),"")</f>
        <v/>
      </c>
      <c r="I1506" s="2" t="str">
        <f>IFERROR(__xludf.DUMMYFUNCTION("""COMPUTED_VALUE"""),"")</f>
        <v/>
      </c>
      <c r="J1506" s="2">
        <f>IFERROR(__xludf.DUMMYFUNCTION("""COMPUTED_VALUE"""),0.0)</f>
        <v>0</v>
      </c>
      <c r="K1506" s="5" t="str">
        <f>IFERROR(__xludf.DUMMYFUNCTION("""COMPUTED_VALUE"""),"")</f>
        <v/>
      </c>
      <c r="L1506" t="str">
        <f>IFERROR(__xludf.DUMMYFUNCTION("""COMPUTED_VALUE"""),"")</f>
        <v/>
      </c>
      <c r="M1506" t="str">
        <f>IFERROR(__xludf.DUMMYFUNCTION("""COMPUTED_VALUE"""),"")</f>
        <v/>
      </c>
      <c r="N1506" t="str">
        <f>IFERROR(__xludf.DUMMYFUNCTION("""COMPUTED_VALUE"""),"")</f>
        <v/>
      </c>
      <c r="O1506" t="str">
        <f>IFERROR(__xludf.DUMMYFUNCTION("""COMPUTED_VALUE"""),"")</f>
        <v/>
      </c>
      <c r="P1506" t="str">
        <f>IFERROR(__xludf.DUMMYFUNCTION("""COMPUTED_VALUE"""),"ID ")</f>
        <v>ID </v>
      </c>
    </row>
    <row r="1507">
      <c r="A1507" s="6" t="str">
        <f>IFERROR(__xludf.DUMMYFUNCTION("""COMPUTED_VALUE"""),"")</f>
        <v/>
      </c>
      <c r="C1507" t="str">
        <f>IFERROR(__xludf.DUMMYFUNCTION("""COMPUTED_VALUE"""),"")</f>
        <v/>
      </c>
      <c r="D1507" t="str">
        <f>IFERROR(__xludf.DUMMYFUNCTION("""COMPUTED_VALUE"""),"")</f>
        <v/>
      </c>
      <c r="E1507" t="str">
        <f>IFERROR(__xludf.DUMMYFUNCTION("""COMPUTED_VALUE"""),"")</f>
        <v/>
      </c>
      <c r="F1507" t="str">
        <f>IFERROR(__xludf.DUMMYFUNCTION("""COMPUTED_VALUE"""),"")</f>
        <v/>
      </c>
      <c r="G1507" t="str">
        <f>IFERROR(__xludf.DUMMYFUNCTION("""COMPUTED_VALUE"""),"")</f>
        <v/>
      </c>
      <c r="H1507" s="2" t="str">
        <f>IFERROR(__xludf.DUMMYFUNCTION("""COMPUTED_VALUE"""),"")</f>
        <v/>
      </c>
      <c r="I1507" s="2" t="str">
        <f>IFERROR(__xludf.DUMMYFUNCTION("""COMPUTED_VALUE"""),"")</f>
        <v/>
      </c>
      <c r="J1507" s="2">
        <f>IFERROR(__xludf.DUMMYFUNCTION("""COMPUTED_VALUE"""),0.0)</f>
        <v>0</v>
      </c>
      <c r="K1507" s="5" t="str">
        <f>IFERROR(__xludf.DUMMYFUNCTION("""COMPUTED_VALUE"""),"")</f>
        <v/>
      </c>
      <c r="L1507" t="str">
        <f>IFERROR(__xludf.DUMMYFUNCTION("""COMPUTED_VALUE"""),"")</f>
        <v/>
      </c>
      <c r="M1507" t="str">
        <f>IFERROR(__xludf.DUMMYFUNCTION("""COMPUTED_VALUE"""),"")</f>
        <v/>
      </c>
      <c r="N1507" t="str">
        <f>IFERROR(__xludf.DUMMYFUNCTION("""COMPUTED_VALUE"""),"")</f>
        <v/>
      </c>
      <c r="O1507" t="str">
        <f>IFERROR(__xludf.DUMMYFUNCTION("""COMPUTED_VALUE"""),"")</f>
        <v/>
      </c>
      <c r="P1507" t="str">
        <f>IFERROR(__xludf.DUMMYFUNCTION("""COMPUTED_VALUE"""),"ID ")</f>
        <v>ID </v>
      </c>
    </row>
    <row r="1508">
      <c r="A1508" s="6" t="str">
        <f>IFERROR(__xludf.DUMMYFUNCTION("""COMPUTED_VALUE"""),"")</f>
        <v/>
      </c>
      <c r="C1508" t="str">
        <f>IFERROR(__xludf.DUMMYFUNCTION("""COMPUTED_VALUE"""),"")</f>
        <v/>
      </c>
      <c r="D1508" t="str">
        <f>IFERROR(__xludf.DUMMYFUNCTION("""COMPUTED_VALUE"""),"")</f>
        <v/>
      </c>
      <c r="E1508" t="str">
        <f>IFERROR(__xludf.DUMMYFUNCTION("""COMPUTED_VALUE"""),"")</f>
        <v/>
      </c>
      <c r="F1508" t="str">
        <f>IFERROR(__xludf.DUMMYFUNCTION("""COMPUTED_VALUE"""),"")</f>
        <v/>
      </c>
      <c r="G1508" t="str">
        <f>IFERROR(__xludf.DUMMYFUNCTION("""COMPUTED_VALUE"""),"")</f>
        <v/>
      </c>
      <c r="H1508" s="2" t="str">
        <f>IFERROR(__xludf.DUMMYFUNCTION("""COMPUTED_VALUE"""),"")</f>
        <v/>
      </c>
      <c r="I1508" s="2" t="str">
        <f>IFERROR(__xludf.DUMMYFUNCTION("""COMPUTED_VALUE"""),"")</f>
        <v/>
      </c>
      <c r="J1508" s="2">
        <f>IFERROR(__xludf.DUMMYFUNCTION("""COMPUTED_VALUE"""),0.0)</f>
        <v>0</v>
      </c>
      <c r="K1508" s="5" t="str">
        <f>IFERROR(__xludf.DUMMYFUNCTION("""COMPUTED_VALUE"""),"")</f>
        <v/>
      </c>
      <c r="L1508" t="str">
        <f>IFERROR(__xludf.DUMMYFUNCTION("""COMPUTED_VALUE"""),"")</f>
        <v/>
      </c>
      <c r="M1508" t="str">
        <f>IFERROR(__xludf.DUMMYFUNCTION("""COMPUTED_VALUE"""),"")</f>
        <v/>
      </c>
      <c r="N1508" t="str">
        <f>IFERROR(__xludf.DUMMYFUNCTION("""COMPUTED_VALUE"""),"")</f>
        <v/>
      </c>
      <c r="O1508" t="str">
        <f>IFERROR(__xludf.DUMMYFUNCTION("""COMPUTED_VALUE"""),"")</f>
        <v/>
      </c>
      <c r="P1508" t="str">
        <f>IFERROR(__xludf.DUMMYFUNCTION("""COMPUTED_VALUE"""),"ID ")</f>
        <v>ID </v>
      </c>
    </row>
    <row r="1509">
      <c r="A1509" s="6" t="str">
        <f>IFERROR(__xludf.DUMMYFUNCTION("""COMPUTED_VALUE"""),"")</f>
        <v/>
      </c>
      <c r="C1509" t="str">
        <f>IFERROR(__xludf.DUMMYFUNCTION("""COMPUTED_VALUE"""),"")</f>
        <v/>
      </c>
      <c r="D1509" t="str">
        <f>IFERROR(__xludf.DUMMYFUNCTION("""COMPUTED_VALUE"""),"")</f>
        <v/>
      </c>
      <c r="E1509" t="str">
        <f>IFERROR(__xludf.DUMMYFUNCTION("""COMPUTED_VALUE"""),"")</f>
        <v/>
      </c>
      <c r="F1509" t="str">
        <f>IFERROR(__xludf.DUMMYFUNCTION("""COMPUTED_VALUE"""),"")</f>
        <v/>
      </c>
      <c r="G1509" t="str">
        <f>IFERROR(__xludf.DUMMYFUNCTION("""COMPUTED_VALUE"""),"")</f>
        <v/>
      </c>
      <c r="H1509" s="2" t="str">
        <f>IFERROR(__xludf.DUMMYFUNCTION("""COMPUTED_VALUE"""),"")</f>
        <v/>
      </c>
      <c r="I1509" s="2" t="str">
        <f>IFERROR(__xludf.DUMMYFUNCTION("""COMPUTED_VALUE"""),"")</f>
        <v/>
      </c>
      <c r="J1509" s="2">
        <f>IFERROR(__xludf.DUMMYFUNCTION("""COMPUTED_VALUE"""),0.0)</f>
        <v>0</v>
      </c>
      <c r="K1509" s="5" t="str">
        <f>IFERROR(__xludf.DUMMYFUNCTION("""COMPUTED_VALUE"""),"")</f>
        <v/>
      </c>
      <c r="L1509" t="str">
        <f>IFERROR(__xludf.DUMMYFUNCTION("""COMPUTED_VALUE"""),"")</f>
        <v/>
      </c>
      <c r="M1509" t="str">
        <f>IFERROR(__xludf.DUMMYFUNCTION("""COMPUTED_VALUE"""),"")</f>
        <v/>
      </c>
      <c r="N1509" t="str">
        <f>IFERROR(__xludf.DUMMYFUNCTION("""COMPUTED_VALUE"""),"")</f>
        <v/>
      </c>
      <c r="O1509" t="str">
        <f>IFERROR(__xludf.DUMMYFUNCTION("""COMPUTED_VALUE"""),"")</f>
        <v/>
      </c>
      <c r="P1509" t="str">
        <f>IFERROR(__xludf.DUMMYFUNCTION("""COMPUTED_VALUE"""),"ID ")</f>
        <v>ID </v>
      </c>
    </row>
    <row r="1510">
      <c r="A1510" s="6" t="str">
        <f>IFERROR(__xludf.DUMMYFUNCTION("""COMPUTED_VALUE"""),"")</f>
        <v/>
      </c>
      <c r="C1510" t="str">
        <f>IFERROR(__xludf.DUMMYFUNCTION("""COMPUTED_VALUE"""),"")</f>
        <v/>
      </c>
      <c r="D1510" t="str">
        <f>IFERROR(__xludf.DUMMYFUNCTION("""COMPUTED_VALUE"""),"")</f>
        <v/>
      </c>
      <c r="E1510" t="str">
        <f>IFERROR(__xludf.DUMMYFUNCTION("""COMPUTED_VALUE"""),"")</f>
        <v/>
      </c>
      <c r="F1510" t="str">
        <f>IFERROR(__xludf.DUMMYFUNCTION("""COMPUTED_VALUE"""),"")</f>
        <v/>
      </c>
      <c r="G1510" t="str">
        <f>IFERROR(__xludf.DUMMYFUNCTION("""COMPUTED_VALUE"""),"")</f>
        <v/>
      </c>
      <c r="H1510" s="2" t="str">
        <f>IFERROR(__xludf.DUMMYFUNCTION("""COMPUTED_VALUE"""),"")</f>
        <v/>
      </c>
      <c r="I1510" s="2" t="str">
        <f>IFERROR(__xludf.DUMMYFUNCTION("""COMPUTED_VALUE"""),"")</f>
        <v/>
      </c>
      <c r="J1510" s="2">
        <f>IFERROR(__xludf.DUMMYFUNCTION("""COMPUTED_VALUE"""),0.0)</f>
        <v>0</v>
      </c>
      <c r="K1510" s="5" t="str">
        <f>IFERROR(__xludf.DUMMYFUNCTION("""COMPUTED_VALUE"""),"")</f>
        <v/>
      </c>
      <c r="L1510" t="str">
        <f>IFERROR(__xludf.DUMMYFUNCTION("""COMPUTED_VALUE"""),"")</f>
        <v/>
      </c>
      <c r="M1510" t="str">
        <f>IFERROR(__xludf.DUMMYFUNCTION("""COMPUTED_VALUE"""),"")</f>
        <v/>
      </c>
      <c r="N1510" t="str">
        <f>IFERROR(__xludf.DUMMYFUNCTION("""COMPUTED_VALUE"""),"")</f>
        <v/>
      </c>
      <c r="O1510" t="str">
        <f>IFERROR(__xludf.DUMMYFUNCTION("""COMPUTED_VALUE"""),"")</f>
        <v/>
      </c>
      <c r="P1510" t="str">
        <f>IFERROR(__xludf.DUMMYFUNCTION("""COMPUTED_VALUE"""),"ID ")</f>
        <v>ID </v>
      </c>
    </row>
    <row r="1511">
      <c r="A1511" s="6" t="str">
        <f>IFERROR(__xludf.DUMMYFUNCTION("""COMPUTED_VALUE"""),"")</f>
        <v/>
      </c>
      <c r="C1511" t="str">
        <f>IFERROR(__xludf.DUMMYFUNCTION("""COMPUTED_VALUE"""),"")</f>
        <v/>
      </c>
      <c r="D1511" t="str">
        <f>IFERROR(__xludf.DUMMYFUNCTION("""COMPUTED_VALUE"""),"")</f>
        <v/>
      </c>
      <c r="E1511" t="str">
        <f>IFERROR(__xludf.DUMMYFUNCTION("""COMPUTED_VALUE"""),"")</f>
        <v/>
      </c>
      <c r="F1511" t="str">
        <f>IFERROR(__xludf.DUMMYFUNCTION("""COMPUTED_VALUE"""),"")</f>
        <v/>
      </c>
      <c r="G1511" t="str">
        <f>IFERROR(__xludf.DUMMYFUNCTION("""COMPUTED_VALUE"""),"")</f>
        <v/>
      </c>
      <c r="H1511" s="2" t="str">
        <f>IFERROR(__xludf.DUMMYFUNCTION("""COMPUTED_VALUE"""),"")</f>
        <v/>
      </c>
      <c r="I1511" s="2" t="str">
        <f>IFERROR(__xludf.DUMMYFUNCTION("""COMPUTED_VALUE"""),"")</f>
        <v/>
      </c>
      <c r="J1511" s="2">
        <f>IFERROR(__xludf.DUMMYFUNCTION("""COMPUTED_VALUE"""),0.0)</f>
        <v>0</v>
      </c>
      <c r="K1511" s="5" t="str">
        <f>IFERROR(__xludf.DUMMYFUNCTION("""COMPUTED_VALUE"""),"")</f>
        <v/>
      </c>
      <c r="L1511" t="str">
        <f>IFERROR(__xludf.DUMMYFUNCTION("""COMPUTED_VALUE"""),"")</f>
        <v/>
      </c>
      <c r="M1511" t="str">
        <f>IFERROR(__xludf.DUMMYFUNCTION("""COMPUTED_VALUE"""),"")</f>
        <v/>
      </c>
      <c r="N1511" t="str">
        <f>IFERROR(__xludf.DUMMYFUNCTION("""COMPUTED_VALUE"""),"")</f>
        <v/>
      </c>
      <c r="O1511" t="str">
        <f>IFERROR(__xludf.DUMMYFUNCTION("""COMPUTED_VALUE"""),"")</f>
        <v/>
      </c>
      <c r="P1511" t="str">
        <f>IFERROR(__xludf.DUMMYFUNCTION("""COMPUTED_VALUE"""),"ID ")</f>
        <v>ID </v>
      </c>
    </row>
    <row r="1512">
      <c r="A1512" s="6" t="str">
        <f>IFERROR(__xludf.DUMMYFUNCTION("""COMPUTED_VALUE"""),"")</f>
        <v/>
      </c>
      <c r="C1512" t="str">
        <f>IFERROR(__xludf.DUMMYFUNCTION("""COMPUTED_VALUE"""),"")</f>
        <v/>
      </c>
      <c r="D1512" t="str">
        <f>IFERROR(__xludf.DUMMYFUNCTION("""COMPUTED_VALUE"""),"")</f>
        <v/>
      </c>
      <c r="E1512" t="str">
        <f>IFERROR(__xludf.DUMMYFUNCTION("""COMPUTED_VALUE"""),"")</f>
        <v/>
      </c>
      <c r="F1512" t="str">
        <f>IFERROR(__xludf.DUMMYFUNCTION("""COMPUTED_VALUE"""),"")</f>
        <v/>
      </c>
      <c r="G1512" t="str">
        <f>IFERROR(__xludf.DUMMYFUNCTION("""COMPUTED_VALUE"""),"")</f>
        <v/>
      </c>
      <c r="H1512" s="2" t="str">
        <f>IFERROR(__xludf.DUMMYFUNCTION("""COMPUTED_VALUE"""),"")</f>
        <v/>
      </c>
      <c r="I1512" s="2" t="str">
        <f>IFERROR(__xludf.DUMMYFUNCTION("""COMPUTED_VALUE"""),"")</f>
        <v/>
      </c>
      <c r="J1512" s="2">
        <f>IFERROR(__xludf.DUMMYFUNCTION("""COMPUTED_VALUE"""),0.0)</f>
        <v>0</v>
      </c>
      <c r="K1512" s="5" t="str">
        <f>IFERROR(__xludf.DUMMYFUNCTION("""COMPUTED_VALUE"""),"")</f>
        <v/>
      </c>
      <c r="L1512" t="str">
        <f>IFERROR(__xludf.DUMMYFUNCTION("""COMPUTED_VALUE"""),"")</f>
        <v/>
      </c>
      <c r="M1512" t="str">
        <f>IFERROR(__xludf.DUMMYFUNCTION("""COMPUTED_VALUE"""),"")</f>
        <v/>
      </c>
      <c r="N1512" t="str">
        <f>IFERROR(__xludf.DUMMYFUNCTION("""COMPUTED_VALUE"""),"")</f>
        <v/>
      </c>
      <c r="O1512" t="str">
        <f>IFERROR(__xludf.DUMMYFUNCTION("""COMPUTED_VALUE"""),"")</f>
        <v/>
      </c>
      <c r="P1512" t="str">
        <f>IFERROR(__xludf.DUMMYFUNCTION("""COMPUTED_VALUE"""),"ID ")</f>
        <v>ID </v>
      </c>
    </row>
    <row r="1513">
      <c r="A1513" s="6" t="str">
        <f>IFERROR(__xludf.DUMMYFUNCTION("""COMPUTED_VALUE"""),"")</f>
        <v/>
      </c>
      <c r="C1513" t="str">
        <f>IFERROR(__xludf.DUMMYFUNCTION("""COMPUTED_VALUE"""),"")</f>
        <v/>
      </c>
      <c r="D1513" t="str">
        <f>IFERROR(__xludf.DUMMYFUNCTION("""COMPUTED_VALUE"""),"")</f>
        <v/>
      </c>
      <c r="E1513" t="str">
        <f>IFERROR(__xludf.DUMMYFUNCTION("""COMPUTED_VALUE"""),"")</f>
        <v/>
      </c>
      <c r="F1513" t="str">
        <f>IFERROR(__xludf.DUMMYFUNCTION("""COMPUTED_VALUE"""),"")</f>
        <v/>
      </c>
      <c r="G1513" t="str">
        <f>IFERROR(__xludf.DUMMYFUNCTION("""COMPUTED_VALUE"""),"")</f>
        <v/>
      </c>
      <c r="H1513" s="2" t="str">
        <f>IFERROR(__xludf.DUMMYFUNCTION("""COMPUTED_VALUE"""),"")</f>
        <v/>
      </c>
      <c r="I1513" s="2" t="str">
        <f>IFERROR(__xludf.DUMMYFUNCTION("""COMPUTED_VALUE"""),"")</f>
        <v/>
      </c>
      <c r="J1513" s="2">
        <f>IFERROR(__xludf.DUMMYFUNCTION("""COMPUTED_VALUE"""),0.0)</f>
        <v>0</v>
      </c>
      <c r="K1513" s="5" t="str">
        <f>IFERROR(__xludf.DUMMYFUNCTION("""COMPUTED_VALUE"""),"")</f>
        <v/>
      </c>
      <c r="L1513" t="str">
        <f>IFERROR(__xludf.DUMMYFUNCTION("""COMPUTED_VALUE"""),"")</f>
        <v/>
      </c>
      <c r="M1513" t="str">
        <f>IFERROR(__xludf.DUMMYFUNCTION("""COMPUTED_VALUE"""),"")</f>
        <v/>
      </c>
      <c r="N1513" t="str">
        <f>IFERROR(__xludf.DUMMYFUNCTION("""COMPUTED_VALUE"""),"")</f>
        <v/>
      </c>
      <c r="O1513" t="str">
        <f>IFERROR(__xludf.DUMMYFUNCTION("""COMPUTED_VALUE"""),"")</f>
        <v/>
      </c>
      <c r="P1513" t="str">
        <f>IFERROR(__xludf.DUMMYFUNCTION("""COMPUTED_VALUE"""),"ID ")</f>
        <v>ID </v>
      </c>
    </row>
    <row r="1514">
      <c r="A1514" s="6" t="str">
        <f>IFERROR(__xludf.DUMMYFUNCTION("""COMPUTED_VALUE"""),"")</f>
        <v/>
      </c>
      <c r="C1514" t="str">
        <f>IFERROR(__xludf.DUMMYFUNCTION("""COMPUTED_VALUE"""),"")</f>
        <v/>
      </c>
      <c r="D1514" t="str">
        <f>IFERROR(__xludf.DUMMYFUNCTION("""COMPUTED_VALUE"""),"")</f>
        <v/>
      </c>
      <c r="E1514" t="str">
        <f>IFERROR(__xludf.DUMMYFUNCTION("""COMPUTED_VALUE"""),"")</f>
        <v/>
      </c>
      <c r="F1514" t="str">
        <f>IFERROR(__xludf.DUMMYFUNCTION("""COMPUTED_VALUE"""),"")</f>
        <v/>
      </c>
      <c r="G1514" t="str">
        <f>IFERROR(__xludf.DUMMYFUNCTION("""COMPUTED_VALUE"""),"")</f>
        <v/>
      </c>
      <c r="H1514" s="2" t="str">
        <f>IFERROR(__xludf.DUMMYFUNCTION("""COMPUTED_VALUE"""),"")</f>
        <v/>
      </c>
      <c r="I1514" s="2" t="str">
        <f>IFERROR(__xludf.DUMMYFUNCTION("""COMPUTED_VALUE"""),"")</f>
        <v/>
      </c>
      <c r="J1514" s="2">
        <f>IFERROR(__xludf.DUMMYFUNCTION("""COMPUTED_VALUE"""),0.0)</f>
        <v>0</v>
      </c>
      <c r="K1514" s="5" t="str">
        <f>IFERROR(__xludf.DUMMYFUNCTION("""COMPUTED_VALUE"""),"")</f>
        <v/>
      </c>
      <c r="L1514" t="str">
        <f>IFERROR(__xludf.DUMMYFUNCTION("""COMPUTED_VALUE"""),"")</f>
        <v/>
      </c>
      <c r="M1514" t="str">
        <f>IFERROR(__xludf.DUMMYFUNCTION("""COMPUTED_VALUE"""),"")</f>
        <v/>
      </c>
      <c r="N1514" t="str">
        <f>IFERROR(__xludf.DUMMYFUNCTION("""COMPUTED_VALUE"""),"")</f>
        <v/>
      </c>
      <c r="O1514" t="str">
        <f>IFERROR(__xludf.DUMMYFUNCTION("""COMPUTED_VALUE"""),"")</f>
        <v/>
      </c>
      <c r="P1514" t="str">
        <f>IFERROR(__xludf.DUMMYFUNCTION("""COMPUTED_VALUE"""),"ID ")</f>
        <v>ID </v>
      </c>
    </row>
    <row r="1515">
      <c r="A1515" s="6" t="str">
        <f>IFERROR(__xludf.DUMMYFUNCTION("""COMPUTED_VALUE"""),"")</f>
        <v/>
      </c>
      <c r="C1515" t="str">
        <f>IFERROR(__xludf.DUMMYFUNCTION("""COMPUTED_VALUE"""),"")</f>
        <v/>
      </c>
      <c r="D1515" t="str">
        <f>IFERROR(__xludf.DUMMYFUNCTION("""COMPUTED_VALUE"""),"")</f>
        <v/>
      </c>
      <c r="E1515" t="str">
        <f>IFERROR(__xludf.DUMMYFUNCTION("""COMPUTED_VALUE"""),"")</f>
        <v/>
      </c>
      <c r="F1515" t="str">
        <f>IFERROR(__xludf.DUMMYFUNCTION("""COMPUTED_VALUE"""),"")</f>
        <v/>
      </c>
      <c r="G1515" t="str">
        <f>IFERROR(__xludf.DUMMYFUNCTION("""COMPUTED_VALUE"""),"")</f>
        <v/>
      </c>
      <c r="H1515" s="2" t="str">
        <f>IFERROR(__xludf.DUMMYFUNCTION("""COMPUTED_VALUE"""),"")</f>
        <v/>
      </c>
      <c r="I1515" s="2" t="str">
        <f>IFERROR(__xludf.DUMMYFUNCTION("""COMPUTED_VALUE"""),"")</f>
        <v/>
      </c>
      <c r="J1515" s="2">
        <f>IFERROR(__xludf.DUMMYFUNCTION("""COMPUTED_VALUE"""),0.0)</f>
        <v>0</v>
      </c>
      <c r="K1515" s="5" t="str">
        <f>IFERROR(__xludf.DUMMYFUNCTION("""COMPUTED_VALUE"""),"")</f>
        <v/>
      </c>
      <c r="L1515" t="str">
        <f>IFERROR(__xludf.DUMMYFUNCTION("""COMPUTED_VALUE"""),"")</f>
        <v/>
      </c>
      <c r="M1515" t="str">
        <f>IFERROR(__xludf.DUMMYFUNCTION("""COMPUTED_VALUE"""),"")</f>
        <v/>
      </c>
      <c r="N1515" t="str">
        <f>IFERROR(__xludf.DUMMYFUNCTION("""COMPUTED_VALUE"""),"")</f>
        <v/>
      </c>
      <c r="O1515" t="str">
        <f>IFERROR(__xludf.DUMMYFUNCTION("""COMPUTED_VALUE"""),"")</f>
        <v/>
      </c>
      <c r="P1515" t="str">
        <f>IFERROR(__xludf.DUMMYFUNCTION("""COMPUTED_VALUE"""),"ID ")</f>
        <v>ID </v>
      </c>
    </row>
    <row r="1516">
      <c r="A1516" s="6" t="str">
        <f>IFERROR(__xludf.DUMMYFUNCTION("""COMPUTED_VALUE"""),"")</f>
        <v/>
      </c>
      <c r="C1516" t="str">
        <f>IFERROR(__xludf.DUMMYFUNCTION("""COMPUTED_VALUE"""),"")</f>
        <v/>
      </c>
      <c r="D1516" t="str">
        <f>IFERROR(__xludf.DUMMYFUNCTION("""COMPUTED_VALUE"""),"")</f>
        <v/>
      </c>
      <c r="E1516" t="str">
        <f>IFERROR(__xludf.DUMMYFUNCTION("""COMPUTED_VALUE"""),"")</f>
        <v/>
      </c>
      <c r="F1516" t="str">
        <f>IFERROR(__xludf.DUMMYFUNCTION("""COMPUTED_VALUE"""),"")</f>
        <v/>
      </c>
      <c r="G1516" t="str">
        <f>IFERROR(__xludf.DUMMYFUNCTION("""COMPUTED_VALUE"""),"")</f>
        <v/>
      </c>
      <c r="H1516" s="2" t="str">
        <f>IFERROR(__xludf.DUMMYFUNCTION("""COMPUTED_VALUE"""),"")</f>
        <v/>
      </c>
      <c r="I1516" s="2" t="str">
        <f>IFERROR(__xludf.DUMMYFUNCTION("""COMPUTED_VALUE"""),"")</f>
        <v/>
      </c>
      <c r="J1516" s="2">
        <f>IFERROR(__xludf.DUMMYFUNCTION("""COMPUTED_VALUE"""),0.0)</f>
        <v>0</v>
      </c>
      <c r="K1516" s="5" t="str">
        <f>IFERROR(__xludf.DUMMYFUNCTION("""COMPUTED_VALUE"""),"")</f>
        <v/>
      </c>
      <c r="L1516" t="str">
        <f>IFERROR(__xludf.DUMMYFUNCTION("""COMPUTED_VALUE"""),"")</f>
        <v/>
      </c>
      <c r="M1516" t="str">
        <f>IFERROR(__xludf.DUMMYFUNCTION("""COMPUTED_VALUE"""),"")</f>
        <v/>
      </c>
      <c r="N1516" t="str">
        <f>IFERROR(__xludf.DUMMYFUNCTION("""COMPUTED_VALUE"""),"")</f>
        <v/>
      </c>
      <c r="O1516" t="str">
        <f>IFERROR(__xludf.DUMMYFUNCTION("""COMPUTED_VALUE"""),"")</f>
        <v/>
      </c>
      <c r="P1516" t="str">
        <f>IFERROR(__xludf.DUMMYFUNCTION("""COMPUTED_VALUE"""),"ID ")</f>
        <v>ID </v>
      </c>
    </row>
    <row r="1517">
      <c r="A1517" s="6" t="str">
        <f>IFERROR(__xludf.DUMMYFUNCTION("""COMPUTED_VALUE"""),"")</f>
        <v/>
      </c>
      <c r="C1517" t="str">
        <f>IFERROR(__xludf.DUMMYFUNCTION("""COMPUTED_VALUE"""),"")</f>
        <v/>
      </c>
      <c r="D1517" t="str">
        <f>IFERROR(__xludf.DUMMYFUNCTION("""COMPUTED_VALUE"""),"")</f>
        <v/>
      </c>
      <c r="E1517" t="str">
        <f>IFERROR(__xludf.DUMMYFUNCTION("""COMPUTED_VALUE"""),"")</f>
        <v/>
      </c>
      <c r="F1517" t="str">
        <f>IFERROR(__xludf.DUMMYFUNCTION("""COMPUTED_VALUE"""),"")</f>
        <v/>
      </c>
      <c r="G1517" t="str">
        <f>IFERROR(__xludf.DUMMYFUNCTION("""COMPUTED_VALUE"""),"")</f>
        <v/>
      </c>
      <c r="H1517" s="2" t="str">
        <f>IFERROR(__xludf.DUMMYFUNCTION("""COMPUTED_VALUE"""),"")</f>
        <v/>
      </c>
      <c r="I1517" s="2" t="str">
        <f>IFERROR(__xludf.DUMMYFUNCTION("""COMPUTED_VALUE"""),"")</f>
        <v/>
      </c>
      <c r="J1517" s="2">
        <f>IFERROR(__xludf.DUMMYFUNCTION("""COMPUTED_VALUE"""),0.0)</f>
        <v>0</v>
      </c>
      <c r="K1517" s="5" t="str">
        <f>IFERROR(__xludf.DUMMYFUNCTION("""COMPUTED_VALUE"""),"")</f>
        <v/>
      </c>
      <c r="L1517" t="str">
        <f>IFERROR(__xludf.DUMMYFUNCTION("""COMPUTED_VALUE"""),"")</f>
        <v/>
      </c>
      <c r="M1517" t="str">
        <f>IFERROR(__xludf.DUMMYFUNCTION("""COMPUTED_VALUE"""),"")</f>
        <v/>
      </c>
      <c r="N1517" t="str">
        <f>IFERROR(__xludf.DUMMYFUNCTION("""COMPUTED_VALUE"""),"")</f>
        <v/>
      </c>
      <c r="O1517" t="str">
        <f>IFERROR(__xludf.DUMMYFUNCTION("""COMPUTED_VALUE"""),"")</f>
        <v/>
      </c>
      <c r="P1517" t="str">
        <f>IFERROR(__xludf.DUMMYFUNCTION("""COMPUTED_VALUE"""),"ID ")</f>
        <v>ID </v>
      </c>
    </row>
    <row r="1518">
      <c r="A1518" s="6" t="str">
        <f>IFERROR(__xludf.DUMMYFUNCTION("""COMPUTED_VALUE"""),"")</f>
        <v/>
      </c>
      <c r="C1518" t="str">
        <f>IFERROR(__xludf.DUMMYFUNCTION("""COMPUTED_VALUE"""),"")</f>
        <v/>
      </c>
      <c r="D1518" t="str">
        <f>IFERROR(__xludf.DUMMYFUNCTION("""COMPUTED_VALUE"""),"")</f>
        <v/>
      </c>
      <c r="E1518" t="str">
        <f>IFERROR(__xludf.DUMMYFUNCTION("""COMPUTED_VALUE"""),"")</f>
        <v/>
      </c>
      <c r="F1518" t="str">
        <f>IFERROR(__xludf.DUMMYFUNCTION("""COMPUTED_VALUE"""),"")</f>
        <v/>
      </c>
      <c r="G1518" t="str">
        <f>IFERROR(__xludf.DUMMYFUNCTION("""COMPUTED_VALUE"""),"")</f>
        <v/>
      </c>
      <c r="H1518" s="2" t="str">
        <f>IFERROR(__xludf.DUMMYFUNCTION("""COMPUTED_VALUE"""),"")</f>
        <v/>
      </c>
      <c r="I1518" s="2" t="str">
        <f>IFERROR(__xludf.DUMMYFUNCTION("""COMPUTED_VALUE"""),"")</f>
        <v/>
      </c>
      <c r="J1518" s="2">
        <f>IFERROR(__xludf.DUMMYFUNCTION("""COMPUTED_VALUE"""),0.0)</f>
        <v>0</v>
      </c>
      <c r="K1518" s="5" t="str">
        <f>IFERROR(__xludf.DUMMYFUNCTION("""COMPUTED_VALUE"""),"")</f>
        <v/>
      </c>
      <c r="L1518" t="str">
        <f>IFERROR(__xludf.DUMMYFUNCTION("""COMPUTED_VALUE"""),"")</f>
        <v/>
      </c>
      <c r="M1518" t="str">
        <f>IFERROR(__xludf.DUMMYFUNCTION("""COMPUTED_VALUE"""),"")</f>
        <v/>
      </c>
      <c r="N1518" t="str">
        <f>IFERROR(__xludf.DUMMYFUNCTION("""COMPUTED_VALUE"""),"")</f>
        <v/>
      </c>
      <c r="O1518" t="str">
        <f>IFERROR(__xludf.DUMMYFUNCTION("""COMPUTED_VALUE"""),"")</f>
        <v/>
      </c>
      <c r="P1518" t="str">
        <f>IFERROR(__xludf.DUMMYFUNCTION("""COMPUTED_VALUE"""),"ID ")</f>
        <v>ID </v>
      </c>
    </row>
    <row r="1519">
      <c r="A1519" s="6" t="str">
        <f>IFERROR(__xludf.DUMMYFUNCTION("""COMPUTED_VALUE"""),"")</f>
        <v/>
      </c>
      <c r="C1519" t="str">
        <f>IFERROR(__xludf.DUMMYFUNCTION("""COMPUTED_VALUE"""),"")</f>
        <v/>
      </c>
      <c r="D1519" t="str">
        <f>IFERROR(__xludf.DUMMYFUNCTION("""COMPUTED_VALUE"""),"")</f>
        <v/>
      </c>
      <c r="E1519" t="str">
        <f>IFERROR(__xludf.DUMMYFUNCTION("""COMPUTED_VALUE"""),"")</f>
        <v/>
      </c>
      <c r="F1519" t="str">
        <f>IFERROR(__xludf.DUMMYFUNCTION("""COMPUTED_VALUE"""),"")</f>
        <v/>
      </c>
      <c r="G1519" t="str">
        <f>IFERROR(__xludf.DUMMYFUNCTION("""COMPUTED_VALUE"""),"")</f>
        <v/>
      </c>
      <c r="H1519" s="2" t="str">
        <f>IFERROR(__xludf.DUMMYFUNCTION("""COMPUTED_VALUE"""),"")</f>
        <v/>
      </c>
      <c r="I1519" s="2" t="str">
        <f>IFERROR(__xludf.DUMMYFUNCTION("""COMPUTED_VALUE"""),"")</f>
        <v/>
      </c>
      <c r="J1519" s="2">
        <f>IFERROR(__xludf.DUMMYFUNCTION("""COMPUTED_VALUE"""),0.0)</f>
        <v>0</v>
      </c>
      <c r="K1519" s="5" t="str">
        <f>IFERROR(__xludf.DUMMYFUNCTION("""COMPUTED_VALUE"""),"")</f>
        <v/>
      </c>
      <c r="L1519" t="str">
        <f>IFERROR(__xludf.DUMMYFUNCTION("""COMPUTED_VALUE"""),"")</f>
        <v/>
      </c>
      <c r="M1519" t="str">
        <f>IFERROR(__xludf.DUMMYFUNCTION("""COMPUTED_VALUE"""),"")</f>
        <v/>
      </c>
      <c r="N1519" t="str">
        <f>IFERROR(__xludf.DUMMYFUNCTION("""COMPUTED_VALUE"""),"")</f>
        <v/>
      </c>
      <c r="O1519" t="str">
        <f>IFERROR(__xludf.DUMMYFUNCTION("""COMPUTED_VALUE"""),"")</f>
        <v/>
      </c>
      <c r="P1519" t="str">
        <f>IFERROR(__xludf.DUMMYFUNCTION("""COMPUTED_VALUE"""),"ID ")</f>
        <v>ID </v>
      </c>
    </row>
    <row r="1520">
      <c r="A1520" s="6" t="str">
        <f>IFERROR(__xludf.DUMMYFUNCTION("""COMPUTED_VALUE"""),"")</f>
        <v/>
      </c>
      <c r="C1520" t="str">
        <f>IFERROR(__xludf.DUMMYFUNCTION("""COMPUTED_VALUE"""),"")</f>
        <v/>
      </c>
      <c r="D1520" t="str">
        <f>IFERROR(__xludf.DUMMYFUNCTION("""COMPUTED_VALUE"""),"")</f>
        <v/>
      </c>
      <c r="E1520" t="str">
        <f>IFERROR(__xludf.DUMMYFUNCTION("""COMPUTED_VALUE"""),"")</f>
        <v/>
      </c>
      <c r="F1520" t="str">
        <f>IFERROR(__xludf.DUMMYFUNCTION("""COMPUTED_VALUE"""),"")</f>
        <v/>
      </c>
      <c r="G1520" t="str">
        <f>IFERROR(__xludf.DUMMYFUNCTION("""COMPUTED_VALUE"""),"")</f>
        <v/>
      </c>
      <c r="H1520" s="2" t="str">
        <f>IFERROR(__xludf.DUMMYFUNCTION("""COMPUTED_VALUE"""),"")</f>
        <v/>
      </c>
      <c r="I1520" s="2" t="str">
        <f>IFERROR(__xludf.DUMMYFUNCTION("""COMPUTED_VALUE"""),"")</f>
        <v/>
      </c>
      <c r="J1520" s="2">
        <f>IFERROR(__xludf.DUMMYFUNCTION("""COMPUTED_VALUE"""),0.0)</f>
        <v>0</v>
      </c>
      <c r="K1520" s="5" t="str">
        <f>IFERROR(__xludf.DUMMYFUNCTION("""COMPUTED_VALUE"""),"")</f>
        <v/>
      </c>
      <c r="L1520" t="str">
        <f>IFERROR(__xludf.DUMMYFUNCTION("""COMPUTED_VALUE"""),"")</f>
        <v/>
      </c>
      <c r="M1520" t="str">
        <f>IFERROR(__xludf.DUMMYFUNCTION("""COMPUTED_VALUE"""),"")</f>
        <v/>
      </c>
      <c r="N1520" t="str">
        <f>IFERROR(__xludf.DUMMYFUNCTION("""COMPUTED_VALUE"""),"")</f>
        <v/>
      </c>
      <c r="O1520" t="str">
        <f>IFERROR(__xludf.DUMMYFUNCTION("""COMPUTED_VALUE"""),"")</f>
        <v/>
      </c>
      <c r="P1520" t="str">
        <f>IFERROR(__xludf.DUMMYFUNCTION("""COMPUTED_VALUE"""),"ID ")</f>
        <v>ID </v>
      </c>
    </row>
    <row r="1521">
      <c r="A1521" s="6" t="str">
        <f>IFERROR(__xludf.DUMMYFUNCTION("""COMPUTED_VALUE"""),"")</f>
        <v/>
      </c>
      <c r="C1521" t="str">
        <f>IFERROR(__xludf.DUMMYFUNCTION("""COMPUTED_VALUE"""),"")</f>
        <v/>
      </c>
      <c r="D1521" t="str">
        <f>IFERROR(__xludf.DUMMYFUNCTION("""COMPUTED_VALUE"""),"")</f>
        <v/>
      </c>
      <c r="E1521" t="str">
        <f>IFERROR(__xludf.DUMMYFUNCTION("""COMPUTED_VALUE"""),"")</f>
        <v/>
      </c>
      <c r="F1521" t="str">
        <f>IFERROR(__xludf.DUMMYFUNCTION("""COMPUTED_VALUE"""),"")</f>
        <v/>
      </c>
      <c r="G1521" t="str">
        <f>IFERROR(__xludf.DUMMYFUNCTION("""COMPUTED_VALUE"""),"")</f>
        <v/>
      </c>
      <c r="H1521" s="2" t="str">
        <f>IFERROR(__xludf.DUMMYFUNCTION("""COMPUTED_VALUE"""),"")</f>
        <v/>
      </c>
      <c r="I1521" s="2" t="str">
        <f>IFERROR(__xludf.DUMMYFUNCTION("""COMPUTED_VALUE"""),"")</f>
        <v/>
      </c>
      <c r="J1521" s="2">
        <f>IFERROR(__xludf.DUMMYFUNCTION("""COMPUTED_VALUE"""),0.0)</f>
        <v>0</v>
      </c>
      <c r="K1521" s="5" t="str">
        <f>IFERROR(__xludf.DUMMYFUNCTION("""COMPUTED_VALUE"""),"")</f>
        <v/>
      </c>
      <c r="L1521" t="str">
        <f>IFERROR(__xludf.DUMMYFUNCTION("""COMPUTED_VALUE"""),"")</f>
        <v/>
      </c>
      <c r="M1521" t="str">
        <f>IFERROR(__xludf.DUMMYFUNCTION("""COMPUTED_VALUE"""),"")</f>
        <v/>
      </c>
      <c r="N1521" t="str">
        <f>IFERROR(__xludf.DUMMYFUNCTION("""COMPUTED_VALUE"""),"")</f>
        <v/>
      </c>
      <c r="O1521" t="str">
        <f>IFERROR(__xludf.DUMMYFUNCTION("""COMPUTED_VALUE"""),"")</f>
        <v/>
      </c>
      <c r="P1521" t="str">
        <f>IFERROR(__xludf.DUMMYFUNCTION("""COMPUTED_VALUE"""),"ID ")</f>
        <v>ID </v>
      </c>
    </row>
    <row r="1522">
      <c r="A1522" s="6" t="str">
        <f>IFERROR(__xludf.DUMMYFUNCTION("""COMPUTED_VALUE"""),"")</f>
        <v/>
      </c>
      <c r="C1522" t="str">
        <f>IFERROR(__xludf.DUMMYFUNCTION("""COMPUTED_VALUE"""),"")</f>
        <v/>
      </c>
      <c r="D1522" t="str">
        <f>IFERROR(__xludf.DUMMYFUNCTION("""COMPUTED_VALUE"""),"")</f>
        <v/>
      </c>
      <c r="E1522" t="str">
        <f>IFERROR(__xludf.DUMMYFUNCTION("""COMPUTED_VALUE"""),"")</f>
        <v/>
      </c>
      <c r="F1522" t="str">
        <f>IFERROR(__xludf.DUMMYFUNCTION("""COMPUTED_VALUE"""),"")</f>
        <v/>
      </c>
      <c r="G1522" t="str">
        <f>IFERROR(__xludf.DUMMYFUNCTION("""COMPUTED_VALUE"""),"")</f>
        <v/>
      </c>
      <c r="H1522" s="2" t="str">
        <f>IFERROR(__xludf.DUMMYFUNCTION("""COMPUTED_VALUE"""),"")</f>
        <v/>
      </c>
      <c r="I1522" s="2" t="str">
        <f>IFERROR(__xludf.DUMMYFUNCTION("""COMPUTED_VALUE"""),"")</f>
        <v/>
      </c>
      <c r="J1522" s="2">
        <f>IFERROR(__xludf.DUMMYFUNCTION("""COMPUTED_VALUE"""),0.0)</f>
        <v>0</v>
      </c>
      <c r="K1522" s="5" t="str">
        <f>IFERROR(__xludf.DUMMYFUNCTION("""COMPUTED_VALUE"""),"")</f>
        <v/>
      </c>
      <c r="L1522" t="str">
        <f>IFERROR(__xludf.DUMMYFUNCTION("""COMPUTED_VALUE"""),"")</f>
        <v/>
      </c>
      <c r="M1522" t="str">
        <f>IFERROR(__xludf.DUMMYFUNCTION("""COMPUTED_VALUE"""),"")</f>
        <v/>
      </c>
      <c r="N1522" t="str">
        <f>IFERROR(__xludf.DUMMYFUNCTION("""COMPUTED_VALUE"""),"")</f>
        <v/>
      </c>
      <c r="O1522" t="str">
        <f>IFERROR(__xludf.DUMMYFUNCTION("""COMPUTED_VALUE"""),"")</f>
        <v/>
      </c>
      <c r="P1522" t="str">
        <f>IFERROR(__xludf.DUMMYFUNCTION("""COMPUTED_VALUE"""),"ID ")</f>
        <v>ID </v>
      </c>
    </row>
    <row r="1523">
      <c r="A1523" s="6" t="str">
        <f>IFERROR(__xludf.DUMMYFUNCTION("""COMPUTED_VALUE"""),"")</f>
        <v/>
      </c>
      <c r="C1523" t="str">
        <f>IFERROR(__xludf.DUMMYFUNCTION("""COMPUTED_VALUE"""),"")</f>
        <v/>
      </c>
      <c r="D1523" t="str">
        <f>IFERROR(__xludf.DUMMYFUNCTION("""COMPUTED_VALUE"""),"")</f>
        <v/>
      </c>
      <c r="E1523" t="str">
        <f>IFERROR(__xludf.DUMMYFUNCTION("""COMPUTED_VALUE"""),"")</f>
        <v/>
      </c>
      <c r="F1523" t="str">
        <f>IFERROR(__xludf.DUMMYFUNCTION("""COMPUTED_VALUE"""),"")</f>
        <v/>
      </c>
      <c r="G1523" t="str">
        <f>IFERROR(__xludf.DUMMYFUNCTION("""COMPUTED_VALUE"""),"")</f>
        <v/>
      </c>
      <c r="H1523" s="2" t="str">
        <f>IFERROR(__xludf.DUMMYFUNCTION("""COMPUTED_VALUE"""),"")</f>
        <v/>
      </c>
      <c r="I1523" s="2" t="str">
        <f>IFERROR(__xludf.DUMMYFUNCTION("""COMPUTED_VALUE"""),"")</f>
        <v/>
      </c>
      <c r="J1523" s="2">
        <f>IFERROR(__xludf.DUMMYFUNCTION("""COMPUTED_VALUE"""),0.0)</f>
        <v>0</v>
      </c>
      <c r="K1523" s="5" t="str">
        <f>IFERROR(__xludf.DUMMYFUNCTION("""COMPUTED_VALUE"""),"")</f>
        <v/>
      </c>
      <c r="L1523" t="str">
        <f>IFERROR(__xludf.DUMMYFUNCTION("""COMPUTED_VALUE"""),"")</f>
        <v/>
      </c>
      <c r="M1523" t="str">
        <f>IFERROR(__xludf.DUMMYFUNCTION("""COMPUTED_VALUE"""),"")</f>
        <v/>
      </c>
      <c r="N1523" t="str">
        <f>IFERROR(__xludf.DUMMYFUNCTION("""COMPUTED_VALUE"""),"")</f>
        <v/>
      </c>
      <c r="O1523" t="str">
        <f>IFERROR(__xludf.DUMMYFUNCTION("""COMPUTED_VALUE"""),"")</f>
        <v/>
      </c>
      <c r="P1523" t="str">
        <f>IFERROR(__xludf.DUMMYFUNCTION("""COMPUTED_VALUE"""),"ID ")</f>
        <v>ID </v>
      </c>
    </row>
    <row r="1524">
      <c r="A1524" s="6" t="str">
        <f>IFERROR(__xludf.DUMMYFUNCTION("""COMPUTED_VALUE"""),"")</f>
        <v/>
      </c>
      <c r="C1524" t="str">
        <f>IFERROR(__xludf.DUMMYFUNCTION("""COMPUTED_VALUE"""),"")</f>
        <v/>
      </c>
      <c r="D1524" t="str">
        <f>IFERROR(__xludf.DUMMYFUNCTION("""COMPUTED_VALUE"""),"")</f>
        <v/>
      </c>
      <c r="E1524" t="str">
        <f>IFERROR(__xludf.DUMMYFUNCTION("""COMPUTED_VALUE"""),"")</f>
        <v/>
      </c>
      <c r="F1524" t="str">
        <f>IFERROR(__xludf.DUMMYFUNCTION("""COMPUTED_VALUE"""),"")</f>
        <v/>
      </c>
      <c r="G1524" t="str">
        <f>IFERROR(__xludf.DUMMYFUNCTION("""COMPUTED_VALUE"""),"")</f>
        <v/>
      </c>
      <c r="H1524" s="2" t="str">
        <f>IFERROR(__xludf.DUMMYFUNCTION("""COMPUTED_VALUE"""),"")</f>
        <v/>
      </c>
      <c r="I1524" s="2" t="str">
        <f>IFERROR(__xludf.DUMMYFUNCTION("""COMPUTED_VALUE"""),"")</f>
        <v/>
      </c>
      <c r="J1524" s="2">
        <f>IFERROR(__xludf.DUMMYFUNCTION("""COMPUTED_VALUE"""),0.0)</f>
        <v>0</v>
      </c>
      <c r="K1524" s="5" t="str">
        <f>IFERROR(__xludf.DUMMYFUNCTION("""COMPUTED_VALUE"""),"")</f>
        <v/>
      </c>
      <c r="L1524" t="str">
        <f>IFERROR(__xludf.DUMMYFUNCTION("""COMPUTED_VALUE"""),"")</f>
        <v/>
      </c>
      <c r="M1524" t="str">
        <f>IFERROR(__xludf.DUMMYFUNCTION("""COMPUTED_VALUE"""),"")</f>
        <v/>
      </c>
      <c r="N1524" t="str">
        <f>IFERROR(__xludf.DUMMYFUNCTION("""COMPUTED_VALUE"""),"")</f>
        <v/>
      </c>
      <c r="O1524" t="str">
        <f>IFERROR(__xludf.DUMMYFUNCTION("""COMPUTED_VALUE"""),"")</f>
        <v/>
      </c>
      <c r="P1524" t="str">
        <f>IFERROR(__xludf.DUMMYFUNCTION("""COMPUTED_VALUE"""),"ID ")</f>
        <v>ID </v>
      </c>
    </row>
    <row r="1525">
      <c r="A1525" s="6" t="str">
        <f>IFERROR(__xludf.DUMMYFUNCTION("""COMPUTED_VALUE"""),"")</f>
        <v/>
      </c>
      <c r="C1525" t="str">
        <f>IFERROR(__xludf.DUMMYFUNCTION("""COMPUTED_VALUE"""),"")</f>
        <v/>
      </c>
      <c r="D1525" t="str">
        <f>IFERROR(__xludf.DUMMYFUNCTION("""COMPUTED_VALUE"""),"")</f>
        <v/>
      </c>
      <c r="E1525" t="str">
        <f>IFERROR(__xludf.DUMMYFUNCTION("""COMPUTED_VALUE"""),"")</f>
        <v/>
      </c>
      <c r="F1525" t="str">
        <f>IFERROR(__xludf.DUMMYFUNCTION("""COMPUTED_VALUE"""),"")</f>
        <v/>
      </c>
      <c r="G1525" t="str">
        <f>IFERROR(__xludf.DUMMYFUNCTION("""COMPUTED_VALUE"""),"")</f>
        <v/>
      </c>
      <c r="H1525" s="2" t="str">
        <f>IFERROR(__xludf.DUMMYFUNCTION("""COMPUTED_VALUE"""),"")</f>
        <v/>
      </c>
      <c r="I1525" s="2" t="str">
        <f>IFERROR(__xludf.DUMMYFUNCTION("""COMPUTED_VALUE"""),"")</f>
        <v/>
      </c>
      <c r="J1525" s="2">
        <f>IFERROR(__xludf.DUMMYFUNCTION("""COMPUTED_VALUE"""),0.0)</f>
        <v>0</v>
      </c>
      <c r="K1525" s="5" t="str">
        <f>IFERROR(__xludf.DUMMYFUNCTION("""COMPUTED_VALUE"""),"")</f>
        <v/>
      </c>
      <c r="L1525" t="str">
        <f>IFERROR(__xludf.DUMMYFUNCTION("""COMPUTED_VALUE"""),"")</f>
        <v/>
      </c>
      <c r="M1525" t="str">
        <f>IFERROR(__xludf.DUMMYFUNCTION("""COMPUTED_VALUE"""),"")</f>
        <v/>
      </c>
      <c r="N1525" t="str">
        <f>IFERROR(__xludf.DUMMYFUNCTION("""COMPUTED_VALUE"""),"")</f>
        <v/>
      </c>
      <c r="O1525" t="str">
        <f>IFERROR(__xludf.DUMMYFUNCTION("""COMPUTED_VALUE"""),"")</f>
        <v/>
      </c>
      <c r="P1525" t="str">
        <f>IFERROR(__xludf.DUMMYFUNCTION("""COMPUTED_VALUE"""),"ID ")</f>
        <v>ID </v>
      </c>
    </row>
    <row r="1526">
      <c r="A1526" s="6" t="str">
        <f>IFERROR(__xludf.DUMMYFUNCTION("""COMPUTED_VALUE"""),"")</f>
        <v/>
      </c>
      <c r="C1526" t="str">
        <f>IFERROR(__xludf.DUMMYFUNCTION("""COMPUTED_VALUE"""),"")</f>
        <v/>
      </c>
      <c r="D1526" t="str">
        <f>IFERROR(__xludf.DUMMYFUNCTION("""COMPUTED_VALUE"""),"")</f>
        <v/>
      </c>
      <c r="E1526" t="str">
        <f>IFERROR(__xludf.DUMMYFUNCTION("""COMPUTED_VALUE"""),"")</f>
        <v/>
      </c>
      <c r="F1526" t="str">
        <f>IFERROR(__xludf.DUMMYFUNCTION("""COMPUTED_VALUE"""),"")</f>
        <v/>
      </c>
      <c r="G1526" t="str">
        <f>IFERROR(__xludf.DUMMYFUNCTION("""COMPUTED_VALUE"""),"")</f>
        <v/>
      </c>
      <c r="H1526" s="2" t="str">
        <f>IFERROR(__xludf.DUMMYFUNCTION("""COMPUTED_VALUE"""),"")</f>
        <v/>
      </c>
      <c r="I1526" s="2" t="str">
        <f>IFERROR(__xludf.DUMMYFUNCTION("""COMPUTED_VALUE"""),"")</f>
        <v/>
      </c>
      <c r="J1526" s="2">
        <f>IFERROR(__xludf.DUMMYFUNCTION("""COMPUTED_VALUE"""),0.0)</f>
        <v>0</v>
      </c>
      <c r="K1526" s="5" t="str">
        <f>IFERROR(__xludf.DUMMYFUNCTION("""COMPUTED_VALUE"""),"")</f>
        <v/>
      </c>
      <c r="L1526" t="str">
        <f>IFERROR(__xludf.DUMMYFUNCTION("""COMPUTED_VALUE"""),"")</f>
        <v/>
      </c>
      <c r="M1526" t="str">
        <f>IFERROR(__xludf.DUMMYFUNCTION("""COMPUTED_VALUE"""),"")</f>
        <v/>
      </c>
      <c r="N1526" t="str">
        <f>IFERROR(__xludf.DUMMYFUNCTION("""COMPUTED_VALUE"""),"")</f>
        <v/>
      </c>
      <c r="O1526" t="str">
        <f>IFERROR(__xludf.DUMMYFUNCTION("""COMPUTED_VALUE"""),"")</f>
        <v/>
      </c>
      <c r="P1526" t="str">
        <f>IFERROR(__xludf.DUMMYFUNCTION("""COMPUTED_VALUE"""),"ID ")</f>
        <v>ID </v>
      </c>
    </row>
    <row r="1527">
      <c r="A1527" s="6" t="str">
        <f>IFERROR(__xludf.DUMMYFUNCTION("""COMPUTED_VALUE"""),"")</f>
        <v/>
      </c>
      <c r="C1527" t="str">
        <f>IFERROR(__xludf.DUMMYFUNCTION("""COMPUTED_VALUE"""),"")</f>
        <v/>
      </c>
      <c r="D1527" t="str">
        <f>IFERROR(__xludf.DUMMYFUNCTION("""COMPUTED_VALUE"""),"")</f>
        <v/>
      </c>
      <c r="E1527" t="str">
        <f>IFERROR(__xludf.DUMMYFUNCTION("""COMPUTED_VALUE"""),"")</f>
        <v/>
      </c>
      <c r="F1527" t="str">
        <f>IFERROR(__xludf.DUMMYFUNCTION("""COMPUTED_VALUE"""),"")</f>
        <v/>
      </c>
      <c r="G1527" t="str">
        <f>IFERROR(__xludf.DUMMYFUNCTION("""COMPUTED_VALUE"""),"")</f>
        <v/>
      </c>
      <c r="H1527" s="2" t="str">
        <f>IFERROR(__xludf.DUMMYFUNCTION("""COMPUTED_VALUE"""),"")</f>
        <v/>
      </c>
      <c r="I1527" s="2" t="str">
        <f>IFERROR(__xludf.DUMMYFUNCTION("""COMPUTED_VALUE"""),"")</f>
        <v/>
      </c>
      <c r="J1527" s="2">
        <f>IFERROR(__xludf.DUMMYFUNCTION("""COMPUTED_VALUE"""),0.0)</f>
        <v>0</v>
      </c>
      <c r="K1527" s="5" t="str">
        <f>IFERROR(__xludf.DUMMYFUNCTION("""COMPUTED_VALUE"""),"")</f>
        <v/>
      </c>
      <c r="L1527" t="str">
        <f>IFERROR(__xludf.DUMMYFUNCTION("""COMPUTED_VALUE"""),"")</f>
        <v/>
      </c>
      <c r="M1527" t="str">
        <f>IFERROR(__xludf.DUMMYFUNCTION("""COMPUTED_VALUE"""),"")</f>
        <v/>
      </c>
      <c r="N1527" t="str">
        <f>IFERROR(__xludf.DUMMYFUNCTION("""COMPUTED_VALUE"""),"")</f>
        <v/>
      </c>
      <c r="O1527" t="str">
        <f>IFERROR(__xludf.DUMMYFUNCTION("""COMPUTED_VALUE"""),"")</f>
        <v/>
      </c>
      <c r="P1527" t="str">
        <f>IFERROR(__xludf.DUMMYFUNCTION("""COMPUTED_VALUE"""),"ID ")</f>
        <v>ID </v>
      </c>
    </row>
    <row r="1528">
      <c r="A1528" s="6" t="str">
        <f>IFERROR(__xludf.DUMMYFUNCTION("""COMPUTED_VALUE"""),"")</f>
        <v/>
      </c>
      <c r="C1528" t="str">
        <f>IFERROR(__xludf.DUMMYFUNCTION("""COMPUTED_VALUE"""),"")</f>
        <v/>
      </c>
      <c r="D1528" t="str">
        <f>IFERROR(__xludf.DUMMYFUNCTION("""COMPUTED_VALUE"""),"")</f>
        <v/>
      </c>
      <c r="E1528" t="str">
        <f>IFERROR(__xludf.DUMMYFUNCTION("""COMPUTED_VALUE"""),"")</f>
        <v/>
      </c>
      <c r="F1528" t="str">
        <f>IFERROR(__xludf.DUMMYFUNCTION("""COMPUTED_VALUE"""),"")</f>
        <v/>
      </c>
      <c r="G1528" t="str">
        <f>IFERROR(__xludf.DUMMYFUNCTION("""COMPUTED_VALUE"""),"")</f>
        <v/>
      </c>
      <c r="H1528" s="2" t="str">
        <f>IFERROR(__xludf.DUMMYFUNCTION("""COMPUTED_VALUE"""),"")</f>
        <v/>
      </c>
      <c r="I1528" s="2" t="str">
        <f>IFERROR(__xludf.DUMMYFUNCTION("""COMPUTED_VALUE"""),"")</f>
        <v/>
      </c>
      <c r="J1528" s="2">
        <f>IFERROR(__xludf.DUMMYFUNCTION("""COMPUTED_VALUE"""),0.0)</f>
        <v>0</v>
      </c>
      <c r="K1528" s="5" t="str">
        <f>IFERROR(__xludf.DUMMYFUNCTION("""COMPUTED_VALUE"""),"")</f>
        <v/>
      </c>
      <c r="L1528" t="str">
        <f>IFERROR(__xludf.DUMMYFUNCTION("""COMPUTED_VALUE"""),"")</f>
        <v/>
      </c>
      <c r="M1528" t="str">
        <f>IFERROR(__xludf.DUMMYFUNCTION("""COMPUTED_VALUE"""),"")</f>
        <v/>
      </c>
      <c r="N1528" t="str">
        <f>IFERROR(__xludf.DUMMYFUNCTION("""COMPUTED_VALUE"""),"")</f>
        <v/>
      </c>
      <c r="O1528" t="str">
        <f>IFERROR(__xludf.DUMMYFUNCTION("""COMPUTED_VALUE"""),"")</f>
        <v/>
      </c>
      <c r="P1528" t="str">
        <f>IFERROR(__xludf.DUMMYFUNCTION("""COMPUTED_VALUE"""),"ID ")</f>
        <v>ID </v>
      </c>
    </row>
    <row r="1529">
      <c r="A1529" s="6" t="str">
        <f>IFERROR(__xludf.DUMMYFUNCTION("""COMPUTED_VALUE"""),"")</f>
        <v/>
      </c>
      <c r="C1529" t="str">
        <f>IFERROR(__xludf.DUMMYFUNCTION("""COMPUTED_VALUE"""),"")</f>
        <v/>
      </c>
      <c r="D1529" t="str">
        <f>IFERROR(__xludf.DUMMYFUNCTION("""COMPUTED_VALUE"""),"")</f>
        <v/>
      </c>
      <c r="E1529" t="str">
        <f>IFERROR(__xludf.DUMMYFUNCTION("""COMPUTED_VALUE"""),"")</f>
        <v/>
      </c>
      <c r="F1529" t="str">
        <f>IFERROR(__xludf.DUMMYFUNCTION("""COMPUTED_VALUE"""),"")</f>
        <v/>
      </c>
      <c r="G1529" t="str">
        <f>IFERROR(__xludf.DUMMYFUNCTION("""COMPUTED_VALUE"""),"")</f>
        <v/>
      </c>
      <c r="H1529" s="2" t="str">
        <f>IFERROR(__xludf.DUMMYFUNCTION("""COMPUTED_VALUE"""),"")</f>
        <v/>
      </c>
      <c r="I1529" s="2" t="str">
        <f>IFERROR(__xludf.DUMMYFUNCTION("""COMPUTED_VALUE"""),"")</f>
        <v/>
      </c>
      <c r="J1529" s="2">
        <f>IFERROR(__xludf.DUMMYFUNCTION("""COMPUTED_VALUE"""),0.0)</f>
        <v>0</v>
      </c>
      <c r="K1529" s="5" t="str">
        <f>IFERROR(__xludf.DUMMYFUNCTION("""COMPUTED_VALUE"""),"")</f>
        <v/>
      </c>
      <c r="L1529" t="str">
        <f>IFERROR(__xludf.DUMMYFUNCTION("""COMPUTED_VALUE"""),"")</f>
        <v/>
      </c>
      <c r="M1529" t="str">
        <f>IFERROR(__xludf.DUMMYFUNCTION("""COMPUTED_VALUE"""),"")</f>
        <v/>
      </c>
      <c r="N1529" t="str">
        <f>IFERROR(__xludf.DUMMYFUNCTION("""COMPUTED_VALUE"""),"")</f>
        <v/>
      </c>
      <c r="O1529" t="str">
        <f>IFERROR(__xludf.DUMMYFUNCTION("""COMPUTED_VALUE"""),"")</f>
        <v/>
      </c>
      <c r="P1529" t="str">
        <f>IFERROR(__xludf.DUMMYFUNCTION("""COMPUTED_VALUE"""),"ID ")</f>
        <v>ID </v>
      </c>
    </row>
    <row r="1530">
      <c r="A1530" s="6" t="str">
        <f>IFERROR(__xludf.DUMMYFUNCTION("""COMPUTED_VALUE"""),"")</f>
        <v/>
      </c>
      <c r="C1530" t="str">
        <f>IFERROR(__xludf.DUMMYFUNCTION("""COMPUTED_VALUE"""),"")</f>
        <v/>
      </c>
      <c r="D1530" t="str">
        <f>IFERROR(__xludf.DUMMYFUNCTION("""COMPUTED_VALUE"""),"")</f>
        <v/>
      </c>
      <c r="E1530" t="str">
        <f>IFERROR(__xludf.DUMMYFUNCTION("""COMPUTED_VALUE"""),"")</f>
        <v/>
      </c>
      <c r="F1530" t="str">
        <f>IFERROR(__xludf.DUMMYFUNCTION("""COMPUTED_VALUE"""),"")</f>
        <v/>
      </c>
      <c r="G1530" t="str">
        <f>IFERROR(__xludf.DUMMYFUNCTION("""COMPUTED_VALUE"""),"")</f>
        <v/>
      </c>
      <c r="H1530" s="2" t="str">
        <f>IFERROR(__xludf.DUMMYFUNCTION("""COMPUTED_VALUE"""),"")</f>
        <v/>
      </c>
      <c r="I1530" s="2" t="str">
        <f>IFERROR(__xludf.DUMMYFUNCTION("""COMPUTED_VALUE"""),"")</f>
        <v/>
      </c>
      <c r="J1530" s="2">
        <f>IFERROR(__xludf.DUMMYFUNCTION("""COMPUTED_VALUE"""),0.0)</f>
        <v>0</v>
      </c>
      <c r="K1530" s="5" t="str">
        <f>IFERROR(__xludf.DUMMYFUNCTION("""COMPUTED_VALUE"""),"")</f>
        <v/>
      </c>
      <c r="L1530" t="str">
        <f>IFERROR(__xludf.DUMMYFUNCTION("""COMPUTED_VALUE"""),"")</f>
        <v/>
      </c>
      <c r="M1530" t="str">
        <f>IFERROR(__xludf.DUMMYFUNCTION("""COMPUTED_VALUE"""),"")</f>
        <v/>
      </c>
      <c r="N1530" t="str">
        <f>IFERROR(__xludf.DUMMYFUNCTION("""COMPUTED_VALUE"""),"")</f>
        <v/>
      </c>
      <c r="O1530" t="str">
        <f>IFERROR(__xludf.DUMMYFUNCTION("""COMPUTED_VALUE"""),"")</f>
        <v/>
      </c>
      <c r="P1530" t="str">
        <f>IFERROR(__xludf.DUMMYFUNCTION("""COMPUTED_VALUE"""),"ID ")</f>
        <v>ID </v>
      </c>
    </row>
    <row r="1531">
      <c r="A1531" s="6" t="str">
        <f>IFERROR(__xludf.DUMMYFUNCTION("""COMPUTED_VALUE"""),"")</f>
        <v/>
      </c>
      <c r="C1531" t="str">
        <f>IFERROR(__xludf.DUMMYFUNCTION("""COMPUTED_VALUE"""),"")</f>
        <v/>
      </c>
      <c r="D1531" t="str">
        <f>IFERROR(__xludf.DUMMYFUNCTION("""COMPUTED_VALUE"""),"")</f>
        <v/>
      </c>
      <c r="E1531" t="str">
        <f>IFERROR(__xludf.DUMMYFUNCTION("""COMPUTED_VALUE"""),"")</f>
        <v/>
      </c>
      <c r="F1531" t="str">
        <f>IFERROR(__xludf.DUMMYFUNCTION("""COMPUTED_VALUE"""),"")</f>
        <v/>
      </c>
      <c r="G1531" t="str">
        <f>IFERROR(__xludf.DUMMYFUNCTION("""COMPUTED_VALUE"""),"")</f>
        <v/>
      </c>
      <c r="H1531" s="2" t="str">
        <f>IFERROR(__xludf.DUMMYFUNCTION("""COMPUTED_VALUE"""),"")</f>
        <v/>
      </c>
      <c r="I1531" s="2" t="str">
        <f>IFERROR(__xludf.DUMMYFUNCTION("""COMPUTED_VALUE"""),"")</f>
        <v/>
      </c>
      <c r="J1531" s="2">
        <f>IFERROR(__xludf.DUMMYFUNCTION("""COMPUTED_VALUE"""),0.0)</f>
        <v>0</v>
      </c>
      <c r="K1531" s="5" t="str">
        <f>IFERROR(__xludf.DUMMYFUNCTION("""COMPUTED_VALUE"""),"")</f>
        <v/>
      </c>
      <c r="L1531" t="str">
        <f>IFERROR(__xludf.DUMMYFUNCTION("""COMPUTED_VALUE"""),"")</f>
        <v/>
      </c>
      <c r="M1531" t="str">
        <f>IFERROR(__xludf.DUMMYFUNCTION("""COMPUTED_VALUE"""),"")</f>
        <v/>
      </c>
      <c r="N1531" t="str">
        <f>IFERROR(__xludf.DUMMYFUNCTION("""COMPUTED_VALUE"""),"")</f>
        <v/>
      </c>
      <c r="O1531" t="str">
        <f>IFERROR(__xludf.DUMMYFUNCTION("""COMPUTED_VALUE"""),"")</f>
        <v/>
      </c>
      <c r="P1531" t="str">
        <f>IFERROR(__xludf.DUMMYFUNCTION("""COMPUTED_VALUE"""),"ID ")</f>
        <v>ID </v>
      </c>
    </row>
    <row r="1532">
      <c r="A1532" s="6" t="str">
        <f>IFERROR(__xludf.DUMMYFUNCTION("""COMPUTED_VALUE"""),"")</f>
        <v/>
      </c>
      <c r="C1532" t="str">
        <f>IFERROR(__xludf.DUMMYFUNCTION("""COMPUTED_VALUE"""),"")</f>
        <v/>
      </c>
      <c r="D1532" t="str">
        <f>IFERROR(__xludf.DUMMYFUNCTION("""COMPUTED_VALUE"""),"")</f>
        <v/>
      </c>
      <c r="E1532" t="str">
        <f>IFERROR(__xludf.DUMMYFUNCTION("""COMPUTED_VALUE"""),"")</f>
        <v/>
      </c>
      <c r="F1532" t="str">
        <f>IFERROR(__xludf.DUMMYFUNCTION("""COMPUTED_VALUE"""),"")</f>
        <v/>
      </c>
      <c r="G1532" t="str">
        <f>IFERROR(__xludf.DUMMYFUNCTION("""COMPUTED_VALUE"""),"")</f>
        <v/>
      </c>
      <c r="H1532" s="2" t="str">
        <f>IFERROR(__xludf.DUMMYFUNCTION("""COMPUTED_VALUE"""),"")</f>
        <v/>
      </c>
      <c r="I1532" s="2" t="str">
        <f>IFERROR(__xludf.DUMMYFUNCTION("""COMPUTED_VALUE"""),"")</f>
        <v/>
      </c>
      <c r="J1532" s="2">
        <f>IFERROR(__xludf.DUMMYFUNCTION("""COMPUTED_VALUE"""),0.0)</f>
        <v>0</v>
      </c>
      <c r="K1532" s="5" t="str">
        <f>IFERROR(__xludf.DUMMYFUNCTION("""COMPUTED_VALUE"""),"")</f>
        <v/>
      </c>
      <c r="L1532" t="str">
        <f>IFERROR(__xludf.DUMMYFUNCTION("""COMPUTED_VALUE"""),"")</f>
        <v/>
      </c>
      <c r="M1532" t="str">
        <f>IFERROR(__xludf.DUMMYFUNCTION("""COMPUTED_VALUE"""),"")</f>
        <v/>
      </c>
      <c r="N1532" t="str">
        <f>IFERROR(__xludf.DUMMYFUNCTION("""COMPUTED_VALUE"""),"")</f>
        <v/>
      </c>
      <c r="O1532" t="str">
        <f>IFERROR(__xludf.DUMMYFUNCTION("""COMPUTED_VALUE"""),"")</f>
        <v/>
      </c>
      <c r="P1532" t="str">
        <f>IFERROR(__xludf.DUMMYFUNCTION("""COMPUTED_VALUE"""),"ID ")</f>
        <v>ID </v>
      </c>
    </row>
    <row r="1533">
      <c r="A1533" s="6" t="str">
        <f>IFERROR(__xludf.DUMMYFUNCTION("""COMPUTED_VALUE"""),"")</f>
        <v/>
      </c>
      <c r="C1533" t="str">
        <f>IFERROR(__xludf.DUMMYFUNCTION("""COMPUTED_VALUE"""),"")</f>
        <v/>
      </c>
      <c r="D1533" t="str">
        <f>IFERROR(__xludf.DUMMYFUNCTION("""COMPUTED_VALUE"""),"")</f>
        <v/>
      </c>
      <c r="E1533" t="str">
        <f>IFERROR(__xludf.DUMMYFUNCTION("""COMPUTED_VALUE"""),"")</f>
        <v/>
      </c>
      <c r="F1533" t="str">
        <f>IFERROR(__xludf.DUMMYFUNCTION("""COMPUTED_VALUE"""),"")</f>
        <v/>
      </c>
      <c r="G1533" t="str">
        <f>IFERROR(__xludf.DUMMYFUNCTION("""COMPUTED_VALUE"""),"")</f>
        <v/>
      </c>
      <c r="H1533" s="2" t="str">
        <f>IFERROR(__xludf.DUMMYFUNCTION("""COMPUTED_VALUE"""),"")</f>
        <v/>
      </c>
      <c r="I1533" s="2" t="str">
        <f>IFERROR(__xludf.DUMMYFUNCTION("""COMPUTED_VALUE"""),"")</f>
        <v/>
      </c>
      <c r="J1533" s="2">
        <f>IFERROR(__xludf.DUMMYFUNCTION("""COMPUTED_VALUE"""),0.0)</f>
        <v>0</v>
      </c>
      <c r="K1533" s="5" t="str">
        <f>IFERROR(__xludf.DUMMYFUNCTION("""COMPUTED_VALUE"""),"")</f>
        <v/>
      </c>
      <c r="L1533" t="str">
        <f>IFERROR(__xludf.DUMMYFUNCTION("""COMPUTED_VALUE"""),"")</f>
        <v/>
      </c>
      <c r="M1533" t="str">
        <f>IFERROR(__xludf.DUMMYFUNCTION("""COMPUTED_VALUE"""),"")</f>
        <v/>
      </c>
      <c r="N1533" t="str">
        <f>IFERROR(__xludf.DUMMYFUNCTION("""COMPUTED_VALUE"""),"")</f>
        <v/>
      </c>
      <c r="O1533" t="str">
        <f>IFERROR(__xludf.DUMMYFUNCTION("""COMPUTED_VALUE"""),"")</f>
        <v/>
      </c>
      <c r="P1533" t="str">
        <f>IFERROR(__xludf.DUMMYFUNCTION("""COMPUTED_VALUE"""),"ID ")</f>
        <v>ID </v>
      </c>
    </row>
    <row r="1534">
      <c r="A1534" s="6" t="str">
        <f>IFERROR(__xludf.DUMMYFUNCTION("""COMPUTED_VALUE"""),"")</f>
        <v/>
      </c>
      <c r="C1534" t="str">
        <f>IFERROR(__xludf.DUMMYFUNCTION("""COMPUTED_VALUE"""),"")</f>
        <v/>
      </c>
      <c r="D1534" t="str">
        <f>IFERROR(__xludf.DUMMYFUNCTION("""COMPUTED_VALUE"""),"")</f>
        <v/>
      </c>
      <c r="E1534" t="str">
        <f>IFERROR(__xludf.DUMMYFUNCTION("""COMPUTED_VALUE"""),"")</f>
        <v/>
      </c>
      <c r="F1534" t="str">
        <f>IFERROR(__xludf.DUMMYFUNCTION("""COMPUTED_VALUE"""),"")</f>
        <v/>
      </c>
      <c r="G1534" t="str">
        <f>IFERROR(__xludf.DUMMYFUNCTION("""COMPUTED_VALUE"""),"")</f>
        <v/>
      </c>
      <c r="H1534" s="2" t="str">
        <f>IFERROR(__xludf.DUMMYFUNCTION("""COMPUTED_VALUE"""),"")</f>
        <v/>
      </c>
      <c r="I1534" s="2" t="str">
        <f>IFERROR(__xludf.DUMMYFUNCTION("""COMPUTED_VALUE"""),"")</f>
        <v/>
      </c>
      <c r="J1534" s="2">
        <f>IFERROR(__xludf.DUMMYFUNCTION("""COMPUTED_VALUE"""),0.0)</f>
        <v>0</v>
      </c>
      <c r="K1534" s="5" t="str">
        <f>IFERROR(__xludf.DUMMYFUNCTION("""COMPUTED_VALUE"""),"")</f>
        <v/>
      </c>
      <c r="L1534" t="str">
        <f>IFERROR(__xludf.DUMMYFUNCTION("""COMPUTED_VALUE"""),"")</f>
        <v/>
      </c>
      <c r="M1534" t="str">
        <f>IFERROR(__xludf.DUMMYFUNCTION("""COMPUTED_VALUE"""),"")</f>
        <v/>
      </c>
      <c r="N1534" t="str">
        <f>IFERROR(__xludf.DUMMYFUNCTION("""COMPUTED_VALUE"""),"")</f>
        <v/>
      </c>
      <c r="O1534" t="str">
        <f>IFERROR(__xludf.DUMMYFUNCTION("""COMPUTED_VALUE"""),"")</f>
        <v/>
      </c>
      <c r="P1534" t="str">
        <f>IFERROR(__xludf.DUMMYFUNCTION("""COMPUTED_VALUE"""),"ID ")</f>
        <v>ID </v>
      </c>
    </row>
    <row r="1535">
      <c r="A1535" s="6" t="str">
        <f>IFERROR(__xludf.DUMMYFUNCTION("""COMPUTED_VALUE"""),"")</f>
        <v/>
      </c>
      <c r="C1535" t="str">
        <f>IFERROR(__xludf.DUMMYFUNCTION("""COMPUTED_VALUE"""),"")</f>
        <v/>
      </c>
      <c r="D1535" t="str">
        <f>IFERROR(__xludf.DUMMYFUNCTION("""COMPUTED_VALUE"""),"")</f>
        <v/>
      </c>
      <c r="E1535" t="str">
        <f>IFERROR(__xludf.DUMMYFUNCTION("""COMPUTED_VALUE"""),"")</f>
        <v/>
      </c>
      <c r="F1535" t="str">
        <f>IFERROR(__xludf.DUMMYFUNCTION("""COMPUTED_VALUE"""),"")</f>
        <v/>
      </c>
      <c r="G1535" t="str">
        <f>IFERROR(__xludf.DUMMYFUNCTION("""COMPUTED_VALUE"""),"")</f>
        <v/>
      </c>
      <c r="H1535" s="2" t="str">
        <f>IFERROR(__xludf.DUMMYFUNCTION("""COMPUTED_VALUE"""),"")</f>
        <v/>
      </c>
      <c r="I1535" s="2" t="str">
        <f>IFERROR(__xludf.DUMMYFUNCTION("""COMPUTED_VALUE"""),"")</f>
        <v/>
      </c>
      <c r="J1535" s="2">
        <f>IFERROR(__xludf.DUMMYFUNCTION("""COMPUTED_VALUE"""),0.0)</f>
        <v>0</v>
      </c>
      <c r="K1535" s="5" t="str">
        <f>IFERROR(__xludf.DUMMYFUNCTION("""COMPUTED_VALUE"""),"")</f>
        <v/>
      </c>
      <c r="L1535" t="str">
        <f>IFERROR(__xludf.DUMMYFUNCTION("""COMPUTED_VALUE"""),"")</f>
        <v/>
      </c>
      <c r="M1535" t="str">
        <f>IFERROR(__xludf.DUMMYFUNCTION("""COMPUTED_VALUE"""),"")</f>
        <v/>
      </c>
      <c r="N1535" t="str">
        <f>IFERROR(__xludf.DUMMYFUNCTION("""COMPUTED_VALUE"""),"")</f>
        <v/>
      </c>
      <c r="O1535" t="str">
        <f>IFERROR(__xludf.DUMMYFUNCTION("""COMPUTED_VALUE"""),"")</f>
        <v/>
      </c>
      <c r="P1535" t="str">
        <f>IFERROR(__xludf.DUMMYFUNCTION("""COMPUTED_VALUE"""),"ID ")</f>
        <v>ID </v>
      </c>
    </row>
    <row r="1536">
      <c r="A1536" s="6" t="str">
        <f>IFERROR(__xludf.DUMMYFUNCTION("""COMPUTED_VALUE"""),"")</f>
        <v/>
      </c>
      <c r="C1536" t="str">
        <f>IFERROR(__xludf.DUMMYFUNCTION("""COMPUTED_VALUE"""),"")</f>
        <v/>
      </c>
      <c r="D1536" t="str">
        <f>IFERROR(__xludf.DUMMYFUNCTION("""COMPUTED_VALUE"""),"")</f>
        <v/>
      </c>
      <c r="E1536" t="str">
        <f>IFERROR(__xludf.DUMMYFUNCTION("""COMPUTED_VALUE"""),"")</f>
        <v/>
      </c>
      <c r="F1536" t="str">
        <f>IFERROR(__xludf.DUMMYFUNCTION("""COMPUTED_VALUE"""),"")</f>
        <v/>
      </c>
      <c r="G1536" t="str">
        <f>IFERROR(__xludf.DUMMYFUNCTION("""COMPUTED_VALUE"""),"")</f>
        <v/>
      </c>
      <c r="H1536" s="2" t="str">
        <f>IFERROR(__xludf.DUMMYFUNCTION("""COMPUTED_VALUE"""),"")</f>
        <v/>
      </c>
      <c r="I1536" s="2" t="str">
        <f>IFERROR(__xludf.DUMMYFUNCTION("""COMPUTED_VALUE"""),"")</f>
        <v/>
      </c>
      <c r="J1536" s="2">
        <f>IFERROR(__xludf.DUMMYFUNCTION("""COMPUTED_VALUE"""),0.0)</f>
        <v>0</v>
      </c>
      <c r="K1536" s="5" t="str">
        <f>IFERROR(__xludf.DUMMYFUNCTION("""COMPUTED_VALUE"""),"")</f>
        <v/>
      </c>
      <c r="L1536" t="str">
        <f>IFERROR(__xludf.DUMMYFUNCTION("""COMPUTED_VALUE"""),"")</f>
        <v/>
      </c>
      <c r="M1536" t="str">
        <f>IFERROR(__xludf.DUMMYFUNCTION("""COMPUTED_VALUE"""),"")</f>
        <v/>
      </c>
      <c r="N1536" t="str">
        <f>IFERROR(__xludf.DUMMYFUNCTION("""COMPUTED_VALUE"""),"")</f>
        <v/>
      </c>
      <c r="O1536" t="str">
        <f>IFERROR(__xludf.DUMMYFUNCTION("""COMPUTED_VALUE"""),"")</f>
        <v/>
      </c>
      <c r="P1536" t="str">
        <f>IFERROR(__xludf.DUMMYFUNCTION("""COMPUTED_VALUE"""),"ID ")</f>
        <v>ID </v>
      </c>
    </row>
    <row r="1537">
      <c r="A1537" s="6" t="str">
        <f>IFERROR(__xludf.DUMMYFUNCTION("""COMPUTED_VALUE"""),"")</f>
        <v/>
      </c>
      <c r="C1537" t="str">
        <f>IFERROR(__xludf.DUMMYFUNCTION("""COMPUTED_VALUE"""),"")</f>
        <v/>
      </c>
      <c r="D1537" t="str">
        <f>IFERROR(__xludf.DUMMYFUNCTION("""COMPUTED_VALUE"""),"")</f>
        <v/>
      </c>
      <c r="E1537" t="str">
        <f>IFERROR(__xludf.DUMMYFUNCTION("""COMPUTED_VALUE"""),"")</f>
        <v/>
      </c>
      <c r="F1537" t="str">
        <f>IFERROR(__xludf.DUMMYFUNCTION("""COMPUTED_VALUE"""),"")</f>
        <v/>
      </c>
      <c r="G1537" t="str">
        <f>IFERROR(__xludf.DUMMYFUNCTION("""COMPUTED_VALUE"""),"")</f>
        <v/>
      </c>
      <c r="H1537" s="2" t="str">
        <f>IFERROR(__xludf.DUMMYFUNCTION("""COMPUTED_VALUE"""),"")</f>
        <v/>
      </c>
      <c r="I1537" s="2" t="str">
        <f>IFERROR(__xludf.DUMMYFUNCTION("""COMPUTED_VALUE"""),"")</f>
        <v/>
      </c>
      <c r="J1537" s="2">
        <f>IFERROR(__xludf.DUMMYFUNCTION("""COMPUTED_VALUE"""),0.0)</f>
        <v>0</v>
      </c>
      <c r="K1537" s="5" t="str">
        <f>IFERROR(__xludf.DUMMYFUNCTION("""COMPUTED_VALUE"""),"")</f>
        <v/>
      </c>
      <c r="L1537" t="str">
        <f>IFERROR(__xludf.DUMMYFUNCTION("""COMPUTED_VALUE"""),"")</f>
        <v/>
      </c>
      <c r="M1537" t="str">
        <f>IFERROR(__xludf.DUMMYFUNCTION("""COMPUTED_VALUE"""),"")</f>
        <v/>
      </c>
      <c r="N1537" t="str">
        <f>IFERROR(__xludf.DUMMYFUNCTION("""COMPUTED_VALUE"""),"")</f>
        <v/>
      </c>
      <c r="O1537" t="str">
        <f>IFERROR(__xludf.DUMMYFUNCTION("""COMPUTED_VALUE"""),"")</f>
        <v/>
      </c>
      <c r="P1537" t="str">
        <f>IFERROR(__xludf.DUMMYFUNCTION("""COMPUTED_VALUE"""),"ID ")</f>
        <v>ID </v>
      </c>
    </row>
    <row r="1538">
      <c r="A1538" s="6" t="str">
        <f>IFERROR(__xludf.DUMMYFUNCTION("""COMPUTED_VALUE"""),"")</f>
        <v/>
      </c>
      <c r="C1538" t="str">
        <f>IFERROR(__xludf.DUMMYFUNCTION("""COMPUTED_VALUE"""),"")</f>
        <v/>
      </c>
      <c r="D1538" t="str">
        <f>IFERROR(__xludf.DUMMYFUNCTION("""COMPUTED_VALUE"""),"")</f>
        <v/>
      </c>
      <c r="E1538" t="str">
        <f>IFERROR(__xludf.DUMMYFUNCTION("""COMPUTED_VALUE"""),"")</f>
        <v/>
      </c>
      <c r="F1538" t="str">
        <f>IFERROR(__xludf.DUMMYFUNCTION("""COMPUTED_VALUE"""),"")</f>
        <v/>
      </c>
      <c r="G1538" t="str">
        <f>IFERROR(__xludf.DUMMYFUNCTION("""COMPUTED_VALUE"""),"")</f>
        <v/>
      </c>
      <c r="H1538" s="2" t="str">
        <f>IFERROR(__xludf.DUMMYFUNCTION("""COMPUTED_VALUE"""),"")</f>
        <v/>
      </c>
      <c r="I1538" s="2" t="str">
        <f>IFERROR(__xludf.DUMMYFUNCTION("""COMPUTED_VALUE"""),"")</f>
        <v/>
      </c>
      <c r="J1538" s="2">
        <f>IFERROR(__xludf.DUMMYFUNCTION("""COMPUTED_VALUE"""),0.0)</f>
        <v>0</v>
      </c>
      <c r="K1538" s="5" t="str">
        <f>IFERROR(__xludf.DUMMYFUNCTION("""COMPUTED_VALUE"""),"")</f>
        <v/>
      </c>
      <c r="L1538" t="str">
        <f>IFERROR(__xludf.DUMMYFUNCTION("""COMPUTED_VALUE"""),"")</f>
        <v/>
      </c>
      <c r="M1538" t="str">
        <f>IFERROR(__xludf.DUMMYFUNCTION("""COMPUTED_VALUE"""),"")</f>
        <v/>
      </c>
      <c r="N1538" t="str">
        <f>IFERROR(__xludf.DUMMYFUNCTION("""COMPUTED_VALUE"""),"")</f>
        <v/>
      </c>
      <c r="O1538" t="str">
        <f>IFERROR(__xludf.DUMMYFUNCTION("""COMPUTED_VALUE"""),"")</f>
        <v/>
      </c>
      <c r="P1538" t="str">
        <f>IFERROR(__xludf.DUMMYFUNCTION("""COMPUTED_VALUE"""),"ID ")</f>
        <v>ID </v>
      </c>
    </row>
    <row r="1539">
      <c r="A1539" s="6" t="str">
        <f>IFERROR(__xludf.DUMMYFUNCTION("""COMPUTED_VALUE"""),"")</f>
        <v/>
      </c>
      <c r="C1539" t="str">
        <f>IFERROR(__xludf.DUMMYFUNCTION("""COMPUTED_VALUE"""),"")</f>
        <v/>
      </c>
      <c r="D1539" t="str">
        <f>IFERROR(__xludf.DUMMYFUNCTION("""COMPUTED_VALUE"""),"")</f>
        <v/>
      </c>
      <c r="E1539" t="str">
        <f>IFERROR(__xludf.DUMMYFUNCTION("""COMPUTED_VALUE"""),"")</f>
        <v/>
      </c>
      <c r="F1539" t="str">
        <f>IFERROR(__xludf.DUMMYFUNCTION("""COMPUTED_VALUE"""),"")</f>
        <v/>
      </c>
      <c r="G1539" t="str">
        <f>IFERROR(__xludf.DUMMYFUNCTION("""COMPUTED_VALUE"""),"")</f>
        <v/>
      </c>
      <c r="H1539" s="2" t="str">
        <f>IFERROR(__xludf.DUMMYFUNCTION("""COMPUTED_VALUE"""),"")</f>
        <v/>
      </c>
      <c r="I1539" s="2" t="str">
        <f>IFERROR(__xludf.DUMMYFUNCTION("""COMPUTED_VALUE"""),"")</f>
        <v/>
      </c>
      <c r="J1539" s="2">
        <f>IFERROR(__xludf.DUMMYFUNCTION("""COMPUTED_VALUE"""),0.0)</f>
        <v>0</v>
      </c>
      <c r="K1539" s="5" t="str">
        <f>IFERROR(__xludf.DUMMYFUNCTION("""COMPUTED_VALUE"""),"")</f>
        <v/>
      </c>
      <c r="L1539" t="str">
        <f>IFERROR(__xludf.DUMMYFUNCTION("""COMPUTED_VALUE"""),"")</f>
        <v/>
      </c>
      <c r="M1539" t="str">
        <f>IFERROR(__xludf.DUMMYFUNCTION("""COMPUTED_VALUE"""),"")</f>
        <v/>
      </c>
      <c r="N1539" t="str">
        <f>IFERROR(__xludf.DUMMYFUNCTION("""COMPUTED_VALUE"""),"")</f>
        <v/>
      </c>
      <c r="O1539" t="str">
        <f>IFERROR(__xludf.DUMMYFUNCTION("""COMPUTED_VALUE"""),"")</f>
        <v/>
      </c>
      <c r="P1539" t="str">
        <f>IFERROR(__xludf.DUMMYFUNCTION("""COMPUTED_VALUE"""),"ID ")</f>
        <v>ID </v>
      </c>
    </row>
    <row r="1540">
      <c r="A1540" s="6" t="str">
        <f>IFERROR(__xludf.DUMMYFUNCTION("""COMPUTED_VALUE"""),"")</f>
        <v/>
      </c>
      <c r="C1540" t="str">
        <f>IFERROR(__xludf.DUMMYFUNCTION("""COMPUTED_VALUE"""),"")</f>
        <v/>
      </c>
      <c r="D1540" t="str">
        <f>IFERROR(__xludf.DUMMYFUNCTION("""COMPUTED_VALUE"""),"")</f>
        <v/>
      </c>
      <c r="E1540" t="str">
        <f>IFERROR(__xludf.DUMMYFUNCTION("""COMPUTED_VALUE"""),"")</f>
        <v/>
      </c>
      <c r="F1540" t="str">
        <f>IFERROR(__xludf.DUMMYFUNCTION("""COMPUTED_VALUE"""),"")</f>
        <v/>
      </c>
      <c r="G1540" t="str">
        <f>IFERROR(__xludf.DUMMYFUNCTION("""COMPUTED_VALUE"""),"")</f>
        <v/>
      </c>
      <c r="H1540" s="2" t="str">
        <f>IFERROR(__xludf.DUMMYFUNCTION("""COMPUTED_VALUE"""),"")</f>
        <v/>
      </c>
      <c r="I1540" s="2" t="str">
        <f>IFERROR(__xludf.DUMMYFUNCTION("""COMPUTED_VALUE"""),"")</f>
        <v/>
      </c>
      <c r="J1540" s="2">
        <f>IFERROR(__xludf.DUMMYFUNCTION("""COMPUTED_VALUE"""),0.0)</f>
        <v>0</v>
      </c>
      <c r="K1540" s="5" t="str">
        <f>IFERROR(__xludf.DUMMYFUNCTION("""COMPUTED_VALUE"""),"")</f>
        <v/>
      </c>
      <c r="L1540" t="str">
        <f>IFERROR(__xludf.DUMMYFUNCTION("""COMPUTED_VALUE"""),"")</f>
        <v/>
      </c>
      <c r="M1540" t="str">
        <f>IFERROR(__xludf.DUMMYFUNCTION("""COMPUTED_VALUE"""),"")</f>
        <v/>
      </c>
      <c r="N1540" t="str">
        <f>IFERROR(__xludf.DUMMYFUNCTION("""COMPUTED_VALUE"""),"")</f>
        <v/>
      </c>
      <c r="O1540" t="str">
        <f>IFERROR(__xludf.DUMMYFUNCTION("""COMPUTED_VALUE"""),"")</f>
        <v/>
      </c>
      <c r="P1540" t="str">
        <f>IFERROR(__xludf.DUMMYFUNCTION("""COMPUTED_VALUE"""),"ID ")</f>
        <v>ID </v>
      </c>
    </row>
    <row r="1541">
      <c r="A1541" s="6" t="str">
        <f>IFERROR(__xludf.DUMMYFUNCTION("""COMPUTED_VALUE"""),"")</f>
        <v/>
      </c>
      <c r="C1541" t="str">
        <f>IFERROR(__xludf.DUMMYFUNCTION("""COMPUTED_VALUE"""),"")</f>
        <v/>
      </c>
      <c r="D1541" t="str">
        <f>IFERROR(__xludf.DUMMYFUNCTION("""COMPUTED_VALUE"""),"")</f>
        <v/>
      </c>
      <c r="E1541" t="str">
        <f>IFERROR(__xludf.DUMMYFUNCTION("""COMPUTED_VALUE"""),"")</f>
        <v/>
      </c>
      <c r="F1541" t="str">
        <f>IFERROR(__xludf.DUMMYFUNCTION("""COMPUTED_VALUE"""),"")</f>
        <v/>
      </c>
      <c r="G1541" t="str">
        <f>IFERROR(__xludf.DUMMYFUNCTION("""COMPUTED_VALUE"""),"")</f>
        <v/>
      </c>
      <c r="H1541" s="2" t="str">
        <f>IFERROR(__xludf.DUMMYFUNCTION("""COMPUTED_VALUE"""),"")</f>
        <v/>
      </c>
      <c r="I1541" s="2" t="str">
        <f>IFERROR(__xludf.DUMMYFUNCTION("""COMPUTED_VALUE"""),"")</f>
        <v/>
      </c>
      <c r="J1541" s="2">
        <f>IFERROR(__xludf.DUMMYFUNCTION("""COMPUTED_VALUE"""),0.0)</f>
        <v>0</v>
      </c>
      <c r="K1541" s="5" t="str">
        <f>IFERROR(__xludf.DUMMYFUNCTION("""COMPUTED_VALUE"""),"")</f>
        <v/>
      </c>
      <c r="L1541" t="str">
        <f>IFERROR(__xludf.DUMMYFUNCTION("""COMPUTED_VALUE"""),"")</f>
        <v/>
      </c>
      <c r="M1541" t="str">
        <f>IFERROR(__xludf.DUMMYFUNCTION("""COMPUTED_VALUE"""),"")</f>
        <v/>
      </c>
      <c r="N1541" t="str">
        <f>IFERROR(__xludf.DUMMYFUNCTION("""COMPUTED_VALUE"""),"")</f>
        <v/>
      </c>
      <c r="O1541" t="str">
        <f>IFERROR(__xludf.DUMMYFUNCTION("""COMPUTED_VALUE"""),"")</f>
        <v/>
      </c>
      <c r="P1541" t="str">
        <f>IFERROR(__xludf.DUMMYFUNCTION("""COMPUTED_VALUE"""),"ID ")</f>
        <v>ID </v>
      </c>
    </row>
    <row r="1542">
      <c r="A1542" s="6" t="str">
        <f>IFERROR(__xludf.DUMMYFUNCTION("""COMPUTED_VALUE"""),"")</f>
        <v/>
      </c>
      <c r="C1542" t="str">
        <f>IFERROR(__xludf.DUMMYFUNCTION("""COMPUTED_VALUE"""),"")</f>
        <v/>
      </c>
      <c r="D1542" t="str">
        <f>IFERROR(__xludf.DUMMYFUNCTION("""COMPUTED_VALUE"""),"")</f>
        <v/>
      </c>
      <c r="E1542" t="str">
        <f>IFERROR(__xludf.DUMMYFUNCTION("""COMPUTED_VALUE"""),"")</f>
        <v/>
      </c>
      <c r="F1542" t="str">
        <f>IFERROR(__xludf.DUMMYFUNCTION("""COMPUTED_VALUE"""),"")</f>
        <v/>
      </c>
      <c r="G1542" t="str">
        <f>IFERROR(__xludf.DUMMYFUNCTION("""COMPUTED_VALUE"""),"")</f>
        <v/>
      </c>
      <c r="H1542" s="2" t="str">
        <f>IFERROR(__xludf.DUMMYFUNCTION("""COMPUTED_VALUE"""),"")</f>
        <v/>
      </c>
      <c r="I1542" s="2" t="str">
        <f>IFERROR(__xludf.DUMMYFUNCTION("""COMPUTED_VALUE"""),"")</f>
        <v/>
      </c>
      <c r="J1542" s="2">
        <f>IFERROR(__xludf.DUMMYFUNCTION("""COMPUTED_VALUE"""),0.0)</f>
        <v>0</v>
      </c>
      <c r="K1542" s="5" t="str">
        <f>IFERROR(__xludf.DUMMYFUNCTION("""COMPUTED_VALUE"""),"")</f>
        <v/>
      </c>
      <c r="L1542" t="str">
        <f>IFERROR(__xludf.DUMMYFUNCTION("""COMPUTED_VALUE"""),"")</f>
        <v/>
      </c>
      <c r="M1542" t="str">
        <f>IFERROR(__xludf.DUMMYFUNCTION("""COMPUTED_VALUE"""),"")</f>
        <v/>
      </c>
      <c r="N1542" t="str">
        <f>IFERROR(__xludf.DUMMYFUNCTION("""COMPUTED_VALUE"""),"")</f>
        <v/>
      </c>
      <c r="O1542" t="str">
        <f>IFERROR(__xludf.DUMMYFUNCTION("""COMPUTED_VALUE"""),"")</f>
        <v/>
      </c>
      <c r="P1542" t="str">
        <f>IFERROR(__xludf.DUMMYFUNCTION("""COMPUTED_VALUE"""),"ID ")</f>
        <v>ID </v>
      </c>
    </row>
    <row r="1543">
      <c r="A1543" s="6" t="str">
        <f>IFERROR(__xludf.DUMMYFUNCTION("""COMPUTED_VALUE"""),"")</f>
        <v/>
      </c>
      <c r="C1543" t="str">
        <f>IFERROR(__xludf.DUMMYFUNCTION("""COMPUTED_VALUE"""),"")</f>
        <v/>
      </c>
      <c r="D1543" t="str">
        <f>IFERROR(__xludf.DUMMYFUNCTION("""COMPUTED_VALUE"""),"")</f>
        <v/>
      </c>
      <c r="E1543" t="str">
        <f>IFERROR(__xludf.DUMMYFUNCTION("""COMPUTED_VALUE"""),"")</f>
        <v/>
      </c>
      <c r="F1543" t="str">
        <f>IFERROR(__xludf.DUMMYFUNCTION("""COMPUTED_VALUE"""),"")</f>
        <v/>
      </c>
      <c r="G1543" t="str">
        <f>IFERROR(__xludf.DUMMYFUNCTION("""COMPUTED_VALUE"""),"")</f>
        <v/>
      </c>
      <c r="H1543" s="2" t="str">
        <f>IFERROR(__xludf.DUMMYFUNCTION("""COMPUTED_VALUE"""),"")</f>
        <v/>
      </c>
      <c r="I1543" s="2" t="str">
        <f>IFERROR(__xludf.DUMMYFUNCTION("""COMPUTED_VALUE"""),"")</f>
        <v/>
      </c>
      <c r="J1543" s="2">
        <f>IFERROR(__xludf.DUMMYFUNCTION("""COMPUTED_VALUE"""),0.0)</f>
        <v>0</v>
      </c>
      <c r="K1543" s="5" t="str">
        <f>IFERROR(__xludf.DUMMYFUNCTION("""COMPUTED_VALUE"""),"")</f>
        <v/>
      </c>
      <c r="L1543" t="str">
        <f>IFERROR(__xludf.DUMMYFUNCTION("""COMPUTED_VALUE"""),"")</f>
        <v/>
      </c>
      <c r="M1543" t="str">
        <f>IFERROR(__xludf.DUMMYFUNCTION("""COMPUTED_VALUE"""),"")</f>
        <v/>
      </c>
      <c r="N1543" t="str">
        <f>IFERROR(__xludf.DUMMYFUNCTION("""COMPUTED_VALUE"""),"")</f>
        <v/>
      </c>
      <c r="O1543" t="str">
        <f>IFERROR(__xludf.DUMMYFUNCTION("""COMPUTED_VALUE"""),"")</f>
        <v/>
      </c>
      <c r="P1543" t="str">
        <f>IFERROR(__xludf.DUMMYFUNCTION("""COMPUTED_VALUE"""),"ID ")</f>
        <v>ID </v>
      </c>
    </row>
    <row r="1544">
      <c r="A1544" s="6" t="str">
        <f>IFERROR(__xludf.DUMMYFUNCTION("""COMPUTED_VALUE"""),"")</f>
        <v/>
      </c>
      <c r="C1544" t="str">
        <f>IFERROR(__xludf.DUMMYFUNCTION("""COMPUTED_VALUE"""),"")</f>
        <v/>
      </c>
      <c r="D1544" t="str">
        <f>IFERROR(__xludf.DUMMYFUNCTION("""COMPUTED_VALUE"""),"")</f>
        <v/>
      </c>
      <c r="E1544" t="str">
        <f>IFERROR(__xludf.DUMMYFUNCTION("""COMPUTED_VALUE"""),"")</f>
        <v/>
      </c>
      <c r="F1544" t="str">
        <f>IFERROR(__xludf.DUMMYFUNCTION("""COMPUTED_VALUE"""),"")</f>
        <v/>
      </c>
      <c r="G1544" t="str">
        <f>IFERROR(__xludf.DUMMYFUNCTION("""COMPUTED_VALUE"""),"")</f>
        <v/>
      </c>
      <c r="H1544" s="2" t="str">
        <f>IFERROR(__xludf.DUMMYFUNCTION("""COMPUTED_VALUE"""),"")</f>
        <v/>
      </c>
      <c r="I1544" s="2" t="str">
        <f>IFERROR(__xludf.DUMMYFUNCTION("""COMPUTED_VALUE"""),"")</f>
        <v/>
      </c>
      <c r="J1544" s="2">
        <f>IFERROR(__xludf.DUMMYFUNCTION("""COMPUTED_VALUE"""),0.0)</f>
        <v>0</v>
      </c>
      <c r="K1544" s="5" t="str">
        <f>IFERROR(__xludf.DUMMYFUNCTION("""COMPUTED_VALUE"""),"")</f>
        <v/>
      </c>
      <c r="L1544" t="str">
        <f>IFERROR(__xludf.DUMMYFUNCTION("""COMPUTED_VALUE"""),"")</f>
        <v/>
      </c>
      <c r="M1544" t="str">
        <f>IFERROR(__xludf.DUMMYFUNCTION("""COMPUTED_VALUE"""),"")</f>
        <v/>
      </c>
      <c r="N1544" t="str">
        <f>IFERROR(__xludf.DUMMYFUNCTION("""COMPUTED_VALUE"""),"")</f>
        <v/>
      </c>
      <c r="O1544" t="str">
        <f>IFERROR(__xludf.DUMMYFUNCTION("""COMPUTED_VALUE"""),"")</f>
        <v/>
      </c>
      <c r="P1544" t="str">
        <f>IFERROR(__xludf.DUMMYFUNCTION("""COMPUTED_VALUE"""),"ID ")</f>
        <v>ID </v>
      </c>
    </row>
    <row r="1545">
      <c r="A1545" s="6" t="str">
        <f>IFERROR(__xludf.DUMMYFUNCTION("""COMPUTED_VALUE"""),"")</f>
        <v/>
      </c>
      <c r="C1545" t="str">
        <f>IFERROR(__xludf.DUMMYFUNCTION("""COMPUTED_VALUE"""),"")</f>
        <v/>
      </c>
      <c r="D1545" t="str">
        <f>IFERROR(__xludf.DUMMYFUNCTION("""COMPUTED_VALUE"""),"")</f>
        <v/>
      </c>
      <c r="E1545" t="str">
        <f>IFERROR(__xludf.DUMMYFUNCTION("""COMPUTED_VALUE"""),"")</f>
        <v/>
      </c>
      <c r="F1545" t="str">
        <f>IFERROR(__xludf.DUMMYFUNCTION("""COMPUTED_VALUE"""),"")</f>
        <v/>
      </c>
      <c r="G1545" t="str">
        <f>IFERROR(__xludf.DUMMYFUNCTION("""COMPUTED_VALUE"""),"")</f>
        <v/>
      </c>
      <c r="H1545" s="2" t="str">
        <f>IFERROR(__xludf.DUMMYFUNCTION("""COMPUTED_VALUE"""),"")</f>
        <v/>
      </c>
      <c r="I1545" s="2" t="str">
        <f>IFERROR(__xludf.DUMMYFUNCTION("""COMPUTED_VALUE"""),"")</f>
        <v/>
      </c>
      <c r="J1545" s="2">
        <f>IFERROR(__xludf.DUMMYFUNCTION("""COMPUTED_VALUE"""),0.0)</f>
        <v>0</v>
      </c>
      <c r="K1545" s="5" t="str">
        <f>IFERROR(__xludf.DUMMYFUNCTION("""COMPUTED_VALUE"""),"")</f>
        <v/>
      </c>
      <c r="L1545" t="str">
        <f>IFERROR(__xludf.DUMMYFUNCTION("""COMPUTED_VALUE"""),"")</f>
        <v/>
      </c>
      <c r="M1545" t="str">
        <f>IFERROR(__xludf.DUMMYFUNCTION("""COMPUTED_VALUE"""),"")</f>
        <v/>
      </c>
      <c r="N1545" t="str">
        <f>IFERROR(__xludf.DUMMYFUNCTION("""COMPUTED_VALUE"""),"")</f>
        <v/>
      </c>
      <c r="O1545" t="str">
        <f>IFERROR(__xludf.DUMMYFUNCTION("""COMPUTED_VALUE"""),"")</f>
        <v/>
      </c>
      <c r="P1545" t="str">
        <f>IFERROR(__xludf.DUMMYFUNCTION("""COMPUTED_VALUE"""),"ID ")</f>
        <v>ID </v>
      </c>
    </row>
    <row r="1546">
      <c r="A1546" s="6" t="str">
        <f>IFERROR(__xludf.DUMMYFUNCTION("""COMPUTED_VALUE"""),"")</f>
        <v/>
      </c>
      <c r="C1546" t="str">
        <f>IFERROR(__xludf.DUMMYFUNCTION("""COMPUTED_VALUE"""),"")</f>
        <v/>
      </c>
      <c r="D1546" t="str">
        <f>IFERROR(__xludf.DUMMYFUNCTION("""COMPUTED_VALUE"""),"")</f>
        <v/>
      </c>
      <c r="E1546" t="str">
        <f>IFERROR(__xludf.DUMMYFUNCTION("""COMPUTED_VALUE"""),"")</f>
        <v/>
      </c>
      <c r="F1546" t="str">
        <f>IFERROR(__xludf.DUMMYFUNCTION("""COMPUTED_VALUE"""),"")</f>
        <v/>
      </c>
      <c r="G1546" t="str">
        <f>IFERROR(__xludf.DUMMYFUNCTION("""COMPUTED_VALUE"""),"")</f>
        <v/>
      </c>
      <c r="H1546" s="2" t="str">
        <f>IFERROR(__xludf.DUMMYFUNCTION("""COMPUTED_VALUE"""),"")</f>
        <v/>
      </c>
      <c r="I1546" s="2" t="str">
        <f>IFERROR(__xludf.DUMMYFUNCTION("""COMPUTED_VALUE"""),"")</f>
        <v/>
      </c>
      <c r="J1546" s="2">
        <f>IFERROR(__xludf.DUMMYFUNCTION("""COMPUTED_VALUE"""),0.0)</f>
        <v>0</v>
      </c>
      <c r="K1546" s="5" t="str">
        <f>IFERROR(__xludf.DUMMYFUNCTION("""COMPUTED_VALUE"""),"")</f>
        <v/>
      </c>
      <c r="L1546" t="str">
        <f>IFERROR(__xludf.DUMMYFUNCTION("""COMPUTED_VALUE"""),"")</f>
        <v/>
      </c>
      <c r="M1546" t="str">
        <f>IFERROR(__xludf.DUMMYFUNCTION("""COMPUTED_VALUE"""),"")</f>
        <v/>
      </c>
      <c r="N1546" t="str">
        <f>IFERROR(__xludf.DUMMYFUNCTION("""COMPUTED_VALUE"""),"")</f>
        <v/>
      </c>
      <c r="O1546" t="str">
        <f>IFERROR(__xludf.DUMMYFUNCTION("""COMPUTED_VALUE"""),"")</f>
        <v/>
      </c>
      <c r="P1546" t="str">
        <f>IFERROR(__xludf.DUMMYFUNCTION("""COMPUTED_VALUE"""),"ID ")</f>
        <v>ID </v>
      </c>
    </row>
    <row r="1547">
      <c r="A1547" s="6" t="str">
        <f>IFERROR(__xludf.DUMMYFUNCTION("""COMPUTED_VALUE"""),"")</f>
        <v/>
      </c>
      <c r="C1547" t="str">
        <f>IFERROR(__xludf.DUMMYFUNCTION("""COMPUTED_VALUE"""),"")</f>
        <v/>
      </c>
      <c r="D1547" t="str">
        <f>IFERROR(__xludf.DUMMYFUNCTION("""COMPUTED_VALUE"""),"")</f>
        <v/>
      </c>
      <c r="E1547" t="str">
        <f>IFERROR(__xludf.DUMMYFUNCTION("""COMPUTED_VALUE"""),"")</f>
        <v/>
      </c>
      <c r="F1547" t="str">
        <f>IFERROR(__xludf.DUMMYFUNCTION("""COMPUTED_VALUE"""),"")</f>
        <v/>
      </c>
      <c r="G1547" t="str">
        <f>IFERROR(__xludf.DUMMYFUNCTION("""COMPUTED_VALUE"""),"")</f>
        <v/>
      </c>
      <c r="H1547" s="2" t="str">
        <f>IFERROR(__xludf.DUMMYFUNCTION("""COMPUTED_VALUE"""),"")</f>
        <v/>
      </c>
      <c r="I1547" s="2" t="str">
        <f>IFERROR(__xludf.DUMMYFUNCTION("""COMPUTED_VALUE"""),"")</f>
        <v/>
      </c>
      <c r="J1547" s="2">
        <f>IFERROR(__xludf.DUMMYFUNCTION("""COMPUTED_VALUE"""),0.0)</f>
        <v>0</v>
      </c>
      <c r="K1547" s="5" t="str">
        <f>IFERROR(__xludf.DUMMYFUNCTION("""COMPUTED_VALUE"""),"")</f>
        <v/>
      </c>
      <c r="L1547" t="str">
        <f>IFERROR(__xludf.DUMMYFUNCTION("""COMPUTED_VALUE"""),"")</f>
        <v/>
      </c>
      <c r="M1547" t="str">
        <f>IFERROR(__xludf.DUMMYFUNCTION("""COMPUTED_VALUE"""),"")</f>
        <v/>
      </c>
      <c r="N1547" t="str">
        <f>IFERROR(__xludf.DUMMYFUNCTION("""COMPUTED_VALUE"""),"")</f>
        <v/>
      </c>
      <c r="O1547" t="str">
        <f>IFERROR(__xludf.DUMMYFUNCTION("""COMPUTED_VALUE"""),"")</f>
        <v/>
      </c>
      <c r="P1547" t="str">
        <f>IFERROR(__xludf.DUMMYFUNCTION("""COMPUTED_VALUE"""),"ID ")</f>
        <v>ID </v>
      </c>
    </row>
    <row r="1548">
      <c r="A1548" s="6" t="str">
        <f>IFERROR(__xludf.DUMMYFUNCTION("""COMPUTED_VALUE"""),"")</f>
        <v/>
      </c>
      <c r="C1548" t="str">
        <f>IFERROR(__xludf.DUMMYFUNCTION("""COMPUTED_VALUE"""),"")</f>
        <v/>
      </c>
      <c r="D1548" t="str">
        <f>IFERROR(__xludf.DUMMYFUNCTION("""COMPUTED_VALUE"""),"")</f>
        <v/>
      </c>
      <c r="E1548" t="str">
        <f>IFERROR(__xludf.DUMMYFUNCTION("""COMPUTED_VALUE"""),"")</f>
        <v/>
      </c>
      <c r="F1548" t="str">
        <f>IFERROR(__xludf.DUMMYFUNCTION("""COMPUTED_VALUE"""),"")</f>
        <v/>
      </c>
      <c r="G1548" t="str">
        <f>IFERROR(__xludf.DUMMYFUNCTION("""COMPUTED_VALUE"""),"")</f>
        <v/>
      </c>
      <c r="H1548" s="2" t="str">
        <f>IFERROR(__xludf.DUMMYFUNCTION("""COMPUTED_VALUE"""),"")</f>
        <v/>
      </c>
      <c r="I1548" s="2" t="str">
        <f>IFERROR(__xludf.DUMMYFUNCTION("""COMPUTED_VALUE"""),"")</f>
        <v/>
      </c>
      <c r="J1548" s="2">
        <f>IFERROR(__xludf.DUMMYFUNCTION("""COMPUTED_VALUE"""),0.0)</f>
        <v>0</v>
      </c>
      <c r="K1548" s="5" t="str">
        <f>IFERROR(__xludf.DUMMYFUNCTION("""COMPUTED_VALUE"""),"")</f>
        <v/>
      </c>
      <c r="L1548" t="str">
        <f>IFERROR(__xludf.DUMMYFUNCTION("""COMPUTED_VALUE"""),"")</f>
        <v/>
      </c>
      <c r="M1548" t="str">
        <f>IFERROR(__xludf.DUMMYFUNCTION("""COMPUTED_VALUE"""),"")</f>
        <v/>
      </c>
      <c r="N1548" t="str">
        <f>IFERROR(__xludf.DUMMYFUNCTION("""COMPUTED_VALUE"""),"")</f>
        <v/>
      </c>
      <c r="O1548" t="str">
        <f>IFERROR(__xludf.DUMMYFUNCTION("""COMPUTED_VALUE"""),"")</f>
        <v/>
      </c>
      <c r="P1548" t="str">
        <f>IFERROR(__xludf.DUMMYFUNCTION("""COMPUTED_VALUE"""),"ID ")</f>
        <v>ID </v>
      </c>
    </row>
    <row r="1549">
      <c r="A1549" s="6" t="str">
        <f>IFERROR(__xludf.DUMMYFUNCTION("""COMPUTED_VALUE"""),"")</f>
        <v/>
      </c>
      <c r="C1549" t="str">
        <f>IFERROR(__xludf.DUMMYFUNCTION("""COMPUTED_VALUE"""),"")</f>
        <v/>
      </c>
      <c r="D1549" t="str">
        <f>IFERROR(__xludf.DUMMYFUNCTION("""COMPUTED_VALUE"""),"")</f>
        <v/>
      </c>
      <c r="E1549" t="str">
        <f>IFERROR(__xludf.DUMMYFUNCTION("""COMPUTED_VALUE"""),"")</f>
        <v/>
      </c>
      <c r="F1549" t="str">
        <f>IFERROR(__xludf.DUMMYFUNCTION("""COMPUTED_VALUE"""),"")</f>
        <v/>
      </c>
      <c r="G1549" t="str">
        <f>IFERROR(__xludf.DUMMYFUNCTION("""COMPUTED_VALUE"""),"")</f>
        <v/>
      </c>
      <c r="H1549" s="2" t="str">
        <f>IFERROR(__xludf.DUMMYFUNCTION("""COMPUTED_VALUE"""),"")</f>
        <v/>
      </c>
      <c r="I1549" s="2" t="str">
        <f>IFERROR(__xludf.DUMMYFUNCTION("""COMPUTED_VALUE"""),"")</f>
        <v/>
      </c>
      <c r="J1549" s="2">
        <f>IFERROR(__xludf.DUMMYFUNCTION("""COMPUTED_VALUE"""),0.0)</f>
        <v>0</v>
      </c>
      <c r="K1549" s="5" t="str">
        <f>IFERROR(__xludf.DUMMYFUNCTION("""COMPUTED_VALUE"""),"")</f>
        <v/>
      </c>
      <c r="L1549" t="str">
        <f>IFERROR(__xludf.DUMMYFUNCTION("""COMPUTED_VALUE"""),"")</f>
        <v/>
      </c>
      <c r="M1549" t="str">
        <f>IFERROR(__xludf.DUMMYFUNCTION("""COMPUTED_VALUE"""),"")</f>
        <v/>
      </c>
      <c r="N1549" t="str">
        <f>IFERROR(__xludf.DUMMYFUNCTION("""COMPUTED_VALUE"""),"")</f>
        <v/>
      </c>
      <c r="O1549" t="str">
        <f>IFERROR(__xludf.DUMMYFUNCTION("""COMPUTED_VALUE"""),"")</f>
        <v/>
      </c>
      <c r="P1549" t="str">
        <f>IFERROR(__xludf.DUMMYFUNCTION("""COMPUTED_VALUE"""),"ID ")</f>
        <v>ID </v>
      </c>
    </row>
    <row r="1550">
      <c r="A1550" s="6" t="str">
        <f>IFERROR(__xludf.DUMMYFUNCTION("""COMPUTED_VALUE"""),"")</f>
        <v/>
      </c>
      <c r="C1550" t="str">
        <f>IFERROR(__xludf.DUMMYFUNCTION("""COMPUTED_VALUE"""),"")</f>
        <v/>
      </c>
      <c r="D1550" t="str">
        <f>IFERROR(__xludf.DUMMYFUNCTION("""COMPUTED_VALUE"""),"")</f>
        <v/>
      </c>
      <c r="E1550" t="str">
        <f>IFERROR(__xludf.DUMMYFUNCTION("""COMPUTED_VALUE"""),"")</f>
        <v/>
      </c>
      <c r="F1550" t="str">
        <f>IFERROR(__xludf.DUMMYFUNCTION("""COMPUTED_VALUE"""),"")</f>
        <v/>
      </c>
      <c r="G1550" t="str">
        <f>IFERROR(__xludf.DUMMYFUNCTION("""COMPUTED_VALUE"""),"")</f>
        <v/>
      </c>
      <c r="H1550" s="2" t="str">
        <f>IFERROR(__xludf.DUMMYFUNCTION("""COMPUTED_VALUE"""),"")</f>
        <v/>
      </c>
      <c r="I1550" s="2" t="str">
        <f>IFERROR(__xludf.DUMMYFUNCTION("""COMPUTED_VALUE"""),"")</f>
        <v/>
      </c>
      <c r="J1550" s="2">
        <f>IFERROR(__xludf.DUMMYFUNCTION("""COMPUTED_VALUE"""),0.0)</f>
        <v>0</v>
      </c>
      <c r="K1550" s="5" t="str">
        <f>IFERROR(__xludf.DUMMYFUNCTION("""COMPUTED_VALUE"""),"")</f>
        <v/>
      </c>
      <c r="L1550" t="str">
        <f>IFERROR(__xludf.DUMMYFUNCTION("""COMPUTED_VALUE"""),"")</f>
        <v/>
      </c>
      <c r="M1550" t="str">
        <f>IFERROR(__xludf.DUMMYFUNCTION("""COMPUTED_VALUE"""),"")</f>
        <v/>
      </c>
      <c r="N1550" t="str">
        <f>IFERROR(__xludf.DUMMYFUNCTION("""COMPUTED_VALUE"""),"")</f>
        <v/>
      </c>
      <c r="O1550" t="str">
        <f>IFERROR(__xludf.DUMMYFUNCTION("""COMPUTED_VALUE"""),"")</f>
        <v/>
      </c>
      <c r="P1550" t="str">
        <f>IFERROR(__xludf.DUMMYFUNCTION("""COMPUTED_VALUE"""),"ID ")</f>
        <v>ID </v>
      </c>
    </row>
    <row r="1551">
      <c r="A1551" s="6" t="str">
        <f>IFERROR(__xludf.DUMMYFUNCTION("""COMPUTED_VALUE"""),"")</f>
        <v/>
      </c>
      <c r="C1551" t="str">
        <f>IFERROR(__xludf.DUMMYFUNCTION("""COMPUTED_VALUE"""),"")</f>
        <v/>
      </c>
      <c r="D1551" t="str">
        <f>IFERROR(__xludf.DUMMYFUNCTION("""COMPUTED_VALUE"""),"")</f>
        <v/>
      </c>
      <c r="E1551" t="str">
        <f>IFERROR(__xludf.DUMMYFUNCTION("""COMPUTED_VALUE"""),"")</f>
        <v/>
      </c>
      <c r="F1551" t="str">
        <f>IFERROR(__xludf.DUMMYFUNCTION("""COMPUTED_VALUE"""),"")</f>
        <v/>
      </c>
      <c r="G1551" t="str">
        <f>IFERROR(__xludf.DUMMYFUNCTION("""COMPUTED_VALUE"""),"")</f>
        <v/>
      </c>
      <c r="H1551" s="2" t="str">
        <f>IFERROR(__xludf.DUMMYFUNCTION("""COMPUTED_VALUE"""),"")</f>
        <v/>
      </c>
      <c r="I1551" s="2" t="str">
        <f>IFERROR(__xludf.DUMMYFUNCTION("""COMPUTED_VALUE"""),"")</f>
        <v/>
      </c>
      <c r="J1551" s="2">
        <f>IFERROR(__xludf.DUMMYFUNCTION("""COMPUTED_VALUE"""),0.0)</f>
        <v>0</v>
      </c>
      <c r="K1551" s="5" t="str">
        <f>IFERROR(__xludf.DUMMYFUNCTION("""COMPUTED_VALUE"""),"")</f>
        <v/>
      </c>
      <c r="L1551" t="str">
        <f>IFERROR(__xludf.DUMMYFUNCTION("""COMPUTED_VALUE"""),"")</f>
        <v/>
      </c>
      <c r="M1551" t="str">
        <f>IFERROR(__xludf.DUMMYFUNCTION("""COMPUTED_VALUE"""),"")</f>
        <v/>
      </c>
      <c r="N1551" t="str">
        <f>IFERROR(__xludf.DUMMYFUNCTION("""COMPUTED_VALUE"""),"")</f>
        <v/>
      </c>
      <c r="O1551" t="str">
        <f>IFERROR(__xludf.DUMMYFUNCTION("""COMPUTED_VALUE"""),"")</f>
        <v/>
      </c>
      <c r="P1551" t="str">
        <f>IFERROR(__xludf.DUMMYFUNCTION("""COMPUTED_VALUE"""),"ID ")</f>
        <v>ID </v>
      </c>
    </row>
    <row r="1552">
      <c r="A1552" s="6" t="str">
        <f>IFERROR(__xludf.DUMMYFUNCTION("""COMPUTED_VALUE"""),"")</f>
        <v/>
      </c>
      <c r="C1552" t="str">
        <f>IFERROR(__xludf.DUMMYFUNCTION("""COMPUTED_VALUE"""),"")</f>
        <v/>
      </c>
      <c r="D1552" t="str">
        <f>IFERROR(__xludf.DUMMYFUNCTION("""COMPUTED_VALUE"""),"")</f>
        <v/>
      </c>
      <c r="E1552" t="str">
        <f>IFERROR(__xludf.DUMMYFUNCTION("""COMPUTED_VALUE"""),"")</f>
        <v/>
      </c>
      <c r="F1552" t="str">
        <f>IFERROR(__xludf.DUMMYFUNCTION("""COMPUTED_VALUE"""),"")</f>
        <v/>
      </c>
      <c r="G1552" t="str">
        <f>IFERROR(__xludf.DUMMYFUNCTION("""COMPUTED_VALUE"""),"")</f>
        <v/>
      </c>
      <c r="H1552" s="2" t="str">
        <f>IFERROR(__xludf.DUMMYFUNCTION("""COMPUTED_VALUE"""),"")</f>
        <v/>
      </c>
      <c r="I1552" s="2" t="str">
        <f>IFERROR(__xludf.DUMMYFUNCTION("""COMPUTED_VALUE"""),"")</f>
        <v/>
      </c>
      <c r="J1552" s="2">
        <f>IFERROR(__xludf.DUMMYFUNCTION("""COMPUTED_VALUE"""),0.0)</f>
        <v>0</v>
      </c>
      <c r="K1552" s="5" t="str">
        <f>IFERROR(__xludf.DUMMYFUNCTION("""COMPUTED_VALUE"""),"")</f>
        <v/>
      </c>
      <c r="L1552" t="str">
        <f>IFERROR(__xludf.DUMMYFUNCTION("""COMPUTED_VALUE"""),"")</f>
        <v/>
      </c>
      <c r="M1552" t="str">
        <f>IFERROR(__xludf.DUMMYFUNCTION("""COMPUTED_VALUE"""),"")</f>
        <v/>
      </c>
      <c r="N1552" t="str">
        <f>IFERROR(__xludf.DUMMYFUNCTION("""COMPUTED_VALUE"""),"")</f>
        <v/>
      </c>
      <c r="O1552" t="str">
        <f>IFERROR(__xludf.DUMMYFUNCTION("""COMPUTED_VALUE"""),"")</f>
        <v/>
      </c>
      <c r="P1552" t="str">
        <f>IFERROR(__xludf.DUMMYFUNCTION("""COMPUTED_VALUE"""),"ID ")</f>
        <v>ID </v>
      </c>
    </row>
    <row r="1553">
      <c r="A1553" s="6" t="str">
        <f>IFERROR(__xludf.DUMMYFUNCTION("""COMPUTED_VALUE"""),"")</f>
        <v/>
      </c>
      <c r="C1553" t="str">
        <f>IFERROR(__xludf.DUMMYFUNCTION("""COMPUTED_VALUE"""),"")</f>
        <v/>
      </c>
      <c r="D1553" t="str">
        <f>IFERROR(__xludf.DUMMYFUNCTION("""COMPUTED_VALUE"""),"")</f>
        <v/>
      </c>
      <c r="E1553" t="str">
        <f>IFERROR(__xludf.DUMMYFUNCTION("""COMPUTED_VALUE"""),"")</f>
        <v/>
      </c>
      <c r="F1553" t="str">
        <f>IFERROR(__xludf.DUMMYFUNCTION("""COMPUTED_VALUE"""),"")</f>
        <v/>
      </c>
      <c r="G1553" t="str">
        <f>IFERROR(__xludf.DUMMYFUNCTION("""COMPUTED_VALUE"""),"")</f>
        <v/>
      </c>
      <c r="H1553" s="2" t="str">
        <f>IFERROR(__xludf.DUMMYFUNCTION("""COMPUTED_VALUE"""),"")</f>
        <v/>
      </c>
      <c r="I1553" s="2" t="str">
        <f>IFERROR(__xludf.DUMMYFUNCTION("""COMPUTED_VALUE"""),"")</f>
        <v/>
      </c>
      <c r="J1553" s="2">
        <f>IFERROR(__xludf.DUMMYFUNCTION("""COMPUTED_VALUE"""),0.0)</f>
        <v>0</v>
      </c>
      <c r="K1553" s="5" t="str">
        <f>IFERROR(__xludf.DUMMYFUNCTION("""COMPUTED_VALUE"""),"")</f>
        <v/>
      </c>
      <c r="L1553" t="str">
        <f>IFERROR(__xludf.DUMMYFUNCTION("""COMPUTED_VALUE"""),"")</f>
        <v/>
      </c>
      <c r="M1553" t="str">
        <f>IFERROR(__xludf.DUMMYFUNCTION("""COMPUTED_VALUE"""),"")</f>
        <v/>
      </c>
      <c r="N1553" t="str">
        <f>IFERROR(__xludf.DUMMYFUNCTION("""COMPUTED_VALUE"""),"")</f>
        <v/>
      </c>
      <c r="O1553" t="str">
        <f>IFERROR(__xludf.DUMMYFUNCTION("""COMPUTED_VALUE"""),"")</f>
        <v/>
      </c>
      <c r="P1553" t="str">
        <f>IFERROR(__xludf.DUMMYFUNCTION("""COMPUTED_VALUE"""),"ID ")</f>
        <v>ID </v>
      </c>
    </row>
    <row r="1554">
      <c r="A1554" s="6" t="str">
        <f>IFERROR(__xludf.DUMMYFUNCTION("""COMPUTED_VALUE"""),"")</f>
        <v/>
      </c>
      <c r="C1554" t="str">
        <f>IFERROR(__xludf.DUMMYFUNCTION("""COMPUTED_VALUE"""),"")</f>
        <v/>
      </c>
      <c r="D1554" t="str">
        <f>IFERROR(__xludf.DUMMYFUNCTION("""COMPUTED_VALUE"""),"")</f>
        <v/>
      </c>
      <c r="E1554" t="str">
        <f>IFERROR(__xludf.DUMMYFUNCTION("""COMPUTED_VALUE"""),"")</f>
        <v/>
      </c>
      <c r="F1554" t="str">
        <f>IFERROR(__xludf.DUMMYFUNCTION("""COMPUTED_VALUE"""),"")</f>
        <v/>
      </c>
      <c r="G1554" t="str">
        <f>IFERROR(__xludf.DUMMYFUNCTION("""COMPUTED_VALUE"""),"")</f>
        <v/>
      </c>
      <c r="H1554" s="2" t="str">
        <f>IFERROR(__xludf.DUMMYFUNCTION("""COMPUTED_VALUE"""),"")</f>
        <v/>
      </c>
      <c r="I1554" s="2" t="str">
        <f>IFERROR(__xludf.DUMMYFUNCTION("""COMPUTED_VALUE"""),"")</f>
        <v/>
      </c>
      <c r="J1554" s="2">
        <f>IFERROR(__xludf.DUMMYFUNCTION("""COMPUTED_VALUE"""),0.0)</f>
        <v>0</v>
      </c>
      <c r="K1554" s="5" t="str">
        <f>IFERROR(__xludf.DUMMYFUNCTION("""COMPUTED_VALUE"""),"")</f>
        <v/>
      </c>
      <c r="L1554" t="str">
        <f>IFERROR(__xludf.DUMMYFUNCTION("""COMPUTED_VALUE"""),"")</f>
        <v/>
      </c>
      <c r="M1554" t="str">
        <f>IFERROR(__xludf.DUMMYFUNCTION("""COMPUTED_VALUE"""),"")</f>
        <v/>
      </c>
      <c r="N1554" t="str">
        <f>IFERROR(__xludf.DUMMYFUNCTION("""COMPUTED_VALUE"""),"")</f>
        <v/>
      </c>
      <c r="O1554" t="str">
        <f>IFERROR(__xludf.DUMMYFUNCTION("""COMPUTED_VALUE"""),"")</f>
        <v/>
      </c>
      <c r="P1554" t="str">
        <f>IFERROR(__xludf.DUMMYFUNCTION("""COMPUTED_VALUE"""),"ID ")</f>
        <v>ID </v>
      </c>
    </row>
    <row r="1555">
      <c r="A1555" s="6" t="str">
        <f>IFERROR(__xludf.DUMMYFUNCTION("""COMPUTED_VALUE"""),"")</f>
        <v/>
      </c>
      <c r="C1555" t="str">
        <f>IFERROR(__xludf.DUMMYFUNCTION("""COMPUTED_VALUE"""),"")</f>
        <v/>
      </c>
      <c r="D1555" t="str">
        <f>IFERROR(__xludf.DUMMYFUNCTION("""COMPUTED_VALUE"""),"")</f>
        <v/>
      </c>
      <c r="E1555" t="str">
        <f>IFERROR(__xludf.DUMMYFUNCTION("""COMPUTED_VALUE"""),"")</f>
        <v/>
      </c>
      <c r="F1555" t="str">
        <f>IFERROR(__xludf.DUMMYFUNCTION("""COMPUTED_VALUE"""),"")</f>
        <v/>
      </c>
      <c r="G1555" t="str">
        <f>IFERROR(__xludf.DUMMYFUNCTION("""COMPUTED_VALUE"""),"")</f>
        <v/>
      </c>
      <c r="H1555" s="2" t="str">
        <f>IFERROR(__xludf.DUMMYFUNCTION("""COMPUTED_VALUE"""),"")</f>
        <v/>
      </c>
      <c r="I1555" s="2" t="str">
        <f>IFERROR(__xludf.DUMMYFUNCTION("""COMPUTED_VALUE"""),"")</f>
        <v/>
      </c>
      <c r="J1555" s="2">
        <f>IFERROR(__xludf.DUMMYFUNCTION("""COMPUTED_VALUE"""),0.0)</f>
        <v>0</v>
      </c>
      <c r="K1555" s="5" t="str">
        <f>IFERROR(__xludf.DUMMYFUNCTION("""COMPUTED_VALUE"""),"")</f>
        <v/>
      </c>
      <c r="L1555" t="str">
        <f>IFERROR(__xludf.DUMMYFUNCTION("""COMPUTED_VALUE"""),"")</f>
        <v/>
      </c>
      <c r="M1555" t="str">
        <f>IFERROR(__xludf.DUMMYFUNCTION("""COMPUTED_VALUE"""),"")</f>
        <v/>
      </c>
      <c r="N1555" t="str">
        <f>IFERROR(__xludf.DUMMYFUNCTION("""COMPUTED_VALUE"""),"")</f>
        <v/>
      </c>
      <c r="O1555" t="str">
        <f>IFERROR(__xludf.DUMMYFUNCTION("""COMPUTED_VALUE"""),"")</f>
        <v/>
      </c>
      <c r="P1555" t="str">
        <f>IFERROR(__xludf.DUMMYFUNCTION("""COMPUTED_VALUE"""),"ID ")</f>
        <v>ID </v>
      </c>
    </row>
    <row r="1556">
      <c r="A1556" s="6" t="str">
        <f>IFERROR(__xludf.DUMMYFUNCTION("""COMPUTED_VALUE"""),"")</f>
        <v/>
      </c>
      <c r="C1556" t="str">
        <f>IFERROR(__xludf.DUMMYFUNCTION("""COMPUTED_VALUE"""),"")</f>
        <v/>
      </c>
      <c r="D1556" t="str">
        <f>IFERROR(__xludf.DUMMYFUNCTION("""COMPUTED_VALUE"""),"")</f>
        <v/>
      </c>
      <c r="E1556" t="str">
        <f>IFERROR(__xludf.DUMMYFUNCTION("""COMPUTED_VALUE"""),"")</f>
        <v/>
      </c>
      <c r="F1556" t="str">
        <f>IFERROR(__xludf.DUMMYFUNCTION("""COMPUTED_VALUE"""),"")</f>
        <v/>
      </c>
      <c r="G1556" t="str">
        <f>IFERROR(__xludf.DUMMYFUNCTION("""COMPUTED_VALUE"""),"")</f>
        <v/>
      </c>
      <c r="H1556" s="2" t="str">
        <f>IFERROR(__xludf.DUMMYFUNCTION("""COMPUTED_VALUE"""),"")</f>
        <v/>
      </c>
      <c r="I1556" s="2" t="str">
        <f>IFERROR(__xludf.DUMMYFUNCTION("""COMPUTED_VALUE"""),"")</f>
        <v/>
      </c>
      <c r="J1556" s="2">
        <f>IFERROR(__xludf.DUMMYFUNCTION("""COMPUTED_VALUE"""),0.0)</f>
        <v>0</v>
      </c>
      <c r="K1556" s="5" t="str">
        <f>IFERROR(__xludf.DUMMYFUNCTION("""COMPUTED_VALUE"""),"")</f>
        <v/>
      </c>
      <c r="L1556" t="str">
        <f>IFERROR(__xludf.DUMMYFUNCTION("""COMPUTED_VALUE"""),"")</f>
        <v/>
      </c>
      <c r="M1556" t="str">
        <f>IFERROR(__xludf.DUMMYFUNCTION("""COMPUTED_VALUE"""),"")</f>
        <v/>
      </c>
      <c r="N1556" t="str">
        <f>IFERROR(__xludf.DUMMYFUNCTION("""COMPUTED_VALUE"""),"")</f>
        <v/>
      </c>
      <c r="O1556" t="str">
        <f>IFERROR(__xludf.DUMMYFUNCTION("""COMPUTED_VALUE"""),"")</f>
        <v/>
      </c>
      <c r="P1556" t="str">
        <f>IFERROR(__xludf.DUMMYFUNCTION("""COMPUTED_VALUE"""),"ID ")</f>
        <v>ID </v>
      </c>
    </row>
    <row r="1557">
      <c r="A1557" s="6" t="str">
        <f>IFERROR(__xludf.DUMMYFUNCTION("""COMPUTED_VALUE"""),"")</f>
        <v/>
      </c>
      <c r="C1557" t="str">
        <f>IFERROR(__xludf.DUMMYFUNCTION("""COMPUTED_VALUE"""),"")</f>
        <v/>
      </c>
      <c r="D1557" t="str">
        <f>IFERROR(__xludf.DUMMYFUNCTION("""COMPUTED_VALUE"""),"")</f>
        <v/>
      </c>
      <c r="E1557" t="str">
        <f>IFERROR(__xludf.DUMMYFUNCTION("""COMPUTED_VALUE"""),"")</f>
        <v/>
      </c>
      <c r="F1557" t="str">
        <f>IFERROR(__xludf.DUMMYFUNCTION("""COMPUTED_VALUE"""),"")</f>
        <v/>
      </c>
      <c r="G1557" t="str">
        <f>IFERROR(__xludf.DUMMYFUNCTION("""COMPUTED_VALUE"""),"")</f>
        <v/>
      </c>
      <c r="H1557" s="2" t="str">
        <f>IFERROR(__xludf.DUMMYFUNCTION("""COMPUTED_VALUE"""),"")</f>
        <v/>
      </c>
      <c r="I1557" s="2" t="str">
        <f>IFERROR(__xludf.DUMMYFUNCTION("""COMPUTED_VALUE"""),"")</f>
        <v/>
      </c>
      <c r="J1557" s="2">
        <f>IFERROR(__xludf.DUMMYFUNCTION("""COMPUTED_VALUE"""),0.0)</f>
        <v>0</v>
      </c>
      <c r="K1557" s="5" t="str">
        <f>IFERROR(__xludf.DUMMYFUNCTION("""COMPUTED_VALUE"""),"")</f>
        <v/>
      </c>
      <c r="L1557" t="str">
        <f>IFERROR(__xludf.DUMMYFUNCTION("""COMPUTED_VALUE"""),"")</f>
        <v/>
      </c>
      <c r="M1557" t="str">
        <f>IFERROR(__xludf.DUMMYFUNCTION("""COMPUTED_VALUE"""),"")</f>
        <v/>
      </c>
      <c r="N1557" t="str">
        <f>IFERROR(__xludf.DUMMYFUNCTION("""COMPUTED_VALUE"""),"")</f>
        <v/>
      </c>
      <c r="O1557" t="str">
        <f>IFERROR(__xludf.DUMMYFUNCTION("""COMPUTED_VALUE"""),"")</f>
        <v/>
      </c>
      <c r="P1557" t="str">
        <f>IFERROR(__xludf.DUMMYFUNCTION("""COMPUTED_VALUE"""),"ID ")</f>
        <v>ID </v>
      </c>
    </row>
    <row r="1558">
      <c r="A1558" s="6" t="str">
        <f>IFERROR(__xludf.DUMMYFUNCTION("""COMPUTED_VALUE"""),"")</f>
        <v/>
      </c>
      <c r="C1558" t="str">
        <f>IFERROR(__xludf.DUMMYFUNCTION("""COMPUTED_VALUE"""),"")</f>
        <v/>
      </c>
      <c r="D1558" t="str">
        <f>IFERROR(__xludf.DUMMYFUNCTION("""COMPUTED_VALUE"""),"")</f>
        <v/>
      </c>
      <c r="E1558" t="str">
        <f>IFERROR(__xludf.DUMMYFUNCTION("""COMPUTED_VALUE"""),"")</f>
        <v/>
      </c>
      <c r="F1558" t="str">
        <f>IFERROR(__xludf.DUMMYFUNCTION("""COMPUTED_VALUE"""),"")</f>
        <v/>
      </c>
      <c r="G1558" t="str">
        <f>IFERROR(__xludf.DUMMYFUNCTION("""COMPUTED_VALUE"""),"")</f>
        <v/>
      </c>
      <c r="H1558" s="2" t="str">
        <f>IFERROR(__xludf.DUMMYFUNCTION("""COMPUTED_VALUE"""),"")</f>
        <v/>
      </c>
      <c r="I1558" s="2" t="str">
        <f>IFERROR(__xludf.DUMMYFUNCTION("""COMPUTED_VALUE"""),"")</f>
        <v/>
      </c>
      <c r="J1558" s="2">
        <f>IFERROR(__xludf.DUMMYFUNCTION("""COMPUTED_VALUE"""),0.0)</f>
        <v>0</v>
      </c>
      <c r="K1558" s="5" t="str">
        <f>IFERROR(__xludf.DUMMYFUNCTION("""COMPUTED_VALUE"""),"")</f>
        <v/>
      </c>
      <c r="L1558" t="str">
        <f>IFERROR(__xludf.DUMMYFUNCTION("""COMPUTED_VALUE"""),"")</f>
        <v/>
      </c>
      <c r="M1558" t="str">
        <f>IFERROR(__xludf.DUMMYFUNCTION("""COMPUTED_VALUE"""),"")</f>
        <v/>
      </c>
      <c r="N1558" t="str">
        <f>IFERROR(__xludf.DUMMYFUNCTION("""COMPUTED_VALUE"""),"")</f>
        <v/>
      </c>
      <c r="O1558" t="str">
        <f>IFERROR(__xludf.DUMMYFUNCTION("""COMPUTED_VALUE"""),"")</f>
        <v/>
      </c>
      <c r="P1558" t="str">
        <f>IFERROR(__xludf.DUMMYFUNCTION("""COMPUTED_VALUE"""),"ID ")</f>
        <v>ID </v>
      </c>
    </row>
    <row r="1559">
      <c r="A1559" s="6" t="str">
        <f>IFERROR(__xludf.DUMMYFUNCTION("""COMPUTED_VALUE"""),"")</f>
        <v/>
      </c>
      <c r="C1559" t="str">
        <f>IFERROR(__xludf.DUMMYFUNCTION("""COMPUTED_VALUE"""),"")</f>
        <v/>
      </c>
      <c r="D1559" t="str">
        <f>IFERROR(__xludf.DUMMYFUNCTION("""COMPUTED_VALUE"""),"")</f>
        <v/>
      </c>
      <c r="E1559" t="str">
        <f>IFERROR(__xludf.DUMMYFUNCTION("""COMPUTED_VALUE"""),"")</f>
        <v/>
      </c>
      <c r="F1559" t="str">
        <f>IFERROR(__xludf.DUMMYFUNCTION("""COMPUTED_VALUE"""),"")</f>
        <v/>
      </c>
      <c r="G1559" t="str">
        <f>IFERROR(__xludf.DUMMYFUNCTION("""COMPUTED_VALUE"""),"")</f>
        <v/>
      </c>
      <c r="H1559" s="2" t="str">
        <f>IFERROR(__xludf.DUMMYFUNCTION("""COMPUTED_VALUE"""),"")</f>
        <v/>
      </c>
      <c r="I1559" s="2" t="str">
        <f>IFERROR(__xludf.DUMMYFUNCTION("""COMPUTED_VALUE"""),"")</f>
        <v/>
      </c>
      <c r="J1559" s="2">
        <f>IFERROR(__xludf.DUMMYFUNCTION("""COMPUTED_VALUE"""),0.0)</f>
        <v>0</v>
      </c>
      <c r="K1559" s="5" t="str">
        <f>IFERROR(__xludf.DUMMYFUNCTION("""COMPUTED_VALUE"""),"")</f>
        <v/>
      </c>
      <c r="L1559" t="str">
        <f>IFERROR(__xludf.DUMMYFUNCTION("""COMPUTED_VALUE"""),"")</f>
        <v/>
      </c>
      <c r="M1559" t="str">
        <f>IFERROR(__xludf.DUMMYFUNCTION("""COMPUTED_VALUE"""),"")</f>
        <v/>
      </c>
      <c r="N1559" t="str">
        <f>IFERROR(__xludf.DUMMYFUNCTION("""COMPUTED_VALUE"""),"")</f>
        <v/>
      </c>
      <c r="O1559" t="str">
        <f>IFERROR(__xludf.DUMMYFUNCTION("""COMPUTED_VALUE"""),"")</f>
        <v/>
      </c>
      <c r="P1559" t="str">
        <f>IFERROR(__xludf.DUMMYFUNCTION("""COMPUTED_VALUE"""),"ID ")</f>
        <v>ID </v>
      </c>
    </row>
    <row r="1560">
      <c r="A1560" s="6" t="str">
        <f>IFERROR(__xludf.DUMMYFUNCTION("""COMPUTED_VALUE"""),"")</f>
        <v/>
      </c>
      <c r="C1560" t="str">
        <f>IFERROR(__xludf.DUMMYFUNCTION("""COMPUTED_VALUE"""),"")</f>
        <v/>
      </c>
      <c r="D1560" t="str">
        <f>IFERROR(__xludf.DUMMYFUNCTION("""COMPUTED_VALUE"""),"")</f>
        <v/>
      </c>
      <c r="E1560" t="str">
        <f>IFERROR(__xludf.DUMMYFUNCTION("""COMPUTED_VALUE"""),"")</f>
        <v/>
      </c>
      <c r="F1560" t="str">
        <f>IFERROR(__xludf.DUMMYFUNCTION("""COMPUTED_VALUE"""),"")</f>
        <v/>
      </c>
      <c r="G1560" t="str">
        <f>IFERROR(__xludf.DUMMYFUNCTION("""COMPUTED_VALUE"""),"")</f>
        <v/>
      </c>
      <c r="H1560" s="2" t="str">
        <f>IFERROR(__xludf.DUMMYFUNCTION("""COMPUTED_VALUE"""),"")</f>
        <v/>
      </c>
      <c r="I1560" s="2" t="str">
        <f>IFERROR(__xludf.DUMMYFUNCTION("""COMPUTED_VALUE"""),"")</f>
        <v/>
      </c>
      <c r="J1560" s="2">
        <f>IFERROR(__xludf.DUMMYFUNCTION("""COMPUTED_VALUE"""),0.0)</f>
        <v>0</v>
      </c>
      <c r="K1560" s="5" t="str">
        <f>IFERROR(__xludf.DUMMYFUNCTION("""COMPUTED_VALUE"""),"")</f>
        <v/>
      </c>
      <c r="L1560" t="str">
        <f>IFERROR(__xludf.DUMMYFUNCTION("""COMPUTED_VALUE"""),"")</f>
        <v/>
      </c>
      <c r="M1560" t="str">
        <f>IFERROR(__xludf.DUMMYFUNCTION("""COMPUTED_VALUE"""),"")</f>
        <v/>
      </c>
      <c r="N1560" t="str">
        <f>IFERROR(__xludf.DUMMYFUNCTION("""COMPUTED_VALUE"""),"")</f>
        <v/>
      </c>
      <c r="O1560" t="str">
        <f>IFERROR(__xludf.DUMMYFUNCTION("""COMPUTED_VALUE"""),"")</f>
        <v/>
      </c>
      <c r="P1560" t="str">
        <f>IFERROR(__xludf.DUMMYFUNCTION("""COMPUTED_VALUE"""),"ID ")</f>
        <v>ID </v>
      </c>
    </row>
    <row r="1561">
      <c r="A1561" s="6" t="str">
        <f>IFERROR(__xludf.DUMMYFUNCTION("""COMPUTED_VALUE"""),"")</f>
        <v/>
      </c>
      <c r="C1561" t="str">
        <f>IFERROR(__xludf.DUMMYFUNCTION("""COMPUTED_VALUE"""),"")</f>
        <v/>
      </c>
      <c r="D1561" t="str">
        <f>IFERROR(__xludf.DUMMYFUNCTION("""COMPUTED_VALUE"""),"")</f>
        <v/>
      </c>
      <c r="E1561" t="str">
        <f>IFERROR(__xludf.DUMMYFUNCTION("""COMPUTED_VALUE"""),"")</f>
        <v/>
      </c>
      <c r="F1561" t="str">
        <f>IFERROR(__xludf.DUMMYFUNCTION("""COMPUTED_VALUE"""),"")</f>
        <v/>
      </c>
      <c r="G1561" t="str">
        <f>IFERROR(__xludf.DUMMYFUNCTION("""COMPUTED_VALUE"""),"")</f>
        <v/>
      </c>
      <c r="H1561" s="2" t="str">
        <f>IFERROR(__xludf.DUMMYFUNCTION("""COMPUTED_VALUE"""),"")</f>
        <v/>
      </c>
      <c r="I1561" s="2" t="str">
        <f>IFERROR(__xludf.DUMMYFUNCTION("""COMPUTED_VALUE"""),"")</f>
        <v/>
      </c>
      <c r="J1561" s="2">
        <f>IFERROR(__xludf.DUMMYFUNCTION("""COMPUTED_VALUE"""),0.0)</f>
        <v>0</v>
      </c>
      <c r="K1561" s="5" t="str">
        <f>IFERROR(__xludf.DUMMYFUNCTION("""COMPUTED_VALUE"""),"")</f>
        <v/>
      </c>
      <c r="L1561" t="str">
        <f>IFERROR(__xludf.DUMMYFUNCTION("""COMPUTED_VALUE"""),"")</f>
        <v/>
      </c>
      <c r="M1561" t="str">
        <f>IFERROR(__xludf.DUMMYFUNCTION("""COMPUTED_VALUE"""),"")</f>
        <v/>
      </c>
      <c r="N1561" t="str">
        <f>IFERROR(__xludf.DUMMYFUNCTION("""COMPUTED_VALUE"""),"")</f>
        <v/>
      </c>
      <c r="O1561" t="str">
        <f>IFERROR(__xludf.DUMMYFUNCTION("""COMPUTED_VALUE"""),"")</f>
        <v/>
      </c>
      <c r="P1561" t="str">
        <f>IFERROR(__xludf.DUMMYFUNCTION("""COMPUTED_VALUE"""),"ID ")</f>
        <v>ID </v>
      </c>
    </row>
    <row r="1562">
      <c r="A1562" s="6" t="str">
        <f>IFERROR(__xludf.DUMMYFUNCTION("""COMPUTED_VALUE"""),"")</f>
        <v/>
      </c>
      <c r="C1562" t="str">
        <f>IFERROR(__xludf.DUMMYFUNCTION("""COMPUTED_VALUE"""),"")</f>
        <v/>
      </c>
      <c r="D1562" t="str">
        <f>IFERROR(__xludf.DUMMYFUNCTION("""COMPUTED_VALUE"""),"")</f>
        <v/>
      </c>
      <c r="E1562" t="str">
        <f>IFERROR(__xludf.DUMMYFUNCTION("""COMPUTED_VALUE"""),"")</f>
        <v/>
      </c>
      <c r="F1562" t="str">
        <f>IFERROR(__xludf.DUMMYFUNCTION("""COMPUTED_VALUE"""),"")</f>
        <v/>
      </c>
      <c r="G1562" t="str">
        <f>IFERROR(__xludf.DUMMYFUNCTION("""COMPUTED_VALUE"""),"")</f>
        <v/>
      </c>
      <c r="H1562" s="2" t="str">
        <f>IFERROR(__xludf.DUMMYFUNCTION("""COMPUTED_VALUE"""),"")</f>
        <v/>
      </c>
      <c r="I1562" s="2" t="str">
        <f>IFERROR(__xludf.DUMMYFUNCTION("""COMPUTED_VALUE"""),"")</f>
        <v/>
      </c>
      <c r="J1562" s="2">
        <f>IFERROR(__xludf.DUMMYFUNCTION("""COMPUTED_VALUE"""),0.0)</f>
        <v>0</v>
      </c>
      <c r="K1562" s="5" t="str">
        <f>IFERROR(__xludf.DUMMYFUNCTION("""COMPUTED_VALUE"""),"")</f>
        <v/>
      </c>
      <c r="L1562" t="str">
        <f>IFERROR(__xludf.DUMMYFUNCTION("""COMPUTED_VALUE"""),"")</f>
        <v/>
      </c>
      <c r="M1562" t="str">
        <f>IFERROR(__xludf.DUMMYFUNCTION("""COMPUTED_VALUE"""),"")</f>
        <v/>
      </c>
      <c r="N1562" t="str">
        <f>IFERROR(__xludf.DUMMYFUNCTION("""COMPUTED_VALUE"""),"")</f>
        <v/>
      </c>
      <c r="O1562" t="str">
        <f>IFERROR(__xludf.DUMMYFUNCTION("""COMPUTED_VALUE"""),"")</f>
        <v/>
      </c>
      <c r="P1562" t="str">
        <f>IFERROR(__xludf.DUMMYFUNCTION("""COMPUTED_VALUE"""),"ID ")</f>
        <v>ID </v>
      </c>
    </row>
    <row r="1563">
      <c r="A1563" s="6" t="str">
        <f>IFERROR(__xludf.DUMMYFUNCTION("""COMPUTED_VALUE"""),"")</f>
        <v/>
      </c>
      <c r="C1563" t="str">
        <f>IFERROR(__xludf.DUMMYFUNCTION("""COMPUTED_VALUE"""),"")</f>
        <v/>
      </c>
      <c r="D1563" t="str">
        <f>IFERROR(__xludf.DUMMYFUNCTION("""COMPUTED_VALUE"""),"")</f>
        <v/>
      </c>
      <c r="E1563" t="str">
        <f>IFERROR(__xludf.DUMMYFUNCTION("""COMPUTED_VALUE"""),"")</f>
        <v/>
      </c>
      <c r="F1563" t="str">
        <f>IFERROR(__xludf.DUMMYFUNCTION("""COMPUTED_VALUE"""),"")</f>
        <v/>
      </c>
      <c r="G1563" t="str">
        <f>IFERROR(__xludf.DUMMYFUNCTION("""COMPUTED_VALUE"""),"")</f>
        <v/>
      </c>
      <c r="H1563" s="2" t="str">
        <f>IFERROR(__xludf.DUMMYFUNCTION("""COMPUTED_VALUE"""),"")</f>
        <v/>
      </c>
      <c r="I1563" s="2" t="str">
        <f>IFERROR(__xludf.DUMMYFUNCTION("""COMPUTED_VALUE"""),"")</f>
        <v/>
      </c>
      <c r="J1563" s="2">
        <f>IFERROR(__xludf.DUMMYFUNCTION("""COMPUTED_VALUE"""),0.0)</f>
        <v>0</v>
      </c>
      <c r="K1563" s="5" t="str">
        <f>IFERROR(__xludf.DUMMYFUNCTION("""COMPUTED_VALUE"""),"")</f>
        <v/>
      </c>
      <c r="L1563" t="str">
        <f>IFERROR(__xludf.DUMMYFUNCTION("""COMPUTED_VALUE"""),"")</f>
        <v/>
      </c>
      <c r="M1563" t="str">
        <f>IFERROR(__xludf.DUMMYFUNCTION("""COMPUTED_VALUE"""),"")</f>
        <v/>
      </c>
      <c r="N1563" t="str">
        <f>IFERROR(__xludf.DUMMYFUNCTION("""COMPUTED_VALUE"""),"")</f>
        <v/>
      </c>
      <c r="O1563" t="str">
        <f>IFERROR(__xludf.DUMMYFUNCTION("""COMPUTED_VALUE"""),"")</f>
        <v/>
      </c>
      <c r="P1563" t="str">
        <f>IFERROR(__xludf.DUMMYFUNCTION("""COMPUTED_VALUE"""),"ID ")</f>
        <v>ID </v>
      </c>
    </row>
    <row r="1564">
      <c r="A1564" s="6" t="str">
        <f>IFERROR(__xludf.DUMMYFUNCTION("""COMPUTED_VALUE"""),"")</f>
        <v/>
      </c>
      <c r="C1564" t="str">
        <f>IFERROR(__xludf.DUMMYFUNCTION("""COMPUTED_VALUE"""),"")</f>
        <v/>
      </c>
      <c r="D1564" t="str">
        <f>IFERROR(__xludf.DUMMYFUNCTION("""COMPUTED_VALUE"""),"")</f>
        <v/>
      </c>
      <c r="E1564" t="str">
        <f>IFERROR(__xludf.DUMMYFUNCTION("""COMPUTED_VALUE"""),"")</f>
        <v/>
      </c>
      <c r="F1564" t="str">
        <f>IFERROR(__xludf.DUMMYFUNCTION("""COMPUTED_VALUE"""),"")</f>
        <v/>
      </c>
      <c r="G1564" t="str">
        <f>IFERROR(__xludf.DUMMYFUNCTION("""COMPUTED_VALUE"""),"")</f>
        <v/>
      </c>
      <c r="H1564" s="2" t="str">
        <f>IFERROR(__xludf.DUMMYFUNCTION("""COMPUTED_VALUE"""),"")</f>
        <v/>
      </c>
      <c r="I1564" s="2" t="str">
        <f>IFERROR(__xludf.DUMMYFUNCTION("""COMPUTED_VALUE"""),"")</f>
        <v/>
      </c>
      <c r="J1564" s="2">
        <f>IFERROR(__xludf.DUMMYFUNCTION("""COMPUTED_VALUE"""),0.0)</f>
        <v>0</v>
      </c>
      <c r="K1564" s="5" t="str">
        <f>IFERROR(__xludf.DUMMYFUNCTION("""COMPUTED_VALUE"""),"")</f>
        <v/>
      </c>
      <c r="L1564" t="str">
        <f>IFERROR(__xludf.DUMMYFUNCTION("""COMPUTED_VALUE"""),"")</f>
        <v/>
      </c>
      <c r="M1564" t="str">
        <f>IFERROR(__xludf.DUMMYFUNCTION("""COMPUTED_VALUE"""),"")</f>
        <v/>
      </c>
      <c r="N1564" t="str">
        <f>IFERROR(__xludf.DUMMYFUNCTION("""COMPUTED_VALUE"""),"")</f>
        <v/>
      </c>
      <c r="O1564" t="str">
        <f>IFERROR(__xludf.DUMMYFUNCTION("""COMPUTED_VALUE"""),"")</f>
        <v/>
      </c>
      <c r="P1564" t="str">
        <f>IFERROR(__xludf.DUMMYFUNCTION("""COMPUTED_VALUE"""),"ID ")</f>
        <v>ID </v>
      </c>
    </row>
    <row r="1565">
      <c r="A1565" s="6" t="str">
        <f>IFERROR(__xludf.DUMMYFUNCTION("""COMPUTED_VALUE"""),"")</f>
        <v/>
      </c>
      <c r="C1565" t="str">
        <f>IFERROR(__xludf.DUMMYFUNCTION("""COMPUTED_VALUE"""),"")</f>
        <v/>
      </c>
      <c r="D1565" t="str">
        <f>IFERROR(__xludf.DUMMYFUNCTION("""COMPUTED_VALUE"""),"")</f>
        <v/>
      </c>
      <c r="E1565" t="str">
        <f>IFERROR(__xludf.DUMMYFUNCTION("""COMPUTED_VALUE"""),"")</f>
        <v/>
      </c>
      <c r="F1565" t="str">
        <f>IFERROR(__xludf.DUMMYFUNCTION("""COMPUTED_VALUE"""),"")</f>
        <v/>
      </c>
      <c r="G1565" t="str">
        <f>IFERROR(__xludf.DUMMYFUNCTION("""COMPUTED_VALUE"""),"")</f>
        <v/>
      </c>
      <c r="H1565" s="2" t="str">
        <f>IFERROR(__xludf.DUMMYFUNCTION("""COMPUTED_VALUE"""),"")</f>
        <v/>
      </c>
      <c r="I1565" s="2" t="str">
        <f>IFERROR(__xludf.DUMMYFUNCTION("""COMPUTED_VALUE"""),"")</f>
        <v/>
      </c>
      <c r="J1565" s="2">
        <f>IFERROR(__xludf.DUMMYFUNCTION("""COMPUTED_VALUE"""),0.0)</f>
        <v>0</v>
      </c>
      <c r="K1565" s="5" t="str">
        <f>IFERROR(__xludf.DUMMYFUNCTION("""COMPUTED_VALUE"""),"")</f>
        <v/>
      </c>
      <c r="L1565" t="str">
        <f>IFERROR(__xludf.DUMMYFUNCTION("""COMPUTED_VALUE"""),"")</f>
        <v/>
      </c>
      <c r="M1565" t="str">
        <f>IFERROR(__xludf.DUMMYFUNCTION("""COMPUTED_VALUE"""),"")</f>
        <v/>
      </c>
      <c r="N1565" t="str">
        <f>IFERROR(__xludf.DUMMYFUNCTION("""COMPUTED_VALUE"""),"")</f>
        <v/>
      </c>
      <c r="O1565" t="str">
        <f>IFERROR(__xludf.DUMMYFUNCTION("""COMPUTED_VALUE"""),"")</f>
        <v/>
      </c>
      <c r="P1565" t="str">
        <f>IFERROR(__xludf.DUMMYFUNCTION("""COMPUTED_VALUE"""),"ID ")</f>
        <v>ID </v>
      </c>
    </row>
    <row r="1566">
      <c r="A1566" s="6" t="str">
        <f>IFERROR(__xludf.DUMMYFUNCTION("""COMPUTED_VALUE"""),"")</f>
        <v/>
      </c>
      <c r="C1566" t="str">
        <f>IFERROR(__xludf.DUMMYFUNCTION("""COMPUTED_VALUE"""),"")</f>
        <v/>
      </c>
      <c r="D1566" t="str">
        <f>IFERROR(__xludf.DUMMYFUNCTION("""COMPUTED_VALUE"""),"")</f>
        <v/>
      </c>
      <c r="E1566" t="str">
        <f>IFERROR(__xludf.DUMMYFUNCTION("""COMPUTED_VALUE"""),"")</f>
        <v/>
      </c>
      <c r="F1566" t="str">
        <f>IFERROR(__xludf.DUMMYFUNCTION("""COMPUTED_VALUE"""),"")</f>
        <v/>
      </c>
      <c r="G1566" t="str">
        <f>IFERROR(__xludf.DUMMYFUNCTION("""COMPUTED_VALUE"""),"")</f>
        <v/>
      </c>
      <c r="H1566" s="2" t="str">
        <f>IFERROR(__xludf.DUMMYFUNCTION("""COMPUTED_VALUE"""),"")</f>
        <v/>
      </c>
      <c r="I1566" s="2" t="str">
        <f>IFERROR(__xludf.DUMMYFUNCTION("""COMPUTED_VALUE"""),"")</f>
        <v/>
      </c>
      <c r="J1566" s="2">
        <f>IFERROR(__xludf.DUMMYFUNCTION("""COMPUTED_VALUE"""),0.0)</f>
        <v>0</v>
      </c>
      <c r="K1566" s="5" t="str">
        <f>IFERROR(__xludf.DUMMYFUNCTION("""COMPUTED_VALUE"""),"")</f>
        <v/>
      </c>
      <c r="L1566" t="str">
        <f>IFERROR(__xludf.DUMMYFUNCTION("""COMPUTED_VALUE"""),"")</f>
        <v/>
      </c>
      <c r="M1566" t="str">
        <f>IFERROR(__xludf.DUMMYFUNCTION("""COMPUTED_VALUE"""),"")</f>
        <v/>
      </c>
      <c r="N1566" t="str">
        <f>IFERROR(__xludf.DUMMYFUNCTION("""COMPUTED_VALUE"""),"")</f>
        <v/>
      </c>
      <c r="O1566" t="str">
        <f>IFERROR(__xludf.DUMMYFUNCTION("""COMPUTED_VALUE"""),"")</f>
        <v/>
      </c>
      <c r="P1566" t="str">
        <f>IFERROR(__xludf.DUMMYFUNCTION("""COMPUTED_VALUE"""),"ID ")</f>
        <v>ID </v>
      </c>
    </row>
    <row r="1567">
      <c r="A1567" s="6" t="str">
        <f>IFERROR(__xludf.DUMMYFUNCTION("""COMPUTED_VALUE"""),"")</f>
        <v/>
      </c>
      <c r="C1567" t="str">
        <f>IFERROR(__xludf.DUMMYFUNCTION("""COMPUTED_VALUE"""),"")</f>
        <v/>
      </c>
      <c r="D1567" t="str">
        <f>IFERROR(__xludf.DUMMYFUNCTION("""COMPUTED_VALUE"""),"")</f>
        <v/>
      </c>
      <c r="E1567" t="str">
        <f>IFERROR(__xludf.DUMMYFUNCTION("""COMPUTED_VALUE"""),"")</f>
        <v/>
      </c>
      <c r="F1567" t="str">
        <f>IFERROR(__xludf.DUMMYFUNCTION("""COMPUTED_VALUE"""),"")</f>
        <v/>
      </c>
      <c r="G1567" t="str">
        <f>IFERROR(__xludf.DUMMYFUNCTION("""COMPUTED_VALUE"""),"")</f>
        <v/>
      </c>
      <c r="H1567" s="2" t="str">
        <f>IFERROR(__xludf.DUMMYFUNCTION("""COMPUTED_VALUE"""),"")</f>
        <v/>
      </c>
      <c r="I1567" s="2" t="str">
        <f>IFERROR(__xludf.DUMMYFUNCTION("""COMPUTED_VALUE"""),"")</f>
        <v/>
      </c>
      <c r="J1567" s="2">
        <f>IFERROR(__xludf.DUMMYFUNCTION("""COMPUTED_VALUE"""),0.0)</f>
        <v>0</v>
      </c>
      <c r="K1567" s="5" t="str">
        <f>IFERROR(__xludf.DUMMYFUNCTION("""COMPUTED_VALUE"""),"")</f>
        <v/>
      </c>
      <c r="L1567" t="str">
        <f>IFERROR(__xludf.DUMMYFUNCTION("""COMPUTED_VALUE"""),"")</f>
        <v/>
      </c>
      <c r="M1567" t="str">
        <f>IFERROR(__xludf.DUMMYFUNCTION("""COMPUTED_VALUE"""),"")</f>
        <v/>
      </c>
      <c r="N1567" t="str">
        <f>IFERROR(__xludf.DUMMYFUNCTION("""COMPUTED_VALUE"""),"")</f>
        <v/>
      </c>
      <c r="O1567" t="str">
        <f>IFERROR(__xludf.DUMMYFUNCTION("""COMPUTED_VALUE"""),"")</f>
        <v/>
      </c>
      <c r="P1567" t="str">
        <f>IFERROR(__xludf.DUMMYFUNCTION("""COMPUTED_VALUE"""),"ID ")</f>
        <v>ID </v>
      </c>
    </row>
    <row r="1568">
      <c r="A1568" s="6" t="str">
        <f>IFERROR(__xludf.DUMMYFUNCTION("""COMPUTED_VALUE"""),"")</f>
        <v/>
      </c>
      <c r="C1568" t="str">
        <f>IFERROR(__xludf.DUMMYFUNCTION("""COMPUTED_VALUE"""),"")</f>
        <v/>
      </c>
      <c r="D1568" t="str">
        <f>IFERROR(__xludf.DUMMYFUNCTION("""COMPUTED_VALUE"""),"")</f>
        <v/>
      </c>
      <c r="E1568" t="str">
        <f>IFERROR(__xludf.DUMMYFUNCTION("""COMPUTED_VALUE"""),"")</f>
        <v/>
      </c>
      <c r="F1568" t="str">
        <f>IFERROR(__xludf.DUMMYFUNCTION("""COMPUTED_VALUE"""),"")</f>
        <v/>
      </c>
      <c r="G1568" t="str">
        <f>IFERROR(__xludf.DUMMYFUNCTION("""COMPUTED_VALUE"""),"")</f>
        <v/>
      </c>
      <c r="H1568" s="2" t="str">
        <f>IFERROR(__xludf.DUMMYFUNCTION("""COMPUTED_VALUE"""),"")</f>
        <v/>
      </c>
      <c r="I1568" s="2" t="str">
        <f>IFERROR(__xludf.DUMMYFUNCTION("""COMPUTED_VALUE"""),"")</f>
        <v/>
      </c>
      <c r="J1568" s="2">
        <f>IFERROR(__xludf.DUMMYFUNCTION("""COMPUTED_VALUE"""),0.0)</f>
        <v>0</v>
      </c>
      <c r="K1568" s="5" t="str">
        <f>IFERROR(__xludf.DUMMYFUNCTION("""COMPUTED_VALUE"""),"")</f>
        <v/>
      </c>
      <c r="L1568" t="str">
        <f>IFERROR(__xludf.DUMMYFUNCTION("""COMPUTED_VALUE"""),"")</f>
        <v/>
      </c>
      <c r="M1568" t="str">
        <f>IFERROR(__xludf.DUMMYFUNCTION("""COMPUTED_VALUE"""),"")</f>
        <v/>
      </c>
      <c r="N1568" t="str">
        <f>IFERROR(__xludf.DUMMYFUNCTION("""COMPUTED_VALUE"""),"")</f>
        <v/>
      </c>
      <c r="O1568" t="str">
        <f>IFERROR(__xludf.DUMMYFUNCTION("""COMPUTED_VALUE"""),"")</f>
        <v/>
      </c>
      <c r="P1568" t="str">
        <f>IFERROR(__xludf.DUMMYFUNCTION("""COMPUTED_VALUE"""),"ID ")</f>
        <v>ID </v>
      </c>
    </row>
    <row r="1569">
      <c r="A1569" s="6" t="str">
        <f>IFERROR(__xludf.DUMMYFUNCTION("""COMPUTED_VALUE"""),"")</f>
        <v/>
      </c>
      <c r="C1569" t="str">
        <f>IFERROR(__xludf.DUMMYFUNCTION("""COMPUTED_VALUE"""),"")</f>
        <v/>
      </c>
      <c r="D1569" t="str">
        <f>IFERROR(__xludf.DUMMYFUNCTION("""COMPUTED_VALUE"""),"")</f>
        <v/>
      </c>
      <c r="E1569" t="str">
        <f>IFERROR(__xludf.DUMMYFUNCTION("""COMPUTED_VALUE"""),"")</f>
        <v/>
      </c>
      <c r="F1569" t="str">
        <f>IFERROR(__xludf.DUMMYFUNCTION("""COMPUTED_VALUE"""),"")</f>
        <v/>
      </c>
      <c r="G1569" t="str">
        <f>IFERROR(__xludf.DUMMYFUNCTION("""COMPUTED_VALUE"""),"")</f>
        <v/>
      </c>
      <c r="H1569" s="2" t="str">
        <f>IFERROR(__xludf.DUMMYFUNCTION("""COMPUTED_VALUE"""),"")</f>
        <v/>
      </c>
      <c r="I1569" s="2" t="str">
        <f>IFERROR(__xludf.DUMMYFUNCTION("""COMPUTED_VALUE"""),"")</f>
        <v/>
      </c>
      <c r="J1569" s="2">
        <f>IFERROR(__xludf.DUMMYFUNCTION("""COMPUTED_VALUE"""),0.0)</f>
        <v>0</v>
      </c>
      <c r="K1569" s="5" t="str">
        <f>IFERROR(__xludf.DUMMYFUNCTION("""COMPUTED_VALUE"""),"")</f>
        <v/>
      </c>
      <c r="L1569" t="str">
        <f>IFERROR(__xludf.DUMMYFUNCTION("""COMPUTED_VALUE"""),"")</f>
        <v/>
      </c>
      <c r="M1569" t="str">
        <f>IFERROR(__xludf.DUMMYFUNCTION("""COMPUTED_VALUE"""),"")</f>
        <v/>
      </c>
      <c r="N1569" t="str">
        <f>IFERROR(__xludf.DUMMYFUNCTION("""COMPUTED_VALUE"""),"")</f>
        <v/>
      </c>
      <c r="O1569" t="str">
        <f>IFERROR(__xludf.DUMMYFUNCTION("""COMPUTED_VALUE"""),"")</f>
        <v/>
      </c>
      <c r="P1569" t="str">
        <f>IFERROR(__xludf.DUMMYFUNCTION("""COMPUTED_VALUE"""),"ID ")</f>
        <v>ID </v>
      </c>
    </row>
    <row r="1570">
      <c r="A1570" s="6" t="str">
        <f>IFERROR(__xludf.DUMMYFUNCTION("""COMPUTED_VALUE"""),"")</f>
        <v/>
      </c>
      <c r="C1570" t="str">
        <f>IFERROR(__xludf.DUMMYFUNCTION("""COMPUTED_VALUE"""),"")</f>
        <v/>
      </c>
      <c r="D1570" t="str">
        <f>IFERROR(__xludf.DUMMYFUNCTION("""COMPUTED_VALUE"""),"")</f>
        <v/>
      </c>
      <c r="E1570" t="str">
        <f>IFERROR(__xludf.DUMMYFUNCTION("""COMPUTED_VALUE"""),"")</f>
        <v/>
      </c>
      <c r="F1570" t="str">
        <f>IFERROR(__xludf.DUMMYFUNCTION("""COMPUTED_VALUE"""),"")</f>
        <v/>
      </c>
      <c r="G1570" t="str">
        <f>IFERROR(__xludf.DUMMYFUNCTION("""COMPUTED_VALUE"""),"")</f>
        <v/>
      </c>
      <c r="H1570" s="2" t="str">
        <f>IFERROR(__xludf.DUMMYFUNCTION("""COMPUTED_VALUE"""),"")</f>
        <v/>
      </c>
      <c r="I1570" s="2" t="str">
        <f>IFERROR(__xludf.DUMMYFUNCTION("""COMPUTED_VALUE"""),"")</f>
        <v/>
      </c>
      <c r="J1570" s="2">
        <f>IFERROR(__xludf.DUMMYFUNCTION("""COMPUTED_VALUE"""),0.0)</f>
        <v>0</v>
      </c>
      <c r="K1570" s="5" t="str">
        <f>IFERROR(__xludf.DUMMYFUNCTION("""COMPUTED_VALUE"""),"")</f>
        <v/>
      </c>
      <c r="L1570" t="str">
        <f>IFERROR(__xludf.DUMMYFUNCTION("""COMPUTED_VALUE"""),"")</f>
        <v/>
      </c>
      <c r="M1570" t="str">
        <f>IFERROR(__xludf.DUMMYFUNCTION("""COMPUTED_VALUE"""),"")</f>
        <v/>
      </c>
      <c r="N1570" t="str">
        <f>IFERROR(__xludf.DUMMYFUNCTION("""COMPUTED_VALUE"""),"")</f>
        <v/>
      </c>
      <c r="O1570" t="str">
        <f>IFERROR(__xludf.DUMMYFUNCTION("""COMPUTED_VALUE"""),"")</f>
        <v/>
      </c>
      <c r="P1570" t="str">
        <f>IFERROR(__xludf.DUMMYFUNCTION("""COMPUTED_VALUE"""),"ID ")</f>
        <v>ID </v>
      </c>
    </row>
    <row r="1571">
      <c r="A1571" s="6" t="str">
        <f>IFERROR(__xludf.DUMMYFUNCTION("""COMPUTED_VALUE"""),"")</f>
        <v/>
      </c>
      <c r="C1571" t="str">
        <f>IFERROR(__xludf.DUMMYFUNCTION("""COMPUTED_VALUE"""),"")</f>
        <v/>
      </c>
      <c r="D1571" t="str">
        <f>IFERROR(__xludf.DUMMYFUNCTION("""COMPUTED_VALUE"""),"")</f>
        <v/>
      </c>
      <c r="E1571" t="str">
        <f>IFERROR(__xludf.DUMMYFUNCTION("""COMPUTED_VALUE"""),"")</f>
        <v/>
      </c>
      <c r="F1571" t="str">
        <f>IFERROR(__xludf.DUMMYFUNCTION("""COMPUTED_VALUE"""),"")</f>
        <v/>
      </c>
      <c r="G1571" t="str">
        <f>IFERROR(__xludf.DUMMYFUNCTION("""COMPUTED_VALUE"""),"")</f>
        <v/>
      </c>
      <c r="H1571" s="2" t="str">
        <f>IFERROR(__xludf.DUMMYFUNCTION("""COMPUTED_VALUE"""),"")</f>
        <v/>
      </c>
      <c r="I1571" s="2" t="str">
        <f>IFERROR(__xludf.DUMMYFUNCTION("""COMPUTED_VALUE"""),"")</f>
        <v/>
      </c>
      <c r="J1571" s="2">
        <f>IFERROR(__xludf.DUMMYFUNCTION("""COMPUTED_VALUE"""),0.0)</f>
        <v>0</v>
      </c>
      <c r="K1571" s="5" t="str">
        <f>IFERROR(__xludf.DUMMYFUNCTION("""COMPUTED_VALUE"""),"")</f>
        <v/>
      </c>
      <c r="L1571" t="str">
        <f>IFERROR(__xludf.DUMMYFUNCTION("""COMPUTED_VALUE"""),"")</f>
        <v/>
      </c>
      <c r="M1571" t="str">
        <f>IFERROR(__xludf.DUMMYFUNCTION("""COMPUTED_VALUE"""),"")</f>
        <v/>
      </c>
      <c r="N1571" t="str">
        <f>IFERROR(__xludf.DUMMYFUNCTION("""COMPUTED_VALUE"""),"")</f>
        <v/>
      </c>
      <c r="O1571" t="str">
        <f>IFERROR(__xludf.DUMMYFUNCTION("""COMPUTED_VALUE"""),"")</f>
        <v/>
      </c>
      <c r="P1571" t="str">
        <f>IFERROR(__xludf.DUMMYFUNCTION("""COMPUTED_VALUE"""),"ID ")</f>
        <v>ID </v>
      </c>
    </row>
    <row r="1572">
      <c r="A1572" s="6" t="str">
        <f>IFERROR(__xludf.DUMMYFUNCTION("""COMPUTED_VALUE"""),"")</f>
        <v/>
      </c>
      <c r="C1572" t="str">
        <f>IFERROR(__xludf.DUMMYFUNCTION("""COMPUTED_VALUE"""),"")</f>
        <v/>
      </c>
      <c r="D1572" t="str">
        <f>IFERROR(__xludf.DUMMYFUNCTION("""COMPUTED_VALUE"""),"")</f>
        <v/>
      </c>
      <c r="E1572" t="str">
        <f>IFERROR(__xludf.DUMMYFUNCTION("""COMPUTED_VALUE"""),"")</f>
        <v/>
      </c>
      <c r="F1572" t="str">
        <f>IFERROR(__xludf.DUMMYFUNCTION("""COMPUTED_VALUE"""),"")</f>
        <v/>
      </c>
      <c r="G1572" t="str">
        <f>IFERROR(__xludf.DUMMYFUNCTION("""COMPUTED_VALUE"""),"")</f>
        <v/>
      </c>
      <c r="H1572" s="2" t="str">
        <f>IFERROR(__xludf.DUMMYFUNCTION("""COMPUTED_VALUE"""),"")</f>
        <v/>
      </c>
      <c r="I1572" s="2" t="str">
        <f>IFERROR(__xludf.DUMMYFUNCTION("""COMPUTED_VALUE"""),"")</f>
        <v/>
      </c>
      <c r="J1572" s="2">
        <f>IFERROR(__xludf.DUMMYFUNCTION("""COMPUTED_VALUE"""),0.0)</f>
        <v>0</v>
      </c>
      <c r="K1572" s="5" t="str">
        <f>IFERROR(__xludf.DUMMYFUNCTION("""COMPUTED_VALUE"""),"")</f>
        <v/>
      </c>
      <c r="L1572" t="str">
        <f>IFERROR(__xludf.DUMMYFUNCTION("""COMPUTED_VALUE"""),"")</f>
        <v/>
      </c>
      <c r="M1572" t="str">
        <f>IFERROR(__xludf.DUMMYFUNCTION("""COMPUTED_VALUE"""),"")</f>
        <v/>
      </c>
      <c r="N1572" t="str">
        <f>IFERROR(__xludf.DUMMYFUNCTION("""COMPUTED_VALUE"""),"")</f>
        <v/>
      </c>
      <c r="O1572" t="str">
        <f>IFERROR(__xludf.DUMMYFUNCTION("""COMPUTED_VALUE"""),"")</f>
        <v/>
      </c>
      <c r="P1572" t="str">
        <f>IFERROR(__xludf.DUMMYFUNCTION("""COMPUTED_VALUE"""),"ID ")</f>
        <v>ID </v>
      </c>
    </row>
    <row r="1573">
      <c r="A1573" s="6" t="str">
        <f>IFERROR(__xludf.DUMMYFUNCTION("""COMPUTED_VALUE"""),"")</f>
        <v/>
      </c>
      <c r="C1573" t="str">
        <f>IFERROR(__xludf.DUMMYFUNCTION("""COMPUTED_VALUE"""),"")</f>
        <v/>
      </c>
      <c r="D1573" t="str">
        <f>IFERROR(__xludf.DUMMYFUNCTION("""COMPUTED_VALUE"""),"")</f>
        <v/>
      </c>
      <c r="E1573" t="str">
        <f>IFERROR(__xludf.DUMMYFUNCTION("""COMPUTED_VALUE"""),"")</f>
        <v/>
      </c>
      <c r="F1573" t="str">
        <f>IFERROR(__xludf.DUMMYFUNCTION("""COMPUTED_VALUE"""),"")</f>
        <v/>
      </c>
      <c r="G1573" t="str">
        <f>IFERROR(__xludf.DUMMYFUNCTION("""COMPUTED_VALUE"""),"")</f>
        <v/>
      </c>
      <c r="H1573" s="2" t="str">
        <f>IFERROR(__xludf.DUMMYFUNCTION("""COMPUTED_VALUE"""),"")</f>
        <v/>
      </c>
      <c r="I1573" s="2" t="str">
        <f>IFERROR(__xludf.DUMMYFUNCTION("""COMPUTED_VALUE"""),"")</f>
        <v/>
      </c>
      <c r="J1573" s="2">
        <f>IFERROR(__xludf.DUMMYFUNCTION("""COMPUTED_VALUE"""),0.0)</f>
        <v>0</v>
      </c>
      <c r="K1573" s="5" t="str">
        <f>IFERROR(__xludf.DUMMYFUNCTION("""COMPUTED_VALUE"""),"")</f>
        <v/>
      </c>
      <c r="L1573" t="str">
        <f>IFERROR(__xludf.DUMMYFUNCTION("""COMPUTED_VALUE"""),"")</f>
        <v/>
      </c>
      <c r="M1573" t="str">
        <f>IFERROR(__xludf.DUMMYFUNCTION("""COMPUTED_VALUE"""),"")</f>
        <v/>
      </c>
      <c r="N1573" t="str">
        <f>IFERROR(__xludf.DUMMYFUNCTION("""COMPUTED_VALUE"""),"")</f>
        <v/>
      </c>
      <c r="O1573" t="str">
        <f>IFERROR(__xludf.DUMMYFUNCTION("""COMPUTED_VALUE"""),"")</f>
        <v/>
      </c>
      <c r="P1573" t="str">
        <f>IFERROR(__xludf.DUMMYFUNCTION("""COMPUTED_VALUE"""),"ID ")</f>
        <v>ID </v>
      </c>
    </row>
    <row r="1574">
      <c r="A1574" s="6" t="str">
        <f>IFERROR(__xludf.DUMMYFUNCTION("""COMPUTED_VALUE"""),"")</f>
        <v/>
      </c>
      <c r="C1574" t="str">
        <f>IFERROR(__xludf.DUMMYFUNCTION("""COMPUTED_VALUE"""),"")</f>
        <v/>
      </c>
      <c r="D1574" t="str">
        <f>IFERROR(__xludf.DUMMYFUNCTION("""COMPUTED_VALUE"""),"")</f>
        <v/>
      </c>
      <c r="E1574" t="str">
        <f>IFERROR(__xludf.DUMMYFUNCTION("""COMPUTED_VALUE"""),"")</f>
        <v/>
      </c>
      <c r="F1574" t="str">
        <f>IFERROR(__xludf.DUMMYFUNCTION("""COMPUTED_VALUE"""),"")</f>
        <v/>
      </c>
      <c r="G1574" t="str">
        <f>IFERROR(__xludf.DUMMYFUNCTION("""COMPUTED_VALUE"""),"")</f>
        <v/>
      </c>
      <c r="H1574" s="2" t="str">
        <f>IFERROR(__xludf.DUMMYFUNCTION("""COMPUTED_VALUE"""),"")</f>
        <v/>
      </c>
      <c r="I1574" s="2" t="str">
        <f>IFERROR(__xludf.DUMMYFUNCTION("""COMPUTED_VALUE"""),"")</f>
        <v/>
      </c>
      <c r="J1574" s="2">
        <f>IFERROR(__xludf.DUMMYFUNCTION("""COMPUTED_VALUE"""),0.0)</f>
        <v>0</v>
      </c>
      <c r="K1574" s="5" t="str">
        <f>IFERROR(__xludf.DUMMYFUNCTION("""COMPUTED_VALUE"""),"")</f>
        <v/>
      </c>
      <c r="L1574" t="str">
        <f>IFERROR(__xludf.DUMMYFUNCTION("""COMPUTED_VALUE"""),"")</f>
        <v/>
      </c>
      <c r="M1574" t="str">
        <f>IFERROR(__xludf.DUMMYFUNCTION("""COMPUTED_VALUE"""),"")</f>
        <v/>
      </c>
      <c r="N1574" t="str">
        <f>IFERROR(__xludf.DUMMYFUNCTION("""COMPUTED_VALUE"""),"")</f>
        <v/>
      </c>
      <c r="O1574" t="str">
        <f>IFERROR(__xludf.DUMMYFUNCTION("""COMPUTED_VALUE"""),"")</f>
        <v/>
      </c>
      <c r="P1574" t="str">
        <f>IFERROR(__xludf.DUMMYFUNCTION("""COMPUTED_VALUE"""),"ID ")</f>
        <v>ID </v>
      </c>
    </row>
    <row r="1575">
      <c r="A1575" s="6" t="str">
        <f>IFERROR(__xludf.DUMMYFUNCTION("""COMPUTED_VALUE"""),"")</f>
        <v/>
      </c>
      <c r="C1575" t="str">
        <f>IFERROR(__xludf.DUMMYFUNCTION("""COMPUTED_VALUE"""),"")</f>
        <v/>
      </c>
      <c r="D1575" t="str">
        <f>IFERROR(__xludf.DUMMYFUNCTION("""COMPUTED_VALUE"""),"")</f>
        <v/>
      </c>
      <c r="E1575" t="str">
        <f>IFERROR(__xludf.DUMMYFUNCTION("""COMPUTED_VALUE"""),"")</f>
        <v/>
      </c>
      <c r="F1575" t="str">
        <f>IFERROR(__xludf.DUMMYFUNCTION("""COMPUTED_VALUE"""),"")</f>
        <v/>
      </c>
      <c r="G1575" t="str">
        <f>IFERROR(__xludf.DUMMYFUNCTION("""COMPUTED_VALUE"""),"")</f>
        <v/>
      </c>
      <c r="H1575" s="2" t="str">
        <f>IFERROR(__xludf.DUMMYFUNCTION("""COMPUTED_VALUE"""),"")</f>
        <v/>
      </c>
      <c r="I1575" s="2" t="str">
        <f>IFERROR(__xludf.DUMMYFUNCTION("""COMPUTED_VALUE"""),"")</f>
        <v/>
      </c>
      <c r="J1575" s="2">
        <f>IFERROR(__xludf.DUMMYFUNCTION("""COMPUTED_VALUE"""),0.0)</f>
        <v>0</v>
      </c>
      <c r="K1575" s="5" t="str">
        <f>IFERROR(__xludf.DUMMYFUNCTION("""COMPUTED_VALUE"""),"")</f>
        <v/>
      </c>
      <c r="L1575" t="str">
        <f>IFERROR(__xludf.DUMMYFUNCTION("""COMPUTED_VALUE"""),"")</f>
        <v/>
      </c>
      <c r="M1575" t="str">
        <f>IFERROR(__xludf.DUMMYFUNCTION("""COMPUTED_VALUE"""),"")</f>
        <v/>
      </c>
      <c r="N1575" t="str">
        <f>IFERROR(__xludf.DUMMYFUNCTION("""COMPUTED_VALUE"""),"")</f>
        <v/>
      </c>
      <c r="O1575" t="str">
        <f>IFERROR(__xludf.DUMMYFUNCTION("""COMPUTED_VALUE"""),"")</f>
        <v/>
      </c>
      <c r="P1575" t="str">
        <f>IFERROR(__xludf.DUMMYFUNCTION("""COMPUTED_VALUE"""),"ID ")</f>
        <v>ID </v>
      </c>
    </row>
    <row r="1576">
      <c r="A1576" s="6" t="str">
        <f>IFERROR(__xludf.DUMMYFUNCTION("""COMPUTED_VALUE"""),"")</f>
        <v/>
      </c>
      <c r="C1576" t="str">
        <f>IFERROR(__xludf.DUMMYFUNCTION("""COMPUTED_VALUE"""),"")</f>
        <v/>
      </c>
      <c r="D1576" t="str">
        <f>IFERROR(__xludf.DUMMYFUNCTION("""COMPUTED_VALUE"""),"")</f>
        <v/>
      </c>
      <c r="E1576" t="str">
        <f>IFERROR(__xludf.DUMMYFUNCTION("""COMPUTED_VALUE"""),"")</f>
        <v/>
      </c>
      <c r="F1576" t="str">
        <f>IFERROR(__xludf.DUMMYFUNCTION("""COMPUTED_VALUE"""),"")</f>
        <v/>
      </c>
      <c r="G1576" t="str">
        <f>IFERROR(__xludf.DUMMYFUNCTION("""COMPUTED_VALUE"""),"")</f>
        <v/>
      </c>
      <c r="H1576" s="2" t="str">
        <f>IFERROR(__xludf.DUMMYFUNCTION("""COMPUTED_VALUE"""),"")</f>
        <v/>
      </c>
      <c r="I1576" s="2" t="str">
        <f>IFERROR(__xludf.DUMMYFUNCTION("""COMPUTED_VALUE"""),"")</f>
        <v/>
      </c>
      <c r="J1576" s="2">
        <f>IFERROR(__xludf.DUMMYFUNCTION("""COMPUTED_VALUE"""),0.0)</f>
        <v>0</v>
      </c>
      <c r="K1576" s="5" t="str">
        <f>IFERROR(__xludf.DUMMYFUNCTION("""COMPUTED_VALUE"""),"")</f>
        <v/>
      </c>
      <c r="L1576" t="str">
        <f>IFERROR(__xludf.DUMMYFUNCTION("""COMPUTED_VALUE"""),"")</f>
        <v/>
      </c>
      <c r="M1576" t="str">
        <f>IFERROR(__xludf.DUMMYFUNCTION("""COMPUTED_VALUE"""),"")</f>
        <v/>
      </c>
      <c r="N1576" t="str">
        <f>IFERROR(__xludf.DUMMYFUNCTION("""COMPUTED_VALUE"""),"")</f>
        <v/>
      </c>
      <c r="O1576" t="str">
        <f>IFERROR(__xludf.DUMMYFUNCTION("""COMPUTED_VALUE"""),"")</f>
        <v/>
      </c>
      <c r="P1576" t="str">
        <f>IFERROR(__xludf.DUMMYFUNCTION("""COMPUTED_VALUE"""),"ID ")</f>
        <v>ID </v>
      </c>
    </row>
    <row r="1577">
      <c r="A1577" s="6" t="str">
        <f>IFERROR(__xludf.DUMMYFUNCTION("""COMPUTED_VALUE"""),"")</f>
        <v/>
      </c>
      <c r="C1577" t="str">
        <f>IFERROR(__xludf.DUMMYFUNCTION("""COMPUTED_VALUE"""),"")</f>
        <v/>
      </c>
      <c r="D1577" t="str">
        <f>IFERROR(__xludf.DUMMYFUNCTION("""COMPUTED_VALUE"""),"")</f>
        <v/>
      </c>
      <c r="E1577" t="str">
        <f>IFERROR(__xludf.DUMMYFUNCTION("""COMPUTED_VALUE"""),"")</f>
        <v/>
      </c>
      <c r="F1577" t="str">
        <f>IFERROR(__xludf.DUMMYFUNCTION("""COMPUTED_VALUE"""),"")</f>
        <v/>
      </c>
      <c r="G1577" t="str">
        <f>IFERROR(__xludf.DUMMYFUNCTION("""COMPUTED_VALUE"""),"")</f>
        <v/>
      </c>
      <c r="H1577" s="2" t="str">
        <f>IFERROR(__xludf.DUMMYFUNCTION("""COMPUTED_VALUE"""),"")</f>
        <v/>
      </c>
      <c r="I1577" s="2" t="str">
        <f>IFERROR(__xludf.DUMMYFUNCTION("""COMPUTED_VALUE"""),"")</f>
        <v/>
      </c>
      <c r="J1577" s="2">
        <f>IFERROR(__xludf.DUMMYFUNCTION("""COMPUTED_VALUE"""),0.0)</f>
        <v>0</v>
      </c>
      <c r="K1577" s="5" t="str">
        <f>IFERROR(__xludf.DUMMYFUNCTION("""COMPUTED_VALUE"""),"")</f>
        <v/>
      </c>
      <c r="L1577" t="str">
        <f>IFERROR(__xludf.DUMMYFUNCTION("""COMPUTED_VALUE"""),"")</f>
        <v/>
      </c>
      <c r="M1577" t="str">
        <f>IFERROR(__xludf.DUMMYFUNCTION("""COMPUTED_VALUE"""),"")</f>
        <v/>
      </c>
      <c r="N1577" t="str">
        <f>IFERROR(__xludf.DUMMYFUNCTION("""COMPUTED_VALUE"""),"")</f>
        <v/>
      </c>
      <c r="O1577" t="str">
        <f>IFERROR(__xludf.DUMMYFUNCTION("""COMPUTED_VALUE"""),"")</f>
        <v/>
      </c>
      <c r="P1577" t="str">
        <f>IFERROR(__xludf.DUMMYFUNCTION("""COMPUTED_VALUE"""),"ID ")</f>
        <v>ID </v>
      </c>
    </row>
    <row r="1578">
      <c r="A1578" s="6" t="str">
        <f>IFERROR(__xludf.DUMMYFUNCTION("""COMPUTED_VALUE"""),"")</f>
        <v/>
      </c>
      <c r="C1578" t="str">
        <f>IFERROR(__xludf.DUMMYFUNCTION("""COMPUTED_VALUE"""),"")</f>
        <v/>
      </c>
      <c r="D1578" t="str">
        <f>IFERROR(__xludf.DUMMYFUNCTION("""COMPUTED_VALUE"""),"")</f>
        <v/>
      </c>
      <c r="E1578" t="str">
        <f>IFERROR(__xludf.DUMMYFUNCTION("""COMPUTED_VALUE"""),"")</f>
        <v/>
      </c>
      <c r="F1578" t="str">
        <f>IFERROR(__xludf.DUMMYFUNCTION("""COMPUTED_VALUE"""),"")</f>
        <v/>
      </c>
      <c r="G1578" t="str">
        <f>IFERROR(__xludf.DUMMYFUNCTION("""COMPUTED_VALUE"""),"")</f>
        <v/>
      </c>
      <c r="H1578" s="2" t="str">
        <f>IFERROR(__xludf.DUMMYFUNCTION("""COMPUTED_VALUE"""),"")</f>
        <v/>
      </c>
      <c r="I1578" s="2" t="str">
        <f>IFERROR(__xludf.DUMMYFUNCTION("""COMPUTED_VALUE"""),"")</f>
        <v/>
      </c>
      <c r="J1578" s="2">
        <f>IFERROR(__xludf.DUMMYFUNCTION("""COMPUTED_VALUE"""),0.0)</f>
        <v>0</v>
      </c>
      <c r="K1578" s="5" t="str">
        <f>IFERROR(__xludf.DUMMYFUNCTION("""COMPUTED_VALUE"""),"")</f>
        <v/>
      </c>
      <c r="L1578" t="str">
        <f>IFERROR(__xludf.DUMMYFUNCTION("""COMPUTED_VALUE"""),"")</f>
        <v/>
      </c>
      <c r="M1578" t="str">
        <f>IFERROR(__xludf.DUMMYFUNCTION("""COMPUTED_VALUE"""),"")</f>
        <v/>
      </c>
      <c r="N1578" t="str">
        <f>IFERROR(__xludf.DUMMYFUNCTION("""COMPUTED_VALUE"""),"")</f>
        <v/>
      </c>
      <c r="O1578" t="str">
        <f>IFERROR(__xludf.DUMMYFUNCTION("""COMPUTED_VALUE"""),"")</f>
        <v/>
      </c>
      <c r="P1578" t="str">
        <f>IFERROR(__xludf.DUMMYFUNCTION("""COMPUTED_VALUE"""),"ID ")</f>
        <v>ID </v>
      </c>
    </row>
    <row r="1579">
      <c r="A1579" s="6" t="str">
        <f>IFERROR(__xludf.DUMMYFUNCTION("""COMPUTED_VALUE"""),"")</f>
        <v/>
      </c>
      <c r="C1579" t="str">
        <f>IFERROR(__xludf.DUMMYFUNCTION("""COMPUTED_VALUE"""),"")</f>
        <v/>
      </c>
      <c r="D1579" t="str">
        <f>IFERROR(__xludf.DUMMYFUNCTION("""COMPUTED_VALUE"""),"")</f>
        <v/>
      </c>
      <c r="E1579" t="str">
        <f>IFERROR(__xludf.DUMMYFUNCTION("""COMPUTED_VALUE"""),"")</f>
        <v/>
      </c>
      <c r="F1579" t="str">
        <f>IFERROR(__xludf.DUMMYFUNCTION("""COMPUTED_VALUE"""),"")</f>
        <v/>
      </c>
      <c r="G1579" t="str">
        <f>IFERROR(__xludf.DUMMYFUNCTION("""COMPUTED_VALUE"""),"")</f>
        <v/>
      </c>
      <c r="H1579" s="2" t="str">
        <f>IFERROR(__xludf.DUMMYFUNCTION("""COMPUTED_VALUE"""),"")</f>
        <v/>
      </c>
      <c r="I1579" s="2" t="str">
        <f>IFERROR(__xludf.DUMMYFUNCTION("""COMPUTED_VALUE"""),"")</f>
        <v/>
      </c>
      <c r="J1579" s="2">
        <f>IFERROR(__xludf.DUMMYFUNCTION("""COMPUTED_VALUE"""),0.0)</f>
        <v>0</v>
      </c>
      <c r="K1579" s="5" t="str">
        <f>IFERROR(__xludf.DUMMYFUNCTION("""COMPUTED_VALUE"""),"")</f>
        <v/>
      </c>
      <c r="L1579" t="str">
        <f>IFERROR(__xludf.DUMMYFUNCTION("""COMPUTED_VALUE"""),"")</f>
        <v/>
      </c>
      <c r="M1579" t="str">
        <f>IFERROR(__xludf.DUMMYFUNCTION("""COMPUTED_VALUE"""),"")</f>
        <v/>
      </c>
      <c r="N1579" t="str">
        <f>IFERROR(__xludf.DUMMYFUNCTION("""COMPUTED_VALUE"""),"")</f>
        <v/>
      </c>
      <c r="O1579" t="str">
        <f>IFERROR(__xludf.DUMMYFUNCTION("""COMPUTED_VALUE"""),"")</f>
        <v/>
      </c>
      <c r="P1579" t="str">
        <f>IFERROR(__xludf.DUMMYFUNCTION("""COMPUTED_VALUE"""),"ID ")</f>
        <v>ID </v>
      </c>
    </row>
    <row r="1580">
      <c r="A1580" s="6" t="str">
        <f>IFERROR(__xludf.DUMMYFUNCTION("""COMPUTED_VALUE"""),"")</f>
        <v/>
      </c>
      <c r="C1580" t="str">
        <f>IFERROR(__xludf.DUMMYFUNCTION("""COMPUTED_VALUE"""),"")</f>
        <v/>
      </c>
      <c r="D1580" t="str">
        <f>IFERROR(__xludf.DUMMYFUNCTION("""COMPUTED_VALUE"""),"")</f>
        <v/>
      </c>
      <c r="E1580" t="str">
        <f>IFERROR(__xludf.DUMMYFUNCTION("""COMPUTED_VALUE"""),"")</f>
        <v/>
      </c>
      <c r="F1580" t="str">
        <f>IFERROR(__xludf.DUMMYFUNCTION("""COMPUTED_VALUE"""),"")</f>
        <v/>
      </c>
      <c r="G1580" t="str">
        <f>IFERROR(__xludf.DUMMYFUNCTION("""COMPUTED_VALUE"""),"")</f>
        <v/>
      </c>
      <c r="H1580" s="2" t="str">
        <f>IFERROR(__xludf.DUMMYFUNCTION("""COMPUTED_VALUE"""),"")</f>
        <v/>
      </c>
      <c r="I1580" s="2" t="str">
        <f>IFERROR(__xludf.DUMMYFUNCTION("""COMPUTED_VALUE"""),"")</f>
        <v/>
      </c>
      <c r="J1580" s="2">
        <f>IFERROR(__xludf.DUMMYFUNCTION("""COMPUTED_VALUE"""),0.0)</f>
        <v>0</v>
      </c>
      <c r="K1580" s="5" t="str">
        <f>IFERROR(__xludf.DUMMYFUNCTION("""COMPUTED_VALUE"""),"")</f>
        <v/>
      </c>
      <c r="L1580" t="str">
        <f>IFERROR(__xludf.DUMMYFUNCTION("""COMPUTED_VALUE"""),"")</f>
        <v/>
      </c>
      <c r="M1580" t="str">
        <f>IFERROR(__xludf.DUMMYFUNCTION("""COMPUTED_VALUE"""),"")</f>
        <v/>
      </c>
      <c r="N1580" t="str">
        <f>IFERROR(__xludf.DUMMYFUNCTION("""COMPUTED_VALUE"""),"")</f>
        <v/>
      </c>
      <c r="O1580" t="str">
        <f>IFERROR(__xludf.DUMMYFUNCTION("""COMPUTED_VALUE"""),"")</f>
        <v/>
      </c>
      <c r="P1580" t="str">
        <f>IFERROR(__xludf.DUMMYFUNCTION("""COMPUTED_VALUE"""),"ID ")</f>
        <v>ID </v>
      </c>
    </row>
    <row r="1581">
      <c r="A1581" s="6" t="str">
        <f>IFERROR(__xludf.DUMMYFUNCTION("""COMPUTED_VALUE"""),"")</f>
        <v/>
      </c>
      <c r="C1581" t="str">
        <f>IFERROR(__xludf.DUMMYFUNCTION("""COMPUTED_VALUE"""),"")</f>
        <v/>
      </c>
      <c r="D1581" t="str">
        <f>IFERROR(__xludf.DUMMYFUNCTION("""COMPUTED_VALUE"""),"")</f>
        <v/>
      </c>
      <c r="E1581" t="str">
        <f>IFERROR(__xludf.DUMMYFUNCTION("""COMPUTED_VALUE"""),"")</f>
        <v/>
      </c>
      <c r="F1581" t="str">
        <f>IFERROR(__xludf.DUMMYFUNCTION("""COMPUTED_VALUE"""),"")</f>
        <v/>
      </c>
      <c r="G1581" t="str">
        <f>IFERROR(__xludf.DUMMYFUNCTION("""COMPUTED_VALUE"""),"")</f>
        <v/>
      </c>
      <c r="H1581" s="2" t="str">
        <f>IFERROR(__xludf.DUMMYFUNCTION("""COMPUTED_VALUE"""),"")</f>
        <v/>
      </c>
      <c r="I1581" s="2" t="str">
        <f>IFERROR(__xludf.DUMMYFUNCTION("""COMPUTED_VALUE"""),"")</f>
        <v/>
      </c>
      <c r="J1581" s="2">
        <f>IFERROR(__xludf.DUMMYFUNCTION("""COMPUTED_VALUE"""),0.0)</f>
        <v>0</v>
      </c>
      <c r="K1581" s="5" t="str">
        <f>IFERROR(__xludf.DUMMYFUNCTION("""COMPUTED_VALUE"""),"")</f>
        <v/>
      </c>
      <c r="L1581" t="str">
        <f>IFERROR(__xludf.DUMMYFUNCTION("""COMPUTED_VALUE"""),"")</f>
        <v/>
      </c>
      <c r="M1581" t="str">
        <f>IFERROR(__xludf.DUMMYFUNCTION("""COMPUTED_VALUE"""),"")</f>
        <v/>
      </c>
      <c r="N1581" t="str">
        <f>IFERROR(__xludf.DUMMYFUNCTION("""COMPUTED_VALUE"""),"")</f>
        <v/>
      </c>
      <c r="O1581" t="str">
        <f>IFERROR(__xludf.DUMMYFUNCTION("""COMPUTED_VALUE"""),"")</f>
        <v/>
      </c>
      <c r="P1581" t="str">
        <f>IFERROR(__xludf.DUMMYFUNCTION("""COMPUTED_VALUE"""),"ID ")</f>
        <v>ID </v>
      </c>
    </row>
    <row r="1582">
      <c r="A1582" s="6" t="str">
        <f>IFERROR(__xludf.DUMMYFUNCTION("""COMPUTED_VALUE"""),"")</f>
        <v/>
      </c>
      <c r="C1582" t="str">
        <f>IFERROR(__xludf.DUMMYFUNCTION("""COMPUTED_VALUE"""),"")</f>
        <v/>
      </c>
      <c r="D1582" t="str">
        <f>IFERROR(__xludf.DUMMYFUNCTION("""COMPUTED_VALUE"""),"")</f>
        <v/>
      </c>
      <c r="E1582" t="str">
        <f>IFERROR(__xludf.DUMMYFUNCTION("""COMPUTED_VALUE"""),"")</f>
        <v/>
      </c>
      <c r="F1582" t="str">
        <f>IFERROR(__xludf.DUMMYFUNCTION("""COMPUTED_VALUE"""),"")</f>
        <v/>
      </c>
      <c r="G1582" t="str">
        <f>IFERROR(__xludf.DUMMYFUNCTION("""COMPUTED_VALUE"""),"")</f>
        <v/>
      </c>
      <c r="H1582" s="2" t="str">
        <f>IFERROR(__xludf.DUMMYFUNCTION("""COMPUTED_VALUE"""),"")</f>
        <v/>
      </c>
      <c r="I1582" s="2" t="str">
        <f>IFERROR(__xludf.DUMMYFUNCTION("""COMPUTED_VALUE"""),"")</f>
        <v/>
      </c>
      <c r="J1582" s="2">
        <f>IFERROR(__xludf.DUMMYFUNCTION("""COMPUTED_VALUE"""),0.0)</f>
        <v>0</v>
      </c>
      <c r="K1582" s="5" t="str">
        <f>IFERROR(__xludf.DUMMYFUNCTION("""COMPUTED_VALUE"""),"")</f>
        <v/>
      </c>
      <c r="L1582" t="str">
        <f>IFERROR(__xludf.DUMMYFUNCTION("""COMPUTED_VALUE"""),"")</f>
        <v/>
      </c>
      <c r="M1582" t="str">
        <f>IFERROR(__xludf.DUMMYFUNCTION("""COMPUTED_VALUE"""),"")</f>
        <v/>
      </c>
      <c r="N1582" t="str">
        <f>IFERROR(__xludf.DUMMYFUNCTION("""COMPUTED_VALUE"""),"")</f>
        <v/>
      </c>
      <c r="O1582" t="str">
        <f>IFERROR(__xludf.DUMMYFUNCTION("""COMPUTED_VALUE"""),"")</f>
        <v/>
      </c>
      <c r="P1582" t="str">
        <f>IFERROR(__xludf.DUMMYFUNCTION("""COMPUTED_VALUE"""),"ID ")</f>
        <v>ID </v>
      </c>
    </row>
    <row r="1583">
      <c r="A1583" s="6" t="str">
        <f>IFERROR(__xludf.DUMMYFUNCTION("""COMPUTED_VALUE"""),"")</f>
        <v/>
      </c>
      <c r="C1583" t="str">
        <f>IFERROR(__xludf.DUMMYFUNCTION("""COMPUTED_VALUE"""),"")</f>
        <v/>
      </c>
      <c r="D1583" t="str">
        <f>IFERROR(__xludf.DUMMYFUNCTION("""COMPUTED_VALUE"""),"")</f>
        <v/>
      </c>
      <c r="E1583" t="str">
        <f>IFERROR(__xludf.DUMMYFUNCTION("""COMPUTED_VALUE"""),"")</f>
        <v/>
      </c>
      <c r="F1583" t="str">
        <f>IFERROR(__xludf.DUMMYFUNCTION("""COMPUTED_VALUE"""),"")</f>
        <v/>
      </c>
      <c r="G1583" t="str">
        <f>IFERROR(__xludf.DUMMYFUNCTION("""COMPUTED_VALUE"""),"")</f>
        <v/>
      </c>
      <c r="H1583" s="2" t="str">
        <f>IFERROR(__xludf.DUMMYFUNCTION("""COMPUTED_VALUE"""),"")</f>
        <v/>
      </c>
      <c r="I1583" s="2" t="str">
        <f>IFERROR(__xludf.DUMMYFUNCTION("""COMPUTED_VALUE"""),"")</f>
        <v/>
      </c>
      <c r="J1583" s="2">
        <f>IFERROR(__xludf.DUMMYFUNCTION("""COMPUTED_VALUE"""),0.0)</f>
        <v>0</v>
      </c>
      <c r="K1583" s="5" t="str">
        <f>IFERROR(__xludf.DUMMYFUNCTION("""COMPUTED_VALUE"""),"")</f>
        <v/>
      </c>
      <c r="L1583" t="str">
        <f>IFERROR(__xludf.DUMMYFUNCTION("""COMPUTED_VALUE"""),"")</f>
        <v/>
      </c>
      <c r="M1583" t="str">
        <f>IFERROR(__xludf.DUMMYFUNCTION("""COMPUTED_VALUE"""),"")</f>
        <v/>
      </c>
      <c r="N1583" t="str">
        <f>IFERROR(__xludf.DUMMYFUNCTION("""COMPUTED_VALUE"""),"")</f>
        <v/>
      </c>
      <c r="O1583" t="str">
        <f>IFERROR(__xludf.DUMMYFUNCTION("""COMPUTED_VALUE"""),"")</f>
        <v/>
      </c>
      <c r="P1583" t="str">
        <f>IFERROR(__xludf.DUMMYFUNCTION("""COMPUTED_VALUE"""),"ID ")</f>
        <v>ID </v>
      </c>
    </row>
    <row r="1584">
      <c r="A1584" s="6" t="str">
        <f>IFERROR(__xludf.DUMMYFUNCTION("""COMPUTED_VALUE"""),"")</f>
        <v/>
      </c>
      <c r="C1584" t="str">
        <f>IFERROR(__xludf.DUMMYFUNCTION("""COMPUTED_VALUE"""),"")</f>
        <v/>
      </c>
      <c r="D1584" t="str">
        <f>IFERROR(__xludf.DUMMYFUNCTION("""COMPUTED_VALUE"""),"")</f>
        <v/>
      </c>
      <c r="E1584" t="str">
        <f>IFERROR(__xludf.DUMMYFUNCTION("""COMPUTED_VALUE"""),"")</f>
        <v/>
      </c>
      <c r="F1584" t="str">
        <f>IFERROR(__xludf.DUMMYFUNCTION("""COMPUTED_VALUE"""),"")</f>
        <v/>
      </c>
      <c r="G1584" t="str">
        <f>IFERROR(__xludf.DUMMYFUNCTION("""COMPUTED_VALUE"""),"")</f>
        <v/>
      </c>
      <c r="H1584" s="2" t="str">
        <f>IFERROR(__xludf.DUMMYFUNCTION("""COMPUTED_VALUE"""),"")</f>
        <v/>
      </c>
      <c r="I1584" s="2" t="str">
        <f>IFERROR(__xludf.DUMMYFUNCTION("""COMPUTED_VALUE"""),"")</f>
        <v/>
      </c>
      <c r="J1584" s="2">
        <f>IFERROR(__xludf.DUMMYFUNCTION("""COMPUTED_VALUE"""),0.0)</f>
        <v>0</v>
      </c>
      <c r="K1584" s="5" t="str">
        <f>IFERROR(__xludf.DUMMYFUNCTION("""COMPUTED_VALUE"""),"")</f>
        <v/>
      </c>
      <c r="L1584" t="str">
        <f>IFERROR(__xludf.DUMMYFUNCTION("""COMPUTED_VALUE"""),"")</f>
        <v/>
      </c>
      <c r="M1584" t="str">
        <f>IFERROR(__xludf.DUMMYFUNCTION("""COMPUTED_VALUE"""),"")</f>
        <v/>
      </c>
      <c r="N1584" t="str">
        <f>IFERROR(__xludf.DUMMYFUNCTION("""COMPUTED_VALUE"""),"")</f>
        <v/>
      </c>
      <c r="O1584" t="str">
        <f>IFERROR(__xludf.DUMMYFUNCTION("""COMPUTED_VALUE"""),"")</f>
        <v/>
      </c>
      <c r="P1584" t="str">
        <f>IFERROR(__xludf.DUMMYFUNCTION("""COMPUTED_VALUE"""),"ID ")</f>
        <v>ID </v>
      </c>
    </row>
    <row r="1585">
      <c r="A1585" s="6" t="str">
        <f>IFERROR(__xludf.DUMMYFUNCTION("""COMPUTED_VALUE"""),"")</f>
        <v/>
      </c>
      <c r="C1585" t="str">
        <f>IFERROR(__xludf.DUMMYFUNCTION("""COMPUTED_VALUE"""),"")</f>
        <v/>
      </c>
      <c r="D1585" t="str">
        <f>IFERROR(__xludf.DUMMYFUNCTION("""COMPUTED_VALUE"""),"")</f>
        <v/>
      </c>
      <c r="E1585" t="str">
        <f>IFERROR(__xludf.DUMMYFUNCTION("""COMPUTED_VALUE"""),"")</f>
        <v/>
      </c>
      <c r="F1585" t="str">
        <f>IFERROR(__xludf.DUMMYFUNCTION("""COMPUTED_VALUE"""),"")</f>
        <v/>
      </c>
      <c r="G1585" t="str">
        <f>IFERROR(__xludf.DUMMYFUNCTION("""COMPUTED_VALUE"""),"")</f>
        <v/>
      </c>
      <c r="H1585" s="2" t="str">
        <f>IFERROR(__xludf.DUMMYFUNCTION("""COMPUTED_VALUE"""),"")</f>
        <v/>
      </c>
      <c r="I1585" s="2" t="str">
        <f>IFERROR(__xludf.DUMMYFUNCTION("""COMPUTED_VALUE"""),"")</f>
        <v/>
      </c>
      <c r="J1585" s="2">
        <f>IFERROR(__xludf.DUMMYFUNCTION("""COMPUTED_VALUE"""),0.0)</f>
        <v>0</v>
      </c>
      <c r="K1585" s="5" t="str">
        <f>IFERROR(__xludf.DUMMYFUNCTION("""COMPUTED_VALUE"""),"")</f>
        <v/>
      </c>
      <c r="L1585" t="str">
        <f>IFERROR(__xludf.DUMMYFUNCTION("""COMPUTED_VALUE"""),"")</f>
        <v/>
      </c>
      <c r="M1585" t="str">
        <f>IFERROR(__xludf.DUMMYFUNCTION("""COMPUTED_VALUE"""),"")</f>
        <v/>
      </c>
      <c r="N1585" t="str">
        <f>IFERROR(__xludf.DUMMYFUNCTION("""COMPUTED_VALUE"""),"")</f>
        <v/>
      </c>
      <c r="O1585" t="str">
        <f>IFERROR(__xludf.DUMMYFUNCTION("""COMPUTED_VALUE"""),"")</f>
        <v/>
      </c>
      <c r="P1585" t="str">
        <f>IFERROR(__xludf.DUMMYFUNCTION("""COMPUTED_VALUE"""),"ID ")</f>
        <v>ID </v>
      </c>
    </row>
    <row r="1586">
      <c r="A1586" s="6" t="str">
        <f>IFERROR(__xludf.DUMMYFUNCTION("""COMPUTED_VALUE"""),"")</f>
        <v/>
      </c>
      <c r="C1586" t="str">
        <f>IFERROR(__xludf.DUMMYFUNCTION("""COMPUTED_VALUE"""),"")</f>
        <v/>
      </c>
      <c r="D1586" t="str">
        <f>IFERROR(__xludf.DUMMYFUNCTION("""COMPUTED_VALUE"""),"")</f>
        <v/>
      </c>
      <c r="E1586" t="str">
        <f>IFERROR(__xludf.DUMMYFUNCTION("""COMPUTED_VALUE"""),"")</f>
        <v/>
      </c>
      <c r="F1586" t="str">
        <f>IFERROR(__xludf.DUMMYFUNCTION("""COMPUTED_VALUE"""),"")</f>
        <v/>
      </c>
      <c r="G1586" t="str">
        <f>IFERROR(__xludf.DUMMYFUNCTION("""COMPUTED_VALUE"""),"")</f>
        <v/>
      </c>
      <c r="H1586" s="2" t="str">
        <f>IFERROR(__xludf.DUMMYFUNCTION("""COMPUTED_VALUE"""),"")</f>
        <v/>
      </c>
      <c r="I1586" s="2" t="str">
        <f>IFERROR(__xludf.DUMMYFUNCTION("""COMPUTED_VALUE"""),"")</f>
        <v/>
      </c>
      <c r="J1586" s="2">
        <f>IFERROR(__xludf.DUMMYFUNCTION("""COMPUTED_VALUE"""),0.0)</f>
        <v>0</v>
      </c>
      <c r="K1586" s="5" t="str">
        <f>IFERROR(__xludf.DUMMYFUNCTION("""COMPUTED_VALUE"""),"")</f>
        <v/>
      </c>
      <c r="L1586" t="str">
        <f>IFERROR(__xludf.DUMMYFUNCTION("""COMPUTED_VALUE"""),"")</f>
        <v/>
      </c>
      <c r="M1586" t="str">
        <f>IFERROR(__xludf.DUMMYFUNCTION("""COMPUTED_VALUE"""),"")</f>
        <v/>
      </c>
      <c r="N1586" t="str">
        <f>IFERROR(__xludf.DUMMYFUNCTION("""COMPUTED_VALUE"""),"")</f>
        <v/>
      </c>
      <c r="O1586" t="str">
        <f>IFERROR(__xludf.DUMMYFUNCTION("""COMPUTED_VALUE"""),"")</f>
        <v/>
      </c>
      <c r="P1586" t="str">
        <f>IFERROR(__xludf.DUMMYFUNCTION("""COMPUTED_VALUE"""),"ID ")</f>
        <v>ID </v>
      </c>
    </row>
    <row r="1587">
      <c r="A1587" s="6" t="str">
        <f>IFERROR(__xludf.DUMMYFUNCTION("""COMPUTED_VALUE"""),"")</f>
        <v/>
      </c>
      <c r="C1587" t="str">
        <f>IFERROR(__xludf.DUMMYFUNCTION("""COMPUTED_VALUE"""),"")</f>
        <v/>
      </c>
      <c r="D1587" t="str">
        <f>IFERROR(__xludf.DUMMYFUNCTION("""COMPUTED_VALUE"""),"")</f>
        <v/>
      </c>
      <c r="E1587" t="str">
        <f>IFERROR(__xludf.DUMMYFUNCTION("""COMPUTED_VALUE"""),"")</f>
        <v/>
      </c>
      <c r="F1587" t="str">
        <f>IFERROR(__xludf.DUMMYFUNCTION("""COMPUTED_VALUE"""),"")</f>
        <v/>
      </c>
      <c r="G1587" t="str">
        <f>IFERROR(__xludf.DUMMYFUNCTION("""COMPUTED_VALUE"""),"")</f>
        <v/>
      </c>
      <c r="H1587" s="2" t="str">
        <f>IFERROR(__xludf.DUMMYFUNCTION("""COMPUTED_VALUE"""),"")</f>
        <v/>
      </c>
      <c r="I1587" s="2" t="str">
        <f>IFERROR(__xludf.DUMMYFUNCTION("""COMPUTED_VALUE"""),"")</f>
        <v/>
      </c>
      <c r="J1587" s="2">
        <f>IFERROR(__xludf.DUMMYFUNCTION("""COMPUTED_VALUE"""),0.0)</f>
        <v>0</v>
      </c>
      <c r="K1587" s="5" t="str">
        <f>IFERROR(__xludf.DUMMYFUNCTION("""COMPUTED_VALUE"""),"")</f>
        <v/>
      </c>
      <c r="L1587" t="str">
        <f>IFERROR(__xludf.DUMMYFUNCTION("""COMPUTED_VALUE"""),"")</f>
        <v/>
      </c>
      <c r="M1587" t="str">
        <f>IFERROR(__xludf.DUMMYFUNCTION("""COMPUTED_VALUE"""),"")</f>
        <v/>
      </c>
      <c r="N1587" t="str">
        <f>IFERROR(__xludf.DUMMYFUNCTION("""COMPUTED_VALUE"""),"")</f>
        <v/>
      </c>
      <c r="O1587" t="str">
        <f>IFERROR(__xludf.DUMMYFUNCTION("""COMPUTED_VALUE"""),"")</f>
        <v/>
      </c>
      <c r="P1587" t="str">
        <f>IFERROR(__xludf.DUMMYFUNCTION("""COMPUTED_VALUE"""),"ID ")</f>
        <v>ID </v>
      </c>
    </row>
    <row r="1588">
      <c r="A1588" s="6" t="str">
        <f>IFERROR(__xludf.DUMMYFUNCTION("""COMPUTED_VALUE"""),"")</f>
        <v/>
      </c>
      <c r="C1588" t="str">
        <f>IFERROR(__xludf.DUMMYFUNCTION("""COMPUTED_VALUE"""),"")</f>
        <v/>
      </c>
      <c r="D1588" t="str">
        <f>IFERROR(__xludf.DUMMYFUNCTION("""COMPUTED_VALUE"""),"")</f>
        <v/>
      </c>
      <c r="E1588" t="str">
        <f>IFERROR(__xludf.DUMMYFUNCTION("""COMPUTED_VALUE"""),"")</f>
        <v/>
      </c>
      <c r="F1588" t="str">
        <f>IFERROR(__xludf.DUMMYFUNCTION("""COMPUTED_VALUE"""),"")</f>
        <v/>
      </c>
      <c r="G1588" t="str">
        <f>IFERROR(__xludf.DUMMYFUNCTION("""COMPUTED_VALUE"""),"")</f>
        <v/>
      </c>
      <c r="H1588" s="2" t="str">
        <f>IFERROR(__xludf.DUMMYFUNCTION("""COMPUTED_VALUE"""),"")</f>
        <v/>
      </c>
      <c r="I1588" s="2" t="str">
        <f>IFERROR(__xludf.DUMMYFUNCTION("""COMPUTED_VALUE"""),"")</f>
        <v/>
      </c>
      <c r="J1588" s="2">
        <f>IFERROR(__xludf.DUMMYFUNCTION("""COMPUTED_VALUE"""),0.0)</f>
        <v>0</v>
      </c>
      <c r="K1588" s="5" t="str">
        <f>IFERROR(__xludf.DUMMYFUNCTION("""COMPUTED_VALUE"""),"")</f>
        <v/>
      </c>
      <c r="L1588" t="str">
        <f>IFERROR(__xludf.DUMMYFUNCTION("""COMPUTED_VALUE"""),"")</f>
        <v/>
      </c>
      <c r="M1588" t="str">
        <f>IFERROR(__xludf.DUMMYFUNCTION("""COMPUTED_VALUE"""),"")</f>
        <v/>
      </c>
      <c r="N1588" t="str">
        <f>IFERROR(__xludf.DUMMYFUNCTION("""COMPUTED_VALUE"""),"")</f>
        <v/>
      </c>
      <c r="O1588" t="str">
        <f>IFERROR(__xludf.DUMMYFUNCTION("""COMPUTED_VALUE"""),"")</f>
        <v/>
      </c>
      <c r="P1588" t="str">
        <f>IFERROR(__xludf.DUMMYFUNCTION("""COMPUTED_VALUE"""),"ID ")</f>
        <v>ID </v>
      </c>
    </row>
    <row r="1589">
      <c r="A1589" s="6" t="str">
        <f>IFERROR(__xludf.DUMMYFUNCTION("""COMPUTED_VALUE"""),"")</f>
        <v/>
      </c>
      <c r="C1589" t="str">
        <f>IFERROR(__xludf.DUMMYFUNCTION("""COMPUTED_VALUE"""),"")</f>
        <v/>
      </c>
      <c r="D1589" t="str">
        <f>IFERROR(__xludf.DUMMYFUNCTION("""COMPUTED_VALUE"""),"")</f>
        <v/>
      </c>
      <c r="E1589" t="str">
        <f>IFERROR(__xludf.DUMMYFUNCTION("""COMPUTED_VALUE"""),"")</f>
        <v/>
      </c>
      <c r="F1589" t="str">
        <f>IFERROR(__xludf.DUMMYFUNCTION("""COMPUTED_VALUE"""),"")</f>
        <v/>
      </c>
      <c r="G1589" t="str">
        <f>IFERROR(__xludf.DUMMYFUNCTION("""COMPUTED_VALUE"""),"")</f>
        <v/>
      </c>
      <c r="H1589" s="2" t="str">
        <f>IFERROR(__xludf.DUMMYFUNCTION("""COMPUTED_VALUE"""),"")</f>
        <v/>
      </c>
      <c r="I1589" s="2" t="str">
        <f>IFERROR(__xludf.DUMMYFUNCTION("""COMPUTED_VALUE"""),"")</f>
        <v/>
      </c>
      <c r="J1589" s="2">
        <f>IFERROR(__xludf.DUMMYFUNCTION("""COMPUTED_VALUE"""),0.0)</f>
        <v>0</v>
      </c>
      <c r="K1589" s="5" t="str">
        <f>IFERROR(__xludf.DUMMYFUNCTION("""COMPUTED_VALUE"""),"")</f>
        <v/>
      </c>
      <c r="L1589" t="str">
        <f>IFERROR(__xludf.DUMMYFUNCTION("""COMPUTED_VALUE"""),"")</f>
        <v/>
      </c>
      <c r="M1589" t="str">
        <f>IFERROR(__xludf.DUMMYFUNCTION("""COMPUTED_VALUE"""),"")</f>
        <v/>
      </c>
      <c r="N1589" t="str">
        <f>IFERROR(__xludf.DUMMYFUNCTION("""COMPUTED_VALUE"""),"")</f>
        <v/>
      </c>
      <c r="O1589" t="str">
        <f>IFERROR(__xludf.DUMMYFUNCTION("""COMPUTED_VALUE"""),"")</f>
        <v/>
      </c>
      <c r="P1589" t="str">
        <f>IFERROR(__xludf.DUMMYFUNCTION("""COMPUTED_VALUE"""),"ID ")</f>
        <v>ID </v>
      </c>
    </row>
    <row r="1590">
      <c r="A1590" s="6" t="str">
        <f>IFERROR(__xludf.DUMMYFUNCTION("""COMPUTED_VALUE"""),"")</f>
        <v/>
      </c>
      <c r="C1590" t="str">
        <f>IFERROR(__xludf.DUMMYFUNCTION("""COMPUTED_VALUE"""),"")</f>
        <v/>
      </c>
      <c r="D1590" t="str">
        <f>IFERROR(__xludf.DUMMYFUNCTION("""COMPUTED_VALUE"""),"")</f>
        <v/>
      </c>
      <c r="E1590" t="str">
        <f>IFERROR(__xludf.DUMMYFUNCTION("""COMPUTED_VALUE"""),"")</f>
        <v/>
      </c>
      <c r="F1590" t="str">
        <f>IFERROR(__xludf.DUMMYFUNCTION("""COMPUTED_VALUE"""),"")</f>
        <v/>
      </c>
      <c r="G1590" t="str">
        <f>IFERROR(__xludf.DUMMYFUNCTION("""COMPUTED_VALUE"""),"")</f>
        <v/>
      </c>
      <c r="H1590" s="2" t="str">
        <f>IFERROR(__xludf.DUMMYFUNCTION("""COMPUTED_VALUE"""),"")</f>
        <v/>
      </c>
      <c r="I1590" s="2" t="str">
        <f>IFERROR(__xludf.DUMMYFUNCTION("""COMPUTED_VALUE"""),"")</f>
        <v/>
      </c>
      <c r="J1590" s="2">
        <f>IFERROR(__xludf.DUMMYFUNCTION("""COMPUTED_VALUE"""),0.0)</f>
        <v>0</v>
      </c>
      <c r="K1590" s="5" t="str">
        <f>IFERROR(__xludf.DUMMYFUNCTION("""COMPUTED_VALUE"""),"")</f>
        <v/>
      </c>
      <c r="L1590" t="str">
        <f>IFERROR(__xludf.DUMMYFUNCTION("""COMPUTED_VALUE"""),"")</f>
        <v/>
      </c>
      <c r="M1590" t="str">
        <f>IFERROR(__xludf.DUMMYFUNCTION("""COMPUTED_VALUE"""),"")</f>
        <v/>
      </c>
      <c r="N1590" t="str">
        <f>IFERROR(__xludf.DUMMYFUNCTION("""COMPUTED_VALUE"""),"")</f>
        <v/>
      </c>
      <c r="O1590" t="str">
        <f>IFERROR(__xludf.DUMMYFUNCTION("""COMPUTED_VALUE"""),"")</f>
        <v/>
      </c>
      <c r="P1590" t="str">
        <f>IFERROR(__xludf.DUMMYFUNCTION("""COMPUTED_VALUE"""),"ID ")</f>
        <v>ID </v>
      </c>
    </row>
    <row r="1591">
      <c r="A1591" s="6" t="str">
        <f>IFERROR(__xludf.DUMMYFUNCTION("""COMPUTED_VALUE"""),"")</f>
        <v/>
      </c>
      <c r="C1591" t="str">
        <f>IFERROR(__xludf.DUMMYFUNCTION("""COMPUTED_VALUE"""),"")</f>
        <v/>
      </c>
      <c r="D1591" t="str">
        <f>IFERROR(__xludf.DUMMYFUNCTION("""COMPUTED_VALUE"""),"")</f>
        <v/>
      </c>
      <c r="E1591" t="str">
        <f>IFERROR(__xludf.DUMMYFUNCTION("""COMPUTED_VALUE"""),"")</f>
        <v/>
      </c>
      <c r="F1591" t="str">
        <f>IFERROR(__xludf.DUMMYFUNCTION("""COMPUTED_VALUE"""),"")</f>
        <v/>
      </c>
      <c r="G1591" t="str">
        <f>IFERROR(__xludf.DUMMYFUNCTION("""COMPUTED_VALUE"""),"")</f>
        <v/>
      </c>
      <c r="H1591" s="2" t="str">
        <f>IFERROR(__xludf.DUMMYFUNCTION("""COMPUTED_VALUE"""),"")</f>
        <v/>
      </c>
      <c r="I1591" s="2" t="str">
        <f>IFERROR(__xludf.DUMMYFUNCTION("""COMPUTED_VALUE"""),"")</f>
        <v/>
      </c>
      <c r="J1591" s="2">
        <f>IFERROR(__xludf.DUMMYFUNCTION("""COMPUTED_VALUE"""),0.0)</f>
        <v>0</v>
      </c>
      <c r="K1591" s="5" t="str">
        <f>IFERROR(__xludf.DUMMYFUNCTION("""COMPUTED_VALUE"""),"")</f>
        <v/>
      </c>
      <c r="L1591" t="str">
        <f>IFERROR(__xludf.DUMMYFUNCTION("""COMPUTED_VALUE"""),"")</f>
        <v/>
      </c>
      <c r="M1591" t="str">
        <f>IFERROR(__xludf.DUMMYFUNCTION("""COMPUTED_VALUE"""),"")</f>
        <v/>
      </c>
      <c r="N1591" t="str">
        <f>IFERROR(__xludf.DUMMYFUNCTION("""COMPUTED_VALUE"""),"")</f>
        <v/>
      </c>
      <c r="O1591" t="str">
        <f>IFERROR(__xludf.DUMMYFUNCTION("""COMPUTED_VALUE"""),"")</f>
        <v/>
      </c>
      <c r="P1591" t="str">
        <f>IFERROR(__xludf.DUMMYFUNCTION("""COMPUTED_VALUE"""),"ID ")</f>
        <v>ID </v>
      </c>
    </row>
    <row r="1592">
      <c r="A1592" s="6" t="str">
        <f>IFERROR(__xludf.DUMMYFUNCTION("""COMPUTED_VALUE"""),"")</f>
        <v/>
      </c>
      <c r="C1592" t="str">
        <f>IFERROR(__xludf.DUMMYFUNCTION("""COMPUTED_VALUE"""),"")</f>
        <v/>
      </c>
      <c r="D1592" t="str">
        <f>IFERROR(__xludf.DUMMYFUNCTION("""COMPUTED_VALUE"""),"")</f>
        <v/>
      </c>
      <c r="E1592" t="str">
        <f>IFERROR(__xludf.DUMMYFUNCTION("""COMPUTED_VALUE"""),"")</f>
        <v/>
      </c>
      <c r="F1592" t="str">
        <f>IFERROR(__xludf.DUMMYFUNCTION("""COMPUTED_VALUE"""),"")</f>
        <v/>
      </c>
      <c r="G1592" t="str">
        <f>IFERROR(__xludf.DUMMYFUNCTION("""COMPUTED_VALUE"""),"")</f>
        <v/>
      </c>
      <c r="H1592" s="2" t="str">
        <f>IFERROR(__xludf.DUMMYFUNCTION("""COMPUTED_VALUE"""),"")</f>
        <v/>
      </c>
      <c r="I1592" s="2" t="str">
        <f>IFERROR(__xludf.DUMMYFUNCTION("""COMPUTED_VALUE"""),"")</f>
        <v/>
      </c>
      <c r="J1592" s="2">
        <f>IFERROR(__xludf.DUMMYFUNCTION("""COMPUTED_VALUE"""),0.0)</f>
        <v>0</v>
      </c>
      <c r="K1592" s="5" t="str">
        <f>IFERROR(__xludf.DUMMYFUNCTION("""COMPUTED_VALUE"""),"")</f>
        <v/>
      </c>
      <c r="L1592" t="str">
        <f>IFERROR(__xludf.DUMMYFUNCTION("""COMPUTED_VALUE"""),"")</f>
        <v/>
      </c>
      <c r="M1592" t="str">
        <f>IFERROR(__xludf.DUMMYFUNCTION("""COMPUTED_VALUE"""),"")</f>
        <v/>
      </c>
      <c r="N1592" t="str">
        <f>IFERROR(__xludf.DUMMYFUNCTION("""COMPUTED_VALUE"""),"")</f>
        <v/>
      </c>
      <c r="O1592" t="str">
        <f>IFERROR(__xludf.DUMMYFUNCTION("""COMPUTED_VALUE"""),"")</f>
        <v/>
      </c>
      <c r="P1592" t="str">
        <f>IFERROR(__xludf.DUMMYFUNCTION("""COMPUTED_VALUE"""),"ID ")</f>
        <v>ID </v>
      </c>
    </row>
    <row r="1593">
      <c r="A1593" s="6" t="str">
        <f>IFERROR(__xludf.DUMMYFUNCTION("""COMPUTED_VALUE"""),"")</f>
        <v/>
      </c>
      <c r="C1593" t="str">
        <f>IFERROR(__xludf.DUMMYFUNCTION("""COMPUTED_VALUE"""),"")</f>
        <v/>
      </c>
      <c r="D1593" t="str">
        <f>IFERROR(__xludf.DUMMYFUNCTION("""COMPUTED_VALUE"""),"")</f>
        <v/>
      </c>
      <c r="E1593" t="str">
        <f>IFERROR(__xludf.DUMMYFUNCTION("""COMPUTED_VALUE"""),"")</f>
        <v/>
      </c>
      <c r="F1593" t="str">
        <f>IFERROR(__xludf.DUMMYFUNCTION("""COMPUTED_VALUE"""),"")</f>
        <v/>
      </c>
      <c r="G1593" t="str">
        <f>IFERROR(__xludf.DUMMYFUNCTION("""COMPUTED_VALUE"""),"")</f>
        <v/>
      </c>
      <c r="H1593" s="2" t="str">
        <f>IFERROR(__xludf.DUMMYFUNCTION("""COMPUTED_VALUE"""),"")</f>
        <v/>
      </c>
      <c r="I1593" s="2" t="str">
        <f>IFERROR(__xludf.DUMMYFUNCTION("""COMPUTED_VALUE"""),"")</f>
        <v/>
      </c>
      <c r="J1593" s="2">
        <f>IFERROR(__xludf.DUMMYFUNCTION("""COMPUTED_VALUE"""),0.0)</f>
        <v>0</v>
      </c>
      <c r="K1593" s="5" t="str">
        <f>IFERROR(__xludf.DUMMYFUNCTION("""COMPUTED_VALUE"""),"")</f>
        <v/>
      </c>
      <c r="L1593" t="str">
        <f>IFERROR(__xludf.DUMMYFUNCTION("""COMPUTED_VALUE"""),"")</f>
        <v/>
      </c>
      <c r="M1593" t="str">
        <f>IFERROR(__xludf.DUMMYFUNCTION("""COMPUTED_VALUE"""),"")</f>
        <v/>
      </c>
      <c r="N1593" t="str">
        <f>IFERROR(__xludf.DUMMYFUNCTION("""COMPUTED_VALUE"""),"")</f>
        <v/>
      </c>
      <c r="O1593" t="str">
        <f>IFERROR(__xludf.DUMMYFUNCTION("""COMPUTED_VALUE"""),"")</f>
        <v/>
      </c>
      <c r="P1593" t="str">
        <f>IFERROR(__xludf.DUMMYFUNCTION("""COMPUTED_VALUE"""),"ID ")</f>
        <v>ID </v>
      </c>
    </row>
    <row r="1594">
      <c r="A1594" s="6" t="str">
        <f>IFERROR(__xludf.DUMMYFUNCTION("""COMPUTED_VALUE"""),"")</f>
        <v/>
      </c>
      <c r="C1594" t="str">
        <f>IFERROR(__xludf.DUMMYFUNCTION("""COMPUTED_VALUE"""),"")</f>
        <v/>
      </c>
      <c r="D1594" t="str">
        <f>IFERROR(__xludf.DUMMYFUNCTION("""COMPUTED_VALUE"""),"")</f>
        <v/>
      </c>
      <c r="E1594" t="str">
        <f>IFERROR(__xludf.DUMMYFUNCTION("""COMPUTED_VALUE"""),"")</f>
        <v/>
      </c>
      <c r="F1594" t="str">
        <f>IFERROR(__xludf.DUMMYFUNCTION("""COMPUTED_VALUE"""),"")</f>
        <v/>
      </c>
      <c r="G1594" t="str">
        <f>IFERROR(__xludf.DUMMYFUNCTION("""COMPUTED_VALUE"""),"")</f>
        <v/>
      </c>
      <c r="H1594" s="2" t="str">
        <f>IFERROR(__xludf.DUMMYFUNCTION("""COMPUTED_VALUE"""),"")</f>
        <v/>
      </c>
      <c r="I1594" s="2" t="str">
        <f>IFERROR(__xludf.DUMMYFUNCTION("""COMPUTED_VALUE"""),"")</f>
        <v/>
      </c>
      <c r="J1594" s="2">
        <f>IFERROR(__xludf.DUMMYFUNCTION("""COMPUTED_VALUE"""),0.0)</f>
        <v>0</v>
      </c>
      <c r="K1594" s="5" t="str">
        <f>IFERROR(__xludf.DUMMYFUNCTION("""COMPUTED_VALUE"""),"")</f>
        <v/>
      </c>
      <c r="L1594" t="str">
        <f>IFERROR(__xludf.DUMMYFUNCTION("""COMPUTED_VALUE"""),"")</f>
        <v/>
      </c>
      <c r="M1594" t="str">
        <f>IFERROR(__xludf.DUMMYFUNCTION("""COMPUTED_VALUE"""),"")</f>
        <v/>
      </c>
      <c r="N1594" t="str">
        <f>IFERROR(__xludf.DUMMYFUNCTION("""COMPUTED_VALUE"""),"")</f>
        <v/>
      </c>
      <c r="O1594" t="str">
        <f>IFERROR(__xludf.DUMMYFUNCTION("""COMPUTED_VALUE"""),"")</f>
        <v/>
      </c>
      <c r="P1594" t="str">
        <f>IFERROR(__xludf.DUMMYFUNCTION("""COMPUTED_VALUE"""),"ID ")</f>
        <v>ID </v>
      </c>
    </row>
    <row r="1595">
      <c r="A1595" s="6" t="str">
        <f>IFERROR(__xludf.DUMMYFUNCTION("""COMPUTED_VALUE"""),"")</f>
        <v/>
      </c>
      <c r="C1595" t="str">
        <f>IFERROR(__xludf.DUMMYFUNCTION("""COMPUTED_VALUE"""),"")</f>
        <v/>
      </c>
      <c r="D1595" t="str">
        <f>IFERROR(__xludf.DUMMYFUNCTION("""COMPUTED_VALUE"""),"")</f>
        <v/>
      </c>
      <c r="E1595" t="str">
        <f>IFERROR(__xludf.DUMMYFUNCTION("""COMPUTED_VALUE"""),"")</f>
        <v/>
      </c>
      <c r="F1595" t="str">
        <f>IFERROR(__xludf.DUMMYFUNCTION("""COMPUTED_VALUE"""),"")</f>
        <v/>
      </c>
      <c r="G1595" t="str">
        <f>IFERROR(__xludf.DUMMYFUNCTION("""COMPUTED_VALUE"""),"")</f>
        <v/>
      </c>
      <c r="H1595" s="2" t="str">
        <f>IFERROR(__xludf.DUMMYFUNCTION("""COMPUTED_VALUE"""),"")</f>
        <v/>
      </c>
      <c r="I1595" s="2" t="str">
        <f>IFERROR(__xludf.DUMMYFUNCTION("""COMPUTED_VALUE"""),"")</f>
        <v/>
      </c>
      <c r="J1595" s="2">
        <f>IFERROR(__xludf.DUMMYFUNCTION("""COMPUTED_VALUE"""),0.0)</f>
        <v>0</v>
      </c>
      <c r="K1595" s="5" t="str">
        <f>IFERROR(__xludf.DUMMYFUNCTION("""COMPUTED_VALUE"""),"")</f>
        <v/>
      </c>
      <c r="L1595" t="str">
        <f>IFERROR(__xludf.DUMMYFUNCTION("""COMPUTED_VALUE"""),"")</f>
        <v/>
      </c>
      <c r="M1595" t="str">
        <f>IFERROR(__xludf.DUMMYFUNCTION("""COMPUTED_VALUE"""),"")</f>
        <v/>
      </c>
      <c r="N1595" t="str">
        <f>IFERROR(__xludf.DUMMYFUNCTION("""COMPUTED_VALUE"""),"")</f>
        <v/>
      </c>
      <c r="O1595" t="str">
        <f>IFERROR(__xludf.DUMMYFUNCTION("""COMPUTED_VALUE"""),"")</f>
        <v/>
      </c>
      <c r="P1595" t="str">
        <f>IFERROR(__xludf.DUMMYFUNCTION("""COMPUTED_VALUE"""),"ID ")</f>
        <v>ID </v>
      </c>
    </row>
    <row r="1596">
      <c r="A1596" s="6" t="str">
        <f>IFERROR(__xludf.DUMMYFUNCTION("""COMPUTED_VALUE"""),"")</f>
        <v/>
      </c>
      <c r="C1596" t="str">
        <f>IFERROR(__xludf.DUMMYFUNCTION("""COMPUTED_VALUE"""),"")</f>
        <v/>
      </c>
      <c r="D1596" t="str">
        <f>IFERROR(__xludf.DUMMYFUNCTION("""COMPUTED_VALUE"""),"")</f>
        <v/>
      </c>
      <c r="E1596" t="str">
        <f>IFERROR(__xludf.DUMMYFUNCTION("""COMPUTED_VALUE"""),"")</f>
        <v/>
      </c>
      <c r="F1596" t="str">
        <f>IFERROR(__xludf.DUMMYFUNCTION("""COMPUTED_VALUE"""),"")</f>
        <v/>
      </c>
      <c r="G1596" t="str">
        <f>IFERROR(__xludf.DUMMYFUNCTION("""COMPUTED_VALUE"""),"")</f>
        <v/>
      </c>
      <c r="H1596" s="2" t="str">
        <f>IFERROR(__xludf.DUMMYFUNCTION("""COMPUTED_VALUE"""),"")</f>
        <v/>
      </c>
      <c r="I1596" s="2" t="str">
        <f>IFERROR(__xludf.DUMMYFUNCTION("""COMPUTED_VALUE"""),"")</f>
        <v/>
      </c>
      <c r="J1596" s="2">
        <f>IFERROR(__xludf.DUMMYFUNCTION("""COMPUTED_VALUE"""),0.0)</f>
        <v>0</v>
      </c>
      <c r="K1596" s="5" t="str">
        <f>IFERROR(__xludf.DUMMYFUNCTION("""COMPUTED_VALUE"""),"")</f>
        <v/>
      </c>
      <c r="L1596" t="str">
        <f>IFERROR(__xludf.DUMMYFUNCTION("""COMPUTED_VALUE"""),"")</f>
        <v/>
      </c>
      <c r="M1596" t="str">
        <f>IFERROR(__xludf.DUMMYFUNCTION("""COMPUTED_VALUE"""),"")</f>
        <v/>
      </c>
      <c r="N1596" t="str">
        <f>IFERROR(__xludf.DUMMYFUNCTION("""COMPUTED_VALUE"""),"")</f>
        <v/>
      </c>
      <c r="O1596" t="str">
        <f>IFERROR(__xludf.DUMMYFUNCTION("""COMPUTED_VALUE"""),"")</f>
        <v/>
      </c>
      <c r="P1596" t="str">
        <f>IFERROR(__xludf.DUMMYFUNCTION("""COMPUTED_VALUE"""),"ID ")</f>
        <v>ID </v>
      </c>
    </row>
    <row r="1597">
      <c r="A1597" s="6" t="str">
        <f>IFERROR(__xludf.DUMMYFUNCTION("""COMPUTED_VALUE"""),"")</f>
        <v/>
      </c>
      <c r="C1597" t="str">
        <f>IFERROR(__xludf.DUMMYFUNCTION("""COMPUTED_VALUE"""),"")</f>
        <v/>
      </c>
      <c r="D1597" t="str">
        <f>IFERROR(__xludf.DUMMYFUNCTION("""COMPUTED_VALUE"""),"")</f>
        <v/>
      </c>
      <c r="E1597" t="str">
        <f>IFERROR(__xludf.DUMMYFUNCTION("""COMPUTED_VALUE"""),"")</f>
        <v/>
      </c>
      <c r="F1597" t="str">
        <f>IFERROR(__xludf.DUMMYFUNCTION("""COMPUTED_VALUE"""),"")</f>
        <v/>
      </c>
      <c r="G1597" t="str">
        <f>IFERROR(__xludf.DUMMYFUNCTION("""COMPUTED_VALUE"""),"")</f>
        <v/>
      </c>
      <c r="H1597" s="2" t="str">
        <f>IFERROR(__xludf.DUMMYFUNCTION("""COMPUTED_VALUE"""),"")</f>
        <v/>
      </c>
      <c r="I1597" s="2" t="str">
        <f>IFERROR(__xludf.DUMMYFUNCTION("""COMPUTED_VALUE"""),"")</f>
        <v/>
      </c>
      <c r="J1597" s="2">
        <f>IFERROR(__xludf.DUMMYFUNCTION("""COMPUTED_VALUE"""),0.0)</f>
        <v>0</v>
      </c>
      <c r="K1597" s="5" t="str">
        <f>IFERROR(__xludf.DUMMYFUNCTION("""COMPUTED_VALUE"""),"")</f>
        <v/>
      </c>
      <c r="L1597" t="str">
        <f>IFERROR(__xludf.DUMMYFUNCTION("""COMPUTED_VALUE"""),"")</f>
        <v/>
      </c>
      <c r="M1597" t="str">
        <f>IFERROR(__xludf.DUMMYFUNCTION("""COMPUTED_VALUE"""),"")</f>
        <v/>
      </c>
      <c r="N1597" t="str">
        <f>IFERROR(__xludf.DUMMYFUNCTION("""COMPUTED_VALUE"""),"")</f>
        <v/>
      </c>
      <c r="O1597" t="str">
        <f>IFERROR(__xludf.DUMMYFUNCTION("""COMPUTED_VALUE"""),"")</f>
        <v/>
      </c>
      <c r="P1597" t="str">
        <f>IFERROR(__xludf.DUMMYFUNCTION("""COMPUTED_VALUE"""),"ID ")</f>
        <v>ID </v>
      </c>
    </row>
    <row r="1598">
      <c r="A1598" s="6" t="str">
        <f>IFERROR(__xludf.DUMMYFUNCTION("""COMPUTED_VALUE"""),"")</f>
        <v/>
      </c>
      <c r="C1598" t="str">
        <f>IFERROR(__xludf.DUMMYFUNCTION("""COMPUTED_VALUE"""),"")</f>
        <v/>
      </c>
      <c r="D1598" t="str">
        <f>IFERROR(__xludf.DUMMYFUNCTION("""COMPUTED_VALUE"""),"")</f>
        <v/>
      </c>
      <c r="E1598" t="str">
        <f>IFERROR(__xludf.DUMMYFUNCTION("""COMPUTED_VALUE"""),"")</f>
        <v/>
      </c>
      <c r="F1598" t="str">
        <f>IFERROR(__xludf.DUMMYFUNCTION("""COMPUTED_VALUE"""),"")</f>
        <v/>
      </c>
      <c r="G1598" t="str">
        <f>IFERROR(__xludf.DUMMYFUNCTION("""COMPUTED_VALUE"""),"")</f>
        <v/>
      </c>
      <c r="H1598" s="2" t="str">
        <f>IFERROR(__xludf.DUMMYFUNCTION("""COMPUTED_VALUE"""),"")</f>
        <v/>
      </c>
      <c r="I1598" s="2" t="str">
        <f>IFERROR(__xludf.DUMMYFUNCTION("""COMPUTED_VALUE"""),"")</f>
        <v/>
      </c>
      <c r="J1598" s="2">
        <f>IFERROR(__xludf.DUMMYFUNCTION("""COMPUTED_VALUE"""),0.0)</f>
        <v>0</v>
      </c>
      <c r="K1598" s="5" t="str">
        <f>IFERROR(__xludf.DUMMYFUNCTION("""COMPUTED_VALUE"""),"")</f>
        <v/>
      </c>
      <c r="L1598" t="str">
        <f>IFERROR(__xludf.DUMMYFUNCTION("""COMPUTED_VALUE"""),"")</f>
        <v/>
      </c>
      <c r="M1598" t="str">
        <f>IFERROR(__xludf.DUMMYFUNCTION("""COMPUTED_VALUE"""),"")</f>
        <v/>
      </c>
      <c r="N1598" t="str">
        <f>IFERROR(__xludf.DUMMYFUNCTION("""COMPUTED_VALUE"""),"")</f>
        <v/>
      </c>
      <c r="O1598" t="str">
        <f>IFERROR(__xludf.DUMMYFUNCTION("""COMPUTED_VALUE"""),"")</f>
        <v/>
      </c>
      <c r="P1598" t="str">
        <f>IFERROR(__xludf.DUMMYFUNCTION("""COMPUTED_VALUE"""),"ID ")</f>
        <v>ID </v>
      </c>
    </row>
    <row r="1599">
      <c r="A1599" s="6" t="str">
        <f>IFERROR(__xludf.DUMMYFUNCTION("""COMPUTED_VALUE"""),"")</f>
        <v/>
      </c>
      <c r="C1599" t="str">
        <f>IFERROR(__xludf.DUMMYFUNCTION("""COMPUTED_VALUE"""),"")</f>
        <v/>
      </c>
      <c r="D1599" t="str">
        <f>IFERROR(__xludf.DUMMYFUNCTION("""COMPUTED_VALUE"""),"")</f>
        <v/>
      </c>
      <c r="E1599" t="str">
        <f>IFERROR(__xludf.DUMMYFUNCTION("""COMPUTED_VALUE"""),"")</f>
        <v/>
      </c>
      <c r="F1599" t="str">
        <f>IFERROR(__xludf.DUMMYFUNCTION("""COMPUTED_VALUE"""),"")</f>
        <v/>
      </c>
      <c r="G1599" t="str">
        <f>IFERROR(__xludf.DUMMYFUNCTION("""COMPUTED_VALUE"""),"")</f>
        <v/>
      </c>
      <c r="H1599" s="2" t="str">
        <f>IFERROR(__xludf.DUMMYFUNCTION("""COMPUTED_VALUE"""),"")</f>
        <v/>
      </c>
      <c r="I1599" s="2" t="str">
        <f>IFERROR(__xludf.DUMMYFUNCTION("""COMPUTED_VALUE"""),"")</f>
        <v/>
      </c>
      <c r="J1599" s="2">
        <f>IFERROR(__xludf.DUMMYFUNCTION("""COMPUTED_VALUE"""),0.0)</f>
        <v>0</v>
      </c>
      <c r="K1599" s="5" t="str">
        <f>IFERROR(__xludf.DUMMYFUNCTION("""COMPUTED_VALUE"""),"")</f>
        <v/>
      </c>
      <c r="L1599" t="str">
        <f>IFERROR(__xludf.DUMMYFUNCTION("""COMPUTED_VALUE"""),"")</f>
        <v/>
      </c>
      <c r="M1599" t="str">
        <f>IFERROR(__xludf.DUMMYFUNCTION("""COMPUTED_VALUE"""),"")</f>
        <v/>
      </c>
      <c r="N1599" t="str">
        <f>IFERROR(__xludf.DUMMYFUNCTION("""COMPUTED_VALUE"""),"")</f>
        <v/>
      </c>
      <c r="O1599" t="str">
        <f>IFERROR(__xludf.DUMMYFUNCTION("""COMPUTED_VALUE"""),"")</f>
        <v/>
      </c>
      <c r="P1599" t="str">
        <f>IFERROR(__xludf.DUMMYFUNCTION("""COMPUTED_VALUE"""),"ID ")</f>
        <v>ID </v>
      </c>
    </row>
    <row r="1600">
      <c r="A1600" s="6" t="str">
        <f>IFERROR(__xludf.DUMMYFUNCTION("""COMPUTED_VALUE"""),"")</f>
        <v/>
      </c>
      <c r="C1600" t="str">
        <f>IFERROR(__xludf.DUMMYFUNCTION("""COMPUTED_VALUE"""),"")</f>
        <v/>
      </c>
      <c r="D1600" t="str">
        <f>IFERROR(__xludf.DUMMYFUNCTION("""COMPUTED_VALUE"""),"")</f>
        <v/>
      </c>
      <c r="E1600" t="str">
        <f>IFERROR(__xludf.DUMMYFUNCTION("""COMPUTED_VALUE"""),"")</f>
        <v/>
      </c>
      <c r="F1600" t="str">
        <f>IFERROR(__xludf.DUMMYFUNCTION("""COMPUTED_VALUE"""),"")</f>
        <v/>
      </c>
      <c r="G1600" t="str">
        <f>IFERROR(__xludf.DUMMYFUNCTION("""COMPUTED_VALUE"""),"")</f>
        <v/>
      </c>
      <c r="H1600" s="2" t="str">
        <f>IFERROR(__xludf.DUMMYFUNCTION("""COMPUTED_VALUE"""),"")</f>
        <v/>
      </c>
      <c r="I1600" s="2" t="str">
        <f>IFERROR(__xludf.DUMMYFUNCTION("""COMPUTED_VALUE"""),"")</f>
        <v/>
      </c>
      <c r="J1600" s="2">
        <f>IFERROR(__xludf.DUMMYFUNCTION("""COMPUTED_VALUE"""),0.0)</f>
        <v>0</v>
      </c>
      <c r="K1600" s="5" t="str">
        <f>IFERROR(__xludf.DUMMYFUNCTION("""COMPUTED_VALUE"""),"")</f>
        <v/>
      </c>
      <c r="L1600" t="str">
        <f>IFERROR(__xludf.DUMMYFUNCTION("""COMPUTED_VALUE"""),"")</f>
        <v/>
      </c>
      <c r="M1600" t="str">
        <f>IFERROR(__xludf.DUMMYFUNCTION("""COMPUTED_VALUE"""),"")</f>
        <v/>
      </c>
      <c r="N1600" t="str">
        <f>IFERROR(__xludf.DUMMYFUNCTION("""COMPUTED_VALUE"""),"")</f>
        <v/>
      </c>
      <c r="O1600" t="str">
        <f>IFERROR(__xludf.DUMMYFUNCTION("""COMPUTED_VALUE"""),"")</f>
        <v/>
      </c>
      <c r="P1600" t="str">
        <f>IFERROR(__xludf.DUMMYFUNCTION("""COMPUTED_VALUE"""),"ID ")</f>
        <v>ID </v>
      </c>
    </row>
    <row r="1601">
      <c r="A1601" s="6" t="str">
        <f>IFERROR(__xludf.DUMMYFUNCTION("""COMPUTED_VALUE"""),"")</f>
        <v/>
      </c>
      <c r="C1601" t="str">
        <f>IFERROR(__xludf.DUMMYFUNCTION("""COMPUTED_VALUE"""),"")</f>
        <v/>
      </c>
      <c r="D1601" t="str">
        <f>IFERROR(__xludf.DUMMYFUNCTION("""COMPUTED_VALUE"""),"")</f>
        <v/>
      </c>
      <c r="E1601" t="str">
        <f>IFERROR(__xludf.DUMMYFUNCTION("""COMPUTED_VALUE"""),"")</f>
        <v/>
      </c>
      <c r="F1601" t="str">
        <f>IFERROR(__xludf.DUMMYFUNCTION("""COMPUTED_VALUE"""),"")</f>
        <v/>
      </c>
      <c r="G1601" t="str">
        <f>IFERROR(__xludf.DUMMYFUNCTION("""COMPUTED_VALUE"""),"")</f>
        <v/>
      </c>
      <c r="H1601" s="2" t="str">
        <f>IFERROR(__xludf.DUMMYFUNCTION("""COMPUTED_VALUE"""),"")</f>
        <v/>
      </c>
      <c r="I1601" s="2" t="str">
        <f>IFERROR(__xludf.DUMMYFUNCTION("""COMPUTED_VALUE"""),"")</f>
        <v/>
      </c>
      <c r="J1601" s="2">
        <f>IFERROR(__xludf.DUMMYFUNCTION("""COMPUTED_VALUE"""),0.0)</f>
        <v>0</v>
      </c>
      <c r="K1601" s="5" t="str">
        <f>IFERROR(__xludf.DUMMYFUNCTION("""COMPUTED_VALUE"""),"")</f>
        <v/>
      </c>
      <c r="L1601" t="str">
        <f>IFERROR(__xludf.DUMMYFUNCTION("""COMPUTED_VALUE"""),"")</f>
        <v/>
      </c>
      <c r="M1601" t="str">
        <f>IFERROR(__xludf.DUMMYFUNCTION("""COMPUTED_VALUE"""),"")</f>
        <v/>
      </c>
      <c r="N1601" t="str">
        <f>IFERROR(__xludf.DUMMYFUNCTION("""COMPUTED_VALUE"""),"")</f>
        <v/>
      </c>
      <c r="O1601" t="str">
        <f>IFERROR(__xludf.DUMMYFUNCTION("""COMPUTED_VALUE"""),"")</f>
        <v/>
      </c>
      <c r="P1601" t="str">
        <f>IFERROR(__xludf.DUMMYFUNCTION("""COMPUTED_VALUE"""),"ID ")</f>
        <v>ID </v>
      </c>
    </row>
    <row r="1602">
      <c r="A1602" s="6" t="str">
        <f>IFERROR(__xludf.DUMMYFUNCTION("""COMPUTED_VALUE"""),"")</f>
        <v/>
      </c>
      <c r="C1602" t="str">
        <f>IFERROR(__xludf.DUMMYFUNCTION("""COMPUTED_VALUE"""),"")</f>
        <v/>
      </c>
      <c r="D1602" t="str">
        <f>IFERROR(__xludf.DUMMYFUNCTION("""COMPUTED_VALUE"""),"")</f>
        <v/>
      </c>
      <c r="E1602" t="str">
        <f>IFERROR(__xludf.DUMMYFUNCTION("""COMPUTED_VALUE"""),"")</f>
        <v/>
      </c>
      <c r="F1602" t="str">
        <f>IFERROR(__xludf.DUMMYFUNCTION("""COMPUTED_VALUE"""),"")</f>
        <v/>
      </c>
      <c r="G1602" t="str">
        <f>IFERROR(__xludf.DUMMYFUNCTION("""COMPUTED_VALUE"""),"")</f>
        <v/>
      </c>
      <c r="H1602" s="2" t="str">
        <f>IFERROR(__xludf.DUMMYFUNCTION("""COMPUTED_VALUE"""),"")</f>
        <v/>
      </c>
      <c r="I1602" s="2" t="str">
        <f>IFERROR(__xludf.DUMMYFUNCTION("""COMPUTED_VALUE"""),"")</f>
        <v/>
      </c>
      <c r="J1602" s="2">
        <f>IFERROR(__xludf.DUMMYFUNCTION("""COMPUTED_VALUE"""),0.0)</f>
        <v>0</v>
      </c>
      <c r="K1602" s="5" t="str">
        <f>IFERROR(__xludf.DUMMYFUNCTION("""COMPUTED_VALUE"""),"")</f>
        <v/>
      </c>
      <c r="L1602" t="str">
        <f>IFERROR(__xludf.DUMMYFUNCTION("""COMPUTED_VALUE"""),"")</f>
        <v/>
      </c>
      <c r="M1602" t="str">
        <f>IFERROR(__xludf.DUMMYFUNCTION("""COMPUTED_VALUE"""),"")</f>
        <v/>
      </c>
      <c r="N1602" t="str">
        <f>IFERROR(__xludf.DUMMYFUNCTION("""COMPUTED_VALUE"""),"")</f>
        <v/>
      </c>
      <c r="O1602" t="str">
        <f>IFERROR(__xludf.DUMMYFUNCTION("""COMPUTED_VALUE"""),"")</f>
        <v/>
      </c>
      <c r="P1602" t="str">
        <f>IFERROR(__xludf.DUMMYFUNCTION("""COMPUTED_VALUE"""),"ID ")</f>
        <v>ID </v>
      </c>
    </row>
    <row r="1603">
      <c r="A1603" s="6" t="str">
        <f>IFERROR(__xludf.DUMMYFUNCTION("""COMPUTED_VALUE"""),"")</f>
        <v/>
      </c>
      <c r="C1603" t="str">
        <f>IFERROR(__xludf.DUMMYFUNCTION("""COMPUTED_VALUE"""),"")</f>
        <v/>
      </c>
      <c r="D1603" t="str">
        <f>IFERROR(__xludf.DUMMYFUNCTION("""COMPUTED_VALUE"""),"")</f>
        <v/>
      </c>
      <c r="E1603" t="str">
        <f>IFERROR(__xludf.DUMMYFUNCTION("""COMPUTED_VALUE"""),"")</f>
        <v/>
      </c>
      <c r="F1603" t="str">
        <f>IFERROR(__xludf.DUMMYFUNCTION("""COMPUTED_VALUE"""),"")</f>
        <v/>
      </c>
      <c r="G1603" t="str">
        <f>IFERROR(__xludf.DUMMYFUNCTION("""COMPUTED_VALUE"""),"")</f>
        <v/>
      </c>
      <c r="H1603" s="2" t="str">
        <f>IFERROR(__xludf.DUMMYFUNCTION("""COMPUTED_VALUE"""),"")</f>
        <v/>
      </c>
      <c r="I1603" s="2" t="str">
        <f>IFERROR(__xludf.DUMMYFUNCTION("""COMPUTED_VALUE"""),"")</f>
        <v/>
      </c>
      <c r="J1603" s="2">
        <f>IFERROR(__xludf.DUMMYFUNCTION("""COMPUTED_VALUE"""),0.0)</f>
        <v>0</v>
      </c>
      <c r="K1603" s="5" t="str">
        <f>IFERROR(__xludf.DUMMYFUNCTION("""COMPUTED_VALUE"""),"")</f>
        <v/>
      </c>
      <c r="L1603" t="str">
        <f>IFERROR(__xludf.DUMMYFUNCTION("""COMPUTED_VALUE"""),"")</f>
        <v/>
      </c>
      <c r="M1603" t="str">
        <f>IFERROR(__xludf.DUMMYFUNCTION("""COMPUTED_VALUE"""),"")</f>
        <v/>
      </c>
      <c r="N1603" t="str">
        <f>IFERROR(__xludf.DUMMYFUNCTION("""COMPUTED_VALUE"""),"")</f>
        <v/>
      </c>
      <c r="O1603" t="str">
        <f>IFERROR(__xludf.DUMMYFUNCTION("""COMPUTED_VALUE"""),"")</f>
        <v/>
      </c>
      <c r="P1603" t="str">
        <f>IFERROR(__xludf.DUMMYFUNCTION("""COMPUTED_VALUE"""),"ID ")</f>
        <v>ID </v>
      </c>
    </row>
    <row r="1604">
      <c r="A1604" s="6" t="str">
        <f>IFERROR(__xludf.DUMMYFUNCTION("""COMPUTED_VALUE"""),"")</f>
        <v/>
      </c>
      <c r="C1604" t="str">
        <f>IFERROR(__xludf.DUMMYFUNCTION("""COMPUTED_VALUE"""),"")</f>
        <v/>
      </c>
      <c r="D1604" t="str">
        <f>IFERROR(__xludf.DUMMYFUNCTION("""COMPUTED_VALUE"""),"")</f>
        <v/>
      </c>
      <c r="E1604" t="str">
        <f>IFERROR(__xludf.DUMMYFUNCTION("""COMPUTED_VALUE"""),"")</f>
        <v/>
      </c>
      <c r="F1604" t="str">
        <f>IFERROR(__xludf.DUMMYFUNCTION("""COMPUTED_VALUE"""),"")</f>
        <v/>
      </c>
      <c r="G1604" t="str">
        <f>IFERROR(__xludf.DUMMYFUNCTION("""COMPUTED_VALUE"""),"")</f>
        <v/>
      </c>
      <c r="H1604" s="2" t="str">
        <f>IFERROR(__xludf.DUMMYFUNCTION("""COMPUTED_VALUE"""),"")</f>
        <v/>
      </c>
      <c r="I1604" s="2" t="str">
        <f>IFERROR(__xludf.DUMMYFUNCTION("""COMPUTED_VALUE"""),"")</f>
        <v/>
      </c>
      <c r="J1604" s="2">
        <f>IFERROR(__xludf.DUMMYFUNCTION("""COMPUTED_VALUE"""),0.0)</f>
        <v>0</v>
      </c>
      <c r="K1604" s="5" t="str">
        <f>IFERROR(__xludf.DUMMYFUNCTION("""COMPUTED_VALUE"""),"")</f>
        <v/>
      </c>
      <c r="L1604" t="str">
        <f>IFERROR(__xludf.DUMMYFUNCTION("""COMPUTED_VALUE"""),"")</f>
        <v/>
      </c>
      <c r="M1604" t="str">
        <f>IFERROR(__xludf.DUMMYFUNCTION("""COMPUTED_VALUE"""),"")</f>
        <v/>
      </c>
      <c r="N1604" t="str">
        <f>IFERROR(__xludf.DUMMYFUNCTION("""COMPUTED_VALUE"""),"")</f>
        <v/>
      </c>
      <c r="O1604" t="str">
        <f>IFERROR(__xludf.DUMMYFUNCTION("""COMPUTED_VALUE"""),"")</f>
        <v/>
      </c>
      <c r="P1604" t="str">
        <f>IFERROR(__xludf.DUMMYFUNCTION("""COMPUTED_VALUE"""),"ID ")</f>
        <v>ID </v>
      </c>
    </row>
    <row r="1605">
      <c r="A1605" s="6" t="str">
        <f>IFERROR(__xludf.DUMMYFUNCTION("""COMPUTED_VALUE"""),"")</f>
        <v/>
      </c>
      <c r="C1605" t="str">
        <f>IFERROR(__xludf.DUMMYFUNCTION("""COMPUTED_VALUE"""),"")</f>
        <v/>
      </c>
      <c r="D1605" t="str">
        <f>IFERROR(__xludf.DUMMYFUNCTION("""COMPUTED_VALUE"""),"")</f>
        <v/>
      </c>
      <c r="E1605" t="str">
        <f>IFERROR(__xludf.DUMMYFUNCTION("""COMPUTED_VALUE"""),"")</f>
        <v/>
      </c>
      <c r="F1605" t="str">
        <f>IFERROR(__xludf.DUMMYFUNCTION("""COMPUTED_VALUE"""),"")</f>
        <v/>
      </c>
      <c r="G1605" t="str">
        <f>IFERROR(__xludf.DUMMYFUNCTION("""COMPUTED_VALUE"""),"")</f>
        <v/>
      </c>
      <c r="H1605" s="2" t="str">
        <f>IFERROR(__xludf.DUMMYFUNCTION("""COMPUTED_VALUE"""),"")</f>
        <v/>
      </c>
      <c r="I1605" s="2" t="str">
        <f>IFERROR(__xludf.DUMMYFUNCTION("""COMPUTED_VALUE"""),"")</f>
        <v/>
      </c>
      <c r="J1605" s="2">
        <f>IFERROR(__xludf.DUMMYFUNCTION("""COMPUTED_VALUE"""),0.0)</f>
        <v>0</v>
      </c>
      <c r="K1605" s="5" t="str">
        <f>IFERROR(__xludf.DUMMYFUNCTION("""COMPUTED_VALUE"""),"")</f>
        <v/>
      </c>
      <c r="L1605" t="str">
        <f>IFERROR(__xludf.DUMMYFUNCTION("""COMPUTED_VALUE"""),"")</f>
        <v/>
      </c>
      <c r="M1605" t="str">
        <f>IFERROR(__xludf.DUMMYFUNCTION("""COMPUTED_VALUE"""),"")</f>
        <v/>
      </c>
      <c r="N1605" t="str">
        <f>IFERROR(__xludf.DUMMYFUNCTION("""COMPUTED_VALUE"""),"")</f>
        <v/>
      </c>
      <c r="O1605" t="str">
        <f>IFERROR(__xludf.DUMMYFUNCTION("""COMPUTED_VALUE"""),"")</f>
        <v/>
      </c>
      <c r="P1605" t="str">
        <f>IFERROR(__xludf.DUMMYFUNCTION("""COMPUTED_VALUE"""),"ID ")</f>
        <v>ID </v>
      </c>
    </row>
    <row r="1606">
      <c r="A1606" s="6" t="str">
        <f>IFERROR(__xludf.DUMMYFUNCTION("""COMPUTED_VALUE"""),"")</f>
        <v/>
      </c>
      <c r="C1606" t="str">
        <f>IFERROR(__xludf.DUMMYFUNCTION("""COMPUTED_VALUE"""),"")</f>
        <v/>
      </c>
      <c r="D1606" t="str">
        <f>IFERROR(__xludf.DUMMYFUNCTION("""COMPUTED_VALUE"""),"")</f>
        <v/>
      </c>
      <c r="E1606" t="str">
        <f>IFERROR(__xludf.DUMMYFUNCTION("""COMPUTED_VALUE"""),"")</f>
        <v/>
      </c>
      <c r="F1606" t="str">
        <f>IFERROR(__xludf.DUMMYFUNCTION("""COMPUTED_VALUE"""),"")</f>
        <v/>
      </c>
      <c r="G1606" t="str">
        <f>IFERROR(__xludf.DUMMYFUNCTION("""COMPUTED_VALUE"""),"")</f>
        <v/>
      </c>
      <c r="H1606" s="2" t="str">
        <f>IFERROR(__xludf.DUMMYFUNCTION("""COMPUTED_VALUE"""),"")</f>
        <v/>
      </c>
      <c r="I1606" s="2" t="str">
        <f>IFERROR(__xludf.DUMMYFUNCTION("""COMPUTED_VALUE"""),"")</f>
        <v/>
      </c>
      <c r="J1606" s="2">
        <f>IFERROR(__xludf.DUMMYFUNCTION("""COMPUTED_VALUE"""),0.0)</f>
        <v>0</v>
      </c>
      <c r="K1606" s="5" t="str">
        <f>IFERROR(__xludf.DUMMYFUNCTION("""COMPUTED_VALUE"""),"")</f>
        <v/>
      </c>
      <c r="L1606" t="str">
        <f>IFERROR(__xludf.DUMMYFUNCTION("""COMPUTED_VALUE"""),"")</f>
        <v/>
      </c>
      <c r="M1606" t="str">
        <f>IFERROR(__xludf.DUMMYFUNCTION("""COMPUTED_VALUE"""),"")</f>
        <v/>
      </c>
      <c r="N1606" t="str">
        <f>IFERROR(__xludf.DUMMYFUNCTION("""COMPUTED_VALUE"""),"")</f>
        <v/>
      </c>
      <c r="O1606" t="str">
        <f>IFERROR(__xludf.DUMMYFUNCTION("""COMPUTED_VALUE"""),"")</f>
        <v/>
      </c>
      <c r="P1606" t="str">
        <f>IFERROR(__xludf.DUMMYFUNCTION("""COMPUTED_VALUE"""),"ID ")</f>
        <v>ID </v>
      </c>
    </row>
    <row r="1607">
      <c r="A1607" s="6" t="str">
        <f>IFERROR(__xludf.DUMMYFUNCTION("""COMPUTED_VALUE"""),"")</f>
        <v/>
      </c>
      <c r="C1607" t="str">
        <f>IFERROR(__xludf.DUMMYFUNCTION("""COMPUTED_VALUE"""),"")</f>
        <v/>
      </c>
      <c r="D1607" t="str">
        <f>IFERROR(__xludf.DUMMYFUNCTION("""COMPUTED_VALUE"""),"")</f>
        <v/>
      </c>
      <c r="E1607" t="str">
        <f>IFERROR(__xludf.DUMMYFUNCTION("""COMPUTED_VALUE"""),"")</f>
        <v/>
      </c>
      <c r="F1607" t="str">
        <f>IFERROR(__xludf.DUMMYFUNCTION("""COMPUTED_VALUE"""),"")</f>
        <v/>
      </c>
      <c r="G1607" t="str">
        <f>IFERROR(__xludf.DUMMYFUNCTION("""COMPUTED_VALUE"""),"")</f>
        <v/>
      </c>
      <c r="H1607" s="2" t="str">
        <f>IFERROR(__xludf.DUMMYFUNCTION("""COMPUTED_VALUE"""),"")</f>
        <v/>
      </c>
      <c r="I1607" s="2" t="str">
        <f>IFERROR(__xludf.DUMMYFUNCTION("""COMPUTED_VALUE"""),"")</f>
        <v/>
      </c>
      <c r="J1607" s="2">
        <f>IFERROR(__xludf.DUMMYFUNCTION("""COMPUTED_VALUE"""),0.0)</f>
        <v>0</v>
      </c>
      <c r="K1607" s="5" t="str">
        <f>IFERROR(__xludf.DUMMYFUNCTION("""COMPUTED_VALUE"""),"")</f>
        <v/>
      </c>
      <c r="L1607" t="str">
        <f>IFERROR(__xludf.DUMMYFUNCTION("""COMPUTED_VALUE"""),"")</f>
        <v/>
      </c>
      <c r="M1607" t="str">
        <f>IFERROR(__xludf.DUMMYFUNCTION("""COMPUTED_VALUE"""),"")</f>
        <v/>
      </c>
      <c r="N1607" t="str">
        <f>IFERROR(__xludf.DUMMYFUNCTION("""COMPUTED_VALUE"""),"")</f>
        <v/>
      </c>
      <c r="O1607" t="str">
        <f>IFERROR(__xludf.DUMMYFUNCTION("""COMPUTED_VALUE"""),"")</f>
        <v/>
      </c>
      <c r="P1607" t="str">
        <f>IFERROR(__xludf.DUMMYFUNCTION("""COMPUTED_VALUE"""),"ID ")</f>
        <v>ID </v>
      </c>
    </row>
    <row r="1608">
      <c r="A1608" s="6" t="str">
        <f>IFERROR(__xludf.DUMMYFUNCTION("""COMPUTED_VALUE"""),"")</f>
        <v/>
      </c>
      <c r="C1608" t="str">
        <f>IFERROR(__xludf.DUMMYFUNCTION("""COMPUTED_VALUE"""),"")</f>
        <v/>
      </c>
      <c r="D1608" t="str">
        <f>IFERROR(__xludf.DUMMYFUNCTION("""COMPUTED_VALUE"""),"")</f>
        <v/>
      </c>
      <c r="E1608" t="str">
        <f>IFERROR(__xludf.DUMMYFUNCTION("""COMPUTED_VALUE"""),"")</f>
        <v/>
      </c>
      <c r="F1608" t="str">
        <f>IFERROR(__xludf.DUMMYFUNCTION("""COMPUTED_VALUE"""),"")</f>
        <v/>
      </c>
      <c r="G1608" t="str">
        <f>IFERROR(__xludf.DUMMYFUNCTION("""COMPUTED_VALUE"""),"")</f>
        <v/>
      </c>
      <c r="H1608" s="2" t="str">
        <f>IFERROR(__xludf.DUMMYFUNCTION("""COMPUTED_VALUE"""),"")</f>
        <v/>
      </c>
      <c r="I1608" s="2" t="str">
        <f>IFERROR(__xludf.DUMMYFUNCTION("""COMPUTED_VALUE"""),"")</f>
        <v/>
      </c>
      <c r="J1608" s="2">
        <f>IFERROR(__xludf.DUMMYFUNCTION("""COMPUTED_VALUE"""),0.0)</f>
        <v>0</v>
      </c>
      <c r="K1608" s="5" t="str">
        <f>IFERROR(__xludf.DUMMYFUNCTION("""COMPUTED_VALUE"""),"")</f>
        <v/>
      </c>
      <c r="L1608" t="str">
        <f>IFERROR(__xludf.DUMMYFUNCTION("""COMPUTED_VALUE"""),"")</f>
        <v/>
      </c>
      <c r="M1608" t="str">
        <f>IFERROR(__xludf.DUMMYFUNCTION("""COMPUTED_VALUE"""),"")</f>
        <v/>
      </c>
      <c r="N1608" t="str">
        <f>IFERROR(__xludf.DUMMYFUNCTION("""COMPUTED_VALUE"""),"")</f>
        <v/>
      </c>
      <c r="O1608" t="str">
        <f>IFERROR(__xludf.DUMMYFUNCTION("""COMPUTED_VALUE"""),"")</f>
        <v/>
      </c>
      <c r="P1608" t="str">
        <f>IFERROR(__xludf.DUMMYFUNCTION("""COMPUTED_VALUE"""),"ID ")</f>
        <v>ID </v>
      </c>
    </row>
    <row r="1609">
      <c r="A1609" s="6" t="str">
        <f>IFERROR(__xludf.DUMMYFUNCTION("""COMPUTED_VALUE"""),"")</f>
        <v/>
      </c>
      <c r="C1609" t="str">
        <f>IFERROR(__xludf.DUMMYFUNCTION("""COMPUTED_VALUE"""),"")</f>
        <v/>
      </c>
      <c r="D1609" t="str">
        <f>IFERROR(__xludf.DUMMYFUNCTION("""COMPUTED_VALUE"""),"")</f>
        <v/>
      </c>
      <c r="E1609" t="str">
        <f>IFERROR(__xludf.DUMMYFUNCTION("""COMPUTED_VALUE"""),"")</f>
        <v/>
      </c>
      <c r="F1609" t="str">
        <f>IFERROR(__xludf.DUMMYFUNCTION("""COMPUTED_VALUE"""),"")</f>
        <v/>
      </c>
      <c r="G1609" t="str">
        <f>IFERROR(__xludf.DUMMYFUNCTION("""COMPUTED_VALUE"""),"")</f>
        <v/>
      </c>
      <c r="H1609" s="2" t="str">
        <f>IFERROR(__xludf.DUMMYFUNCTION("""COMPUTED_VALUE"""),"")</f>
        <v/>
      </c>
      <c r="I1609" s="2" t="str">
        <f>IFERROR(__xludf.DUMMYFUNCTION("""COMPUTED_VALUE"""),"")</f>
        <v/>
      </c>
      <c r="J1609" s="2">
        <f>IFERROR(__xludf.DUMMYFUNCTION("""COMPUTED_VALUE"""),0.0)</f>
        <v>0</v>
      </c>
      <c r="K1609" s="5" t="str">
        <f>IFERROR(__xludf.DUMMYFUNCTION("""COMPUTED_VALUE"""),"")</f>
        <v/>
      </c>
      <c r="L1609" t="str">
        <f>IFERROR(__xludf.DUMMYFUNCTION("""COMPUTED_VALUE"""),"")</f>
        <v/>
      </c>
      <c r="M1609" t="str">
        <f>IFERROR(__xludf.DUMMYFUNCTION("""COMPUTED_VALUE"""),"")</f>
        <v/>
      </c>
      <c r="N1609" t="str">
        <f>IFERROR(__xludf.DUMMYFUNCTION("""COMPUTED_VALUE"""),"")</f>
        <v/>
      </c>
      <c r="O1609" t="str">
        <f>IFERROR(__xludf.DUMMYFUNCTION("""COMPUTED_VALUE"""),"")</f>
        <v/>
      </c>
      <c r="P1609" t="str">
        <f>IFERROR(__xludf.DUMMYFUNCTION("""COMPUTED_VALUE"""),"ID ")</f>
        <v>ID </v>
      </c>
    </row>
    <row r="1610">
      <c r="A1610" s="6" t="str">
        <f>IFERROR(__xludf.DUMMYFUNCTION("""COMPUTED_VALUE"""),"")</f>
        <v/>
      </c>
      <c r="C1610" t="str">
        <f>IFERROR(__xludf.DUMMYFUNCTION("""COMPUTED_VALUE"""),"")</f>
        <v/>
      </c>
      <c r="D1610" t="str">
        <f>IFERROR(__xludf.DUMMYFUNCTION("""COMPUTED_VALUE"""),"")</f>
        <v/>
      </c>
      <c r="E1610" t="str">
        <f>IFERROR(__xludf.DUMMYFUNCTION("""COMPUTED_VALUE"""),"")</f>
        <v/>
      </c>
      <c r="F1610" t="str">
        <f>IFERROR(__xludf.DUMMYFUNCTION("""COMPUTED_VALUE"""),"")</f>
        <v/>
      </c>
      <c r="G1610" t="str">
        <f>IFERROR(__xludf.DUMMYFUNCTION("""COMPUTED_VALUE"""),"")</f>
        <v/>
      </c>
      <c r="H1610" s="2" t="str">
        <f>IFERROR(__xludf.DUMMYFUNCTION("""COMPUTED_VALUE"""),"")</f>
        <v/>
      </c>
      <c r="I1610" s="2" t="str">
        <f>IFERROR(__xludf.DUMMYFUNCTION("""COMPUTED_VALUE"""),"")</f>
        <v/>
      </c>
      <c r="J1610" s="2">
        <f>IFERROR(__xludf.DUMMYFUNCTION("""COMPUTED_VALUE"""),0.0)</f>
        <v>0</v>
      </c>
      <c r="K1610" s="5" t="str">
        <f>IFERROR(__xludf.DUMMYFUNCTION("""COMPUTED_VALUE"""),"")</f>
        <v/>
      </c>
      <c r="L1610" t="str">
        <f>IFERROR(__xludf.DUMMYFUNCTION("""COMPUTED_VALUE"""),"")</f>
        <v/>
      </c>
      <c r="M1610" t="str">
        <f>IFERROR(__xludf.DUMMYFUNCTION("""COMPUTED_VALUE"""),"")</f>
        <v/>
      </c>
      <c r="N1610" t="str">
        <f>IFERROR(__xludf.DUMMYFUNCTION("""COMPUTED_VALUE"""),"")</f>
        <v/>
      </c>
      <c r="O1610" t="str">
        <f>IFERROR(__xludf.DUMMYFUNCTION("""COMPUTED_VALUE"""),"")</f>
        <v/>
      </c>
      <c r="P1610" t="str">
        <f>IFERROR(__xludf.DUMMYFUNCTION("""COMPUTED_VALUE"""),"ID ")</f>
        <v>ID </v>
      </c>
    </row>
    <row r="1611">
      <c r="A1611" s="6" t="str">
        <f>IFERROR(__xludf.DUMMYFUNCTION("""COMPUTED_VALUE"""),"")</f>
        <v/>
      </c>
      <c r="C1611" t="str">
        <f>IFERROR(__xludf.DUMMYFUNCTION("""COMPUTED_VALUE"""),"")</f>
        <v/>
      </c>
      <c r="D1611" t="str">
        <f>IFERROR(__xludf.DUMMYFUNCTION("""COMPUTED_VALUE"""),"")</f>
        <v/>
      </c>
      <c r="E1611" t="str">
        <f>IFERROR(__xludf.DUMMYFUNCTION("""COMPUTED_VALUE"""),"")</f>
        <v/>
      </c>
      <c r="F1611" t="str">
        <f>IFERROR(__xludf.DUMMYFUNCTION("""COMPUTED_VALUE"""),"")</f>
        <v/>
      </c>
      <c r="G1611" t="str">
        <f>IFERROR(__xludf.DUMMYFUNCTION("""COMPUTED_VALUE"""),"")</f>
        <v/>
      </c>
      <c r="H1611" s="2" t="str">
        <f>IFERROR(__xludf.DUMMYFUNCTION("""COMPUTED_VALUE"""),"")</f>
        <v/>
      </c>
      <c r="I1611" s="2" t="str">
        <f>IFERROR(__xludf.DUMMYFUNCTION("""COMPUTED_VALUE"""),"")</f>
        <v/>
      </c>
      <c r="J1611" s="2">
        <f>IFERROR(__xludf.DUMMYFUNCTION("""COMPUTED_VALUE"""),0.0)</f>
        <v>0</v>
      </c>
      <c r="K1611" s="5" t="str">
        <f>IFERROR(__xludf.DUMMYFUNCTION("""COMPUTED_VALUE"""),"")</f>
        <v/>
      </c>
      <c r="L1611" t="str">
        <f>IFERROR(__xludf.DUMMYFUNCTION("""COMPUTED_VALUE"""),"")</f>
        <v/>
      </c>
      <c r="M1611" t="str">
        <f>IFERROR(__xludf.DUMMYFUNCTION("""COMPUTED_VALUE"""),"")</f>
        <v/>
      </c>
      <c r="N1611" t="str">
        <f>IFERROR(__xludf.DUMMYFUNCTION("""COMPUTED_VALUE"""),"")</f>
        <v/>
      </c>
      <c r="O1611" t="str">
        <f>IFERROR(__xludf.DUMMYFUNCTION("""COMPUTED_VALUE"""),"")</f>
        <v/>
      </c>
      <c r="P1611" t="str">
        <f>IFERROR(__xludf.DUMMYFUNCTION("""COMPUTED_VALUE"""),"ID ")</f>
        <v>ID </v>
      </c>
    </row>
    <row r="1612">
      <c r="A1612" s="6" t="str">
        <f>IFERROR(__xludf.DUMMYFUNCTION("""COMPUTED_VALUE"""),"")</f>
        <v/>
      </c>
      <c r="C1612" t="str">
        <f>IFERROR(__xludf.DUMMYFUNCTION("""COMPUTED_VALUE"""),"")</f>
        <v/>
      </c>
      <c r="D1612" t="str">
        <f>IFERROR(__xludf.DUMMYFUNCTION("""COMPUTED_VALUE"""),"")</f>
        <v/>
      </c>
      <c r="E1612" t="str">
        <f>IFERROR(__xludf.DUMMYFUNCTION("""COMPUTED_VALUE"""),"")</f>
        <v/>
      </c>
      <c r="F1612" t="str">
        <f>IFERROR(__xludf.DUMMYFUNCTION("""COMPUTED_VALUE"""),"")</f>
        <v/>
      </c>
      <c r="G1612" t="str">
        <f>IFERROR(__xludf.DUMMYFUNCTION("""COMPUTED_VALUE"""),"")</f>
        <v/>
      </c>
      <c r="H1612" s="2" t="str">
        <f>IFERROR(__xludf.DUMMYFUNCTION("""COMPUTED_VALUE"""),"")</f>
        <v/>
      </c>
      <c r="I1612" s="2" t="str">
        <f>IFERROR(__xludf.DUMMYFUNCTION("""COMPUTED_VALUE"""),"")</f>
        <v/>
      </c>
      <c r="J1612" s="2">
        <f>IFERROR(__xludf.DUMMYFUNCTION("""COMPUTED_VALUE"""),0.0)</f>
        <v>0</v>
      </c>
      <c r="K1612" s="5" t="str">
        <f>IFERROR(__xludf.DUMMYFUNCTION("""COMPUTED_VALUE"""),"")</f>
        <v/>
      </c>
      <c r="L1612" t="str">
        <f>IFERROR(__xludf.DUMMYFUNCTION("""COMPUTED_VALUE"""),"")</f>
        <v/>
      </c>
      <c r="M1612" t="str">
        <f>IFERROR(__xludf.DUMMYFUNCTION("""COMPUTED_VALUE"""),"")</f>
        <v/>
      </c>
      <c r="N1612" t="str">
        <f>IFERROR(__xludf.DUMMYFUNCTION("""COMPUTED_VALUE"""),"")</f>
        <v/>
      </c>
      <c r="O1612" t="str">
        <f>IFERROR(__xludf.DUMMYFUNCTION("""COMPUTED_VALUE"""),"")</f>
        <v/>
      </c>
      <c r="P1612" t="str">
        <f>IFERROR(__xludf.DUMMYFUNCTION("""COMPUTED_VALUE"""),"ID ")</f>
        <v>ID </v>
      </c>
    </row>
    <row r="1613">
      <c r="A1613" s="6" t="str">
        <f>IFERROR(__xludf.DUMMYFUNCTION("""COMPUTED_VALUE"""),"")</f>
        <v/>
      </c>
      <c r="C1613" t="str">
        <f>IFERROR(__xludf.DUMMYFUNCTION("""COMPUTED_VALUE"""),"")</f>
        <v/>
      </c>
      <c r="D1613" t="str">
        <f>IFERROR(__xludf.DUMMYFUNCTION("""COMPUTED_VALUE"""),"")</f>
        <v/>
      </c>
      <c r="E1613" t="str">
        <f>IFERROR(__xludf.DUMMYFUNCTION("""COMPUTED_VALUE"""),"")</f>
        <v/>
      </c>
      <c r="F1613" t="str">
        <f>IFERROR(__xludf.DUMMYFUNCTION("""COMPUTED_VALUE"""),"")</f>
        <v/>
      </c>
      <c r="G1613" t="str">
        <f>IFERROR(__xludf.DUMMYFUNCTION("""COMPUTED_VALUE"""),"")</f>
        <v/>
      </c>
      <c r="H1613" s="2" t="str">
        <f>IFERROR(__xludf.DUMMYFUNCTION("""COMPUTED_VALUE"""),"")</f>
        <v/>
      </c>
      <c r="I1613" s="2" t="str">
        <f>IFERROR(__xludf.DUMMYFUNCTION("""COMPUTED_VALUE"""),"")</f>
        <v/>
      </c>
      <c r="J1613" s="2">
        <f>IFERROR(__xludf.DUMMYFUNCTION("""COMPUTED_VALUE"""),0.0)</f>
        <v>0</v>
      </c>
      <c r="K1613" s="5" t="str">
        <f>IFERROR(__xludf.DUMMYFUNCTION("""COMPUTED_VALUE"""),"")</f>
        <v/>
      </c>
      <c r="L1613" t="str">
        <f>IFERROR(__xludf.DUMMYFUNCTION("""COMPUTED_VALUE"""),"")</f>
        <v/>
      </c>
      <c r="M1613" t="str">
        <f>IFERROR(__xludf.DUMMYFUNCTION("""COMPUTED_VALUE"""),"")</f>
        <v/>
      </c>
      <c r="N1613" t="str">
        <f>IFERROR(__xludf.DUMMYFUNCTION("""COMPUTED_VALUE"""),"")</f>
        <v/>
      </c>
      <c r="O1613" t="str">
        <f>IFERROR(__xludf.DUMMYFUNCTION("""COMPUTED_VALUE"""),"")</f>
        <v/>
      </c>
      <c r="P1613" t="str">
        <f>IFERROR(__xludf.DUMMYFUNCTION("""COMPUTED_VALUE"""),"ID ")</f>
        <v>ID </v>
      </c>
    </row>
    <row r="1614">
      <c r="A1614" s="6" t="str">
        <f>IFERROR(__xludf.DUMMYFUNCTION("""COMPUTED_VALUE"""),"")</f>
        <v/>
      </c>
      <c r="C1614" t="str">
        <f>IFERROR(__xludf.DUMMYFUNCTION("""COMPUTED_VALUE"""),"")</f>
        <v/>
      </c>
      <c r="D1614" t="str">
        <f>IFERROR(__xludf.DUMMYFUNCTION("""COMPUTED_VALUE"""),"")</f>
        <v/>
      </c>
      <c r="E1614" t="str">
        <f>IFERROR(__xludf.DUMMYFUNCTION("""COMPUTED_VALUE"""),"")</f>
        <v/>
      </c>
      <c r="F1614" t="str">
        <f>IFERROR(__xludf.DUMMYFUNCTION("""COMPUTED_VALUE"""),"")</f>
        <v/>
      </c>
      <c r="G1614" t="str">
        <f>IFERROR(__xludf.DUMMYFUNCTION("""COMPUTED_VALUE"""),"")</f>
        <v/>
      </c>
      <c r="H1614" s="2" t="str">
        <f>IFERROR(__xludf.DUMMYFUNCTION("""COMPUTED_VALUE"""),"")</f>
        <v/>
      </c>
      <c r="I1614" s="2" t="str">
        <f>IFERROR(__xludf.DUMMYFUNCTION("""COMPUTED_VALUE"""),"")</f>
        <v/>
      </c>
      <c r="J1614" s="2">
        <f>IFERROR(__xludf.DUMMYFUNCTION("""COMPUTED_VALUE"""),0.0)</f>
        <v>0</v>
      </c>
      <c r="K1614" s="5" t="str">
        <f>IFERROR(__xludf.DUMMYFUNCTION("""COMPUTED_VALUE"""),"")</f>
        <v/>
      </c>
      <c r="L1614" t="str">
        <f>IFERROR(__xludf.DUMMYFUNCTION("""COMPUTED_VALUE"""),"")</f>
        <v/>
      </c>
      <c r="M1614" t="str">
        <f>IFERROR(__xludf.DUMMYFUNCTION("""COMPUTED_VALUE"""),"")</f>
        <v/>
      </c>
      <c r="N1614" t="str">
        <f>IFERROR(__xludf.DUMMYFUNCTION("""COMPUTED_VALUE"""),"")</f>
        <v/>
      </c>
      <c r="O1614" t="str">
        <f>IFERROR(__xludf.DUMMYFUNCTION("""COMPUTED_VALUE"""),"")</f>
        <v/>
      </c>
      <c r="P1614" t="str">
        <f>IFERROR(__xludf.DUMMYFUNCTION("""COMPUTED_VALUE"""),"ID ")</f>
        <v>ID </v>
      </c>
    </row>
    <row r="1615">
      <c r="A1615" s="6" t="str">
        <f>IFERROR(__xludf.DUMMYFUNCTION("""COMPUTED_VALUE"""),"")</f>
        <v/>
      </c>
      <c r="C1615" t="str">
        <f>IFERROR(__xludf.DUMMYFUNCTION("""COMPUTED_VALUE"""),"")</f>
        <v/>
      </c>
      <c r="D1615" t="str">
        <f>IFERROR(__xludf.DUMMYFUNCTION("""COMPUTED_VALUE"""),"")</f>
        <v/>
      </c>
      <c r="E1615" t="str">
        <f>IFERROR(__xludf.DUMMYFUNCTION("""COMPUTED_VALUE"""),"")</f>
        <v/>
      </c>
      <c r="F1615" t="str">
        <f>IFERROR(__xludf.DUMMYFUNCTION("""COMPUTED_VALUE"""),"")</f>
        <v/>
      </c>
      <c r="G1615" t="str">
        <f>IFERROR(__xludf.DUMMYFUNCTION("""COMPUTED_VALUE"""),"")</f>
        <v/>
      </c>
      <c r="H1615" s="2" t="str">
        <f>IFERROR(__xludf.DUMMYFUNCTION("""COMPUTED_VALUE"""),"")</f>
        <v/>
      </c>
      <c r="I1615" s="2" t="str">
        <f>IFERROR(__xludf.DUMMYFUNCTION("""COMPUTED_VALUE"""),"")</f>
        <v/>
      </c>
      <c r="J1615" s="2">
        <f>IFERROR(__xludf.DUMMYFUNCTION("""COMPUTED_VALUE"""),0.0)</f>
        <v>0</v>
      </c>
      <c r="K1615" s="5" t="str">
        <f>IFERROR(__xludf.DUMMYFUNCTION("""COMPUTED_VALUE"""),"")</f>
        <v/>
      </c>
      <c r="L1615" t="str">
        <f>IFERROR(__xludf.DUMMYFUNCTION("""COMPUTED_VALUE"""),"")</f>
        <v/>
      </c>
      <c r="M1615" t="str">
        <f>IFERROR(__xludf.DUMMYFUNCTION("""COMPUTED_VALUE"""),"")</f>
        <v/>
      </c>
      <c r="N1615" t="str">
        <f>IFERROR(__xludf.DUMMYFUNCTION("""COMPUTED_VALUE"""),"")</f>
        <v/>
      </c>
      <c r="O1615" t="str">
        <f>IFERROR(__xludf.DUMMYFUNCTION("""COMPUTED_VALUE"""),"")</f>
        <v/>
      </c>
      <c r="P1615" t="str">
        <f>IFERROR(__xludf.DUMMYFUNCTION("""COMPUTED_VALUE"""),"ID ")</f>
        <v>ID </v>
      </c>
    </row>
    <row r="1616">
      <c r="A1616" s="6" t="str">
        <f>IFERROR(__xludf.DUMMYFUNCTION("""COMPUTED_VALUE"""),"")</f>
        <v/>
      </c>
      <c r="C1616" t="str">
        <f>IFERROR(__xludf.DUMMYFUNCTION("""COMPUTED_VALUE"""),"")</f>
        <v/>
      </c>
      <c r="D1616" t="str">
        <f>IFERROR(__xludf.DUMMYFUNCTION("""COMPUTED_VALUE"""),"")</f>
        <v/>
      </c>
      <c r="E1616" t="str">
        <f>IFERROR(__xludf.DUMMYFUNCTION("""COMPUTED_VALUE"""),"")</f>
        <v/>
      </c>
      <c r="F1616" t="str">
        <f>IFERROR(__xludf.DUMMYFUNCTION("""COMPUTED_VALUE"""),"")</f>
        <v/>
      </c>
      <c r="G1616" t="str">
        <f>IFERROR(__xludf.DUMMYFUNCTION("""COMPUTED_VALUE"""),"")</f>
        <v/>
      </c>
      <c r="H1616" s="2" t="str">
        <f>IFERROR(__xludf.DUMMYFUNCTION("""COMPUTED_VALUE"""),"")</f>
        <v/>
      </c>
      <c r="I1616" s="2" t="str">
        <f>IFERROR(__xludf.DUMMYFUNCTION("""COMPUTED_VALUE"""),"")</f>
        <v/>
      </c>
      <c r="J1616" s="2">
        <f>IFERROR(__xludf.DUMMYFUNCTION("""COMPUTED_VALUE"""),0.0)</f>
        <v>0</v>
      </c>
      <c r="K1616" s="5" t="str">
        <f>IFERROR(__xludf.DUMMYFUNCTION("""COMPUTED_VALUE"""),"")</f>
        <v/>
      </c>
      <c r="L1616" t="str">
        <f>IFERROR(__xludf.DUMMYFUNCTION("""COMPUTED_VALUE"""),"")</f>
        <v/>
      </c>
      <c r="M1616" t="str">
        <f>IFERROR(__xludf.DUMMYFUNCTION("""COMPUTED_VALUE"""),"")</f>
        <v/>
      </c>
      <c r="N1616" t="str">
        <f>IFERROR(__xludf.DUMMYFUNCTION("""COMPUTED_VALUE"""),"")</f>
        <v/>
      </c>
      <c r="O1616" t="str">
        <f>IFERROR(__xludf.DUMMYFUNCTION("""COMPUTED_VALUE"""),"")</f>
        <v/>
      </c>
      <c r="P1616" t="str">
        <f>IFERROR(__xludf.DUMMYFUNCTION("""COMPUTED_VALUE"""),"ID ")</f>
        <v>ID </v>
      </c>
    </row>
    <row r="1617">
      <c r="A1617" s="6" t="str">
        <f>IFERROR(__xludf.DUMMYFUNCTION("""COMPUTED_VALUE"""),"")</f>
        <v/>
      </c>
      <c r="C1617" t="str">
        <f>IFERROR(__xludf.DUMMYFUNCTION("""COMPUTED_VALUE"""),"")</f>
        <v/>
      </c>
      <c r="D1617" t="str">
        <f>IFERROR(__xludf.DUMMYFUNCTION("""COMPUTED_VALUE"""),"")</f>
        <v/>
      </c>
      <c r="E1617" t="str">
        <f>IFERROR(__xludf.DUMMYFUNCTION("""COMPUTED_VALUE"""),"")</f>
        <v/>
      </c>
      <c r="F1617" t="str">
        <f>IFERROR(__xludf.DUMMYFUNCTION("""COMPUTED_VALUE"""),"")</f>
        <v/>
      </c>
      <c r="G1617" t="str">
        <f>IFERROR(__xludf.DUMMYFUNCTION("""COMPUTED_VALUE"""),"")</f>
        <v/>
      </c>
      <c r="H1617" s="2" t="str">
        <f>IFERROR(__xludf.DUMMYFUNCTION("""COMPUTED_VALUE"""),"")</f>
        <v/>
      </c>
      <c r="I1617" s="2" t="str">
        <f>IFERROR(__xludf.DUMMYFUNCTION("""COMPUTED_VALUE"""),"")</f>
        <v/>
      </c>
      <c r="J1617" s="2">
        <f>IFERROR(__xludf.DUMMYFUNCTION("""COMPUTED_VALUE"""),0.0)</f>
        <v>0</v>
      </c>
      <c r="K1617" s="5" t="str">
        <f>IFERROR(__xludf.DUMMYFUNCTION("""COMPUTED_VALUE"""),"")</f>
        <v/>
      </c>
      <c r="L1617" t="str">
        <f>IFERROR(__xludf.DUMMYFUNCTION("""COMPUTED_VALUE"""),"")</f>
        <v/>
      </c>
      <c r="M1617" t="str">
        <f>IFERROR(__xludf.DUMMYFUNCTION("""COMPUTED_VALUE"""),"")</f>
        <v/>
      </c>
      <c r="N1617" t="str">
        <f>IFERROR(__xludf.DUMMYFUNCTION("""COMPUTED_VALUE"""),"")</f>
        <v/>
      </c>
      <c r="O1617" t="str">
        <f>IFERROR(__xludf.DUMMYFUNCTION("""COMPUTED_VALUE"""),"")</f>
        <v/>
      </c>
      <c r="P1617" t="str">
        <f>IFERROR(__xludf.DUMMYFUNCTION("""COMPUTED_VALUE"""),"ID ")</f>
        <v>ID </v>
      </c>
    </row>
    <row r="1618">
      <c r="A1618" s="6" t="str">
        <f>IFERROR(__xludf.DUMMYFUNCTION("""COMPUTED_VALUE"""),"")</f>
        <v/>
      </c>
      <c r="C1618" t="str">
        <f>IFERROR(__xludf.DUMMYFUNCTION("""COMPUTED_VALUE"""),"")</f>
        <v/>
      </c>
      <c r="D1618" t="str">
        <f>IFERROR(__xludf.DUMMYFUNCTION("""COMPUTED_VALUE"""),"")</f>
        <v/>
      </c>
      <c r="E1618" t="str">
        <f>IFERROR(__xludf.DUMMYFUNCTION("""COMPUTED_VALUE"""),"")</f>
        <v/>
      </c>
      <c r="F1618" t="str">
        <f>IFERROR(__xludf.DUMMYFUNCTION("""COMPUTED_VALUE"""),"")</f>
        <v/>
      </c>
      <c r="G1618" t="str">
        <f>IFERROR(__xludf.DUMMYFUNCTION("""COMPUTED_VALUE"""),"")</f>
        <v/>
      </c>
      <c r="H1618" s="2" t="str">
        <f>IFERROR(__xludf.DUMMYFUNCTION("""COMPUTED_VALUE"""),"")</f>
        <v/>
      </c>
      <c r="I1618" s="2" t="str">
        <f>IFERROR(__xludf.DUMMYFUNCTION("""COMPUTED_VALUE"""),"")</f>
        <v/>
      </c>
      <c r="J1618" s="2">
        <f>IFERROR(__xludf.DUMMYFUNCTION("""COMPUTED_VALUE"""),0.0)</f>
        <v>0</v>
      </c>
      <c r="K1618" s="5" t="str">
        <f>IFERROR(__xludf.DUMMYFUNCTION("""COMPUTED_VALUE"""),"")</f>
        <v/>
      </c>
      <c r="L1618" t="str">
        <f>IFERROR(__xludf.DUMMYFUNCTION("""COMPUTED_VALUE"""),"")</f>
        <v/>
      </c>
      <c r="M1618" t="str">
        <f>IFERROR(__xludf.DUMMYFUNCTION("""COMPUTED_VALUE"""),"")</f>
        <v/>
      </c>
      <c r="N1618" t="str">
        <f>IFERROR(__xludf.DUMMYFUNCTION("""COMPUTED_VALUE"""),"")</f>
        <v/>
      </c>
      <c r="O1618" t="str">
        <f>IFERROR(__xludf.DUMMYFUNCTION("""COMPUTED_VALUE"""),"")</f>
        <v/>
      </c>
      <c r="P1618" t="str">
        <f>IFERROR(__xludf.DUMMYFUNCTION("""COMPUTED_VALUE"""),"ID ")</f>
        <v>ID </v>
      </c>
    </row>
    <row r="1619">
      <c r="A1619" s="6" t="str">
        <f>IFERROR(__xludf.DUMMYFUNCTION("""COMPUTED_VALUE"""),"")</f>
        <v/>
      </c>
      <c r="C1619" t="str">
        <f>IFERROR(__xludf.DUMMYFUNCTION("""COMPUTED_VALUE"""),"")</f>
        <v/>
      </c>
      <c r="D1619" t="str">
        <f>IFERROR(__xludf.DUMMYFUNCTION("""COMPUTED_VALUE"""),"")</f>
        <v/>
      </c>
      <c r="E1619" t="str">
        <f>IFERROR(__xludf.DUMMYFUNCTION("""COMPUTED_VALUE"""),"")</f>
        <v/>
      </c>
      <c r="F1619" t="str">
        <f>IFERROR(__xludf.DUMMYFUNCTION("""COMPUTED_VALUE"""),"")</f>
        <v/>
      </c>
      <c r="G1619" t="str">
        <f>IFERROR(__xludf.DUMMYFUNCTION("""COMPUTED_VALUE"""),"")</f>
        <v/>
      </c>
      <c r="H1619" s="2" t="str">
        <f>IFERROR(__xludf.DUMMYFUNCTION("""COMPUTED_VALUE"""),"")</f>
        <v/>
      </c>
      <c r="I1619" s="2" t="str">
        <f>IFERROR(__xludf.DUMMYFUNCTION("""COMPUTED_VALUE"""),"")</f>
        <v/>
      </c>
      <c r="J1619" s="2">
        <f>IFERROR(__xludf.DUMMYFUNCTION("""COMPUTED_VALUE"""),0.0)</f>
        <v>0</v>
      </c>
      <c r="K1619" s="5" t="str">
        <f>IFERROR(__xludf.DUMMYFUNCTION("""COMPUTED_VALUE"""),"")</f>
        <v/>
      </c>
      <c r="L1619" t="str">
        <f>IFERROR(__xludf.DUMMYFUNCTION("""COMPUTED_VALUE"""),"")</f>
        <v/>
      </c>
      <c r="M1619" t="str">
        <f>IFERROR(__xludf.DUMMYFUNCTION("""COMPUTED_VALUE"""),"")</f>
        <v/>
      </c>
      <c r="N1619" t="str">
        <f>IFERROR(__xludf.DUMMYFUNCTION("""COMPUTED_VALUE"""),"")</f>
        <v/>
      </c>
      <c r="O1619" t="str">
        <f>IFERROR(__xludf.DUMMYFUNCTION("""COMPUTED_VALUE"""),"")</f>
        <v/>
      </c>
      <c r="P1619" t="str">
        <f>IFERROR(__xludf.DUMMYFUNCTION("""COMPUTED_VALUE"""),"ID ")</f>
        <v>ID </v>
      </c>
    </row>
    <row r="1620">
      <c r="A1620" s="6" t="str">
        <f>IFERROR(__xludf.DUMMYFUNCTION("""COMPUTED_VALUE"""),"")</f>
        <v/>
      </c>
      <c r="C1620" t="str">
        <f>IFERROR(__xludf.DUMMYFUNCTION("""COMPUTED_VALUE"""),"")</f>
        <v/>
      </c>
      <c r="D1620" t="str">
        <f>IFERROR(__xludf.DUMMYFUNCTION("""COMPUTED_VALUE"""),"")</f>
        <v/>
      </c>
      <c r="E1620" t="str">
        <f>IFERROR(__xludf.DUMMYFUNCTION("""COMPUTED_VALUE"""),"")</f>
        <v/>
      </c>
      <c r="F1620" t="str">
        <f>IFERROR(__xludf.DUMMYFUNCTION("""COMPUTED_VALUE"""),"")</f>
        <v/>
      </c>
      <c r="G1620" t="str">
        <f>IFERROR(__xludf.DUMMYFUNCTION("""COMPUTED_VALUE"""),"")</f>
        <v/>
      </c>
      <c r="H1620" s="2" t="str">
        <f>IFERROR(__xludf.DUMMYFUNCTION("""COMPUTED_VALUE"""),"")</f>
        <v/>
      </c>
      <c r="I1620" s="2" t="str">
        <f>IFERROR(__xludf.DUMMYFUNCTION("""COMPUTED_VALUE"""),"")</f>
        <v/>
      </c>
      <c r="J1620" s="2">
        <f>IFERROR(__xludf.DUMMYFUNCTION("""COMPUTED_VALUE"""),0.0)</f>
        <v>0</v>
      </c>
      <c r="K1620" s="5" t="str">
        <f>IFERROR(__xludf.DUMMYFUNCTION("""COMPUTED_VALUE"""),"")</f>
        <v/>
      </c>
      <c r="L1620" t="str">
        <f>IFERROR(__xludf.DUMMYFUNCTION("""COMPUTED_VALUE"""),"")</f>
        <v/>
      </c>
      <c r="M1620" t="str">
        <f>IFERROR(__xludf.DUMMYFUNCTION("""COMPUTED_VALUE"""),"")</f>
        <v/>
      </c>
      <c r="N1620" t="str">
        <f>IFERROR(__xludf.DUMMYFUNCTION("""COMPUTED_VALUE"""),"")</f>
        <v/>
      </c>
      <c r="O1620" t="str">
        <f>IFERROR(__xludf.DUMMYFUNCTION("""COMPUTED_VALUE"""),"")</f>
        <v/>
      </c>
      <c r="P1620" t="str">
        <f>IFERROR(__xludf.DUMMYFUNCTION("""COMPUTED_VALUE"""),"ID ")</f>
        <v>ID </v>
      </c>
    </row>
    <row r="1621">
      <c r="A1621" s="6" t="str">
        <f>IFERROR(__xludf.DUMMYFUNCTION("""COMPUTED_VALUE"""),"")</f>
        <v/>
      </c>
      <c r="C1621" t="str">
        <f>IFERROR(__xludf.DUMMYFUNCTION("""COMPUTED_VALUE"""),"")</f>
        <v/>
      </c>
      <c r="D1621" t="str">
        <f>IFERROR(__xludf.DUMMYFUNCTION("""COMPUTED_VALUE"""),"")</f>
        <v/>
      </c>
      <c r="E1621" t="str">
        <f>IFERROR(__xludf.DUMMYFUNCTION("""COMPUTED_VALUE"""),"")</f>
        <v/>
      </c>
      <c r="F1621" t="str">
        <f>IFERROR(__xludf.DUMMYFUNCTION("""COMPUTED_VALUE"""),"")</f>
        <v/>
      </c>
      <c r="G1621" t="str">
        <f>IFERROR(__xludf.DUMMYFUNCTION("""COMPUTED_VALUE"""),"")</f>
        <v/>
      </c>
      <c r="H1621" s="2" t="str">
        <f>IFERROR(__xludf.DUMMYFUNCTION("""COMPUTED_VALUE"""),"")</f>
        <v/>
      </c>
      <c r="I1621" s="2" t="str">
        <f>IFERROR(__xludf.DUMMYFUNCTION("""COMPUTED_VALUE"""),"")</f>
        <v/>
      </c>
      <c r="J1621" s="2">
        <f>IFERROR(__xludf.DUMMYFUNCTION("""COMPUTED_VALUE"""),0.0)</f>
        <v>0</v>
      </c>
      <c r="K1621" s="5" t="str">
        <f>IFERROR(__xludf.DUMMYFUNCTION("""COMPUTED_VALUE"""),"")</f>
        <v/>
      </c>
      <c r="L1621" t="str">
        <f>IFERROR(__xludf.DUMMYFUNCTION("""COMPUTED_VALUE"""),"")</f>
        <v/>
      </c>
      <c r="M1621" t="str">
        <f>IFERROR(__xludf.DUMMYFUNCTION("""COMPUTED_VALUE"""),"")</f>
        <v/>
      </c>
      <c r="N1621" t="str">
        <f>IFERROR(__xludf.DUMMYFUNCTION("""COMPUTED_VALUE"""),"")</f>
        <v/>
      </c>
      <c r="O1621" t="str">
        <f>IFERROR(__xludf.DUMMYFUNCTION("""COMPUTED_VALUE"""),"")</f>
        <v/>
      </c>
      <c r="P1621" t="str">
        <f>IFERROR(__xludf.DUMMYFUNCTION("""COMPUTED_VALUE"""),"ID ")</f>
        <v>ID </v>
      </c>
    </row>
    <row r="1622">
      <c r="A1622" s="6" t="str">
        <f>IFERROR(__xludf.DUMMYFUNCTION("""COMPUTED_VALUE"""),"")</f>
        <v/>
      </c>
      <c r="C1622" t="str">
        <f>IFERROR(__xludf.DUMMYFUNCTION("""COMPUTED_VALUE"""),"")</f>
        <v/>
      </c>
      <c r="D1622" t="str">
        <f>IFERROR(__xludf.DUMMYFUNCTION("""COMPUTED_VALUE"""),"")</f>
        <v/>
      </c>
      <c r="E1622" t="str">
        <f>IFERROR(__xludf.DUMMYFUNCTION("""COMPUTED_VALUE"""),"")</f>
        <v/>
      </c>
      <c r="F1622" t="str">
        <f>IFERROR(__xludf.DUMMYFUNCTION("""COMPUTED_VALUE"""),"")</f>
        <v/>
      </c>
      <c r="G1622" t="str">
        <f>IFERROR(__xludf.DUMMYFUNCTION("""COMPUTED_VALUE"""),"")</f>
        <v/>
      </c>
      <c r="H1622" s="2" t="str">
        <f>IFERROR(__xludf.DUMMYFUNCTION("""COMPUTED_VALUE"""),"")</f>
        <v/>
      </c>
      <c r="I1622" s="2" t="str">
        <f>IFERROR(__xludf.DUMMYFUNCTION("""COMPUTED_VALUE"""),"")</f>
        <v/>
      </c>
      <c r="J1622" s="2">
        <f>IFERROR(__xludf.DUMMYFUNCTION("""COMPUTED_VALUE"""),0.0)</f>
        <v>0</v>
      </c>
      <c r="K1622" s="5" t="str">
        <f>IFERROR(__xludf.DUMMYFUNCTION("""COMPUTED_VALUE"""),"")</f>
        <v/>
      </c>
      <c r="L1622" t="str">
        <f>IFERROR(__xludf.DUMMYFUNCTION("""COMPUTED_VALUE"""),"")</f>
        <v/>
      </c>
      <c r="M1622" t="str">
        <f>IFERROR(__xludf.DUMMYFUNCTION("""COMPUTED_VALUE"""),"")</f>
        <v/>
      </c>
      <c r="N1622" t="str">
        <f>IFERROR(__xludf.DUMMYFUNCTION("""COMPUTED_VALUE"""),"")</f>
        <v/>
      </c>
      <c r="O1622" t="str">
        <f>IFERROR(__xludf.DUMMYFUNCTION("""COMPUTED_VALUE"""),"")</f>
        <v/>
      </c>
      <c r="P1622" t="str">
        <f>IFERROR(__xludf.DUMMYFUNCTION("""COMPUTED_VALUE"""),"ID ")</f>
        <v>ID </v>
      </c>
    </row>
    <row r="1623">
      <c r="A1623" s="6" t="str">
        <f>IFERROR(__xludf.DUMMYFUNCTION("""COMPUTED_VALUE"""),"")</f>
        <v/>
      </c>
      <c r="C1623" t="str">
        <f>IFERROR(__xludf.DUMMYFUNCTION("""COMPUTED_VALUE"""),"")</f>
        <v/>
      </c>
      <c r="D1623" t="str">
        <f>IFERROR(__xludf.DUMMYFUNCTION("""COMPUTED_VALUE"""),"")</f>
        <v/>
      </c>
      <c r="E1623" t="str">
        <f>IFERROR(__xludf.DUMMYFUNCTION("""COMPUTED_VALUE"""),"")</f>
        <v/>
      </c>
      <c r="F1623" t="str">
        <f>IFERROR(__xludf.DUMMYFUNCTION("""COMPUTED_VALUE"""),"")</f>
        <v/>
      </c>
      <c r="G1623" t="str">
        <f>IFERROR(__xludf.DUMMYFUNCTION("""COMPUTED_VALUE"""),"")</f>
        <v/>
      </c>
      <c r="H1623" s="2" t="str">
        <f>IFERROR(__xludf.DUMMYFUNCTION("""COMPUTED_VALUE"""),"")</f>
        <v/>
      </c>
      <c r="I1623" s="2" t="str">
        <f>IFERROR(__xludf.DUMMYFUNCTION("""COMPUTED_VALUE"""),"")</f>
        <v/>
      </c>
      <c r="J1623" s="2">
        <f>IFERROR(__xludf.DUMMYFUNCTION("""COMPUTED_VALUE"""),0.0)</f>
        <v>0</v>
      </c>
      <c r="K1623" s="5" t="str">
        <f>IFERROR(__xludf.DUMMYFUNCTION("""COMPUTED_VALUE"""),"")</f>
        <v/>
      </c>
      <c r="L1623" t="str">
        <f>IFERROR(__xludf.DUMMYFUNCTION("""COMPUTED_VALUE"""),"")</f>
        <v/>
      </c>
      <c r="M1623" t="str">
        <f>IFERROR(__xludf.DUMMYFUNCTION("""COMPUTED_VALUE"""),"")</f>
        <v/>
      </c>
      <c r="N1623" t="str">
        <f>IFERROR(__xludf.DUMMYFUNCTION("""COMPUTED_VALUE"""),"")</f>
        <v/>
      </c>
      <c r="O1623" t="str">
        <f>IFERROR(__xludf.DUMMYFUNCTION("""COMPUTED_VALUE"""),"")</f>
        <v/>
      </c>
      <c r="P1623" t="str">
        <f>IFERROR(__xludf.DUMMYFUNCTION("""COMPUTED_VALUE"""),"ID ")</f>
        <v>ID </v>
      </c>
    </row>
    <row r="1624">
      <c r="A1624" s="6" t="str">
        <f>IFERROR(__xludf.DUMMYFUNCTION("""COMPUTED_VALUE"""),"")</f>
        <v/>
      </c>
      <c r="C1624" t="str">
        <f>IFERROR(__xludf.DUMMYFUNCTION("""COMPUTED_VALUE"""),"")</f>
        <v/>
      </c>
      <c r="D1624" t="str">
        <f>IFERROR(__xludf.DUMMYFUNCTION("""COMPUTED_VALUE"""),"")</f>
        <v/>
      </c>
      <c r="E1624" t="str">
        <f>IFERROR(__xludf.DUMMYFUNCTION("""COMPUTED_VALUE"""),"")</f>
        <v/>
      </c>
      <c r="F1624" t="str">
        <f>IFERROR(__xludf.DUMMYFUNCTION("""COMPUTED_VALUE"""),"")</f>
        <v/>
      </c>
      <c r="G1624" t="str">
        <f>IFERROR(__xludf.DUMMYFUNCTION("""COMPUTED_VALUE"""),"")</f>
        <v/>
      </c>
      <c r="H1624" s="2" t="str">
        <f>IFERROR(__xludf.DUMMYFUNCTION("""COMPUTED_VALUE"""),"")</f>
        <v/>
      </c>
      <c r="I1624" s="2" t="str">
        <f>IFERROR(__xludf.DUMMYFUNCTION("""COMPUTED_VALUE"""),"")</f>
        <v/>
      </c>
      <c r="J1624" s="2">
        <f>IFERROR(__xludf.DUMMYFUNCTION("""COMPUTED_VALUE"""),0.0)</f>
        <v>0</v>
      </c>
      <c r="K1624" s="5" t="str">
        <f>IFERROR(__xludf.DUMMYFUNCTION("""COMPUTED_VALUE"""),"")</f>
        <v/>
      </c>
      <c r="L1624" t="str">
        <f>IFERROR(__xludf.DUMMYFUNCTION("""COMPUTED_VALUE"""),"")</f>
        <v/>
      </c>
      <c r="M1624" t="str">
        <f>IFERROR(__xludf.DUMMYFUNCTION("""COMPUTED_VALUE"""),"")</f>
        <v/>
      </c>
      <c r="N1624" t="str">
        <f>IFERROR(__xludf.DUMMYFUNCTION("""COMPUTED_VALUE"""),"")</f>
        <v/>
      </c>
      <c r="O1624" t="str">
        <f>IFERROR(__xludf.DUMMYFUNCTION("""COMPUTED_VALUE"""),"")</f>
        <v/>
      </c>
      <c r="P1624" t="str">
        <f>IFERROR(__xludf.DUMMYFUNCTION("""COMPUTED_VALUE"""),"ID ")</f>
        <v>ID </v>
      </c>
    </row>
    <row r="1625">
      <c r="A1625" s="6" t="str">
        <f>IFERROR(__xludf.DUMMYFUNCTION("""COMPUTED_VALUE"""),"")</f>
        <v/>
      </c>
      <c r="C1625" t="str">
        <f>IFERROR(__xludf.DUMMYFUNCTION("""COMPUTED_VALUE"""),"")</f>
        <v/>
      </c>
      <c r="D1625" t="str">
        <f>IFERROR(__xludf.DUMMYFUNCTION("""COMPUTED_VALUE"""),"")</f>
        <v/>
      </c>
      <c r="E1625" t="str">
        <f>IFERROR(__xludf.DUMMYFUNCTION("""COMPUTED_VALUE"""),"")</f>
        <v/>
      </c>
      <c r="F1625" t="str">
        <f>IFERROR(__xludf.DUMMYFUNCTION("""COMPUTED_VALUE"""),"")</f>
        <v/>
      </c>
      <c r="G1625" t="str">
        <f>IFERROR(__xludf.DUMMYFUNCTION("""COMPUTED_VALUE"""),"")</f>
        <v/>
      </c>
      <c r="H1625" s="2" t="str">
        <f>IFERROR(__xludf.DUMMYFUNCTION("""COMPUTED_VALUE"""),"")</f>
        <v/>
      </c>
      <c r="I1625" s="2" t="str">
        <f>IFERROR(__xludf.DUMMYFUNCTION("""COMPUTED_VALUE"""),"")</f>
        <v/>
      </c>
      <c r="J1625" s="2">
        <f>IFERROR(__xludf.DUMMYFUNCTION("""COMPUTED_VALUE"""),0.0)</f>
        <v>0</v>
      </c>
      <c r="K1625" s="5" t="str">
        <f>IFERROR(__xludf.DUMMYFUNCTION("""COMPUTED_VALUE"""),"")</f>
        <v/>
      </c>
      <c r="L1625" t="str">
        <f>IFERROR(__xludf.DUMMYFUNCTION("""COMPUTED_VALUE"""),"")</f>
        <v/>
      </c>
      <c r="M1625" t="str">
        <f>IFERROR(__xludf.DUMMYFUNCTION("""COMPUTED_VALUE"""),"")</f>
        <v/>
      </c>
      <c r="N1625" t="str">
        <f>IFERROR(__xludf.DUMMYFUNCTION("""COMPUTED_VALUE"""),"")</f>
        <v/>
      </c>
      <c r="O1625" t="str">
        <f>IFERROR(__xludf.DUMMYFUNCTION("""COMPUTED_VALUE"""),"")</f>
        <v/>
      </c>
      <c r="P1625" t="str">
        <f>IFERROR(__xludf.DUMMYFUNCTION("""COMPUTED_VALUE"""),"ID ")</f>
        <v>ID </v>
      </c>
    </row>
    <row r="1626">
      <c r="A1626" s="6" t="str">
        <f>IFERROR(__xludf.DUMMYFUNCTION("""COMPUTED_VALUE"""),"")</f>
        <v/>
      </c>
      <c r="C1626" t="str">
        <f>IFERROR(__xludf.DUMMYFUNCTION("""COMPUTED_VALUE"""),"")</f>
        <v/>
      </c>
      <c r="D1626" t="str">
        <f>IFERROR(__xludf.DUMMYFUNCTION("""COMPUTED_VALUE"""),"")</f>
        <v/>
      </c>
      <c r="E1626" t="str">
        <f>IFERROR(__xludf.DUMMYFUNCTION("""COMPUTED_VALUE"""),"")</f>
        <v/>
      </c>
      <c r="F1626" t="str">
        <f>IFERROR(__xludf.DUMMYFUNCTION("""COMPUTED_VALUE"""),"")</f>
        <v/>
      </c>
      <c r="G1626" t="str">
        <f>IFERROR(__xludf.DUMMYFUNCTION("""COMPUTED_VALUE"""),"")</f>
        <v/>
      </c>
      <c r="H1626" s="2" t="str">
        <f>IFERROR(__xludf.DUMMYFUNCTION("""COMPUTED_VALUE"""),"")</f>
        <v/>
      </c>
      <c r="I1626" s="2" t="str">
        <f>IFERROR(__xludf.DUMMYFUNCTION("""COMPUTED_VALUE"""),"")</f>
        <v/>
      </c>
      <c r="J1626" s="2">
        <f>IFERROR(__xludf.DUMMYFUNCTION("""COMPUTED_VALUE"""),0.0)</f>
        <v>0</v>
      </c>
      <c r="K1626" s="5" t="str">
        <f>IFERROR(__xludf.DUMMYFUNCTION("""COMPUTED_VALUE"""),"")</f>
        <v/>
      </c>
      <c r="L1626" t="str">
        <f>IFERROR(__xludf.DUMMYFUNCTION("""COMPUTED_VALUE"""),"")</f>
        <v/>
      </c>
      <c r="M1626" t="str">
        <f>IFERROR(__xludf.DUMMYFUNCTION("""COMPUTED_VALUE"""),"")</f>
        <v/>
      </c>
      <c r="N1626" t="str">
        <f>IFERROR(__xludf.DUMMYFUNCTION("""COMPUTED_VALUE"""),"")</f>
        <v/>
      </c>
      <c r="O1626" t="str">
        <f>IFERROR(__xludf.DUMMYFUNCTION("""COMPUTED_VALUE"""),"")</f>
        <v/>
      </c>
      <c r="P1626" t="str">
        <f>IFERROR(__xludf.DUMMYFUNCTION("""COMPUTED_VALUE"""),"ID ")</f>
        <v>ID </v>
      </c>
    </row>
    <row r="1627">
      <c r="A1627" s="6" t="str">
        <f>IFERROR(__xludf.DUMMYFUNCTION("""COMPUTED_VALUE"""),"")</f>
        <v/>
      </c>
      <c r="C1627" t="str">
        <f>IFERROR(__xludf.DUMMYFUNCTION("""COMPUTED_VALUE"""),"")</f>
        <v/>
      </c>
      <c r="D1627" t="str">
        <f>IFERROR(__xludf.DUMMYFUNCTION("""COMPUTED_VALUE"""),"")</f>
        <v/>
      </c>
      <c r="E1627" t="str">
        <f>IFERROR(__xludf.DUMMYFUNCTION("""COMPUTED_VALUE"""),"")</f>
        <v/>
      </c>
      <c r="F1627" t="str">
        <f>IFERROR(__xludf.DUMMYFUNCTION("""COMPUTED_VALUE"""),"")</f>
        <v/>
      </c>
      <c r="G1627" t="str">
        <f>IFERROR(__xludf.DUMMYFUNCTION("""COMPUTED_VALUE"""),"")</f>
        <v/>
      </c>
      <c r="H1627" s="2" t="str">
        <f>IFERROR(__xludf.DUMMYFUNCTION("""COMPUTED_VALUE"""),"")</f>
        <v/>
      </c>
      <c r="I1627" s="2" t="str">
        <f>IFERROR(__xludf.DUMMYFUNCTION("""COMPUTED_VALUE"""),"")</f>
        <v/>
      </c>
      <c r="J1627" s="2">
        <f>IFERROR(__xludf.DUMMYFUNCTION("""COMPUTED_VALUE"""),0.0)</f>
        <v>0</v>
      </c>
      <c r="K1627" s="5" t="str">
        <f>IFERROR(__xludf.DUMMYFUNCTION("""COMPUTED_VALUE"""),"")</f>
        <v/>
      </c>
      <c r="L1627" t="str">
        <f>IFERROR(__xludf.DUMMYFUNCTION("""COMPUTED_VALUE"""),"")</f>
        <v/>
      </c>
      <c r="M1627" t="str">
        <f>IFERROR(__xludf.DUMMYFUNCTION("""COMPUTED_VALUE"""),"")</f>
        <v/>
      </c>
      <c r="N1627" t="str">
        <f>IFERROR(__xludf.DUMMYFUNCTION("""COMPUTED_VALUE"""),"")</f>
        <v/>
      </c>
      <c r="O1627" t="str">
        <f>IFERROR(__xludf.DUMMYFUNCTION("""COMPUTED_VALUE"""),"")</f>
        <v/>
      </c>
      <c r="P1627" t="str">
        <f>IFERROR(__xludf.DUMMYFUNCTION("""COMPUTED_VALUE"""),"ID ")</f>
        <v>ID </v>
      </c>
    </row>
    <row r="1628">
      <c r="A1628" s="6" t="str">
        <f>IFERROR(__xludf.DUMMYFUNCTION("""COMPUTED_VALUE"""),"")</f>
        <v/>
      </c>
      <c r="C1628" t="str">
        <f>IFERROR(__xludf.DUMMYFUNCTION("""COMPUTED_VALUE"""),"")</f>
        <v/>
      </c>
      <c r="D1628" t="str">
        <f>IFERROR(__xludf.DUMMYFUNCTION("""COMPUTED_VALUE"""),"")</f>
        <v/>
      </c>
      <c r="E1628" t="str">
        <f>IFERROR(__xludf.DUMMYFUNCTION("""COMPUTED_VALUE"""),"")</f>
        <v/>
      </c>
      <c r="F1628" t="str">
        <f>IFERROR(__xludf.DUMMYFUNCTION("""COMPUTED_VALUE"""),"")</f>
        <v/>
      </c>
      <c r="G1628" t="str">
        <f>IFERROR(__xludf.DUMMYFUNCTION("""COMPUTED_VALUE"""),"")</f>
        <v/>
      </c>
      <c r="H1628" s="2" t="str">
        <f>IFERROR(__xludf.DUMMYFUNCTION("""COMPUTED_VALUE"""),"")</f>
        <v/>
      </c>
      <c r="I1628" s="2" t="str">
        <f>IFERROR(__xludf.DUMMYFUNCTION("""COMPUTED_VALUE"""),"")</f>
        <v/>
      </c>
      <c r="J1628" s="2">
        <f>IFERROR(__xludf.DUMMYFUNCTION("""COMPUTED_VALUE"""),0.0)</f>
        <v>0</v>
      </c>
      <c r="K1628" s="5" t="str">
        <f>IFERROR(__xludf.DUMMYFUNCTION("""COMPUTED_VALUE"""),"")</f>
        <v/>
      </c>
      <c r="L1628" t="str">
        <f>IFERROR(__xludf.DUMMYFUNCTION("""COMPUTED_VALUE"""),"")</f>
        <v/>
      </c>
      <c r="M1628" t="str">
        <f>IFERROR(__xludf.DUMMYFUNCTION("""COMPUTED_VALUE"""),"")</f>
        <v/>
      </c>
      <c r="N1628" t="str">
        <f>IFERROR(__xludf.DUMMYFUNCTION("""COMPUTED_VALUE"""),"")</f>
        <v/>
      </c>
      <c r="O1628" t="str">
        <f>IFERROR(__xludf.DUMMYFUNCTION("""COMPUTED_VALUE"""),"")</f>
        <v/>
      </c>
      <c r="P1628" t="str">
        <f>IFERROR(__xludf.DUMMYFUNCTION("""COMPUTED_VALUE"""),"ID ")</f>
        <v>ID </v>
      </c>
    </row>
    <row r="1629">
      <c r="A1629" s="6" t="str">
        <f>IFERROR(__xludf.DUMMYFUNCTION("""COMPUTED_VALUE"""),"")</f>
        <v/>
      </c>
      <c r="C1629" t="str">
        <f>IFERROR(__xludf.DUMMYFUNCTION("""COMPUTED_VALUE"""),"")</f>
        <v/>
      </c>
      <c r="D1629" t="str">
        <f>IFERROR(__xludf.DUMMYFUNCTION("""COMPUTED_VALUE"""),"")</f>
        <v/>
      </c>
      <c r="E1629" t="str">
        <f>IFERROR(__xludf.DUMMYFUNCTION("""COMPUTED_VALUE"""),"")</f>
        <v/>
      </c>
      <c r="F1629" t="str">
        <f>IFERROR(__xludf.DUMMYFUNCTION("""COMPUTED_VALUE"""),"")</f>
        <v/>
      </c>
      <c r="G1629" t="str">
        <f>IFERROR(__xludf.DUMMYFUNCTION("""COMPUTED_VALUE"""),"")</f>
        <v/>
      </c>
      <c r="H1629" s="2" t="str">
        <f>IFERROR(__xludf.DUMMYFUNCTION("""COMPUTED_VALUE"""),"")</f>
        <v/>
      </c>
      <c r="I1629" s="2" t="str">
        <f>IFERROR(__xludf.DUMMYFUNCTION("""COMPUTED_VALUE"""),"")</f>
        <v/>
      </c>
      <c r="J1629" s="2">
        <f>IFERROR(__xludf.DUMMYFUNCTION("""COMPUTED_VALUE"""),0.0)</f>
        <v>0</v>
      </c>
      <c r="K1629" s="5" t="str">
        <f>IFERROR(__xludf.DUMMYFUNCTION("""COMPUTED_VALUE"""),"")</f>
        <v/>
      </c>
      <c r="L1629" t="str">
        <f>IFERROR(__xludf.DUMMYFUNCTION("""COMPUTED_VALUE"""),"")</f>
        <v/>
      </c>
      <c r="M1629" t="str">
        <f>IFERROR(__xludf.DUMMYFUNCTION("""COMPUTED_VALUE"""),"")</f>
        <v/>
      </c>
      <c r="N1629" t="str">
        <f>IFERROR(__xludf.DUMMYFUNCTION("""COMPUTED_VALUE"""),"")</f>
        <v/>
      </c>
      <c r="O1629" t="str">
        <f>IFERROR(__xludf.DUMMYFUNCTION("""COMPUTED_VALUE"""),"")</f>
        <v/>
      </c>
      <c r="P1629" t="str">
        <f>IFERROR(__xludf.DUMMYFUNCTION("""COMPUTED_VALUE"""),"ID ")</f>
        <v>ID </v>
      </c>
    </row>
    <row r="1630">
      <c r="A1630" s="6" t="str">
        <f>IFERROR(__xludf.DUMMYFUNCTION("""COMPUTED_VALUE"""),"")</f>
        <v/>
      </c>
      <c r="C1630" t="str">
        <f>IFERROR(__xludf.DUMMYFUNCTION("""COMPUTED_VALUE"""),"")</f>
        <v/>
      </c>
      <c r="D1630" t="str">
        <f>IFERROR(__xludf.DUMMYFUNCTION("""COMPUTED_VALUE"""),"")</f>
        <v/>
      </c>
      <c r="E1630" t="str">
        <f>IFERROR(__xludf.DUMMYFUNCTION("""COMPUTED_VALUE"""),"")</f>
        <v/>
      </c>
      <c r="F1630" t="str">
        <f>IFERROR(__xludf.DUMMYFUNCTION("""COMPUTED_VALUE"""),"")</f>
        <v/>
      </c>
      <c r="G1630" t="str">
        <f>IFERROR(__xludf.DUMMYFUNCTION("""COMPUTED_VALUE"""),"")</f>
        <v/>
      </c>
      <c r="H1630" s="2" t="str">
        <f>IFERROR(__xludf.DUMMYFUNCTION("""COMPUTED_VALUE"""),"")</f>
        <v/>
      </c>
      <c r="I1630" s="2" t="str">
        <f>IFERROR(__xludf.DUMMYFUNCTION("""COMPUTED_VALUE"""),"")</f>
        <v/>
      </c>
      <c r="J1630" s="2">
        <f>IFERROR(__xludf.DUMMYFUNCTION("""COMPUTED_VALUE"""),0.0)</f>
        <v>0</v>
      </c>
      <c r="K1630" s="5" t="str">
        <f>IFERROR(__xludf.DUMMYFUNCTION("""COMPUTED_VALUE"""),"")</f>
        <v/>
      </c>
      <c r="L1630" t="str">
        <f>IFERROR(__xludf.DUMMYFUNCTION("""COMPUTED_VALUE"""),"")</f>
        <v/>
      </c>
      <c r="M1630" t="str">
        <f>IFERROR(__xludf.DUMMYFUNCTION("""COMPUTED_VALUE"""),"")</f>
        <v/>
      </c>
      <c r="N1630" t="str">
        <f>IFERROR(__xludf.DUMMYFUNCTION("""COMPUTED_VALUE"""),"")</f>
        <v/>
      </c>
      <c r="O1630" t="str">
        <f>IFERROR(__xludf.DUMMYFUNCTION("""COMPUTED_VALUE"""),"")</f>
        <v/>
      </c>
      <c r="P1630" t="str">
        <f>IFERROR(__xludf.DUMMYFUNCTION("""COMPUTED_VALUE"""),"ID ")</f>
        <v>ID </v>
      </c>
    </row>
    <row r="1631">
      <c r="A1631" s="6" t="str">
        <f>IFERROR(__xludf.DUMMYFUNCTION("""COMPUTED_VALUE"""),"")</f>
        <v/>
      </c>
      <c r="C1631" t="str">
        <f>IFERROR(__xludf.DUMMYFUNCTION("""COMPUTED_VALUE"""),"")</f>
        <v/>
      </c>
      <c r="D1631" t="str">
        <f>IFERROR(__xludf.DUMMYFUNCTION("""COMPUTED_VALUE"""),"")</f>
        <v/>
      </c>
      <c r="E1631" t="str">
        <f>IFERROR(__xludf.DUMMYFUNCTION("""COMPUTED_VALUE"""),"")</f>
        <v/>
      </c>
      <c r="F1631" t="str">
        <f>IFERROR(__xludf.DUMMYFUNCTION("""COMPUTED_VALUE"""),"")</f>
        <v/>
      </c>
      <c r="G1631" t="str">
        <f>IFERROR(__xludf.DUMMYFUNCTION("""COMPUTED_VALUE"""),"")</f>
        <v/>
      </c>
      <c r="H1631" s="2" t="str">
        <f>IFERROR(__xludf.DUMMYFUNCTION("""COMPUTED_VALUE"""),"")</f>
        <v/>
      </c>
      <c r="I1631" s="2" t="str">
        <f>IFERROR(__xludf.DUMMYFUNCTION("""COMPUTED_VALUE"""),"")</f>
        <v/>
      </c>
      <c r="J1631" s="2">
        <f>IFERROR(__xludf.DUMMYFUNCTION("""COMPUTED_VALUE"""),0.0)</f>
        <v>0</v>
      </c>
      <c r="K1631" s="5" t="str">
        <f>IFERROR(__xludf.DUMMYFUNCTION("""COMPUTED_VALUE"""),"")</f>
        <v/>
      </c>
      <c r="L1631" t="str">
        <f>IFERROR(__xludf.DUMMYFUNCTION("""COMPUTED_VALUE"""),"")</f>
        <v/>
      </c>
      <c r="M1631" t="str">
        <f>IFERROR(__xludf.DUMMYFUNCTION("""COMPUTED_VALUE"""),"")</f>
        <v/>
      </c>
      <c r="N1631" t="str">
        <f>IFERROR(__xludf.DUMMYFUNCTION("""COMPUTED_VALUE"""),"")</f>
        <v/>
      </c>
      <c r="O1631" t="str">
        <f>IFERROR(__xludf.DUMMYFUNCTION("""COMPUTED_VALUE"""),"")</f>
        <v/>
      </c>
      <c r="P1631" t="str">
        <f>IFERROR(__xludf.DUMMYFUNCTION("""COMPUTED_VALUE"""),"ID ")</f>
        <v>ID </v>
      </c>
    </row>
    <row r="1632">
      <c r="A1632" s="6" t="str">
        <f>IFERROR(__xludf.DUMMYFUNCTION("""COMPUTED_VALUE"""),"")</f>
        <v/>
      </c>
      <c r="C1632" t="str">
        <f>IFERROR(__xludf.DUMMYFUNCTION("""COMPUTED_VALUE"""),"")</f>
        <v/>
      </c>
      <c r="D1632" t="str">
        <f>IFERROR(__xludf.DUMMYFUNCTION("""COMPUTED_VALUE"""),"")</f>
        <v/>
      </c>
      <c r="E1632" t="str">
        <f>IFERROR(__xludf.DUMMYFUNCTION("""COMPUTED_VALUE"""),"")</f>
        <v/>
      </c>
      <c r="F1632" t="str">
        <f>IFERROR(__xludf.DUMMYFUNCTION("""COMPUTED_VALUE"""),"")</f>
        <v/>
      </c>
      <c r="G1632" t="str">
        <f>IFERROR(__xludf.DUMMYFUNCTION("""COMPUTED_VALUE"""),"")</f>
        <v/>
      </c>
      <c r="H1632" s="2" t="str">
        <f>IFERROR(__xludf.DUMMYFUNCTION("""COMPUTED_VALUE"""),"")</f>
        <v/>
      </c>
      <c r="I1632" s="2" t="str">
        <f>IFERROR(__xludf.DUMMYFUNCTION("""COMPUTED_VALUE"""),"")</f>
        <v/>
      </c>
      <c r="J1632" s="2">
        <f>IFERROR(__xludf.DUMMYFUNCTION("""COMPUTED_VALUE"""),0.0)</f>
        <v>0</v>
      </c>
      <c r="K1632" s="5" t="str">
        <f>IFERROR(__xludf.DUMMYFUNCTION("""COMPUTED_VALUE"""),"")</f>
        <v/>
      </c>
      <c r="L1632" t="str">
        <f>IFERROR(__xludf.DUMMYFUNCTION("""COMPUTED_VALUE"""),"")</f>
        <v/>
      </c>
      <c r="M1632" t="str">
        <f>IFERROR(__xludf.DUMMYFUNCTION("""COMPUTED_VALUE"""),"")</f>
        <v/>
      </c>
      <c r="N1632" t="str">
        <f>IFERROR(__xludf.DUMMYFUNCTION("""COMPUTED_VALUE"""),"")</f>
        <v/>
      </c>
      <c r="O1632" t="str">
        <f>IFERROR(__xludf.DUMMYFUNCTION("""COMPUTED_VALUE"""),"")</f>
        <v/>
      </c>
      <c r="P1632" t="str">
        <f>IFERROR(__xludf.DUMMYFUNCTION("""COMPUTED_VALUE"""),"ID ")</f>
        <v>ID </v>
      </c>
    </row>
    <row r="1633">
      <c r="A1633" s="6" t="str">
        <f>IFERROR(__xludf.DUMMYFUNCTION("""COMPUTED_VALUE"""),"")</f>
        <v/>
      </c>
      <c r="C1633" t="str">
        <f>IFERROR(__xludf.DUMMYFUNCTION("""COMPUTED_VALUE"""),"")</f>
        <v/>
      </c>
      <c r="D1633" t="str">
        <f>IFERROR(__xludf.DUMMYFUNCTION("""COMPUTED_VALUE"""),"")</f>
        <v/>
      </c>
      <c r="E1633" t="str">
        <f>IFERROR(__xludf.DUMMYFUNCTION("""COMPUTED_VALUE"""),"")</f>
        <v/>
      </c>
      <c r="F1633" t="str">
        <f>IFERROR(__xludf.DUMMYFUNCTION("""COMPUTED_VALUE"""),"")</f>
        <v/>
      </c>
      <c r="G1633" t="str">
        <f>IFERROR(__xludf.DUMMYFUNCTION("""COMPUTED_VALUE"""),"")</f>
        <v/>
      </c>
      <c r="H1633" s="2" t="str">
        <f>IFERROR(__xludf.DUMMYFUNCTION("""COMPUTED_VALUE"""),"")</f>
        <v/>
      </c>
      <c r="I1633" s="2" t="str">
        <f>IFERROR(__xludf.DUMMYFUNCTION("""COMPUTED_VALUE"""),"")</f>
        <v/>
      </c>
      <c r="J1633" s="2">
        <f>IFERROR(__xludf.DUMMYFUNCTION("""COMPUTED_VALUE"""),0.0)</f>
        <v>0</v>
      </c>
      <c r="K1633" s="5" t="str">
        <f>IFERROR(__xludf.DUMMYFUNCTION("""COMPUTED_VALUE"""),"")</f>
        <v/>
      </c>
      <c r="L1633" t="str">
        <f>IFERROR(__xludf.DUMMYFUNCTION("""COMPUTED_VALUE"""),"")</f>
        <v/>
      </c>
      <c r="M1633" t="str">
        <f>IFERROR(__xludf.DUMMYFUNCTION("""COMPUTED_VALUE"""),"")</f>
        <v/>
      </c>
      <c r="N1633" t="str">
        <f>IFERROR(__xludf.DUMMYFUNCTION("""COMPUTED_VALUE"""),"")</f>
        <v/>
      </c>
      <c r="O1633" t="str">
        <f>IFERROR(__xludf.DUMMYFUNCTION("""COMPUTED_VALUE"""),"")</f>
        <v/>
      </c>
      <c r="P1633" t="str">
        <f>IFERROR(__xludf.DUMMYFUNCTION("""COMPUTED_VALUE"""),"ID ")</f>
        <v>ID </v>
      </c>
    </row>
    <row r="1634">
      <c r="A1634" s="6" t="str">
        <f>IFERROR(__xludf.DUMMYFUNCTION("""COMPUTED_VALUE"""),"")</f>
        <v/>
      </c>
      <c r="C1634" t="str">
        <f>IFERROR(__xludf.DUMMYFUNCTION("""COMPUTED_VALUE"""),"")</f>
        <v/>
      </c>
      <c r="D1634" t="str">
        <f>IFERROR(__xludf.DUMMYFUNCTION("""COMPUTED_VALUE"""),"")</f>
        <v/>
      </c>
      <c r="E1634" t="str">
        <f>IFERROR(__xludf.DUMMYFUNCTION("""COMPUTED_VALUE"""),"")</f>
        <v/>
      </c>
      <c r="F1634" t="str">
        <f>IFERROR(__xludf.DUMMYFUNCTION("""COMPUTED_VALUE"""),"")</f>
        <v/>
      </c>
      <c r="G1634" t="str">
        <f>IFERROR(__xludf.DUMMYFUNCTION("""COMPUTED_VALUE"""),"")</f>
        <v/>
      </c>
      <c r="H1634" s="2" t="str">
        <f>IFERROR(__xludf.DUMMYFUNCTION("""COMPUTED_VALUE"""),"")</f>
        <v/>
      </c>
      <c r="I1634" s="2" t="str">
        <f>IFERROR(__xludf.DUMMYFUNCTION("""COMPUTED_VALUE"""),"")</f>
        <v/>
      </c>
      <c r="J1634" s="2">
        <f>IFERROR(__xludf.DUMMYFUNCTION("""COMPUTED_VALUE"""),0.0)</f>
        <v>0</v>
      </c>
      <c r="K1634" s="5" t="str">
        <f>IFERROR(__xludf.DUMMYFUNCTION("""COMPUTED_VALUE"""),"")</f>
        <v/>
      </c>
      <c r="L1634" t="str">
        <f>IFERROR(__xludf.DUMMYFUNCTION("""COMPUTED_VALUE"""),"")</f>
        <v/>
      </c>
      <c r="M1634" t="str">
        <f>IFERROR(__xludf.DUMMYFUNCTION("""COMPUTED_VALUE"""),"")</f>
        <v/>
      </c>
      <c r="N1634" t="str">
        <f>IFERROR(__xludf.DUMMYFUNCTION("""COMPUTED_VALUE"""),"")</f>
        <v/>
      </c>
      <c r="O1634" t="str">
        <f>IFERROR(__xludf.DUMMYFUNCTION("""COMPUTED_VALUE"""),"")</f>
        <v/>
      </c>
      <c r="P1634" t="str">
        <f>IFERROR(__xludf.DUMMYFUNCTION("""COMPUTED_VALUE"""),"ID ")</f>
        <v>ID </v>
      </c>
    </row>
    <row r="1635">
      <c r="A1635" s="6" t="str">
        <f>IFERROR(__xludf.DUMMYFUNCTION("""COMPUTED_VALUE"""),"")</f>
        <v/>
      </c>
      <c r="C1635" t="str">
        <f>IFERROR(__xludf.DUMMYFUNCTION("""COMPUTED_VALUE"""),"")</f>
        <v/>
      </c>
      <c r="D1635" t="str">
        <f>IFERROR(__xludf.DUMMYFUNCTION("""COMPUTED_VALUE"""),"")</f>
        <v/>
      </c>
      <c r="E1635" t="str">
        <f>IFERROR(__xludf.DUMMYFUNCTION("""COMPUTED_VALUE"""),"")</f>
        <v/>
      </c>
      <c r="F1635" t="str">
        <f>IFERROR(__xludf.DUMMYFUNCTION("""COMPUTED_VALUE"""),"")</f>
        <v/>
      </c>
      <c r="G1635" t="str">
        <f>IFERROR(__xludf.DUMMYFUNCTION("""COMPUTED_VALUE"""),"")</f>
        <v/>
      </c>
      <c r="H1635" s="2" t="str">
        <f>IFERROR(__xludf.DUMMYFUNCTION("""COMPUTED_VALUE"""),"")</f>
        <v/>
      </c>
      <c r="I1635" s="2" t="str">
        <f>IFERROR(__xludf.DUMMYFUNCTION("""COMPUTED_VALUE"""),"")</f>
        <v/>
      </c>
      <c r="J1635" s="2">
        <f>IFERROR(__xludf.DUMMYFUNCTION("""COMPUTED_VALUE"""),0.0)</f>
        <v>0</v>
      </c>
      <c r="K1635" s="5" t="str">
        <f>IFERROR(__xludf.DUMMYFUNCTION("""COMPUTED_VALUE"""),"")</f>
        <v/>
      </c>
      <c r="L1635" t="str">
        <f>IFERROR(__xludf.DUMMYFUNCTION("""COMPUTED_VALUE"""),"")</f>
        <v/>
      </c>
      <c r="M1635" t="str">
        <f>IFERROR(__xludf.DUMMYFUNCTION("""COMPUTED_VALUE"""),"")</f>
        <v/>
      </c>
      <c r="N1635" t="str">
        <f>IFERROR(__xludf.DUMMYFUNCTION("""COMPUTED_VALUE"""),"")</f>
        <v/>
      </c>
      <c r="O1635" t="str">
        <f>IFERROR(__xludf.DUMMYFUNCTION("""COMPUTED_VALUE"""),"")</f>
        <v/>
      </c>
      <c r="P1635" t="str">
        <f>IFERROR(__xludf.DUMMYFUNCTION("""COMPUTED_VALUE"""),"ID ")</f>
        <v>ID </v>
      </c>
    </row>
    <row r="1636">
      <c r="A1636" s="6" t="str">
        <f>IFERROR(__xludf.DUMMYFUNCTION("""COMPUTED_VALUE"""),"")</f>
        <v/>
      </c>
      <c r="C1636" t="str">
        <f>IFERROR(__xludf.DUMMYFUNCTION("""COMPUTED_VALUE"""),"")</f>
        <v/>
      </c>
      <c r="D1636" t="str">
        <f>IFERROR(__xludf.DUMMYFUNCTION("""COMPUTED_VALUE"""),"")</f>
        <v/>
      </c>
      <c r="E1636" t="str">
        <f>IFERROR(__xludf.DUMMYFUNCTION("""COMPUTED_VALUE"""),"")</f>
        <v/>
      </c>
      <c r="F1636" t="str">
        <f>IFERROR(__xludf.DUMMYFUNCTION("""COMPUTED_VALUE"""),"")</f>
        <v/>
      </c>
      <c r="G1636" t="str">
        <f>IFERROR(__xludf.DUMMYFUNCTION("""COMPUTED_VALUE"""),"")</f>
        <v/>
      </c>
      <c r="H1636" s="2" t="str">
        <f>IFERROR(__xludf.DUMMYFUNCTION("""COMPUTED_VALUE"""),"")</f>
        <v/>
      </c>
      <c r="I1636" s="2" t="str">
        <f>IFERROR(__xludf.DUMMYFUNCTION("""COMPUTED_VALUE"""),"")</f>
        <v/>
      </c>
      <c r="J1636" s="2">
        <f>IFERROR(__xludf.DUMMYFUNCTION("""COMPUTED_VALUE"""),0.0)</f>
        <v>0</v>
      </c>
      <c r="K1636" s="5" t="str">
        <f>IFERROR(__xludf.DUMMYFUNCTION("""COMPUTED_VALUE"""),"")</f>
        <v/>
      </c>
      <c r="L1636" t="str">
        <f>IFERROR(__xludf.DUMMYFUNCTION("""COMPUTED_VALUE"""),"")</f>
        <v/>
      </c>
      <c r="M1636" t="str">
        <f>IFERROR(__xludf.DUMMYFUNCTION("""COMPUTED_VALUE"""),"")</f>
        <v/>
      </c>
      <c r="N1636" t="str">
        <f>IFERROR(__xludf.DUMMYFUNCTION("""COMPUTED_VALUE"""),"")</f>
        <v/>
      </c>
      <c r="O1636" t="str">
        <f>IFERROR(__xludf.DUMMYFUNCTION("""COMPUTED_VALUE"""),"")</f>
        <v/>
      </c>
      <c r="P1636" t="str">
        <f>IFERROR(__xludf.DUMMYFUNCTION("""COMPUTED_VALUE"""),"ID ")</f>
        <v>ID </v>
      </c>
    </row>
    <row r="1637">
      <c r="A1637" s="6" t="str">
        <f>IFERROR(__xludf.DUMMYFUNCTION("""COMPUTED_VALUE"""),"")</f>
        <v/>
      </c>
      <c r="C1637" t="str">
        <f>IFERROR(__xludf.DUMMYFUNCTION("""COMPUTED_VALUE"""),"")</f>
        <v/>
      </c>
      <c r="D1637" t="str">
        <f>IFERROR(__xludf.DUMMYFUNCTION("""COMPUTED_VALUE"""),"")</f>
        <v/>
      </c>
      <c r="E1637" t="str">
        <f>IFERROR(__xludf.DUMMYFUNCTION("""COMPUTED_VALUE"""),"")</f>
        <v/>
      </c>
      <c r="F1637" t="str">
        <f>IFERROR(__xludf.DUMMYFUNCTION("""COMPUTED_VALUE"""),"")</f>
        <v/>
      </c>
      <c r="G1637" t="str">
        <f>IFERROR(__xludf.DUMMYFUNCTION("""COMPUTED_VALUE"""),"")</f>
        <v/>
      </c>
      <c r="H1637" s="2" t="str">
        <f>IFERROR(__xludf.DUMMYFUNCTION("""COMPUTED_VALUE"""),"")</f>
        <v/>
      </c>
      <c r="I1637" s="2" t="str">
        <f>IFERROR(__xludf.DUMMYFUNCTION("""COMPUTED_VALUE"""),"")</f>
        <v/>
      </c>
      <c r="J1637" s="2">
        <f>IFERROR(__xludf.DUMMYFUNCTION("""COMPUTED_VALUE"""),0.0)</f>
        <v>0</v>
      </c>
      <c r="K1637" s="5" t="str">
        <f>IFERROR(__xludf.DUMMYFUNCTION("""COMPUTED_VALUE"""),"")</f>
        <v/>
      </c>
      <c r="L1637" t="str">
        <f>IFERROR(__xludf.DUMMYFUNCTION("""COMPUTED_VALUE"""),"")</f>
        <v/>
      </c>
      <c r="M1637" t="str">
        <f>IFERROR(__xludf.DUMMYFUNCTION("""COMPUTED_VALUE"""),"")</f>
        <v/>
      </c>
      <c r="N1637" t="str">
        <f>IFERROR(__xludf.DUMMYFUNCTION("""COMPUTED_VALUE"""),"")</f>
        <v/>
      </c>
      <c r="O1637" t="str">
        <f>IFERROR(__xludf.DUMMYFUNCTION("""COMPUTED_VALUE"""),"")</f>
        <v/>
      </c>
      <c r="P1637" t="str">
        <f>IFERROR(__xludf.DUMMYFUNCTION("""COMPUTED_VALUE"""),"ID ")</f>
        <v>ID </v>
      </c>
    </row>
    <row r="1638">
      <c r="A1638" s="6" t="str">
        <f>IFERROR(__xludf.DUMMYFUNCTION("""COMPUTED_VALUE"""),"")</f>
        <v/>
      </c>
      <c r="C1638" t="str">
        <f>IFERROR(__xludf.DUMMYFUNCTION("""COMPUTED_VALUE"""),"")</f>
        <v/>
      </c>
      <c r="D1638" t="str">
        <f>IFERROR(__xludf.DUMMYFUNCTION("""COMPUTED_VALUE"""),"")</f>
        <v/>
      </c>
      <c r="E1638" t="str">
        <f>IFERROR(__xludf.DUMMYFUNCTION("""COMPUTED_VALUE"""),"")</f>
        <v/>
      </c>
      <c r="F1638" t="str">
        <f>IFERROR(__xludf.DUMMYFUNCTION("""COMPUTED_VALUE"""),"")</f>
        <v/>
      </c>
      <c r="G1638" t="str">
        <f>IFERROR(__xludf.DUMMYFUNCTION("""COMPUTED_VALUE"""),"")</f>
        <v/>
      </c>
      <c r="H1638" s="2" t="str">
        <f>IFERROR(__xludf.DUMMYFUNCTION("""COMPUTED_VALUE"""),"")</f>
        <v/>
      </c>
      <c r="I1638" s="2" t="str">
        <f>IFERROR(__xludf.DUMMYFUNCTION("""COMPUTED_VALUE"""),"")</f>
        <v/>
      </c>
      <c r="J1638" s="2">
        <f>IFERROR(__xludf.DUMMYFUNCTION("""COMPUTED_VALUE"""),0.0)</f>
        <v>0</v>
      </c>
      <c r="K1638" s="5" t="str">
        <f>IFERROR(__xludf.DUMMYFUNCTION("""COMPUTED_VALUE"""),"")</f>
        <v/>
      </c>
      <c r="L1638" t="str">
        <f>IFERROR(__xludf.DUMMYFUNCTION("""COMPUTED_VALUE"""),"")</f>
        <v/>
      </c>
      <c r="M1638" t="str">
        <f>IFERROR(__xludf.DUMMYFUNCTION("""COMPUTED_VALUE"""),"")</f>
        <v/>
      </c>
      <c r="N1638" t="str">
        <f>IFERROR(__xludf.DUMMYFUNCTION("""COMPUTED_VALUE"""),"")</f>
        <v/>
      </c>
      <c r="O1638" t="str">
        <f>IFERROR(__xludf.DUMMYFUNCTION("""COMPUTED_VALUE"""),"")</f>
        <v/>
      </c>
      <c r="P1638" t="str">
        <f>IFERROR(__xludf.DUMMYFUNCTION("""COMPUTED_VALUE"""),"ID ")</f>
        <v>ID </v>
      </c>
    </row>
    <row r="1639">
      <c r="A1639" s="6" t="str">
        <f>IFERROR(__xludf.DUMMYFUNCTION("""COMPUTED_VALUE"""),"")</f>
        <v/>
      </c>
      <c r="C1639" t="str">
        <f>IFERROR(__xludf.DUMMYFUNCTION("""COMPUTED_VALUE"""),"")</f>
        <v/>
      </c>
      <c r="D1639" t="str">
        <f>IFERROR(__xludf.DUMMYFUNCTION("""COMPUTED_VALUE"""),"")</f>
        <v/>
      </c>
      <c r="E1639" t="str">
        <f>IFERROR(__xludf.DUMMYFUNCTION("""COMPUTED_VALUE"""),"")</f>
        <v/>
      </c>
      <c r="F1639" t="str">
        <f>IFERROR(__xludf.DUMMYFUNCTION("""COMPUTED_VALUE"""),"")</f>
        <v/>
      </c>
      <c r="G1639" t="str">
        <f>IFERROR(__xludf.DUMMYFUNCTION("""COMPUTED_VALUE"""),"")</f>
        <v/>
      </c>
      <c r="H1639" s="2" t="str">
        <f>IFERROR(__xludf.DUMMYFUNCTION("""COMPUTED_VALUE"""),"")</f>
        <v/>
      </c>
      <c r="I1639" s="2" t="str">
        <f>IFERROR(__xludf.DUMMYFUNCTION("""COMPUTED_VALUE"""),"")</f>
        <v/>
      </c>
      <c r="J1639" s="2">
        <f>IFERROR(__xludf.DUMMYFUNCTION("""COMPUTED_VALUE"""),0.0)</f>
        <v>0</v>
      </c>
      <c r="K1639" s="5" t="str">
        <f>IFERROR(__xludf.DUMMYFUNCTION("""COMPUTED_VALUE"""),"")</f>
        <v/>
      </c>
      <c r="L1639" t="str">
        <f>IFERROR(__xludf.DUMMYFUNCTION("""COMPUTED_VALUE"""),"")</f>
        <v/>
      </c>
      <c r="M1639" t="str">
        <f>IFERROR(__xludf.DUMMYFUNCTION("""COMPUTED_VALUE"""),"")</f>
        <v/>
      </c>
      <c r="N1639" t="str">
        <f>IFERROR(__xludf.DUMMYFUNCTION("""COMPUTED_VALUE"""),"")</f>
        <v/>
      </c>
      <c r="O1639" t="str">
        <f>IFERROR(__xludf.DUMMYFUNCTION("""COMPUTED_VALUE"""),"")</f>
        <v/>
      </c>
      <c r="P1639" t="str">
        <f>IFERROR(__xludf.DUMMYFUNCTION("""COMPUTED_VALUE"""),"ID ")</f>
        <v>ID </v>
      </c>
    </row>
    <row r="1640">
      <c r="A1640" s="6" t="str">
        <f>IFERROR(__xludf.DUMMYFUNCTION("""COMPUTED_VALUE"""),"")</f>
        <v/>
      </c>
      <c r="C1640" t="str">
        <f>IFERROR(__xludf.DUMMYFUNCTION("""COMPUTED_VALUE"""),"")</f>
        <v/>
      </c>
      <c r="D1640" t="str">
        <f>IFERROR(__xludf.DUMMYFUNCTION("""COMPUTED_VALUE"""),"")</f>
        <v/>
      </c>
      <c r="E1640" t="str">
        <f>IFERROR(__xludf.DUMMYFUNCTION("""COMPUTED_VALUE"""),"")</f>
        <v/>
      </c>
      <c r="F1640" t="str">
        <f>IFERROR(__xludf.DUMMYFUNCTION("""COMPUTED_VALUE"""),"")</f>
        <v/>
      </c>
      <c r="G1640" t="str">
        <f>IFERROR(__xludf.DUMMYFUNCTION("""COMPUTED_VALUE"""),"")</f>
        <v/>
      </c>
      <c r="H1640" s="2" t="str">
        <f>IFERROR(__xludf.DUMMYFUNCTION("""COMPUTED_VALUE"""),"")</f>
        <v/>
      </c>
      <c r="I1640" s="2" t="str">
        <f>IFERROR(__xludf.DUMMYFUNCTION("""COMPUTED_VALUE"""),"")</f>
        <v/>
      </c>
      <c r="J1640" s="2">
        <f>IFERROR(__xludf.DUMMYFUNCTION("""COMPUTED_VALUE"""),0.0)</f>
        <v>0</v>
      </c>
      <c r="K1640" s="5" t="str">
        <f>IFERROR(__xludf.DUMMYFUNCTION("""COMPUTED_VALUE"""),"")</f>
        <v/>
      </c>
      <c r="L1640" t="str">
        <f>IFERROR(__xludf.DUMMYFUNCTION("""COMPUTED_VALUE"""),"")</f>
        <v/>
      </c>
      <c r="M1640" t="str">
        <f>IFERROR(__xludf.DUMMYFUNCTION("""COMPUTED_VALUE"""),"")</f>
        <v/>
      </c>
      <c r="N1640" t="str">
        <f>IFERROR(__xludf.DUMMYFUNCTION("""COMPUTED_VALUE"""),"")</f>
        <v/>
      </c>
      <c r="O1640" t="str">
        <f>IFERROR(__xludf.DUMMYFUNCTION("""COMPUTED_VALUE"""),"")</f>
        <v/>
      </c>
      <c r="P1640" t="str">
        <f>IFERROR(__xludf.DUMMYFUNCTION("""COMPUTED_VALUE"""),"ID ")</f>
        <v>ID </v>
      </c>
    </row>
    <row r="1641">
      <c r="A1641" s="6" t="str">
        <f>IFERROR(__xludf.DUMMYFUNCTION("""COMPUTED_VALUE"""),"")</f>
        <v/>
      </c>
      <c r="C1641" t="str">
        <f>IFERROR(__xludf.DUMMYFUNCTION("""COMPUTED_VALUE"""),"")</f>
        <v/>
      </c>
      <c r="D1641" t="str">
        <f>IFERROR(__xludf.DUMMYFUNCTION("""COMPUTED_VALUE"""),"")</f>
        <v/>
      </c>
      <c r="E1641" t="str">
        <f>IFERROR(__xludf.DUMMYFUNCTION("""COMPUTED_VALUE"""),"")</f>
        <v/>
      </c>
      <c r="F1641" t="str">
        <f>IFERROR(__xludf.DUMMYFUNCTION("""COMPUTED_VALUE"""),"")</f>
        <v/>
      </c>
      <c r="G1641" t="str">
        <f>IFERROR(__xludf.DUMMYFUNCTION("""COMPUTED_VALUE"""),"")</f>
        <v/>
      </c>
      <c r="H1641" s="2" t="str">
        <f>IFERROR(__xludf.DUMMYFUNCTION("""COMPUTED_VALUE"""),"")</f>
        <v/>
      </c>
      <c r="I1641" s="2" t="str">
        <f>IFERROR(__xludf.DUMMYFUNCTION("""COMPUTED_VALUE"""),"")</f>
        <v/>
      </c>
      <c r="J1641" s="2">
        <f>IFERROR(__xludf.DUMMYFUNCTION("""COMPUTED_VALUE"""),0.0)</f>
        <v>0</v>
      </c>
      <c r="K1641" s="5" t="str">
        <f>IFERROR(__xludf.DUMMYFUNCTION("""COMPUTED_VALUE"""),"")</f>
        <v/>
      </c>
      <c r="L1641" t="str">
        <f>IFERROR(__xludf.DUMMYFUNCTION("""COMPUTED_VALUE"""),"")</f>
        <v/>
      </c>
      <c r="M1641" t="str">
        <f>IFERROR(__xludf.DUMMYFUNCTION("""COMPUTED_VALUE"""),"")</f>
        <v/>
      </c>
      <c r="N1641" t="str">
        <f>IFERROR(__xludf.DUMMYFUNCTION("""COMPUTED_VALUE"""),"")</f>
        <v/>
      </c>
      <c r="O1641" t="str">
        <f>IFERROR(__xludf.DUMMYFUNCTION("""COMPUTED_VALUE"""),"")</f>
        <v/>
      </c>
      <c r="P1641" t="str">
        <f>IFERROR(__xludf.DUMMYFUNCTION("""COMPUTED_VALUE"""),"ID ")</f>
        <v>ID </v>
      </c>
    </row>
    <row r="1642">
      <c r="A1642" s="6" t="str">
        <f>IFERROR(__xludf.DUMMYFUNCTION("""COMPUTED_VALUE"""),"")</f>
        <v/>
      </c>
      <c r="C1642" t="str">
        <f>IFERROR(__xludf.DUMMYFUNCTION("""COMPUTED_VALUE"""),"")</f>
        <v/>
      </c>
      <c r="D1642" t="str">
        <f>IFERROR(__xludf.DUMMYFUNCTION("""COMPUTED_VALUE"""),"")</f>
        <v/>
      </c>
      <c r="E1642" t="str">
        <f>IFERROR(__xludf.DUMMYFUNCTION("""COMPUTED_VALUE"""),"")</f>
        <v/>
      </c>
      <c r="F1642" t="str">
        <f>IFERROR(__xludf.DUMMYFUNCTION("""COMPUTED_VALUE"""),"")</f>
        <v/>
      </c>
      <c r="G1642" t="str">
        <f>IFERROR(__xludf.DUMMYFUNCTION("""COMPUTED_VALUE"""),"")</f>
        <v/>
      </c>
      <c r="H1642" s="2" t="str">
        <f>IFERROR(__xludf.DUMMYFUNCTION("""COMPUTED_VALUE"""),"")</f>
        <v/>
      </c>
      <c r="I1642" s="2" t="str">
        <f>IFERROR(__xludf.DUMMYFUNCTION("""COMPUTED_VALUE"""),"")</f>
        <v/>
      </c>
      <c r="J1642" s="2">
        <f>IFERROR(__xludf.DUMMYFUNCTION("""COMPUTED_VALUE"""),0.0)</f>
        <v>0</v>
      </c>
      <c r="K1642" s="5" t="str">
        <f>IFERROR(__xludf.DUMMYFUNCTION("""COMPUTED_VALUE"""),"")</f>
        <v/>
      </c>
      <c r="L1642" t="str">
        <f>IFERROR(__xludf.DUMMYFUNCTION("""COMPUTED_VALUE"""),"")</f>
        <v/>
      </c>
      <c r="M1642" t="str">
        <f>IFERROR(__xludf.DUMMYFUNCTION("""COMPUTED_VALUE"""),"")</f>
        <v/>
      </c>
      <c r="N1642" t="str">
        <f>IFERROR(__xludf.DUMMYFUNCTION("""COMPUTED_VALUE"""),"")</f>
        <v/>
      </c>
      <c r="O1642" t="str">
        <f>IFERROR(__xludf.DUMMYFUNCTION("""COMPUTED_VALUE"""),"")</f>
        <v/>
      </c>
      <c r="P1642" t="str">
        <f>IFERROR(__xludf.DUMMYFUNCTION("""COMPUTED_VALUE"""),"ID ")</f>
        <v>ID </v>
      </c>
    </row>
    <row r="1643">
      <c r="A1643" s="6" t="str">
        <f>IFERROR(__xludf.DUMMYFUNCTION("""COMPUTED_VALUE"""),"")</f>
        <v/>
      </c>
      <c r="C1643" t="str">
        <f>IFERROR(__xludf.DUMMYFUNCTION("""COMPUTED_VALUE"""),"")</f>
        <v/>
      </c>
      <c r="D1643" t="str">
        <f>IFERROR(__xludf.DUMMYFUNCTION("""COMPUTED_VALUE"""),"")</f>
        <v/>
      </c>
      <c r="E1643" t="str">
        <f>IFERROR(__xludf.DUMMYFUNCTION("""COMPUTED_VALUE"""),"")</f>
        <v/>
      </c>
      <c r="F1643" t="str">
        <f>IFERROR(__xludf.DUMMYFUNCTION("""COMPUTED_VALUE"""),"")</f>
        <v/>
      </c>
      <c r="G1643" t="str">
        <f>IFERROR(__xludf.DUMMYFUNCTION("""COMPUTED_VALUE"""),"")</f>
        <v/>
      </c>
      <c r="H1643" s="2" t="str">
        <f>IFERROR(__xludf.DUMMYFUNCTION("""COMPUTED_VALUE"""),"")</f>
        <v/>
      </c>
      <c r="I1643" s="2" t="str">
        <f>IFERROR(__xludf.DUMMYFUNCTION("""COMPUTED_VALUE"""),"")</f>
        <v/>
      </c>
      <c r="J1643" s="2">
        <f>IFERROR(__xludf.DUMMYFUNCTION("""COMPUTED_VALUE"""),0.0)</f>
        <v>0</v>
      </c>
      <c r="K1643" s="5" t="str">
        <f>IFERROR(__xludf.DUMMYFUNCTION("""COMPUTED_VALUE"""),"")</f>
        <v/>
      </c>
      <c r="L1643" t="str">
        <f>IFERROR(__xludf.DUMMYFUNCTION("""COMPUTED_VALUE"""),"")</f>
        <v/>
      </c>
      <c r="M1643" t="str">
        <f>IFERROR(__xludf.DUMMYFUNCTION("""COMPUTED_VALUE"""),"")</f>
        <v/>
      </c>
      <c r="N1643" t="str">
        <f>IFERROR(__xludf.DUMMYFUNCTION("""COMPUTED_VALUE"""),"")</f>
        <v/>
      </c>
      <c r="O1643" t="str">
        <f>IFERROR(__xludf.DUMMYFUNCTION("""COMPUTED_VALUE"""),"")</f>
        <v/>
      </c>
      <c r="P1643" t="str">
        <f>IFERROR(__xludf.DUMMYFUNCTION("""COMPUTED_VALUE"""),"ID ")</f>
        <v>ID </v>
      </c>
    </row>
    <row r="1644">
      <c r="A1644" s="6" t="str">
        <f>IFERROR(__xludf.DUMMYFUNCTION("""COMPUTED_VALUE"""),"")</f>
        <v/>
      </c>
      <c r="C1644" t="str">
        <f>IFERROR(__xludf.DUMMYFUNCTION("""COMPUTED_VALUE"""),"")</f>
        <v/>
      </c>
      <c r="D1644" t="str">
        <f>IFERROR(__xludf.DUMMYFUNCTION("""COMPUTED_VALUE"""),"")</f>
        <v/>
      </c>
      <c r="E1644" t="str">
        <f>IFERROR(__xludf.DUMMYFUNCTION("""COMPUTED_VALUE"""),"")</f>
        <v/>
      </c>
      <c r="F1644" t="str">
        <f>IFERROR(__xludf.DUMMYFUNCTION("""COMPUTED_VALUE"""),"")</f>
        <v/>
      </c>
      <c r="G1644" t="str">
        <f>IFERROR(__xludf.DUMMYFUNCTION("""COMPUTED_VALUE"""),"")</f>
        <v/>
      </c>
      <c r="H1644" s="2" t="str">
        <f>IFERROR(__xludf.DUMMYFUNCTION("""COMPUTED_VALUE"""),"")</f>
        <v/>
      </c>
      <c r="I1644" s="2" t="str">
        <f>IFERROR(__xludf.DUMMYFUNCTION("""COMPUTED_VALUE"""),"")</f>
        <v/>
      </c>
      <c r="J1644" s="2">
        <f>IFERROR(__xludf.DUMMYFUNCTION("""COMPUTED_VALUE"""),0.0)</f>
        <v>0</v>
      </c>
      <c r="K1644" s="5" t="str">
        <f>IFERROR(__xludf.DUMMYFUNCTION("""COMPUTED_VALUE"""),"")</f>
        <v/>
      </c>
      <c r="L1644" t="str">
        <f>IFERROR(__xludf.DUMMYFUNCTION("""COMPUTED_VALUE"""),"")</f>
        <v/>
      </c>
      <c r="M1644" t="str">
        <f>IFERROR(__xludf.DUMMYFUNCTION("""COMPUTED_VALUE"""),"")</f>
        <v/>
      </c>
      <c r="N1644" t="str">
        <f>IFERROR(__xludf.DUMMYFUNCTION("""COMPUTED_VALUE"""),"")</f>
        <v/>
      </c>
      <c r="O1644" t="str">
        <f>IFERROR(__xludf.DUMMYFUNCTION("""COMPUTED_VALUE"""),"")</f>
        <v/>
      </c>
      <c r="P1644" t="str">
        <f>IFERROR(__xludf.DUMMYFUNCTION("""COMPUTED_VALUE"""),"ID ")</f>
        <v>ID </v>
      </c>
    </row>
    <row r="1645">
      <c r="A1645" s="6" t="str">
        <f>IFERROR(__xludf.DUMMYFUNCTION("""COMPUTED_VALUE"""),"")</f>
        <v/>
      </c>
      <c r="C1645" t="str">
        <f>IFERROR(__xludf.DUMMYFUNCTION("""COMPUTED_VALUE"""),"")</f>
        <v/>
      </c>
      <c r="D1645" t="str">
        <f>IFERROR(__xludf.DUMMYFUNCTION("""COMPUTED_VALUE"""),"")</f>
        <v/>
      </c>
      <c r="E1645" t="str">
        <f>IFERROR(__xludf.DUMMYFUNCTION("""COMPUTED_VALUE"""),"")</f>
        <v/>
      </c>
      <c r="F1645" t="str">
        <f>IFERROR(__xludf.DUMMYFUNCTION("""COMPUTED_VALUE"""),"")</f>
        <v/>
      </c>
      <c r="G1645" t="str">
        <f>IFERROR(__xludf.DUMMYFUNCTION("""COMPUTED_VALUE"""),"")</f>
        <v/>
      </c>
      <c r="H1645" s="2" t="str">
        <f>IFERROR(__xludf.DUMMYFUNCTION("""COMPUTED_VALUE"""),"")</f>
        <v/>
      </c>
      <c r="I1645" s="2" t="str">
        <f>IFERROR(__xludf.DUMMYFUNCTION("""COMPUTED_VALUE"""),"")</f>
        <v/>
      </c>
      <c r="J1645" s="2">
        <f>IFERROR(__xludf.DUMMYFUNCTION("""COMPUTED_VALUE"""),0.0)</f>
        <v>0</v>
      </c>
      <c r="K1645" s="5" t="str">
        <f>IFERROR(__xludf.DUMMYFUNCTION("""COMPUTED_VALUE"""),"")</f>
        <v/>
      </c>
      <c r="L1645" t="str">
        <f>IFERROR(__xludf.DUMMYFUNCTION("""COMPUTED_VALUE"""),"")</f>
        <v/>
      </c>
      <c r="M1645" t="str">
        <f>IFERROR(__xludf.DUMMYFUNCTION("""COMPUTED_VALUE"""),"")</f>
        <v/>
      </c>
      <c r="N1645" t="str">
        <f>IFERROR(__xludf.DUMMYFUNCTION("""COMPUTED_VALUE"""),"")</f>
        <v/>
      </c>
      <c r="O1645" t="str">
        <f>IFERROR(__xludf.DUMMYFUNCTION("""COMPUTED_VALUE"""),"")</f>
        <v/>
      </c>
      <c r="P1645" t="str">
        <f>IFERROR(__xludf.DUMMYFUNCTION("""COMPUTED_VALUE"""),"ID ")</f>
        <v>ID </v>
      </c>
    </row>
    <row r="1646">
      <c r="A1646" s="6" t="str">
        <f>IFERROR(__xludf.DUMMYFUNCTION("""COMPUTED_VALUE"""),"")</f>
        <v/>
      </c>
      <c r="C1646" t="str">
        <f>IFERROR(__xludf.DUMMYFUNCTION("""COMPUTED_VALUE"""),"")</f>
        <v/>
      </c>
      <c r="D1646" t="str">
        <f>IFERROR(__xludf.DUMMYFUNCTION("""COMPUTED_VALUE"""),"")</f>
        <v/>
      </c>
      <c r="E1646" t="str">
        <f>IFERROR(__xludf.DUMMYFUNCTION("""COMPUTED_VALUE"""),"")</f>
        <v/>
      </c>
      <c r="F1646" t="str">
        <f>IFERROR(__xludf.DUMMYFUNCTION("""COMPUTED_VALUE"""),"")</f>
        <v/>
      </c>
      <c r="G1646" t="str">
        <f>IFERROR(__xludf.DUMMYFUNCTION("""COMPUTED_VALUE"""),"")</f>
        <v/>
      </c>
      <c r="H1646" s="2" t="str">
        <f>IFERROR(__xludf.DUMMYFUNCTION("""COMPUTED_VALUE"""),"")</f>
        <v/>
      </c>
      <c r="I1646" s="2" t="str">
        <f>IFERROR(__xludf.DUMMYFUNCTION("""COMPUTED_VALUE"""),"")</f>
        <v/>
      </c>
      <c r="J1646" s="2">
        <f>IFERROR(__xludf.DUMMYFUNCTION("""COMPUTED_VALUE"""),0.0)</f>
        <v>0</v>
      </c>
      <c r="K1646" s="5" t="str">
        <f>IFERROR(__xludf.DUMMYFUNCTION("""COMPUTED_VALUE"""),"")</f>
        <v/>
      </c>
      <c r="L1646" t="str">
        <f>IFERROR(__xludf.DUMMYFUNCTION("""COMPUTED_VALUE"""),"")</f>
        <v/>
      </c>
      <c r="M1646" t="str">
        <f>IFERROR(__xludf.DUMMYFUNCTION("""COMPUTED_VALUE"""),"")</f>
        <v/>
      </c>
      <c r="N1646" t="str">
        <f>IFERROR(__xludf.DUMMYFUNCTION("""COMPUTED_VALUE"""),"")</f>
        <v/>
      </c>
      <c r="O1646" t="str">
        <f>IFERROR(__xludf.DUMMYFUNCTION("""COMPUTED_VALUE"""),"")</f>
        <v/>
      </c>
      <c r="P1646" t="str">
        <f>IFERROR(__xludf.DUMMYFUNCTION("""COMPUTED_VALUE"""),"ID ")</f>
        <v>ID </v>
      </c>
    </row>
    <row r="1647">
      <c r="A1647" s="6" t="str">
        <f>IFERROR(__xludf.DUMMYFUNCTION("""COMPUTED_VALUE"""),"")</f>
        <v/>
      </c>
      <c r="C1647" t="str">
        <f>IFERROR(__xludf.DUMMYFUNCTION("""COMPUTED_VALUE"""),"")</f>
        <v/>
      </c>
      <c r="D1647" t="str">
        <f>IFERROR(__xludf.DUMMYFUNCTION("""COMPUTED_VALUE"""),"")</f>
        <v/>
      </c>
      <c r="E1647" t="str">
        <f>IFERROR(__xludf.DUMMYFUNCTION("""COMPUTED_VALUE"""),"")</f>
        <v/>
      </c>
      <c r="F1647" t="str">
        <f>IFERROR(__xludf.DUMMYFUNCTION("""COMPUTED_VALUE"""),"")</f>
        <v/>
      </c>
      <c r="G1647" t="str">
        <f>IFERROR(__xludf.DUMMYFUNCTION("""COMPUTED_VALUE"""),"")</f>
        <v/>
      </c>
      <c r="H1647" s="2" t="str">
        <f>IFERROR(__xludf.DUMMYFUNCTION("""COMPUTED_VALUE"""),"")</f>
        <v/>
      </c>
      <c r="I1647" s="2" t="str">
        <f>IFERROR(__xludf.DUMMYFUNCTION("""COMPUTED_VALUE"""),"")</f>
        <v/>
      </c>
      <c r="J1647" s="2">
        <f>IFERROR(__xludf.DUMMYFUNCTION("""COMPUTED_VALUE"""),0.0)</f>
        <v>0</v>
      </c>
      <c r="K1647" s="5" t="str">
        <f>IFERROR(__xludf.DUMMYFUNCTION("""COMPUTED_VALUE"""),"")</f>
        <v/>
      </c>
      <c r="L1647" t="str">
        <f>IFERROR(__xludf.DUMMYFUNCTION("""COMPUTED_VALUE"""),"")</f>
        <v/>
      </c>
      <c r="M1647" t="str">
        <f>IFERROR(__xludf.DUMMYFUNCTION("""COMPUTED_VALUE"""),"")</f>
        <v/>
      </c>
      <c r="N1647" t="str">
        <f>IFERROR(__xludf.DUMMYFUNCTION("""COMPUTED_VALUE"""),"")</f>
        <v/>
      </c>
      <c r="O1647" t="str">
        <f>IFERROR(__xludf.DUMMYFUNCTION("""COMPUTED_VALUE"""),"")</f>
        <v/>
      </c>
      <c r="P1647" t="str">
        <f>IFERROR(__xludf.DUMMYFUNCTION("""COMPUTED_VALUE"""),"ID ")</f>
        <v>ID </v>
      </c>
    </row>
    <row r="1648">
      <c r="A1648" s="6" t="str">
        <f>IFERROR(__xludf.DUMMYFUNCTION("""COMPUTED_VALUE"""),"")</f>
        <v/>
      </c>
      <c r="C1648" t="str">
        <f>IFERROR(__xludf.DUMMYFUNCTION("""COMPUTED_VALUE"""),"")</f>
        <v/>
      </c>
      <c r="D1648" t="str">
        <f>IFERROR(__xludf.DUMMYFUNCTION("""COMPUTED_VALUE"""),"")</f>
        <v/>
      </c>
      <c r="E1648" t="str">
        <f>IFERROR(__xludf.DUMMYFUNCTION("""COMPUTED_VALUE"""),"")</f>
        <v/>
      </c>
      <c r="F1648" t="str">
        <f>IFERROR(__xludf.DUMMYFUNCTION("""COMPUTED_VALUE"""),"")</f>
        <v/>
      </c>
      <c r="G1648" t="str">
        <f>IFERROR(__xludf.DUMMYFUNCTION("""COMPUTED_VALUE"""),"")</f>
        <v/>
      </c>
      <c r="H1648" s="2" t="str">
        <f>IFERROR(__xludf.DUMMYFUNCTION("""COMPUTED_VALUE"""),"")</f>
        <v/>
      </c>
      <c r="I1648" s="2" t="str">
        <f>IFERROR(__xludf.DUMMYFUNCTION("""COMPUTED_VALUE"""),"")</f>
        <v/>
      </c>
      <c r="J1648" s="2">
        <f>IFERROR(__xludf.DUMMYFUNCTION("""COMPUTED_VALUE"""),0.0)</f>
        <v>0</v>
      </c>
      <c r="K1648" s="5" t="str">
        <f>IFERROR(__xludf.DUMMYFUNCTION("""COMPUTED_VALUE"""),"")</f>
        <v/>
      </c>
      <c r="L1648" t="str">
        <f>IFERROR(__xludf.DUMMYFUNCTION("""COMPUTED_VALUE"""),"")</f>
        <v/>
      </c>
      <c r="M1648" t="str">
        <f>IFERROR(__xludf.DUMMYFUNCTION("""COMPUTED_VALUE"""),"")</f>
        <v/>
      </c>
      <c r="N1648" t="str">
        <f>IFERROR(__xludf.DUMMYFUNCTION("""COMPUTED_VALUE"""),"")</f>
        <v/>
      </c>
      <c r="O1648" t="str">
        <f>IFERROR(__xludf.DUMMYFUNCTION("""COMPUTED_VALUE"""),"")</f>
        <v/>
      </c>
      <c r="P1648" t="str">
        <f>IFERROR(__xludf.DUMMYFUNCTION("""COMPUTED_VALUE"""),"ID ")</f>
        <v>ID </v>
      </c>
    </row>
    <row r="1649">
      <c r="A1649" s="6" t="str">
        <f>IFERROR(__xludf.DUMMYFUNCTION("""COMPUTED_VALUE"""),"")</f>
        <v/>
      </c>
      <c r="C1649" t="str">
        <f>IFERROR(__xludf.DUMMYFUNCTION("""COMPUTED_VALUE"""),"")</f>
        <v/>
      </c>
      <c r="D1649" t="str">
        <f>IFERROR(__xludf.DUMMYFUNCTION("""COMPUTED_VALUE"""),"")</f>
        <v/>
      </c>
      <c r="E1649" t="str">
        <f>IFERROR(__xludf.DUMMYFUNCTION("""COMPUTED_VALUE"""),"")</f>
        <v/>
      </c>
      <c r="F1649" t="str">
        <f>IFERROR(__xludf.DUMMYFUNCTION("""COMPUTED_VALUE"""),"")</f>
        <v/>
      </c>
      <c r="G1649" t="str">
        <f>IFERROR(__xludf.DUMMYFUNCTION("""COMPUTED_VALUE"""),"")</f>
        <v/>
      </c>
      <c r="H1649" s="2" t="str">
        <f>IFERROR(__xludf.DUMMYFUNCTION("""COMPUTED_VALUE"""),"")</f>
        <v/>
      </c>
      <c r="I1649" s="2" t="str">
        <f>IFERROR(__xludf.DUMMYFUNCTION("""COMPUTED_VALUE"""),"")</f>
        <v/>
      </c>
      <c r="J1649" s="2">
        <f>IFERROR(__xludf.DUMMYFUNCTION("""COMPUTED_VALUE"""),0.0)</f>
        <v>0</v>
      </c>
      <c r="K1649" s="5" t="str">
        <f>IFERROR(__xludf.DUMMYFUNCTION("""COMPUTED_VALUE"""),"")</f>
        <v/>
      </c>
      <c r="L1649" t="str">
        <f>IFERROR(__xludf.DUMMYFUNCTION("""COMPUTED_VALUE"""),"")</f>
        <v/>
      </c>
      <c r="M1649" t="str">
        <f>IFERROR(__xludf.DUMMYFUNCTION("""COMPUTED_VALUE"""),"")</f>
        <v/>
      </c>
      <c r="N1649" t="str">
        <f>IFERROR(__xludf.DUMMYFUNCTION("""COMPUTED_VALUE"""),"")</f>
        <v/>
      </c>
      <c r="O1649" t="str">
        <f>IFERROR(__xludf.DUMMYFUNCTION("""COMPUTED_VALUE"""),"")</f>
        <v/>
      </c>
      <c r="P1649" t="str">
        <f>IFERROR(__xludf.DUMMYFUNCTION("""COMPUTED_VALUE"""),"ID ")</f>
        <v>ID </v>
      </c>
    </row>
    <row r="1650">
      <c r="A1650" s="6" t="str">
        <f>IFERROR(__xludf.DUMMYFUNCTION("""COMPUTED_VALUE"""),"")</f>
        <v/>
      </c>
      <c r="C1650" t="str">
        <f>IFERROR(__xludf.DUMMYFUNCTION("""COMPUTED_VALUE"""),"")</f>
        <v/>
      </c>
      <c r="D1650" t="str">
        <f>IFERROR(__xludf.DUMMYFUNCTION("""COMPUTED_VALUE"""),"")</f>
        <v/>
      </c>
      <c r="E1650" t="str">
        <f>IFERROR(__xludf.DUMMYFUNCTION("""COMPUTED_VALUE"""),"")</f>
        <v/>
      </c>
      <c r="F1650" t="str">
        <f>IFERROR(__xludf.DUMMYFUNCTION("""COMPUTED_VALUE"""),"")</f>
        <v/>
      </c>
      <c r="G1650" t="str">
        <f>IFERROR(__xludf.DUMMYFUNCTION("""COMPUTED_VALUE"""),"")</f>
        <v/>
      </c>
      <c r="H1650" s="2" t="str">
        <f>IFERROR(__xludf.DUMMYFUNCTION("""COMPUTED_VALUE"""),"")</f>
        <v/>
      </c>
      <c r="I1650" s="2" t="str">
        <f>IFERROR(__xludf.DUMMYFUNCTION("""COMPUTED_VALUE"""),"")</f>
        <v/>
      </c>
      <c r="J1650" s="2">
        <f>IFERROR(__xludf.DUMMYFUNCTION("""COMPUTED_VALUE"""),0.0)</f>
        <v>0</v>
      </c>
      <c r="K1650" s="5" t="str">
        <f>IFERROR(__xludf.DUMMYFUNCTION("""COMPUTED_VALUE"""),"")</f>
        <v/>
      </c>
      <c r="L1650" t="str">
        <f>IFERROR(__xludf.DUMMYFUNCTION("""COMPUTED_VALUE"""),"")</f>
        <v/>
      </c>
      <c r="M1650" t="str">
        <f>IFERROR(__xludf.DUMMYFUNCTION("""COMPUTED_VALUE"""),"")</f>
        <v/>
      </c>
      <c r="N1650" t="str">
        <f>IFERROR(__xludf.DUMMYFUNCTION("""COMPUTED_VALUE"""),"")</f>
        <v/>
      </c>
      <c r="O1650" t="str">
        <f>IFERROR(__xludf.DUMMYFUNCTION("""COMPUTED_VALUE"""),"")</f>
        <v/>
      </c>
      <c r="P1650" t="str">
        <f>IFERROR(__xludf.DUMMYFUNCTION("""COMPUTED_VALUE"""),"ID ")</f>
        <v>ID </v>
      </c>
    </row>
    <row r="1651">
      <c r="A1651" s="6" t="str">
        <f>IFERROR(__xludf.DUMMYFUNCTION("""COMPUTED_VALUE"""),"")</f>
        <v/>
      </c>
      <c r="C1651" t="str">
        <f>IFERROR(__xludf.DUMMYFUNCTION("""COMPUTED_VALUE"""),"")</f>
        <v/>
      </c>
      <c r="D1651" t="str">
        <f>IFERROR(__xludf.DUMMYFUNCTION("""COMPUTED_VALUE"""),"")</f>
        <v/>
      </c>
      <c r="E1651" t="str">
        <f>IFERROR(__xludf.DUMMYFUNCTION("""COMPUTED_VALUE"""),"")</f>
        <v/>
      </c>
      <c r="F1651" t="str">
        <f>IFERROR(__xludf.DUMMYFUNCTION("""COMPUTED_VALUE"""),"")</f>
        <v/>
      </c>
      <c r="G1651" t="str">
        <f>IFERROR(__xludf.DUMMYFUNCTION("""COMPUTED_VALUE"""),"")</f>
        <v/>
      </c>
      <c r="H1651" s="2" t="str">
        <f>IFERROR(__xludf.DUMMYFUNCTION("""COMPUTED_VALUE"""),"")</f>
        <v/>
      </c>
      <c r="I1651" s="2" t="str">
        <f>IFERROR(__xludf.DUMMYFUNCTION("""COMPUTED_VALUE"""),"")</f>
        <v/>
      </c>
      <c r="J1651" s="2">
        <f>IFERROR(__xludf.DUMMYFUNCTION("""COMPUTED_VALUE"""),0.0)</f>
        <v>0</v>
      </c>
      <c r="K1651" s="5" t="str">
        <f>IFERROR(__xludf.DUMMYFUNCTION("""COMPUTED_VALUE"""),"")</f>
        <v/>
      </c>
      <c r="L1651" t="str">
        <f>IFERROR(__xludf.DUMMYFUNCTION("""COMPUTED_VALUE"""),"")</f>
        <v/>
      </c>
      <c r="M1651" t="str">
        <f>IFERROR(__xludf.DUMMYFUNCTION("""COMPUTED_VALUE"""),"")</f>
        <v/>
      </c>
      <c r="N1651" t="str">
        <f>IFERROR(__xludf.DUMMYFUNCTION("""COMPUTED_VALUE"""),"")</f>
        <v/>
      </c>
      <c r="O1651" t="str">
        <f>IFERROR(__xludf.DUMMYFUNCTION("""COMPUTED_VALUE"""),"")</f>
        <v/>
      </c>
      <c r="P1651" t="str">
        <f>IFERROR(__xludf.DUMMYFUNCTION("""COMPUTED_VALUE"""),"ID ")</f>
        <v>ID </v>
      </c>
    </row>
    <row r="1652">
      <c r="A1652" s="6" t="str">
        <f>IFERROR(__xludf.DUMMYFUNCTION("""COMPUTED_VALUE"""),"")</f>
        <v/>
      </c>
      <c r="C1652" t="str">
        <f>IFERROR(__xludf.DUMMYFUNCTION("""COMPUTED_VALUE"""),"")</f>
        <v/>
      </c>
      <c r="D1652" t="str">
        <f>IFERROR(__xludf.DUMMYFUNCTION("""COMPUTED_VALUE"""),"")</f>
        <v/>
      </c>
      <c r="E1652" t="str">
        <f>IFERROR(__xludf.DUMMYFUNCTION("""COMPUTED_VALUE"""),"")</f>
        <v/>
      </c>
      <c r="F1652" t="str">
        <f>IFERROR(__xludf.DUMMYFUNCTION("""COMPUTED_VALUE"""),"")</f>
        <v/>
      </c>
      <c r="G1652" t="str">
        <f>IFERROR(__xludf.DUMMYFUNCTION("""COMPUTED_VALUE"""),"")</f>
        <v/>
      </c>
      <c r="H1652" s="2" t="str">
        <f>IFERROR(__xludf.DUMMYFUNCTION("""COMPUTED_VALUE"""),"")</f>
        <v/>
      </c>
      <c r="I1652" s="2" t="str">
        <f>IFERROR(__xludf.DUMMYFUNCTION("""COMPUTED_VALUE"""),"")</f>
        <v/>
      </c>
      <c r="J1652" s="2">
        <f>IFERROR(__xludf.DUMMYFUNCTION("""COMPUTED_VALUE"""),0.0)</f>
        <v>0</v>
      </c>
      <c r="K1652" s="5" t="str">
        <f>IFERROR(__xludf.DUMMYFUNCTION("""COMPUTED_VALUE"""),"")</f>
        <v/>
      </c>
      <c r="L1652" t="str">
        <f>IFERROR(__xludf.DUMMYFUNCTION("""COMPUTED_VALUE"""),"")</f>
        <v/>
      </c>
      <c r="M1652" t="str">
        <f>IFERROR(__xludf.DUMMYFUNCTION("""COMPUTED_VALUE"""),"")</f>
        <v/>
      </c>
      <c r="N1652" t="str">
        <f>IFERROR(__xludf.DUMMYFUNCTION("""COMPUTED_VALUE"""),"")</f>
        <v/>
      </c>
      <c r="O1652" t="str">
        <f>IFERROR(__xludf.DUMMYFUNCTION("""COMPUTED_VALUE"""),"")</f>
        <v/>
      </c>
      <c r="P1652" t="str">
        <f>IFERROR(__xludf.DUMMYFUNCTION("""COMPUTED_VALUE"""),"ID ")</f>
        <v>ID </v>
      </c>
    </row>
    <row r="1653">
      <c r="A1653" s="6" t="str">
        <f>IFERROR(__xludf.DUMMYFUNCTION("""COMPUTED_VALUE"""),"")</f>
        <v/>
      </c>
      <c r="C1653" t="str">
        <f>IFERROR(__xludf.DUMMYFUNCTION("""COMPUTED_VALUE"""),"")</f>
        <v/>
      </c>
      <c r="D1653" t="str">
        <f>IFERROR(__xludf.DUMMYFUNCTION("""COMPUTED_VALUE"""),"")</f>
        <v/>
      </c>
      <c r="E1653" t="str">
        <f>IFERROR(__xludf.DUMMYFUNCTION("""COMPUTED_VALUE"""),"")</f>
        <v/>
      </c>
      <c r="F1653" t="str">
        <f>IFERROR(__xludf.DUMMYFUNCTION("""COMPUTED_VALUE"""),"")</f>
        <v/>
      </c>
      <c r="G1653" t="str">
        <f>IFERROR(__xludf.DUMMYFUNCTION("""COMPUTED_VALUE"""),"")</f>
        <v/>
      </c>
      <c r="H1653" s="2" t="str">
        <f>IFERROR(__xludf.DUMMYFUNCTION("""COMPUTED_VALUE"""),"")</f>
        <v/>
      </c>
      <c r="I1653" s="2" t="str">
        <f>IFERROR(__xludf.DUMMYFUNCTION("""COMPUTED_VALUE"""),"")</f>
        <v/>
      </c>
      <c r="J1653" s="2">
        <f>IFERROR(__xludf.DUMMYFUNCTION("""COMPUTED_VALUE"""),0.0)</f>
        <v>0</v>
      </c>
      <c r="K1653" s="5" t="str">
        <f>IFERROR(__xludf.DUMMYFUNCTION("""COMPUTED_VALUE"""),"")</f>
        <v/>
      </c>
      <c r="L1653" t="str">
        <f>IFERROR(__xludf.DUMMYFUNCTION("""COMPUTED_VALUE"""),"")</f>
        <v/>
      </c>
      <c r="M1653" t="str">
        <f>IFERROR(__xludf.DUMMYFUNCTION("""COMPUTED_VALUE"""),"")</f>
        <v/>
      </c>
      <c r="N1653" t="str">
        <f>IFERROR(__xludf.DUMMYFUNCTION("""COMPUTED_VALUE"""),"")</f>
        <v/>
      </c>
      <c r="O1653" t="str">
        <f>IFERROR(__xludf.DUMMYFUNCTION("""COMPUTED_VALUE"""),"")</f>
        <v/>
      </c>
      <c r="P1653" t="str">
        <f>IFERROR(__xludf.DUMMYFUNCTION("""COMPUTED_VALUE"""),"ID ")</f>
        <v>ID </v>
      </c>
    </row>
    <row r="1654">
      <c r="A1654" s="6" t="str">
        <f>IFERROR(__xludf.DUMMYFUNCTION("""COMPUTED_VALUE"""),"")</f>
        <v/>
      </c>
      <c r="C1654" t="str">
        <f>IFERROR(__xludf.DUMMYFUNCTION("""COMPUTED_VALUE"""),"")</f>
        <v/>
      </c>
      <c r="D1654" t="str">
        <f>IFERROR(__xludf.DUMMYFUNCTION("""COMPUTED_VALUE"""),"")</f>
        <v/>
      </c>
      <c r="E1654" t="str">
        <f>IFERROR(__xludf.DUMMYFUNCTION("""COMPUTED_VALUE"""),"")</f>
        <v/>
      </c>
      <c r="F1654" t="str">
        <f>IFERROR(__xludf.DUMMYFUNCTION("""COMPUTED_VALUE"""),"")</f>
        <v/>
      </c>
      <c r="G1654" t="str">
        <f>IFERROR(__xludf.DUMMYFUNCTION("""COMPUTED_VALUE"""),"")</f>
        <v/>
      </c>
      <c r="H1654" s="2" t="str">
        <f>IFERROR(__xludf.DUMMYFUNCTION("""COMPUTED_VALUE"""),"")</f>
        <v/>
      </c>
      <c r="I1654" s="2" t="str">
        <f>IFERROR(__xludf.DUMMYFUNCTION("""COMPUTED_VALUE"""),"")</f>
        <v/>
      </c>
      <c r="J1654" s="2">
        <f>IFERROR(__xludf.DUMMYFUNCTION("""COMPUTED_VALUE"""),0.0)</f>
        <v>0</v>
      </c>
      <c r="K1654" s="5" t="str">
        <f>IFERROR(__xludf.DUMMYFUNCTION("""COMPUTED_VALUE"""),"")</f>
        <v/>
      </c>
      <c r="L1654" t="str">
        <f>IFERROR(__xludf.DUMMYFUNCTION("""COMPUTED_VALUE"""),"")</f>
        <v/>
      </c>
      <c r="M1654" t="str">
        <f>IFERROR(__xludf.DUMMYFUNCTION("""COMPUTED_VALUE"""),"")</f>
        <v/>
      </c>
      <c r="N1654" t="str">
        <f>IFERROR(__xludf.DUMMYFUNCTION("""COMPUTED_VALUE"""),"")</f>
        <v/>
      </c>
      <c r="O1654" t="str">
        <f>IFERROR(__xludf.DUMMYFUNCTION("""COMPUTED_VALUE"""),"")</f>
        <v/>
      </c>
      <c r="P1654" t="str">
        <f>IFERROR(__xludf.DUMMYFUNCTION("""COMPUTED_VALUE"""),"ID ")</f>
        <v>ID </v>
      </c>
    </row>
    <row r="1655">
      <c r="A1655" s="6" t="str">
        <f>IFERROR(__xludf.DUMMYFUNCTION("""COMPUTED_VALUE"""),"")</f>
        <v/>
      </c>
      <c r="C1655" t="str">
        <f>IFERROR(__xludf.DUMMYFUNCTION("""COMPUTED_VALUE"""),"")</f>
        <v/>
      </c>
      <c r="D1655" t="str">
        <f>IFERROR(__xludf.DUMMYFUNCTION("""COMPUTED_VALUE"""),"")</f>
        <v/>
      </c>
      <c r="E1655" t="str">
        <f>IFERROR(__xludf.DUMMYFUNCTION("""COMPUTED_VALUE"""),"")</f>
        <v/>
      </c>
      <c r="F1655" t="str">
        <f>IFERROR(__xludf.DUMMYFUNCTION("""COMPUTED_VALUE"""),"")</f>
        <v/>
      </c>
      <c r="G1655" t="str">
        <f>IFERROR(__xludf.DUMMYFUNCTION("""COMPUTED_VALUE"""),"")</f>
        <v/>
      </c>
      <c r="H1655" s="2" t="str">
        <f>IFERROR(__xludf.DUMMYFUNCTION("""COMPUTED_VALUE"""),"")</f>
        <v/>
      </c>
      <c r="I1655" s="2" t="str">
        <f>IFERROR(__xludf.DUMMYFUNCTION("""COMPUTED_VALUE"""),"")</f>
        <v/>
      </c>
      <c r="J1655" s="2">
        <f>IFERROR(__xludf.DUMMYFUNCTION("""COMPUTED_VALUE"""),0.0)</f>
        <v>0</v>
      </c>
      <c r="K1655" s="5" t="str">
        <f>IFERROR(__xludf.DUMMYFUNCTION("""COMPUTED_VALUE"""),"")</f>
        <v/>
      </c>
      <c r="L1655" t="str">
        <f>IFERROR(__xludf.DUMMYFUNCTION("""COMPUTED_VALUE"""),"")</f>
        <v/>
      </c>
      <c r="M1655" t="str">
        <f>IFERROR(__xludf.DUMMYFUNCTION("""COMPUTED_VALUE"""),"")</f>
        <v/>
      </c>
      <c r="N1655" t="str">
        <f>IFERROR(__xludf.DUMMYFUNCTION("""COMPUTED_VALUE"""),"")</f>
        <v/>
      </c>
      <c r="O1655" t="str">
        <f>IFERROR(__xludf.DUMMYFUNCTION("""COMPUTED_VALUE"""),"")</f>
        <v/>
      </c>
      <c r="P1655" t="str">
        <f>IFERROR(__xludf.DUMMYFUNCTION("""COMPUTED_VALUE"""),"ID ")</f>
        <v>ID </v>
      </c>
    </row>
    <row r="1656">
      <c r="A1656" s="6" t="str">
        <f>IFERROR(__xludf.DUMMYFUNCTION("""COMPUTED_VALUE"""),"")</f>
        <v/>
      </c>
      <c r="C1656" t="str">
        <f>IFERROR(__xludf.DUMMYFUNCTION("""COMPUTED_VALUE"""),"")</f>
        <v/>
      </c>
      <c r="D1656" t="str">
        <f>IFERROR(__xludf.DUMMYFUNCTION("""COMPUTED_VALUE"""),"")</f>
        <v/>
      </c>
      <c r="E1656" t="str">
        <f>IFERROR(__xludf.DUMMYFUNCTION("""COMPUTED_VALUE"""),"")</f>
        <v/>
      </c>
      <c r="F1656" t="str">
        <f>IFERROR(__xludf.DUMMYFUNCTION("""COMPUTED_VALUE"""),"")</f>
        <v/>
      </c>
      <c r="G1656" t="str">
        <f>IFERROR(__xludf.DUMMYFUNCTION("""COMPUTED_VALUE"""),"")</f>
        <v/>
      </c>
      <c r="H1656" s="2" t="str">
        <f>IFERROR(__xludf.DUMMYFUNCTION("""COMPUTED_VALUE"""),"")</f>
        <v/>
      </c>
      <c r="I1656" s="2" t="str">
        <f>IFERROR(__xludf.DUMMYFUNCTION("""COMPUTED_VALUE"""),"")</f>
        <v/>
      </c>
      <c r="J1656" s="2">
        <f>IFERROR(__xludf.DUMMYFUNCTION("""COMPUTED_VALUE"""),0.0)</f>
        <v>0</v>
      </c>
      <c r="K1656" s="5" t="str">
        <f>IFERROR(__xludf.DUMMYFUNCTION("""COMPUTED_VALUE"""),"")</f>
        <v/>
      </c>
      <c r="L1656" t="str">
        <f>IFERROR(__xludf.DUMMYFUNCTION("""COMPUTED_VALUE"""),"")</f>
        <v/>
      </c>
      <c r="M1656" t="str">
        <f>IFERROR(__xludf.DUMMYFUNCTION("""COMPUTED_VALUE"""),"")</f>
        <v/>
      </c>
      <c r="N1656" t="str">
        <f>IFERROR(__xludf.DUMMYFUNCTION("""COMPUTED_VALUE"""),"")</f>
        <v/>
      </c>
      <c r="O1656" t="str">
        <f>IFERROR(__xludf.DUMMYFUNCTION("""COMPUTED_VALUE"""),"")</f>
        <v/>
      </c>
      <c r="P1656" t="str">
        <f>IFERROR(__xludf.DUMMYFUNCTION("""COMPUTED_VALUE"""),"ID ")</f>
        <v>ID </v>
      </c>
    </row>
    <row r="1657">
      <c r="A1657" s="6" t="str">
        <f>IFERROR(__xludf.DUMMYFUNCTION("""COMPUTED_VALUE"""),"")</f>
        <v/>
      </c>
      <c r="C1657" t="str">
        <f>IFERROR(__xludf.DUMMYFUNCTION("""COMPUTED_VALUE"""),"")</f>
        <v/>
      </c>
      <c r="D1657" t="str">
        <f>IFERROR(__xludf.DUMMYFUNCTION("""COMPUTED_VALUE"""),"")</f>
        <v/>
      </c>
      <c r="E1657" t="str">
        <f>IFERROR(__xludf.DUMMYFUNCTION("""COMPUTED_VALUE"""),"")</f>
        <v/>
      </c>
      <c r="F1657" t="str">
        <f>IFERROR(__xludf.DUMMYFUNCTION("""COMPUTED_VALUE"""),"")</f>
        <v/>
      </c>
      <c r="G1657" t="str">
        <f>IFERROR(__xludf.DUMMYFUNCTION("""COMPUTED_VALUE"""),"")</f>
        <v/>
      </c>
      <c r="H1657" s="2" t="str">
        <f>IFERROR(__xludf.DUMMYFUNCTION("""COMPUTED_VALUE"""),"")</f>
        <v/>
      </c>
      <c r="I1657" s="2" t="str">
        <f>IFERROR(__xludf.DUMMYFUNCTION("""COMPUTED_VALUE"""),"")</f>
        <v/>
      </c>
      <c r="J1657" s="2">
        <f>IFERROR(__xludf.DUMMYFUNCTION("""COMPUTED_VALUE"""),0.0)</f>
        <v>0</v>
      </c>
      <c r="K1657" s="5" t="str">
        <f>IFERROR(__xludf.DUMMYFUNCTION("""COMPUTED_VALUE"""),"")</f>
        <v/>
      </c>
      <c r="L1657" t="str">
        <f>IFERROR(__xludf.DUMMYFUNCTION("""COMPUTED_VALUE"""),"")</f>
        <v/>
      </c>
      <c r="M1657" t="str">
        <f>IFERROR(__xludf.DUMMYFUNCTION("""COMPUTED_VALUE"""),"")</f>
        <v/>
      </c>
      <c r="N1657" t="str">
        <f>IFERROR(__xludf.DUMMYFUNCTION("""COMPUTED_VALUE"""),"")</f>
        <v/>
      </c>
      <c r="O1657" t="str">
        <f>IFERROR(__xludf.DUMMYFUNCTION("""COMPUTED_VALUE"""),"")</f>
        <v/>
      </c>
      <c r="P1657" t="str">
        <f>IFERROR(__xludf.DUMMYFUNCTION("""COMPUTED_VALUE"""),"ID ")</f>
        <v>ID </v>
      </c>
    </row>
    <row r="1658">
      <c r="A1658" s="6" t="str">
        <f>IFERROR(__xludf.DUMMYFUNCTION("""COMPUTED_VALUE"""),"")</f>
        <v/>
      </c>
      <c r="C1658" t="str">
        <f>IFERROR(__xludf.DUMMYFUNCTION("""COMPUTED_VALUE"""),"")</f>
        <v/>
      </c>
      <c r="D1658" t="str">
        <f>IFERROR(__xludf.DUMMYFUNCTION("""COMPUTED_VALUE"""),"")</f>
        <v/>
      </c>
      <c r="E1658" t="str">
        <f>IFERROR(__xludf.DUMMYFUNCTION("""COMPUTED_VALUE"""),"")</f>
        <v/>
      </c>
      <c r="F1658" t="str">
        <f>IFERROR(__xludf.DUMMYFUNCTION("""COMPUTED_VALUE"""),"")</f>
        <v/>
      </c>
      <c r="G1658" t="str">
        <f>IFERROR(__xludf.DUMMYFUNCTION("""COMPUTED_VALUE"""),"")</f>
        <v/>
      </c>
      <c r="H1658" s="2" t="str">
        <f>IFERROR(__xludf.DUMMYFUNCTION("""COMPUTED_VALUE"""),"")</f>
        <v/>
      </c>
      <c r="I1658" s="2" t="str">
        <f>IFERROR(__xludf.DUMMYFUNCTION("""COMPUTED_VALUE"""),"")</f>
        <v/>
      </c>
      <c r="J1658" s="2">
        <f>IFERROR(__xludf.DUMMYFUNCTION("""COMPUTED_VALUE"""),0.0)</f>
        <v>0</v>
      </c>
      <c r="K1658" s="5" t="str">
        <f>IFERROR(__xludf.DUMMYFUNCTION("""COMPUTED_VALUE"""),"")</f>
        <v/>
      </c>
      <c r="L1658" t="str">
        <f>IFERROR(__xludf.DUMMYFUNCTION("""COMPUTED_VALUE"""),"")</f>
        <v/>
      </c>
      <c r="M1658" t="str">
        <f>IFERROR(__xludf.DUMMYFUNCTION("""COMPUTED_VALUE"""),"")</f>
        <v/>
      </c>
      <c r="N1658" t="str">
        <f>IFERROR(__xludf.DUMMYFUNCTION("""COMPUTED_VALUE"""),"")</f>
        <v/>
      </c>
      <c r="O1658" t="str">
        <f>IFERROR(__xludf.DUMMYFUNCTION("""COMPUTED_VALUE"""),"")</f>
        <v/>
      </c>
      <c r="P1658" t="str">
        <f>IFERROR(__xludf.DUMMYFUNCTION("""COMPUTED_VALUE"""),"ID ")</f>
        <v>ID </v>
      </c>
    </row>
    <row r="1659">
      <c r="A1659" s="6" t="str">
        <f>IFERROR(__xludf.DUMMYFUNCTION("""COMPUTED_VALUE"""),"")</f>
        <v/>
      </c>
      <c r="C1659" t="str">
        <f>IFERROR(__xludf.DUMMYFUNCTION("""COMPUTED_VALUE"""),"")</f>
        <v/>
      </c>
      <c r="D1659" t="str">
        <f>IFERROR(__xludf.DUMMYFUNCTION("""COMPUTED_VALUE"""),"")</f>
        <v/>
      </c>
      <c r="E1659" t="str">
        <f>IFERROR(__xludf.DUMMYFUNCTION("""COMPUTED_VALUE"""),"")</f>
        <v/>
      </c>
      <c r="F1659" t="str">
        <f>IFERROR(__xludf.DUMMYFUNCTION("""COMPUTED_VALUE"""),"")</f>
        <v/>
      </c>
      <c r="G1659" t="str">
        <f>IFERROR(__xludf.DUMMYFUNCTION("""COMPUTED_VALUE"""),"")</f>
        <v/>
      </c>
      <c r="H1659" s="2" t="str">
        <f>IFERROR(__xludf.DUMMYFUNCTION("""COMPUTED_VALUE"""),"")</f>
        <v/>
      </c>
      <c r="I1659" s="2" t="str">
        <f>IFERROR(__xludf.DUMMYFUNCTION("""COMPUTED_VALUE"""),"")</f>
        <v/>
      </c>
      <c r="J1659" s="2">
        <f>IFERROR(__xludf.DUMMYFUNCTION("""COMPUTED_VALUE"""),0.0)</f>
        <v>0</v>
      </c>
      <c r="K1659" s="5" t="str">
        <f>IFERROR(__xludf.DUMMYFUNCTION("""COMPUTED_VALUE"""),"")</f>
        <v/>
      </c>
      <c r="L1659" t="str">
        <f>IFERROR(__xludf.DUMMYFUNCTION("""COMPUTED_VALUE"""),"")</f>
        <v/>
      </c>
      <c r="M1659" t="str">
        <f>IFERROR(__xludf.DUMMYFUNCTION("""COMPUTED_VALUE"""),"")</f>
        <v/>
      </c>
      <c r="N1659" t="str">
        <f>IFERROR(__xludf.DUMMYFUNCTION("""COMPUTED_VALUE"""),"")</f>
        <v/>
      </c>
      <c r="O1659" t="str">
        <f>IFERROR(__xludf.DUMMYFUNCTION("""COMPUTED_VALUE"""),"")</f>
        <v/>
      </c>
      <c r="P1659" t="str">
        <f>IFERROR(__xludf.DUMMYFUNCTION("""COMPUTED_VALUE"""),"ID ")</f>
        <v>ID </v>
      </c>
    </row>
    <row r="1660">
      <c r="A1660" s="6" t="str">
        <f>IFERROR(__xludf.DUMMYFUNCTION("""COMPUTED_VALUE"""),"")</f>
        <v/>
      </c>
      <c r="C1660" t="str">
        <f>IFERROR(__xludf.DUMMYFUNCTION("""COMPUTED_VALUE"""),"")</f>
        <v/>
      </c>
      <c r="D1660" t="str">
        <f>IFERROR(__xludf.DUMMYFUNCTION("""COMPUTED_VALUE"""),"")</f>
        <v/>
      </c>
      <c r="E1660" t="str">
        <f>IFERROR(__xludf.DUMMYFUNCTION("""COMPUTED_VALUE"""),"")</f>
        <v/>
      </c>
      <c r="F1660" t="str">
        <f>IFERROR(__xludf.DUMMYFUNCTION("""COMPUTED_VALUE"""),"")</f>
        <v/>
      </c>
      <c r="G1660" t="str">
        <f>IFERROR(__xludf.DUMMYFUNCTION("""COMPUTED_VALUE"""),"")</f>
        <v/>
      </c>
      <c r="H1660" s="2" t="str">
        <f>IFERROR(__xludf.DUMMYFUNCTION("""COMPUTED_VALUE"""),"")</f>
        <v/>
      </c>
      <c r="I1660" s="2" t="str">
        <f>IFERROR(__xludf.DUMMYFUNCTION("""COMPUTED_VALUE"""),"")</f>
        <v/>
      </c>
      <c r="J1660" s="2">
        <f>IFERROR(__xludf.DUMMYFUNCTION("""COMPUTED_VALUE"""),0.0)</f>
        <v>0</v>
      </c>
      <c r="K1660" s="5" t="str">
        <f>IFERROR(__xludf.DUMMYFUNCTION("""COMPUTED_VALUE"""),"")</f>
        <v/>
      </c>
      <c r="L1660" t="str">
        <f>IFERROR(__xludf.DUMMYFUNCTION("""COMPUTED_VALUE"""),"")</f>
        <v/>
      </c>
      <c r="M1660" t="str">
        <f>IFERROR(__xludf.DUMMYFUNCTION("""COMPUTED_VALUE"""),"")</f>
        <v/>
      </c>
      <c r="N1660" t="str">
        <f>IFERROR(__xludf.DUMMYFUNCTION("""COMPUTED_VALUE"""),"")</f>
        <v/>
      </c>
      <c r="O1660" t="str">
        <f>IFERROR(__xludf.DUMMYFUNCTION("""COMPUTED_VALUE"""),"")</f>
        <v/>
      </c>
      <c r="P1660" t="str">
        <f>IFERROR(__xludf.DUMMYFUNCTION("""COMPUTED_VALUE"""),"ID ")</f>
        <v>ID </v>
      </c>
    </row>
    <row r="1661">
      <c r="A1661" s="6" t="str">
        <f>IFERROR(__xludf.DUMMYFUNCTION("""COMPUTED_VALUE"""),"")</f>
        <v/>
      </c>
      <c r="C1661" t="str">
        <f>IFERROR(__xludf.DUMMYFUNCTION("""COMPUTED_VALUE"""),"")</f>
        <v/>
      </c>
      <c r="D1661" t="str">
        <f>IFERROR(__xludf.DUMMYFUNCTION("""COMPUTED_VALUE"""),"")</f>
        <v/>
      </c>
      <c r="E1661" t="str">
        <f>IFERROR(__xludf.DUMMYFUNCTION("""COMPUTED_VALUE"""),"")</f>
        <v/>
      </c>
      <c r="F1661" t="str">
        <f>IFERROR(__xludf.DUMMYFUNCTION("""COMPUTED_VALUE"""),"")</f>
        <v/>
      </c>
      <c r="G1661" t="str">
        <f>IFERROR(__xludf.DUMMYFUNCTION("""COMPUTED_VALUE"""),"")</f>
        <v/>
      </c>
      <c r="H1661" s="2" t="str">
        <f>IFERROR(__xludf.DUMMYFUNCTION("""COMPUTED_VALUE"""),"")</f>
        <v/>
      </c>
      <c r="I1661" s="2" t="str">
        <f>IFERROR(__xludf.DUMMYFUNCTION("""COMPUTED_VALUE"""),"")</f>
        <v/>
      </c>
      <c r="J1661" s="2">
        <f>IFERROR(__xludf.DUMMYFUNCTION("""COMPUTED_VALUE"""),0.0)</f>
        <v>0</v>
      </c>
      <c r="K1661" s="5" t="str">
        <f>IFERROR(__xludf.DUMMYFUNCTION("""COMPUTED_VALUE"""),"")</f>
        <v/>
      </c>
      <c r="L1661" t="str">
        <f>IFERROR(__xludf.DUMMYFUNCTION("""COMPUTED_VALUE"""),"")</f>
        <v/>
      </c>
      <c r="M1661" t="str">
        <f>IFERROR(__xludf.DUMMYFUNCTION("""COMPUTED_VALUE"""),"")</f>
        <v/>
      </c>
      <c r="N1661" t="str">
        <f>IFERROR(__xludf.DUMMYFUNCTION("""COMPUTED_VALUE"""),"")</f>
        <v/>
      </c>
      <c r="O1661" t="str">
        <f>IFERROR(__xludf.DUMMYFUNCTION("""COMPUTED_VALUE"""),"")</f>
        <v/>
      </c>
      <c r="P1661" t="str">
        <f>IFERROR(__xludf.DUMMYFUNCTION("""COMPUTED_VALUE"""),"ID ")</f>
        <v>ID </v>
      </c>
    </row>
    <row r="1662">
      <c r="A1662" s="6" t="str">
        <f>IFERROR(__xludf.DUMMYFUNCTION("""COMPUTED_VALUE"""),"")</f>
        <v/>
      </c>
      <c r="C1662" t="str">
        <f>IFERROR(__xludf.DUMMYFUNCTION("""COMPUTED_VALUE"""),"")</f>
        <v/>
      </c>
      <c r="D1662" t="str">
        <f>IFERROR(__xludf.DUMMYFUNCTION("""COMPUTED_VALUE"""),"")</f>
        <v/>
      </c>
      <c r="E1662" t="str">
        <f>IFERROR(__xludf.DUMMYFUNCTION("""COMPUTED_VALUE"""),"")</f>
        <v/>
      </c>
      <c r="F1662" t="str">
        <f>IFERROR(__xludf.DUMMYFUNCTION("""COMPUTED_VALUE"""),"")</f>
        <v/>
      </c>
      <c r="G1662" t="str">
        <f>IFERROR(__xludf.DUMMYFUNCTION("""COMPUTED_VALUE"""),"")</f>
        <v/>
      </c>
      <c r="H1662" s="2" t="str">
        <f>IFERROR(__xludf.DUMMYFUNCTION("""COMPUTED_VALUE"""),"")</f>
        <v/>
      </c>
      <c r="I1662" s="2" t="str">
        <f>IFERROR(__xludf.DUMMYFUNCTION("""COMPUTED_VALUE"""),"")</f>
        <v/>
      </c>
      <c r="J1662" s="2">
        <f>IFERROR(__xludf.DUMMYFUNCTION("""COMPUTED_VALUE"""),0.0)</f>
        <v>0</v>
      </c>
      <c r="K1662" s="5" t="str">
        <f>IFERROR(__xludf.DUMMYFUNCTION("""COMPUTED_VALUE"""),"")</f>
        <v/>
      </c>
      <c r="L1662" t="str">
        <f>IFERROR(__xludf.DUMMYFUNCTION("""COMPUTED_VALUE"""),"")</f>
        <v/>
      </c>
      <c r="M1662" t="str">
        <f>IFERROR(__xludf.DUMMYFUNCTION("""COMPUTED_VALUE"""),"")</f>
        <v/>
      </c>
      <c r="N1662" t="str">
        <f>IFERROR(__xludf.DUMMYFUNCTION("""COMPUTED_VALUE"""),"")</f>
        <v/>
      </c>
      <c r="O1662" t="str">
        <f>IFERROR(__xludf.DUMMYFUNCTION("""COMPUTED_VALUE"""),"")</f>
        <v/>
      </c>
      <c r="P1662" t="str">
        <f>IFERROR(__xludf.DUMMYFUNCTION("""COMPUTED_VALUE"""),"ID ")</f>
        <v>ID </v>
      </c>
    </row>
    <row r="1663">
      <c r="A1663" s="6" t="str">
        <f>IFERROR(__xludf.DUMMYFUNCTION("""COMPUTED_VALUE"""),"")</f>
        <v/>
      </c>
      <c r="C1663" t="str">
        <f>IFERROR(__xludf.DUMMYFUNCTION("""COMPUTED_VALUE"""),"")</f>
        <v/>
      </c>
      <c r="D1663" t="str">
        <f>IFERROR(__xludf.DUMMYFUNCTION("""COMPUTED_VALUE"""),"")</f>
        <v/>
      </c>
      <c r="E1663" t="str">
        <f>IFERROR(__xludf.DUMMYFUNCTION("""COMPUTED_VALUE"""),"")</f>
        <v/>
      </c>
      <c r="F1663" t="str">
        <f>IFERROR(__xludf.DUMMYFUNCTION("""COMPUTED_VALUE"""),"")</f>
        <v/>
      </c>
      <c r="G1663" t="str">
        <f>IFERROR(__xludf.DUMMYFUNCTION("""COMPUTED_VALUE"""),"")</f>
        <v/>
      </c>
      <c r="H1663" s="2" t="str">
        <f>IFERROR(__xludf.DUMMYFUNCTION("""COMPUTED_VALUE"""),"")</f>
        <v/>
      </c>
      <c r="I1663" s="2" t="str">
        <f>IFERROR(__xludf.DUMMYFUNCTION("""COMPUTED_VALUE"""),"")</f>
        <v/>
      </c>
      <c r="J1663" s="2">
        <f>IFERROR(__xludf.DUMMYFUNCTION("""COMPUTED_VALUE"""),0.0)</f>
        <v>0</v>
      </c>
      <c r="K1663" s="5" t="str">
        <f>IFERROR(__xludf.DUMMYFUNCTION("""COMPUTED_VALUE"""),"")</f>
        <v/>
      </c>
      <c r="L1663" t="str">
        <f>IFERROR(__xludf.DUMMYFUNCTION("""COMPUTED_VALUE"""),"")</f>
        <v/>
      </c>
      <c r="M1663" t="str">
        <f>IFERROR(__xludf.DUMMYFUNCTION("""COMPUTED_VALUE"""),"")</f>
        <v/>
      </c>
      <c r="N1663" t="str">
        <f>IFERROR(__xludf.DUMMYFUNCTION("""COMPUTED_VALUE"""),"")</f>
        <v/>
      </c>
      <c r="O1663" t="str">
        <f>IFERROR(__xludf.DUMMYFUNCTION("""COMPUTED_VALUE"""),"")</f>
        <v/>
      </c>
      <c r="P1663" t="str">
        <f>IFERROR(__xludf.DUMMYFUNCTION("""COMPUTED_VALUE"""),"ID ")</f>
        <v>ID </v>
      </c>
    </row>
    <row r="1664">
      <c r="A1664" s="6" t="str">
        <f>IFERROR(__xludf.DUMMYFUNCTION("""COMPUTED_VALUE"""),"")</f>
        <v/>
      </c>
      <c r="C1664" t="str">
        <f>IFERROR(__xludf.DUMMYFUNCTION("""COMPUTED_VALUE"""),"")</f>
        <v/>
      </c>
      <c r="D1664" t="str">
        <f>IFERROR(__xludf.DUMMYFUNCTION("""COMPUTED_VALUE"""),"")</f>
        <v/>
      </c>
      <c r="E1664" t="str">
        <f>IFERROR(__xludf.DUMMYFUNCTION("""COMPUTED_VALUE"""),"")</f>
        <v/>
      </c>
      <c r="F1664" t="str">
        <f>IFERROR(__xludf.DUMMYFUNCTION("""COMPUTED_VALUE"""),"")</f>
        <v/>
      </c>
      <c r="G1664" t="str">
        <f>IFERROR(__xludf.DUMMYFUNCTION("""COMPUTED_VALUE"""),"")</f>
        <v/>
      </c>
      <c r="H1664" s="2" t="str">
        <f>IFERROR(__xludf.DUMMYFUNCTION("""COMPUTED_VALUE"""),"")</f>
        <v/>
      </c>
      <c r="I1664" s="2" t="str">
        <f>IFERROR(__xludf.DUMMYFUNCTION("""COMPUTED_VALUE"""),"")</f>
        <v/>
      </c>
      <c r="J1664" s="2">
        <f>IFERROR(__xludf.DUMMYFUNCTION("""COMPUTED_VALUE"""),0.0)</f>
        <v>0</v>
      </c>
      <c r="K1664" s="5" t="str">
        <f>IFERROR(__xludf.DUMMYFUNCTION("""COMPUTED_VALUE"""),"")</f>
        <v/>
      </c>
      <c r="L1664" t="str">
        <f>IFERROR(__xludf.DUMMYFUNCTION("""COMPUTED_VALUE"""),"")</f>
        <v/>
      </c>
      <c r="M1664" t="str">
        <f>IFERROR(__xludf.DUMMYFUNCTION("""COMPUTED_VALUE"""),"")</f>
        <v/>
      </c>
      <c r="N1664" t="str">
        <f>IFERROR(__xludf.DUMMYFUNCTION("""COMPUTED_VALUE"""),"")</f>
        <v/>
      </c>
      <c r="O1664" t="str">
        <f>IFERROR(__xludf.DUMMYFUNCTION("""COMPUTED_VALUE"""),"")</f>
        <v/>
      </c>
      <c r="P1664" t="str">
        <f>IFERROR(__xludf.DUMMYFUNCTION("""COMPUTED_VALUE"""),"ID ")</f>
        <v>ID </v>
      </c>
    </row>
    <row r="1665">
      <c r="A1665" s="6" t="str">
        <f>IFERROR(__xludf.DUMMYFUNCTION("""COMPUTED_VALUE"""),"")</f>
        <v/>
      </c>
      <c r="C1665" t="str">
        <f>IFERROR(__xludf.DUMMYFUNCTION("""COMPUTED_VALUE"""),"")</f>
        <v/>
      </c>
      <c r="D1665" t="str">
        <f>IFERROR(__xludf.DUMMYFUNCTION("""COMPUTED_VALUE"""),"")</f>
        <v/>
      </c>
      <c r="E1665" t="str">
        <f>IFERROR(__xludf.DUMMYFUNCTION("""COMPUTED_VALUE"""),"")</f>
        <v/>
      </c>
      <c r="F1665" t="str">
        <f>IFERROR(__xludf.DUMMYFUNCTION("""COMPUTED_VALUE"""),"")</f>
        <v/>
      </c>
      <c r="G1665" t="str">
        <f>IFERROR(__xludf.DUMMYFUNCTION("""COMPUTED_VALUE"""),"")</f>
        <v/>
      </c>
      <c r="H1665" s="2" t="str">
        <f>IFERROR(__xludf.DUMMYFUNCTION("""COMPUTED_VALUE"""),"")</f>
        <v/>
      </c>
      <c r="I1665" s="2" t="str">
        <f>IFERROR(__xludf.DUMMYFUNCTION("""COMPUTED_VALUE"""),"")</f>
        <v/>
      </c>
      <c r="J1665" s="2">
        <f>IFERROR(__xludf.DUMMYFUNCTION("""COMPUTED_VALUE"""),0.0)</f>
        <v>0</v>
      </c>
      <c r="K1665" s="5" t="str">
        <f>IFERROR(__xludf.DUMMYFUNCTION("""COMPUTED_VALUE"""),"")</f>
        <v/>
      </c>
      <c r="L1665" t="str">
        <f>IFERROR(__xludf.DUMMYFUNCTION("""COMPUTED_VALUE"""),"")</f>
        <v/>
      </c>
      <c r="M1665" t="str">
        <f>IFERROR(__xludf.DUMMYFUNCTION("""COMPUTED_VALUE"""),"")</f>
        <v/>
      </c>
      <c r="N1665" t="str">
        <f>IFERROR(__xludf.DUMMYFUNCTION("""COMPUTED_VALUE"""),"")</f>
        <v/>
      </c>
      <c r="O1665" t="str">
        <f>IFERROR(__xludf.DUMMYFUNCTION("""COMPUTED_VALUE"""),"")</f>
        <v/>
      </c>
      <c r="P1665" t="str">
        <f>IFERROR(__xludf.DUMMYFUNCTION("""COMPUTED_VALUE"""),"ID ")</f>
        <v>ID </v>
      </c>
    </row>
    <row r="1666">
      <c r="A1666" s="6" t="str">
        <f>IFERROR(__xludf.DUMMYFUNCTION("""COMPUTED_VALUE"""),"")</f>
        <v/>
      </c>
      <c r="C1666" t="str">
        <f>IFERROR(__xludf.DUMMYFUNCTION("""COMPUTED_VALUE"""),"")</f>
        <v/>
      </c>
      <c r="D1666" t="str">
        <f>IFERROR(__xludf.DUMMYFUNCTION("""COMPUTED_VALUE"""),"")</f>
        <v/>
      </c>
      <c r="E1666" t="str">
        <f>IFERROR(__xludf.DUMMYFUNCTION("""COMPUTED_VALUE"""),"")</f>
        <v/>
      </c>
      <c r="F1666" t="str">
        <f>IFERROR(__xludf.DUMMYFUNCTION("""COMPUTED_VALUE"""),"")</f>
        <v/>
      </c>
      <c r="G1666" t="str">
        <f>IFERROR(__xludf.DUMMYFUNCTION("""COMPUTED_VALUE"""),"")</f>
        <v/>
      </c>
      <c r="H1666" s="2" t="str">
        <f>IFERROR(__xludf.DUMMYFUNCTION("""COMPUTED_VALUE"""),"")</f>
        <v/>
      </c>
      <c r="I1666" s="2" t="str">
        <f>IFERROR(__xludf.DUMMYFUNCTION("""COMPUTED_VALUE"""),"")</f>
        <v/>
      </c>
      <c r="J1666" s="2">
        <f>IFERROR(__xludf.DUMMYFUNCTION("""COMPUTED_VALUE"""),0.0)</f>
        <v>0</v>
      </c>
      <c r="K1666" s="5" t="str">
        <f>IFERROR(__xludf.DUMMYFUNCTION("""COMPUTED_VALUE"""),"")</f>
        <v/>
      </c>
      <c r="L1666" t="str">
        <f>IFERROR(__xludf.DUMMYFUNCTION("""COMPUTED_VALUE"""),"")</f>
        <v/>
      </c>
      <c r="M1666" t="str">
        <f>IFERROR(__xludf.DUMMYFUNCTION("""COMPUTED_VALUE"""),"")</f>
        <v/>
      </c>
      <c r="N1666" t="str">
        <f>IFERROR(__xludf.DUMMYFUNCTION("""COMPUTED_VALUE"""),"")</f>
        <v/>
      </c>
      <c r="O1666" t="str">
        <f>IFERROR(__xludf.DUMMYFUNCTION("""COMPUTED_VALUE"""),"")</f>
        <v/>
      </c>
      <c r="P1666" t="str">
        <f>IFERROR(__xludf.DUMMYFUNCTION("""COMPUTED_VALUE"""),"ID ")</f>
        <v>ID </v>
      </c>
    </row>
    <row r="1667">
      <c r="A1667" s="6" t="str">
        <f>IFERROR(__xludf.DUMMYFUNCTION("""COMPUTED_VALUE"""),"")</f>
        <v/>
      </c>
      <c r="C1667" t="str">
        <f>IFERROR(__xludf.DUMMYFUNCTION("""COMPUTED_VALUE"""),"")</f>
        <v/>
      </c>
      <c r="D1667" t="str">
        <f>IFERROR(__xludf.DUMMYFUNCTION("""COMPUTED_VALUE"""),"")</f>
        <v/>
      </c>
      <c r="E1667" t="str">
        <f>IFERROR(__xludf.DUMMYFUNCTION("""COMPUTED_VALUE"""),"")</f>
        <v/>
      </c>
      <c r="F1667" t="str">
        <f>IFERROR(__xludf.DUMMYFUNCTION("""COMPUTED_VALUE"""),"")</f>
        <v/>
      </c>
      <c r="G1667" t="str">
        <f>IFERROR(__xludf.DUMMYFUNCTION("""COMPUTED_VALUE"""),"")</f>
        <v/>
      </c>
      <c r="H1667" s="2" t="str">
        <f>IFERROR(__xludf.DUMMYFUNCTION("""COMPUTED_VALUE"""),"")</f>
        <v/>
      </c>
      <c r="I1667" s="2" t="str">
        <f>IFERROR(__xludf.DUMMYFUNCTION("""COMPUTED_VALUE"""),"")</f>
        <v/>
      </c>
      <c r="J1667" s="2">
        <f>IFERROR(__xludf.DUMMYFUNCTION("""COMPUTED_VALUE"""),0.0)</f>
        <v>0</v>
      </c>
      <c r="K1667" s="5" t="str">
        <f>IFERROR(__xludf.DUMMYFUNCTION("""COMPUTED_VALUE"""),"")</f>
        <v/>
      </c>
      <c r="L1667" t="str">
        <f>IFERROR(__xludf.DUMMYFUNCTION("""COMPUTED_VALUE"""),"")</f>
        <v/>
      </c>
      <c r="M1667" t="str">
        <f>IFERROR(__xludf.DUMMYFUNCTION("""COMPUTED_VALUE"""),"")</f>
        <v/>
      </c>
      <c r="N1667" t="str">
        <f>IFERROR(__xludf.DUMMYFUNCTION("""COMPUTED_VALUE"""),"")</f>
        <v/>
      </c>
      <c r="O1667" t="str">
        <f>IFERROR(__xludf.DUMMYFUNCTION("""COMPUTED_VALUE"""),"")</f>
        <v/>
      </c>
      <c r="P1667" t="str">
        <f>IFERROR(__xludf.DUMMYFUNCTION("""COMPUTED_VALUE"""),"ID ")</f>
        <v>ID </v>
      </c>
    </row>
    <row r="1668">
      <c r="A1668" s="6" t="str">
        <f>IFERROR(__xludf.DUMMYFUNCTION("""COMPUTED_VALUE"""),"")</f>
        <v/>
      </c>
      <c r="C1668" t="str">
        <f>IFERROR(__xludf.DUMMYFUNCTION("""COMPUTED_VALUE"""),"")</f>
        <v/>
      </c>
      <c r="D1668" t="str">
        <f>IFERROR(__xludf.DUMMYFUNCTION("""COMPUTED_VALUE"""),"")</f>
        <v/>
      </c>
      <c r="E1668" t="str">
        <f>IFERROR(__xludf.DUMMYFUNCTION("""COMPUTED_VALUE"""),"")</f>
        <v/>
      </c>
      <c r="F1668" t="str">
        <f>IFERROR(__xludf.DUMMYFUNCTION("""COMPUTED_VALUE"""),"")</f>
        <v/>
      </c>
      <c r="G1668" t="str">
        <f>IFERROR(__xludf.DUMMYFUNCTION("""COMPUTED_VALUE"""),"")</f>
        <v/>
      </c>
      <c r="H1668" s="2" t="str">
        <f>IFERROR(__xludf.DUMMYFUNCTION("""COMPUTED_VALUE"""),"")</f>
        <v/>
      </c>
      <c r="I1668" s="2" t="str">
        <f>IFERROR(__xludf.DUMMYFUNCTION("""COMPUTED_VALUE"""),"")</f>
        <v/>
      </c>
      <c r="J1668" s="2">
        <f>IFERROR(__xludf.DUMMYFUNCTION("""COMPUTED_VALUE"""),0.0)</f>
        <v>0</v>
      </c>
      <c r="K1668" s="5" t="str">
        <f>IFERROR(__xludf.DUMMYFUNCTION("""COMPUTED_VALUE"""),"")</f>
        <v/>
      </c>
      <c r="L1668" t="str">
        <f>IFERROR(__xludf.DUMMYFUNCTION("""COMPUTED_VALUE"""),"")</f>
        <v/>
      </c>
      <c r="M1668" t="str">
        <f>IFERROR(__xludf.DUMMYFUNCTION("""COMPUTED_VALUE"""),"")</f>
        <v/>
      </c>
      <c r="N1668" t="str">
        <f>IFERROR(__xludf.DUMMYFUNCTION("""COMPUTED_VALUE"""),"")</f>
        <v/>
      </c>
      <c r="O1668" t="str">
        <f>IFERROR(__xludf.DUMMYFUNCTION("""COMPUTED_VALUE"""),"")</f>
        <v/>
      </c>
      <c r="P1668" t="str">
        <f>IFERROR(__xludf.DUMMYFUNCTION("""COMPUTED_VALUE"""),"ID ")</f>
        <v>ID </v>
      </c>
    </row>
    <row r="1669">
      <c r="A1669" s="6" t="str">
        <f>IFERROR(__xludf.DUMMYFUNCTION("""COMPUTED_VALUE"""),"")</f>
        <v/>
      </c>
      <c r="C1669" t="str">
        <f>IFERROR(__xludf.DUMMYFUNCTION("""COMPUTED_VALUE"""),"")</f>
        <v/>
      </c>
      <c r="D1669" t="str">
        <f>IFERROR(__xludf.DUMMYFUNCTION("""COMPUTED_VALUE"""),"")</f>
        <v/>
      </c>
      <c r="E1669" t="str">
        <f>IFERROR(__xludf.DUMMYFUNCTION("""COMPUTED_VALUE"""),"")</f>
        <v/>
      </c>
      <c r="F1669" t="str">
        <f>IFERROR(__xludf.DUMMYFUNCTION("""COMPUTED_VALUE"""),"")</f>
        <v/>
      </c>
      <c r="G1669" t="str">
        <f>IFERROR(__xludf.DUMMYFUNCTION("""COMPUTED_VALUE"""),"")</f>
        <v/>
      </c>
      <c r="H1669" s="2" t="str">
        <f>IFERROR(__xludf.DUMMYFUNCTION("""COMPUTED_VALUE"""),"")</f>
        <v/>
      </c>
      <c r="I1669" s="2" t="str">
        <f>IFERROR(__xludf.DUMMYFUNCTION("""COMPUTED_VALUE"""),"")</f>
        <v/>
      </c>
      <c r="J1669" s="2">
        <f>IFERROR(__xludf.DUMMYFUNCTION("""COMPUTED_VALUE"""),0.0)</f>
        <v>0</v>
      </c>
      <c r="K1669" s="5" t="str">
        <f>IFERROR(__xludf.DUMMYFUNCTION("""COMPUTED_VALUE"""),"")</f>
        <v/>
      </c>
      <c r="L1669" t="str">
        <f>IFERROR(__xludf.DUMMYFUNCTION("""COMPUTED_VALUE"""),"")</f>
        <v/>
      </c>
      <c r="M1669" t="str">
        <f>IFERROR(__xludf.DUMMYFUNCTION("""COMPUTED_VALUE"""),"")</f>
        <v/>
      </c>
      <c r="N1669" t="str">
        <f>IFERROR(__xludf.DUMMYFUNCTION("""COMPUTED_VALUE"""),"")</f>
        <v/>
      </c>
      <c r="O1669" t="str">
        <f>IFERROR(__xludf.DUMMYFUNCTION("""COMPUTED_VALUE"""),"")</f>
        <v/>
      </c>
      <c r="P1669" t="str">
        <f>IFERROR(__xludf.DUMMYFUNCTION("""COMPUTED_VALUE"""),"ID ")</f>
        <v>ID </v>
      </c>
    </row>
    <row r="1670">
      <c r="A1670" s="6" t="str">
        <f>IFERROR(__xludf.DUMMYFUNCTION("""COMPUTED_VALUE"""),"")</f>
        <v/>
      </c>
      <c r="C1670" t="str">
        <f>IFERROR(__xludf.DUMMYFUNCTION("""COMPUTED_VALUE"""),"")</f>
        <v/>
      </c>
      <c r="D1670" t="str">
        <f>IFERROR(__xludf.DUMMYFUNCTION("""COMPUTED_VALUE"""),"")</f>
        <v/>
      </c>
      <c r="E1670" t="str">
        <f>IFERROR(__xludf.DUMMYFUNCTION("""COMPUTED_VALUE"""),"")</f>
        <v/>
      </c>
      <c r="F1670" t="str">
        <f>IFERROR(__xludf.DUMMYFUNCTION("""COMPUTED_VALUE"""),"")</f>
        <v/>
      </c>
      <c r="G1670" t="str">
        <f>IFERROR(__xludf.DUMMYFUNCTION("""COMPUTED_VALUE"""),"")</f>
        <v/>
      </c>
      <c r="H1670" s="2" t="str">
        <f>IFERROR(__xludf.DUMMYFUNCTION("""COMPUTED_VALUE"""),"")</f>
        <v/>
      </c>
      <c r="I1670" s="2" t="str">
        <f>IFERROR(__xludf.DUMMYFUNCTION("""COMPUTED_VALUE"""),"")</f>
        <v/>
      </c>
      <c r="J1670" s="2">
        <f>IFERROR(__xludf.DUMMYFUNCTION("""COMPUTED_VALUE"""),0.0)</f>
        <v>0</v>
      </c>
      <c r="K1670" s="5" t="str">
        <f>IFERROR(__xludf.DUMMYFUNCTION("""COMPUTED_VALUE"""),"")</f>
        <v/>
      </c>
      <c r="L1670" t="str">
        <f>IFERROR(__xludf.DUMMYFUNCTION("""COMPUTED_VALUE"""),"")</f>
        <v/>
      </c>
      <c r="M1670" t="str">
        <f>IFERROR(__xludf.DUMMYFUNCTION("""COMPUTED_VALUE"""),"")</f>
        <v/>
      </c>
      <c r="N1670" t="str">
        <f>IFERROR(__xludf.DUMMYFUNCTION("""COMPUTED_VALUE"""),"")</f>
        <v/>
      </c>
      <c r="O1670" t="str">
        <f>IFERROR(__xludf.DUMMYFUNCTION("""COMPUTED_VALUE"""),"")</f>
        <v/>
      </c>
      <c r="P1670" t="str">
        <f>IFERROR(__xludf.DUMMYFUNCTION("""COMPUTED_VALUE"""),"ID ")</f>
        <v>ID </v>
      </c>
    </row>
    <row r="1671">
      <c r="A1671" s="6" t="str">
        <f>IFERROR(__xludf.DUMMYFUNCTION("""COMPUTED_VALUE"""),"")</f>
        <v/>
      </c>
      <c r="C1671" t="str">
        <f>IFERROR(__xludf.DUMMYFUNCTION("""COMPUTED_VALUE"""),"")</f>
        <v/>
      </c>
      <c r="D1671" t="str">
        <f>IFERROR(__xludf.DUMMYFUNCTION("""COMPUTED_VALUE"""),"")</f>
        <v/>
      </c>
      <c r="E1671" t="str">
        <f>IFERROR(__xludf.DUMMYFUNCTION("""COMPUTED_VALUE"""),"")</f>
        <v/>
      </c>
      <c r="F1671" t="str">
        <f>IFERROR(__xludf.DUMMYFUNCTION("""COMPUTED_VALUE"""),"")</f>
        <v/>
      </c>
      <c r="G1671" t="str">
        <f>IFERROR(__xludf.DUMMYFUNCTION("""COMPUTED_VALUE"""),"")</f>
        <v/>
      </c>
      <c r="H1671" s="2" t="str">
        <f>IFERROR(__xludf.DUMMYFUNCTION("""COMPUTED_VALUE"""),"")</f>
        <v/>
      </c>
      <c r="I1671" s="2" t="str">
        <f>IFERROR(__xludf.DUMMYFUNCTION("""COMPUTED_VALUE"""),"")</f>
        <v/>
      </c>
      <c r="J1671" s="2">
        <f>IFERROR(__xludf.DUMMYFUNCTION("""COMPUTED_VALUE"""),0.0)</f>
        <v>0</v>
      </c>
      <c r="K1671" s="5" t="str">
        <f>IFERROR(__xludf.DUMMYFUNCTION("""COMPUTED_VALUE"""),"")</f>
        <v/>
      </c>
      <c r="L1671" t="str">
        <f>IFERROR(__xludf.DUMMYFUNCTION("""COMPUTED_VALUE"""),"")</f>
        <v/>
      </c>
      <c r="M1671" t="str">
        <f>IFERROR(__xludf.DUMMYFUNCTION("""COMPUTED_VALUE"""),"")</f>
        <v/>
      </c>
      <c r="N1671" t="str">
        <f>IFERROR(__xludf.DUMMYFUNCTION("""COMPUTED_VALUE"""),"")</f>
        <v/>
      </c>
      <c r="O1671" t="str">
        <f>IFERROR(__xludf.DUMMYFUNCTION("""COMPUTED_VALUE"""),"")</f>
        <v/>
      </c>
      <c r="P1671" t="str">
        <f>IFERROR(__xludf.DUMMYFUNCTION("""COMPUTED_VALUE"""),"ID ")</f>
        <v>ID </v>
      </c>
    </row>
    <row r="1672">
      <c r="A1672" s="6" t="str">
        <f>IFERROR(__xludf.DUMMYFUNCTION("""COMPUTED_VALUE"""),"")</f>
        <v/>
      </c>
      <c r="C1672" t="str">
        <f>IFERROR(__xludf.DUMMYFUNCTION("""COMPUTED_VALUE"""),"")</f>
        <v/>
      </c>
      <c r="D1672" t="str">
        <f>IFERROR(__xludf.DUMMYFUNCTION("""COMPUTED_VALUE"""),"")</f>
        <v/>
      </c>
      <c r="E1672" t="str">
        <f>IFERROR(__xludf.DUMMYFUNCTION("""COMPUTED_VALUE"""),"")</f>
        <v/>
      </c>
      <c r="F1672" t="str">
        <f>IFERROR(__xludf.DUMMYFUNCTION("""COMPUTED_VALUE"""),"")</f>
        <v/>
      </c>
      <c r="G1672" t="str">
        <f>IFERROR(__xludf.DUMMYFUNCTION("""COMPUTED_VALUE"""),"")</f>
        <v/>
      </c>
      <c r="H1672" s="2" t="str">
        <f>IFERROR(__xludf.DUMMYFUNCTION("""COMPUTED_VALUE"""),"")</f>
        <v/>
      </c>
      <c r="I1672" s="2" t="str">
        <f>IFERROR(__xludf.DUMMYFUNCTION("""COMPUTED_VALUE"""),"")</f>
        <v/>
      </c>
      <c r="J1672" s="2">
        <f>IFERROR(__xludf.DUMMYFUNCTION("""COMPUTED_VALUE"""),0.0)</f>
        <v>0</v>
      </c>
      <c r="K1672" s="5" t="str">
        <f>IFERROR(__xludf.DUMMYFUNCTION("""COMPUTED_VALUE"""),"")</f>
        <v/>
      </c>
      <c r="L1672" t="str">
        <f>IFERROR(__xludf.DUMMYFUNCTION("""COMPUTED_VALUE"""),"")</f>
        <v/>
      </c>
      <c r="M1672" t="str">
        <f>IFERROR(__xludf.DUMMYFUNCTION("""COMPUTED_VALUE"""),"")</f>
        <v/>
      </c>
      <c r="N1672" t="str">
        <f>IFERROR(__xludf.DUMMYFUNCTION("""COMPUTED_VALUE"""),"")</f>
        <v/>
      </c>
      <c r="O1672" t="str">
        <f>IFERROR(__xludf.DUMMYFUNCTION("""COMPUTED_VALUE"""),"")</f>
        <v/>
      </c>
      <c r="P1672" t="str">
        <f>IFERROR(__xludf.DUMMYFUNCTION("""COMPUTED_VALUE"""),"ID ")</f>
        <v>ID </v>
      </c>
    </row>
    <row r="1673">
      <c r="A1673" s="6" t="str">
        <f>IFERROR(__xludf.DUMMYFUNCTION("""COMPUTED_VALUE"""),"")</f>
        <v/>
      </c>
      <c r="C1673" t="str">
        <f>IFERROR(__xludf.DUMMYFUNCTION("""COMPUTED_VALUE"""),"")</f>
        <v/>
      </c>
      <c r="D1673" t="str">
        <f>IFERROR(__xludf.DUMMYFUNCTION("""COMPUTED_VALUE"""),"")</f>
        <v/>
      </c>
      <c r="E1673" t="str">
        <f>IFERROR(__xludf.DUMMYFUNCTION("""COMPUTED_VALUE"""),"")</f>
        <v/>
      </c>
      <c r="F1673" t="str">
        <f>IFERROR(__xludf.DUMMYFUNCTION("""COMPUTED_VALUE"""),"")</f>
        <v/>
      </c>
      <c r="G1673" t="str">
        <f>IFERROR(__xludf.DUMMYFUNCTION("""COMPUTED_VALUE"""),"")</f>
        <v/>
      </c>
      <c r="H1673" s="2" t="str">
        <f>IFERROR(__xludf.DUMMYFUNCTION("""COMPUTED_VALUE"""),"")</f>
        <v/>
      </c>
      <c r="I1673" s="2" t="str">
        <f>IFERROR(__xludf.DUMMYFUNCTION("""COMPUTED_VALUE"""),"")</f>
        <v/>
      </c>
      <c r="J1673" s="2">
        <f>IFERROR(__xludf.DUMMYFUNCTION("""COMPUTED_VALUE"""),0.0)</f>
        <v>0</v>
      </c>
      <c r="K1673" s="5" t="str">
        <f>IFERROR(__xludf.DUMMYFUNCTION("""COMPUTED_VALUE"""),"")</f>
        <v/>
      </c>
      <c r="L1673" t="str">
        <f>IFERROR(__xludf.DUMMYFUNCTION("""COMPUTED_VALUE"""),"")</f>
        <v/>
      </c>
      <c r="M1673" t="str">
        <f>IFERROR(__xludf.DUMMYFUNCTION("""COMPUTED_VALUE"""),"")</f>
        <v/>
      </c>
      <c r="N1673" t="str">
        <f>IFERROR(__xludf.DUMMYFUNCTION("""COMPUTED_VALUE"""),"")</f>
        <v/>
      </c>
      <c r="O1673" t="str">
        <f>IFERROR(__xludf.DUMMYFUNCTION("""COMPUTED_VALUE"""),"")</f>
        <v/>
      </c>
      <c r="P1673" t="str">
        <f>IFERROR(__xludf.DUMMYFUNCTION("""COMPUTED_VALUE"""),"ID ")</f>
        <v>ID </v>
      </c>
    </row>
    <row r="1674">
      <c r="A1674" s="6" t="str">
        <f>IFERROR(__xludf.DUMMYFUNCTION("""COMPUTED_VALUE"""),"")</f>
        <v/>
      </c>
      <c r="C1674" t="str">
        <f>IFERROR(__xludf.DUMMYFUNCTION("""COMPUTED_VALUE"""),"")</f>
        <v/>
      </c>
      <c r="D1674" t="str">
        <f>IFERROR(__xludf.DUMMYFUNCTION("""COMPUTED_VALUE"""),"")</f>
        <v/>
      </c>
      <c r="E1674" t="str">
        <f>IFERROR(__xludf.DUMMYFUNCTION("""COMPUTED_VALUE"""),"")</f>
        <v/>
      </c>
      <c r="F1674" t="str">
        <f>IFERROR(__xludf.DUMMYFUNCTION("""COMPUTED_VALUE"""),"")</f>
        <v/>
      </c>
      <c r="G1674" t="str">
        <f>IFERROR(__xludf.DUMMYFUNCTION("""COMPUTED_VALUE"""),"")</f>
        <v/>
      </c>
      <c r="H1674" s="2" t="str">
        <f>IFERROR(__xludf.DUMMYFUNCTION("""COMPUTED_VALUE"""),"")</f>
        <v/>
      </c>
      <c r="I1674" s="2" t="str">
        <f>IFERROR(__xludf.DUMMYFUNCTION("""COMPUTED_VALUE"""),"")</f>
        <v/>
      </c>
      <c r="J1674" s="2">
        <f>IFERROR(__xludf.DUMMYFUNCTION("""COMPUTED_VALUE"""),0.0)</f>
        <v>0</v>
      </c>
      <c r="K1674" s="5" t="str">
        <f>IFERROR(__xludf.DUMMYFUNCTION("""COMPUTED_VALUE"""),"")</f>
        <v/>
      </c>
      <c r="L1674" t="str">
        <f>IFERROR(__xludf.DUMMYFUNCTION("""COMPUTED_VALUE"""),"")</f>
        <v/>
      </c>
      <c r="M1674" t="str">
        <f>IFERROR(__xludf.DUMMYFUNCTION("""COMPUTED_VALUE"""),"")</f>
        <v/>
      </c>
      <c r="N1674" t="str">
        <f>IFERROR(__xludf.DUMMYFUNCTION("""COMPUTED_VALUE"""),"")</f>
        <v/>
      </c>
      <c r="O1674" t="str">
        <f>IFERROR(__xludf.DUMMYFUNCTION("""COMPUTED_VALUE"""),"")</f>
        <v/>
      </c>
      <c r="P1674" t="str">
        <f>IFERROR(__xludf.DUMMYFUNCTION("""COMPUTED_VALUE"""),"ID ")</f>
        <v>ID </v>
      </c>
    </row>
    <row r="1675">
      <c r="A1675" s="6" t="str">
        <f>IFERROR(__xludf.DUMMYFUNCTION("""COMPUTED_VALUE"""),"")</f>
        <v/>
      </c>
      <c r="C1675" t="str">
        <f>IFERROR(__xludf.DUMMYFUNCTION("""COMPUTED_VALUE"""),"")</f>
        <v/>
      </c>
      <c r="D1675" t="str">
        <f>IFERROR(__xludf.DUMMYFUNCTION("""COMPUTED_VALUE"""),"")</f>
        <v/>
      </c>
      <c r="E1675" t="str">
        <f>IFERROR(__xludf.DUMMYFUNCTION("""COMPUTED_VALUE"""),"")</f>
        <v/>
      </c>
      <c r="F1675" t="str">
        <f>IFERROR(__xludf.DUMMYFUNCTION("""COMPUTED_VALUE"""),"")</f>
        <v/>
      </c>
      <c r="G1675" t="str">
        <f>IFERROR(__xludf.DUMMYFUNCTION("""COMPUTED_VALUE"""),"")</f>
        <v/>
      </c>
      <c r="H1675" s="2" t="str">
        <f>IFERROR(__xludf.DUMMYFUNCTION("""COMPUTED_VALUE"""),"")</f>
        <v/>
      </c>
      <c r="I1675" s="2" t="str">
        <f>IFERROR(__xludf.DUMMYFUNCTION("""COMPUTED_VALUE"""),"")</f>
        <v/>
      </c>
      <c r="J1675" s="2">
        <f>IFERROR(__xludf.DUMMYFUNCTION("""COMPUTED_VALUE"""),0.0)</f>
        <v>0</v>
      </c>
      <c r="K1675" s="5" t="str">
        <f>IFERROR(__xludf.DUMMYFUNCTION("""COMPUTED_VALUE"""),"")</f>
        <v/>
      </c>
      <c r="L1675" t="str">
        <f>IFERROR(__xludf.DUMMYFUNCTION("""COMPUTED_VALUE"""),"")</f>
        <v/>
      </c>
      <c r="M1675" t="str">
        <f>IFERROR(__xludf.DUMMYFUNCTION("""COMPUTED_VALUE"""),"")</f>
        <v/>
      </c>
      <c r="N1675" t="str">
        <f>IFERROR(__xludf.DUMMYFUNCTION("""COMPUTED_VALUE"""),"")</f>
        <v/>
      </c>
      <c r="O1675" t="str">
        <f>IFERROR(__xludf.DUMMYFUNCTION("""COMPUTED_VALUE"""),"")</f>
        <v/>
      </c>
      <c r="P1675" t="str">
        <f>IFERROR(__xludf.DUMMYFUNCTION("""COMPUTED_VALUE"""),"ID ")</f>
        <v>ID </v>
      </c>
    </row>
    <row r="1676">
      <c r="A1676" s="6" t="str">
        <f>IFERROR(__xludf.DUMMYFUNCTION("""COMPUTED_VALUE"""),"")</f>
        <v/>
      </c>
      <c r="C1676" t="str">
        <f>IFERROR(__xludf.DUMMYFUNCTION("""COMPUTED_VALUE"""),"")</f>
        <v/>
      </c>
      <c r="D1676" t="str">
        <f>IFERROR(__xludf.DUMMYFUNCTION("""COMPUTED_VALUE"""),"")</f>
        <v/>
      </c>
      <c r="E1676" t="str">
        <f>IFERROR(__xludf.DUMMYFUNCTION("""COMPUTED_VALUE"""),"")</f>
        <v/>
      </c>
      <c r="F1676" t="str">
        <f>IFERROR(__xludf.DUMMYFUNCTION("""COMPUTED_VALUE"""),"")</f>
        <v/>
      </c>
      <c r="G1676" t="str">
        <f>IFERROR(__xludf.DUMMYFUNCTION("""COMPUTED_VALUE"""),"")</f>
        <v/>
      </c>
      <c r="H1676" s="2" t="str">
        <f>IFERROR(__xludf.DUMMYFUNCTION("""COMPUTED_VALUE"""),"")</f>
        <v/>
      </c>
      <c r="I1676" s="2" t="str">
        <f>IFERROR(__xludf.DUMMYFUNCTION("""COMPUTED_VALUE"""),"")</f>
        <v/>
      </c>
      <c r="J1676" s="2">
        <f>IFERROR(__xludf.DUMMYFUNCTION("""COMPUTED_VALUE"""),0.0)</f>
        <v>0</v>
      </c>
      <c r="K1676" s="5" t="str">
        <f>IFERROR(__xludf.DUMMYFUNCTION("""COMPUTED_VALUE"""),"")</f>
        <v/>
      </c>
      <c r="L1676" t="str">
        <f>IFERROR(__xludf.DUMMYFUNCTION("""COMPUTED_VALUE"""),"")</f>
        <v/>
      </c>
      <c r="M1676" t="str">
        <f>IFERROR(__xludf.DUMMYFUNCTION("""COMPUTED_VALUE"""),"")</f>
        <v/>
      </c>
      <c r="N1676" t="str">
        <f>IFERROR(__xludf.DUMMYFUNCTION("""COMPUTED_VALUE"""),"")</f>
        <v/>
      </c>
      <c r="O1676" t="str">
        <f>IFERROR(__xludf.DUMMYFUNCTION("""COMPUTED_VALUE"""),"")</f>
        <v/>
      </c>
      <c r="P1676" t="str">
        <f>IFERROR(__xludf.DUMMYFUNCTION("""COMPUTED_VALUE"""),"ID ")</f>
        <v>ID </v>
      </c>
    </row>
    <row r="1677">
      <c r="A1677" s="6" t="str">
        <f>IFERROR(__xludf.DUMMYFUNCTION("""COMPUTED_VALUE"""),"")</f>
        <v/>
      </c>
      <c r="C1677" t="str">
        <f>IFERROR(__xludf.DUMMYFUNCTION("""COMPUTED_VALUE"""),"")</f>
        <v/>
      </c>
      <c r="D1677" t="str">
        <f>IFERROR(__xludf.DUMMYFUNCTION("""COMPUTED_VALUE"""),"")</f>
        <v/>
      </c>
      <c r="E1677" t="str">
        <f>IFERROR(__xludf.DUMMYFUNCTION("""COMPUTED_VALUE"""),"")</f>
        <v/>
      </c>
      <c r="F1677" t="str">
        <f>IFERROR(__xludf.DUMMYFUNCTION("""COMPUTED_VALUE"""),"")</f>
        <v/>
      </c>
      <c r="G1677" t="str">
        <f>IFERROR(__xludf.DUMMYFUNCTION("""COMPUTED_VALUE"""),"")</f>
        <v/>
      </c>
      <c r="H1677" s="2" t="str">
        <f>IFERROR(__xludf.DUMMYFUNCTION("""COMPUTED_VALUE"""),"")</f>
        <v/>
      </c>
      <c r="I1677" s="2" t="str">
        <f>IFERROR(__xludf.DUMMYFUNCTION("""COMPUTED_VALUE"""),"")</f>
        <v/>
      </c>
      <c r="J1677" s="2">
        <f>IFERROR(__xludf.DUMMYFUNCTION("""COMPUTED_VALUE"""),0.0)</f>
        <v>0</v>
      </c>
      <c r="K1677" s="5" t="str">
        <f>IFERROR(__xludf.DUMMYFUNCTION("""COMPUTED_VALUE"""),"")</f>
        <v/>
      </c>
      <c r="L1677" t="str">
        <f>IFERROR(__xludf.DUMMYFUNCTION("""COMPUTED_VALUE"""),"")</f>
        <v/>
      </c>
      <c r="M1677" t="str">
        <f>IFERROR(__xludf.DUMMYFUNCTION("""COMPUTED_VALUE"""),"")</f>
        <v/>
      </c>
      <c r="N1677" t="str">
        <f>IFERROR(__xludf.DUMMYFUNCTION("""COMPUTED_VALUE"""),"")</f>
        <v/>
      </c>
      <c r="O1677" t="str">
        <f>IFERROR(__xludf.DUMMYFUNCTION("""COMPUTED_VALUE"""),"")</f>
        <v/>
      </c>
      <c r="P1677" t="str">
        <f>IFERROR(__xludf.DUMMYFUNCTION("""COMPUTED_VALUE"""),"ID ")</f>
        <v>ID </v>
      </c>
    </row>
    <row r="1678">
      <c r="A1678" s="6" t="str">
        <f>IFERROR(__xludf.DUMMYFUNCTION("""COMPUTED_VALUE"""),"")</f>
        <v/>
      </c>
      <c r="C1678" t="str">
        <f>IFERROR(__xludf.DUMMYFUNCTION("""COMPUTED_VALUE"""),"")</f>
        <v/>
      </c>
      <c r="D1678" t="str">
        <f>IFERROR(__xludf.DUMMYFUNCTION("""COMPUTED_VALUE"""),"")</f>
        <v/>
      </c>
      <c r="E1678" t="str">
        <f>IFERROR(__xludf.DUMMYFUNCTION("""COMPUTED_VALUE"""),"")</f>
        <v/>
      </c>
      <c r="F1678" t="str">
        <f>IFERROR(__xludf.DUMMYFUNCTION("""COMPUTED_VALUE"""),"")</f>
        <v/>
      </c>
      <c r="G1678" t="str">
        <f>IFERROR(__xludf.DUMMYFUNCTION("""COMPUTED_VALUE"""),"")</f>
        <v/>
      </c>
      <c r="H1678" s="2" t="str">
        <f>IFERROR(__xludf.DUMMYFUNCTION("""COMPUTED_VALUE"""),"")</f>
        <v/>
      </c>
      <c r="I1678" s="2" t="str">
        <f>IFERROR(__xludf.DUMMYFUNCTION("""COMPUTED_VALUE"""),"")</f>
        <v/>
      </c>
      <c r="J1678" s="2">
        <f>IFERROR(__xludf.DUMMYFUNCTION("""COMPUTED_VALUE"""),0.0)</f>
        <v>0</v>
      </c>
      <c r="K1678" s="5" t="str">
        <f>IFERROR(__xludf.DUMMYFUNCTION("""COMPUTED_VALUE"""),"")</f>
        <v/>
      </c>
      <c r="L1678" t="str">
        <f>IFERROR(__xludf.DUMMYFUNCTION("""COMPUTED_VALUE"""),"")</f>
        <v/>
      </c>
      <c r="M1678" t="str">
        <f>IFERROR(__xludf.DUMMYFUNCTION("""COMPUTED_VALUE"""),"")</f>
        <v/>
      </c>
      <c r="N1678" t="str">
        <f>IFERROR(__xludf.DUMMYFUNCTION("""COMPUTED_VALUE"""),"")</f>
        <v/>
      </c>
      <c r="O1678" t="str">
        <f>IFERROR(__xludf.DUMMYFUNCTION("""COMPUTED_VALUE"""),"")</f>
        <v/>
      </c>
      <c r="P1678" t="str">
        <f>IFERROR(__xludf.DUMMYFUNCTION("""COMPUTED_VALUE"""),"ID ")</f>
        <v>ID </v>
      </c>
    </row>
    <row r="1679">
      <c r="A1679" s="6" t="str">
        <f>IFERROR(__xludf.DUMMYFUNCTION("""COMPUTED_VALUE"""),"")</f>
        <v/>
      </c>
      <c r="C1679" t="str">
        <f>IFERROR(__xludf.DUMMYFUNCTION("""COMPUTED_VALUE"""),"")</f>
        <v/>
      </c>
      <c r="D1679" t="str">
        <f>IFERROR(__xludf.DUMMYFUNCTION("""COMPUTED_VALUE"""),"")</f>
        <v/>
      </c>
      <c r="E1679" t="str">
        <f>IFERROR(__xludf.DUMMYFUNCTION("""COMPUTED_VALUE"""),"")</f>
        <v/>
      </c>
      <c r="F1679" t="str">
        <f>IFERROR(__xludf.DUMMYFUNCTION("""COMPUTED_VALUE"""),"")</f>
        <v/>
      </c>
      <c r="G1679" t="str">
        <f>IFERROR(__xludf.DUMMYFUNCTION("""COMPUTED_VALUE"""),"")</f>
        <v/>
      </c>
      <c r="H1679" s="2" t="str">
        <f>IFERROR(__xludf.DUMMYFUNCTION("""COMPUTED_VALUE"""),"")</f>
        <v/>
      </c>
      <c r="I1679" s="2" t="str">
        <f>IFERROR(__xludf.DUMMYFUNCTION("""COMPUTED_VALUE"""),"")</f>
        <v/>
      </c>
      <c r="J1679" s="2">
        <f>IFERROR(__xludf.DUMMYFUNCTION("""COMPUTED_VALUE"""),0.0)</f>
        <v>0</v>
      </c>
      <c r="K1679" s="5" t="str">
        <f>IFERROR(__xludf.DUMMYFUNCTION("""COMPUTED_VALUE"""),"")</f>
        <v/>
      </c>
      <c r="L1679" t="str">
        <f>IFERROR(__xludf.DUMMYFUNCTION("""COMPUTED_VALUE"""),"")</f>
        <v/>
      </c>
      <c r="M1679" t="str">
        <f>IFERROR(__xludf.DUMMYFUNCTION("""COMPUTED_VALUE"""),"")</f>
        <v/>
      </c>
      <c r="N1679" t="str">
        <f>IFERROR(__xludf.DUMMYFUNCTION("""COMPUTED_VALUE"""),"")</f>
        <v/>
      </c>
      <c r="O1679" t="str">
        <f>IFERROR(__xludf.DUMMYFUNCTION("""COMPUTED_VALUE"""),"")</f>
        <v/>
      </c>
      <c r="P1679" t="str">
        <f>IFERROR(__xludf.DUMMYFUNCTION("""COMPUTED_VALUE"""),"ID ")</f>
        <v>ID </v>
      </c>
    </row>
    <row r="1680">
      <c r="A1680" s="6" t="str">
        <f>IFERROR(__xludf.DUMMYFUNCTION("""COMPUTED_VALUE"""),"")</f>
        <v/>
      </c>
      <c r="C1680" t="str">
        <f>IFERROR(__xludf.DUMMYFUNCTION("""COMPUTED_VALUE"""),"")</f>
        <v/>
      </c>
      <c r="D1680" t="str">
        <f>IFERROR(__xludf.DUMMYFUNCTION("""COMPUTED_VALUE"""),"")</f>
        <v/>
      </c>
      <c r="E1680" t="str">
        <f>IFERROR(__xludf.DUMMYFUNCTION("""COMPUTED_VALUE"""),"")</f>
        <v/>
      </c>
      <c r="F1680" t="str">
        <f>IFERROR(__xludf.DUMMYFUNCTION("""COMPUTED_VALUE"""),"")</f>
        <v/>
      </c>
      <c r="G1680" t="str">
        <f>IFERROR(__xludf.DUMMYFUNCTION("""COMPUTED_VALUE"""),"")</f>
        <v/>
      </c>
      <c r="H1680" s="2" t="str">
        <f>IFERROR(__xludf.DUMMYFUNCTION("""COMPUTED_VALUE"""),"")</f>
        <v/>
      </c>
      <c r="I1680" s="2" t="str">
        <f>IFERROR(__xludf.DUMMYFUNCTION("""COMPUTED_VALUE"""),"")</f>
        <v/>
      </c>
      <c r="J1680" s="2">
        <f>IFERROR(__xludf.DUMMYFUNCTION("""COMPUTED_VALUE"""),0.0)</f>
        <v>0</v>
      </c>
      <c r="K1680" s="5" t="str">
        <f>IFERROR(__xludf.DUMMYFUNCTION("""COMPUTED_VALUE"""),"")</f>
        <v/>
      </c>
      <c r="L1680" t="str">
        <f>IFERROR(__xludf.DUMMYFUNCTION("""COMPUTED_VALUE"""),"")</f>
        <v/>
      </c>
      <c r="M1680" t="str">
        <f>IFERROR(__xludf.DUMMYFUNCTION("""COMPUTED_VALUE"""),"")</f>
        <v/>
      </c>
      <c r="N1680" t="str">
        <f>IFERROR(__xludf.DUMMYFUNCTION("""COMPUTED_VALUE"""),"")</f>
        <v/>
      </c>
      <c r="O1680" t="str">
        <f>IFERROR(__xludf.DUMMYFUNCTION("""COMPUTED_VALUE"""),"")</f>
        <v/>
      </c>
      <c r="P1680" t="str">
        <f>IFERROR(__xludf.DUMMYFUNCTION("""COMPUTED_VALUE"""),"ID ")</f>
        <v>ID </v>
      </c>
    </row>
    <row r="1681">
      <c r="A1681" s="6" t="str">
        <f>IFERROR(__xludf.DUMMYFUNCTION("""COMPUTED_VALUE"""),"")</f>
        <v/>
      </c>
      <c r="C1681" t="str">
        <f>IFERROR(__xludf.DUMMYFUNCTION("""COMPUTED_VALUE"""),"")</f>
        <v/>
      </c>
      <c r="D1681" t="str">
        <f>IFERROR(__xludf.DUMMYFUNCTION("""COMPUTED_VALUE"""),"")</f>
        <v/>
      </c>
      <c r="E1681" t="str">
        <f>IFERROR(__xludf.DUMMYFUNCTION("""COMPUTED_VALUE"""),"")</f>
        <v/>
      </c>
      <c r="F1681" t="str">
        <f>IFERROR(__xludf.DUMMYFUNCTION("""COMPUTED_VALUE"""),"")</f>
        <v/>
      </c>
      <c r="G1681" t="str">
        <f>IFERROR(__xludf.DUMMYFUNCTION("""COMPUTED_VALUE"""),"")</f>
        <v/>
      </c>
      <c r="H1681" s="2" t="str">
        <f>IFERROR(__xludf.DUMMYFUNCTION("""COMPUTED_VALUE"""),"")</f>
        <v/>
      </c>
      <c r="I1681" s="2" t="str">
        <f>IFERROR(__xludf.DUMMYFUNCTION("""COMPUTED_VALUE"""),"")</f>
        <v/>
      </c>
      <c r="J1681" s="2">
        <f>IFERROR(__xludf.DUMMYFUNCTION("""COMPUTED_VALUE"""),0.0)</f>
        <v>0</v>
      </c>
      <c r="K1681" s="5" t="str">
        <f>IFERROR(__xludf.DUMMYFUNCTION("""COMPUTED_VALUE"""),"")</f>
        <v/>
      </c>
      <c r="L1681" t="str">
        <f>IFERROR(__xludf.DUMMYFUNCTION("""COMPUTED_VALUE"""),"")</f>
        <v/>
      </c>
      <c r="M1681" t="str">
        <f>IFERROR(__xludf.DUMMYFUNCTION("""COMPUTED_VALUE"""),"")</f>
        <v/>
      </c>
      <c r="N1681" t="str">
        <f>IFERROR(__xludf.DUMMYFUNCTION("""COMPUTED_VALUE"""),"")</f>
        <v/>
      </c>
      <c r="O1681" t="str">
        <f>IFERROR(__xludf.DUMMYFUNCTION("""COMPUTED_VALUE"""),"")</f>
        <v/>
      </c>
      <c r="P1681" t="str">
        <f>IFERROR(__xludf.DUMMYFUNCTION("""COMPUTED_VALUE"""),"ID ")</f>
        <v>ID </v>
      </c>
    </row>
    <row r="1682">
      <c r="A1682" s="6" t="str">
        <f>IFERROR(__xludf.DUMMYFUNCTION("""COMPUTED_VALUE"""),"")</f>
        <v/>
      </c>
      <c r="C1682" t="str">
        <f>IFERROR(__xludf.DUMMYFUNCTION("""COMPUTED_VALUE"""),"")</f>
        <v/>
      </c>
      <c r="D1682" t="str">
        <f>IFERROR(__xludf.DUMMYFUNCTION("""COMPUTED_VALUE"""),"")</f>
        <v/>
      </c>
      <c r="E1682" t="str">
        <f>IFERROR(__xludf.DUMMYFUNCTION("""COMPUTED_VALUE"""),"")</f>
        <v/>
      </c>
      <c r="F1682" t="str">
        <f>IFERROR(__xludf.DUMMYFUNCTION("""COMPUTED_VALUE"""),"")</f>
        <v/>
      </c>
      <c r="G1682" t="str">
        <f>IFERROR(__xludf.DUMMYFUNCTION("""COMPUTED_VALUE"""),"")</f>
        <v/>
      </c>
      <c r="H1682" s="2" t="str">
        <f>IFERROR(__xludf.DUMMYFUNCTION("""COMPUTED_VALUE"""),"")</f>
        <v/>
      </c>
      <c r="I1682" s="2" t="str">
        <f>IFERROR(__xludf.DUMMYFUNCTION("""COMPUTED_VALUE"""),"")</f>
        <v/>
      </c>
      <c r="J1682" s="2">
        <f>IFERROR(__xludf.DUMMYFUNCTION("""COMPUTED_VALUE"""),0.0)</f>
        <v>0</v>
      </c>
      <c r="K1682" s="5" t="str">
        <f>IFERROR(__xludf.DUMMYFUNCTION("""COMPUTED_VALUE"""),"")</f>
        <v/>
      </c>
      <c r="L1682" t="str">
        <f>IFERROR(__xludf.DUMMYFUNCTION("""COMPUTED_VALUE"""),"")</f>
        <v/>
      </c>
      <c r="M1682" t="str">
        <f>IFERROR(__xludf.DUMMYFUNCTION("""COMPUTED_VALUE"""),"")</f>
        <v/>
      </c>
      <c r="N1682" t="str">
        <f>IFERROR(__xludf.DUMMYFUNCTION("""COMPUTED_VALUE"""),"")</f>
        <v/>
      </c>
      <c r="O1682" t="str">
        <f>IFERROR(__xludf.DUMMYFUNCTION("""COMPUTED_VALUE"""),"")</f>
        <v/>
      </c>
      <c r="P1682" t="str">
        <f>IFERROR(__xludf.DUMMYFUNCTION("""COMPUTED_VALUE"""),"ID ")</f>
        <v>ID </v>
      </c>
    </row>
    <row r="1683">
      <c r="A1683" s="6" t="str">
        <f>IFERROR(__xludf.DUMMYFUNCTION("""COMPUTED_VALUE"""),"")</f>
        <v/>
      </c>
      <c r="C1683" t="str">
        <f>IFERROR(__xludf.DUMMYFUNCTION("""COMPUTED_VALUE"""),"")</f>
        <v/>
      </c>
      <c r="D1683" t="str">
        <f>IFERROR(__xludf.DUMMYFUNCTION("""COMPUTED_VALUE"""),"")</f>
        <v/>
      </c>
      <c r="E1683" t="str">
        <f>IFERROR(__xludf.DUMMYFUNCTION("""COMPUTED_VALUE"""),"")</f>
        <v/>
      </c>
      <c r="F1683" t="str">
        <f>IFERROR(__xludf.DUMMYFUNCTION("""COMPUTED_VALUE"""),"")</f>
        <v/>
      </c>
      <c r="G1683" t="str">
        <f>IFERROR(__xludf.DUMMYFUNCTION("""COMPUTED_VALUE"""),"")</f>
        <v/>
      </c>
      <c r="H1683" s="2" t="str">
        <f>IFERROR(__xludf.DUMMYFUNCTION("""COMPUTED_VALUE"""),"")</f>
        <v/>
      </c>
      <c r="I1683" s="2" t="str">
        <f>IFERROR(__xludf.DUMMYFUNCTION("""COMPUTED_VALUE"""),"")</f>
        <v/>
      </c>
      <c r="J1683" s="2">
        <f>IFERROR(__xludf.DUMMYFUNCTION("""COMPUTED_VALUE"""),0.0)</f>
        <v>0</v>
      </c>
      <c r="K1683" s="5" t="str">
        <f>IFERROR(__xludf.DUMMYFUNCTION("""COMPUTED_VALUE"""),"")</f>
        <v/>
      </c>
      <c r="L1683" t="str">
        <f>IFERROR(__xludf.DUMMYFUNCTION("""COMPUTED_VALUE"""),"")</f>
        <v/>
      </c>
      <c r="M1683" t="str">
        <f>IFERROR(__xludf.DUMMYFUNCTION("""COMPUTED_VALUE"""),"")</f>
        <v/>
      </c>
      <c r="N1683" t="str">
        <f>IFERROR(__xludf.DUMMYFUNCTION("""COMPUTED_VALUE"""),"")</f>
        <v/>
      </c>
      <c r="O1683" t="str">
        <f>IFERROR(__xludf.DUMMYFUNCTION("""COMPUTED_VALUE"""),"")</f>
        <v/>
      </c>
      <c r="P1683" t="str">
        <f>IFERROR(__xludf.DUMMYFUNCTION("""COMPUTED_VALUE"""),"ID ")</f>
        <v>ID </v>
      </c>
    </row>
    <row r="1684">
      <c r="A1684" s="6" t="str">
        <f>IFERROR(__xludf.DUMMYFUNCTION("""COMPUTED_VALUE"""),"")</f>
        <v/>
      </c>
      <c r="C1684" t="str">
        <f>IFERROR(__xludf.DUMMYFUNCTION("""COMPUTED_VALUE"""),"")</f>
        <v/>
      </c>
      <c r="D1684" t="str">
        <f>IFERROR(__xludf.DUMMYFUNCTION("""COMPUTED_VALUE"""),"")</f>
        <v/>
      </c>
      <c r="E1684" t="str">
        <f>IFERROR(__xludf.DUMMYFUNCTION("""COMPUTED_VALUE"""),"")</f>
        <v/>
      </c>
      <c r="F1684" t="str">
        <f>IFERROR(__xludf.DUMMYFUNCTION("""COMPUTED_VALUE"""),"")</f>
        <v/>
      </c>
      <c r="G1684" t="str">
        <f>IFERROR(__xludf.DUMMYFUNCTION("""COMPUTED_VALUE"""),"")</f>
        <v/>
      </c>
      <c r="H1684" s="2" t="str">
        <f>IFERROR(__xludf.DUMMYFUNCTION("""COMPUTED_VALUE"""),"")</f>
        <v/>
      </c>
      <c r="I1684" s="2" t="str">
        <f>IFERROR(__xludf.DUMMYFUNCTION("""COMPUTED_VALUE"""),"")</f>
        <v/>
      </c>
      <c r="J1684" s="2">
        <f>IFERROR(__xludf.DUMMYFUNCTION("""COMPUTED_VALUE"""),0.0)</f>
        <v>0</v>
      </c>
      <c r="K1684" s="5" t="str">
        <f>IFERROR(__xludf.DUMMYFUNCTION("""COMPUTED_VALUE"""),"")</f>
        <v/>
      </c>
      <c r="L1684" t="str">
        <f>IFERROR(__xludf.DUMMYFUNCTION("""COMPUTED_VALUE"""),"")</f>
        <v/>
      </c>
      <c r="M1684" t="str">
        <f>IFERROR(__xludf.DUMMYFUNCTION("""COMPUTED_VALUE"""),"")</f>
        <v/>
      </c>
      <c r="N1684" t="str">
        <f>IFERROR(__xludf.DUMMYFUNCTION("""COMPUTED_VALUE"""),"")</f>
        <v/>
      </c>
      <c r="O1684" t="str">
        <f>IFERROR(__xludf.DUMMYFUNCTION("""COMPUTED_VALUE"""),"")</f>
        <v/>
      </c>
      <c r="P1684" t="str">
        <f>IFERROR(__xludf.DUMMYFUNCTION("""COMPUTED_VALUE"""),"ID ")</f>
        <v>ID </v>
      </c>
    </row>
    <row r="1685">
      <c r="A1685" s="6" t="str">
        <f>IFERROR(__xludf.DUMMYFUNCTION("""COMPUTED_VALUE"""),"")</f>
        <v/>
      </c>
      <c r="C1685" t="str">
        <f>IFERROR(__xludf.DUMMYFUNCTION("""COMPUTED_VALUE"""),"")</f>
        <v/>
      </c>
      <c r="D1685" t="str">
        <f>IFERROR(__xludf.DUMMYFUNCTION("""COMPUTED_VALUE"""),"")</f>
        <v/>
      </c>
      <c r="E1685" t="str">
        <f>IFERROR(__xludf.DUMMYFUNCTION("""COMPUTED_VALUE"""),"")</f>
        <v/>
      </c>
      <c r="F1685" t="str">
        <f>IFERROR(__xludf.DUMMYFUNCTION("""COMPUTED_VALUE"""),"")</f>
        <v/>
      </c>
      <c r="G1685" t="str">
        <f>IFERROR(__xludf.DUMMYFUNCTION("""COMPUTED_VALUE"""),"")</f>
        <v/>
      </c>
      <c r="H1685" s="2" t="str">
        <f>IFERROR(__xludf.DUMMYFUNCTION("""COMPUTED_VALUE"""),"")</f>
        <v/>
      </c>
      <c r="I1685" s="2" t="str">
        <f>IFERROR(__xludf.DUMMYFUNCTION("""COMPUTED_VALUE"""),"")</f>
        <v/>
      </c>
      <c r="J1685" s="2">
        <f>IFERROR(__xludf.DUMMYFUNCTION("""COMPUTED_VALUE"""),0.0)</f>
        <v>0</v>
      </c>
      <c r="K1685" s="5" t="str">
        <f>IFERROR(__xludf.DUMMYFUNCTION("""COMPUTED_VALUE"""),"")</f>
        <v/>
      </c>
      <c r="L1685" t="str">
        <f>IFERROR(__xludf.DUMMYFUNCTION("""COMPUTED_VALUE"""),"")</f>
        <v/>
      </c>
      <c r="M1685" t="str">
        <f>IFERROR(__xludf.DUMMYFUNCTION("""COMPUTED_VALUE"""),"")</f>
        <v/>
      </c>
      <c r="N1685" t="str">
        <f>IFERROR(__xludf.DUMMYFUNCTION("""COMPUTED_VALUE"""),"")</f>
        <v/>
      </c>
      <c r="O1685" t="str">
        <f>IFERROR(__xludf.DUMMYFUNCTION("""COMPUTED_VALUE"""),"")</f>
        <v/>
      </c>
      <c r="P1685" t="str">
        <f>IFERROR(__xludf.DUMMYFUNCTION("""COMPUTED_VALUE"""),"ID ")</f>
        <v>ID </v>
      </c>
    </row>
    <row r="1686">
      <c r="A1686" s="6" t="str">
        <f>IFERROR(__xludf.DUMMYFUNCTION("""COMPUTED_VALUE"""),"")</f>
        <v/>
      </c>
      <c r="C1686" t="str">
        <f>IFERROR(__xludf.DUMMYFUNCTION("""COMPUTED_VALUE"""),"")</f>
        <v/>
      </c>
      <c r="D1686" t="str">
        <f>IFERROR(__xludf.DUMMYFUNCTION("""COMPUTED_VALUE"""),"")</f>
        <v/>
      </c>
      <c r="E1686" t="str">
        <f>IFERROR(__xludf.DUMMYFUNCTION("""COMPUTED_VALUE"""),"")</f>
        <v/>
      </c>
      <c r="F1686" t="str">
        <f>IFERROR(__xludf.DUMMYFUNCTION("""COMPUTED_VALUE"""),"")</f>
        <v/>
      </c>
      <c r="G1686" t="str">
        <f>IFERROR(__xludf.DUMMYFUNCTION("""COMPUTED_VALUE"""),"")</f>
        <v/>
      </c>
      <c r="H1686" s="2" t="str">
        <f>IFERROR(__xludf.DUMMYFUNCTION("""COMPUTED_VALUE"""),"")</f>
        <v/>
      </c>
      <c r="I1686" s="2" t="str">
        <f>IFERROR(__xludf.DUMMYFUNCTION("""COMPUTED_VALUE"""),"")</f>
        <v/>
      </c>
      <c r="J1686" s="2">
        <f>IFERROR(__xludf.DUMMYFUNCTION("""COMPUTED_VALUE"""),0.0)</f>
        <v>0</v>
      </c>
      <c r="K1686" s="5" t="str">
        <f>IFERROR(__xludf.DUMMYFUNCTION("""COMPUTED_VALUE"""),"")</f>
        <v/>
      </c>
      <c r="L1686" t="str">
        <f>IFERROR(__xludf.DUMMYFUNCTION("""COMPUTED_VALUE"""),"")</f>
        <v/>
      </c>
      <c r="M1686" t="str">
        <f>IFERROR(__xludf.DUMMYFUNCTION("""COMPUTED_VALUE"""),"")</f>
        <v/>
      </c>
      <c r="N1686" t="str">
        <f>IFERROR(__xludf.DUMMYFUNCTION("""COMPUTED_VALUE"""),"")</f>
        <v/>
      </c>
      <c r="O1686" t="str">
        <f>IFERROR(__xludf.DUMMYFUNCTION("""COMPUTED_VALUE"""),"")</f>
        <v/>
      </c>
      <c r="P1686" t="str">
        <f>IFERROR(__xludf.DUMMYFUNCTION("""COMPUTED_VALUE"""),"ID ")</f>
        <v>ID </v>
      </c>
    </row>
    <row r="1687">
      <c r="A1687" s="6" t="str">
        <f>IFERROR(__xludf.DUMMYFUNCTION("""COMPUTED_VALUE"""),"")</f>
        <v/>
      </c>
      <c r="C1687" t="str">
        <f>IFERROR(__xludf.DUMMYFUNCTION("""COMPUTED_VALUE"""),"")</f>
        <v/>
      </c>
      <c r="D1687" t="str">
        <f>IFERROR(__xludf.DUMMYFUNCTION("""COMPUTED_VALUE"""),"")</f>
        <v/>
      </c>
      <c r="E1687" t="str">
        <f>IFERROR(__xludf.DUMMYFUNCTION("""COMPUTED_VALUE"""),"")</f>
        <v/>
      </c>
      <c r="F1687" t="str">
        <f>IFERROR(__xludf.DUMMYFUNCTION("""COMPUTED_VALUE"""),"")</f>
        <v/>
      </c>
      <c r="G1687" t="str">
        <f>IFERROR(__xludf.DUMMYFUNCTION("""COMPUTED_VALUE"""),"")</f>
        <v/>
      </c>
      <c r="H1687" s="2" t="str">
        <f>IFERROR(__xludf.DUMMYFUNCTION("""COMPUTED_VALUE"""),"")</f>
        <v/>
      </c>
      <c r="I1687" s="2" t="str">
        <f>IFERROR(__xludf.DUMMYFUNCTION("""COMPUTED_VALUE"""),"")</f>
        <v/>
      </c>
      <c r="J1687" s="2">
        <f>IFERROR(__xludf.DUMMYFUNCTION("""COMPUTED_VALUE"""),0.0)</f>
        <v>0</v>
      </c>
      <c r="K1687" s="5" t="str">
        <f>IFERROR(__xludf.DUMMYFUNCTION("""COMPUTED_VALUE"""),"")</f>
        <v/>
      </c>
      <c r="L1687" t="str">
        <f>IFERROR(__xludf.DUMMYFUNCTION("""COMPUTED_VALUE"""),"")</f>
        <v/>
      </c>
      <c r="M1687" t="str">
        <f>IFERROR(__xludf.DUMMYFUNCTION("""COMPUTED_VALUE"""),"")</f>
        <v/>
      </c>
      <c r="N1687" t="str">
        <f>IFERROR(__xludf.DUMMYFUNCTION("""COMPUTED_VALUE"""),"")</f>
        <v/>
      </c>
      <c r="O1687" t="str">
        <f>IFERROR(__xludf.DUMMYFUNCTION("""COMPUTED_VALUE"""),"")</f>
        <v/>
      </c>
      <c r="P1687" t="str">
        <f>IFERROR(__xludf.DUMMYFUNCTION("""COMPUTED_VALUE"""),"ID ")</f>
        <v>ID </v>
      </c>
    </row>
    <row r="1688">
      <c r="A1688" s="6" t="str">
        <f>IFERROR(__xludf.DUMMYFUNCTION("""COMPUTED_VALUE"""),"")</f>
        <v/>
      </c>
      <c r="C1688" t="str">
        <f>IFERROR(__xludf.DUMMYFUNCTION("""COMPUTED_VALUE"""),"")</f>
        <v/>
      </c>
      <c r="D1688" t="str">
        <f>IFERROR(__xludf.DUMMYFUNCTION("""COMPUTED_VALUE"""),"")</f>
        <v/>
      </c>
      <c r="E1688" t="str">
        <f>IFERROR(__xludf.DUMMYFUNCTION("""COMPUTED_VALUE"""),"")</f>
        <v/>
      </c>
      <c r="F1688" t="str">
        <f>IFERROR(__xludf.DUMMYFUNCTION("""COMPUTED_VALUE"""),"")</f>
        <v/>
      </c>
      <c r="G1688" t="str">
        <f>IFERROR(__xludf.DUMMYFUNCTION("""COMPUTED_VALUE"""),"")</f>
        <v/>
      </c>
      <c r="H1688" s="2" t="str">
        <f>IFERROR(__xludf.DUMMYFUNCTION("""COMPUTED_VALUE"""),"")</f>
        <v/>
      </c>
      <c r="I1688" s="2" t="str">
        <f>IFERROR(__xludf.DUMMYFUNCTION("""COMPUTED_VALUE"""),"")</f>
        <v/>
      </c>
      <c r="J1688" s="2">
        <f>IFERROR(__xludf.DUMMYFUNCTION("""COMPUTED_VALUE"""),0.0)</f>
        <v>0</v>
      </c>
      <c r="K1688" s="5" t="str">
        <f>IFERROR(__xludf.DUMMYFUNCTION("""COMPUTED_VALUE"""),"")</f>
        <v/>
      </c>
      <c r="L1688" t="str">
        <f>IFERROR(__xludf.DUMMYFUNCTION("""COMPUTED_VALUE"""),"")</f>
        <v/>
      </c>
      <c r="M1688" t="str">
        <f>IFERROR(__xludf.DUMMYFUNCTION("""COMPUTED_VALUE"""),"")</f>
        <v/>
      </c>
      <c r="N1688" t="str">
        <f>IFERROR(__xludf.DUMMYFUNCTION("""COMPUTED_VALUE"""),"")</f>
        <v/>
      </c>
      <c r="O1688" t="str">
        <f>IFERROR(__xludf.DUMMYFUNCTION("""COMPUTED_VALUE"""),"")</f>
        <v/>
      </c>
      <c r="P1688" t="str">
        <f>IFERROR(__xludf.DUMMYFUNCTION("""COMPUTED_VALUE"""),"ID ")</f>
        <v>ID </v>
      </c>
    </row>
    <row r="1689">
      <c r="A1689" s="6" t="str">
        <f>IFERROR(__xludf.DUMMYFUNCTION("""COMPUTED_VALUE"""),"")</f>
        <v/>
      </c>
      <c r="C1689" t="str">
        <f>IFERROR(__xludf.DUMMYFUNCTION("""COMPUTED_VALUE"""),"")</f>
        <v/>
      </c>
      <c r="D1689" t="str">
        <f>IFERROR(__xludf.DUMMYFUNCTION("""COMPUTED_VALUE"""),"")</f>
        <v/>
      </c>
      <c r="E1689" t="str">
        <f>IFERROR(__xludf.DUMMYFUNCTION("""COMPUTED_VALUE"""),"")</f>
        <v/>
      </c>
      <c r="F1689" t="str">
        <f>IFERROR(__xludf.DUMMYFUNCTION("""COMPUTED_VALUE"""),"")</f>
        <v/>
      </c>
      <c r="G1689" t="str">
        <f>IFERROR(__xludf.DUMMYFUNCTION("""COMPUTED_VALUE"""),"")</f>
        <v/>
      </c>
      <c r="H1689" s="2" t="str">
        <f>IFERROR(__xludf.DUMMYFUNCTION("""COMPUTED_VALUE"""),"")</f>
        <v/>
      </c>
      <c r="I1689" s="2" t="str">
        <f>IFERROR(__xludf.DUMMYFUNCTION("""COMPUTED_VALUE"""),"")</f>
        <v/>
      </c>
      <c r="J1689" s="2">
        <f>IFERROR(__xludf.DUMMYFUNCTION("""COMPUTED_VALUE"""),0.0)</f>
        <v>0</v>
      </c>
      <c r="K1689" s="5" t="str">
        <f>IFERROR(__xludf.DUMMYFUNCTION("""COMPUTED_VALUE"""),"")</f>
        <v/>
      </c>
      <c r="L1689" t="str">
        <f>IFERROR(__xludf.DUMMYFUNCTION("""COMPUTED_VALUE"""),"")</f>
        <v/>
      </c>
      <c r="M1689" t="str">
        <f>IFERROR(__xludf.DUMMYFUNCTION("""COMPUTED_VALUE"""),"")</f>
        <v/>
      </c>
      <c r="N1689" t="str">
        <f>IFERROR(__xludf.DUMMYFUNCTION("""COMPUTED_VALUE"""),"")</f>
        <v/>
      </c>
      <c r="O1689" t="str">
        <f>IFERROR(__xludf.DUMMYFUNCTION("""COMPUTED_VALUE"""),"")</f>
        <v/>
      </c>
      <c r="P1689" t="str">
        <f>IFERROR(__xludf.DUMMYFUNCTION("""COMPUTED_VALUE"""),"ID ")</f>
        <v>ID </v>
      </c>
    </row>
    <row r="1690">
      <c r="A1690" s="6" t="str">
        <f>IFERROR(__xludf.DUMMYFUNCTION("""COMPUTED_VALUE"""),"")</f>
        <v/>
      </c>
      <c r="C1690" t="str">
        <f>IFERROR(__xludf.DUMMYFUNCTION("""COMPUTED_VALUE"""),"")</f>
        <v/>
      </c>
      <c r="D1690" t="str">
        <f>IFERROR(__xludf.DUMMYFUNCTION("""COMPUTED_VALUE"""),"")</f>
        <v/>
      </c>
      <c r="E1690" t="str">
        <f>IFERROR(__xludf.DUMMYFUNCTION("""COMPUTED_VALUE"""),"")</f>
        <v/>
      </c>
      <c r="F1690" t="str">
        <f>IFERROR(__xludf.DUMMYFUNCTION("""COMPUTED_VALUE"""),"")</f>
        <v/>
      </c>
      <c r="G1690" t="str">
        <f>IFERROR(__xludf.DUMMYFUNCTION("""COMPUTED_VALUE"""),"")</f>
        <v/>
      </c>
      <c r="H1690" s="2" t="str">
        <f>IFERROR(__xludf.DUMMYFUNCTION("""COMPUTED_VALUE"""),"")</f>
        <v/>
      </c>
      <c r="I1690" s="2" t="str">
        <f>IFERROR(__xludf.DUMMYFUNCTION("""COMPUTED_VALUE"""),"")</f>
        <v/>
      </c>
      <c r="J1690" s="2">
        <f>IFERROR(__xludf.DUMMYFUNCTION("""COMPUTED_VALUE"""),0.0)</f>
        <v>0</v>
      </c>
      <c r="K1690" s="5" t="str">
        <f>IFERROR(__xludf.DUMMYFUNCTION("""COMPUTED_VALUE"""),"")</f>
        <v/>
      </c>
      <c r="L1690" t="str">
        <f>IFERROR(__xludf.DUMMYFUNCTION("""COMPUTED_VALUE"""),"")</f>
        <v/>
      </c>
      <c r="M1690" t="str">
        <f>IFERROR(__xludf.DUMMYFUNCTION("""COMPUTED_VALUE"""),"")</f>
        <v/>
      </c>
      <c r="N1690" t="str">
        <f>IFERROR(__xludf.DUMMYFUNCTION("""COMPUTED_VALUE"""),"")</f>
        <v/>
      </c>
      <c r="O1690" t="str">
        <f>IFERROR(__xludf.DUMMYFUNCTION("""COMPUTED_VALUE"""),"")</f>
        <v/>
      </c>
      <c r="P1690" t="str">
        <f>IFERROR(__xludf.DUMMYFUNCTION("""COMPUTED_VALUE"""),"ID ")</f>
        <v>ID </v>
      </c>
    </row>
    <row r="1691">
      <c r="A1691" s="6" t="str">
        <f>IFERROR(__xludf.DUMMYFUNCTION("""COMPUTED_VALUE"""),"")</f>
        <v/>
      </c>
      <c r="C1691" t="str">
        <f>IFERROR(__xludf.DUMMYFUNCTION("""COMPUTED_VALUE"""),"")</f>
        <v/>
      </c>
      <c r="D1691" t="str">
        <f>IFERROR(__xludf.DUMMYFUNCTION("""COMPUTED_VALUE"""),"")</f>
        <v/>
      </c>
      <c r="E1691" t="str">
        <f>IFERROR(__xludf.DUMMYFUNCTION("""COMPUTED_VALUE"""),"")</f>
        <v/>
      </c>
      <c r="F1691" t="str">
        <f>IFERROR(__xludf.DUMMYFUNCTION("""COMPUTED_VALUE"""),"")</f>
        <v/>
      </c>
      <c r="G1691" t="str">
        <f>IFERROR(__xludf.DUMMYFUNCTION("""COMPUTED_VALUE"""),"")</f>
        <v/>
      </c>
      <c r="H1691" s="2" t="str">
        <f>IFERROR(__xludf.DUMMYFUNCTION("""COMPUTED_VALUE"""),"")</f>
        <v/>
      </c>
      <c r="I1691" s="2" t="str">
        <f>IFERROR(__xludf.DUMMYFUNCTION("""COMPUTED_VALUE"""),"")</f>
        <v/>
      </c>
      <c r="J1691" s="2">
        <f>IFERROR(__xludf.DUMMYFUNCTION("""COMPUTED_VALUE"""),0.0)</f>
        <v>0</v>
      </c>
      <c r="K1691" s="5" t="str">
        <f>IFERROR(__xludf.DUMMYFUNCTION("""COMPUTED_VALUE"""),"")</f>
        <v/>
      </c>
      <c r="L1691" t="str">
        <f>IFERROR(__xludf.DUMMYFUNCTION("""COMPUTED_VALUE"""),"")</f>
        <v/>
      </c>
      <c r="M1691" t="str">
        <f>IFERROR(__xludf.DUMMYFUNCTION("""COMPUTED_VALUE"""),"")</f>
        <v/>
      </c>
      <c r="N1691" t="str">
        <f>IFERROR(__xludf.DUMMYFUNCTION("""COMPUTED_VALUE"""),"")</f>
        <v/>
      </c>
      <c r="O1691" t="str">
        <f>IFERROR(__xludf.DUMMYFUNCTION("""COMPUTED_VALUE"""),"")</f>
        <v/>
      </c>
      <c r="P1691" t="str">
        <f>IFERROR(__xludf.DUMMYFUNCTION("""COMPUTED_VALUE"""),"ID ")</f>
        <v>ID </v>
      </c>
    </row>
    <row r="1692">
      <c r="A1692" s="6" t="str">
        <f>IFERROR(__xludf.DUMMYFUNCTION("""COMPUTED_VALUE"""),"")</f>
        <v/>
      </c>
      <c r="C1692" t="str">
        <f>IFERROR(__xludf.DUMMYFUNCTION("""COMPUTED_VALUE"""),"")</f>
        <v/>
      </c>
      <c r="D1692" t="str">
        <f>IFERROR(__xludf.DUMMYFUNCTION("""COMPUTED_VALUE"""),"")</f>
        <v/>
      </c>
      <c r="E1692" t="str">
        <f>IFERROR(__xludf.DUMMYFUNCTION("""COMPUTED_VALUE"""),"")</f>
        <v/>
      </c>
      <c r="F1692" t="str">
        <f>IFERROR(__xludf.DUMMYFUNCTION("""COMPUTED_VALUE"""),"")</f>
        <v/>
      </c>
      <c r="G1692" t="str">
        <f>IFERROR(__xludf.DUMMYFUNCTION("""COMPUTED_VALUE"""),"")</f>
        <v/>
      </c>
      <c r="H1692" s="2" t="str">
        <f>IFERROR(__xludf.DUMMYFUNCTION("""COMPUTED_VALUE"""),"")</f>
        <v/>
      </c>
      <c r="I1692" s="2" t="str">
        <f>IFERROR(__xludf.DUMMYFUNCTION("""COMPUTED_VALUE"""),"")</f>
        <v/>
      </c>
      <c r="J1692" s="2">
        <f>IFERROR(__xludf.DUMMYFUNCTION("""COMPUTED_VALUE"""),0.0)</f>
        <v>0</v>
      </c>
      <c r="K1692" s="5" t="str">
        <f>IFERROR(__xludf.DUMMYFUNCTION("""COMPUTED_VALUE"""),"")</f>
        <v/>
      </c>
      <c r="L1692" t="str">
        <f>IFERROR(__xludf.DUMMYFUNCTION("""COMPUTED_VALUE"""),"")</f>
        <v/>
      </c>
      <c r="M1692" t="str">
        <f>IFERROR(__xludf.DUMMYFUNCTION("""COMPUTED_VALUE"""),"")</f>
        <v/>
      </c>
      <c r="N1692" t="str">
        <f>IFERROR(__xludf.DUMMYFUNCTION("""COMPUTED_VALUE"""),"")</f>
        <v/>
      </c>
      <c r="O1692" t="str">
        <f>IFERROR(__xludf.DUMMYFUNCTION("""COMPUTED_VALUE"""),"")</f>
        <v/>
      </c>
      <c r="P1692" t="str">
        <f>IFERROR(__xludf.DUMMYFUNCTION("""COMPUTED_VALUE"""),"ID ")</f>
        <v>ID </v>
      </c>
    </row>
    <row r="1693">
      <c r="A1693" s="6" t="str">
        <f>IFERROR(__xludf.DUMMYFUNCTION("""COMPUTED_VALUE"""),"")</f>
        <v/>
      </c>
      <c r="C1693" t="str">
        <f>IFERROR(__xludf.DUMMYFUNCTION("""COMPUTED_VALUE"""),"")</f>
        <v/>
      </c>
      <c r="D1693" t="str">
        <f>IFERROR(__xludf.DUMMYFUNCTION("""COMPUTED_VALUE"""),"")</f>
        <v/>
      </c>
      <c r="E1693" t="str">
        <f>IFERROR(__xludf.DUMMYFUNCTION("""COMPUTED_VALUE"""),"")</f>
        <v/>
      </c>
      <c r="F1693" t="str">
        <f>IFERROR(__xludf.DUMMYFUNCTION("""COMPUTED_VALUE"""),"")</f>
        <v/>
      </c>
      <c r="G1693" t="str">
        <f>IFERROR(__xludf.DUMMYFUNCTION("""COMPUTED_VALUE"""),"")</f>
        <v/>
      </c>
      <c r="H1693" s="2" t="str">
        <f>IFERROR(__xludf.DUMMYFUNCTION("""COMPUTED_VALUE"""),"")</f>
        <v/>
      </c>
      <c r="I1693" s="2" t="str">
        <f>IFERROR(__xludf.DUMMYFUNCTION("""COMPUTED_VALUE"""),"")</f>
        <v/>
      </c>
      <c r="J1693" s="2">
        <f>IFERROR(__xludf.DUMMYFUNCTION("""COMPUTED_VALUE"""),0.0)</f>
        <v>0</v>
      </c>
      <c r="K1693" s="5" t="str">
        <f>IFERROR(__xludf.DUMMYFUNCTION("""COMPUTED_VALUE"""),"")</f>
        <v/>
      </c>
      <c r="L1693" t="str">
        <f>IFERROR(__xludf.DUMMYFUNCTION("""COMPUTED_VALUE"""),"")</f>
        <v/>
      </c>
      <c r="M1693" t="str">
        <f>IFERROR(__xludf.DUMMYFUNCTION("""COMPUTED_VALUE"""),"")</f>
        <v/>
      </c>
      <c r="N1693" t="str">
        <f>IFERROR(__xludf.DUMMYFUNCTION("""COMPUTED_VALUE"""),"")</f>
        <v/>
      </c>
      <c r="O1693" t="str">
        <f>IFERROR(__xludf.DUMMYFUNCTION("""COMPUTED_VALUE"""),"")</f>
        <v/>
      </c>
      <c r="P1693" t="str">
        <f>IFERROR(__xludf.DUMMYFUNCTION("""COMPUTED_VALUE"""),"ID ")</f>
        <v>ID </v>
      </c>
    </row>
    <row r="1694">
      <c r="A1694" s="6" t="str">
        <f>IFERROR(__xludf.DUMMYFUNCTION("""COMPUTED_VALUE"""),"")</f>
        <v/>
      </c>
      <c r="C1694" t="str">
        <f>IFERROR(__xludf.DUMMYFUNCTION("""COMPUTED_VALUE"""),"")</f>
        <v/>
      </c>
      <c r="D1694" t="str">
        <f>IFERROR(__xludf.DUMMYFUNCTION("""COMPUTED_VALUE"""),"")</f>
        <v/>
      </c>
      <c r="E1694" t="str">
        <f>IFERROR(__xludf.DUMMYFUNCTION("""COMPUTED_VALUE"""),"")</f>
        <v/>
      </c>
      <c r="F1694" t="str">
        <f>IFERROR(__xludf.DUMMYFUNCTION("""COMPUTED_VALUE"""),"")</f>
        <v/>
      </c>
      <c r="G1694" t="str">
        <f>IFERROR(__xludf.DUMMYFUNCTION("""COMPUTED_VALUE"""),"")</f>
        <v/>
      </c>
      <c r="H1694" s="2" t="str">
        <f>IFERROR(__xludf.DUMMYFUNCTION("""COMPUTED_VALUE"""),"")</f>
        <v/>
      </c>
      <c r="I1694" s="2" t="str">
        <f>IFERROR(__xludf.DUMMYFUNCTION("""COMPUTED_VALUE"""),"")</f>
        <v/>
      </c>
      <c r="J1694" s="2">
        <f>IFERROR(__xludf.DUMMYFUNCTION("""COMPUTED_VALUE"""),0.0)</f>
        <v>0</v>
      </c>
      <c r="K1694" s="5" t="str">
        <f>IFERROR(__xludf.DUMMYFUNCTION("""COMPUTED_VALUE"""),"")</f>
        <v/>
      </c>
      <c r="L1694" t="str">
        <f>IFERROR(__xludf.DUMMYFUNCTION("""COMPUTED_VALUE"""),"")</f>
        <v/>
      </c>
      <c r="M1694" t="str">
        <f>IFERROR(__xludf.DUMMYFUNCTION("""COMPUTED_VALUE"""),"")</f>
        <v/>
      </c>
      <c r="N1694" t="str">
        <f>IFERROR(__xludf.DUMMYFUNCTION("""COMPUTED_VALUE"""),"")</f>
        <v/>
      </c>
      <c r="O1694" t="str">
        <f>IFERROR(__xludf.DUMMYFUNCTION("""COMPUTED_VALUE"""),"")</f>
        <v/>
      </c>
      <c r="P1694" t="str">
        <f>IFERROR(__xludf.DUMMYFUNCTION("""COMPUTED_VALUE"""),"ID ")</f>
        <v>ID </v>
      </c>
    </row>
    <row r="1695">
      <c r="A1695" s="6" t="str">
        <f>IFERROR(__xludf.DUMMYFUNCTION("""COMPUTED_VALUE"""),"")</f>
        <v/>
      </c>
      <c r="C1695" t="str">
        <f>IFERROR(__xludf.DUMMYFUNCTION("""COMPUTED_VALUE"""),"")</f>
        <v/>
      </c>
      <c r="D1695" t="str">
        <f>IFERROR(__xludf.DUMMYFUNCTION("""COMPUTED_VALUE"""),"")</f>
        <v/>
      </c>
      <c r="E1695" t="str">
        <f>IFERROR(__xludf.DUMMYFUNCTION("""COMPUTED_VALUE"""),"")</f>
        <v/>
      </c>
      <c r="F1695" t="str">
        <f>IFERROR(__xludf.DUMMYFUNCTION("""COMPUTED_VALUE"""),"")</f>
        <v/>
      </c>
      <c r="G1695" t="str">
        <f>IFERROR(__xludf.DUMMYFUNCTION("""COMPUTED_VALUE"""),"")</f>
        <v/>
      </c>
      <c r="H1695" s="2" t="str">
        <f>IFERROR(__xludf.DUMMYFUNCTION("""COMPUTED_VALUE"""),"")</f>
        <v/>
      </c>
      <c r="I1695" s="2" t="str">
        <f>IFERROR(__xludf.DUMMYFUNCTION("""COMPUTED_VALUE"""),"")</f>
        <v/>
      </c>
      <c r="J1695" s="2">
        <f>IFERROR(__xludf.DUMMYFUNCTION("""COMPUTED_VALUE"""),0.0)</f>
        <v>0</v>
      </c>
      <c r="K1695" s="5" t="str">
        <f>IFERROR(__xludf.DUMMYFUNCTION("""COMPUTED_VALUE"""),"")</f>
        <v/>
      </c>
      <c r="L1695" t="str">
        <f>IFERROR(__xludf.DUMMYFUNCTION("""COMPUTED_VALUE"""),"")</f>
        <v/>
      </c>
      <c r="M1695" t="str">
        <f>IFERROR(__xludf.DUMMYFUNCTION("""COMPUTED_VALUE"""),"")</f>
        <v/>
      </c>
      <c r="N1695" t="str">
        <f>IFERROR(__xludf.DUMMYFUNCTION("""COMPUTED_VALUE"""),"")</f>
        <v/>
      </c>
      <c r="O1695" t="str">
        <f>IFERROR(__xludf.DUMMYFUNCTION("""COMPUTED_VALUE"""),"")</f>
        <v/>
      </c>
      <c r="P1695" t="str">
        <f>IFERROR(__xludf.DUMMYFUNCTION("""COMPUTED_VALUE"""),"ID ")</f>
        <v>ID </v>
      </c>
    </row>
    <row r="1696">
      <c r="A1696" s="6" t="str">
        <f>IFERROR(__xludf.DUMMYFUNCTION("""COMPUTED_VALUE"""),"")</f>
        <v/>
      </c>
      <c r="C1696" t="str">
        <f>IFERROR(__xludf.DUMMYFUNCTION("""COMPUTED_VALUE"""),"")</f>
        <v/>
      </c>
      <c r="D1696" t="str">
        <f>IFERROR(__xludf.DUMMYFUNCTION("""COMPUTED_VALUE"""),"")</f>
        <v/>
      </c>
      <c r="E1696" t="str">
        <f>IFERROR(__xludf.DUMMYFUNCTION("""COMPUTED_VALUE"""),"")</f>
        <v/>
      </c>
      <c r="F1696" t="str">
        <f>IFERROR(__xludf.DUMMYFUNCTION("""COMPUTED_VALUE"""),"")</f>
        <v/>
      </c>
      <c r="G1696" t="str">
        <f>IFERROR(__xludf.DUMMYFUNCTION("""COMPUTED_VALUE"""),"")</f>
        <v/>
      </c>
      <c r="H1696" s="2" t="str">
        <f>IFERROR(__xludf.DUMMYFUNCTION("""COMPUTED_VALUE"""),"")</f>
        <v/>
      </c>
      <c r="I1696" s="2" t="str">
        <f>IFERROR(__xludf.DUMMYFUNCTION("""COMPUTED_VALUE"""),"")</f>
        <v/>
      </c>
      <c r="J1696" s="2">
        <f>IFERROR(__xludf.DUMMYFUNCTION("""COMPUTED_VALUE"""),0.0)</f>
        <v>0</v>
      </c>
      <c r="K1696" s="5" t="str">
        <f>IFERROR(__xludf.DUMMYFUNCTION("""COMPUTED_VALUE"""),"")</f>
        <v/>
      </c>
      <c r="L1696" t="str">
        <f>IFERROR(__xludf.DUMMYFUNCTION("""COMPUTED_VALUE"""),"")</f>
        <v/>
      </c>
      <c r="M1696" t="str">
        <f>IFERROR(__xludf.DUMMYFUNCTION("""COMPUTED_VALUE"""),"")</f>
        <v/>
      </c>
      <c r="N1696" t="str">
        <f>IFERROR(__xludf.DUMMYFUNCTION("""COMPUTED_VALUE"""),"")</f>
        <v/>
      </c>
      <c r="O1696" t="str">
        <f>IFERROR(__xludf.DUMMYFUNCTION("""COMPUTED_VALUE"""),"")</f>
        <v/>
      </c>
      <c r="P1696" t="str">
        <f>IFERROR(__xludf.DUMMYFUNCTION("""COMPUTED_VALUE"""),"ID ")</f>
        <v>ID </v>
      </c>
    </row>
    <row r="1697">
      <c r="A1697" s="6" t="str">
        <f>IFERROR(__xludf.DUMMYFUNCTION("""COMPUTED_VALUE"""),"")</f>
        <v/>
      </c>
      <c r="C1697" t="str">
        <f>IFERROR(__xludf.DUMMYFUNCTION("""COMPUTED_VALUE"""),"")</f>
        <v/>
      </c>
      <c r="D1697" t="str">
        <f>IFERROR(__xludf.DUMMYFUNCTION("""COMPUTED_VALUE"""),"")</f>
        <v/>
      </c>
      <c r="E1697" t="str">
        <f>IFERROR(__xludf.DUMMYFUNCTION("""COMPUTED_VALUE"""),"")</f>
        <v/>
      </c>
      <c r="F1697" t="str">
        <f>IFERROR(__xludf.DUMMYFUNCTION("""COMPUTED_VALUE"""),"")</f>
        <v/>
      </c>
      <c r="G1697" t="str">
        <f>IFERROR(__xludf.DUMMYFUNCTION("""COMPUTED_VALUE"""),"")</f>
        <v/>
      </c>
      <c r="H1697" s="2" t="str">
        <f>IFERROR(__xludf.DUMMYFUNCTION("""COMPUTED_VALUE"""),"")</f>
        <v/>
      </c>
      <c r="I1697" s="2" t="str">
        <f>IFERROR(__xludf.DUMMYFUNCTION("""COMPUTED_VALUE"""),"")</f>
        <v/>
      </c>
      <c r="J1697" s="2">
        <f>IFERROR(__xludf.DUMMYFUNCTION("""COMPUTED_VALUE"""),0.0)</f>
        <v>0</v>
      </c>
      <c r="K1697" s="5" t="str">
        <f>IFERROR(__xludf.DUMMYFUNCTION("""COMPUTED_VALUE"""),"")</f>
        <v/>
      </c>
      <c r="L1697" t="str">
        <f>IFERROR(__xludf.DUMMYFUNCTION("""COMPUTED_VALUE"""),"")</f>
        <v/>
      </c>
      <c r="M1697" t="str">
        <f>IFERROR(__xludf.DUMMYFUNCTION("""COMPUTED_VALUE"""),"")</f>
        <v/>
      </c>
      <c r="N1697" t="str">
        <f>IFERROR(__xludf.DUMMYFUNCTION("""COMPUTED_VALUE"""),"")</f>
        <v/>
      </c>
      <c r="O1697" t="str">
        <f>IFERROR(__xludf.DUMMYFUNCTION("""COMPUTED_VALUE"""),"")</f>
        <v/>
      </c>
      <c r="P1697" t="str">
        <f>IFERROR(__xludf.DUMMYFUNCTION("""COMPUTED_VALUE"""),"ID ")</f>
        <v>ID </v>
      </c>
    </row>
    <row r="1698">
      <c r="A1698" s="6" t="str">
        <f>IFERROR(__xludf.DUMMYFUNCTION("""COMPUTED_VALUE"""),"")</f>
        <v/>
      </c>
      <c r="C1698" t="str">
        <f>IFERROR(__xludf.DUMMYFUNCTION("""COMPUTED_VALUE"""),"")</f>
        <v/>
      </c>
      <c r="D1698" t="str">
        <f>IFERROR(__xludf.DUMMYFUNCTION("""COMPUTED_VALUE"""),"")</f>
        <v/>
      </c>
      <c r="E1698" t="str">
        <f>IFERROR(__xludf.DUMMYFUNCTION("""COMPUTED_VALUE"""),"")</f>
        <v/>
      </c>
      <c r="F1698" t="str">
        <f>IFERROR(__xludf.DUMMYFUNCTION("""COMPUTED_VALUE"""),"")</f>
        <v/>
      </c>
      <c r="G1698" t="str">
        <f>IFERROR(__xludf.DUMMYFUNCTION("""COMPUTED_VALUE"""),"")</f>
        <v/>
      </c>
      <c r="H1698" s="2" t="str">
        <f>IFERROR(__xludf.DUMMYFUNCTION("""COMPUTED_VALUE"""),"")</f>
        <v/>
      </c>
      <c r="I1698" s="2" t="str">
        <f>IFERROR(__xludf.DUMMYFUNCTION("""COMPUTED_VALUE"""),"")</f>
        <v/>
      </c>
      <c r="J1698" s="2">
        <f>IFERROR(__xludf.DUMMYFUNCTION("""COMPUTED_VALUE"""),0.0)</f>
        <v>0</v>
      </c>
      <c r="K1698" s="5" t="str">
        <f>IFERROR(__xludf.DUMMYFUNCTION("""COMPUTED_VALUE"""),"")</f>
        <v/>
      </c>
      <c r="L1698" t="str">
        <f>IFERROR(__xludf.DUMMYFUNCTION("""COMPUTED_VALUE"""),"")</f>
        <v/>
      </c>
      <c r="M1698" t="str">
        <f>IFERROR(__xludf.DUMMYFUNCTION("""COMPUTED_VALUE"""),"")</f>
        <v/>
      </c>
      <c r="N1698" t="str">
        <f>IFERROR(__xludf.DUMMYFUNCTION("""COMPUTED_VALUE"""),"")</f>
        <v/>
      </c>
      <c r="O1698" t="str">
        <f>IFERROR(__xludf.DUMMYFUNCTION("""COMPUTED_VALUE"""),"")</f>
        <v/>
      </c>
      <c r="P1698" t="str">
        <f>IFERROR(__xludf.DUMMYFUNCTION("""COMPUTED_VALUE"""),"ID ")</f>
        <v>ID </v>
      </c>
    </row>
    <row r="1699">
      <c r="A1699" s="6" t="str">
        <f>IFERROR(__xludf.DUMMYFUNCTION("""COMPUTED_VALUE"""),"")</f>
        <v/>
      </c>
      <c r="C1699" t="str">
        <f>IFERROR(__xludf.DUMMYFUNCTION("""COMPUTED_VALUE"""),"")</f>
        <v/>
      </c>
      <c r="D1699" t="str">
        <f>IFERROR(__xludf.DUMMYFUNCTION("""COMPUTED_VALUE"""),"")</f>
        <v/>
      </c>
      <c r="E1699" t="str">
        <f>IFERROR(__xludf.DUMMYFUNCTION("""COMPUTED_VALUE"""),"")</f>
        <v/>
      </c>
      <c r="F1699" t="str">
        <f>IFERROR(__xludf.DUMMYFUNCTION("""COMPUTED_VALUE"""),"")</f>
        <v/>
      </c>
      <c r="G1699" t="str">
        <f>IFERROR(__xludf.DUMMYFUNCTION("""COMPUTED_VALUE"""),"")</f>
        <v/>
      </c>
      <c r="H1699" s="2" t="str">
        <f>IFERROR(__xludf.DUMMYFUNCTION("""COMPUTED_VALUE"""),"")</f>
        <v/>
      </c>
      <c r="I1699" s="2" t="str">
        <f>IFERROR(__xludf.DUMMYFUNCTION("""COMPUTED_VALUE"""),"")</f>
        <v/>
      </c>
      <c r="J1699" s="2">
        <f>IFERROR(__xludf.DUMMYFUNCTION("""COMPUTED_VALUE"""),0.0)</f>
        <v>0</v>
      </c>
      <c r="K1699" s="5" t="str">
        <f>IFERROR(__xludf.DUMMYFUNCTION("""COMPUTED_VALUE"""),"")</f>
        <v/>
      </c>
      <c r="L1699" t="str">
        <f>IFERROR(__xludf.DUMMYFUNCTION("""COMPUTED_VALUE"""),"")</f>
        <v/>
      </c>
      <c r="M1699" t="str">
        <f>IFERROR(__xludf.DUMMYFUNCTION("""COMPUTED_VALUE"""),"")</f>
        <v/>
      </c>
      <c r="N1699" t="str">
        <f>IFERROR(__xludf.DUMMYFUNCTION("""COMPUTED_VALUE"""),"")</f>
        <v/>
      </c>
      <c r="O1699" t="str">
        <f>IFERROR(__xludf.DUMMYFUNCTION("""COMPUTED_VALUE"""),"")</f>
        <v/>
      </c>
      <c r="P1699" t="str">
        <f>IFERROR(__xludf.DUMMYFUNCTION("""COMPUTED_VALUE"""),"ID ")</f>
        <v>ID </v>
      </c>
    </row>
    <row r="1700">
      <c r="A1700" s="6" t="str">
        <f>IFERROR(__xludf.DUMMYFUNCTION("""COMPUTED_VALUE"""),"")</f>
        <v/>
      </c>
      <c r="C1700" t="str">
        <f>IFERROR(__xludf.DUMMYFUNCTION("""COMPUTED_VALUE"""),"")</f>
        <v/>
      </c>
      <c r="D1700" t="str">
        <f>IFERROR(__xludf.DUMMYFUNCTION("""COMPUTED_VALUE"""),"")</f>
        <v/>
      </c>
      <c r="E1700" t="str">
        <f>IFERROR(__xludf.DUMMYFUNCTION("""COMPUTED_VALUE"""),"")</f>
        <v/>
      </c>
      <c r="F1700" t="str">
        <f>IFERROR(__xludf.DUMMYFUNCTION("""COMPUTED_VALUE"""),"")</f>
        <v/>
      </c>
      <c r="G1700" t="str">
        <f>IFERROR(__xludf.DUMMYFUNCTION("""COMPUTED_VALUE"""),"")</f>
        <v/>
      </c>
      <c r="H1700" s="2" t="str">
        <f>IFERROR(__xludf.DUMMYFUNCTION("""COMPUTED_VALUE"""),"")</f>
        <v/>
      </c>
      <c r="I1700" s="2" t="str">
        <f>IFERROR(__xludf.DUMMYFUNCTION("""COMPUTED_VALUE"""),"")</f>
        <v/>
      </c>
      <c r="J1700" s="2">
        <f>IFERROR(__xludf.DUMMYFUNCTION("""COMPUTED_VALUE"""),0.0)</f>
        <v>0</v>
      </c>
      <c r="K1700" s="5" t="str">
        <f>IFERROR(__xludf.DUMMYFUNCTION("""COMPUTED_VALUE"""),"")</f>
        <v/>
      </c>
      <c r="L1700" t="str">
        <f>IFERROR(__xludf.DUMMYFUNCTION("""COMPUTED_VALUE"""),"")</f>
        <v/>
      </c>
      <c r="M1700" t="str">
        <f>IFERROR(__xludf.DUMMYFUNCTION("""COMPUTED_VALUE"""),"")</f>
        <v/>
      </c>
      <c r="N1700" t="str">
        <f>IFERROR(__xludf.DUMMYFUNCTION("""COMPUTED_VALUE"""),"")</f>
        <v/>
      </c>
      <c r="O1700" t="str">
        <f>IFERROR(__xludf.DUMMYFUNCTION("""COMPUTED_VALUE"""),"")</f>
        <v/>
      </c>
      <c r="P1700" t="str">
        <f>IFERROR(__xludf.DUMMYFUNCTION("""COMPUTED_VALUE"""),"ID ")</f>
        <v>ID </v>
      </c>
    </row>
    <row r="1701">
      <c r="A1701" s="6" t="str">
        <f>IFERROR(__xludf.DUMMYFUNCTION("""COMPUTED_VALUE"""),"")</f>
        <v/>
      </c>
      <c r="C1701" t="str">
        <f>IFERROR(__xludf.DUMMYFUNCTION("""COMPUTED_VALUE"""),"")</f>
        <v/>
      </c>
      <c r="D1701" t="str">
        <f>IFERROR(__xludf.DUMMYFUNCTION("""COMPUTED_VALUE"""),"")</f>
        <v/>
      </c>
      <c r="E1701" t="str">
        <f>IFERROR(__xludf.DUMMYFUNCTION("""COMPUTED_VALUE"""),"")</f>
        <v/>
      </c>
      <c r="F1701" t="str">
        <f>IFERROR(__xludf.DUMMYFUNCTION("""COMPUTED_VALUE"""),"")</f>
        <v/>
      </c>
      <c r="G1701" t="str">
        <f>IFERROR(__xludf.DUMMYFUNCTION("""COMPUTED_VALUE"""),"")</f>
        <v/>
      </c>
      <c r="H1701" s="2" t="str">
        <f>IFERROR(__xludf.DUMMYFUNCTION("""COMPUTED_VALUE"""),"")</f>
        <v/>
      </c>
      <c r="I1701" s="2" t="str">
        <f>IFERROR(__xludf.DUMMYFUNCTION("""COMPUTED_VALUE"""),"")</f>
        <v/>
      </c>
      <c r="J1701" s="2">
        <f>IFERROR(__xludf.DUMMYFUNCTION("""COMPUTED_VALUE"""),0.0)</f>
        <v>0</v>
      </c>
      <c r="K1701" s="5" t="str">
        <f>IFERROR(__xludf.DUMMYFUNCTION("""COMPUTED_VALUE"""),"")</f>
        <v/>
      </c>
      <c r="L1701" t="str">
        <f>IFERROR(__xludf.DUMMYFUNCTION("""COMPUTED_VALUE"""),"")</f>
        <v/>
      </c>
      <c r="M1701" t="str">
        <f>IFERROR(__xludf.DUMMYFUNCTION("""COMPUTED_VALUE"""),"")</f>
        <v/>
      </c>
      <c r="N1701" t="str">
        <f>IFERROR(__xludf.DUMMYFUNCTION("""COMPUTED_VALUE"""),"")</f>
        <v/>
      </c>
      <c r="O1701" t="str">
        <f>IFERROR(__xludf.DUMMYFUNCTION("""COMPUTED_VALUE"""),"")</f>
        <v/>
      </c>
      <c r="P1701" t="str">
        <f>IFERROR(__xludf.DUMMYFUNCTION("""COMPUTED_VALUE"""),"ID ")</f>
        <v>ID </v>
      </c>
    </row>
    <row r="1702">
      <c r="A1702" s="6" t="str">
        <f>IFERROR(__xludf.DUMMYFUNCTION("""COMPUTED_VALUE"""),"")</f>
        <v/>
      </c>
      <c r="C1702" t="str">
        <f>IFERROR(__xludf.DUMMYFUNCTION("""COMPUTED_VALUE"""),"")</f>
        <v/>
      </c>
      <c r="D1702" t="str">
        <f>IFERROR(__xludf.DUMMYFUNCTION("""COMPUTED_VALUE"""),"")</f>
        <v/>
      </c>
      <c r="E1702" t="str">
        <f>IFERROR(__xludf.DUMMYFUNCTION("""COMPUTED_VALUE"""),"")</f>
        <v/>
      </c>
      <c r="F1702" t="str">
        <f>IFERROR(__xludf.DUMMYFUNCTION("""COMPUTED_VALUE"""),"")</f>
        <v/>
      </c>
      <c r="G1702" t="str">
        <f>IFERROR(__xludf.DUMMYFUNCTION("""COMPUTED_VALUE"""),"")</f>
        <v/>
      </c>
      <c r="H1702" s="2" t="str">
        <f>IFERROR(__xludf.DUMMYFUNCTION("""COMPUTED_VALUE"""),"")</f>
        <v/>
      </c>
      <c r="I1702" s="2" t="str">
        <f>IFERROR(__xludf.DUMMYFUNCTION("""COMPUTED_VALUE"""),"")</f>
        <v/>
      </c>
      <c r="J1702" s="2">
        <f>IFERROR(__xludf.DUMMYFUNCTION("""COMPUTED_VALUE"""),0.0)</f>
        <v>0</v>
      </c>
      <c r="K1702" s="5" t="str">
        <f>IFERROR(__xludf.DUMMYFUNCTION("""COMPUTED_VALUE"""),"")</f>
        <v/>
      </c>
      <c r="L1702" t="str">
        <f>IFERROR(__xludf.DUMMYFUNCTION("""COMPUTED_VALUE"""),"")</f>
        <v/>
      </c>
      <c r="M1702" t="str">
        <f>IFERROR(__xludf.DUMMYFUNCTION("""COMPUTED_VALUE"""),"")</f>
        <v/>
      </c>
      <c r="N1702" t="str">
        <f>IFERROR(__xludf.DUMMYFUNCTION("""COMPUTED_VALUE"""),"")</f>
        <v/>
      </c>
      <c r="O1702" t="str">
        <f>IFERROR(__xludf.DUMMYFUNCTION("""COMPUTED_VALUE"""),"")</f>
        <v/>
      </c>
      <c r="P1702" t="str">
        <f>IFERROR(__xludf.DUMMYFUNCTION("""COMPUTED_VALUE"""),"ID ")</f>
        <v>ID </v>
      </c>
    </row>
    <row r="1703">
      <c r="A1703" s="6" t="str">
        <f>IFERROR(__xludf.DUMMYFUNCTION("""COMPUTED_VALUE"""),"")</f>
        <v/>
      </c>
      <c r="C1703" t="str">
        <f>IFERROR(__xludf.DUMMYFUNCTION("""COMPUTED_VALUE"""),"")</f>
        <v/>
      </c>
      <c r="D1703" t="str">
        <f>IFERROR(__xludf.DUMMYFUNCTION("""COMPUTED_VALUE"""),"")</f>
        <v/>
      </c>
      <c r="E1703" t="str">
        <f>IFERROR(__xludf.DUMMYFUNCTION("""COMPUTED_VALUE"""),"")</f>
        <v/>
      </c>
      <c r="F1703" t="str">
        <f>IFERROR(__xludf.DUMMYFUNCTION("""COMPUTED_VALUE"""),"")</f>
        <v/>
      </c>
      <c r="G1703" t="str">
        <f>IFERROR(__xludf.DUMMYFUNCTION("""COMPUTED_VALUE"""),"")</f>
        <v/>
      </c>
      <c r="H1703" s="2" t="str">
        <f>IFERROR(__xludf.DUMMYFUNCTION("""COMPUTED_VALUE"""),"")</f>
        <v/>
      </c>
      <c r="I1703" s="2" t="str">
        <f>IFERROR(__xludf.DUMMYFUNCTION("""COMPUTED_VALUE"""),"")</f>
        <v/>
      </c>
      <c r="J1703" s="2">
        <f>IFERROR(__xludf.DUMMYFUNCTION("""COMPUTED_VALUE"""),0.0)</f>
        <v>0</v>
      </c>
      <c r="K1703" s="5" t="str">
        <f>IFERROR(__xludf.DUMMYFUNCTION("""COMPUTED_VALUE"""),"")</f>
        <v/>
      </c>
      <c r="L1703" t="str">
        <f>IFERROR(__xludf.DUMMYFUNCTION("""COMPUTED_VALUE"""),"")</f>
        <v/>
      </c>
      <c r="M1703" t="str">
        <f>IFERROR(__xludf.DUMMYFUNCTION("""COMPUTED_VALUE"""),"")</f>
        <v/>
      </c>
      <c r="N1703" t="str">
        <f>IFERROR(__xludf.DUMMYFUNCTION("""COMPUTED_VALUE"""),"")</f>
        <v/>
      </c>
      <c r="O1703" t="str">
        <f>IFERROR(__xludf.DUMMYFUNCTION("""COMPUTED_VALUE"""),"")</f>
        <v/>
      </c>
      <c r="P1703" t="str">
        <f>IFERROR(__xludf.DUMMYFUNCTION("""COMPUTED_VALUE"""),"ID ")</f>
        <v>ID </v>
      </c>
    </row>
    <row r="1704">
      <c r="A1704" s="6" t="str">
        <f>IFERROR(__xludf.DUMMYFUNCTION("""COMPUTED_VALUE"""),"")</f>
        <v/>
      </c>
      <c r="C1704" t="str">
        <f>IFERROR(__xludf.DUMMYFUNCTION("""COMPUTED_VALUE"""),"")</f>
        <v/>
      </c>
      <c r="D1704" t="str">
        <f>IFERROR(__xludf.DUMMYFUNCTION("""COMPUTED_VALUE"""),"")</f>
        <v/>
      </c>
      <c r="E1704" t="str">
        <f>IFERROR(__xludf.DUMMYFUNCTION("""COMPUTED_VALUE"""),"")</f>
        <v/>
      </c>
      <c r="F1704" t="str">
        <f>IFERROR(__xludf.DUMMYFUNCTION("""COMPUTED_VALUE"""),"")</f>
        <v/>
      </c>
      <c r="G1704" t="str">
        <f>IFERROR(__xludf.DUMMYFUNCTION("""COMPUTED_VALUE"""),"")</f>
        <v/>
      </c>
      <c r="H1704" s="2" t="str">
        <f>IFERROR(__xludf.DUMMYFUNCTION("""COMPUTED_VALUE"""),"")</f>
        <v/>
      </c>
      <c r="I1704" s="2" t="str">
        <f>IFERROR(__xludf.DUMMYFUNCTION("""COMPUTED_VALUE"""),"")</f>
        <v/>
      </c>
      <c r="J1704" s="2">
        <f>IFERROR(__xludf.DUMMYFUNCTION("""COMPUTED_VALUE"""),0.0)</f>
        <v>0</v>
      </c>
      <c r="K1704" s="5" t="str">
        <f>IFERROR(__xludf.DUMMYFUNCTION("""COMPUTED_VALUE"""),"")</f>
        <v/>
      </c>
      <c r="L1704" t="str">
        <f>IFERROR(__xludf.DUMMYFUNCTION("""COMPUTED_VALUE"""),"")</f>
        <v/>
      </c>
      <c r="M1704" t="str">
        <f>IFERROR(__xludf.DUMMYFUNCTION("""COMPUTED_VALUE"""),"")</f>
        <v/>
      </c>
      <c r="N1704" t="str">
        <f>IFERROR(__xludf.DUMMYFUNCTION("""COMPUTED_VALUE"""),"")</f>
        <v/>
      </c>
      <c r="O1704" t="str">
        <f>IFERROR(__xludf.DUMMYFUNCTION("""COMPUTED_VALUE"""),"")</f>
        <v/>
      </c>
      <c r="P1704" t="str">
        <f>IFERROR(__xludf.DUMMYFUNCTION("""COMPUTED_VALUE"""),"ID ")</f>
        <v>ID </v>
      </c>
    </row>
    <row r="1705">
      <c r="A1705" s="6" t="str">
        <f>IFERROR(__xludf.DUMMYFUNCTION("""COMPUTED_VALUE"""),"")</f>
        <v/>
      </c>
      <c r="C1705" t="str">
        <f>IFERROR(__xludf.DUMMYFUNCTION("""COMPUTED_VALUE"""),"")</f>
        <v/>
      </c>
      <c r="D1705" t="str">
        <f>IFERROR(__xludf.DUMMYFUNCTION("""COMPUTED_VALUE"""),"")</f>
        <v/>
      </c>
      <c r="E1705" t="str">
        <f>IFERROR(__xludf.DUMMYFUNCTION("""COMPUTED_VALUE"""),"")</f>
        <v/>
      </c>
      <c r="F1705" t="str">
        <f>IFERROR(__xludf.DUMMYFUNCTION("""COMPUTED_VALUE"""),"")</f>
        <v/>
      </c>
      <c r="G1705" t="str">
        <f>IFERROR(__xludf.DUMMYFUNCTION("""COMPUTED_VALUE"""),"")</f>
        <v/>
      </c>
      <c r="H1705" s="2" t="str">
        <f>IFERROR(__xludf.DUMMYFUNCTION("""COMPUTED_VALUE"""),"")</f>
        <v/>
      </c>
      <c r="I1705" s="2" t="str">
        <f>IFERROR(__xludf.DUMMYFUNCTION("""COMPUTED_VALUE"""),"")</f>
        <v/>
      </c>
      <c r="J1705" s="2">
        <f>IFERROR(__xludf.DUMMYFUNCTION("""COMPUTED_VALUE"""),0.0)</f>
        <v>0</v>
      </c>
      <c r="K1705" s="5" t="str">
        <f>IFERROR(__xludf.DUMMYFUNCTION("""COMPUTED_VALUE"""),"")</f>
        <v/>
      </c>
      <c r="L1705" t="str">
        <f>IFERROR(__xludf.DUMMYFUNCTION("""COMPUTED_VALUE"""),"")</f>
        <v/>
      </c>
      <c r="M1705" t="str">
        <f>IFERROR(__xludf.DUMMYFUNCTION("""COMPUTED_VALUE"""),"")</f>
        <v/>
      </c>
      <c r="N1705" t="str">
        <f>IFERROR(__xludf.DUMMYFUNCTION("""COMPUTED_VALUE"""),"")</f>
        <v/>
      </c>
      <c r="O1705" t="str">
        <f>IFERROR(__xludf.DUMMYFUNCTION("""COMPUTED_VALUE"""),"")</f>
        <v/>
      </c>
      <c r="P1705" t="str">
        <f>IFERROR(__xludf.DUMMYFUNCTION("""COMPUTED_VALUE"""),"ID ")</f>
        <v>ID </v>
      </c>
    </row>
    <row r="1706">
      <c r="A1706" s="6" t="str">
        <f>IFERROR(__xludf.DUMMYFUNCTION("""COMPUTED_VALUE"""),"")</f>
        <v/>
      </c>
      <c r="C1706" t="str">
        <f>IFERROR(__xludf.DUMMYFUNCTION("""COMPUTED_VALUE"""),"")</f>
        <v/>
      </c>
      <c r="D1706" t="str">
        <f>IFERROR(__xludf.DUMMYFUNCTION("""COMPUTED_VALUE"""),"")</f>
        <v/>
      </c>
      <c r="E1706" t="str">
        <f>IFERROR(__xludf.DUMMYFUNCTION("""COMPUTED_VALUE"""),"")</f>
        <v/>
      </c>
      <c r="F1706" t="str">
        <f>IFERROR(__xludf.DUMMYFUNCTION("""COMPUTED_VALUE"""),"")</f>
        <v/>
      </c>
      <c r="G1706" t="str">
        <f>IFERROR(__xludf.DUMMYFUNCTION("""COMPUTED_VALUE"""),"")</f>
        <v/>
      </c>
      <c r="H1706" s="2" t="str">
        <f>IFERROR(__xludf.DUMMYFUNCTION("""COMPUTED_VALUE"""),"")</f>
        <v/>
      </c>
      <c r="I1706" s="2" t="str">
        <f>IFERROR(__xludf.DUMMYFUNCTION("""COMPUTED_VALUE"""),"")</f>
        <v/>
      </c>
      <c r="J1706" s="2">
        <f>IFERROR(__xludf.DUMMYFUNCTION("""COMPUTED_VALUE"""),0.0)</f>
        <v>0</v>
      </c>
      <c r="K1706" s="5" t="str">
        <f>IFERROR(__xludf.DUMMYFUNCTION("""COMPUTED_VALUE"""),"")</f>
        <v/>
      </c>
      <c r="L1706" t="str">
        <f>IFERROR(__xludf.DUMMYFUNCTION("""COMPUTED_VALUE"""),"")</f>
        <v/>
      </c>
      <c r="M1706" t="str">
        <f>IFERROR(__xludf.DUMMYFUNCTION("""COMPUTED_VALUE"""),"")</f>
        <v/>
      </c>
      <c r="N1706" t="str">
        <f>IFERROR(__xludf.DUMMYFUNCTION("""COMPUTED_VALUE"""),"")</f>
        <v/>
      </c>
      <c r="O1706" t="str">
        <f>IFERROR(__xludf.DUMMYFUNCTION("""COMPUTED_VALUE"""),"")</f>
        <v/>
      </c>
      <c r="P1706" t="str">
        <f>IFERROR(__xludf.DUMMYFUNCTION("""COMPUTED_VALUE"""),"ID ")</f>
        <v>ID </v>
      </c>
    </row>
    <row r="1707">
      <c r="A1707" s="6" t="str">
        <f>IFERROR(__xludf.DUMMYFUNCTION("""COMPUTED_VALUE"""),"")</f>
        <v/>
      </c>
      <c r="C1707" t="str">
        <f>IFERROR(__xludf.DUMMYFUNCTION("""COMPUTED_VALUE"""),"")</f>
        <v/>
      </c>
      <c r="D1707" t="str">
        <f>IFERROR(__xludf.DUMMYFUNCTION("""COMPUTED_VALUE"""),"")</f>
        <v/>
      </c>
      <c r="E1707" t="str">
        <f>IFERROR(__xludf.DUMMYFUNCTION("""COMPUTED_VALUE"""),"")</f>
        <v/>
      </c>
      <c r="F1707" t="str">
        <f>IFERROR(__xludf.DUMMYFUNCTION("""COMPUTED_VALUE"""),"")</f>
        <v/>
      </c>
      <c r="G1707" t="str">
        <f>IFERROR(__xludf.DUMMYFUNCTION("""COMPUTED_VALUE"""),"")</f>
        <v/>
      </c>
      <c r="H1707" s="2" t="str">
        <f>IFERROR(__xludf.DUMMYFUNCTION("""COMPUTED_VALUE"""),"")</f>
        <v/>
      </c>
      <c r="I1707" s="2" t="str">
        <f>IFERROR(__xludf.DUMMYFUNCTION("""COMPUTED_VALUE"""),"")</f>
        <v/>
      </c>
      <c r="J1707" s="2">
        <f>IFERROR(__xludf.DUMMYFUNCTION("""COMPUTED_VALUE"""),0.0)</f>
        <v>0</v>
      </c>
      <c r="K1707" s="5" t="str">
        <f>IFERROR(__xludf.DUMMYFUNCTION("""COMPUTED_VALUE"""),"")</f>
        <v/>
      </c>
      <c r="L1707" t="str">
        <f>IFERROR(__xludf.DUMMYFUNCTION("""COMPUTED_VALUE"""),"")</f>
        <v/>
      </c>
      <c r="M1707" t="str">
        <f>IFERROR(__xludf.DUMMYFUNCTION("""COMPUTED_VALUE"""),"")</f>
        <v/>
      </c>
      <c r="N1707" t="str">
        <f>IFERROR(__xludf.DUMMYFUNCTION("""COMPUTED_VALUE"""),"")</f>
        <v/>
      </c>
      <c r="O1707" t="str">
        <f>IFERROR(__xludf.DUMMYFUNCTION("""COMPUTED_VALUE"""),"")</f>
        <v/>
      </c>
      <c r="P1707" t="str">
        <f>IFERROR(__xludf.DUMMYFUNCTION("""COMPUTED_VALUE"""),"ID ")</f>
        <v>ID </v>
      </c>
    </row>
    <row r="1708">
      <c r="A1708" s="6" t="str">
        <f>IFERROR(__xludf.DUMMYFUNCTION("""COMPUTED_VALUE"""),"")</f>
        <v/>
      </c>
      <c r="C1708" t="str">
        <f>IFERROR(__xludf.DUMMYFUNCTION("""COMPUTED_VALUE"""),"")</f>
        <v/>
      </c>
      <c r="D1708" t="str">
        <f>IFERROR(__xludf.DUMMYFUNCTION("""COMPUTED_VALUE"""),"")</f>
        <v/>
      </c>
      <c r="E1708" t="str">
        <f>IFERROR(__xludf.DUMMYFUNCTION("""COMPUTED_VALUE"""),"")</f>
        <v/>
      </c>
      <c r="F1708" t="str">
        <f>IFERROR(__xludf.DUMMYFUNCTION("""COMPUTED_VALUE"""),"")</f>
        <v/>
      </c>
      <c r="G1708" t="str">
        <f>IFERROR(__xludf.DUMMYFUNCTION("""COMPUTED_VALUE"""),"")</f>
        <v/>
      </c>
      <c r="H1708" s="2" t="str">
        <f>IFERROR(__xludf.DUMMYFUNCTION("""COMPUTED_VALUE"""),"")</f>
        <v/>
      </c>
      <c r="I1708" s="2" t="str">
        <f>IFERROR(__xludf.DUMMYFUNCTION("""COMPUTED_VALUE"""),"")</f>
        <v/>
      </c>
      <c r="J1708" s="2">
        <f>IFERROR(__xludf.DUMMYFUNCTION("""COMPUTED_VALUE"""),0.0)</f>
        <v>0</v>
      </c>
      <c r="K1708" s="5" t="str">
        <f>IFERROR(__xludf.DUMMYFUNCTION("""COMPUTED_VALUE"""),"")</f>
        <v/>
      </c>
      <c r="L1708" t="str">
        <f>IFERROR(__xludf.DUMMYFUNCTION("""COMPUTED_VALUE"""),"")</f>
        <v/>
      </c>
      <c r="M1708" t="str">
        <f>IFERROR(__xludf.DUMMYFUNCTION("""COMPUTED_VALUE"""),"")</f>
        <v/>
      </c>
      <c r="N1708" t="str">
        <f>IFERROR(__xludf.DUMMYFUNCTION("""COMPUTED_VALUE"""),"")</f>
        <v/>
      </c>
      <c r="O1708" t="str">
        <f>IFERROR(__xludf.DUMMYFUNCTION("""COMPUTED_VALUE"""),"")</f>
        <v/>
      </c>
      <c r="P1708" t="str">
        <f>IFERROR(__xludf.DUMMYFUNCTION("""COMPUTED_VALUE"""),"ID ")</f>
        <v>ID </v>
      </c>
    </row>
    <row r="1709">
      <c r="A1709" s="6" t="str">
        <f>IFERROR(__xludf.DUMMYFUNCTION("""COMPUTED_VALUE"""),"")</f>
        <v/>
      </c>
      <c r="C1709" t="str">
        <f>IFERROR(__xludf.DUMMYFUNCTION("""COMPUTED_VALUE"""),"")</f>
        <v/>
      </c>
      <c r="D1709" t="str">
        <f>IFERROR(__xludf.DUMMYFUNCTION("""COMPUTED_VALUE"""),"")</f>
        <v/>
      </c>
      <c r="E1709" t="str">
        <f>IFERROR(__xludf.DUMMYFUNCTION("""COMPUTED_VALUE"""),"")</f>
        <v/>
      </c>
      <c r="F1709" t="str">
        <f>IFERROR(__xludf.DUMMYFUNCTION("""COMPUTED_VALUE"""),"")</f>
        <v/>
      </c>
      <c r="G1709" t="str">
        <f>IFERROR(__xludf.DUMMYFUNCTION("""COMPUTED_VALUE"""),"")</f>
        <v/>
      </c>
      <c r="H1709" s="2" t="str">
        <f>IFERROR(__xludf.DUMMYFUNCTION("""COMPUTED_VALUE"""),"")</f>
        <v/>
      </c>
      <c r="I1709" s="2" t="str">
        <f>IFERROR(__xludf.DUMMYFUNCTION("""COMPUTED_VALUE"""),"")</f>
        <v/>
      </c>
      <c r="J1709" s="2">
        <f>IFERROR(__xludf.DUMMYFUNCTION("""COMPUTED_VALUE"""),0.0)</f>
        <v>0</v>
      </c>
      <c r="K1709" s="5" t="str">
        <f>IFERROR(__xludf.DUMMYFUNCTION("""COMPUTED_VALUE"""),"")</f>
        <v/>
      </c>
      <c r="L1709" t="str">
        <f>IFERROR(__xludf.DUMMYFUNCTION("""COMPUTED_VALUE"""),"")</f>
        <v/>
      </c>
      <c r="M1709" t="str">
        <f>IFERROR(__xludf.DUMMYFUNCTION("""COMPUTED_VALUE"""),"")</f>
        <v/>
      </c>
      <c r="N1709" t="str">
        <f>IFERROR(__xludf.DUMMYFUNCTION("""COMPUTED_VALUE"""),"")</f>
        <v/>
      </c>
      <c r="O1709" t="str">
        <f>IFERROR(__xludf.DUMMYFUNCTION("""COMPUTED_VALUE"""),"")</f>
        <v/>
      </c>
      <c r="P1709" t="str">
        <f>IFERROR(__xludf.DUMMYFUNCTION("""COMPUTED_VALUE"""),"ID ")</f>
        <v>ID </v>
      </c>
    </row>
    <row r="1710">
      <c r="A1710" s="6" t="str">
        <f>IFERROR(__xludf.DUMMYFUNCTION("""COMPUTED_VALUE"""),"")</f>
        <v/>
      </c>
      <c r="C1710" t="str">
        <f>IFERROR(__xludf.DUMMYFUNCTION("""COMPUTED_VALUE"""),"")</f>
        <v/>
      </c>
      <c r="D1710" t="str">
        <f>IFERROR(__xludf.DUMMYFUNCTION("""COMPUTED_VALUE"""),"")</f>
        <v/>
      </c>
      <c r="E1710" t="str">
        <f>IFERROR(__xludf.DUMMYFUNCTION("""COMPUTED_VALUE"""),"")</f>
        <v/>
      </c>
      <c r="F1710" t="str">
        <f>IFERROR(__xludf.DUMMYFUNCTION("""COMPUTED_VALUE"""),"")</f>
        <v/>
      </c>
      <c r="G1710" t="str">
        <f>IFERROR(__xludf.DUMMYFUNCTION("""COMPUTED_VALUE"""),"")</f>
        <v/>
      </c>
      <c r="H1710" s="2" t="str">
        <f>IFERROR(__xludf.DUMMYFUNCTION("""COMPUTED_VALUE"""),"")</f>
        <v/>
      </c>
      <c r="I1710" s="2" t="str">
        <f>IFERROR(__xludf.DUMMYFUNCTION("""COMPUTED_VALUE"""),"")</f>
        <v/>
      </c>
      <c r="J1710" s="2">
        <f>IFERROR(__xludf.DUMMYFUNCTION("""COMPUTED_VALUE"""),0.0)</f>
        <v>0</v>
      </c>
      <c r="K1710" s="5" t="str">
        <f>IFERROR(__xludf.DUMMYFUNCTION("""COMPUTED_VALUE"""),"")</f>
        <v/>
      </c>
      <c r="L1710" t="str">
        <f>IFERROR(__xludf.DUMMYFUNCTION("""COMPUTED_VALUE"""),"")</f>
        <v/>
      </c>
      <c r="M1710" t="str">
        <f>IFERROR(__xludf.DUMMYFUNCTION("""COMPUTED_VALUE"""),"")</f>
        <v/>
      </c>
      <c r="N1710" t="str">
        <f>IFERROR(__xludf.DUMMYFUNCTION("""COMPUTED_VALUE"""),"")</f>
        <v/>
      </c>
      <c r="O1710" t="str">
        <f>IFERROR(__xludf.DUMMYFUNCTION("""COMPUTED_VALUE"""),"")</f>
        <v/>
      </c>
      <c r="P1710" t="str">
        <f>IFERROR(__xludf.DUMMYFUNCTION("""COMPUTED_VALUE"""),"ID ")</f>
        <v>ID </v>
      </c>
    </row>
    <row r="1711">
      <c r="A1711" s="6" t="str">
        <f>IFERROR(__xludf.DUMMYFUNCTION("""COMPUTED_VALUE"""),"")</f>
        <v/>
      </c>
      <c r="C1711" t="str">
        <f>IFERROR(__xludf.DUMMYFUNCTION("""COMPUTED_VALUE"""),"")</f>
        <v/>
      </c>
      <c r="D1711" t="str">
        <f>IFERROR(__xludf.DUMMYFUNCTION("""COMPUTED_VALUE"""),"")</f>
        <v/>
      </c>
      <c r="E1711" t="str">
        <f>IFERROR(__xludf.DUMMYFUNCTION("""COMPUTED_VALUE"""),"")</f>
        <v/>
      </c>
      <c r="F1711" t="str">
        <f>IFERROR(__xludf.DUMMYFUNCTION("""COMPUTED_VALUE"""),"")</f>
        <v/>
      </c>
      <c r="G1711" t="str">
        <f>IFERROR(__xludf.DUMMYFUNCTION("""COMPUTED_VALUE"""),"")</f>
        <v/>
      </c>
      <c r="H1711" s="2" t="str">
        <f>IFERROR(__xludf.DUMMYFUNCTION("""COMPUTED_VALUE"""),"")</f>
        <v/>
      </c>
      <c r="I1711" s="2" t="str">
        <f>IFERROR(__xludf.DUMMYFUNCTION("""COMPUTED_VALUE"""),"")</f>
        <v/>
      </c>
      <c r="J1711" s="2">
        <f>IFERROR(__xludf.DUMMYFUNCTION("""COMPUTED_VALUE"""),0.0)</f>
        <v>0</v>
      </c>
      <c r="K1711" s="5" t="str">
        <f>IFERROR(__xludf.DUMMYFUNCTION("""COMPUTED_VALUE"""),"")</f>
        <v/>
      </c>
      <c r="L1711" t="str">
        <f>IFERROR(__xludf.DUMMYFUNCTION("""COMPUTED_VALUE"""),"")</f>
        <v/>
      </c>
      <c r="M1711" t="str">
        <f>IFERROR(__xludf.DUMMYFUNCTION("""COMPUTED_VALUE"""),"")</f>
        <v/>
      </c>
      <c r="N1711" t="str">
        <f>IFERROR(__xludf.DUMMYFUNCTION("""COMPUTED_VALUE"""),"")</f>
        <v/>
      </c>
      <c r="O1711" t="str">
        <f>IFERROR(__xludf.DUMMYFUNCTION("""COMPUTED_VALUE"""),"")</f>
        <v/>
      </c>
      <c r="P1711" t="str">
        <f>IFERROR(__xludf.DUMMYFUNCTION("""COMPUTED_VALUE"""),"ID ")</f>
        <v>ID </v>
      </c>
    </row>
    <row r="1712">
      <c r="A1712" s="6" t="str">
        <f>IFERROR(__xludf.DUMMYFUNCTION("""COMPUTED_VALUE"""),"")</f>
        <v/>
      </c>
      <c r="C1712" t="str">
        <f>IFERROR(__xludf.DUMMYFUNCTION("""COMPUTED_VALUE"""),"")</f>
        <v/>
      </c>
      <c r="D1712" t="str">
        <f>IFERROR(__xludf.DUMMYFUNCTION("""COMPUTED_VALUE"""),"")</f>
        <v/>
      </c>
      <c r="E1712" t="str">
        <f>IFERROR(__xludf.DUMMYFUNCTION("""COMPUTED_VALUE"""),"")</f>
        <v/>
      </c>
      <c r="F1712" t="str">
        <f>IFERROR(__xludf.DUMMYFUNCTION("""COMPUTED_VALUE"""),"")</f>
        <v/>
      </c>
      <c r="G1712" t="str">
        <f>IFERROR(__xludf.DUMMYFUNCTION("""COMPUTED_VALUE"""),"")</f>
        <v/>
      </c>
      <c r="H1712" s="2" t="str">
        <f>IFERROR(__xludf.DUMMYFUNCTION("""COMPUTED_VALUE"""),"")</f>
        <v/>
      </c>
      <c r="I1712" s="2" t="str">
        <f>IFERROR(__xludf.DUMMYFUNCTION("""COMPUTED_VALUE"""),"")</f>
        <v/>
      </c>
      <c r="J1712" s="2">
        <f>IFERROR(__xludf.DUMMYFUNCTION("""COMPUTED_VALUE"""),0.0)</f>
        <v>0</v>
      </c>
      <c r="K1712" s="5" t="str">
        <f>IFERROR(__xludf.DUMMYFUNCTION("""COMPUTED_VALUE"""),"")</f>
        <v/>
      </c>
      <c r="L1712" t="str">
        <f>IFERROR(__xludf.DUMMYFUNCTION("""COMPUTED_VALUE"""),"")</f>
        <v/>
      </c>
      <c r="M1712" t="str">
        <f>IFERROR(__xludf.DUMMYFUNCTION("""COMPUTED_VALUE"""),"")</f>
        <v/>
      </c>
      <c r="N1712" t="str">
        <f>IFERROR(__xludf.DUMMYFUNCTION("""COMPUTED_VALUE"""),"")</f>
        <v/>
      </c>
      <c r="O1712" t="str">
        <f>IFERROR(__xludf.DUMMYFUNCTION("""COMPUTED_VALUE"""),"")</f>
        <v/>
      </c>
      <c r="P1712" t="str">
        <f>IFERROR(__xludf.DUMMYFUNCTION("""COMPUTED_VALUE"""),"ID ")</f>
        <v>ID </v>
      </c>
    </row>
    <row r="1713">
      <c r="A1713" s="6" t="str">
        <f>IFERROR(__xludf.DUMMYFUNCTION("""COMPUTED_VALUE"""),"")</f>
        <v/>
      </c>
      <c r="C1713" t="str">
        <f>IFERROR(__xludf.DUMMYFUNCTION("""COMPUTED_VALUE"""),"")</f>
        <v/>
      </c>
      <c r="D1713" t="str">
        <f>IFERROR(__xludf.DUMMYFUNCTION("""COMPUTED_VALUE"""),"")</f>
        <v/>
      </c>
      <c r="E1713" t="str">
        <f>IFERROR(__xludf.DUMMYFUNCTION("""COMPUTED_VALUE"""),"")</f>
        <v/>
      </c>
      <c r="F1713" t="str">
        <f>IFERROR(__xludf.DUMMYFUNCTION("""COMPUTED_VALUE"""),"")</f>
        <v/>
      </c>
      <c r="G1713" t="str">
        <f>IFERROR(__xludf.DUMMYFUNCTION("""COMPUTED_VALUE"""),"")</f>
        <v/>
      </c>
      <c r="H1713" s="2" t="str">
        <f>IFERROR(__xludf.DUMMYFUNCTION("""COMPUTED_VALUE"""),"")</f>
        <v/>
      </c>
      <c r="I1713" s="2" t="str">
        <f>IFERROR(__xludf.DUMMYFUNCTION("""COMPUTED_VALUE"""),"")</f>
        <v/>
      </c>
      <c r="J1713" s="2">
        <f>IFERROR(__xludf.DUMMYFUNCTION("""COMPUTED_VALUE"""),0.0)</f>
        <v>0</v>
      </c>
      <c r="K1713" s="5" t="str">
        <f>IFERROR(__xludf.DUMMYFUNCTION("""COMPUTED_VALUE"""),"")</f>
        <v/>
      </c>
      <c r="L1713" t="str">
        <f>IFERROR(__xludf.DUMMYFUNCTION("""COMPUTED_VALUE"""),"")</f>
        <v/>
      </c>
      <c r="M1713" t="str">
        <f>IFERROR(__xludf.DUMMYFUNCTION("""COMPUTED_VALUE"""),"")</f>
        <v/>
      </c>
      <c r="N1713" t="str">
        <f>IFERROR(__xludf.DUMMYFUNCTION("""COMPUTED_VALUE"""),"")</f>
        <v/>
      </c>
      <c r="O1713" t="str">
        <f>IFERROR(__xludf.DUMMYFUNCTION("""COMPUTED_VALUE"""),"")</f>
        <v/>
      </c>
      <c r="P1713" t="str">
        <f>IFERROR(__xludf.DUMMYFUNCTION("""COMPUTED_VALUE"""),"ID ")</f>
        <v>ID </v>
      </c>
    </row>
    <row r="1714">
      <c r="A1714" s="6" t="str">
        <f>IFERROR(__xludf.DUMMYFUNCTION("""COMPUTED_VALUE"""),"")</f>
        <v/>
      </c>
      <c r="C1714" t="str">
        <f>IFERROR(__xludf.DUMMYFUNCTION("""COMPUTED_VALUE"""),"")</f>
        <v/>
      </c>
      <c r="D1714" t="str">
        <f>IFERROR(__xludf.DUMMYFUNCTION("""COMPUTED_VALUE"""),"")</f>
        <v/>
      </c>
      <c r="E1714" t="str">
        <f>IFERROR(__xludf.DUMMYFUNCTION("""COMPUTED_VALUE"""),"")</f>
        <v/>
      </c>
      <c r="F1714" t="str">
        <f>IFERROR(__xludf.DUMMYFUNCTION("""COMPUTED_VALUE"""),"")</f>
        <v/>
      </c>
      <c r="G1714" t="str">
        <f>IFERROR(__xludf.DUMMYFUNCTION("""COMPUTED_VALUE"""),"")</f>
        <v/>
      </c>
      <c r="H1714" s="2" t="str">
        <f>IFERROR(__xludf.DUMMYFUNCTION("""COMPUTED_VALUE"""),"")</f>
        <v/>
      </c>
      <c r="I1714" s="2" t="str">
        <f>IFERROR(__xludf.DUMMYFUNCTION("""COMPUTED_VALUE"""),"")</f>
        <v/>
      </c>
      <c r="J1714" s="2">
        <f>IFERROR(__xludf.DUMMYFUNCTION("""COMPUTED_VALUE"""),0.0)</f>
        <v>0</v>
      </c>
      <c r="K1714" s="5" t="str">
        <f>IFERROR(__xludf.DUMMYFUNCTION("""COMPUTED_VALUE"""),"")</f>
        <v/>
      </c>
      <c r="L1714" t="str">
        <f>IFERROR(__xludf.DUMMYFUNCTION("""COMPUTED_VALUE"""),"")</f>
        <v/>
      </c>
      <c r="M1714" t="str">
        <f>IFERROR(__xludf.DUMMYFUNCTION("""COMPUTED_VALUE"""),"")</f>
        <v/>
      </c>
      <c r="N1714" t="str">
        <f>IFERROR(__xludf.DUMMYFUNCTION("""COMPUTED_VALUE"""),"")</f>
        <v/>
      </c>
      <c r="O1714" t="str">
        <f>IFERROR(__xludf.DUMMYFUNCTION("""COMPUTED_VALUE"""),"")</f>
        <v/>
      </c>
      <c r="P1714" t="str">
        <f>IFERROR(__xludf.DUMMYFUNCTION("""COMPUTED_VALUE"""),"ID ")</f>
        <v>ID </v>
      </c>
    </row>
    <row r="1715">
      <c r="A1715" s="6" t="str">
        <f>IFERROR(__xludf.DUMMYFUNCTION("""COMPUTED_VALUE"""),"")</f>
        <v/>
      </c>
      <c r="C1715" t="str">
        <f>IFERROR(__xludf.DUMMYFUNCTION("""COMPUTED_VALUE"""),"")</f>
        <v/>
      </c>
      <c r="D1715" t="str">
        <f>IFERROR(__xludf.DUMMYFUNCTION("""COMPUTED_VALUE"""),"")</f>
        <v/>
      </c>
      <c r="E1715" t="str">
        <f>IFERROR(__xludf.DUMMYFUNCTION("""COMPUTED_VALUE"""),"")</f>
        <v/>
      </c>
      <c r="F1715" t="str">
        <f>IFERROR(__xludf.DUMMYFUNCTION("""COMPUTED_VALUE"""),"")</f>
        <v/>
      </c>
      <c r="G1715" t="str">
        <f>IFERROR(__xludf.DUMMYFUNCTION("""COMPUTED_VALUE"""),"")</f>
        <v/>
      </c>
      <c r="H1715" s="2" t="str">
        <f>IFERROR(__xludf.DUMMYFUNCTION("""COMPUTED_VALUE"""),"")</f>
        <v/>
      </c>
      <c r="I1715" s="2" t="str">
        <f>IFERROR(__xludf.DUMMYFUNCTION("""COMPUTED_VALUE"""),"")</f>
        <v/>
      </c>
      <c r="J1715" s="2">
        <f>IFERROR(__xludf.DUMMYFUNCTION("""COMPUTED_VALUE"""),0.0)</f>
        <v>0</v>
      </c>
      <c r="K1715" s="5" t="str">
        <f>IFERROR(__xludf.DUMMYFUNCTION("""COMPUTED_VALUE"""),"")</f>
        <v/>
      </c>
      <c r="L1715" t="str">
        <f>IFERROR(__xludf.DUMMYFUNCTION("""COMPUTED_VALUE"""),"")</f>
        <v/>
      </c>
      <c r="M1715" t="str">
        <f>IFERROR(__xludf.DUMMYFUNCTION("""COMPUTED_VALUE"""),"")</f>
        <v/>
      </c>
      <c r="N1715" t="str">
        <f>IFERROR(__xludf.DUMMYFUNCTION("""COMPUTED_VALUE"""),"")</f>
        <v/>
      </c>
      <c r="O1715" t="str">
        <f>IFERROR(__xludf.DUMMYFUNCTION("""COMPUTED_VALUE"""),"")</f>
        <v/>
      </c>
      <c r="P1715" t="str">
        <f>IFERROR(__xludf.DUMMYFUNCTION("""COMPUTED_VALUE"""),"ID ")</f>
        <v>ID </v>
      </c>
    </row>
    <row r="1716">
      <c r="A1716" s="6" t="str">
        <f>IFERROR(__xludf.DUMMYFUNCTION("""COMPUTED_VALUE"""),"")</f>
        <v/>
      </c>
      <c r="C1716" t="str">
        <f>IFERROR(__xludf.DUMMYFUNCTION("""COMPUTED_VALUE"""),"")</f>
        <v/>
      </c>
      <c r="D1716" t="str">
        <f>IFERROR(__xludf.DUMMYFUNCTION("""COMPUTED_VALUE"""),"")</f>
        <v/>
      </c>
      <c r="E1716" t="str">
        <f>IFERROR(__xludf.DUMMYFUNCTION("""COMPUTED_VALUE"""),"")</f>
        <v/>
      </c>
      <c r="F1716" t="str">
        <f>IFERROR(__xludf.DUMMYFUNCTION("""COMPUTED_VALUE"""),"")</f>
        <v/>
      </c>
      <c r="G1716" t="str">
        <f>IFERROR(__xludf.DUMMYFUNCTION("""COMPUTED_VALUE"""),"")</f>
        <v/>
      </c>
      <c r="H1716" s="2" t="str">
        <f>IFERROR(__xludf.DUMMYFUNCTION("""COMPUTED_VALUE"""),"")</f>
        <v/>
      </c>
      <c r="I1716" s="2" t="str">
        <f>IFERROR(__xludf.DUMMYFUNCTION("""COMPUTED_VALUE"""),"")</f>
        <v/>
      </c>
      <c r="J1716" s="2">
        <f>IFERROR(__xludf.DUMMYFUNCTION("""COMPUTED_VALUE"""),0.0)</f>
        <v>0</v>
      </c>
      <c r="K1716" s="5" t="str">
        <f>IFERROR(__xludf.DUMMYFUNCTION("""COMPUTED_VALUE"""),"")</f>
        <v/>
      </c>
      <c r="L1716" t="str">
        <f>IFERROR(__xludf.DUMMYFUNCTION("""COMPUTED_VALUE"""),"")</f>
        <v/>
      </c>
      <c r="M1716" t="str">
        <f>IFERROR(__xludf.DUMMYFUNCTION("""COMPUTED_VALUE"""),"")</f>
        <v/>
      </c>
      <c r="N1716" t="str">
        <f>IFERROR(__xludf.DUMMYFUNCTION("""COMPUTED_VALUE"""),"")</f>
        <v/>
      </c>
      <c r="O1716" t="str">
        <f>IFERROR(__xludf.DUMMYFUNCTION("""COMPUTED_VALUE"""),"")</f>
        <v/>
      </c>
      <c r="P1716" t="str">
        <f>IFERROR(__xludf.DUMMYFUNCTION("""COMPUTED_VALUE"""),"ID ")</f>
        <v>ID </v>
      </c>
    </row>
    <row r="1717">
      <c r="A1717" s="6" t="str">
        <f>IFERROR(__xludf.DUMMYFUNCTION("""COMPUTED_VALUE"""),"")</f>
        <v/>
      </c>
      <c r="C1717" t="str">
        <f>IFERROR(__xludf.DUMMYFUNCTION("""COMPUTED_VALUE"""),"")</f>
        <v/>
      </c>
      <c r="D1717" t="str">
        <f>IFERROR(__xludf.DUMMYFUNCTION("""COMPUTED_VALUE"""),"")</f>
        <v/>
      </c>
      <c r="E1717" t="str">
        <f>IFERROR(__xludf.DUMMYFUNCTION("""COMPUTED_VALUE"""),"")</f>
        <v/>
      </c>
      <c r="F1717" t="str">
        <f>IFERROR(__xludf.DUMMYFUNCTION("""COMPUTED_VALUE"""),"")</f>
        <v/>
      </c>
      <c r="G1717" t="str">
        <f>IFERROR(__xludf.DUMMYFUNCTION("""COMPUTED_VALUE"""),"")</f>
        <v/>
      </c>
      <c r="H1717" s="2" t="str">
        <f>IFERROR(__xludf.DUMMYFUNCTION("""COMPUTED_VALUE"""),"")</f>
        <v/>
      </c>
      <c r="I1717" s="2" t="str">
        <f>IFERROR(__xludf.DUMMYFUNCTION("""COMPUTED_VALUE"""),"")</f>
        <v/>
      </c>
      <c r="J1717" s="2">
        <f>IFERROR(__xludf.DUMMYFUNCTION("""COMPUTED_VALUE"""),0.0)</f>
        <v>0</v>
      </c>
      <c r="K1717" s="5" t="str">
        <f>IFERROR(__xludf.DUMMYFUNCTION("""COMPUTED_VALUE"""),"")</f>
        <v/>
      </c>
      <c r="L1717" t="str">
        <f>IFERROR(__xludf.DUMMYFUNCTION("""COMPUTED_VALUE"""),"")</f>
        <v/>
      </c>
      <c r="M1717" t="str">
        <f>IFERROR(__xludf.DUMMYFUNCTION("""COMPUTED_VALUE"""),"")</f>
        <v/>
      </c>
      <c r="N1717" t="str">
        <f>IFERROR(__xludf.DUMMYFUNCTION("""COMPUTED_VALUE"""),"")</f>
        <v/>
      </c>
      <c r="O1717" t="str">
        <f>IFERROR(__xludf.DUMMYFUNCTION("""COMPUTED_VALUE"""),"")</f>
        <v/>
      </c>
      <c r="P1717" t="str">
        <f>IFERROR(__xludf.DUMMYFUNCTION("""COMPUTED_VALUE"""),"ID ")</f>
        <v>ID </v>
      </c>
    </row>
    <row r="1718">
      <c r="A1718" s="6" t="str">
        <f>IFERROR(__xludf.DUMMYFUNCTION("""COMPUTED_VALUE"""),"")</f>
        <v/>
      </c>
      <c r="C1718" t="str">
        <f>IFERROR(__xludf.DUMMYFUNCTION("""COMPUTED_VALUE"""),"")</f>
        <v/>
      </c>
      <c r="D1718" t="str">
        <f>IFERROR(__xludf.DUMMYFUNCTION("""COMPUTED_VALUE"""),"")</f>
        <v/>
      </c>
      <c r="E1718" t="str">
        <f>IFERROR(__xludf.DUMMYFUNCTION("""COMPUTED_VALUE"""),"")</f>
        <v/>
      </c>
      <c r="F1718" t="str">
        <f>IFERROR(__xludf.DUMMYFUNCTION("""COMPUTED_VALUE"""),"")</f>
        <v/>
      </c>
      <c r="G1718" t="str">
        <f>IFERROR(__xludf.DUMMYFUNCTION("""COMPUTED_VALUE"""),"")</f>
        <v/>
      </c>
      <c r="H1718" s="2" t="str">
        <f>IFERROR(__xludf.DUMMYFUNCTION("""COMPUTED_VALUE"""),"")</f>
        <v/>
      </c>
      <c r="I1718" s="2" t="str">
        <f>IFERROR(__xludf.DUMMYFUNCTION("""COMPUTED_VALUE"""),"")</f>
        <v/>
      </c>
      <c r="J1718" s="2">
        <f>IFERROR(__xludf.DUMMYFUNCTION("""COMPUTED_VALUE"""),0.0)</f>
        <v>0</v>
      </c>
      <c r="K1718" s="5" t="str">
        <f>IFERROR(__xludf.DUMMYFUNCTION("""COMPUTED_VALUE"""),"")</f>
        <v/>
      </c>
      <c r="L1718" t="str">
        <f>IFERROR(__xludf.DUMMYFUNCTION("""COMPUTED_VALUE"""),"")</f>
        <v/>
      </c>
      <c r="M1718" t="str">
        <f>IFERROR(__xludf.DUMMYFUNCTION("""COMPUTED_VALUE"""),"")</f>
        <v/>
      </c>
      <c r="N1718" t="str">
        <f>IFERROR(__xludf.DUMMYFUNCTION("""COMPUTED_VALUE"""),"")</f>
        <v/>
      </c>
      <c r="O1718" t="str">
        <f>IFERROR(__xludf.DUMMYFUNCTION("""COMPUTED_VALUE"""),"")</f>
        <v/>
      </c>
      <c r="P1718" t="str">
        <f>IFERROR(__xludf.DUMMYFUNCTION("""COMPUTED_VALUE"""),"ID ")</f>
        <v>ID </v>
      </c>
    </row>
    <row r="1719">
      <c r="A1719" s="6" t="str">
        <f>IFERROR(__xludf.DUMMYFUNCTION("""COMPUTED_VALUE"""),"")</f>
        <v/>
      </c>
      <c r="C1719" t="str">
        <f>IFERROR(__xludf.DUMMYFUNCTION("""COMPUTED_VALUE"""),"")</f>
        <v/>
      </c>
      <c r="D1719" t="str">
        <f>IFERROR(__xludf.DUMMYFUNCTION("""COMPUTED_VALUE"""),"")</f>
        <v/>
      </c>
      <c r="E1719" t="str">
        <f>IFERROR(__xludf.DUMMYFUNCTION("""COMPUTED_VALUE"""),"")</f>
        <v/>
      </c>
      <c r="F1719" t="str">
        <f>IFERROR(__xludf.DUMMYFUNCTION("""COMPUTED_VALUE"""),"")</f>
        <v/>
      </c>
      <c r="G1719" t="str">
        <f>IFERROR(__xludf.DUMMYFUNCTION("""COMPUTED_VALUE"""),"")</f>
        <v/>
      </c>
      <c r="H1719" s="2" t="str">
        <f>IFERROR(__xludf.DUMMYFUNCTION("""COMPUTED_VALUE"""),"")</f>
        <v/>
      </c>
      <c r="I1719" s="2" t="str">
        <f>IFERROR(__xludf.DUMMYFUNCTION("""COMPUTED_VALUE"""),"")</f>
        <v/>
      </c>
      <c r="J1719" s="2">
        <f>IFERROR(__xludf.DUMMYFUNCTION("""COMPUTED_VALUE"""),0.0)</f>
        <v>0</v>
      </c>
      <c r="K1719" s="5" t="str">
        <f>IFERROR(__xludf.DUMMYFUNCTION("""COMPUTED_VALUE"""),"")</f>
        <v/>
      </c>
      <c r="L1719" t="str">
        <f>IFERROR(__xludf.DUMMYFUNCTION("""COMPUTED_VALUE"""),"")</f>
        <v/>
      </c>
      <c r="M1719" t="str">
        <f>IFERROR(__xludf.DUMMYFUNCTION("""COMPUTED_VALUE"""),"")</f>
        <v/>
      </c>
      <c r="N1719" t="str">
        <f>IFERROR(__xludf.DUMMYFUNCTION("""COMPUTED_VALUE"""),"")</f>
        <v/>
      </c>
      <c r="O1719" t="str">
        <f>IFERROR(__xludf.DUMMYFUNCTION("""COMPUTED_VALUE"""),"")</f>
        <v/>
      </c>
      <c r="P1719" t="str">
        <f>IFERROR(__xludf.DUMMYFUNCTION("""COMPUTED_VALUE"""),"ID ")</f>
        <v>ID </v>
      </c>
    </row>
    <row r="1720">
      <c r="A1720" s="6" t="str">
        <f>IFERROR(__xludf.DUMMYFUNCTION("""COMPUTED_VALUE"""),"")</f>
        <v/>
      </c>
      <c r="C1720" t="str">
        <f>IFERROR(__xludf.DUMMYFUNCTION("""COMPUTED_VALUE"""),"")</f>
        <v/>
      </c>
      <c r="D1720" t="str">
        <f>IFERROR(__xludf.DUMMYFUNCTION("""COMPUTED_VALUE"""),"")</f>
        <v/>
      </c>
      <c r="E1720" t="str">
        <f>IFERROR(__xludf.DUMMYFUNCTION("""COMPUTED_VALUE"""),"")</f>
        <v/>
      </c>
      <c r="F1720" t="str">
        <f>IFERROR(__xludf.DUMMYFUNCTION("""COMPUTED_VALUE"""),"")</f>
        <v/>
      </c>
      <c r="G1720" t="str">
        <f>IFERROR(__xludf.DUMMYFUNCTION("""COMPUTED_VALUE"""),"")</f>
        <v/>
      </c>
      <c r="H1720" s="2" t="str">
        <f>IFERROR(__xludf.DUMMYFUNCTION("""COMPUTED_VALUE"""),"")</f>
        <v/>
      </c>
      <c r="I1720" s="2" t="str">
        <f>IFERROR(__xludf.DUMMYFUNCTION("""COMPUTED_VALUE"""),"")</f>
        <v/>
      </c>
      <c r="J1720" s="2">
        <f>IFERROR(__xludf.DUMMYFUNCTION("""COMPUTED_VALUE"""),0.0)</f>
        <v>0</v>
      </c>
      <c r="K1720" s="5" t="str">
        <f>IFERROR(__xludf.DUMMYFUNCTION("""COMPUTED_VALUE"""),"")</f>
        <v/>
      </c>
      <c r="L1720" t="str">
        <f>IFERROR(__xludf.DUMMYFUNCTION("""COMPUTED_VALUE"""),"")</f>
        <v/>
      </c>
      <c r="M1720" t="str">
        <f>IFERROR(__xludf.DUMMYFUNCTION("""COMPUTED_VALUE"""),"")</f>
        <v/>
      </c>
      <c r="N1720" t="str">
        <f>IFERROR(__xludf.DUMMYFUNCTION("""COMPUTED_VALUE"""),"")</f>
        <v/>
      </c>
      <c r="O1720" t="str">
        <f>IFERROR(__xludf.DUMMYFUNCTION("""COMPUTED_VALUE"""),"")</f>
        <v/>
      </c>
      <c r="P1720" t="str">
        <f>IFERROR(__xludf.DUMMYFUNCTION("""COMPUTED_VALUE"""),"ID ")</f>
        <v>ID </v>
      </c>
    </row>
    <row r="1721">
      <c r="A1721" s="6" t="str">
        <f>IFERROR(__xludf.DUMMYFUNCTION("""COMPUTED_VALUE"""),"")</f>
        <v/>
      </c>
      <c r="C1721" t="str">
        <f>IFERROR(__xludf.DUMMYFUNCTION("""COMPUTED_VALUE"""),"")</f>
        <v/>
      </c>
      <c r="D1721" t="str">
        <f>IFERROR(__xludf.DUMMYFUNCTION("""COMPUTED_VALUE"""),"")</f>
        <v/>
      </c>
      <c r="E1721" t="str">
        <f>IFERROR(__xludf.DUMMYFUNCTION("""COMPUTED_VALUE"""),"")</f>
        <v/>
      </c>
      <c r="F1721" t="str">
        <f>IFERROR(__xludf.DUMMYFUNCTION("""COMPUTED_VALUE"""),"")</f>
        <v/>
      </c>
      <c r="G1721" t="str">
        <f>IFERROR(__xludf.DUMMYFUNCTION("""COMPUTED_VALUE"""),"")</f>
        <v/>
      </c>
      <c r="H1721" s="2" t="str">
        <f>IFERROR(__xludf.DUMMYFUNCTION("""COMPUTED_VALUE"""),"")</f>
        <v/>
      </c>
      <c r="I1721" s="2" t="str">
        <f>IFERROR(__xludf.DUMMYFUNCTION("""COMPUTED_VALUE"""),"")</f>
        <v/>
      </c>
      <c r="J1721" s="2">
        <f>IFERROR(__xludf.DUMMYFUNCTION("""COMPUTED_VALUE"""),0.0)</f>
        <v>0</v>
      </c>
      <c r="K1721" s="5" t="str">
        <f>IFERROR(__xludf.DUMMYFUNCTION("""COMPUTED_VALUE"""),"")</f>
        <v/>
      </c>
      <c r="L1721" t="str">
        <f>IFERROR(__xludf.DUMMYFUNCTION("""COMPUTED_VALUE"""),"")</f>
        <v/>
      </c>
      <c r="M1721" t="str">
        <f>IFERROR(__xludf.DUMMYFUNCTION("""COMPUTED_VALUE"""),"")</f>
        <v/>
      </c>
      <c r="N1721" t="str">
        <f>IFERROR(__xludf.DUMMYFUNCTION("""COMPUTED_VALUE"""),"")</f>
        <v/>
      </c>
      <c r="O1721" t="str">
        <f>IFERROR(__xludf.DUMMYFUNCTION("""COMPUTED_VALUE"""),"")</f>
        <v/>
      </c>
      <c r="P1721" t="str">
        <f>IFERROR(__xludf.DUMMYFUNCTION("""COMPUTED_VALUE"""),"ID ")</f>
        <v>ID </v>
      </c>
    </row>
    <row r="1722">
      <c r="A1722" s="6" t="str">
        <f>IFERROR(__xludf.DUMMYFUNCTION("""COMPUTED_VALUE"""),"")</f>
        <v/>
      </c>
      <c r="C1722" t="str">
        <f>IFERROR(__xludf.DUMMYFUNCTION("""COMPUTED_VALUE"""),"")</f>
        <v/>
      </c>
      <c r="D1722" t="str">
        <f>IFERROR(__xludf.DUMMYFUNCTION("""COMPUTED_VALUE"""),"")</f>
        <v/>
      </c>
      <c r="E1722" t="str">
        <f>IFERROR(__xludf.DUMMYFUNCTION("""COMPUTED_VALUE"""),"")</f>
        <v/>
      </c>
      <c r="F1722" t="str">
        <f>IFERROR(__xludf.DUMMYFUNCTION("""COMPUTED_VALUE"""),"")</f>
        <v/>
      </c>
      <c r="G1722" t="str">
        <f>IFERROR(__xludf.DUMMYFUNCTION("""COMPUTED_VALUE"""),"")</f>
        <v/>
      </c>
      <c r="H1722" s="2" t="str">
        <f>IFERROR(__xludf.DUMMYFUNCTION("""COMPUTED_VALUE"""),"")</f>
        <v/>
      </c>
      <c r="I1722" s="2" t="str">
        <f>IFERROR(__xludf.DUMMYFUNCTION("""COMPUTED_VALUE"""),"")</f>
        <v/>
      </c>
      <c r="J1722" s="2">
        <f>IFERROR(__xludf.DUMMYFUNCTION("""COMPUTED_VALUE"""),0.0)</f>
        <v>0</v>
      </c>
      <c r="K1722" s="5" t="str">
        <f>IFERROR(__xludf.DUMMYFUNCTION("""COMPUTED_VALUE"""),"")</f>
        <v/>
      </c>
      <c r="L1722" t="str">
        <f>IFERROR(__xludf.DUMMYFUNCTION("""COMPUTED_VALUE"""),"")</f>
        <v/>
      </c>
      <c r="M1722" t="str">
        <f>IFERROR(__xludf.DUMMYFUNCTION("""COMPUTED_VALUE"""),"")</f>
        <v/>
      </c>
      <c r="N1722" t="str">
        <f>IFERROR(__xludf.DUMMYFUNCTION("""COMPUTED_VALUE"""),"")</f>
        <v/>
      </c>
      <c r="O1722" t="str">
        <f>IFERROR(__xludf.DUMMYFUNCTION("""COMPUTED_VALUE"""),"")</f>
        <v/>
      </c>
      <c r="P1722" t="str">
        <f>IFERROR(__xludf.DUMMYFUNCTION("""COMPUTED_VALUE"""),"ID ")</f>
        <v>ID </v>
      </c>
    </row>
    <row r="1723">
      <c r="A1723" s="6" t="str">
        <f>IFERROR(__xludf.DUMMYFUNCTION("""COMPUTED_VALUE"""),"")</f>
        <v/>
      </c>
      <c r="C1723" t="str">
        <f>IFERROR(__xludf.DUMMYFUNCTION("""COMPUTED_VALUE"""),"")</f>
        <v/>
      </c>
      <c r="D1723" t="str">
        <f>IFERROR(__xludf.DUMMYFUNCTION("""COMPUTED_VALUE"""),"")</f>
        <v/>
      </c>
      <c r="E1723" t="str">
        <f>IFERROR(__xludf.DUMMYFUNCTION("""COMPUTED_VALUE"""),"")</f>
        <v/>
      </c>
      <c r="F1723" t="str">
        <f>IFERROR(__xludf.DUMMYFUNCTION("""COMPUTED_VALUE"""),"")</f>
        <v/>
      </c>
      <c r="G1723" t="str">
        <f>IFERROR(__xludf.DUMMYFUNCTION("""COMPUTED_VALUE"""),"")</f>
        <v/>
      </c>
      <c r="H1723" s="2" t="str">
        <f>IFERROR(__xludf.DUMMYFUNCTION("""COMPUTED_VALUE"""),"")</f>
        <v/>
      </c>
      <c r="I1723" s="2" t="str">
        <f>IFERROR(__xludf.DUMMYFUNCTION("""COMPUTED_VALUE"""),"")</f>
        <v/>
      </c>
      <c r="J1723" s="2">
        <f>IFERROR(__xludf.DUMMYFUNCTION("""COMPUTED_VALUE"""),0.0)</f>
        <v>0</v>
      </c>
      <c r="K1723" s="5" t="str">
        <f>IFERROR(__xludf.DUMMYFUNCTION("""COMPUTED_VALUE"""),"")</f>
        <v/>
      </c>
      <c r="L1723" t="str">
        <f>IFERROR(__xludf.DUMMYFUNCTION("""COMPUTED_VALUE"""),"")</f>
        <v/>
      </c>
      <c r="M1723" t="str">
        <f>IFERROR(__xludf.DUMMYFUNCTION("""COMPUTED_VALUE"""),"")</f>
        <v/>
      </c>
      <c r="N1723" t="str">
        <f>IFERROR(__xludf.DUMMYFUNCTION("""COMPUTED_VALUE"""),"")</f>
        <v/>
      </c>
      <c r="O1723" t="str">
        <f>IFERROR(__xludf.DUMMYFUNCTION("""COMPUTED_VALUE"""),"")</f>
        <v/>
      </c>
      <c r="P1723" t="str">
        <f>IFERROR(__xludf.DUMMYFUNCTION("""COMPUTED_VALUE"""),"ID ")</f>
        <v>ID </v>
      </c>
    </row>
    <row r="1724">
      <c r="A1724" s="6" t="str">
        <f>IFERROR(__xludf.DUMMYFUNCTION("""COMPUTED_VALUE"""),"")</f>
        <v/>
      </c>
      <c r="C1724" t="str">
        <f>IFERROR(__xludf.DUMMYFUNCTION("""COMPUTED_VALUE"""),"")</f>
        <v/>
      </c>
      <c r="D1724" t="str">
        <f>IFERROR(__xludf.DUMMYFUNCTION("""COMPUTED_VALUE"""),"")</f>
        <v/>
      </c>
      <c r="E1724" t="str">
        <f>IFERROR(__xludf.DUMMYFUNCTION("""COMPUTED_VALUE"""),"")</f>
        <v/>
      </c>
      <c r="F1724" t="str">
        <f>IFERROR(__xludf.DUMMYFUNCTION("""COMPUTED_VALUE"""),"")</f>
        <v/>
      </c>
      <c r="G1724" t="str">
        <f>IFERROR(__xludf.DUMMYFUNCTION("""COMPUTED_VALUE"""),"")</f>
        <v/>
      </c>
      <c r="H1724" s="2" t="str">
        <f>IFERROR(__xludf.DUMMYFUNCTION("""COMPUTED_VALUE"""),"")</f>
        <v/>
      </c>
      <c r="I1724" s="2" t="str">
        <f>IFERROR(__xludf.DUMMYFUNCTION("""COMPUTED_VALUE"""),"")</f>
        <v/>
      </c>
      <c r="J1724" s="2">
        <f>IFERROR(__xludf.DUMMYFUNCTION("""COMPUTED_VALUE"""),0.0)</f>
        <v>0</v>
      </c>
      <c r="K1724" s="5" t="str">
        <f>IFERROR(__xludf.DUMMYFUNCTION("""COMPUTED_VALUE"""),"")</f>
        <v/>
      </c>
      <c r="L1724" t="str">
        <f>IFERROR(__xludf.DUMMYFUNCTION("""COMPUTED_VALUE"""),"")</f>
        <v/>
      </c>
      <c r="M1724" t="str">
        <f>IFERROR(__xludf.DUMMYFUNCTION("""COMPUTED_VALUE"""),"")</f>
        <v/>
      </c>
      <c r="N1724" t="str">
        <f>IFERROR(__xludf.DUMMYFUNCTION("""COMPUTED_VALUE"""),"")</f>
        <v/>
      </c>
      <c r="O1724" t="str">
        <f>IFERROR(__xludf.DUMMYFUNCTION("""COMPUTED_VALUE"""),"")</f>
        <v/>
      </c>
      <c r="P1724" t="str">
        <f>IFERROR(__xludf.DUMMYFUNCTION("""COMPUTED_VALUE"""),"ID ")</f>
        <v>ID </v>
      </c>
    </row>
    <row r="1725">
      <c r="A1725" s="6" t="str">
        <f>IFERROR(__xludf.DUMMYFUNCTION("""COMPUTED_VALUE"""),"")</f>
        <v/>
      </c>
      <c r="C1725" t="str">
        <f>IFERROR(__xludf.DUMMYFUNCTION("""COMPUTED_VALUE"""),"")</f>
        <v/>
      </c>
      <c r="D1725" t="str">
        <f>IFERROR(__xludf.DUMMYFUNCTION("""COMPUTED_VALUE"""),"")</f>
        <v/>
      </c>
      <c r="E1725" t="str">
        <f>IFERROR(__xludf.DUMMYFUNCTION("""COMPUTED_VALUE"""),"")</f>
        <v/>
      </c>
      <c r="F1725" t="str">
        <f>IFERROR(__xludf.DUMMYFUNCTION("""COMPUTED_VALUE"""),"")</f>
        <v/>
      </c>
      <c r="G1725" t="str">
        <f>IFERROR(__xludf.DUMMYFUNCTION("""COMPUTED_VALUE"""),"")</f>
        <v/>
      </c>
      <c r="H1725" s="2" t="str">
        <f>IFERROR(__xludf.DUMMYFUNCTION("""COMPUTED_VALUE"""),"")</f>
        <v/>
      </c>
      <c r="I1725" s="2" t="str">
        <f>IFERROR(__xludf.DUMMYFUNCTION("""COMPUTED_VALUE"""),"")</f>
        <v/>
      </c>
      <c r="J1725" s="2">
        <f>IFERROR(__xludf.DUMMYFUNCTION("""COMPUTED_VALUE"""),0.0)</f>
        <v>0</v>
      </c>
      <c r="K1725" s="5" t="str">
        <f>IFERROR(__xludf.DUMMYFUNCTION("""COMPUTED_VALUE"""),"")</f>
        <v/>
      </c>
      <c r="L1725" t="str">
        <f>IFERROR(__xludf.DUMMYFUNCTION("""COMPUTED_VALUE"""),"")</f>
        <v/>
      </c>
      <c r="M1725" t="str">
        <f>IFERROR(__xludf.DUMMYFUNCTION("""COMPUTED_VALUE"""),"")</f>
        <v/>
      </c>
      <c r="N1725" t="str">
        <f>IFERROR(__xludf.DUMMYFUNCTION("""COMPUTED_VALUE"""),"")</f>
        <v/>
      </c>
      <c r="O1725" t="str">
        <f>IFERROR(__xludf.DUMMYFUNCTION("""COMPUTED_VALUE"""),"")</f>
        <v/>
      </c>
      <c r="P1725" t="str">
        <f>IFERROR(__xludf.DUMMYFUNCTION("""COMPUTED_VALUE"""),"ID ")</f>
        <v>ID </v>
      </c>
    </row>
    <row r="1726">
      <c r="A1726" s="6" t="str">
        <f>IFERROR(__xludf.DUMMYFUNCTION("""COMPUTED_VALUE"""),"")</f>
        <v/>
      </c>
      <c r="C1726" t="str">
        <f>IFERROR(__xludf.DUMMYFUNCTION("""COMPUTED_VALUE"""),"")</f>
        <v/>
      </c>
      <c r="D1726" t="str">
        <f>IFERROR(__xludf.DUMMYFUNCTION("""COMPUTED_VALUE"""),"")</f>
        <v/>
      </c>
      <c r="E1726" t="str">
        <f>IFERROR(__xludf.DUMMYFUNCTION("""COMPUTED_VALUE"""),"")</f>
        <v/>
      </c>
      <c r="F1726" t="str">
        <f>IFERROR(__xludf.DUMMYFUNCTION("""COMPUTED_VALUE"""),"")</f>
        <v/>
      </c>
      <c r="G1726" t="str">
        <f>IFERROR(__xludf.DUMMYFUNCTION("""COMPUTED_VALUE"""),"")</f>
        <v/>
      </c>
      <c r="H1726" s="2" t="str">
        <f>IFERROR(__xludf.DUMMYFUNCTION("""COMPUTED_VALUE"""),"")</f>
        <v/>
      </c>
      <c r="I1726" s="2" t="str">
        <f>IFERROR(__xludf.DUMMYFUNCTION("""COMPUTED_VALUE"""),"")</f>
        <v/>
      </c>
      <c r="J1726" s="2">
        <f>IFERROR(__xludf.DUMMYFUNCTION("""COMPUTED_VALUE"""),0.0)</f>
        <v>0</v>
      </c>
      <c r="K1726" s="5" t="str">
        <f>IFERROR(__xludf.DUMMYFUNCTION("""COMPUTED_VALUE"""),"")</f>
        <v/>
      </c>
      <c r="L1726" t="str">
        <f>IFERROR(__xludf.DUMMYFUNCTION("""COMPUTED_VALUE"""),"")</f>
        <v/>
      </c>
      <c r="M1726" t="str">
        <f>IFERROR(__xludf.DUMMYFUNCTION("""COMPUTED_VALUE"""),"")</f>
        <v/>
      </c>
      <c r="N1726" t="str">
        <f>IFERROR(__xludf.DUMMYFUNCTION("""COMPUTED_VALUE"""),"")</f>
        <v/>
      </c>
      <c r="O1726" t="str">
        <f>IFERROR(__xludf.DUMMYFUNCTION("""COMPUTED_VALUE"""),"")</f>
        <v/>
      </c>
      <c r="P1726" t="str">
        <f>IFERROR(__xludf.DUMMYFUNCTION("""COMPUTED_VALUE"""),"ID ")</f>
        <v>ID </v>
      </c>
    </row>
    <row r="1727">
      <c r="A1727" s="6" t="str">
        <f>IFERROR(__xludf.DUMMYFUNCTION("""COMPUTED_VALUE"""),"")</f>
        <v/>
      </c>
      <c r="C1727" t="str">
        <f>IFERROR(__xludf.DUMMYFUNCTION("""COMPUTED_VALUE"""),"")</f>
        <v/>
      </c>
      <c r="D1727" t="str">
        <f>IFERROR(__xludf.DUMMYFUNCTION("""COMPUTED_VALUE"""),"")</f>
        <v/>
      </c>
      <c r="E1727" t="str">
        <f>IFERROR(__xludf.DUMMYFUNCTION("""COMPUTED_VALUE"""),"")</f>
        <v/>
      </c>
      <c r="F1727" t="str">
        <f>IFERROR(__xludf.DUMMYFUNCTION("""COMPUTED_VALUE"""),"")</f>
        <v/>
      </c>
      <c r="G1727" t="str">
        <f>IFERROR(__xludf.DUMMYFUNCTION("""COMPUTED_VALUE"""),"")</f>
        <v/>
      </c>
      <c r="H1727" s="2" t="str">
        <f>IFERROR(__xludf.DUMMYFUNCTION("""COMPUTED_VALUE"""),"")</f>
        <v/>
      </c>
      <c r="I1727" s="2" t="str">
        <f>IFERROR(__xludf.DUMMYFUNCTION("""COMPUTED_VALUE"""),"")</f>
        <v/>
      </c>
      <c r="J1727" s="2">
        <f>IFERROR(__xludf.DUMMYFUNCTION("""COMPUTED_VALUE"""),0.0)</f>
        <v>0</v>
      </c>
      <c r="K1727" s="5" t="str">
        <f>IFERROR(__xludf.DUMMYFUNCTION("""COMPUTED_VALUE"""),"")</f>
        <v/>
      </c>
      <c r="L1727" t="str">
        <f>IFERROR(__xludf.DUMMYFUNCTION("""COMPUTED_VALUE"""),"")</f>
        <v/>
      </c>
      <c r="M1727" t="str">
        <f>IFERROR(__xludf.DUMMYFUNCTION("""COMPUTED_VALUE"""),"")</f>
        <v/>
      </c>
      <c r="N1727" t="str">
        <f>IFERROR(__xludf.DUMMYFUNCTION("""COMPUTED_VALUE"""),"")</f>
        <v/>
      </c>
      <c r="O1727" t="str">
        <f>IFERROR(__xludf.DUMMYFUNCTION("""COMPUTED_VALUE"""),"")</f>
        <v/>
      </c>
      <c r="P1727" t="str">
        <f>IFERROR(__xludf.DUMMYFUNCTION("""COMPUTED_VALUE"""),"ID ")</f>
        <v>ID </v>
      </c>
    </row>
    <row r="1728">
      <c r="A1728" s="6" t="str">
        <f>IFERROR(__xludf.DUMMYFUNCTION("""COMPUTED_VALUE"""),"")</f>
        <v/>
      </c>
      <c r="C1728" t="str">
        <f>IFERROR(__xludf.DUMMYFUNCTION("""COMPUTED_VALUE"""),"")</f>
        <v/>
      </c>
      <c r="D1728" t="str">
        <f>IFERROR(__xludf.DUMMYFUNCTION("""COMPUTED_VALUE"""),"")</f>
        <v/>
      </c>
      <c r="E1728" t="str">
        <f>IFERROR(__xludf.DUMMYFUNCTION("""COMPUTED_VALUE"""),"")</f>
        <v/>
      </c>
      <c r="F1728" t="str">
        <f>IFERROR(__xludf.DUMMYFUNCTION("""COMPUTED_VALUE"""),"")</f>
        <v/>
      </c>
      <c r="G1728" t="str">
        <f>IFERROR(__xludf.DUMMYFUNCTION("""COMPUTED_VALUE"""),"")</f>
        <v/>
      </c>
      <c r="H1728" s="2" t="str">
        <f>IFERROR(__xludf.DUMMYFUNCTION("""COMPUTED_VALUE"""),"")</f>
        <v/>
      </c>
      <c r="I1728" s="2" t="str">
        <f>IFERROR(__xludf.DUMMYFUNCTION("""COMPUTED_VALUE"""),"")</f>
        <v/>
      </c>
      <c r="J1728" s="2">
        <f>IFERROR(__xludf.DUMMYFUNCTION("""COMPUTED_VALUE"""),0.0)</f>
        <v>0</v>
      </c>
      <c r="K1728" s="5" t="str">
        <f>IFERROR(__xludf.DUMMYFUNCTION("""COMPUTED_VALUE"""),"")</f>
        <v/>
      </c>
      <c r="L1728" t="str">
        <f>IFERROR(__xludf.DUMMYFUNCTION("""COMPUTED_VALUE"""),"")</f>
        <v/>
      </c>
      <c r="M1728" t="str">
        <f>IFERROR(__xludf.DUMMYFUNCTION("""COMPUTED_VALUE"""),"")</f>
        <v/>
      </c>
      <c r="N1728" t="str">
        <f>IFERROR(__xludf.DUMMYFUNCTION("""COMPUTED_VALUE"""),"")</f>
        <v/>
      </c>
      <c r="O1728" t="str">
        <f>IFERROR(__xludf.DUMMYFUNCTION("""COMPUTED_VALUE"""),"")</f>
        <v/>
      </c>
      <c r="P1728" t="str">
        <f>IFERROR(__xludf.DUMMYFUNCTION("""COMPUTED_VALUE"""),"ID ")</f>
        <v>ID </v>
      </c>
    </row>
    <row r="1729">
      <c r="A1729" s="6" t="str">
        <f>IFERROR(__xludf.DUMMYFUNCTION("""COMPUTED_VALUE"""),"")</f>
        <v/>
      </c>
      <c r="C1729" t="str">
        <f>IFERROR(__xludf.DUMMYFUNCTION("""COMPUTED_VALUE"""),"")</f>
        <v/>
      </c>
      <c r="D1729" t="str">
        <f>IFERROR(__xludf.DUMMYFUNCTION("""COMPUTED_VALUE"""),"")</f>
        <v/>
      </c>
      <c r="E1729" t="str">
        <f>IFERROR(__xludf.DUMMYFUNCTION("""COMPUTED_VALUE"""),"")</f>
        <v/>
      </c>
      <c r="F1729" t="str">
        <f>IFERROR(__xludf.DUMMYFUNCTION("""COMPUTED_VALUE"""),"")</f>
        <v/>
      </c>
      <c r="G1729" t="str">
        <f>IFERROR(__xludf.DUMMYFUNCTION("""COMPUTED_VALUE"""),"")</f>
        <v/>
      </c>
      <c r="H1729" s="2" t="str">
        <f>IFERROR(__xludf.DUMMYFUNCTION("""COMPUTED_VALUE"""),"")</f>
        <v/>
      </c>
      <c r="I1729" s="2" t="str">
        <f>IFERROR(__xludf.DUMMYFUNCTION("""COMPUTED_VALUE"""),"")</f>
        <v/>
      </c>
      <c r="J1729" s="2">
        <f>IFERROR(__xludf.DUMMYFUNCTION("""COMPUTED_VALUE"""),0.0)</f>
        <v>0</v>
      </c>
      <c r="K1729" s="5" t="str">
        <f>IFERROR(__xludf.DUMMYFUNCTION("""COMPUTED_VALUE"""),"")</f>
        <v/>
      </c>
      <c r="L1729" t="str">
        <f>IFERROR(__xludf.DUMMYFUNCTION("""COMPUTED_VALUE"""),"")</f>
        <v/>
      </c>
      <c r="M1729" t="str">
        <f>IFERROR(__xludf.DUMMYFUNCTION("""COMPUTED_VALUE"""),"")</f>
        <v/>
      </c>
      <c r="N1729" t="str">
        <f>IFERROR(__xludf.DUMMYFUNCTION("""COMPUTED_VALUE"""),"")</f>
        <v/>
      </c>
      <c r="O1729" t="str">
        <f>IFERROR(__xludf.DUMMYFUNCTION("""COMPUTED_VALUE"""),"")</f>
        <v/>
      </c>
      <c r="P1729" t="str">
        <f>IFERROR(__xludf.DUMMYFUNCTION("""COMPUTED_VALUE"""),"ID ")</f>
        <v>ID </v>
      </c>
    </row>
    <row r="1730">
      <c r="A1730" s="6" t="str">
        <f>IFERROR(__xludf.DUMMYFUNCTION("""COMPUTED_VALUE"""),"")</f>
        <v/>
      </c>
      <c r="C1730" t="str">
        <f>IFERROR(__xludf.DUMMYFUNCTION("""COMPUTED_VALUE"""),"")</f>
        <v/>
      </c>
      <c r="D1730" t="str">
        <f>IFERROR(__xludf.DUMMYFUNCTION("""COMPUTED_VALUE"""),"")</f>
        <v/>
      </c>
      <c r="E1730" t="str">
        <f>IFERROR(__xludf.DUMMYFUNCTION("""COMPUTED_VALUE"""),"")</f>
        <v/>
      </c>
      <c r="F1730" t="str">
        <f>IFERROR(__xludf.DUMMYFUNCTION("""COMPUTED_VALUE"""),"")</f>
        <v/>
      </c>
      <c r="G1730" t="str">
        <f>IFERROR(__xludf.DUMMYFUNCTION("""COMPUTED_VALUE"""),"")</f>
        <v/>
      </c>
      <c r="H1730" s="2" t="str">
        <f>IFERROR(__xludf.DUMMYFUNCTION("""COMPUTED_VALUE"""),"")</f>
        <v/>
      </c>
      <c r="I1730" s="2" t="str">
        <f>IFERROR(__xludf.DUMMYFUNCTION("""COMPUTED_VALUE"""),"")</f>
        <v/>
      </c>
      <c r="J1730" s="2">
        <f>IFERROR(__xludf.DUMMYFUNCTION("""COMPUTED_VALUE"""),0.0)</f>
        <v>0</v>
      </c>
      <c r="K1730" s="5" t="str">
        <f>IFERROR(__xludf.DUMMYFUNCTION("""COMPUTED_VALUE"""),"")</f>
        <v/>
      </c>
      <c r="L1730" t="str">
        <f>IFERROR(__xludf.DUMMYFUNCTION("""COMPUTED_VALUE"""),"")</f>
        <v/>
      </c>
      <c r="M1730" t="str">
        <f>IFERROR(__xludf.DUMMYFUNCTION("""COMPUTED_VALUE"""),"")</f>
        <v/>
      </c>
      <c r="N1730" t="str">
        <f>IFERROR(__xludf.DUMMYFUNCTION("""COMPUTED_VALUE"""),"")</f>
        <v/>
      </c>
      <c r="O1730" t="str">
        <f>IFERROR(__xludf.DUMMYFUNCTION("""COMPUTED_VALUE"""),"")</f>
        <v/>
      </c>
      <c r="P1730" t="str">
        <f>IFERROR(__xludf.DUMMYFUNCTION("""COMPUTED_VALUE"""),"ID ")</f>
        <v>ID </v>
      </c>
    </row>
    <row r="1731">
      <c r="A1731" s="6" t="str">
        <f>IFERROR(__xludf.DUMMYFUNCTION("""COMPUTED_VALUE"""),"")</f>
        <v/>
      </c>
      <c r="C1731" t="str">
        <f>IFERROR(__xludf.DUMMYFUNCTION("""COMPUTED_VALUE"""),"")</f>
        <v/>
      </c>
      <c r="D1731" t="str">
        <f>IFERROR(__xludf.DUMMYFUNCTION("""COMPUTED_VALUE"""),"")</f>
        <v/>
      </c>
      <c r="E1731" t="str">
        <f>IFERROR(__xludf.DUMMYFUNCTION("""COMPUTED_VALUE"""),"")</f>
        <v/>
      </c>
      <c r="F1731" t="str">
        <f>IFERROR(__xludf.DUMMYFUNCTION("""COMPUTED_VALUE"""),"")</f>
        <v/>
      </c>
      <c r="G1731" t="str">
        <f>IFERROR(__xludf.DUMMYFUNCTION("""COMPUTED_VALUE"""),"")</f>
        <v/>
      </c>
      <c r="H1731" s="2" t="str">
        <f>IFERROR(__xludf.DUMMYFUNCTION("""COMPUTED_VALUE"""),"")</f>
        <v/>
      </c>
      <c r="I1731" s="2" t="str">
        <f>IFERROR(__xludf.DUMMYFUNCTION("""COMPUTED_VALUE"""),"")</f>
        <v/>
      </c>
      <c r="J1731" s="2">
        <f>IFERROR(__xludf.DUMMYFUNCTION("""COMPUTED_VALUE"""),0.0)</f>
        <v>0</v>
      </c>
      <c r="K1731" s="5" t="str">
        <f>IFERROR(__xludf.DUMMYFUNCTION("""COMPUTED_VALUE"""),"")</f>
        <v/>
      </c>
      <c r="L1731" t="str">
        <f>IFERROR(__xludf.DUMMYFUNCTION("""COMPUTED_VALUE"""),"")</f>
        <v/>
      </c>
      <c r="M1731" t="str">
        <f>IFERROR(__xludf.DUMMYFUNCTION("""COMPUTED_VALUE"""),"")</f>
        <v/>
      </c>
      <c r="N1731" t="str">
        <f>IFERROR(__xludf.DUMMYFUNCTION("""COMPUTED_VALUE"""),"")</f>
        <v/>
      </c>
      <c r="O1731" t="str">
        <f>IFERROR(__xludf.DUMMYFUNCTION("""COMPUTED_VALUE"""),"")</f>
        <v/>
      </c>
      <c r="P1731" t="str">
        <f>IFERROR(__xludf.DUMMYFUNCTION("""COMPUTED_VALUE"""),"ID ")</f>
        <v>ID </v>
      </c>
    </row>
    <row r="1732">
      <c r="A1732" s="6" t="str">
        <f>IFERROR(__xludf.DUMMYFUNCTION("""COMPUTED_VALUE"""),"")</f>
        <v/>
      </c>
      <c r="C1732" t="str">
        <f>IFERROR(__xludf.DUMMYFUNCTION("""COMPUTED_VALUE"""),"")</f>
        <v/>
      </c>
      <c r="D1732" t="str">
        <f>IFERROR(__xludf.DUMMYFUNCTION("""COMPUTED_VALUE"""),"")</f>
        <v/>
      </c>
      <c r="E1732" t="str">
        <f>IFERROR(__xludf.DUMMYFUNCTION("""COMPUTED_VALUE"""),"")</f>
        <v/>
      </c>
      <c r="F1732" t="str">
        <f>IFERROR(__xludf.DUMMYFUNCTION("""COMPUTED_VALUE"""),"")</f>
        <v/>
      </c>
      <c r="G1732" t="str">
        <f>IFERROR(__xludf.DUMMYFUNCTION("""COMPUTED_VALUE"""),"")</f>
        <v/>
      </c>
      <c r="H1732" s="2" t="str">
        <f>IFERROR(__xludf.DUMMYFUNCTION("""COMPUTED_VALUE"""),"")</f>
        <v/>
      </c>
      <c r="I1732" s="2" t="str">
        <f>IFERROR(__xludf.DUMMYFUNCTION("""COMPUTED_VALUE"""),"")</f>
        <v/>
      </c>
      <c r="J1732" s="2">
        <f>IFERROR(__xludf.DUMMYFUNCTION("""COMPUTED_VALUE"""),0.0)</f>
        <v>0</v>
      </c>
      <c r="K1732" s="5" t="str">
        <f>IFERROR(__xludf.DUMMYFUNCTION("""COMPUTED_VALUE"""),"")</f>
        <v/>
      </c>
      <c r="L1732" t="str">
        <f>IFERROR(__xludf.DUMMYFUNCTION("""COMPUTED_VALUE"""),"")</f>
        <v/>
      </c>
      <c r="M1732" t="str">
        <f>IFERROR(__xludf.DUMMYFUNCTION("""COMPUTED_VALUE"""),"")</f>
        <v/>
      </c>
      <c r="N1732" t="str">
        <f>IFERROR(__xludf.DUMMYFUNCTION("""COMPUTED_VALUE"""),"")</f>
        <v/>
      </c>
      <c r="O1732" t="str">
        <f>IFERROR(__xludf.DUMMYFUNCTION("""COMPUTED_VALUE"""),"")</f>
        <v/>
      </c>
      <c r="P1732" t="str">
        <f>IFERROR(__xludf.DUMMYFUNCTION("""COMPUTED_VALUE"""),"ID ")</f>
        <v>ID </v>
      </c>
    </row>
    <row r="1733">
      <c r="A1733" s="6" t="str">
        <f>IFERROR(__xludf.DUMMYFUNCTION("""COMPUTED_VALUE"""),"")</f>
        <v/>
      </c>
      <c r="C1733" t="str">
        <f>IFERROR(__xludf.DUMMYFUNCTION("""COMPUTED_VALUE"""),"")</f>
        <v/>
      </c>
      <c r="D1733" t="str">
        <f>IFERROR(__xludf.DUMMYFUNCTION("""COMPUTED_VALUE"""),"")</f>
        <v/>
      </c>
      <c r="E1733" t="str">
        <f>IFERROR(__xludf.DUMMYFUNCTION("""COMPUTED_VALUE"""),"")</f>
        <v/>
      </c>
      <c r="F1733" t="str">
        <f>IFERROR(__xludf.DUMMYFUNCTION("""COMPUTED_VALUE"""),"")</f>
        <v/>
      </c>
      <c r="G1733" t="str">
        <f>IFERROR(__xludf.DUMMYFUNCTION("""COMPUTED_VALUE"""),"")</f>
        <v/>
      </c>
      <c r="H1733" s="2" t="str">
        <f>IFERROR(__xludf.DUMMYFUNCTION("""COMPUTED_VALUE"""),"")</f>
        <v/>
      </c>
      <c r="I1733" s="2" t="str">
        <f>IFERROR(__xludf.DUMMYFUNCTION("""COMPUTED_VALUE"""),"")</f>
        <v/>
      </c>
      <c r="J1733" s="2">
        <f>IFERROR(__xludf.DUMMYFUNCTION("""COMPUTED_VALUE"""),0.0)</f>
        <v>0</v>
      </c>
      <c r="K1733" s="5" t="str">
        <f>IFERROR(__xludf.DUMMYFUNCTION("""COMPUTED_VALUE"""),"")</f>
        <v/>
      </c>
      <c r="L1733" t="str">
        <f>IFERROR(__xludf.DUMMYFUNCTION("""COMPUTED_VALUE"""),"")</f>
        <v/>
      </c>
      <c r="M1733" t="str">
        <f>IFERROR(__xludf.DUMMYFUNCTION("""COMPUTED_VALUE"""),"")</f>
        <v/>
      </c>
      <c r="N1733" t="str">
        <f>IFERROR(__xludf.DUMMYFUNCTION("""COMPUTED_VALUE"""),"")</f>
        <v/>
      </c>
      <c r="O1733" t="str">
        <f>IFERROR(__xludf.DUMMYFUNCTION("""COMPUTED_VALUE"""),"")</f>
        <v/>
      </c>
      <c r="P1733" t="str">
        <f>IFERROR(__xludf.DUMMYFUNCTION("""COMPUTED_VALUE"""),"ID ")</f>
        <v>ID </v>
      </c>
    </row>
    <row r="1734">
      <c r="A1734" s="6" t="str">
        <f>IFERROR(__xludf.DUMMYFUNCTION("""COMPUTED_VALUE"""),"")</f>
        <v/>
      </c>
      <c r="C1734" t="str">
        <f>IFERROR(__xludf.DUMMYFUNCTION("""COMPUTED_VALUE"""),"")</f>
        <v/>
      </c>
      <c r="D1734" t="str">
        <f>IFERROR(__xludf.DUMMYFUNCTION("""COMPUTED_VALUE"""),"")</f>
        <v/>
      </c>
      <c r="E1734" t="str">
        <f>IFERROR(__xludf.DUMMYFUNCTION("""COMPUTED_VALUE"""),"")</f>
        <v/>
      </c>
      <c r="F1734" t="str">
        <f>IFERROR(__xludf.DUMMYFUNCTION("""COMPUTED_VALUE"""),"")</f>
        <v/>
      </c>
      <c r="G1734" t="str">
        <f>IFERROR(__xludf.DUMMYFUNCTION("""COMPUTED_VALUE"""),"")</f>
        <v/>
      </c>
      <c r="H1734" s="2" t="str">
        <f>IFERROR(__xludf.DUMMYFUNCTION("""COMPUTED_VALUE"""),"")</f>
        <v/>
      </c>
      <c r="I1734" s="2" t="str">
        <f>IFERROR(__xludf.DUMMYFUNCTION("""COMPUTED_VALUE"""),"")</f>
        <v/>
      </c>
      <c r="J1734" s="2">
        <f>IFERROR(__xludf.DUMMYFUNCTION("""COMPUTED_VALUE"""),0.0)</f>
        <v>0</v>
      </c>
      <c r="K1734" s="5" t="str">
        <f>IFERROR(__xludf.DUMMYFUNCTION("""COMPUTED_VALUE"""),"")</f>
        <v/>
      </c>
      <c r="L1734" t="str">
        <f>IFERROR(__xludf.DUMMYFUNCTION("""COMPUTED_VALUE"""),"")</f>
        <v/>
      </c>
      <c r="M1734" t="str">
        <f>IFERROR(__xludf.DUMMYFUNCTION("""COMPUTED_VALUE"""),"")</f>
        <v/>
      </c>
      <c r="N1734" t="str">
        <f>IFERROR(__xludf.DUMMYFUNCTION("""COMPUTED_VALUE"""),"")</f>
        <v/>
      </c>
      <c r="O1734" t="str">
        <f>IFERROR(__xludf.DUMMYFUNCTION("""COMPUTED_VALUE"""),"")</f>
        <v/>
      </c>
      <c r="P1734" t="str">
        <f>IFERROR(__xludf.DUMMYFUNCTION("""COMPUTED_VALUE"""),"ID ")</f>
        <v>ID </v>
      </c>
    </row>
    <row r="1735">
      <c r="A1735" s="6" t="str">
        <f>IFERROR(__xludf.DUMMYFUNCTION("""COMPUTED_VALUE"""),"")</f>
        <v/>
      </c>
      <c r="C1735" t="str">
        <f>IFERROR(__xludf.DUMMYFUNCTION("""COMPUTED_VALUE"""),"")</f>
        <v/>
      </c>
      <c r="D1735" t="str">
        <f>IFERROR(__xludf.DUMMYFUNCTION("""COMPUTED_VALUE"""),"")</f>
        <v/>
      </c>
      <c r="E1735" t="str">
        <f>IFERROR(__xludf.DUMMYFUNCTION("""COMPUTED_VALUE"""),"")</f>
        <v/>
      </c>
      <c r="F1735" t="str">
        <f>IFERROR(__xludf.DUMMYFUNCTION("""COMPUTED_VALUE"""),"")</f>
        <v/>
      </c>
      <c r="G1735" t="str">
        <f>IFERROR(__xludf.DUMMYFUNCTION("""COMPUTED_VALUE"""),"")</f>
        <v/>
      </c>
      <c r="H1735" s="2" t="str">
        <f>IFERROR(__xludf.DUMMYFUNCTION("""COMPUTED_VALUE"""),"")</f>
        <v/>
      </c>
      <c r="I1735" s="2" t="str">
        <f>IFERROR(__xludf.DUMMYFUNCTION("""COMPUTED_VALUE"""),"")</f>
        <v/>
      </c>
      <c r="J1735" s="2">
        <f>IFERROR(__xludf.DUMMYFUNCTION("""COMPUTED_VALUE"""),0.0)</f>
        <v>0</v>
      </c>
      <c r="K1735" s="5" t="str">
        <f>IFERROR(__xludf.DUMMYFUNCTION("""COMPUTED_VALUE"""),"")</f>
        <v/>
      </c>
      <c r="L1735" t="str">
        <f>IFERROR(__xludf.DUMMYFUNCTION("""COMPUTED_VALUE"""),"")</f>
        <v/>
      </c>
      <c r="M1735" t="str">
        <f>IFERROR(__xludf.DUMMYFUNCTION("""COMPUTED_VALUE"""),"")</f>
        <v/>
      </c>
      <c r="N1735" t="str">
        <f>IFERROR(__xludf.DUMMYFUNCTION("""COMPUTED_VALUE"""),"")</f>
        <v/>
      </c>
      <c r="O1735" t="str">
        <f>IFERROR(__xludf.DUMMYFUNCTION("""COMPUTED_VALUE"""),"")</f>
        <v/>
      </c>
      <c r="P1735" t="str">
        <f>IFERROR(__xludf.DUMMYFUNCTION("""COMPUTED_VALUE"""),"ID ")</f>
        <v>ID </v>
      </c>
    </row>
    <row r="1736">
      <c r="A1736" s="6" t="str">
        <f>IFERROR(__xludf.DUMMYFUNCTION("""COMPUTED_VALUE"""),"")</f>
        <v/>
      </c>
      <c r="C1736" t="str">
        <f>IFERROR(__xludf.DUMMYFUNCTION("""COMPUTED_VALUE"""),"")</f>
        <v/>
      </c>
      <c r="D1736" t="str">
        <f>IFERROR(__xludf.DUMMYFUNCTION("""COMPUTED_VALUE"""),"")</f>
        <v/>
      </c>
      <c r="E1736" t="str">
        <f>IFERROR(__xludf.DUMMYFUNCTION("""COMPUTED_VALUE"""),"")</f>
        <v/>
      </c>
      <c r="F1736" t="str">
        <f>IFERROR(__xludf.DUMMYFUNCTION("""COMPUTED_VALUE"""),"")</f>
        <v/>
      </c>
      <c r="G1736" t="str">
        <f>IFERROR(__xludf.DUMMYFUNCTION("""COMPUTED_VALUE"""),"")</f>
        <v/>
      </c>
      <c r="H1736" s="2" t="str">
        <f>IFERROR(__xludf.DUMMYFUNCTION("""COMPUTED_VALUE"""),"")</f>
        <v/>
      </c>
      <c r="I1736" s="2" t="str">
        <f>IFERROR(__xludf.DUMMYFUNCTION("""COMPUTED_VALUE"""),"")</f>
        <v/>
      </c>
      <c r="J1736" s="2">
        <f>IFERROR(__xludf.DUMMYFUNCTION("""COMPUTED_VALUE"""),0.0)</f>
        <v>0</v>
      </c>
      <c r="K1736" s="5" t="str">
        <f>IFERROR(__xludf.DUMMYFUNCTION("""COMPUTED_VALUE"""),"")</f>
        <v/>
      </c>
      <c r="L1736" t="str">
        <f>IFERROR(__xludf.DUMMYFUNCTION("""COMPUTED_VALUE"""),"")</f>
        <v/>
      </c>
      <c r="M1736" t="str">
        <f>IFERROR(__xludf.DUMMYFUNCTION("""COMPUTED_VALUE"""),"")</f>
        <v/>
      </c>
      <c r="N1736" t="str">
        <f>IFERROR(__xludf.DUMMYFUNCTION("""COMPUTED_VALUE"""),"")</f>
        <v/>
      </c>
      <c r="O1736" t="str">
        <f>IFERROR(__xludf.DUMMYFUNCTION("""COMPUTED_VALUE"""),"")</f>
        <v/>
      </c>
      <c r="P1736" t="str">
        <f>IFERROR(__xludf.DUMMYFUNCTION("""COMPUTED_VALUE"""),"ID ")</f>
        <v>ID </v>
      </c>
    </row>
    <row r="1737">
      <c r="A1737" s="6" t="str">
        <f>IFERROR(__xludf.DUMMYFUNCTION("""COMPUTED_VALUE"""),"")</f>
        <v/>
      </c>
      <c r="C1737" t="str">
        <f>IFERROR(__xludf.DUMMYFUNCTION("""COMPUTED_VALUE"""),"")</f>
        <v/>
      </c>
      <c r="D1737" t="str">
        <f>IFERROR(__xludf.DUMMYFUNCTION("""COMPUTED_VALUE"""),"")</f>
        <v/>
      </c>
      <c r="E1737" t="str">
        <f>IFERROR(__xludf.DUMMYFUNCTION("""COMPUTED_VALUE"""),"")</f>
        <v/>
      </c>
      <c r="F1737" t="str">
        <f>IFERROR(__xludf.DUMMYFUNCTION("""COMPUTED_VALUE"""),"")</f>
        <v/>
      </c>
      <c r="G1737" t="str">
        <f>IFERROR(__xludf.DUMMYFUNCTION("""COMPUTED_VALUE"""),"")</f>
        <v/>
      </c>
      <c r="H1737" s="2" t="str">
        <f>IFERROR(__xludf.DUMMYFUNCTION("""COMPUTED_VALUE"""),"")</f>
        <v/>
      </c>
      <c r="I1737" s="2" t="str">
        <f>IFERROR(__xludf.DUMMYFUNCTION("""COMPUTED_VALUE"""),"")</f>
        <v/>
      </c>
      <c r="J1737" s="2">
        <f>IFERROR(__xludf.DUMMYFUNCTION("""COMPUTED_VALUE"""),0.0)</f>
        <v>0</v>
      </c>
      <c r="K1737" s="5" t="str">
        <f>IFERROR(__xludf.DUMMYFUNCTION("""COMPUTED_VALUE"""),"")</f>
        <v/>
      </c>
      <c r="L1737" t="str">
        <f>IFERROR(__xludf.DUMMYFUNCTION("""COMPUTED_VALUE"""),"")</f>
        <v/>
      </c>
      <c r="M1737" t="str">
        <f>IFERROR(__xludf.DUMMYFUNCTION("""COMPUTED_VALUE"""),"")</f>
        <v/>
      </c>
      <c r="N1737" t="str">
        <f>IFERROR(__xludf.DUMMYFUNCTION("""COMPUTED_VALUE"""),"")</f>
        <v/>
      </c>
      <c r="O1737" t="str">
        <f>IFERROR(__xludf.DUMMYFUNCTION("""COMPUTED_VALUE"""),"")</f>
        <v/>
      </c>
      <c r="P1737" t="str">
        <f>IFERROR(__xludf.DUMMYFUNCTION("""COMPUTED_VALUE"""),"ID ")</f>
        <v>ID </v>
      </c>
    </row>
    <row r="1738">
      <c r="A1738" s="6" t="str">
        <f>IFERROR(__xludf.DUMMYFUNCTION("""COMPUTED_VALUE"""),"")</f>
        <v/>
      </c>
      <c r="C1738" t="str">
        <f>IFERROR(__xludf.DUMMYFUNCTION("""COMPUTED_VALUE"""),"")</f>
        <v/>
      </c>
      <c r="D1738" t="str">
        <f>IFERROR(__xludf.DUMMYFUNCTION("""COMPUTED_VALUE"""),"")</f>
        <v/>
      </c>
      <c r="E1738" t="str">
        <f>IFERROR(__xludf.DUMMYFUNCTION("""COMPUTED_VALUE"""),"")</f>
        <v/>
      </c>
      <c r="F1738" t="str">
        <f>IFERROR(__xludf.DUMMYFUNCTION("""COMPUTED_VALUE"""),"")</f>
        <v/>
      </c>
      <c r="G1738" t="str">
        <f>IFERROR(__xludf.DUMMYFUNCTION("""COMPUTED_VALUE"""),"")</f>
        <v/>
      </c>
      <c r="H1738" s="2" t="str">
        <f>IFERROR(__xludf.DUMMYFUNCTION("""COMPUTED_VALUE"""),"")</f>
        <v/>
      </c>
      <c r="I1738" s="2" t="str">
        <f>IFERROR(__xludf.DUMMYFUNCTION("""COMPUTED_VALUE"""),"")</f>
        <v/>
      </c>
      <c r="J1738" s="2">
        <f>IFERROR(__xludf.DUMMYFUNCTION("""COMPUTED_VALUE"""),0.0)</f>
        <v>0</v>
      </c>
      <c r="K1738" s="5" t="str">
        <f>IFERROR(__xludf.DUMMYFUNCTION("""COMPUTED_VALUE"""),"")</f>
        <v/>
      </c>
      <c r="L1738" t="str">
        <f>IFERROR(__xludf.DUMMYFUNCTION("""COMPUTED_VALUE"""),"")</f>
        <v/>
      </c>
      <c r="M1738" t="str">
        <f>IFERROR(__xludf.DUMMYFUNCTION("""COMPUTED_VALUE"""),"")</f>
        <v/>
      </c>
      <c r="N1738" t="str">
        <f>IFERROR(__xludf.DUMMYFUNCTION("""COMPUTED_VALUE"""),"")</f>
        <v/>
      </c>
      <c r="O1738" t="str">
        <f>IFERROR(__xludf.DUMMYFUNCTION("""COMPUTED_VALUE"""),"")</f>
        <v/>
      </c>
      <c r="P1738" t="str">
        <f>IFERROR(__xludf.DUMMYFUNCTION("""COMPUTED_VALUE"""),"ID ")</f>
        <v>ID </v>
      </c>
    </row>
    <row r="1739">
      <c r="A1739" s="6" t="str">
        <f>IFERROR(__xludf.DUMMYFUNCTION("""COMPUTED_VALUE"""),"")</f>
        <v/>
      </c>
      <c r="C1739" t="str">
        <f>IFERROR(__xludf.DUMMYFUNCTION("""COMPUTED_VALUE"""),"")</f>
        <v/>
      </c>
      <c r="D1739" t="str">
        <f>IFERROR(__xludf.DUMMYFUNCTION("""COMPUTED_VALUE"""),"")</f>
        <v/>
      </c>
      <c r="E1739" t="str">
        <f>IFERROR(__xludf.DUMMYFUNCTION("""COMPUTED_VALUE"""),"")</f>
        <v/>
      </c>
      <c r="F1739" t="str">
        <f>IFERROR(__xludf.DUMMYFUNCTION("""COMPUTED_VALUE"""),"")</f>
        <v/>
      </c>
      <c r="G1739" t="str">
        <f>IFERROR(__xludf.DUMMYFUNCTION("""COMPUTED_VALUE"""),"")</f>
        <v/>
      </c>
      <c r="H1739" s="2" t="str">
        <f>IFERROR(__xludf.DUMMYFUNCTION("""COMPUTED_VALUE"""),"")</f>
        <v/>
      </c>
      <c r="I1739" s="2" t="str">
        <f>IFERROR(__xludf.DUMMYFUNCTION("""COMPUTED_VALUE"""),"")</f>
        <v/>
      </c>
      <c r="J1739" s="2">
        <f>IFERROR(__xludf.DUMMYFUNCTION("""COMPUTED_VALUE"""),0.0)</f>
        <v>0</v>
      </c>
      <c r="K1739" s="5" t="str">
        <f>IFERROR(__xludf.DUMMYFUNCTION("""COMPUTED_VALUE"""),"")</f>
        <v/>
      </c>
      <c r="L1739" t="str">
        <f>IFERROR(__xludf.DUMMYFUNCTION("""COMPUTED_VALUE"""),"")</f>
        <v/>
      </c>
      <c r="M1739" t="str">
        <f>IFERROR(__xludf.DUMMYFUNCTION("""COMPUTED_VALUE"""),"")</f>
        <v/>
      </c>
      <c r="N1739" t="str">
        <f>IFERROR(__xludf.DUMMYFUNCTION("""COMPUTED_VALUE"""),"")</f>
        <v/>
      </c>
      <c r="O1739" t="str">
        <f>IFERROR(__xludf.DUMMYFUNCTION("""COMPUTED_VALUE"""),"")</f>
        <v/>
      </c>
      <c r="P1739" t="str">
        <f>IFERROR(__xludf.DUMMYFUNCTION("""COMPUTED_VALUE"""),"ID ")</f>
        <v>ID </v>
      </c>
    </row>
    <row r="1740">
      <c r="A1740" s="6" t="str">
        <f>IFERROR(__xludf.DUMMYFUNCTION("""COMPUTED_VALUE"""),"")</f>
        <v/>
      </c>
      <c r="C1740" t="str">
        <f>IFERROR(__xludf.DUMMYFUNCTION("""COMPUTED_VALUE"""),"")</f>
        <v/>
      </c>
      <c r="D1740" t="str">
        <f>IFERROR(__xludf.DUMMYFUNCTION("""COMPUTED_VALUE"""),"")</f>
        <v/>
      </c>
      <c r="E1740" t="str">
        <f>IFERROR(__xludf.DUMMYFUNCTION("""COMPUTED_VALUE"""),"")</f>
        <v/>
      </c>
      <c r="F1740" t="str">
        <f>IFERROR(__xludf.DUMMYFUNCTION("""COMPUTED_VALUE"""),"")</f>
        <v/>
      </c>
      <c r="G1740" t="str">
        <f>IFERROR(__xludf.DUMMYFUNCTION("""COMPUTED_VALUE"""),"")</f>
        <v/>
      </c>
      <c r="H1740" s="2" t="str">
        <f>IFERROR(__xludf.DUMMYFUNCTION("""COMPUTED_VALUE"""),"")</f>
        <v/>
      </c>
      <c r="I1740" s="2" t="str">
        <f>IFERROR(__xludf.DUMMYFUNCTION("""COMPUTED_VALUE"""),"")</f>
        <v/>
      </c>
      <c r="J1740" s="2">
        <f>IFERROR(__xludf.DUMMYFUNCTION("""COMPUTED_VALUE"""),0.0)</f>
        <v>0</v>
      </c>
      <c r="K1740" s="5" t="str">
        <f>IFERROR(__xludf.DUMMYFUNCTION("""COMPUTED_VALUE"""),"")</f>
        <v/>
      </c>
      <c r="L1740" t="str">
        <f>IFERROR(__xludf.DUMMYFUNCTION("""COMPUTED_VALUE"""),"")</f>
        <v/>
      </c>
      <c r="M1740" t="str">
        <f>IFERROR(__xludf.DUMMYFUNCTION("""COMPUTED_VALUE"""),"")</f>
        <v/>
      </c>
      <c r="N1740" t="str">
        <f>IFERROR(__xludf.DUMMYFUNCTION("""COMPUTED_VALUE"""),"")</f>
        <v/>
      </c>
      <c r="O1740" t="str">
        <f>IFERROR(__xludf.DUMMYFUNCTION("""COMPUTED_VALUE"""),"")</f>
        <v/>
      </c>
      <c r="P1740" t="str">
        <f>IFERROR(__xludf.DUMMYFUNCTION("""COMPUTED_VALUE"""),"ID ")</f>
        <v>ID </v>
      </c>
    </row>
    <row r="1741">
      <c r="A1741" s="6" t="str">
        <f>IFERROR(__xludf.DUMMYFUNCTION("""COMPUTED_VALUE"""),"")</f>
        <v/>
      </c>
      <c r="C1741" t="str">
        <f>IFERROR(__xludf.DUMMYFUNCTION("""COMPUTED_VALUE"""),"")</f>
        <v/>
      </c>
      <c r="D1741" t="str">
        <f>IFERROR(__xludf.DUMMYFUNCTION("""COMPUTED_VALUE"""),"")</f>
        <v/>
      </c>
      <c r="E1741" t="str">
        <f>IFERROR(__xludf.DUMMYFUNCTION("""COMPUTED_VALUE"""),"")</f>
        <v/>
      </c>
      <c r="F1741" t="str">
        <f>IFERROR(__xludf.DUMMYFUNCTION("""COMPUTED_VALUE"""),"")</f>
        <v/>
      </c>
      <c r="G1741" t="str">
        <f>IFERROR(__xludf.DUMMYFUNCTION("""COMPUTED_VALUE"""),"")</f>
        <v/>
      </c>
      <c r="H1741" s="2" t="str">
        <f>IFERROR(__xludf.DUMMYFUNCTION("""COMPUTED_VALUE"""),"")</f>
        <v/>
      </c>
      <c r="I1741" s="2" t="str">
        <f>IFERROR(__xludf.DUMMYFUNCTION("""COMPUTED_VALUE"""),"")</f>
        <v/>
      </c>
      <c r="J1741" s="2">
        <f>IFERROR(__xludf.DUMMYFUNCTION("""COMPUTED_VALUE"""),0.0)</f>
        <v>0</v>
      </c>
      <c r="K1741" s="5" t="str">
        <f>IFERROR(__xludf.DUMMYFUNCTION("""COMPUTED_VALUE"""),"")</f>
        <v/>
      </c>
      <c r="L1741" t="str">
        <f>IFERROR(__xludf.DUMMYFUNCTION("""COMPUTED_VALUE"""),"")</f>
        <v/>
      </c>
      <c r="M1741" t="str">
        <f>IFERROR(__xludf.DUMMYFUNCTION("""COMPUTED_VALUE"""),"")</f>
        <v/>
      </c>
      <c r="N1741" t="str">
        <f>IFERROR(__xludf.DUMMYFUNCTION("""COMPUTED_VALUE"""),"")</f>
        <v/>
      </c>
      <c r="O1741" t="str">
        <f>IFERROR(__xludf.DUMMYFUNCTION("""COMPUTED_VALUE"""),"")</f>
        <v/>
      </c>
      <c r="P1741" t="str">
        <f>IFERROR(__xludf.DUMMYFUNCTION("""COMPUTED_VALUE"""),"ID ")</f>
        <v>ID </v>
      </c>
    </row>
    <row r="1742">
      <c r="A1742" s="6" t="str">
        <f>IFERROR(__xludf.DUMMYFUNCTION("""COMPUTED_VALUE"""),"")</f>
        <v/>
      </c>
      <c r="C1742" t="str">
        <f>IFERROR(__xludf.DUMMYFUNCTION("""COMPUTED_VALUE"""),"")</f>
        <v/>
      </c>
      <c r="D1742" t="str">
        <f>IFERROR(__xludf.DUMMYFUNCTION("""COMPUTED_VALUE"""),"")</f>
        <v/>
      </c>
      <c r="E1742" t="str">
        <f>IFERROR(__xludf.DUMMYFUNCTION("""COMPUTED_VALUE"""),"")</f>
        <v/>
      </c>
      <c r="F1742" t="str">
        <f>IFERROR(__xludf.DUMMYFUNCTION("""COMPUTED_VALUE"""),"")</f>
        <v/>
      </c>
      <c r="G1742" t="str">
        <f>IFERROR(__xludf.DUMMYFUNCTION("""COMPUTED_VALUE"""),"")</f>
        <v/>
      </c>
      <c r="H1742" s="2" t="str">
        <f>IFERROR(__xludf.DUMMYFUNCTION("""COMPUTED_VALUE"""),"")</f>
        <v/>
      </c>
      <c r="I1742" s="2" t="str">
        <f>IFERROR(__xludf.DUMMYFUNCTION("""COMPUTED_VALUE"""),"")</f>
        <v/>
      </c>
      <c r="J1742" s="2">
        <f>IFERROR(__xludf.DUMMYFUNCTION("""COMPUTED_VALUE"""),0.0)</f>
        <v>0</v>
      </c>
      <c r="K1742" s="5" t="str">
        <f>IFERROR(__xludf.DUMMYFUNCTION("""COMPUTED_VALUE"""),"")</f>
        <v/>
      </c>
      <c r="L1742" t="str">
        <f>IFERROR(__xludf.DUMMYFUNCTION("""COMPUTED_VALUE"""),"")</f>
        <v/>
      </c>
      <c r="M1742" t="str">
        <f>IFERROR(__xludf.DUMMYFUNCTION("""COMPUTED_VALUE"""),"")</f>
        <v/>
      </c>
      <c r="N1742" t="str">
        <f>IFERROR(__xludf.DUMMYFUNCTION("""COMPUTED_VALUE"""),"")</f>
        <v/>
      </c>
      <c r="O1742" t="str">
        <f>IFERROR(__xludf.DUMMYFUNCTION("""COMPUTED_VALUE"""),"")</f>
        <v/>
      </c>
      <c r="P1742" t="str">
        <f>IFERROR(__xludf.DUMMYFUNCTION("""COMPUTED_VALUE"""),"ID ")</f>
        <v>ID </v>
      </c>
    </row>
    <row r="1743">
      <c r="A1743" s="6" t="str">
        <f>IFERROR(__xludf.DUMMYFUNCTION("""COMPUTED_VALUE"""),"")</f>
        <v/>
      </c>
      <c r="C1743" t="str">
        <f>IFERROR(__xludf.DUMMYFUNCTION("""COMPUTED_VALUE"""),"")</f>
        <v/>
      </c>
      <c r="D1743" t="str">
        <f>IFERROR(__xludf.DUMMYFUNCTION("""COMPUTED_VALUE"""),"")</f>
        <v/>
      </c>
      <c r="E1743" t="str">
        <f>IFERROR(__xludf.DUMMYFUNCTION("""COMPUTED_VALUE"""),"")</f>
        <v/>
      </c>
      <c r="F1743" t="str">
        <f>IFERROR(__xludf.DUMMYFUNCTION("""COMPUTED_VALUE"""),"")</f>
        <v/>
      </c>
      <c r="G1743" t="str">
        <f>IFERROR(__xludf.DUMMYFUNCTION("""COMPUTED_VALUE"""),"")</f>
        <v/>
      </c>
      <c r="H1743" s="2" t="str">
        <f>IFERROR(__xludf.DUMMYFUNCTION("""COMPUTED_VALUE"""),"")</f>
        <v/>
      </c>
      <c r="I1743" s="2" t="str">
        <f>IFERROR(__xludf.DUMMYFUNCTION("""COMPUTED_VALUE"""),"")</f>
        <v/>
      </c>
      <c r="J1743" s="2">
        <f>IFERROR(__xludf.DUMMYFUNCTION("""COMPUTED_VALUE"""),0.0)</f>
        <v>0</v>
      </c>
      <c r="K1743" s="5" t="str">
        <f>IFERROR(__xludf.DUMMYFUNCTION("""COMPUTED_VALUE"""),"")</f>
        <v/>
      </c>
      <c r="L1743" t="str">
        <f>IFERROR(__xludf.DUMMYFUNCTION("""COMPUTED_VALUE"""),"")</f>
        <v/>
      </c>
      <c r="M1743" t="str">
        <f>IFERROR(__xludf.DUMMYFUNCTION("""COMPUTED_VALUE"""),"")</f>
        <v/>
      </c>
      <c r="N1743" t="str">
        <f>IFERROR(__xludf.DUMMYFUNCTION("""COMPUTED_VALUE"""),"")</f>
        <v/>
      </c>
      <c r="O1743" t="str">
        <f>IFERROR(__xludf.DUMMYFUNCTION("""COMPUTED_VALUE"""),"")</f>
        <v/>
      </c>
      <c r="P1743" t="str">
        <f>IFERROR(__xludf.DUMMYFUNCTION("""COMPUTED_VALUE"""),"ID ")</f>
        <v>ID </v>
      </c>
    </row>
    <row r="1744">
      <c r="A1744" s="6" t="str">
        <f>IFERROR(__xludf.DUMMYFUNCTION("""COMPUTED_VALUE"""),"")</f>
        <v/>
      </c>
      <c r="C1744" t="str">
        <f>IFERROR(__xludf.DUMMYFUNCTION("""COMPUTED_VALUE"""),"")</f>
        <v/>
      </c>
      <c r="D1744" t="str">
        <f>IFERROR(__xludf.DUMMYFUNCTION("""COMPUTED_VALUE"""),"")</f>
        <v/>
      </c>
      <c r="E1744" t="str">
        <f>IFERROR(__xludf.DUMMYFUNCTION("""COMPUTED_VALUE"""),"")</f>
        <v/>
      </c>
      <c r="F1744" t="str">
        <f>IFERROR(__xludf.DUMMYFUNCTION("""COMPUTED_VALUE"""),"")</f>
        <v/>
      </c>
      <c r="G1744" t="str">
        <f>IFERROR(__xludf.DUMMYFUNCTION("""COMPUTED_VALUE"""),"")</f>
        <v/>
      </c>
      <c r="H1744" s="2" t="str">
        <f>IFERROR(__xludf.DUMMYFUNCTION("""COMPUTED_VALUE"""),"")</f>
        <v/>
      </c>
      <c r="I1744" s="2" t="str">
        <f>IFERROR(__xludf.DUMMYFUNCTION("""COMPUTED_VALUE"""),"")</f>
        <v/>
      </c>
      <c r="J1744" s="2">
        <f>IFERROR(__xludf.DUMMYFUNCTION("""COMPUTED_VALUE"""),0.0)</f>
        <v>0</v>
      </c>
      <c r="K1744" s="5" t="str">
        <f>IFERROR(__xludf.DUMMYFUNCTION("""COMPUTED_VALUE"""),"")</f>
        <v/>
      </c>
      <c r="L1744" t="str">
        <f>IFERROR(__xludf.DUMMYFUNCTION("""COMPUTED_VALUE"""),"")</f>
        <v/>
      </c>
      <c r="M1744" t="str">
        <f>IFERROR(__xludf.DUMMYFUNCTION("""COMPUTED_VALUE"""),"")</f>
        <v/>
      </c>
      <c r="N1744" t="str">
        <f>IFERROR(__xludf.DUMMYFUNCTION("""COMPUTED_VALUE"""),"")</f>
        <v/>
      </c>
      <c r="O1744" t="str">
        <f>IFERROR(__xludf.DUMMYFUNCTION("""COMPUTED_VALUE"""),"")</f>
        <v/>
      </c>
      <c r="P1744" t="str">
        <f>IFERROR(__xludf.DUMMYFUNCTION("""COMPUTED_VALUE"""),"ID ")</f>
        <v>ID </v>
      </c>
    </row>
    <row r="1745">
      <c r="A1745" s="6" t="str">
        <f>IFERROR(__xludf.DUMMYFUNCTION("""COMPUTED_VALUE"""),"")</f>
        <v/>
      </c>
      <c r="C1745" t="str">
        <f>IFERROR(__xludf.DUMMYFUNCTION("""COMPUTED_VALUE"""),"")</f>
        <v/>
      </c>
      <c r="D1745" t="str">
        <f>IFERROR(__xludf.DUMMYFUNCTION("""COMPUTED_VALUE"""),"")</f>
        <v/>
      </c>
      <c r="E1745" t="str">
        <f>IFERROR(__xludf.DUMMYFUNCTION("""COMPUTED_VALUE"""),"")</f>
        <v/>
      </c>
      <c r="F1745" t="str">
        <f>IFERROR(__xludf.DUMMYFUNCTION("""COMPUTED_VALUE"""),"")</f>
        <v/>
      </c>
      <c r="G1745" t="str">
        <f>IFERROR(__xludf.DUMMYFUNCTION("""COMPUTED_VALUE"""),"")</f>
        <v/>
      </c>
      <c r="H1745" s="2" t="str">
        <f>IFERROR(__xludf.DUMMYFUNCTION("""COMPUTED_VALUE"""),"")</f>
        <v/>
      </c>
      <c r="I1745" s="2" t="str">
        <f>IFERROR(__xludf.DUMMYFUNCTION("""COMPUTED_VALUE"""),"")</f>
        <v/>
      </c>
      <c r="J1745" s="2">
        <f>IFERROR(__xludf.DUMMYFUNCTION("""COMPUTED_VALUE"""),0.0)</f>
        <v>0</v>
      </c>
      <c r="K1745" s="5" t="str">
        <f>IFERROR(__xludf.DUMMYFUNCTION("""COMPUTED_VALUE"""),"")</f>
        <v/>
      </c>
      <c r="L1745" t="str">
        <f>IFERROR(__xludf.DUMMYFUNCTION("""COMPUTED_VALUE"""),"")</f>
        <v/>
      </c>
      <c r="M1745" t="str">
        <f>IFERROR(__xludf.DUMMYFUNCTION("""COMPUTED_VALUE"""),"")</f>
        <v/>
      </c>
      <c r="N1745" t="str">
        <f>IFERROR(__xludf.DUMMYFUNCTION("""COMPUTED_VALUE"""),"")</f>
        <v/>
      </c>
      <c r="O1745" t="str">
        <f>IFERROR(__xludf.DUMMYFUNCTION("""COMPUTED_VALUE"""),"")</f>
        <v/>
      </c>
      <c r="P1745" t="str">
        <f>IFERROR(__xludf.DUMMYFUNCTION("""COMPUTED_VALUE"""),"ID ")</f>
        <v>ID </v>
      </c>
    </row>
    <row r="1746">
      <c r="A1746" s="6" t="str">
        <f>IFERROR(__xludf.DUMMYFUNCTION("""COMPUTED_VALUE"""),"")</f>
        <v/>
      </c>
      <c r="C1746" t="str">
        <f>IFERROR(__xludf.DUMMYFUNCTION("""COMPUTED_VALUE"""),"")</f>
        <v/>
      </c>
      <c r="D1746" t="str">
        <f>IFERROR(__xludf.DUMMYFUNCTION("""COMPUTED_VALUE"""),"")</f>
        <v/>
      </c>
      <c r="E1746" t="str">
        <f>IFERROR(__xludf.DUMMYFUNCTION("""COMPUTED_VALUE"""),"")</f>
        <v/>
      </c>
      <c r="F1746" t="str">
        <f>IFERROR(__xludf.DUMMYFUNCTION("""COMPUTED_VALUE"""),"")</f>
        <v/>
      </c>
      <c r="G1746" t="str">
        <f>IFERROR(__xludf.DUMMYFUNCTION("""COMPUTED_VALUE"""),"")</f>
        <v/>
      </c>
      <c r="H1746" s="2" t="str">
        <f>IFERROR(__xludf.DUMMYFUNCTION("""COMPUTED_VALUE"""),"")</f>
        <v/>
      </c>
      <c r="I1746" s="2" t="str">
        <f>IFERROR(__xludf.DUMMYFUNCTION("""COMPUTED_VALUE"""),"")</f>
        <v/>
      </c>
      <c r="J1746" s="2">
        <f>IFERROR(__xludf.DUMMYFUNCTION("""COMPUTED_VALUE"""),0.0)</f>
        <v>0</v>
      </c>
      <c r="K1746" s="5" t="str">
        <f>IFERROR(__xludf.DUMMYFUNCTION("""COMPUTED_VALUE"""),"")</f>
        <v/>
      </c>
      <c r="L1746" t="str">
        <f>IFERROR(__xludf.DUMMYFUNCTION("""COMPUTED_VALUE"""),"")</f>
        <v/>
      </c>
      <c r="M1746" t="str">
        <f>IFERROR(__xludf.DUMMYFUNCTION("""COMPUTED_VALUE"""),"")</f>
        <v/>
      </c>
      <c r="N1746" t="str">
        <f>IFERROR(__xludf.DUMMYFUNCTION("""COMPUTED_VALUE"""),"")</f>
        <v/>
      </c>
      <c r="O1746" t="str">
        <f>IFERROR(__xludf.DUMMYFUNCTION("""COMPUTED_VALUE"""),"")</f>
        <v/>
      </c>
      <c r="P1746" t="str">
        <f>IFERROR(__xludf.DUMMYFUNCTION("""COMPUTED_VALUE"""),"ID ")</f>
        <v>ID </v>
      </c>
    </row>
    <row r="1747">
      <c r="A1747" s="6" t="str">
        <f>IFERROR(__xludf.DUMMYFUNCTION("""COMPUTED_VALUE"""),"")</f>
        <v/>
      </c>
      <c r="C1747" t="str">
        <f>IFERROR(__xludf.DUMMYFUNCTION("""COMPUTED_VALUE"""),"")</f>
        <v/>
      </c>
      <c r="D1747" t="str">
        <f>IFERROR(__xludf.DUMMYFUNCTION("""COMPUTED_VALUE"""),"")</f>
        <v/>
      </c>
      <c r="E1747" t="str">
        <f>IFERROR(__xludf.DUMMYFUNCTION("""COMPUTED_VALUE"""),"")</f>
        <v/>
      </c>
      <c r="F1747" t="str">
        <f>IFERROR(__xludf.DUMMYFUNCTION("""COMPUTED_VALUE"""),"")</f>
        <v/>
      </c>
      <c r="G1747" t="str">
        <f>IFERROR(__xludf.DUMMYFUNCTION("""COMPUTED_VALUE"""),"")</f>
        <v/>
      </c>
      <c r="H1747" s="2" t="str">
        <f>IFERROR(__xludf.DUMMYFUNCTION("""COMPUTED_VALUE"""),"")</f>
        <v/>
      </c>
      <c r="I1747" s="2" t="str">
        <f>IFERROR(__xludf.DUMMYFUNCTION("""COMPUTED_VALUE"""),"")</f>
        <v/>
      </c>
      <c r="J1747" s="2">
        <f>IFERROR(__xludf.DUMMYFUNCTION("""COMPUTED_VALUE"""),0.0)</f>
        <v>0</v>
      </c>
      <c r="K1747" s="5" t="str">
        <f>IFERROR(__xludf.DUMMYFUNCTION("""COMPUTED_VALUE"""),"")</f>
        <v/>
      </c>
      <c r="L1747" t="str">
        <f>IFERROR(__xludf.DUMMYFUNCTION("""COMPUTED_VALUE"""),"")</f>
        <v/>
      </c>
      <c r="M1747" t="str">
        <f>IFERROR(__xludf.DUMMYFUNCTION("""COMPUTED_VALUE"""),"")</f>
        <v/>
      </c>
      <c r="N1747" t="str">
        <f>IFERROR(__xludf.DUMMYFUNCTION("""COMPUTED_VALUE"""),"")</f>
        <v/>
      </c>
      <c r="O1747" t="str">
        <f>IFERROR(__xludf.DUMMYFUNCTION("""COMPUTED_VALUE"""),"")</f>
        <v/>
      </c>
      <c r="P1747" t="str">
        <f>IFERROR(__xludf.DUMMYFUNCTION("""COMPUTED_VALUE"""),"ID ")</f>
        <v>ID </v>
      </c>
    </row>
    <row r="1748">
      <c r="A1748" s="6" t="str">
        <f>IFERROR(__xludf.DUMMYFUNCTION("""COMPUTED_VALUE"""),"")</f>
        <v/>
      </c>
      <c r="C1748" t="str">
        <f>IFERROR(__xludf.DUMMYFUNCTION("""COMPUTED_VALUE"""),"")</f>
        <v/>
      </c>
      <c r="D1748" t="str">
        <f>IFERROR(__xludf.DUMMYFUNCTION("""COMPUTED_VALUE"""),"")</f>
        <v/>
      </c>
      <c r="E1748" t="str">
        <f>IFERROR(__xludf.DUMMYFUNCTION("""COMPUTED_VALUE"""),"")</f>
        <v/>
      </c>
      <c r="F1748" t="str">
        <f>IFERROR(__xludf.DUMMYFUNCTION("""COMPUTED_VALUE"""),"")</f>
        <v/>
      </c>
      <c r="G1748" t="str">
        <f>IFERROR(__xludf.DUMMYFUNCTION("""COMPUTED_VALUE"""),"")</f>
        <v/>
      </c>
      <c r="H1748" s="2" t="str">
        <f>IFERROR(__xludf.DUMMYFUNCTION("""COMPUTED_VALUE"""),"")</f>
        <v/>
      </c>
      <c r="I1748" s="2" t="str">
        <f>IFERROR(__xludf.DUMMYFUNCTION("""COMPUTED_VALUE"""),"")</f>
        <v/>
      </c>
      <c r="J1748" s="2">
        <f>IFERROR(__xludf.DUMMYFUNCTION("""COMPUTED_VALUE"""),0.0)</f>
        <v>0</v>
      </c>
      <c r="K1748" s="5" t="str">
        <f>IFERROR(__xludf.DUMMYFUNCTION("""COMPUTED_VALUE"""),"")</f>
        <v/>
      </c>
      <c r="L1748" t="str">
        <f>IFERROR(__xludf.DUMMYFUNCTION("""COMPUTED_VALUE"""),"")</f>
        <v/>
      </c>
      <c r="M1748" t="str">
        <f>IFERROR(__xludf.DUMMYFUNCTION("""COMPUTED_VALUE"""),"")</f>
        <v/>
      </c>
      <c r="N1748" t="str">
        <f>IFERROR(__xludf.DUMMYFUNCTION("""COMPUTED_VALUE"""),"")</f>
        <v/>
      </c>
      <c r="O1748" t="str">
        <f>IFERROR(__xludf.DUMMYFUNCTION("""COMPUTED_VALUE"""),"")</f>
        <v/>
      </c>
      <c r="P1748" t="str">
        <f>IFERROR(__xludf.DUMMYFUNCTION("""COMPUTED_VALUE"""),"ID ")</f>
        <v>ID </v>
      </c>
    </row>
    <row r="1749">
      <c r="A1749" s="6" t="str">
        <f>IFERROR(__xludf.DUMMYFUNCTION("""COMPUTED_VALUE"""),"")</f>
        <v/>
      </c>
      <c r="C1749" t="str">
        <f>IFERROR(__xludf.DUMMYFUNCTION("""COMPUTED_VALUE"""),"")</f>
        <v/>
      </c>
      <c r="D1749" t="str">
        <f>IFERROR(__xludf.DUMMYFUNCTION("""COMPUTED_VALUE"""),"")</f>
        <v/>
      </c>
      <c r="E1749" t="str">
        <f>IFERROR(__xludf.DUMMYFUNCTION("""COMPUTED_VALUE"""),"")</f>
        <v/>
      </c>
      <c r="F1749" t="str">
        <f>IFERROR(__xludf.DUMMYFUNCTION("""COMPUTED_VALUE"""),"")</f>
        <v/>
      </c>
      <c r="G1749" t="str">
        <f>IFERROR(__xludf.DUMMYFUNCTION("""COMPUTED_VALUE"""),"")</f>
        <v/>
      </c>
      <c r="H1749" s="2" t="str">
        <f>IFERROR(__xludf.DUMMYFUNCTION("""COMPUTED_VALUE"""),"")</f>
        <v/>
      </c>
      <c r="I1749" s="2" t="str">
        <f>IFERROR(__xludf.DUMMYFUNCTION("""COMPUTED_VALUE"""),"")</f>
        <v/>
      </c>
      <c r="J1749" s="2">
        <f>IFERROR(__xludf.DUMMYFUNCTION("""COMPUTED_VALUE"""),0.0)</f>
        <v>0</v>
      </c>
      <c r="K1749" s="5" t="str">
        <f>IFERROR(__xludf.DUMMYFUNCTION("""COMPUTED_VALUE"""),"")</f>
        <v/>
      </c>
      <c r="L1749" t="str">
        <f>IFERROR(__xludf.DUMMYFUNCTION("""COMPUTED_VALUE"""),"")</f>
        <v/>
      </c>
      <c r="M1749" t="str">
        <f>IFERROR(__xludf.DUMMYFUNCTION("""COMPUTED_VALUE"""),"")</f>
        <v/>
      </c>
      <c r="N1749" t="str">
        <f>IFERROR(__xludf.DUMMYFUNCTION("""COMPUTED_VALUE"""),"")</f>
        <v/>
      </c>
      <c r="O1749" t="str">
        <f>IFERROR(__xludf.DUMMYFUNCTION("""COMPUTED_VALUE"""),"")</f>
        <v/>
      </c>
      <c r="P1749" t="str">
        <f>IFERROR(__xludf.DUMMYFUNCTION("""COMPUTED_VALUE"""),"ID ")</f>
        <v>ID </v>
      </c>
    </row>
    <row r="1750">
      <c r="A1750" s="6" t="str">
        <f>IFERROR(__xludf.DUMMYFUNCTION("""COMPUTED_VALUE"""),"")</f>
        <v/>
      </c>
      <c r="C1750" t="str">
        <f>IFERROR(__xludf.DUMMYFUNCTION("""COMPUTED_VALUE"""),"")</f>
        <v/>
      </c>
      <c r="D1750" t="str">
        <f>IFERROR(__xludf.DUMMYFUNCTION("""COMPUTED_VALUE"""),"")</f>
        <v/>
      </c>
      <c r="E1750" t="str">
        <f>IFERROR(__xludf.DUMMYFUNCTION("""COMPUTED_VALUE"""),"")</f>
        <v/>
      </c>
      <c r="F1750" t="str">
        <f>IFERROR(__xludf.DUMMYFUNCTION("""COMPUTED_VALUE"""),"")</f>
        <v/>
      </c>
      <c r="G1750" t="str">
        <f>IFERROR(__xludf.DUMMYFUNCTION("""COMPUTED_VALUE"""),"")</f>
        <v/>
      </c>
      <c r="H1750" s="2" t="str">
        <f>IFERROR(__xludf.DUMMYFUNCTION("""COMPUTED_VALUE"""),"")</f>
        <v/>
      </c>
      <c r="I1750" s="2" t="str">
        <f>IFERROR(__xludf.DUMMYFUNCTION("""COMPUTED_VALUE"""),"")</f>
        <v/>
      </c>
      <c r="J1750" s="2">
        <f>IFERROR(__xludf.DUMMYFUNCTION("""COMPUTED_VALUE"""),0.0)</f>
        <v>0</v>
      </c>
      <c r="K1750" s="5" t="str">
        <f>IFERROR(__xludf.DUMMYFUNCTION("""COMPUTED_VALUE"""),"")</f>
        <v/>
      </c>
      <c r="L1750" t="str">
        <f>IFERROR(__xludf.DUMMYFUNCTION("""COMPUTED_VALUE"""),"")</f>
        <v/>
      </c>
      <c r="M1750" t="str">
        <f>IFERROR(__xludf.DUMMYFUNCTION("""COMPUTED_VALUE"""),"")</f>
        <v/>
      </c>
      <c r="N1750" t="str">
        <f>IFERROR(__xludf.DUMMYFUNCTION("""COMPUTED_VALUE"""),"")</f>
        <v/>
      </c>
      <c r="O1750" t="str">
        <f>IFERROR(__xludf.DUMMYFUNCTION("""COMPUTED_VALUE"""),"")</f>
        <v/>
      </c>
      <c r="P1750" t="str">
        <f>IFERROR(__xludf.DUMMYFUNCTION("""COMPUTED_VALUE"""),"ID ")</f>
        <v>ID </v>
      </c>
    </row>
    <row r="1751">
      <c r="A1751" s="6" t="str">
        <f>IFERROR(__xludf.DUMMYFUNCTION("""COMPUTED_VALUE"""),"")</f>
        <v/>
      </c>
      <c r="C1751" t="str">
        <f>IFERROR(__xludf.DUMMYFUNCTION("""COMPUTED_VALUE"""),"")</f>
        <v/>
      </c>
      <c r="D1751" t="str">
        <f>IFERROR(__xludf.DUMMYFUNCTION("""COMPUTED_VALUE"""),"")</f>
        <v/>
      </c>
      <c r="E1751" t="str">
        <f>IFERROR(__xludf.DUMMYFUNCTION("""COMPUTED_VALUE"""),"")</f>
        <v/>
      </c>
      <c r="F1751" t="str">
        <f>IFERROR(__xludf.DUMMYFUNCTION("""COMPUTED_VALUE"""),"")</f>
        <v/>
      </c>
      <c r="G1751" t="str">
        <f>IFERROR(__xludf.DUMMYFUNCTION("""COMPUTED_VALUE"""),"")</f>
        <v/>
      </c>
      <c r="H1751" s="2" t="str">
        <f>IFERROR(__xludf.DUMMYFUNCTION("""COMPUTED_VALUE"""),"")</f>
        <v/>
      </c>
      <c r="I1751" s="2" t="str">
        <f>IFERROR(__xludf.DUMMYFUNCTION("""COMPUTED_VALUE"""),"")</f>
        <v/>
      </c>
      <c r="J1751" s="2">
        <f>IFERROR(__xludf.DUMMYFUNCTION("""COMPUTED_VALUE"""),0.0)</f>
        <v>0</v>
      </c>
      <c r="K1751" s="5" t="str">
        <f>IFERROR(__xludf.DUMMYFUNCTION("""COMPUTED_VALUE"""),"")</f>
        <v/>
      </c>
      <c r="L1751" t="str">
        <f>IFERROR(__xludf.DUMMYFUNCTION("""COMPUTED_VALUE"""),"")</f>
        <v/>
      </c>
      <c r="M1751" t="str">
        <f>IFERROR(__xludf.DUMMYFUNCTION("""COMPUTED_VALUE"""),"")</f>
        <v/>
      </c>
      <c r="N1751" t="str">
        <f>IFERROR(__xludf.DUMMYFUNCTION("""COMPUTED_VALUE"""),"")</f>
        <v/>
      </c>
      <c r="O1751" t="str">
        <f>IFERROR(__xludf.DUMMYFUNCTION("""COMPUTED_VALUE"""),"")</f>
        <v/>
      </c>
      <c r="P1751" t="str">
        <f>IFERROR(__xludf.DUMMYFUNCTION("""COMPUTED_VALUE"""),"ID ")</f>
        <v>ID </v>
      </c>
    </row>
    <row r="1752">
      <c r="A1752" s="6" t="str">
        <f>IFERROR(__xludf.DUMMYFUNCTION("""COMPUTED_VALUE"""),"")</f>
        <v/>
      </c>
      <c r="C1752" t="str">
        <f>IFERROR(__xludf.DUMMYFUNCTION("""COMPUTED_VALUE"""),"")</f>
        <v/>
      </c>
      <c r="D1752" t="str">
        <f>IFERROR(__xludf.DUMMYFUNCTION("""COMPUTED_VALUE"""),"")</f>
        <v/>
      </c>
      <c r="E1752" t="str">
        <f>IFERROR(__xludf.DUMMYFUNCTION("""COMPUTED_VALUE"""),"")</f>
        <v/>
      </c>
      <c r="F1752" t="str">
        <f>IFERROR(__xludf.DUMMYFUNCTION("""COMPUTED_VALUE"""),"")</f>
        <v/>
      </c>
      <c r="G1752" t="str">
        <f>IFERROR(__xludf.DUMMYFUNCTION("""COMPUTED_VALUE"""),"")</f>
        <v/>
      </c>
      <c r="H1752" s="2" t="str">
        <f>IFERROR(__xludf.DUMMYFUNCTION("""COMPUTED_VALUE"""),"")</f>
        <v/>
      </c>
      <c r="I1752" s="2" t="str">
        <f>IFERROR(__xludf.DUMMYFUNCTION("""COMPUTED_VALUE"""),"")</f>
        <v/>
      </c>
      <c r="J1752" s="2">
        <f>IFERROR(__xludf.DUMMYFUNCTION("""COMPUTED_VALUE"""),0.0)</f>
        <v>0</v>
      </c>
      <c r="K1752" s="5" t="str">
        <f>IFERROR(__xludf.DUMMYFUNCTION("""COMPUTED_VALUE"""),"")</f>
        <v/>
      </c>
      <c r="L1752" t="str">
        <f>IFERROR(__xludf.DUMMYFUNCTION("""COMPUTED_VALUE"""),"")</f>
        <v/>
      </c>
      <c r="M1752" t="str">
        <f>IFERROR(__xludf.DUMMYFUNCTION("""COMPUTED_VALUE"""),"")</f>
        <v/>
      </c>
      <c r="N1752" t="str">
        <f>IFERROR(__xludf.DUMMYFUNCTION("""COMPUTED_VALUE"""),"")</f>
        <v/>
      </c>
      <c r="O1752" t="str">
        <f>IFERROR(__xludf.DUMMYFUNCTION("""COMPUTED_VALUE"""),"")</f>
        <v/>
      </c>
      <c r="P1752" t="str">
        <f>IFERROR(__xludf.DUMMYFUNCTION("""COMPUTED_VALUE"""),"ID ")</f>
        <v>ID </v>
      </c>
    </row>
    <row r="1753">
      <c r="A1753" s="6" t="str">
        <f>IFERROR(__xludf.DUMMYFUNCTION("""COMPUTED_VALUE"""),"")</f>
        <v/>
      </c>
      <c r="C1753" t="str">
        <f>IFERROR(__xludf.DUMMYFUNCTION("""COMPUTED_VALUE"""),"")</f>
        <v/>
      </c>
      <c r="D1753" t="str">
        <f>IFERROR(__xludf.DUMMYFUNCTION("""COMPUTED_VALUE"""),"")</f>
        <v/>
      </c>
      <c r="E1753" t="str">
        <f>IFERROR(__xludf.DUMMYFUNCTION("""COMPUTED_VALUE"""),"")</f>
        <v/>
      </c>
      <c r="F1753" t="str">
        <f>IFERROR(__xludf.DUMMYFUNCTION("""COMPUTED_VALUE"""),"")</f>
        <v/>
      </c>
      <c r="G1753" t="str">
        <f>IFERROR(__xludf.DUMMYFUNCTION("""COMPUTED_VALUE"""),"")</f>
        <v/>
      </c>
      <c r="H1753" s="2" t="str">
        <f>IFERROR(__xludf.DUMMYFUNCTION("""COMPUTED_VALUE"""),"")</f>
        <v/>
      </c>
      <c r="I1753" s="2" t="str">
        <f>IFERROR(__xludf.DUMMYFUNCTION("""COMPUTED_VALUE"""),"")</f>
        <v/>
      </c>
      <c r="J1753" s="2">
        <f>IFERROR(__xludf.DUMMYFUNCTION("""COMPUTED_VALUE"""),0.0)</f>
        <v>0</v>
      </c>
      <c r="K1753" s="5" t="str">
        <f>IFERROR(__xludf.DUMMYFUNCTION("""COMPUTED_VALUE"""),"")</f>
        <v/>
      </c>
      <c r="L1753" t="str">
        <f>IFERROR(__xludf.DUMMYFUNCTION("""COMPUTED_VALUE"""),"")</f>
        <v/>
      </c>
      <c r="M1753" t="str">
        <f>IFERROR(__xludf.DUMMYFUNCTION("""COMPUTED_VALUE"""),"")</f>
        <v/>
      </c>
      <c r="N1753" t="str">
        <f>IFERROR(__xludf.DUMMYFUNCTION("""COMPUTED_VALUE"""),"")</f>
        <v/>
      </c>
      <c r="O1753" t="str">
        <f>IFERROR(__xludf.DUMMYFUNCTION("""COMPUTED_VALUE"""),"")</f>
        <v/>
      </c>
      <c r="P1753" t="str">
        <f>IFERROR(__xludf.DUMMYFUNCTION("""COMPUTED_VALUE"""),"ID ")</f>
        <v>ID </v>
      </c>
    </row>
    <row r="1754">
      <c r="A1754" s="6" t="str">
        <f>IFERROR(__xludf.DUMMYFUNCTION("""COMPUTED_VALUE"""),"")</f>
        <v/>
      </c>
      <c r="C1754" t="str">
        <f>IFERROR(__xludf.DUMMYFUNCTION("""COMPUTED_VALUE"""),"")</f>
        <v/>
      </c>
      <c r="D1754" t="str">
        <f>IFERROR(__xludf.DUMMYFUNCTION("""COMPUTED_VALUE"""),"")</f>
        <v/>
      </c>
      <c r="E1754" t="str">
        <f>IFERROR(__xludf.DUMMYFUNCTION("""COMPUTED_VALUE"""),"")</f>
        <v/>
      </c>
      <c r="F1754" t="str">
        <f>IFERROR(__xludf.DUMMYFUNCTION("""COMPUTED_VALUE"""),"")</f>
        <v/>
      </c>
      <c r="G1754" t="str">
        <f>IFERROR(__xludf.DUMMYFUNCTION("""COMPUTED_VALUE"""),"")</f>
        <v/>
      </c>
      <c r="H1754" s="2" t="str">
        <f>IFERROR(__xludf.DUMMYFUNCTION("""COMPUTED_VALUE"""),"")</f>
        <v/>
      </c>
      <c r="I1754" s="2" t="str">
        <f>IFERROR(__xludf.DUMMYFUNCTION("""COMPUTED_VALUE"""),"")</f>
        <v/>
      </c>
      <c r="J1754" s="2">
        <f>IFERROR(__xludf.DUMMYFUNCTION("""COMPUTED_VALUE"""),0.0)</f>
        <v>0</v>
      </c>
      <c r="K1754" s="5" t="str">
        <f>IFERROR(__xludf.DUMMYFUNCTION("""COMPUTED_VALUE"""),"")</f>
        <v/>
      </c>
      <c r="L1754" t="str">
        <f>IFERROR(__xludf.DUMMYFUNCTION("""COMPUTED_VALUE"""),"")</f>
        <v/>
      </c>
      <c r="M1754" t="str">
        <f>IFERROR(__xludf.DUMMYFUNCTION("""COMPUTED_VALUE"""),"")</f>
        <v/>
      </c>
      <c r="N1754" t="str">
        <f>IFERROR(__xludf.DUMMYFUNCTION("""COMPUTED_VALUE"""),"")</f>
        <v/>
      </c>
      <c r="O1754" t="str">
        <f>IFERROR(__xludf.DUMMYFUNCTION("""COMPUTED_VALUE"""),"")</f>
        <v/>
      </c>
      <c r="P1754" t="str">
        <f>IFERROR(__xludf.DUMMYFUNCTION("""COMPUTED_VALUE"""),"ID ")</f>
        <v>ID </v>
      </c>
    </row>
    <row r="1755">
      <c r="A1755" s="6" t="str">
        <f>IFERROR(__xludf.DUMMYFUNCTION("""COMPUTED_VALUE"""),"")</f>
        <v/>
      </c>
      <c r="C1755" t="str">
        <f>IFERROR(__xludf.DUMMYFUNCTION("""COMPUTED_VALUE"""),"")</f>
        <v/>
      </c>
      <c r="D1755" t="str">
        <f>IFERROR(__xludf.DUMMYFUNCTION("""COMPUTED_VALUE"""),"")</f>
        <v/>
      </c>
      <c r="E1755" t="str">
        <f>IFERROR(__xludf.DUMMYFUNCTION("""COMPUTED_VALUE"""),"")</f>
        <v/>
      </c>
      <c r="F1755" t="str">
        <f>IFERROR(__xludf.DUMMYFUNCTION("""COMPUTED_VALUE"""),"")</f>
        <v/>
      </c>
      <c r="G1755" t="str">
        <f>IFERROR(__xludf.DUMMYFUNCTION("""COMPUTED_VALUE"""),"")</f>
        <v/>
      </c>
      <c r="H1755" s="2" t="str">
        <f>IFERROR(__xludf.DUMMYFUNCTION("""COMPUTED_VALUE"""),"")</f>
        <v/>
      </c>
      <c r="I1755" s="2" t="str">
        <f>IFERROR(__xludf.DUMMYFUNCTION("""COMPUTED_VALUE"""),"")</f>
        <v/>
      </c>
      <c r="J1755" s="2">
        <f>IFERROR(__xludf.DUMMYFUNCTION("""COMPUTED_VALUE"""),0.0)</f>
        <v>0</v>
      </c>
      <c r="K1755" s="5" t="str">
        <f>IFERROR(__xludf.DUMMYFUNCTION("""COMPUTED_VALUE"""),"")</f>
        <v/>
      </c>
      <c r="L1755" t="str">
        <f>IFERROR(__xludf.DUMMYFUNCTION("""COMPUTED_VALUE"""),"")</f>
        <v/>
      </c>
      <c r="M1755" t="str">
        <f>IFERROR(__xludf.DUMMYFUNCTION("""COMPUTED_VALUE"""),"")</f>
        <v/>
      </c>
      <c r="N1755" t="str">
        <f>IFERROR(__xludf.DUMMYFUNCTION("""COMPUTED_VALUE"""),"")</f>
        <v/>
      </c>
      <c r="O1755" t="str">
        <f>IFERROR(__xludf.DUMMYFUNCTION("""COMPUTED_VALUE"""),"")</f>
        <v/>
      </c>
      <c r="P1755" t="str">
        <f>IFERROR(__xludf.DUMMYFUNCTION("""COMPUTED_VALUE"""),"ID ")</f>
        <v>ID </v>
      </c>
    </row>
    <row r="1756">
      <c r="A1756" s="6" t="str">
        <f>IFERROR(__xludf.DUMMYFUNCTION("""COMPUTED_VALUE"""),"")</f>
        <v/>
      </c>
      <c r="C1756" t="str">
        <f>IFERROR(__xludf.DUMMYFUNCTION("""COMPUTED_VALUE"""),"")</f>
        <v/>
      </c>
      <c r="D1756" t="str">
        <f>IFERROR(__xludf.DUMMYFUNCTION("""COMPUTED_VALUE"""),"")</f>
        <v/>
      </c>
      <c r="E1756" t="str">
        <f>IFERROR(__xludf.DUMMYFUNCTION("""COMPUTED_VALUE"""),"")</f>
        <v/>
      </c>
      <c r="F1756" t="str">
        <f>IFERROR(__xludf.DUMMYFUNCTION("""COMPUTED_VALUE"""),"")</f>
        <v/>
      </c>
      <c r="G1756" t="str">
        <f>IFERROR(__xludf.DUMMYFUNCTION("""COMPUTED_VALUE"""),"")</f>
        <v/>
      </c>
      <c r="H1756" s="2" t="str">
        <f>IFERROR(__xludf.DUMMYFUNCTION("""COMPUTED_VALUE"""),"")</f>
        <v/>
      </c>
      <c r="I1756" s="2" t="str">
        <f>IFERROR(__xludf.DUMMYFUNCTION("""COMPUTED_VALUE"""),"")</f>
        <v/>
      </c>
      <c r="J1756" s="2">
        <f>IFERROR(__xludf.DUMMYFUNCTION("""COMPUTED_VALUE"""),0.0)</f>
        <v>0</v>
      </c>
      <c r="K1756" s="5" t="str">
        <f>IFERROR(__xludf.DUMMYFUNCTION("""COMPUTED_VALUE"""),"")</f>
        <v/>
      </c>
      <c r="L1756" t="str">
        <f>IFERROR(__xludf.DUMMYFUNCTION("""COMPUTED_VALUE"""),"")</f>
        <v/>
      </c>
      <c r="M1756" t="str">
        <f>IFERROR(__xludf.DUMMYFUNCTION("""COMPUTED_VALUE"""),"")</f>
        <v/>
      </c>
      <c r="N1756" t="str">
        <f>IFERROR(__xludf.DUMMYFUNCTION("""COMPUTED_VALUE"""),"")</f>
        <v/>
      </c>
      <c r="O1756" t="str">
        <f>IFERROR(__xludf.DUMMYFUNCTION("""COMPUTED_VALUE"""),"")</f>
        <v/>
      </c>
      <c r="P1756" t="str">
        <f>IFERROR(__xludf.DUMMYFUNCTION("""COMPUTED_VALUE"""),"ID ")</f>
        <v>ID </v>
      </c>
    </row>
    <row r="1757">
      <c r="A1757" s="6" t="str">
        <f>IFERROR(__xludf.DUMMYFUNCTION("""COMPUTED_VALUE"""),"")</f>
        <v/>
      </c>
      <c r="C1757" t="str">
        <f>IFERROR(__xludf.DUMMYFUNCTION("""COMPUTED_VALUE"""),"")</f>
        <v/>
      </c>
      <c r="D1757" t="str">
        <f>IFERROR(__xludf.DUMMYFUNCTION("""COMPUTED_VALUE"""),"")</f>
        <v/>
      </c>
      <c r="E1757" t="str">
        <f>IFERROR(__xludf.DUMMYFUNCTION("""COMPUTED_VALUE"""),"")</f>
        <v/>
      </c>
      <c r="F1757" t="str">
        <f>IFERROR(__xludf.DUMMYFUNCTION("""COMPUTED_VALUE"""),"")</f>
        <v/>
      </c>
      <c r="G1757" t="str">
        <f>IFERROR(__xludf.DUMMYFUNCTION("""COMPUTED_VALUE"""),"")</f>
        <v/>
      </c>
      <c r="H1757" s="2" t="str">
        <f>IFERROR(__xludf.DUMMYFUNCTION("""COMPUTED_VALUE"""),"")</f>
        <v/>
      </c>
      <c r="I1757" s="2" t="str">
        <f>IFERROR(__xludf.DUMMYFUNCTION("""COMPUTED_VALUE"""),"")</f>
        <v/>
      </c>
      <c r="J1757" s="2">
        <f>IFERROR(__xludf.DUMMYFUNCTION("""COMPUTED_VALUE"""),0.0)</f>
        <v>0</v>
      </c>
      <c r="K1757" s="5" t="str">
        <f>IFERROR(__xludf.DUMMYFUNCTION("""COMPUTED_VALUE"""),"")</f>
        <v/>
      </c>
      <c r="L1757" t="str">
        <f>IFERROR(__xludf.DUMMYFUNCTION("""COMPUTED_VALUE"""),"")</f>
        <v/>
      </c>
      <c r="M1757" t="str">
        <f>IFERROR(__xludf.DUMMYFUNCTION("""COMPUTED_VALUE"""),"")</f>
        <v/>
      </c>
      <c r="N1757" t="str">
        <f>IFERROR(__xludf.DUMMYFUNCTION("""COMPUTED_VALUE"""),"")</f>
        <v/>
      </c>
      <c r="O1757" t="str">
        <f>IFERROR(__xludf.DUMMYFUNCTION("""COMPUTED_VALUE"""),"")</f>
        <v/>
      </c>
      <c r="P1757" t="str">
        <f>IFERROR(__xludf.DUMMYFUNCTION("""COMPUTED_VALUE"""),"ID ")</f>
        <v>ID </v>
      </c>
    </row>
    <row r="1758">
      <c r="A1758" s="6" t="str">
        <f>IFERROR(__xludf.DUMMYFUNCTION("""COMPUTED_VALUE"""),"")</f>
        <v/>
      </c>
      <c r="C1758" t="str">
        <f>IFERROR(__xludf.DUMMYFUNCTION("""COMPUTED_VALUE"""),"")</f>
        <v/>
      </c>
      <c r="D1758" t="str">
        <f>IFERROR(__xludf.DUMMYFUNCTION("""COMPUTED_VALUE"""),"")</f>
        <v/>
      </c>
      <c r="E1758" t="str">
        <f>IFERROR(__xludf.DUMMYFUNCTION("""COMPUTED_VALUE"""),"")</f>
        <v/>
      </c>
      <c r="F1758" t="str">
        <f>IFERROR(__xludf.DUMMYFUNCTION("""COMPUTED_VALUE"""),"")</f>
        <v/>
      </c>
      <c r="G1758" t="str">
        <f>IFERROR(__xludf.DUMMYFUNCTION("""COMPUTED_VALUE"""),"")</f>
        <v/>
      </c>
      <c r="H1758" s="2" t="str">
        <f>IFERROR(__xludf.DUMMYFUNCTION("""COMPUTED_VALUE"""),"")</f>
        <v/>
      </c>
      <c r="I1758" s="2" t="str">
        <f>IFERROR(__xludf.DUMMYFUNCTION("""COMPUTED_VALUE"""),"")</f>
        <v/>
      </c>
      <c r="J1758" s="2">
        <f>IFERROR(__xludf.DUMMYFUNCTION("""COMPUTED_VALUE"""),0.0)</f>
        <v>0</v>
      </c>
      <c r="K1758" s="5" t="str">
        <f>IFERROR(__xludf.DUMMYFUNCTION("""COMPUTED_VALUE"""),"")</f>
        <v/>
      </c>
      <c r="L1758" t="str">
        <f>IFERROR(__xludf.DUMMYFUNCTION("""COMPUTED_VALUE"""),"")</f>
        <v/>
      </c>
      <c r="M1758" t="str">
        <f>IFERROR(__xludf.DUMMYFUNCTION("""COMPUTED_VALUE"""),"")</f>
        <v/>
      </c>
      <c r="N1758" t="str">
        <f>IFERROR(__xludf.DUMMYFUNCTION("""COMPUTED_VALUE"""),"")</f>
        <v/>
      </c>
      <c r="O1758" t="str">
        <f>IFERROR(__xludf.DUMMYFUNCTION("""COMPUTED_VALUE"""),"")</f>
        <v/>
      </c>
      <c r="P1758" t="str">
        <f>IFERROR(__xludf.DUMMYFUNCTION("""COMPUTED_VALUE"""),"ID ")</f>
        <v>ID </v>
      </c>
    </row>
    <row r="1759">
      <c r="A1759" s="6" t="str">
        <f>IFERROR(__xludf.DUMMYFUNCTION("""COMPUTED_VALUE"""),"")</f>
        <v/>
      </c>
      <c r="C1759" t="str">
        <f>IFERROR(__xludf.DUMMYFUNCTION("""COMPUTED_VALUE"""),"")</f>
        <v/>
      </c>
      <c r="D1759" t="str">
        <f>IFERROR(__xludf.DUMMYFUNCTION("""COMPUTED_VALUE"""),"")</f>
        <v/>
      </c>
      <c r="E1759" t="str">
        <f>IFERROR(__xludf.DUMMYFUNCTION("""COMPUTED_VALUE"""),"")</f>
        <v/>
      </c>
      <c r="F1759" t="str">
        <f>IFERROR(__xludf.DUMMYFUNCTION("""COMPUTED_VALUE"""),"")</f>
        <v/>
      </c>
      <c r="G1759" t="str">
        <f>IFERROR(__xludf.DUMMYFUNCTION("""COMPUTED_VALUE"""),"")</f>
        <v/>
      </c>
      <c r="H1759" s="2" t="str">
        <f>IFERROR(__xludf.DUMMYFUNCTION("""COMPUTED_VALUE"""),"")</f>
        <v/>
      </c>
      <c r="I1759" s="2" t="str">
        <f>IFERROR(__xludf.DUMMYFUNCTION("""COMPUTED_VALUE"""),"")</f>
        <v/>
      </c>
      <c r="J1759" s="2">
        <f>IFERROR(__xludf.DUMMYFUNCTION("""COMPUTED_VALUE"""),0.0)</f>
        <v>0</v>
      </c>
      <c r="K1759" s="5" t="str">
        <f>IFERROR(__xludf.DUMMYFUNCTION("""COMPUTED_VALUE"""),"")</f>
        <v/>
      </c>
      <c r="L1759" t="str">
        <f>IFERROR(__xludf.DUMMYFUNCTION("""COMPUTED_VALUE"""),"")</f>
        <v/>
      </c>
      <c r="M1759" t="str">
        <f>IFERROR(__xludf.DUMMYFUNCTION("""COMPUTED_VALUE"""),"")</f>
        <v/>
      </c>
      <c r="N1759" t="str">
        <f>IFERROR(__xludf.DUMMYFUNCTION("""COMPUTED_VALUE"""),"")</f>
        <v/>
      </c>
      <c r="O1759" t="str">
        <f>IFERROR(__xludf.DUMMYFUNCTION("""COMPUTED_VALUE"""),"")</f>
        <v/>
      </c>
      <c r="P1759" t="str">
        <f>IFERROR(__xludf.DUMMYFUNCTION("""COMPUTED_VALUE"""),"ID ")</f>
        <v>ID </v>
      </c>
    </row>
    <row r="1760">
      <c r="A1760" s="6" t="str">
        <f>IFERROR(__xludf.DUMMYFUNCTION("""COMPUTED_VALUE"""),"")</f>
        <v/>
      </c>
      <c r="C1760" t="str">
        <f>IFERROR(__xludf.DUMMYFUNCTION("""COMPUTED_VALUE"""),"")</f>
        <v/>
      </c>
      <c r="D1760" t="str">
        <f>IFERROR(__xludf.DUMMYFUNCTION("""COMPUTED_VALUE"""),"")</f>
        <v/>
      </c>
      <c r="E1760" t="str">
        <f>IFERROR(__xludf.DUMMYFUNCTION("""COMPUTED_VALUE"""),"")</f>
        <v/>
      </c>
      <c r="F1760" t="str">
        <f>IFERROR(__xludf.DUMMYFUNCTION("""COMPUTED_VALUE"""),"")</f>
        <v/>
      </c>
      <c r="G1760" t="str">
        <f>IFERROR(__xludf.DUMMYFUNCTION("""COMPUTED_VALUE"""),"")</f>
        <v/>
      </c>
      <c r="H1760" s="2" t="str">
        <f>IFERROR(__xludf.DUMMYFUNCTION("""COMPUTED_VALUE"""),"")</f>
        <v/>
      </c>
      <c r="I1760" s="2" t="str">
        <f>IFERROR(__xludf.DUMMYFUNCTION("""COMPUTED_VALUE"""),"")</f>
        <v/>
      </c>
      <c r="J1760" s="2">
        <f>IFERROR(__xludf.DUMMYFUNCTION("""COMPUTED_VALUE"""),0.0)</f>
        <v>0</v>
      </c>
      <c r="K1760" s="5" t="str">
        <f>IFERROR(__xludf.DUMMYFUNCTION("""COMPUTED_VALUE"""),"")</f>
        <v/>
      </c>
      <c r="L1760" t="str">
        <f>IFERROR(__xludf.DUMMYFUNCTION("""COMPUTED_VALUE"""),"")</f>
        <v/>
      </c>
      <c r="M1760" t="str">
        <f>IFERROR(__xludf.DUMMYFUNCTION("""COMPUTED_VALUE"""),"")</f>
        <v/>
      </c>
      <c r="N1760" t="str">
        <f>IFERROR(__xludf.DUMMYFUNCTION("""COMPUTED_VALUE"""),"")</f>
        <v/>
      </c>
      <c r="O1760" t="str">
        <f>IFERROR(__xludf.DUMMYFUNCTION("""COMPUTED_VALUE"""),"")</f>
        <v/>
      </c>
      <c r="P1760" t="str">
        <f>IFERROR(__xludf.DUMMYFUNCTION("""COMPUTED_VALUE"""),"ID ")</f>
        <v>ID </v>
      </c>
    </row>
    <row r="1761">
      <c r="A1761" s="6" t="str">
        <f>IFERROR(__xludf.DUMMYFUNCTION("""COMPUTED_VALUE"""),"")</f>
        <v/>
      </c>
      <c r="C1761" t="str">
        <f>IFERROR(__xludf.DUMMYFUNCTION("""COMPUTED_VALUE"""),"")</f>
        <v/>
      </c>
      <c r="D1761" t="str">
        <f>IFERROR(__xludf.DUMMYFUNCTION("""COMPUTED_VALUE"""),"")</f>
        <v/>
      </c>
      <c r="E1761" t="str">
        <f>IFERROR(__xludf.DUMMYFUNCTION("""COMPUTED_VALUE"""),"")</f>
        <v/>
      </c>
      <c r="F1761" t="str">
        <f>IFERROR(__xludf.DUMMYFUNCTION("""COMPUTED_VALUE"""),"")</f>
        <v/>
      </c>
      <c r="G1761" t="str">
        <f>IFERROR(__xludf.DUMMYFUNCTION("""COMPUTED_VALUE"""),"")</f>
        <v/>
      </c>
      <c r="H1761" s="2" t="str">
        <f>IFERROR(__xludf.DUMMYFUNCTION("""COMPUTED_VALUE"""),"")</f>
        <v/>
      </c>
      <c r="I1761" s="2" t="str">
        <f>IFERROR(__xludf.DUMMYFUNCTION("""COMPUTED_VALUE"""),"")</f>
        <v/>
      </c>
      <c r="J1761" s="2">
        <f>IFERROR(__xludf.DUMMYFUNCTION("""COMPUTED_VALUE"""),0.0)</f>
        <v>0</v>
      </c>
      <c r="K1761" s="5" t="str">
        <f>IFERROR(__xludf.DUMMYFUNCTION("""COMPUTED_VALUE"""),"")</f>
        <v/>
      </c>
      <c r="L1761" t="str">
        <f>IFERROR(__xludf.DUMMYFUNCTION("""COMPUTED_VALUE"""),"")</f>
        <v/>
      </c>
      <c r="M1761" t="str">
        <f>IFERROR(__xludf.DUMMYFUNCTION("""COMPUTED_VALUE"""),"")</f>
        <v/>
      </c>
      <c r="N1761" t="str">
        <f>IFERROR(__xludf.DUMMYFUNCTION("""COMPUTED_VALUE"""),"")</f>
        <v/>
      </c>
      <c r="O1761" t="str">
        <f>IFERROR(__xludf.DUMMYFUNCTION("""COMPUTED_VALUE"""),"")</f>
        <v/>
      </c>
      <c r="P1761" t="str">
        <f>IFERROR(__xludf.DUMMYFUNCTION("""COMPUTED_VALUE"""),"ID ")</f>
        <v>ID </v>
      </c>
    </row>
    <row r="1762">
      <c r="A1762" s="6" t="str">
        <f>IFERROR(__xludf.DUMMYFUNCTION("""COMPUTED_VALUE"""),"")</f>
        <v/>
      </c>
      <c r="C1762" t="str">
        <f>IFERROR(__xludf.DUMMYFUNCTION("""COMPUTED_VALUE"""),"")</f>
        <v/>
      </c>
      <c r="D1762" t="str">
        <f>IFERROR(__xludf.DUMMYFUNCTION("""COMPUTED_VALUE"""),"")</f>
        <v/>
      </c>
      <c r="E1762" t="str">
        <f>IFERROR(__xludf.DUMMYFUNCTION("""COMPUTED_VALUE"""),"")</f>
        <v/>
      </c>
      <c r="F1762" t="str">
        <f>IFERROR(__xludf.DUMMYFUNCTION("""COMPUTED_VALUE"""),"")</f>
        <v/>
      </c>
      <c r="G1762" t="str">
        <f>IFERROR(__xludf.DUMMYFUNCTION("""COMPUTED_VALUE"""),"")</f>
        <v/>
      </c>
      <c r="H1762" s="2" t="str">
        <f>IFERROR(__xludf.DUMMYFUNCTION("""COMPUTED_VALUE"""),"")</f>
        <v/>
      </c>
      <c r="I1762" s="2" t="str">
        <f>IFERROR(__xludf.DUMMYFUNCTION("""COMPUTED_VALUE"""),"")</f>
        <v/>
      </c>
      <c r="J1762" s="2">
        <f>IFERROR(__xludf.DUMMYFUNCTION("""COMPUTED_VALUE"""),0.0)</f>
        <v>0</v>
      </c>
      <c r="K1762" s="5" t="str">
        <f>IFERROR(__xludf.DUMMYFUNCTION("""COMPUTED_VALUE"""),"")</f>
        <v/>
      </c>
      <c r="L1762" t="str">
        <f>IFERROR(__xludf.DUMMYFUNCTION("""COMPUTED_VALUE"""),"")</f>
        <v/>
      </c>
      <c r="M1762" t="str">
        <f>IFERROR(__xludf.DUMMYFUNCTION("""COMPUTED_VALUE"""),"")</f>
        <v/>
      </c>
      <c r="N1762" t="str">
        <f>IFERROR(__xludf.DUMMYFUNCTION("""COMPUTED_VALUE"""),"")</f>
        <v/>
      </c>
      <c r="O1762" t="str">
        <f>IFERROR(__xludf.DUMMYFUNCTION("""COMPUTED_VALUE"""),"")</f>
        <v/>
      </c>
      <c r="P1762" t="str">
        <f>IFERROR(__xludf.DUMMYFUNCTION("""COMPUTED_VALUE"""),"ID ")</f>
        <v>ID </v>
      </c>
    </row>
    <row r="1763">
      <c r="A1763" s="6" t="str">
        <f>IFERROR(__xludf.DUMMYFUNCTION("""COMPUTED_VALUE"""),"")</f>
        <v/>
      </c>
      <c r="C1763" t="str">
        <f>IFERROR(__xludf.DUMMYFUNCTION("""COMPUTED_VALUE"""),"")</f>
        <v/>
      </c>
      <c r="D1763" t="str">
        <f>IFERROR(__xludf.DUMMYFUNCTION("""COMPUTED_VALUE"""),"")</f>
        <v/>
      </c>
      <c r="E1763" t="str">
        <f>IFERROR(__xludf.DUMMYFUNCTION("""COMPUTED_VALUE"""),"")</f>
        <v/>
      </c>
      <c r="F1763" t="str">
        <f>IFERROR(__xludf.DUMMYFUNCTION("""COMPUTED_VALUE"""),"")</f>
        <v/>
      </c>
      <c r="G1763" t="str">
        <f>IFERROR(__xludf.DUMMYFUNCTION("""COMPUTED_VALUE"""),"")</f>
        <v/>
      </c>
      <c r="H1763" s="2" t="str">
        <f>IFERROR(__xludf.DUMMYFUNCTION("""COMPUTED_VALUE"""),"")</f>
        <v/>
      </c>
      <c r="I1763" s="2" t="str">
        <f>IFERROR(__xludf.DUMMYFUNCTION("""COMPUTED_VALUE"""),"")</f>
        <v/>
      </c>
      <c r="J1763" s="2">
        <f>IFERROR(__xludf.DUMMYFUNCTION("""COMPUTED_VALUE"""),0.0)</f>
        <v>0</v>
      </c>
      <c r="K1763" s="5" t="str">
        <f>IFERROR(__xludf.DUMMYFUNCTION("""COMPUTED_VALUE"""),"")</f>
        <v/>
      </c>
      <c r="L1763" t="str">
        <f>IFERROR(__xludf.DUMMYFUNCTION("""COMPUTED_VALUE"""),"")</f>
        <v/>
      </c>
      <c r="M1763" t="str">
        <f>IFERROR(__xludf.DUMMYFUNCTION("""COMPUTED_VALUE"""),"")</f>
        <v/>
      </c>
      <c r="N1763" t="str">
        <f>IFERROR(__xludf.DUMMYFUNCTION("""COMPUTED_VALUE"""),"")</f>
        <v/>
      </c>
      <c r="O1763" t="str">
        <f>IFERROR(__xludf.DUMMYFUNCTION("""COMPUTED_VALUE"""),"")</f>
        <v/>
      </c>
      <c r="P1763" t="str">
        <f>IFERROR(__xludf.DUMMYFUNCTION("""COMPUTED_VALUE"""),"ID ")</f>
        <v>ID </v>
      </c>
    </row>
    <row r="1764">
      <c r="A1764" s="6" t="str">
        <f>IFERROR(__xludf.DUMMYFUNCTION("""COMPUTED_VALUE"""),"")</f>
        <v/>
      </c>
      <c r="C1764" t="str">
        <f>IFERROR(__xludf.DUMMYFUNCTION("""COMPUTED_VALUE"""),"")</f>
        <v/>
      </c>
      <c r="D1764" t="str">
        <f>IFERROR(__xludf.DUMMYFUNCTION("""COMPUTED_VALUE"""),"")</f>
        <v/>
      </c>
      <c r="E1764" t="str">
        <f>IFERROR(__xludf.DUMMYFUNCTION("""COMPUTED_VALUE"""),"")</f>
        <v/>
      </c>
      <c r="F1764" t="str">
        <f>IFERROR(__xludf.DUMMYFUNCTION("""COMPUTED_VALUE"""),"")</f>
        <v/>
      </c>
      <c r="G1764" t="str">
        <f>IFERROR(__xludf.DUMMYFUNCTION("""COMPUTED_VALUE"""),"")</f>
        <v/>
      </c>
      <c r="H1764" s="2" t="str">
        <f>IFERROR(__xludf.DUMMYFUNCTION("""COMPUTED_VALUE"""),"")</f>
        <v/>
      </c>
      <c r="I1764" s="2" t="str">
        <f>IFERROR(__xludf.DUMMYFUNCTION("""COMPUTED_VALUE"""),"")</f>
        <v/>
      </c>
      <c r="J1764" s="2">
        <f>IFERROR(__xludf.DUMMYFUNCTION("""COMPUTED_VALUE"""),0.0)</f>
        <v>0</v>
      </c>
      <c r="K1764" s="5" t="str">
        <f>IFERROR(__xludf.DUMMYFUNCTION("""COMPUTED_VALUE"""),"")</f>
        <v/>
      </c>
      <c r="L1764" t="str">
        <f>IFERROR(__xludf.DUMMYFUNCTION("""COMPUTED_VALUE"""),"")</f>
        <v/>
      </c>
      <c r="M1764" t="str">
        <f>IFERROR(__xludf.DUMMYFUNCTION("""COMPUTED_VALUE"""),"")</f>
        <v/>
      </c>
      <c r="N1764" t="str">
        <f>IFERROR(__xludf.DUMMYFUNCTION("""COMPUTED_VALUE"""),"")</f>
        <v/>
      </c>
      <c r="O1764" t="str">
        <f>IFERROR(__xludf.DUMMYFUNCTION("""COMPUTED_VALUE"""),"")</f>
        <v/>
      </c>
      <c r="P1764" t="str">
        <f>IFERROR(__xludf.DUMMYFUNCTION("""COMPUTED_VALUE"""),"ID ")</f>
        <v>ID </v>
      </c>
    </row>
    <row r="1765">
      <c r="A1765" s="6" t="str">
        <f>IFERROR(__xludf.DUMMYFUNCTION("""COMPUTED_VALUE"""),"")</f>
        <v/>
      </c>
      <c r="C1765" t="str">
        <f>IFERROR(__xludf.DUMMYFUNCTION("""COMPUTED_VALUE"""),"")</f>
        <v/>
      </c>
      <c r="D1765" t="str">
        <f>IFERROR(__xludf.DUMMYFUNCTION("""COMPUTED_VALUE"""),"")</f>
        <v/>
      </c>
      <c r="E1765" t="str">
        <f>IFERROR(__xludf.DUMMYFUNCTION("""COMPUTED_VALUE"""),"")</f>
        <v/>
      </c>
      <c r="F1765" t="str">
        <f>IFERROR(__xludf.DUMMYFUNCTION("""COMPUTED_VALUE"""),"")</f>
        <v/>
      </c>
      <c r="G1765" t="str">
        <f>IFERROR(__xludf.DUMMYFUNCTION("""COMPUTED_VALUE"""),"")</f>
        <v/>
      </c>
      <c r="H1765" s="2" t="str">
        <f>IFERROR(__xludf.DUMMYFUNCTION("""COMPUTED_VALUE"""),"")</f>
        <v/>
      </c>
      <c r="I1765" s="2" t="str">
        <f>IFERROR(__xludf.DUMMYFUNCTION("""COMPUTED_VALUE"""),"")</f>
        <v/>
      </c>
      <c r="J1765" s="2">
        <f>IFERROR(__xludf.DUMMYFUNCTION("""COMPUTED_VALUE"""),0.0)</f>
        <v>0</v>
      </c>
      <c r="K1765" s="5" t="str">
        <f>IFERROR(__xludf.DUMMYFUNCTION("""COMPUTED_VALUE"""),"")</f>
        <v/>
      </c>
      <c r="L1765" t="str">
        <f>IFERROR(__xludf.DUMMYFUNCTION("""COMPUTED_VALUE"""),"")</f>
        <v/>
      </c>
      <c r="M1765" t="str">
        <f>IFERROR(__xludf.DUMMYFUNCTION("""COMPUTED_VALUE"""),"")</f>
        <v/>
      </c>
      <c r="N1765" t="str">
        <f>IFERROR(__xludf.DUMMYFUNCTION("""COMPUTED_VALUE"""),"")</f>
        <v/>
      </c>
      <c r="O1765" t="str">
        <f>IFERROR(__xludf.DUMMYFUNCTION("""COMPUTED_VALUE"""),"")</f>
        <v/>
      </c>
      <c r="P1765" t="str">
        <f>IFERROR(__xludf.DUMMYFUNCTION("""COMPUTED_VALUE"""),"ID ")</f>
        <v>ID </v>
      </c>
    </row>
    <row r="1766">
      <c r="A1766" s="6" t="str">
        <f>IFERROR(__xludf.DUMMYFUNCTION("""COMPUTED_VALUE"""),"")</f>
        <v/>
      </c>
      <c r="C1766" t="str">
        <f>IFERROR(__xludf.DUMMYFUNCTION("""COMPUTED_VALUE"""),"")</f>
        <v/>
      </c>
      <c r="D1766" t="str">
        <f>IFERROR(__xludf.DUMMYFUNCTION("""COMPUTED_VALUE"""),"")</f>
        <v/>
      </c>
      <c r="E1766" t="str">
        <f>IFERROR(__xludf.DUMMYFUNCTION("""COMPUTED_VALUE"""),"")</f>
        <v/>
      </c>
      <c r="F1766" t="str">
        <f>IFERROR(__xludf.DUMMYFUNCTION("""COMPUTED_VALUE"""),"")</f>
        <v/>
      </c>
      <c r="G1766" t="str">
        <f>IFERROR(__xludf.DUMMYFUNCTION("""COMPUTED_VALUE"""),"")</f>
        <v/>
      </c>
      <c r="H1766" s="2" t="str">
        <f>IFERROR(__xludf.DUMMYFUNCTION("""COMPUTED_VALUE"""),"")</f>
        <v/>
      </c>
      <c r="I1766" s="2" t="str">
        <f>IFERROR(__xludf.DUMMYFUNCTION("""COMPUTED_VALUE"""),"")</f>
        <v/>
      </c>
      <c r="J1766" s="2">
        <f>IFERROR(__xludf.DUMMYFUNCTION("""COMPUTED_VALUE"""),0.0)</f>
        <v>0</v>
      </c>
      <c r="K1766" s="5" t="str">
        <f>IFERROR(__xludf.DUMMYFUNCTION("""COMPUTED_VALUE"""),"")</f>
        <v/>
      </c>
      <c r="L1766" t="str">
        <f>IFERROR(__xludf.DUMMYFUNCTION("""COMPUTED_VALUE"""),"")</f>
        <v/>
      </c>
      <c r="M1766" t="str">
        <f>IFERROR(__xludf.DUMMYFUNCTION("""COMPUTED_VALUE"""),"")</f>
        <v/>
      </c>
      <c r="N1766" t="str">
        <f>IFERROR(__xludf.DUMMYFUNCTION("""COMPUTED_VALUE"""),"")</f>
        <v/>
      </c>
      <c r="O1766" t="str">
        <f>IFERROR(__xludf.DUMMYFUNCTION("""COMPUTED_VALUE"""),"")</f>
        <v/>
      </c>
      <c r="P1766" t="str">
        <f>IFERROR(__xludf.DUMMYFUNCTION("""COMPUTED_VALUE"""),"ID ")</f>
        <v>ID </v>
      </c>
    </row>
    <row r="1767">
      <c r="A1767" s="6" t="str">
        <f>IFERROR(__xludf.DUMMYFUNCTION("""COMPUTED_VALUE"""),"")</f>
        <v/>
      </c>
      <c r="C1767" t="str">
        <f>IFERROR(__xludf.DUMMYFUNCTION("""COMPUTED_VALUE"""),"")</f>
        <v/>
      </c>
      <c r="D1767" t="str">
        <f>IFERROR(__xludf.DUMMYFUNCTION("""COMPUTED_VALUE"""),"")</f>
        <v/>
      </c>
      <c r="E1767" t="str">
        <f>IFERROR(__xludf.DUMMYFUNCTION("""COMPUTED_VALUE"""),"")</f>
        <v/>
      </c>
      <c r="F1767" t="str">
        <f>IFERROR(__xludf.DUMMYFUNCTION("""COMPUTED_VALUE"""),"")</f>
        <v/>
      </c>
      <c r="G1767" t="str">
        <f>IFERROR(__xludf.DUMMYFUNCTION("""COMPUTED_VALUE"""),"")</f>
        <v/>
      </c>
      <c r="H1767" s="2" t="str">
        <f>IFERROR(__xludf.DUMMYFUNCTION("""COMPUTED_VALUE"""),"")</f>
        <v/>
      </c>
      <c r="I1767" s="2" t="str">
        <f>IFERROR(__xludf.DUMMYFUNCTION("""COMPUTED_VALUE"""),"")</f>
        <v/>
      </c>
      <c r="J1767" s="2">
        <f>IFERROR(__xludf.DUMMYFUNCTION("""COMPUTED_VALUE"""),0.0)</f>
        <v>0</v>
      </c>
      <c r="K1767" s="5" t="str">
        <f>IFERROR(__xludf.DUMMYFUNCTION("""COMPUTED_VALUE"""),"")</f>
        <v/>
      </c>
      <c r="L1767" t="str">
        <f>IFERROR(__xludf.DUMMYFUNCTION("""COMPUTED_VALUE"""),"")</f>
        <v/>
      </c>
      <c r="M1767" t="str">
        <f>IFERROR(__xludf.DUMMYFUNCTION("""COMPUTED_VALUE"""),"")</f>
        <v/>
      </c>
      <c r="N1767" t="str">
        <f>IFERROR(__xludf.DUMMYFUNCTION("""COMPUTED_VALUE"""),"")</f>
        <v/>
      </c>
      <c r="O1767" t="str">
        <f>IFERROR(__xludf.DUMMYFUNCTION("""COMPUTED_VALUE"""),"")</f>
        <v/>
      </c>
      <c r="P1767" t="str">
        <f>IFERROR(__xludf.DUMMYFUNCTION("""COMPUTED_VALUE"""),"ID ")</f>
        <v>ID </v>
      </c>
    </row>
    <row r="1768">
      <c r="A1768" s="6" t="str">
        <f>IFERROR(__xludf.DUMMYFUNCTION("""COMPUTED_VALUE"""),"")</f>
        <v/>
      </c>
      <c r="C1768" t="str">
        <f>IFERROR(__xludf.DUMMYFUNCTION("""COMPUTED_VALUE"""),"")</f>
        <v/>
      </c>
      <c r="D1768" t="str">
        <f>IFERROR(__xludf.DUMMYFUNCTION("""COMPUTED_VALUE"""),"")</f>
        <v/>
      </c>
      <c r="E1768" t="str">
        <f>IFERROR(__xludf.DUMMYFUNCTION("""COMPUTED_VALUE"""),"")</f>
        <v/>
      </c>
      <c r="F1768" t="str">
        <f>IFERROR(__xludf.DUMMYFUNCTION("""COMPUTED_VALUE"""),"")</f>
        <v/>
      </c>
      <c r="G1768" t="str">
        <f>IFERROR(__xludf.DUMMYFUNCTION("""COMPUTED_VALUE"""),"")</f>
        <v/>
      </c>
      <c r="H1768" s="2" t="str">
        <f>IFERROR(__xludf.DUMMYFUNCTION("""COMPUTED_VALUE"""),"")</f>
        <v/>
      </c>
      <c r="I1768" s="2" t="str">
        <f>IFERROR(__xludf.DUMMYFUNCTION("""COMPUTED_VALUE"""),"")</f>
        <v/>
      </c>
      <c r="J1768" s="2">
        <f>IFERROR(__xludf.DUMMYFUNCTION("""COMPUTED_VALUE"""),0.0)</f>
        <v>0</v>
      </c>
      <c r="K1768" s="5" t="str">
        <f>IFERROR(__xludf.DUMMYFUNCTION("""COMPUTED_VALUE"""),"")</f>
        <v/>
      </c>
      <c r="L1768" t="str">
        <f>IFERROR(__xludf.DUMMYFUNCTION("""COMPUTED_VALUE"""),"")</f>
        <v/>
      </c>
      <c r="M1768" t="str">
        <f>IFERROR(__xludf.DUMMYFUNCTION("""COMPUTED_VALUE"""),"")</f>
        <v/>
      </c>
      <c r="N1768" t="str">
        <f>IFERROR(__xludf.DUMMYFUNCTION("""COMPUTED_VALUE"""),"")</f>
        <v/>
      </c>
      <c r="O1768" t="str">
        <f>IFERROR(__xludf.DUMMYFUNCTION("""COMPUTED_VALUE"""),"")</f>
        <v/>
      </c>
      <c r="P1768" t="str">
        <f>IFERROR(__xludf.DUMMYFUNCTION("""COMPUTED_VALUE"""),"ID ")</f>
        <v>ID </v>
      </c>
    </row>
    <row r="1769">
      <c r="A1769" s="6" t="str">
        <f>IFERROR(__xludf.DUMMYFUNCTION("""COMPUTED_VALUE"""),"")</f>
        <v/>
      </c>
      <c r="C1769" t="str">
        <f>IFERROR(__xludf.DUMMYFUNCTION("""COMPUTED_VALUE"""),"")</f>
        <v/>
      </c>
      <c r="D1769" t="str">
        <f>IFERROR(__xludf.DUMMYFUNCTION("""COMPUTED_VALUE"""),"")</f>
        <v/>
      </c>
      <c r="E1769" t="str">
        <f>IFERROR(__xludf.DUMMYFUNCTION("""COMPUTED_VALUE"""),"")</f>
        <v/>
      </c>
      <c r="F1769" t="str">
        <f>IFERROR(__xludf.DUMMYFUNCTION("""COMPUTED_VALUE"""),"")</f>
        <v/>
      </c>
      <c r="G1769" t="str">
        <f>IFERROR(__xludf.DUMMYFUNCTION("""COMPUTED_VALUE"""),"")</f>
        <v/>
      </c>
      <c r="H1769" s="2" t="str">
        <f>IFERROR(__xludf.DUMMYFUNCTION("""COMPUTED_VALUE"""),"")</f>
        <v/>
      </c>
      <c r="I1769" s="2" t="str">
        <f>IFERROR(__xludf.DUMMYFUNCTION("""COMPUTED_VALUE"""),"")</f>
        <v/>
      </c>
      <c r="J1769" s="2">
        <f>IFERROR(__xludf.DUMMYFUNCTION("""COMPUTED_VALUE"""),0.0)</f>
        <v>0</v>
      </c>
      <c r="K1769" s="5" t="str">
        <f>IFERROR(__xludf.DUMMYFUNCTION("""COMPUTED_VALUE"""),"")</f>
        <v/>
      </c>
      <c r="L1769" t="str">
        <f>IFERROR(__xludf.DUMMYFUNCTION("""COMPUTED_VALUE"""),"")</f>
        <v/>
      </c>
      <c r="M1769" t="str">
        <f>IFERROR(__xludf.DUMMYFUNCTION("""COMPUTED_VALUE"""),"")</f>
        <v/>
      </c>
      <c r="N1769" t="str">
        <f>IFERROR(__xludf.DUMMYFUNCTION("""COMPUTED_VALUE"""),"")</f>
        <v/>
      </c>
      <c r="O1769" t="str">
        <f>IFERROR(__xludf.DUMMYFUNCTION("""COMPUTED_VALUE"""),"")</f>
        <v/>
      </c>
      <c r="P1769" t="str">
        <f>IFERROR(__xludf.DUMMYFUNCTION("""COMPUTED_VALUE"""),"ID ")</f>
        <v>ID </v>
      </c>
    </row>
    <row r="1770">
      <c r="A1770" s="6" t="str">
        <f>IFERROR(__xludf.DUMMYFUNCTION("""COMPUTED_VALUE"""),"")</f>
        <v/>
      </c>
      <c r="C1770" t="str">
        <f>IFERROR(__xludf.DUMMYFUNCTION("""COMPUTED_VALUE"""),"")</f>
        <v/>
      </c>
      <c r="D1770" t="str">
        <f>IFERROR(__xludf.DUMMYFUNCTION("""COMPUTED_VALUE"""),"")</f>
        <v/>
      </c>
      <c r="E1770" t="str">
        <f>IFERROR(__xludf.DUMMYFUNCTION("""COMPUTED_VALUE"""),"")</f>
        <v/>
      </c>
      <c r="F1770" t="str">
        <f>IFERROR(__xludf.DUMMYFUNCTION("""COMPUTED_VALUE"""),"")</f>
        <v/>
      </c>
      <c r="G1770" t="str">
        <f>IFERROR(__xludf.DUMMYFUNCTION("""COMPUTED_VALUE"""),"")</f>
        <v/>
      </c>
      <c r="H1770" s="2" t="str">
        <f>IFERROR(__xludf.DUMMYFUNCTION("""COMPUTED_VALUE"""),"")</f>
        <v/>
      </c>
      <c r="I1770" s="2" t="str">
        <f>IFERROR(__xludf.DUMMYFUNCTION("""COMPUTED_VALUE"""),"")</f>
        <v/>
      </c>
      <c r="J1770" s="2">
        <f>IFERROR(__xludf.DUMMYFUNCTION("""COMPUTED_VALUE"""),0.0)</f>
        <v>0</v>
      </c>
      <c r="K1770" s="5" t="str">
        <f>IFERROR(__xludf.DUMMYFUNCTION("""COMPUTED_VALUE"""),"")</f>
        <v/>
      </c>
      <c r="L1770" t="str">
        <f>IFERROR(__xludf.DUMMYFUNCTION("""COMPUTED_VALUE"""),"")</f>
        <v/>
      </c>
      <c r="M1770" t="str">
        <f>IFERROR(__xludf.DUMMYFUNCTION("""COMPUTED_VALUE"""),"")</f>
        <v/>
      </c>
      <c r="N1770" t="str">
        <f>IFERROR(__xludf.DUMMYFUNCTION("""COMPUTED_VALUE"""),"")</f>
        <v/>
      </c>
      <c r="O1770" t="str">
        <f>IFERROR(__xludf.DUMMYFUNCTION("""COMPUTED_VALUE"""),"")</f>
        <v/>
      </c>
      <c r="P1770" t="str">
        <f>IFERROR(__xludf.DUMMYFUNCTION("""COMPUTED_VALUE"""),"ID ")</f>
        <v>ID </v>
      </c>
    </row>
    <row r="1771">
      <c r="A1771" s="6" t="str">
        <f>IFERROR(__xludf.DUMMYFUNCTION("""COMPUTED_VALUE"""),"")</f>
        <v/>
      </c>
      <c r="C1771" t="str">
        <f>IFERROR(__xludf.DUMMYFUNCTION("""COMPUTED_VALUE"""),"")</f>
        <v/>
      </c>
      <c r="D1771" t="str">
        <f>IFERROR(__xludf.DUMMYFUNCTION("""COMPUTED_VALUE"""),"")</f>
        <v/>
      </c>
      <c r="E1771" t="str">
        <f>IFERROR(__xludf.DUMMYFUNCTION("""COMPUTED_VALUE"""),"")</f>
        <v/>
      </c>
      <c r="F1771" t="str">
        <f>IFERROR(__xludf.DUMMYFUNCTION("""COMPUTED_VALUE"""),"")</f>
        <v/>
      </c>
      <c r="G1771" t="str">
        <f>IFERROR(__xludf.DUMMYFUNCTION("""COMPUTED_VALUE"""),"")</f>
        <v/>
      </c>
      <c r="H1771" s="2" t="str">
        <f>IFERROR(__xludf.DUMMYFUNCTION("""COMPUTED_VALUE"""),"")</f>
        <v/>
      </c>
      <c r="I1771" s="2" t="str">
        <f>IFERROR(__xludf.DUMMYFUNCTION("""COMPUTED_VALUE"""),"")</f>
        <v/>
      </c>
      <c r="J1771" s="2">
        <f>IFERROR(__xludf.DUMMYFUNCTION("""COMPUTED_VALUE"""),0.0)</f>
        <v>0</v>
      </c>
      <c r="K1771" s="5" t="str">
        <f>IFERROR(__xludf.DUMMYFUNCTION("""COMPUTED_VALUE"""),"")</f>
        <v/>
      </c>
      <c r="L1771" t="str">
        <f>IFERROR(__xludf.DUMMYFUNCTION("""COMPUTED_VALUE"""),"")</f>
        <v/>
      </c>
      <c r="M1771" t="str">
        <f>IFERROR(__xludf.DUMMYFUNCTION("""COMPUTED_VALUE"""),"")</f>
        <v/>
      </c>
      <c r="N1771" t="str">
        <f>IFERROR(__xludf.DUMMYFUNCTION("""COMPUTED_VALUE"""),"")</f>
        <v/>
      </c>
      <c r="O1771" t="str">
        <f>IFERROR(__xludf.DUMMYFUNCTION("""COMPUTED_VALUE"""),"")</f>
        <v/>
      </c>
      <c r="P1771" t="str">
        <f>IFERROR(__xludf.DUMMYFUNCTION("""COMPUTED_VALUE"""),"ID ")</f>
        <v>ID </v>
      </c>
    </row>
    <row r="1772">
      <c r="A1772" s="6" t="str">
        <f>IFERROR(__xludf.DUMMYFUNCTION("""COMPUTED_VALUE"""),"")</f>
        <v/>
      </c>
      <c r="C1772" t="str">
        <f>IFERROR(__xludf.DUMMYFUNCTION("""COMPUTED_VALUE"""),"")</f>
        <v/>
      </c>
      <c r="D1772" t="str">
        <f>IFERROR(__xludf.DUMMYFUNCTION("""COMPUTED_VALUE"""),"")</f>
        <v/>
      </c>
      <c r="E1772" t="str">
        <f>IFERROR(__xludf.DUMMYFUNCTION("""COMPUTED_VALUE"""),"")</f>
        <v/>
      </c>
      <c r="F1772" t="str">
        <f>IFERROR(__xludf.DUMMYFUNCTION("""COMPUTED_VALUE"""),"")</f>
        <v/>
      </c>
      <c r="G1772" t="str">
        <f>IFERROR(__xludf.DUMMYFUNCTION("""COMPUTED_VALUE"""),"")</f>
        <v/>
      </c>
      <c r="H1772" s="2" t="str">
        <f>IFERROR(__xludf.DUMMYFUNCTION("""COMPUTED_VALUE"""),"")</f>
        <v/>
      </c>
      <c r="I1772" s="2" t="str">
        <f>IFERROR(__xludf.DUMMYFUNCTION("""COMPUTED_VALUE"""),"")</f>
        <v/>
      </c>
      <c r="J1772" s="2">
        <f>IFERROR(__xludf.DUMMYFUNCTION("""COMPUTED_VALUE"""),0.0)</f>
        <v>0</v>
      </c>
      <c r="K1772" s="5" t="str">
        <f>IFERROR(__xludf.DUMMYFUNCTION("""COMPUTED_VALUE"""),"")</f>
        <v/>
      </c>
      <c r="L1772" t="str">
        <f>IFERROR(__xludf.DUMMYFUNCTION("""COMPUTED_VALUE"""),"")</f>
        <v/>
      </c>
      <c r="M1772" t="str">
        <f>IFERROR(__xludf.DUMMYFUNCTION("""COMPUTED_VALUE"""),"")</f>
        <v/>
      </c>
      <c r="N1772" t="str">
        <f>IFERROR(__xludf.DUMMYFUNCTION("""COMPUTED_VALUE"""),"")</f>
        <v/>
      </c>
      <c r="O1772" t="str">
        <f>IFERROR(__xludf.DUMMYFUNCTION("""COMPUTED_VALUE"""),"")</f>
        <v/>
      </c>
      <c r="P1772" t="str">
        <f>IFERROR(__xludf.DUMMYFUNCTION("""COMPUTED_VALUE"""),"ID ")</f>
        <v>ID </v>
      </c>
    </row>
    <row r="1773">
      <c r="A1773" s="6" t="str">
        <f>IFERROR(__xludf.DUMMYFUNCTION("""COMPUTED_VALUE"""),"")</f>
        <v/>
      </c>
      <c r="C1773" t="str">
        <f>IFERROR(__xludf.DUMMYFUNCTION("""COMPUTED_VALUE"""),"")</f>
        <v/>
      </c>
      <c r="D1773" t="str">
        <f>IFERROR(__xludf.DUMMYFUNCTION("""COMPUTED_VALUE"""),"")</f>
        <v/>
      </c>
      <c r="E1773" t="str">
        <f>IFERROR(__xludf.DUMMYFUNCTION("""COMPUTED_VALUE"""),"")</f>
        <v/>
      </c>
      <c r="F1773" t="str">
        <f>IFERROR(__xludf.DUMMYFUNCTION("""COMPUTED_VALUE"""),"")</f>
        <v/>
      </c>
      <c r="G1773" t="str">
        <f>IFERROR(__xludf.DUMMYFUNCTION("""COMPUTED_VALUE"""),"")</f>
        <v/>
      </c>
      <c r="H1773" s="2" t="str">
        <f>IFERROR(__xludf.DUMMYFUNCTION("""COMPUTED_VALUE"""),"")</f>
        <v/>
      </c>
      <c r="I1773" s="2" t="str">
        <f>IFERROR(__xludf.DUMMYFUNCTION("""COMPUTED_VALUE"""),"")</f>
        <v/>
      </c>
      <c r="J1773" s="2">
        <f>IFERROR(__xludf.DUMMYFUNCTION("""COMPUTED_VALUE"""),0.0)</f>
        <v>0</v>
      </c>
      <c r="K1773" s="5" t="str">
        <f>IFERROR(__xludf.DUMMYFUNCTION("""COMPUTED_VALUE"""),"")</f>
        <v/>
      </c>
      <c r="L1773" t="str">
        <f>IFERROR(__xludf.DUMMYFUNCTION("""COMPUTED_VALUE"""),"")</f>
        <v/>
      </c>
      <c r="M1773" t="str">
        <f>IFERROR(__xludf.DUMMYFUNCTION("""COMPUTED_VALUE"""),"")</f>
        <v/>
      </c>
      <c r="N1773" t="str">
        <f>IFERROR(__xludf.DUMMYFUNCTION("""COMPUTED_VALUE"""),"")</f>
        <v/>
      </c>
      <c r="O1773" t="str">
        <f>IFERROR(__xludf.DUMMYFUNCTION("""COMPUTED_VALUE"""),"")</f>
        <v/>
      </c>
      <c r="P1773" t="str">
        <f>IFERROR(__xludf.DUMMYFUNCTION("""COMPUTED_VALUE"""),"ID ")</f>
        <v>ID </v>
      </c>
    </row>
    <row r="1774">
      <c r="A1774" s="6" t="str">
        <f>IFERROR(__xludf.DUMMYFUNCTION("""COMPUTED_VALUE"""),"")</f>
        <v/>
      </c>
      <c r="C1774" t="str">
        <f>IFERROR(__xludf.DUMMYFUNCTION("""COMPUTED_VALUE"""),"")</f>
        <v/>
      </c>
      <c r="D1774" t="str">
        <f>IFERROR(__xludf.DUMMYFUNCTION("""COMPUTED_VALUE"""),"")</f>
        <v/>
      </c>
      <c r="E1774" t="str">
        <f>IFERROR(__xludf.DUMMYFUNCTION("""COMPUTED_VALUE"""),"")</f>
        <v/>
      </c>
      <c r="F1774" t="str">
        <f>IFERROR(__xludf.DUMMYFUNCTION("""COMPUTED_VALUE"""),"")</f>
        <v/>
      </c>
      <c r="G1774" t="str">
        <f>IFERROR(__xludf.DUMMYFUNCTION("""COMPUTED_VALUE"""),"")</f>
        <v/>
      </c>
      <c r="H1774" s="2" t="str">
        <f>IFERROR(__xludf.DUMMYFUNCTION("""COMPUTED_VALUE"""),"")</f>
        <v/>
      </c>
      <c r="I1774" s="2" t="str">
        <f>IFERROR(__xludf.DUMMYFUNCTION("""COMPUTED_VALUE"""),"")</f>
        <v/>
      </c>
      <c r="J1774" s="2">
        <f>IFERROR(__xludf.DUMMYFUNCTION("""COMPUTED_VALUE"""),0.0)</f>
        <v>0</v>
      </c>
      <c r="K1774" s="5" t="str">
        <f>IFERROR(__xludf.DUMMYFUNCTION("""COMPUTED_VALUE"""),"")</f>
        <v/>
      </c>
      <c r="L1774" t="str">
        <f>IFERROR(__xludf.DUMMYFUNCTION("""COMPUTED_VALUE"""),"")</f>
        <v/>
      </c>
      <c r="M1774" t="str">
        <f>IFERROR(__xludf.DUMMYFUNCTION("""COMPUTED_VALUE"""),"")</f>
        <v/>
      </c>
      <c r="N1774" t="str">
        <f>IFERROR(__xludf.DUMMYFUNCTION("""COMPUTED_VALUE"""),"")</f>
        <v/>
      </c>
      <c r="O1774" t="str">
        <f>IFERROR(__xludf.DUMMYFUNCTION("""COMPUTED_VALUE"""),"")</f>
        <v/>
      </c>
      <c r="P1774" t="str">
        <f>IFERROR(__xludf.DUMMYFUNCTION("""COMPUTED_VALUE"""),"ID ")</f>
        <v>ID </v>
      </c>
    </row>
    <row r="1775">
      <c r="A1775" s="6" t="str">
        <f>IFERROR(__xludf.DUMMYFUNCTION("""COMPUTED_VALUE"""),"")</f>
        <v/>
      </c>
      <c r="C1775" t="str">
        <f>IFERROR(__xludf.DUMMYFUNCTION("""COMPUTED_VALUE"""),"")</f>
        <v/>
      </c>
      <c r="D1775" t="str">
        <f>IFERROR(__xludf.DUMMYFUNCTION("""COMPUTED_VALUE"""),"")</f>
        <v/>
      </c>
      <c r="E1775" t="str">
        <f>IFERROR(__xludf.DUMMYFUNCTION("""COMPUTED_VALUE"""),"")</f>
        <v/>
      </c>
      <c r="F1775" t="str">
        <f>IFERROR(__xludf.DUMMYFUNCTION("""COMPUTED_VALUE"""),"")</f>
        <v/>
      </c>
      <c r="G1775" t="str">
        <f>IFERROR(__xludf.DUMMYFUNCTION("""COMPUTED_VALUE"""),"")</f>
        <v/>
      </c>
      <c r="H1775" s="2" t="str">
        <f>IFERROR(__xludf.DUMMYFUNCTION("""COMPUTED_VALUE"""),"")</f>
        <v/>
      </c>
      <c r="I1775" s="2" t="str">
        <f>IFERROR(__xludf.DUMMYFUNCTION("""COMPUTED_VALUE"""),"")</f>
        <v/>
      </c>
      <c r="J1775" s="2">
        <f>IFERROR(__xludf.DUMMYFUNCTION("""COMPUTED_VALUE"""),0.0)</f>
        <v>0</v>
      </c>
      <c r="K1775" s="5" t="str">
        <f>IFERROR(__xludf.DUMMYFUNCTION("""COMPUTED_VALUE"""),"")</f>
        <v/>
      </c>
      <c r="L1775" t="str">
        <f>IFERROR(__xludf.DUMMYFUNCTION("""COMPUTED_VALUE"""),"")</f>
        <v/>
      </c>
      <c r="M1775" t="str">
        <f>IFERROR(__xludf.DUMMYFUNCTION("""COMPUTED_VALUE"""),"")</f>
        <v/>
      </c>
      <c r="N1775" t="str">
        <f>IFERROR(__xludf.DUMMYFUNCTION("""COMPUTED_VALUE"""),"")</f>
        <v/>
      </c>
      <c r="O1775" t="str">
        <f>IFERROR(__xludf.DUMMYFUNCTION("""COMPUTED_VALUE"""),"")</f>
        <v/>
      </c>
      <c r="P1775" t="str">
        <f>IFERROR(__xludf.DUMMYFUNCTION("""COMPUTED_VALUE"""),"ID ")</f>
        <v>ID </v>
      </c>
    </row>
    <row r="1776">
      <c r="A1776" s="6" t="str">
        <f>IFERROR(__xludf.DUMMYFUNCTION("""COMPUTED_VALUE"""),"")</f>
        <v/>
      </c>
      <c r="C1776" t="str">
        <f>IFERROR(__xludf.DUMMYFUNCTION("""COMPUTED_VALUE"""),"")</f>
        <v/>
      </c>
      <c r="D1776" t="str">
        <f>IFERROR(__xludf.DUMMYFUNCTION("""COMPUTED_VALUE"""),"")</f>
        <v/>
      </c>
      <c r="E1776" t="str">
        <f>IFERROR(__xludf.DUMMYFUNCTION("""COMPUTED_VALUE"""),"")</f>
        <v/>
      </c>
      <c r="F1776" t="str">
        <f>IFERROR(__xludf.DUMMYFUNCTION("""COMPUTED_VALUE"""),"")</f>
        <v/>
      </c>
      <c r="G1776" t="str">
        <f>IFERROR(__xludf.DUMMYFUNCTION("""COMPUTED_VALUE"""),"")</f>
        <v/>
      </c>
      <c r="H1776" s="2" t="str">
        <f>IFERROR(__xludf.DUMMYFUNCTION("""COMPUTED_VALUE"""),"")</f>
        <v/>
      </c>
      <c r="I1776" s="2" t="str">
        <f>IFERROR(__xludf.DUMMYFUNCTION("""COMPUTED_VALUE"""),"")</f>
        <v/>
      </c>
      <c r="J1776" s="2">
        <f>IFERROR(__xludf.DUMMYFUNCTION("""COMPUTED_VALUE"""),0.0)</f>
        <v>0</v>
      </c>
      <c r="K1776" s="5" t="str">
        <f>IFERROR(__xludf.DUMMYFUNCTION("""COMPUTED_VALUE"""),"")</f>
        <v/>
      </c>
      <c r="L1776" t="str">
        <f>IFERROR(__xludf.DUMMYFUNCTION("""COMPUTED_VALUE"""),"")</f>
        <v/>
      </c>
      <c r="M1776" t="str">
        <f>IFERROR(__xludf.DUMMYFUNCTION("""COMPUTED_VALUE"""),"")</f>
        <v/>
      </c>
      <c r="N1776" t="str">
        <f>IFERROR(__xludf.DUMMYFUNCTION("""COMPUTED_VALUE"""),"")</f>
        <v/>
      </c>
      <c r="O1776" t="str">
        <f>IFERROR(__xludf.DUMMYFUNCTION("""COMPUTED_VALUE"""),"")</f>
        <v/>
      </c>
      <c r="P1776" t="str">
        <f>IFERROR(__xludf.DUMMYFUNCTION("""COMPUTED_VALUE"""),"ID ")</f>
        <v>ID </v>
      </c>
    </row>
    <row r="1777">
      <c r="A1777" s="6" t="str">
        <f>IFERROR(__xludf.DUMMYFUNCTION("""COMPUTED_VALUE"""),"")</f>
        <v/>
      </c>
      <c r="C1777" t="str">
        <f>IFERROR(__xludf.DUMMYFUNCTION("""COMPUTED_VALUE"""),"")</f>
        <v/>
      </c>
      <c r="D1777" t="str">
        <f>IFERROR(__xludf.DUMMYFUNCTION("""COMPUTED_VALUE"""),"")</f>
        <v/>
      </c>
      <c r="E1777" t="str">
        <f>IFERROR(__xludf.DUMMYFUNCTION("""COMPUTED_VALUE"""),"")</f>
        <v/>
      </c>
      <c r="F1777" t="str">
        <f>IFERROR(__xludf.DUMMYFUNCTION("""COMPUTED_VALUE"""),"")</f>
        <v/>
      </c>
      <c r="G1777" t="str">
        <f>IFERROR(__xludf.DUMMYFUNCTION("""COMPUTED_VALUE"""),"")</f>
        <v/>
      </c>
      <c r="H1777" s="2" t="str">
        <f>IFERROR(__xludf.DUMMYFUNCTION("""COMPUTED_VALUE"""),"")</f>
        <v/>
      </c>
      <c r="I1777" s="2" t="str">
        <f>IFERROR(__xludf.DUMMYFUNCTION("""COMPUTED_VALUE"""),"")</f>
        <v/>
      </c>
      <c r="J1777" s="2">
        <f>IFERROR(__xludf.DUMMYFUNCTION("""COMPUTED_VALUE"""),0.0)</f>
        <v>0</v>
      </c>
      <c r="K1777" s="5" t="str">
        <f>IFERROR(__xludf.DUMMYFUNCTION("""COMPUTED_VALUE"""),"")</f>
        <v/>
      </c>
      <c r="L1777" t="str">
        <f>IFERROR(__xludf.DUMMYFUNCTION("""COMPUTED_VALUE"""),"")</f>
        <v/>
      </c>
      <c r="M1777" t="str">
        <f>IFERROR(__xludf.DUMMYFUNCTION("""COMPUTED_VALUE"""),"")</f>
        <v/>
      </c>
      <c r="N1777" t="str">
        <f>IFERROR(__xludf.DUMMYFUNCTION("""COMPUTED_VALUE"""),"")</f>
        <v/>
      </c>
      <c r="O1777" t="str">
        <f>IFERROR(__xludf.DUMMYFUNCTION("""COMPUTED_VALUE"""),"")</f>
        <v/>
      </c>
      <c r="P1777" t="str">
        <f>IFERROR(__xludf.DUMMYFUNCTION("""COMPUTED_VALUE"""),"ID ")</f>
        <v>ID </v>
      </c>
    </row>
    <row r="1778">
      <c r="A1778" s="6" t="str">
        <f>IFERROR(__xludf.DUMMYFUNCTION("""COMPUTED_VALUE"""),"")</f>
        <v/>
      </c>
      <c r="C1778" t="str">
        <f>IFERROR(__xludf.DUMMYFUNCTION("""COMPUTED_VALUE"""),"")</f>
        <v/>
      </c>
      <c r="D1778" t="str">
        <f>IFERROR(__xludf.DUMMYFUNCTION("""COMPUTED_VALUE"""),"")</f>
        <v/>
      </c>
      <c r="E1778" t="str">
        <f>IFERROR(__xludf.DUMMYFUNCTION("""COMPUTED_VALUE"""),"")</f>
        <v/>
      </c>
      <c r="F1778" t="str">
        <f>IFERROR(__xludf.DUMMYFUNCTION("""COMPUTED_VALUE"""),"")</f>
        <v/>
      </c>
      <c r="G1778" t="str">
        <f>IFERROR(__xludf.DUMMYFUNCTION("""COMPUTED_VALUE"""),"")</f>
        <v/>
      </c>
      <c r="H1778" s="2" t="str">
        <f>IFERROR(__xludf.DUMMYFUNCTION("""COMPUTED_VALUE"""),"")</f>
        <v/>
      </c>
      <c r="I1778" s="2" t="str">
        <f>IFERROR(__xludf.DUMMYFUNCTION("""COMPUTED_VALUE"""),"")</f>
        <v/>
      </c>
      <c r="J1778" s="2">
        <f>IFERROR(__xludf.DUMMYFUNCTION("""COMPUTED_VALUE"""),0.0)</f>
        <v>0</v>
      </c>
      <c r="K1778" s="5" t="str">
        <f>IFERROR(__xludf.DUMMYFUNCTION("""COMPUTED_VALUE"""),"")</f>
        <v/>
      </c>
      <c r="L1778" t="str">
        <f>IFERROR(__xludf.DUMMYFUNCTION("""COMPUTED_VALUE"""),"")</f>
        <v/>
      </c>
      <c r="M1778" t="str">
        <f>IFERROR(__xludf.DUMMYFUNCTION("""COMPUTED_VALUE"""),"")</f>
        <v/>
      </c>
      <c r="N1778" t="str">
        <f>IFERROR(__xludf.DUMMYFUNCTION("""COMPUTED_VALUE"""),"")</f>
        <v/>
      </c>
      <c r="O1778" t="str">
        <f>IFERROR(__xludf.DUMMYFUNCTION("""COMPUTED_VALUE"""),"")</f>
        <v/>
      </c>
      <c r="P1778" t="str">
        <f>IFERROR(__xludf.DUMMYFUNCTION("""COMPUTED_VALUE"""),"ID ")</f>
        <v>ID </v>
      </c>
    </row>
    <row r="1779">
      <c r="A1779" s="6" t="str">
        <f>IFERROR(__xludf.DUMMYFUNCTION("""COMPUTED_VALUE"""),"")</f>
        <v/>
      </c>
      <c r="C1779" t="str">
        <f>IFERROR(__xludf.DUMMYFUNCTION("""COMPUTED_VALUE"""),"")</f>
        <v/>
      </c>
      <c r="D1779" t="str">
        <f>IFERROR(__xludf.DUMMYFUNCTION("""COMPUTED_VALUE"""),"")</f>
        <v/>
      </c>
      <c r="E1779" t="str">
        <f>IFERROR(__xludf.DUMMYFUNCTION("""COMPUTED_VALUE"""),"")</f>
        <v/>
      </c>
      <c r="F1779" t="str">
        <f>IFERROR(__xludf.DUMMYFUNCTION("""COMPUTED_VALUE"""),"")</f>
        <v/>
      </c>
      <c r="G1779" t="str">
        <f>IFERROR(__xludf.DUMMYFUNCTION("""COMPUTED_VALUE"""),"")</f>
        <v/>
      </c>
      <c r="H1779" s="2" t="str">
        <f>IFERROR(__xludf.DUMMYFUNCTION("""COMPUTED_VALUE"""),"")</f>
        <v/>
      </c>
      <c r="I1779" s="2" t="str">
        <f>IFERROR(__xludf.DUMMYFUNCTION("""COMPUTED_VALUE"""),"")</f>
        <v/>
      </c>
      <c r="J1779" s="2">
        <f>IFERROR(__xludf.DUMMYFUNCTION("""COMPUTED_VALUE"""),0.0)</f>
        <v>0</v>
      </c>
      <c r="K1779" s="5" t="str">
        <f>IFERROR(__xludf.DUMMYFUNCTION("""COMPUTED_VALUE"""),"")</f>
        <v/>
      </c>
      <c r="L1779" t="str">
        <f>IFERROR(__xludf.DUMMYFUNCTION("""COMPUTED_VALUE"""),"")</f>
        <v/>
      </c>
      <c r="M1779" t="str">
        <f>IFERROR(__xludf.DUMMYFUNCTION("""COMPUTED_VALUE"""),"")</f>
        <v/>
      </c>
      <c r="N1779" t="str">
        <f>IFERROR(__xludf.DUMMYFUNCTION("""COMPUTED_VALUE"""),"")</f>
        <v/>
      </c>
      <c r="O1779" t="str">
        <f>IFERROR(__xludf.DUMMYFUNCTION("""COMPUTED_VALUE"""),"")</f>
        <v/>
      </c>
      <c r="P1779" t="str">
        <f>IFERROR(__xludf.DUMMYFUNCTION("""COMPUTED_VALUE"""),"ID ")</f>
        <v>ID </v>
      </c>
    </row>
    <row r="1780">
      <c r="A1780" s="6" t="str">
        <f>IFERROR(__xludf.DUMMYFUNCTION("""COMPUTED_VALUE"""),"")</f>
        <v/>
      </c>
      <c r="C1780" t="str">
        <f>IFERROR(__xludf.DUMMYFUNCTION("""COMPUTED_VALUE"""),"")</f>
        <v/>
      </c>
      <c r="D1780" t="str">
        <f>IFERROR(__xludf.DUMMYFUNCTION("""COMPUTED_VALUE"""),"")</f>
        <v/>
      </c>
      <c r="E1780" t="str">
        <f>IFERROR(__xludf.DUMMYFUNCTION("""COMPUTED_VALUE"""),"")</f>
        <v/>
      </c>
      <c r="F1780" t="str">
        <f>IFERROR(__xludf.DUMMYFUNCTION("""COMPUTED_VALUE"""),"")</f>
        <v/>
      </c>
      <c r="G1780" t="str">
        <f>IFERROR(__xludf.DUMMYFUNCTION("""COMPUTED_VALUE"""),"")</f>
        <v/>
      </c>
      <c r="H1780" s="2" t="str">
        <f>IFERROR(__xludf.DUMMYFUNCTION("""COMPUTED_VALUE"""),"")</f>
        <v/>
      </c>
      <c r="I1780" s="2" t="str">
        <f>IFERROR(__xludf.DUMMYFUNCTION("""COMPUTED_VALUE"""),"")</f>
        <v/>
      </c>
      <c r="J1780" s="2">
        <f>IFERROR(__xludf.DUMMYFUNCTION("""COMPUTED_VALUE"""),0.0)</f>
        <v>0</v>
      </c>
      <c r="K1780" s="5" t="str">
        <f>IFERROR(__xludf.DUMMYFUNCTION("""COMPUTED_VALUE"""),"")</f>
        <v/>
      </c>
      <c r="L1780" t="str">
        <f>IFERROR(__xludf.DUMMYFUNCTION("""COMPUTED_VALUE"""),"")</f>
        <v/>
      </c>
      <c r="M1780" t="str">
        <f>IFERROR(__xludf.DUMMYFUNCTION("""COMPUTED_VALUE"""),"")</f>
        <v/>
      </c>
      <c r="N1780" t="str">
        <f>IFERROR(__xludf.DUMMYFUNCTION("""COMPUTED_VALUE"""),"")</f>
        <v/>
      </c>
      <c r="O1780" t="str">
        <f>IFERROR(__xludf.DUMMYFUNCTION("""COMPUTED_VALUE"""),"")</f>
        <v/>
      </c>
      <c r="P1780" t="str">
        <f>IFERROR(__xludf.DUMMYFUNCTION("""COMPUTED_VALUE"""),"ID ")</f>
        <v>ID </v>
      </c>
    </row>
    <row r="1781">
      <c r="A1781" s="6" t="str">
        <f>IFERROR(__xludf.DUMMYFUNCTION("""COMPUTED_VALUE"""),"")</f>
        <v/>
      </c>
      <c r="C1781" t="str">
        <f>IFERROR(__xludf.DUMMYFUNCTION("""COMPUTED_VALUE"""),"")</f>
        <v/>
      </c>
      <c r="D1781" t="str">
        <f>IFERROR(__xludf.DUMMYFUNCTION("""COMPUTED_VALUE"""),"")</f>
        <v/>
      </c>
      <c r="E1781" t="str">
        <f>IFERROR(__xludf.DUMMYFUNCTION("""COMPUTED_VALUE"""),"")</f>
        <v/>
      </c>
      <c r="F1781" t="str">
        <f>IFERROR(__xludf.DUMMYFUNCTION("""COMPUTED_VALUE"""),"")</f>
        <v/>
      </c>
      <c r="G1781" t="str">
        <f>IFERROR(__xludf.DUMMYFUNCTION("""COMPUTED_VALUE"""),"")</f>
        <v/>
      </c>
      <c r="H1781" s="2" t="str">
        <f>IFERROR(__xludf.DUMMYFUNCTION("""COMPUTED_VALUE"""),"")</f>
        <v/>
      </c>
      <c r="I1781" s="2" t="str">
        <f>IFERROR(__xludf.DUMMYFUNCTION("""COMPUTED_VALUE"""),"")</f>
        <v/>
      </c>
      <c r="J1781" s="2">
        <f>IFERROR(__xludf.DUMMYFUNCTION("""COMPUTED_VALUE"""),0.0)</f>
        <v>0</v>
      </c>
      <c r="K1781" s="5" t="str">
        <f>IFERROR(__xludf.DUMMYFUNCTION("""COMPUTED_VALUE"""),"")</f>
        <v/>
      </c>
      <c r="L1781" t="str">
        <f>IFERROR(__xludf.DUMMYFUNCTION("""COMPUTED_VALUE"""),"")</f>
        <v/>
      </c>
      <c r="M1781" t="str">
        <f>IFERROR(__xludf.DUMMYFUNCTION("""COMPUTED_VALUE"""),"")</f>
        <v/>
      </c>
      <c r="N1781" t="str">
        <f>IFERROR(__xludf.DUMMYFUNCTION("""COMPUTED_VALUE"""),"")</f>
        <v/>
      </c>
      <c r="O1781" t="str">
        <f>IFERROR(__xludf.DUMMYFUNCTION("""COMPUTED_VALUE"""),"")</f>
        <v/>
      </c>
      <c r="P1781" t="str">
        <f>IFERROR(__xludf.DUMMYFUNCTION("""COMPUTED_VALUE"""),"ID ")</f>
        <v>ID </v>
      </c>
    </row>
    <row r="1782">
      <c r="A1782" s="6" t="str">
        <f>IFERROR(__xludf.DUMMYFUNCTION("""COMPUTED_VALUE"""),"")</f>
        <v/>
      </c>
      <c r="C1782" t="str">
        <f>IFERROR(__xludf.DUMMYFUNCTION("""COMPUTED_VALUE"""),"")</f>
        <v/>
      </c>
      <c r="D1782" t="str">
        <f>IFERROR(__xludf.DUMMYFUNCTION("""COMPUTED_VALUE"""),"")</f>
        <v/>
      </c>
      <c r="E1782" t="str">
        <f>IFERROR(__xludf.DUMMYFUNCTION("""COMPUTED_VALUE"""),"")</f>
        <v/>
      </c>
      <c r="F1782" t="str">
        <f>IFERROR(__xludf.DUMMYFUNCTION("""COMPUTED_VALUE"""),"")</f>
        <v/>
      </c>
      <c r="G1782" t="str">
        <f>IFERROR(__xludf.DUMMYFUNCTION("""COMPUTED_VALUE"""),"")</f>
        <v/>
      </c>
      <c r="H1782" s="2" t="str">
        <f>IFERROR(__xludf.DUMMYFUNCTION("""COMPUTED_VALUE"""),"")</f>
        <v/>
      </c>
      <c r="I1782" s="2" t="str">
        <f>IFERROR(__xludf.DUMMYFUNCTION("""COMPUTED_VALUE"""),"")</f>
        <v/>
      </c>
      <c r="J1782" s="2">
        <f>IFERROR(__xludf.DUMMYFUNCTION("""COMPUTED_VALUE"""),0.0)</f>
        <v>0</v>
      </c>
      <c r="K1782" s="5" t="str">
        <f>IFERROR(__xludf.DUMMYFUNCTION("""COMPUTED_VALUE"""),"")</f>
        <v/>
      </c>
      <c r="L1782" t="str">
        <f>IFERROR(__xludf.DUMMYFUNCTION("""COMPUTED_VALUE"""),"")</f>
        <v/>
      </c>
      <c r="M1782" t="str">
        <f>IFERROR(__xludf.DUMMYFUNCTION("""COMPUTED_VALUE"""),"")</f>
        <v/>
      </c>
      <c r="N1782" t="str">
        <f>IFERROR(__xludf.DUMMYFUNCTION("""COMPUTED_VALUE"""),"")</f>
        <v/>
      </c>
      <c r="O1782" t="str">
        <f>IFERROR(__xludf.DUMMYFUNCTION("""COMPUTED_VALUE"""),"")</f>
        <v/>
      </c>
      <c r="P1782" t="str">
        <f>IFERROR(__xludf.DUMMYFUNCTION("""COMPUTED_VALUE"""),"ID ")</f>
        <v>ID </v>
      </c>
    </row>
    <row r="1783">
      <c r="A1783" s="6" t="str">
        <f>IFERROR(__xludf.DUMMYFUNCTION("""COMPUTED_VALUE"""),"")</f>
        <v/>
      </c>
      <c r="C1783" t="str">
        <f>IFERROR(__xludf.DUMMYFUNCTION("""COMPUTED_VALUE"""),"")</f>
        <v/>
      </c>
      <c r="D1783" t="str">
        <f>IFERROR(__xludf.DUMMYFUNCTION("""COMPUTED_VALUE"""),"")</f>
        <v/>
      </c>
      <c r="E1783" t="str">
        <f>IFERROR(__xludf.DUMMYFUNCTION("""COMPUTED_VALUE"""),"")</f>
        <v/>
      </c>
      <c r="F1783" t="str">
        <f>IFERROR(__xludf.DUMMYFUNCTION("""COMPUTED_VALUE"""),"")</f>
        <v/>
      </c>
      <c r="G1783" t="str">
        <f>IFERROR(__xludf.DUMMYFUNCTION("""COMPUTED_VALUE"""),"")</f>
        <v/>
      </c>
      <c r="H1783" s="2" t="str">
        <f>IFERROR(__xludf.DUMMYFUNCTION("""COMPUTED_VALUE"""),"")</f>
        <v/>
      </c>
      <c r="I1783" s="2" t="str">
        <f>IFERROR(__xludf.DUMMYFUNCTION("""COMPUTED_VALUE"""),"")</f>
        <v/>
      </c>
      <c r="J1783" s="2">
        <f>IFERROR(__xludf.DUMMYFUNCTION("""COMPUTED_VALUE"""),0.0)</f>
        <v>0</v>
      </c>
      <c r="K1783" s="5" t="str">
        <f>IFERROR(__xludf.DUMMYFUNCTION("""COMPUTED_VALUE"""),"")</f>
        <v/>
      </c>
      <c r="L1783" t="str">
        <f>IFERROR(__xludf.DUMMYFUNCTION("""COMPUTED_VALUE"""),"")</f>
        <v/>
      </c>
      <c r="M1783" t="str">
        <f>IFERROR(__xludf.DUMMYFUNCTION("""COMPUTED_VALUE"""),"")</f>
        <v/>
      </c>
      <c r="N1783" t="str">
        <f>IFERROR(__xludf.DUMMYFUNCTION("""COMPUTED_VALUE"""),"")</f>
        <v/>
      </c>
      <c r="O1783" t="str">
        <f>IFERROR(__xludf.DUMMYFUNCTION("""COMPUTED_VALUE"""),"")</f>
        <v/>
      </c>
      <c r="P1783" t="str">
        <f>IFERROR(__xludf.DUMMYFUNCTION("""COMPUTED_VALUE"""),"ID ")</f>
        <v>ID </v>
      </c>
    </row>
    <row r="1784">
      <c r="A1784" s="6" t="str">
        <f>IFERROR(__xludf.DUMMYFUNCTION("""COMPUTED_VALUE"""),"")</f>
        <v/>
      </c>
      <c r="C1784" t="str">
        <f>IFERROR(__xludf.DUMMYFUNCTION("""COMPUTED_VALUE"""),"")</f>
        <v/>
      </c>
      <c r="D1784" t="str">
        <f>IFERROR(__xludf.DUMMYFUNCTION("""COMPUTED_VALUE"""),"")</f>
        <v/>
      </c>
      <c r="E1784" t="str">
        <f>IFERROR(__xludf.DUMMYFUNCTION("""COMPUTED_VALUE"""),"")</f>
        <v/>
      </c>
      <c r="F1784" t="str">
        <f>IFERROR(__xludf.DUMMYFUNCTION("""COMPUTED_VALUE"""),"")</f>
        <v/>
      </c>
      <c r="G1784" t="str">
        <f>IFERROR(__xludf.DUMMYFUNCTION("""COMPUTED_VALUE"""),"")</f>
        <v/>
      </c>
      <c r="H1784" s="2" t="str">
        <f>IFERROR(__xludf.DUMMYFUNCTION("""COMPUTED_VALUE"""),"")</f>
        <v/>
      </c>
      <c r="I1784" s="2" t="str">
        <f>IFERROR(__xludf.DUMMYFUNCTION("""COMPUTED_VALUE"""),"")</f>
        <v/>
      </c>
      <c r="J1784" s="2">
        <f>IFERROR(__xludf.DUMMYFUNCTION("""COMPUTED_VALUE"""),0.0)</f>
        <v>0</v>
      </c>
      <c r="K1784" s="5" t="str">
        <f>IFERROR(__xludf.DUMMYFUNCTION("""COMPUTED_VALUE"""),"")</f>
        <v/>
      </c>
      <c r="L1784" t="str">
        <f>IFERROR(__xludf.DUMMYFUNCTION("""COMPUTED_VALUE"""),"")</f>
        <v/>
      </c>
      <c r="M1784" t="str">
        <f>IFERROR(__xludf.DUMMYFUNCTION("""COMPUTED_VALUE"""),"")</f>
        <v/>
      </c>
      <c r="N1784" t="str">
        <f>IFERROR(__xludf.DUMMYFUNCTION("""COMPUTED_VALUE"""),"")</f>
        <v/>
      </c>
      <c r="O1784" t="str">
        <f>IFERROR(__xludf.DUMMYFUNCTION("""COMPUTED_VALUE"""),"")</f>
        <v/>
      </c>
      <c r="P1784" t="str">
        <f>IFERROR(__xludf.DUMMYFUNCTION("""COMPUTED_VALUE"""),"ID ")</f>
        <v>ID </v>
      </c>
    </row>
    <row r="1785">
      <c r="A1785" s="6" t="str">
        <f>IFERROR(__xludf.DUMMYFUNCTION("""COMPUTED_VALUE"""),"")</f>
        <v/>
      </c>
      <c r="C1785" t="str">
        <f>IFERROR(__xludf.DUMMYFUNCTION("""COMPUTED_VALUE"""),"")</f>
        <v/>
      </c>
      <c r="D1785" t="str">
        <f>IFERROR(__xludf.DUMMYFUNCTION("""COMPUTED_VALUE"""),"")</f>
        <v/>
      </c>
      <c r="E1785" t="str">
        <f>IFERROR(__xludf.DUMMYFUNCTION("""COMPUTED_VALUE"""),"")</f>
        <v/>
      </c>
      <c r="F1785" t="str">
        <f>IFERROR(__xludf.DUMMYFUNCTION("""COMPUTED_VALUE"""),"")</f>
        <v/>
      </c>
      <c r="G1785" t="str">
        <f>IFERROR(__xludf.DUMMYFUNCTION("""COMPUTED_VALUE"""),"")</f>
        <v/>
      </c>
      <c r="H1785" s="2" t="str">
        <f>IFERROR(__xludf.DUMMYFUNCTION("""COMPUTED_VALUE"""),"")</f>
        <v/>
      </c>
      <c r="I1785" s="2" t="str">
        <f>IFERROR(__xludf.DUMMYFUNCTION("""COMPUTED_VALUE"""),"")</f>
        <v/>
      </c>
      <c r="J1785" s="2">
        <f>IFERROR(__xludf.DUMMYFUNCTION("""COMPUTED_VALUE"""),0.0)</f>
        <v>0</v>
      </c>
      <c r="K1785" s="5" t="str">
        <f>IFERROR(__xludf.DUMMYFUNCTION("""COMPUTED_VALUE"""),"")</f>
        <v/>
      </c>
      <c r="L1785" t="str">
        <f>IFERROR(__xludf.DUMMYFUNCTION("""COMPUTED_VALUE"""),"")</f>
        <v/>
      </c>
      <c r="M1785" t="str">
        <f>IFERROR(__xludf.DUMMYFUNCTION("""COMPUTED_VALUE"""),"")</f>
        <v/>
      </c>
      <c r="N1785" t="str">
        <f>IFERROR(__xludf.DUMMYFUNCTION("""COMPUTED_VALUE"""),"")</f>
        <v/>
      </c>
      <c r="O1785" t="str">
        <f>IFERROR(__xludf.DUMMYFUNCTION("""COMPUTED_VALUE"""),"")</f>
        <v/>
      </c>
      <c r="P1785" t="str">
        <f>IFERROR(__xludf.DUMMYFUNCTION("""COMPUTED_VALUE"""),"ID ")</f>
        <v>ID </v>
      </c>
    </row>
    <row r="1786">
      <c r="A1786" s="6" t="str">
        <f>IFERROR(__xludf.DUMMYFUNCTION("""COMPUTED_VALUE"""),"")</f>
        <v/>
      </c>
      <c r="C1786" t="str">
        <f>IFERROR(__xludf.DUMMYFUNCTION("""COMPUTED_VALUE"""),"")</f>
        <v/>
      </c>
      <c r="D1786" t="str">
        <f>IFERROR(__xludf.DUMMYFUNCTION("""COMPUTED_VALUE"""),"")</f>
        <v/>
      </c>
      <c r="E1786" t="str">
        <f>IFERROR(__xludf.DUMMYFUNCTION("""COMPUTED_VALUE"""),"")</f>
        <v/>
      </c>
      <c r="F1786" t="str">
        <f>IFERROR(__xludf.DUMMYFUNCTION("""COMPUTED_VALUE"""),"")</f>
        <v/>
      </c>
      <c r="G1786" t="str">
        <f>IFERROR(__xludf.DUMMYFUNCTION("""COMPUTED_VALUE"""),"")</f>
        <v/>
      </c>
      <c r="H1786" s="2" t="str">
        <f>IFERROR(__xludf.DUMMYFUNCTION("""COMPUTED_VALUE"""),"")</f>
        <v/>
      </c>
      <c r="I1786" s="2" t="str">
        <f>IFERROR(__xludf.DUMMYFUNCTION("""COMPUTED_VALUE"""),"")</f>
        <v/>
      </c>
      <c r="J1786" s="2">
        <f>IFERROR(__xludf.DUMMYFUNCTION("""COMPUTED_VALUE"""),0.0)</f>
        <v>0</v>
      </c>
      <c r="K1786" s="5" t="str">
        <f>IFERROR(__xludf.DUMMYFUNCTION("""COMPUTED_VALUE"""),"")</f>
        <v/>
      </c>
      <c r="L1786" t="str">
        <f>IFERROR(__xludf.DUMMYFUNCTION("""COMPUTED_VALUE"""),"")</f>
        <v/>
      </c>
      <c r="M1786" t="str">
        <f>IFERROR(__xludf.DUMMYFUNCTION("""COMPUTED_VALUE"""),"")</f>
        <v/>
      </c>
      <c r="N1786" t="str">
        <f>IFERROR(__xludf.DUMMYFUNCTION("""COMPUTED_VALUE"""),"")</f>
        <v/>
      </c>
      <c r="O1786" t="str">
        <f>IFERROR(__xludf.DUMMYFUNCTION("""COMPUTED_VALUE"""),"")</f>
        <v/>
      </c>
      <c r="P1786" t="str">
        <f>IFERROR(__xludf.DUMMYFUNCTION("""COMPUTED_VALUE"""),"ID ")</f>
        <v>ID </v>
      </c>
    </row>
    <row r="1787">
      <c r="A1787" s="6" t="str">
        <f>IFERROR(__xludf.DUMMYFUNCTION("""COMPUTED_VALUE"""),"")</f>
        <v/>
      </c>
      <c r="C1787" t="str">
        <f>IFERROR(__xludf.DUMMYFUNCTION("""COMPUTED_VALUE"""),"")</f>
        <v/>
      </c>
      <c r="D1787" t="str">
        <f>IFERROR(__xludf.DUMMYFUNCTION("""COMPUTED_VALUE"""),"")</f>
        <v/>
      </c>
      <c r="E1787" t="str">
        <f>IFERROR(__xludf.DUMMYFUNCTION("""COMPUTED_VALUE"""),"")</f>
        <v/>
      </c>
      <c r="F1787" t="str">
        <f>IFERROR(__xludf.DUMMYFUNCTION("""COMPUTED_VALUE"""),"")</f>
        <v/>
      </c>
      <c r="G1787" t="str">
        <f>IFERROR(__xludf.DUMMYFUNCTION("""COMPUTED_VALUE"""),"")</f>
        <v/>
      </c>
      <c r="H1787" s="2" t="str">
        <f>IFERROR(__xludf.DUMMYFUNCTION("""COMPUTED_VALUE"""),"")</f>
        <v/>
      </c>
      <c r="I1787" s="2" t="str">
        <f>IFERROR(__xludf.DUMMYFUNCTION("""COMPUTED_VALUE"""),"")</f>
        <v/>
      </c>
      <c r="J1787" s="2">
        <f>IFERROR(__xludf.DUMMYFUNCTION("""COMPUTED_VALUE"""),0.0)</f>
        <v>0</v>
      </c>
      <c r="K1787" s="5" t="str">
        <f>IFERROR(__xludf.DUMMYFUNCTION("""COMPUTED_VALUE"""),"")</f>
        <v/>
      </c>
      <c r="L1787" t="str">
        <f>IFERROR(__xludf.DUMMYFUNCTION("""COMPUTED_VALUE"""),"")</f>
        <v/>
      </c>
      <c r="M1787" t="str">
        <f>IFERROR(__xludf.DUMMYFUNCTION("""COMPUTED_VALUE"""),"")</f>
        <v/>
      </c>
      <c r="N1787" t="str">
        <f>IFERROR(__xludf.DUMMYFUNCTION("""COMPUTED_VALUE"""),"")</f>
        <v/>
      </c>
      <c r="O1787" t="str">
        <f>IFERROR(__xludf.DUMMYFUNCTION("""COMPUTED_VALUE"""),"")</f>
        <v/>
      </c>
      <c r="P1787" t="str">
        <f>IFERROR(__xludf.DUMMYFUNCTION("""COMPUTED_VALUE"""),"ID ")</f>
        <v>ID </v>
      </c>
    </row>
    <row r="1788">
      <c r="A1788" s="6" t="str">
        <f>IFERROR(__xludf.DUMMYFUNCTION("""COMPUTED_VALUE"""),"")</f>
        <v/>
      </c>
      <c r="C1788" t="str">
        <f>IFERROR(__xludf.DUMMYFUNCTION("""COMPUTED_VALUE"""),"")</f>
        <v/>
      </c>
      <c r="D1788" t="str">
        <f>IFERROR(__xludf.DUMMYFUNCTION("""COMPUTED_VALUE"""),"")</f>
        <v/>
      </c>
      <c r="E1788" t="str">
        <f>IFERROR(__xludf.DUMMYFUNCTION("""COMPUTED_VALUE"""),"")</f>
        <v/>
      </c>
      <c r="F1788" t="str">
        <f>IFERROR(__xludf.DUMMYFUNCTION("""COMPUTED_VALUE"""),"")</f>
        <v/>
      </c>
      <c r="G1788" t="str">
        <f>IFERROR(__xludf.DUMMYFUNCTION("""COMPUTED_VALUE"""),"")</f>
        <v/>
      </c>
      <c r="H1788" s="2" t="str">
        <f>IFERROR(__xludf.DUMMYFUNCTION("""COMPUTED_VALUE"""),"")</f>
        <v/>
      </c>
      <c r="I1788" s="2" t="str">
        <f>IFERROR(__xludf.DUMMYFUNCTION("""COMPUTED_VALUE"""),"")</f>
        <v/>
      </c>
      <c r="J1788" s="2">
        <f>IFERROR(__xludf.DUMMYFUNCTION("""COMPUTED_VALUE"""),0.0)</f>
        <v>0</v>
      </c>
      <c r="K1788" s="5" t="str">
        <f>IFERROR(__xludf.DUMMYFUNCTION("""COMPUTED_VALUE"""),"")</f>
        <v/>
      </c>
      <c r="L1788" t="str">
        <f>IFERROR(__xludf.DUMMYFUNCTION("""COMPUTED_VALUE"""),"")</f>
        <v/>
      </c>
      <c r="M1788" t="str">
        <f>IFERROR(__xludf.DUMMYFUNCTION("""COMPUTED_VALUE"""),"")</f>
        <v/>
      </c>
      <c r="N1788" t="str">
        <f>IFERROR(__xludf.DUMMYFUNCTION("""COMPUTED_VALUE"""),"")</f>
        <v/>
      </c>
      <c r="O1788" t="str">
        <f>IFERROR(__xludf.DUMMYFUNCTION("""COMPUTED_VALUE"""),"")</f>
        <v/>
      </c>
      <c r="P1788" t="str">
        <f>IFERROR(__xludf.DUMMYFUNCTION("""COMPUTED_VALUE"""),"ID ")</f>
        <v>ID </v>
      </c>
    </row>
    <row r="1789">
      <c r="A1789" s="6" t="str">
        <f>IFERROR(__xludf.DUMMYFUNCTION("""COMPUTED_VALUE"""),"")</f>
        <v/>
      </c>
      <c r="C1789" t="str">
        <f>IFERROR(__xludf.DUMMYFUNCTION("""COMPUTED_VALUE"""),"")</f>
        <v/>
      </c>
      <c r="D1789" t="str">
        <f>IFERROR(__xludf.DUMMYFUNCTION("""COMPUTED_VALUE"""),"")</f>
        <v/>
      </c>
      <c r="E1789" t="str">
        <f>IFERROR(__xludf.DUMMYFUNCTION("""COMPUTED_VALUE"""),"")</f>
        <v/>
      </c>
      <c r="F1789" t="str">
        <f>IFERROR(__xludf.DUMMYFUNCTION("""COMPUTED_VALUE"""),"")</f>
        <v/>
      </c>
      <c r="G1789" t="str">
        <f>IFERROR(__xludf.DUMMYFUNCTION("""COMPUTED_VALUE"""),"")</f>
        <v/>
      </c>
      <c r="H1789" s="2" t="str">
        <f>IFERROR(__xludf.DUMMYFUNCTION("""COMPUTED_VALUE"""),"")</f>
        <v/>
      </c>
      <c r="I1789" s="2" t="str">
        <f>IFERROR(__xludf.DUMMYFUNCTION("""COMPUTED_VALUE"""),"")</f>
        <v/>
      </c>
      <c r="J1789" s="2">
        <f>IFERROR(__xludf.DUMMYFUNCTION("""COMPUTED_VALUE"""),0.0)</f>
        <v>0</v>
      </c>
      <c r="K1789" s="5" t="str">
        <f>IFERROR(__xludf.DUMMYFUNCTION("""COMPUTED_VALUE"""),"")</f>
        <v/>
      </c>
      <c r="L1789" t="str">
        <f>IFERROR(__xludf.DUMMYFUNCTION("""COMPUTED_VALUE"""),"")</f>
        <v/>
      </c>
      <c r="M1789" t="str">
        <f>IFERROR(__xludf.DUMMYFUNCTION("""COMPUTED_VALUE"""),"")</f>
        <v/>
      </c>
      <c r="N1789" t="str">
        <f>IFERROR(__xludf.DUMMYFUNCTION("""COMPUTED_VALUE"""),"")</f>
        <v/>
      </c>
      <c r="O1789" t="str">
        <f>IFERROR(__xludf.DUMMYFUNCTION("""COMPUTED_VALUE"""),"")</f>
        <v/>
      </c>
      <c r="P1789" t="str">
        <f>IFERROR(__xludf.DUMMYFUNCTION("""COMPUTED_VALUE"""),"ID ")</f>
        <v>ID </v>
      </c>
    </row>
    <row r="1790">
      <c r="A1790" s="6" t="str">
        <f>IFERROR(__xludf.DUMMYFUNCTION("""COMPUTED_VALUE"""),"")</f>
        <v/>
      </c>
      <c r="C1790" t="str">
        <f>IFERROR(__xludf.DUMMYFUNCTION("""COMPUTED_VALUE"""),"")</f>
        <v/>
      </c>
      <c r="D1790" t="str">
        <f>IFERROR(__xludf.DUMMYFUNCTION("""COMPUTED_VALUE"""),"")</f>
        <v/>
      </c>
      <c r="E1790" t="str">
        <f>IFERROR(__xludf.DUMMYFUNCTION("""COMPUTED_VALUE"""),"")</f>
        <v/>
      </c>
      <c r="F1790" t="str">
        <f>IFERROR(__xludf.DUMMYFUNCTION("""COMPUTED_VALUE"""),"")</f>
        <v/>
      </c>
      <c r="G1790" t="str">
        <f>IFERROR(__xludf.DUMMYFUNCTION("""COMPUTED_VALUE"""),"")</f>
        <v/>
      </c>
      <c r="H1790" s="2" t="str">
        <f>IFERROR(__xludf.DUMMYFUNCTION("""COMPUTED_VALUE"""),"")</f>
        <v/>
      </c>
      <c r="I1790" s="2" t="str">
        <f>IFERROR(__xludf.DUMMYFUNCTION("""COMPUTED_VALUE"""),"")</f>
        <v/>
      </c>
      <c r="J1790" s="2">
        <f>IFERROR(__xludf.DUMMYFUNCTION("""COMPUTED_VALUE"""),0.0)</f>
        <v>0</v>
      </c>
      <c r="K1790" s="5" t="str">
        <f>IFERROR(__xludf.DUMMYFUNCTION("""COMPUTED_VALUE"""),"")</f>
        <v/>
      </c>
      <c r="L1790" t="str">
        <f>IFERROR(__xludf.DUMMYFUNCTION("""COMPUTED_VALUE"""),"")</f>
        <v/>
      </c>
      <c r="M1790" t="str">
        <f>IFERROR(__xludf.DUMMYFUNCTION("""COMPUTED_VALUE"""),"")</f>
        <v/>
      </c>
      <c r="N1790" t="str">
        <f>IFERROR(__xludf.DUMMYFUNCTION("""COMPUTED_VALUE"""),"")</f>
        <v/>
      </c>
      <c r="O1790" t="str">
        <f>IFERROR(__xludf.DUMMYFUNCTION("""COMPUTED_VALUE"""),"")</f>
        <v/>
      </c>
      <c r="P1790" t="str">
        <f>IFERROR(__xludf.DUMMYFUNCTION("""COMPUTED_VALUE"""),"ID ")</f>
        <v>ID </v>
      </c>
    </row>
    <row r="1791">
      <c r="A1791" s="6" t="str">
        <f>IFERROR(__xludf.DUMMYFUNCTION("""COMPUTED_VALUE"""),"")</f>
        <v/>
      </c>
      <c r="C1791" t="str">
        <f>IFERROR(__xludf.DUMMYFUNCTION("""COMPUTED_VALUE"""),"")</f>
        <v/>
      </c>
      <c r="D1791" t="str">
        <f>IFERROR(__xludf.DUMMYFUNCTION("""COMPUTED_VALUE"""),"")</f>
        <v/>
      </c>
      <c r="E1791" t="str">
        <f>IFERROR(__xludf.DUMMYFUNCTION("""COMPUTED_VALUE"""),"")</f>
        <v/>
      </c>
      <c r="F1791" t="str">
        <f>IFERROR(__xludf.DUMMYFUNCTION("""COMPUTED_VALUE"""),"")</f>
        <v/>
      </c>
      <c r="G1791" t="str">
        <f>IFERROR(__xludf.DUMMYFUNCTION("""COMPUTED_VALUE"""),"")</f>
        <v/>
      </c>
      <c r="H1791" s="2" t="str">
        <f>IFERROR(__xludf.DUMMYFUNCTION("""COMPUTED_VALUE"""),"")</f>
        <v/>
      </c>
      <c r="I1791" s="2" t="str">
        <f>IFERROR(__xludf.DUMMYFUNCTION("""COMPUTED_VALUE"""),"")</f>
        <v/>
      </c>
      <c r="J1791" s="2">
        <f>IFERROR(__xludf.DUMMYFUNCTION("""COMPUTED_VALUE"""),0.0)</f>
        <v>0</v>
      </c>
      <c r="K1791" s="5" t="str">
        <f>IFERROR(__xludf.DUMMYFUNCTION("""COMPUTED_VALUE"""),"")</f>
        <v/>
      </c>
      <c r="L1791" t="str">
        <f>IFERROR(__xludf.DUMMYFUNCTION("""COMPUTED_VALUE"""),"")</f>
        <v/>
      </c>
      <c r="M1791" t="str">
        <f>IFERROR(__xludf.DUMMYFUNCTION("""COMPUTED_VALUE"""),"")</f>
        <v/>
      </c>
      <c r="N1791" t="str">
        <f>IFERROR(__xludf.DUMMYFUNCTION("""COMPUTED_VALUE"""),"")</f>
        <v/>
      </c>
      <c r="O1791" t="str">
        <f>IFERROR(__xludf.DUMMYFUNCTION("""COMPUTED_VALUE"""),"")</f>
        <v/>
      </c>
      <c r="P1791" t="str">
        <f>IFERROR(__xludf.DUMMYFUNCTION("""COMPUTED_VALUE"""),"ID ")</f>
        <v>ID </v>
      </c>
    </row>
    <row r="1792">
      <c r="A1792" s="6" t="str">
        <f>IFERROR(__xludf.DUMMYFUNCTION("""COMPUTED_VALUE"""),"")</f>
        <v/>
      </c>
      <c r="C1792" t="str">
        <f>IFERROR(__xludf.DUMMYFUNCTION("""COMPUTED_VALUE"""),"")</f>
        <v/>
      </c>
      <c r="D1792" t="str">
        <f>IFERROR(__xludf.DUMMYFUNCTION("""COMPUTED_VALUE"""),"")</f>
        <v/>
      </c>
      <c r="E1792" t="str">
        <f>IFERROR(__xludf.DUMMYFUNCTION("""COMPUTED_VALUE"""),"")</f>
        <v/>
      </c>
      <c r="F1792" t="str">
        <f>IFERROR(__xludf.DUMMYFUNCTION("""COMPUTED_VALUE"""),"")</f>
        <v/>
      </c>
      <c r="G1792" t="str">
        <f>IFERROR(__xludf.DUMMYFUNCTION("""COMPUTED_VALUE"""),"")</f>
        <v/>
      </c>
      <c r="H1792" s="2" t="str">
        <f>IFERROR(__xludf.DUMMYFUNCTION("""COMPUTED_VALUE"""),"")</f>
        <v/>
      </c>
      <c r="I1792" s="2" t="str">
        <f>IFERROR(__xludf.DUMMYFUNCTION("""COMPUTED_VALUE"""),"")</f>
        <v/>
      </c>
      <c r="J1792" s="2">
        <f>IFERROR(__xludf.DUMMYFUNCTION("""COMPUTED_VALUE"""),0.0)</f>
        <v>0</v>
      </c>
      <c r="K1792" s="5" t="str">
        <f>IFERROR(__xludf.DUMMYFUNCTION("""COMPUTED_VALUE"""),"")</f>
        <v/>
      </c>
      <c r="L1792" t="str">
        <f>IFERROR(__xludf.DUMMYFUNCTION("""COMPUTED_VALUE"""),"")</f>
        <v/>
      </c>
      <c r="M1792" t="str">
        <f>IFERROR(__xludf.DUMMYFUNCTION("""COMPUTED_VALUE"""),"")</f>
        <v/>
      </c>
      <c r="N1792" t="str">
        <f>IFERROR(__xludf.DUMMYFUNCTION("""COMPUTED_VALUE"""),"")</f>
        <v/>
      </c>
      <c r="O1792" t="str">
        <f>IFERROR(__xludf.DUMMYFUNCTION("""COMPUTED_VALUE"""),"")</f>
        <v/>
      </c>
      <c r="P1792" t="str">
        <f>IFERROR(__xludf.DUMMYFUNCTION("""COMPUTED_VALUE"""),"ID ")</f>
        <v>ID </v>
      </c>
    </row>
    <row r="1793">
      <c r="A1793" s="6" t="str">
        <f>IFERROR(__xludf.DUMMYFUNCTION("""COMPUTED_VALUE"""),"")</f>
        <v/>
      </c>
      <c r="C1793" t="str">
        <f>IFERROR(__xludf.DUMMYFUNCTION("""COMPUTED_VALUE"""),"")</f>
        <v/>
      </c>
      <c r="D1793" t="str">
        <f>IFERROR(__xludf.DUMMYFUNCTION("""COMPUTED_VALUE"""),"")</f>
        <v/>
      </c>
      <c r="E1793" t="str">
        <f>IFERROR(__xludf.DUMMYFUNCTION("""COMPUTED_VALUE"""),"")</f>
        <v/>
      </c>
      <c r="F1793" t="str">
        <f>IFERROR(__xludf.DUMMYFUNCTION("""COMPUTED_VALUE"""),"")</f>
        <v/>
      </c>
      <c r="G1793" t="str">
        <f>IFERROR(__xludf.DUMMYFUNCTION("""COMPUTED_VALUE"""),"")</f>
        <v/>
      </c>
      <c r="H1793" s="2" t="str">
        <f>IFERROR(__xludf.DUMMYFUNCTION("""COMPUTED_VALUE"""),"")</f>
        <v/>
      </c>
      <c r="I1793" s="2" t="str">
        <f>IFERROR(__xludf.DUMMYFUNCTION("""COMPUTED_VALUE"""),"")</f>
        <v/>
      </c>
      <c r="J1793" s="2">
        <f>IFERROR(__xludf.DUMMYFUNCTION("""COMPUTED_VALUE"""),0.0)</f>
        <v>0</v>
      </c>
      <c r="K1793" s="5" t="str">
        <f>IFERROR(__xludf.DUMMYFUNCTION("""COMPUTED_VALUE"""),"")</f>
        <v/>
      </c>
      <c r="L1793" t="str">
        <f>IFERROR(__xludf.DUMMYFUNCTION("""COMPUTED_VALUE"""),"")</f>
        <v/>
      </c>
      <c r="M1793" t="str">
        <f>IFERROR(__xludf.DUMMYFUNCTION("""COMPUTED_VALUE"""),"")</f>
        <v/>
      </c>
      <c r="N1793" t="str">
        <f>IFERROR(__xludf.DUMMYFUNCTION("""COMPUTED_VALUE"""),"")</f>
        <v/>
      </c>
      <c r="O1793" t="str">
        <f>IFERROR(__xludf.DUMMYFUNCTION("""COMPUTED_VALUE"""),"")</f>
        <v/>
      </c>
      <c r="P1793" t="str">
        <f>IFERROR(__xludf.DUMMYFUNCTION("""COMPUTED_VALUE"""),"ID ")</f>
        <v>ID </v>
      </c>
    </row>
    <row r="1794">
      <c r="A1794" s="6" t="str">
        <f>IFERROR(__xludf.DUMMYFUNCTION("""COMPUTED_VALUE"""),"")</f>
        <v/>
      </c>
      <c r="C1794" t="str">
        <f>IFERROR(__xludf.DUMMYFUNCTION("""COMPUTED_VALUE"""),"")</f>
        <v/>
      </c>
      <c r="D1794" t="str">
        <f>IFERROR(__xludf.DUMMYFUNCTION("""COMPUTED_VALUE"""),"")</f>
        <v/>
      </c>
      <c r="E1794" t="str">
        <f>IFERROR(__xludf.DUMMYFUNCTION("""COMPUTED_VALUE"""),"")</f>
        <v/>
      </c>
      <c r="F1794" t="str">
        <f>IFERROR(__xludf.DUMMYFUNCTION("""COMPUTED_VALUE"""),"")</f>
        <v/>
      </c>
      <c r="G1794" t="str">
        <f>IFERROR(__xludf.DUMMYFUNCTION("""COMPUTED_VALUE"""),"")</f>
        <v/>
      </c>
      <c r="H1794" s="2" t="str">
        <f>IFERROR(__xludf.DUMMYFUNCTION("""COMPUTED_VALUE"""),"")</f>
        <v/>
      </c>
      <c r="I1794" s="2" t="str">
        <f>IFERROR(__xludf.DUMMYFUNCTION("""COMPUTED_VALUE"""),"")</f>
        <v/>
      </c>
      <c r="J1794" s="2">
        <f>IFERROR(__xludf.DUMMYFUNCTION("""COMPUTED_VALUE"""),0.0)</f>
        <v>0</v>
      </c>
      <c r="K1794" s="5" t="str">
        <f>IFERROR(__xludf.DUMMYFUNCTION("""COMPUTED_VALUE"""),"")</f>
        <v/>
      </c>
      <c r="L1794" t="str">
        <f>IFERROR(__xludf.DUMMYFUNCTION("""COMPUTED_VALUE"""),"")</f>
        <v/>
      </c>
      <c r="M1794" t="str">
        <f>IFERROR(__xludf.DUMMYFUNCTION("""COMPUTED_VALUE"""),"")</f>
        <v/>
      </c>
      <c r="N1794" t="str">
        <f>IFERROR(__xludf.DUMMYFUNCTION("""COMPUTED_VALUE"""),"")</f>
        <v/>
      </c>
      <c r="O1794" t="str">
        <f>IFERROR(__xludf.DUMMYFUNCTION("""COMPUTED_VALUE"""),"")</f>
        <v/>
      </c>
      <c r="P1794" t="str">
        <f>IFERROR(__xludf.DUMMYFUNCTION("""COMPUTED_VALUE"""),"ID ")</f>
        <v>ID </v>
      </c>
    </row>
    <row r="1795">
      <c r="A1795" s="6" t="str">
        <f>IFERROR(__xludf.DUMMYFUNCTION("""COMPUTED_VALUE"""),"")</f>
        <v/>
      </c>
      <c r="C1795" t="str">
        <f>IFERROR(__xludf.DUMMYFUNCTION("""COMPUTED_VALUE"""),"")</f>
        <v/>
      </c>
      <c r="D1795" t="str">
        <f>IFERROR(__xludf.DUMMYFUNCTION("""COMPUTED_VALUE"""),"")</f>
        <v/>
      </c>
      <c r="E1795" t="str">
        <f>IFERROR(__xludf.DUMMYFUNCTION("""COMPUTED_VALUE"""),"")</f>
        <v/>
      </c>
      <c r="F1795" t="str">
        <f>IFERROR(__xludf.DUMMYFUNCTION("""COMPUTED_VALUE"""),"")</f>
        <v/>
      </c>
      <c r="G1795" t="str">
        <f>IFERROR(__xludf.DUMMYFUNCTION("""COMPUTED_VALUE"""),"")</f>
        <v/>
      </c>
      <c r="H1795" s="2" t="str">
        <f>IFERROR(__xludf.DUMMYFUNCTION("""COMPUTED_VALUE"""),"")</f>
        <v/>
      </c>
      <c r="I1795" s="2" t="str">
        <f>IFERROR(__xludf.DUMMYFUNCTION("""COMPUTED_VALUE"""),"")</f>
        <v/>
      </c>
      <c r="J1795" s="2">
        <f>IFERROR(__xludf.DUMMYFUNCTION("""COMPUTED_VALUE"""),0.0)</f>
        <v>0</v>
      </c>
      <c r="K1795" s="5" t="str">
        <f>IFERROR(__xludf.DUMMYFUNCTION("""COMPUTED_VALUE"""),"")</f>
        <v/>
      </c>
      <c r="L1795" t="str">
        <f>IFERROR(__xludf.DUMMYFUNCTION("""COMPUTED_VALUE"""),"")</f>
        <v/>
      </c>
      <c r="M1795" t="str">
        <f>IFERROR(__xludf.DUMMYFUNCTION("""COMPUTED_VALUE"""),"")</f>
        <v/>
      </c>
      <c r="N1795" t="str">
        <f>IFERROR(__xludf.DUMMYFUNCTION("""COMPUTED_VALUE"""),"")</f>
        <v/>
      </c>
      <c r="O1795" t="str">
        <f>IFERROR(__xludf.DUMMYFUNCTION("""COMPUTED_VALUE"""),"")</f>
        <v/>
      </c>
      <c r="P1795" t="str">
        <f>IFERROR(__xludf.DUMMYFUNCTION("""COMPUTED_VALUE"""),"ID ")</f>
        <v>ID </v>
      </c>
    </row>
    <row r="1796">
      <c r="A1796" s="6" t="str">
        <f>IFERROR(__xludf.DUMMYFUNCTION("""COMPUTED_VALUE"""),"")</f>
        <v/>
      </c>
      <c r="C1796" t="str">
        <f>IFERROR(__xludf.DUMMYFUNCTION("""COMPUTED_VALUE"""),"")</f>
        <v/>
      </c>
      <c r="D1796" t="str">
        <f>IFERROR(__xludf.DUMMYFUNCTION("""COMPUTED_VALUE"""),"")</f>
        <v/>
      </c>
      <c r="E1796" t="str">
        <f>IFERROR(__xludf.DUMMYFUNCTION("""COMPUTED_VALUE"""),"")</f>
        <v/>
      </c>
      <c r="F1796" t="str">
        <f>IFERROR(__xludf.DUMMYFUNCTION("""COMPUTED_VALUE"""),"")</f>
        <v/>
      </c>
      <c r="G1796" t="str">
        <f>IFERROR(__xludf.DUMMYFUNCTION("""COMPUTED_VALUE"""),"")</f>
        <v/>
      </c>
      <c r="H1796" s="2" t="str">
        <f>IFERROR(__xludf.DUMMYFUNCTION("""COMPUTED_VALUE"""),"")</f>
        <v/>
      </c>
      <c r="I1796" s="2" t="str">
        <f>IFERROR(__xludf.DUMMYFUNCTION("""COMPUTED_VALUE"""),"")</f>
        <v/>
      </c>
      <c r="J1796" s="2">
        <f>IFERROR(__xludf.DUMMYFUNCTION("""COMPUTED_VALUE"""),0.0)</f>
        <v>0</v>
      </c>
      <c r="K1796" s="5" t="str">
        <f>IFERROR(__xludf.DUMMYFUNCTION("""COMPUTED_VALUE"""),"")</f>
        <v/>
      </c>
      <c r="L1796" t="str">
        <f>IFERROR(__xludf.DUMMYFUNCTION("""COMPUTED_VALUE"""),"")</f>
        <v/>
      </c>
      <c r="M1796" t="str">
        <f>IFERROR(__xludf.DUMMYFUNCTION("""COMPUTED_VALUE"""),"")</f>
        <v/>
      </c>
      <c r="N1796" t="str">
        <f>IFERROR(__xludf.DUMMYFUNCTION("""COMPUTED_VALUE"""),"")</f>
        <v/>
      </c>
      <c r="O1796" t="str">
        <f>IFERROR(__xludf.DUMMYFUNCTION("""COMPUTED_VALUE"""),"")</f>
        <v/>
      </c>
      <c r="P1796" t="str">
        <f>IFERROR(__xludf.DUMMYFUNCTION("""COMPUTED_VALUE"""),"ID ")</f>
        <v>ID </v>
      </c>
    </row>
    <row r="1797">
      <c r="A1797" s="6" t="str">
        <f>IFERROR(__xludf.DUMMYFUNCTION("""COMPUTED_VALUE"""),"")</f>
        <v/>
      </c>
      <c r="C1797" t="str">
        <f>IFERROR(__xludf.DUMMYFUNCTION("""COMPUTED_VALUE"""),"")</f>
        <v/>
      </c>
      <c r="D1797" t="str">
        <f>IFERROR(__xludf.DUMMYFUNCTION("""COMPUTED_VALUE"""),"")</f>
        <v/>
      </c>
      <c r="E1797" t="str">
        <f>IFERROR(__xludf.DUMMYFUNCTION("""COMPUTED_VALUE"""),"")</f>
        <v/>
      </c>
      <c r="F1797" t="str">
        <f>IFERROR(__xludf.DUMMYFUNCTION("""COMPUTED_VALUE"""),"")</f>
        <v/>
      </c>
      <c r="G1797" t="str">
        <f>IFERROR(__xludf.DUMMYFUNCTION("""COMPUTED_VALUE"""),"")</f>
        <v/>
      </c>
      <c r="H1797" s="2" t="str">
        <f>IFERROR(__xludf.DUMMYFUNCTION("""COMPUTED_VALUE"""),"")</f>
        <v/>
      </c>
      <c r="I1797" s="2" t="str">
        <f>IFERROR(__xludf.DUMMYFUNCTION("""COMPUTED_VALUE"""),"")</f>
        <v/>
      </c>
      <c r="J1797" s="2">
        <f>IFERROR(__xludf.DUMMYFUNCTION("""COMPUTED_VALUE"""),0.0)</f>
        <v>0</v>
      </c>
      <c r="K1797" s="5" t="str">
        <f>IFERROR(__xludf.DUMMYFUNCTION("""COMPUTED_VALUE"""),"")</f>
        <v/>
      </c>
      <c r="L1797" t="str">
        <f>IFERROR(__xludf.DUMMYFUNCTION("""COMPUTED_VALUE"""),"")</f>
        <v/>
      </c>
      <c r="M1797" t="str">
        <f>IFERROR(__xludf.DUMMYFUNCTION("""COMPUTED_VALUE"""),"")</f>
        <v/>
      </c>
      <c r="N1797" t="str">
        <f>IFERROR(__xludf.DUMMYFUNCTION("""COMPUTED_VALUE"""),"")</f>
        <v/>
      </c>
      <c r="O1797" t="str">
        <f>IFERROR(__xludf.DUMMYFUNCTION("""COMPUTED_VALUE"""),"")</f>
        <v/>
      </c>
      <c r="P1797" t="str">
        <f>IFERROR(__xludf.DUMMYFUNCTION("""COMPUTED_VALUE"""),"ID ")</f>
        <v>ID </v>
      </c>
    </row>
    <row r="1798">
      <c r="A1798" s="6" t="str">
        <f>IFERROR(__xludf.DUMMYFUNCTION("""COMPUTED_VALUE"""),"")</f>
        <v/>
      </c>
      <c r="C1798" t="str">
        <f>IFERROR(__xludf.DUMMYFUNCTION("""COMPUTED_VALUE"""),"")</f>
        <v/>
      </c>
      <c r="D1798" t="str">
        <f>IFERROR(__xludf.DUMMYFUNCTION("""COMPUTED_VALUE"""),"")</f>
        <v/>
      </c>
      <c r="E1798" t="str">
        <f>IFERROR(__xludf.DUMMYFUNCTION("""COMPUTED_VALUE"""),"")</f>
        <v/>
      </c>
      <c r="F1798" t="str">
        <f>IFERROR(__xludf.DUMMYFUNCTION("""COMPUTED_VALUE"""),"")</f>
        <v/>
      </c>
      <c r="G1798" t="str">
        <f>IFERROR(__xludf.DUMMYFUNCTION("""COMPUTED_VALUE"""),"")</f>
        <v/>
      </c>
      <c r="H1798" s="2" t="str">
        <f>IFERROR(__xludf.DUMMYFUNCTION("""COMPUTED_VALUE"""),"")</f>
        <v/>
      </c>
      <c r="I1798" s="2" t="str">
        <f>IFERROR(__xludf.DUMMYFUNCTION("""COMPUTED_VALUE"""),"")</f>
        <v/>
      </c>
      <c r="J1798" s="2">
        <f>IFERROR(__xludf.DUMMYFUNCTION("""COMPUTED_VALUE"""),0.0)</f>
        <v>0</v>
      </c>
      <c r="K1798" s="5" t="str">
        <f>IFERROR(__xludf.DUMMYFUNCTION("""COMPUTED_VALUE"""),"")</f>
        <v/>
      </c>
      <c r="L1798" t="str">
        <f>IFERROR(__xludf.DUMMYFUNCTION("""COMPUTED_VALUE"""),"")</f>
        <v/>
      </c>
      <c r="M1798" t="str">
        <f>IFERROR(__xludf.DUMMYFUNCTION("""COMPUTED_VALUE"""),"")</f>
        <v/>
      </c>
      <c r="N1798" t="str">
        <f>IFERROR(__xludf.DUMMYFUNCTION("""COMPUTED_VALUE"""),"")</f>
        <v/>
      </c>
      <c r="O1798" t="str">
        <f>IFERROR(__xludf.DUMMYFUNCTION("""COMPUTED_VALUE"""),"")</f>
        <v/>
      </c>
      <c r="P1798" t="str">
        <f>IFERROR(__xludf.DUMMYFUNCTION("""COMPUTED_VALUE"""),"ID ")</f>
        <v>ID </v>
      </c>
    </row>
    <row r="1799">
      <c r="A1799" s="6" t="str">
        <f>IFERROR(__xludf.DUMMYFUNCTION("""COMPUTED_VALUE"""),"")</f>
        <v/>
      </c>
      <c r="C1799" t="str">
        <f>IFERROR(__xludf.DUMMYFUNCTION("""COMPUTED_VALUE"""),"")</f>
        <v/>
      </c>
      <c r="D1799" t="str">
        <f>IFERROR(__xludf.DUMMYFUNCTION("""COMPUTED_VALUE"""),"")</f>
        <v/>
      </c>
      <c r="E1799" t="str">
        <f>IFERROR(__xludf.DUMMYFUNCTION("""COMPUTED_VALUE"""),"")</f>
        <v/>
      </c>
      <c r="F1799" t="str">
        <f>IFERROR(__xludf.DUMMYFUNCTION("""COMPUTED_VALUE"""),"")</f>
        <v/>
      </c>
      <c r="G1799" t="str">
        <f>IFERROR(__xludf.DUMMYFUNCTION("""COMPUTED_VALUE"""),"")</f>
        <v/>
      </c>
      <c r="H1799" s="2" t="str">
        <f>IFERROR(__xludf.DUMMYFUNCTION("""COMPUTED_VALUE"""),"")</f>
        <v/>
      </c>
      <c r="I1799" s="2" t="str">
        <f>IFERROR(__xludf.DUMMYFUNCTION("""COMPUTED_VALUE"""),"")</f>
        <v/>
      </c>
      <c r="J1799" s="2">
        <f>IFERROR(__xludf.DUMMYFUNCTION("""COMPUTED_VALUE"""),0.0)</f>
        <v>0</v>
      </c>
      <c r="K1799" s="5" t="str">
        <f>IFERROR(__xludf.DUMMYFUNCTION("""COMPUTED_VALUE"""),"")</f>
        <v/>
      </c>
      <c r="L1799" t="str">
        <f>IFERROR(__xludf.DUMMYFUNCTION("""COMPUTED_VALUE"""),"")</f>
        <v/>
      </c>
      <c r="M1799" t="str">
        <f>IFERROR(__xludf.DUMMYFUNCTION("""COMPUTED_VALUE"""),"")</f>
        <v/>
      </c>
      <c r="N1799" t="str">
        <f>IFERROR(__xludf.DUMMYFUNCTION("""COMPUTED_VALUE"""),"")</f>
        <v/>
      </c>
      <c r="O1799" t="str">
        <f>IFERROR(__xludf.DUMMYFUNCTION("""COMPUTED_VALUE"""),"")</f>
        <v/>
      </c>
      <c r="P1799" t="str">
        <f>IFERROR(__xludf.DUMMYFUNCTION("""COMPUTED_VALUE"""),"ID ")</f>
        <v>ID </v>
      </c>
    </row>
    <row r="1800">
      <c r="A1800" s="6" t="str">
        <f>IFERROR(__xludf.DUMMYFUNCTION("""COMPUTED_VALUE"""),"")</f>
        <v/>
      </c>
      <c r="C1800" t="str">
        <f>IFERROR(__xludf.DUMMYFUNCTION("""COMPUTED_VALUE"""),"")</f>
        <v/>
      </c>
      <c r="D1800" t="str">
        <f>IFERROR(__xludf.DUMMYFUNCTION("""COMPUTED_VALUE"""),"")</f>
        <v/>
      </c>
      <c r="E1800" t="str">
        <f>IFERROR(__xludf.DUMMYFUNCTION("""COMPUTED_VALUE"""),"")</f>
        <v/>
      </c>
      <c r="F1800" t="str">
        <f>IFERROR(__xludf.DUMMYFUNCTION("""COMPUTED_VALUE"""),"")</f>
        <v/>
      </c>
      <c r="G1800" t="str">
        <f>IFERROR(__xludf.DUMMYFUNCTION("""COMPUTED_VALUE"""),"")</f>
        <v/>
      </c>
      <c r="H1800" s="2" t="str">
        <f>IFERROR(__xludf.DUMMYFUNCTION("""COMPUTED_VALUE"""),"")</f>
        <v/>
      </c>
      <c r="I1800" s="2" t="str">
        <f>IFERROR(__xludf.DUMMYFUNCTION("""COMPUTED_VALUE"""),"")</f>
        <v/>
      </c>
      <c r="J1800" s="2">
        <f>IFERROR(__xludf.DUMMYFUNCTION("""COMPUTED_VALUE"""),0.0)</f>
        <v>0</v>
      </c>
      <c r="K1800" s="5" t="str">
        <f>IFERROR(__xludf.DUMMYFUNCTION("""COMPUTED_VALUE"""),"")</f>
        <v/>
      </c>
      <c r="L1800" t="str">
        <f>IFERROR(__xludf.DUMMYFUNCTION("""COMPUTED_VALUE"""),"")</f>
        <v/>
      </c>
      <c r="M1800" t="str">
        <f>IFERROR(__xludf.DUMMYFUNCTION("""COMPUTED_VALUE"""),"")</f>
        <v/>
      </c>
      <c r="N1800" t="str">
        <f>IFERROR(__xludf.DUMMYFUNCTION("""COMPUTED_VALUE"""),"")</f>
        <v/>
      </c>
      <c r="O1800" t="str">
        <f>IFERROR(__xludf.DUMMYFUNCTION("""COMPUTED_VALUE"""),"")</f>
        <v/>
      </c>
      <c r="P1800" t="str">
        <f>IFERROR(__xludf.DUMMYFUNCTION("""COMPUTED_VALUE"""),"ID ")</f>
        <v>ID </v>
      </c>
    </row>
    <row r="1801">
      <c r="A1801" s="6" t="str">
        <f>IFERROR(__xludf.DUMMYFUNCTION("""COMPUTED_VALUE"""),"")</f>
        <v/>
      </c>
      <c r="C1801" t="str">
        <f>IFERROR(__xludf.DUMMYFUNCTION("""COMPUTED_VALUE"""),"")</f>
        <v/>
      </c>
      <c r="D1801" t="str">
        <f>IFERROR(__xludf.DUMMYFUNCTION("""COMPUTED_VALUE"""),"")</f>
        <v/>
      </c>
      <c r="E1801" t="str">
        <f>IFERROR(__xludf.DUMMYFUNCTION("""COMPUTED_VALUE"""),"")</f>
        <v/>
      </c>
      <c r="F1801" t="str">
        <f>IFERROR(__xludf.DUMMYFUNCTION("""COMPUTED_VALUE"""),"")</f>
        <v/>
      </c>
      <c r="G1801" t="str">
        <f>IFERROR(__xludf.DUMMYFUNCTION("""COMPUTED_VALUE"""),"")</f>
        <v/>
      </c>
      <c r="H1801" s="2" t="str">
        <f>IFERROR(__xludf.DUMMYFUNCTION("""COMPUTED_VALUE"""),"")</f>
        <v/>
      </c>
      <c r="I1801" s="2" t="str">
        <f>IFERROR(__xludf.DUMMYFUNCTION("""COMPUTED_VALUE"""),"")</f>
        <v/>
      </c>
      <c r="J1801" s="2">
        <f>IFERROR(__xludf.DUMMYFUNCTION("""COMPUTED_VALUE"""),0.0)</f>
        <v>0</v>
      </c>
      <c r="K1801" s="5" t="str">
        <f>IFERROR(__xludf.DUMMYFUNCTION("""COMPUTED_VALUE"""),"")</f>
        <v/>
      </c>
      <c r="L1801" t="str">
        <f>IFERROR(__xludf.DUMMYFUNCTION("""COMPUTED_VALUE"""),"")</f>
        <v/>
      </c>
      <c r="M1801" t="str">
        <f>IFERROR(__xludf.DUMMYFUNCTION("""COMPUTED_VALUE"""),"")</f>
        <v/>
      </c>
      <c r="N1801" t="str">
        <f>IFERROR(__xludf.DUMMYFUNCTION("""COMPUTED_VALUE"""),"")</f>
        <v/>
      </c>
      <c r="O1801" t="str">
        <f>IFERROR(__xludf.DUMMYFUNCTION("""COMPUTED_VALUE"""),"")</f>
        <v/>
      </c>
      <c r="P1801" t="str">
        <f>IFERROR(__xludf.DUMMYFUNCTION("""COMPUTED_VALUE"""),"ID ")</f>
        <v>ID </v>
      </c>
    </row>
    <row r="1802">
      <c r="A1802" s="6" t="str">
        <f>IFERROR(__xludf.DUMMYFUNCTION("""COMPUTED_VALUE"""),"")</f>
        <v/>
      </c>
      <c r="C1802" t="str">
        <f>IFERROR(__xludf.DUMMYFUNCTION("""COMPUTED_VALUE"""),"")</f>
        <v/>
      </c>
      <c r="D1802" t="str">
        <f>IFERROR(__xludf.DUMMYFUNCTION("""COMPUTED_VALUE"""),"")</f>
        <v/>
      </c>
      <c r="E1802" t="str">
        <f>IFERROR(__xludf.DUMMYFUNCTION("""COMPUTED_VALUE"""),"")</f>
        <v/>
      </c>
      <c r="F1802" t="str">
        <f>IFERROR(__xludf.DUMMYFUNCTION("""COMPUTED_VALUE"""),"")</f>
        <v/>
      </c>
      <c r="G1802" t="str">
        <f>IFERROR(__xludf.DUMMYFUNCTION("""COMPUTED_VALUE"""),"")</f>
        <v/>
      </c>
      <c r="H1802" s="2" t="str">
        <f>IFERROR(__xludf.DUMMYFUNCTION("""COMPUTED_VALUE"""),"")</f>
        <v/>
      </c>
      <c r="I1802" s="2" t="str">
        <f>IFERROR(__xludf.DUMMYFUNCTION("""COMPUTED_VALUE"""),"")</f>
        <v/>
      </c>
      <c r="J1802" s="2">
        <f>IFERROR(__xludf.DUMMYFUNCTION("""COMPUTED_VALUE"""),0.0)</f>
        <v>0</v>
      </c>
      <c r="K1802" s="5" t="str">
        <f>IFERROR(__xludf.DUMMYFUNCTION("""COMPUTED_VALUE"""),"")</f>
        <v/>
      </c>
      <c r="L1802" t="str">
        <f>IFERROR(__xludf.DUMMYFUNCTION("""COMPUTED_VALUE"""),"")</f>
        <v/>
      </c>
      <c r="M1802" t="str">
        <f>IFERROR(__xludf.DUMMYFUNCTION("""COMPUTED_VALUE"""),"")</f>
        <v/>
      </c>
      <c r="N1802" t="str">
        <f>IFERROR(__xludf.DUMMYFUNCTION("""COMPUTED_VALUE"""),"")</f>
        <v/>
      </c>
      <c r="O1802" t="str">
        <f>IFERROR(__xludf.DUMMYFUNCTION("""COMPUTED_VALUE"""),"")</f>
        <v/>
      </c>
      <c r="P1802" t="str">
        <f>IFERROR(__xludf.DUMMYFUNCTION("""COMPUTED_VALUE"""),"ID ")</f>
        <v>ID </v>
      </c>
    </row>
    <row r="1803">
      <c r="A1803" s="6" t="str">
        <f>IFERROR(__xludf.DUMMYFUNCTION("""COMPUTED_VALUE"""),"")</f>
        <v/>
      </c>
      <c r="C1803" t="str">
        <f>IFERROR(__xludf.DUMMYFUNCTION("""COMPUTED_VALUE"""),"")</f>
        <v/>
      </c>
      <c r="D1803" t="str">
        <f>IFERROR(__xludf.DUMMYFUNCTION("""COMPUTED_VALUE"""),"")</f>
        <v/>
      </c>
      <c r="E1803" t="str">
        <f>IFERROR(__xludf.DUMMYFUNCTION("""COMPUTED_VALUE"""),"")</f>
        <v/>
      </c>
      <c r="F1803" t="str">
        <f>IFERROR(__xludf.DUMMYFUNCTION("""COMPUTED_VALUE"""),"")</f>
        <v/>
      </c>
      <c r="G1803" t="str">
        <f>IFERROR(__xludf.DUMMYFUNCTION("""COMPUTED_VALUE"""),"")</f>
        <v/>
      </c>
      <c r="H1803" s="2" t="str">
        <f>IFERROR(__xludf.DUMMYFUNCTION("""COMPUTED_VALUE"""),"")</f>
        <v/>
      </c>
      <c r="I1803" s="2" t="str">
        <f>IFERROR(__xludf.DUMMYFUNCTION("""COMPUTED_VALUE"""),"")</f>
        <v/>
      </c>
      <c r="J1803" s="2">
        <f>IFERROR(__xludf.DUMMYFUNCTION("""COMPUTED_VALUE"""),0.0)</f>
        <v>0</v>
      </c>
      <c r="K1803" s="5" t="str">
        <f>IFERROR(__xludf.DUMMYFUNCTION("""COMPUTED_VALUE"""),"")</f>
        <v/>
      </c>
      <c r="L1803" t="str">
        <f>IFERROR(__xludf.DUMMYFUNCTION("""COMPUTED_VALUE"""),"")</f>
        <v/>
      </c>
      <c r="M1803" t="str">
        <f>IFERROR(__xludf.DUMMYFUNCTION("""COMPUTED_VALUE"""),"")</f>
        <v/>
      </c>
      <c r="N1803" t="str">
        <f>IFERROR(__xludf.DUMMYFUNCTION("""COMPUTED_VALUE"""),"")</f>
        <v/>
      </c>
      <c r="O1803" t="str">
        <f>IFERROR(__xludf.DUMMYFUNCTION("""COMPUTED_VALUE"""),"")</f>
        <v/>
      </c>
      <c r="P1803" t="str">
        <f>IFERROR(__xludf.DUMMYFUNCTION("""COMPUTED_VALUE"""),"ID ")</f>
        <v>ID </v>
      </c>
    </row>
    <row r="1804">
      <c r="A1804" s="6" t="str">
        <f>IFERROR(__xludf.DUMMYFUNCTION("""COMPUTED_VALUE"""),"")</f>
        <v/>
      </c>
      <c r="C1804" t="str">
        <f>IFERROR(__xludf.DUMMYFUNCTION("""COMPUTED_VALUE"""),"")</f>
        <v/>
      </c>
      <c r="D1804" t="str">
        <f>IFERROR(__xludf.DUMMYFUNCTION("""COMPUTED_VALUE"""),"")</f>
        <v/>
      </c>
      <c r="E1804" t="str">
        <f>IFERROR(__xludf.DUMMYFUNCTION("""COMPUTED_VALUE"""),"")</f>
        <v/>
      </c>
      <c r="F1804" t="str">
        <f>IFERROR(__xludf.DUMMYFUNCTION("""COMPUTED_VALUE"""),"")</f>
        <v/>
      </c>
      <c r="G1804" t="str">
        <f>IFERROR(__xludf.DUMMYFUNCTION("""COMPUTED_VALUE"""),"")</f>
        <v/>
      </c>
      <c r="H1804" s="2" t="str">
        <f>IFERROR(__xludf.DUMMYFUNCTION("""COMPUTED_VALUE"""),"")</f>
        <v/>
      </c>
      <c r="I1804" s="2" t="str">
        <f>IFERROR(__xludf.DUMMYFUNCTION("""COMPUTED_VALUE"""),"")</f>
        <v/>
      </c>
      <c r="J1804" s="2">
        <f>IFERROR(__xludf.DUMMYFUNCTION("""COMPUTED_VALUE"""),0.0)</f>
        <v>0</v>
      </c>
      <c r="K1804" s="5" t="str">
        <f>IFERROR(__xludf.DUMMYFUNCTION("""COMPUTED_VALUE"""),"")</f>
        <v/>
      </c>
      <c r="L1804" t="str">
        <f>IFERROR(__xludf.DUMMYFUNCTION("""COMPUTED_VALUE"""),"")</f>
        <v/>
      </c>
      <c r="M1804" t="str">
        <f>IFERROR(__xludf.DUMMYFUNCTION("""COMPUTED_VALUE"""),"")</f>
        <v/>
      </c>
      <c r="N1804" t="str">
        <f>IFERROR(__xludf.DUMMYFUNCTION("""COMPUTED_VALUE"""),"")</f>
        <v/>
      </c>
      <c r="O1804" t="str">
        <f>IFERROR(__xludf.DUMMYFUNCTION("""COMPUTED_VALUE"""),"")</f>
        <v/>
      </c>
      <c r="P1804" t="str">
        <f>IFERROR(__xludf.DUMMYFUNCTION("""COMPUTED_VALUE"""),"ID ")</f>
        <v>ID </v>
      </c>
    </row>
    <row r="1805">
      <c r="A1805" s="6" t="str">
        <f>IFERROR(__xludf.DUMMYFUNCTION("""COMPUTED_VALUE"""),"")</f>
        <v/>
      </c>
      <c r="C1805" t="str">
        <f>IFERROR(__xludf.DUMMYFUNCTION("""COMPUTED_VALUE"""),"")</f>
        <v/>
      </c>
      <c r="D1805" t="str">
        <f>IFERROR(__xludf.DUMMYFUNCTION("""COMPUTED_VALUE"""),"")</f>
        <v/>
      </c>
      <c r="E1805" t="str">
        <f>IFERROR(__xludf.DUMMYFUNCTION("""COMPUTED_VALUE"""),"")</f>
        <v/>
      </c>
      <c r="F1805" t="str">
        <f>IFERROR(__xludf.DUMMYFUNCTION("""COMPUTED_VALUE"""),"")</f>
        <v/>
      </c>
      <c r="G1805" t="str">
        <f>IFERROR(__xludf.DUMMYFUNCTION("""COMPUTED_VALUE"""),"")</f>
        <v/>
      </c>
      <c r="H1805" s="2" t="str">
        <f>IFERROR(__xludf.DUMMYFUNCTION("""COMPUTED_VALUE"""),"")</f>
        <v/>
      </c>
      <c r="I1805" s="2" t="str">
        <f>IFERROR(__xludf.DUMMYFUNCTION("""COMPUTED_VALUE"""),"")</f>
        <v/>
      </c>
      <c r="J1805" s="2">
        <f>IFERROR(__xludf.DUMMYFUNCTION("""COMPUTED_VALUE"""),0.0)</f>
        <v>0</v>
      </c>
      <c r="K1805" s="5" t="str">
        <f>IFERROR(__xludf.DUMMYFUNCTION("""COMPUTED_VALUE"""),"")</f>
        <v/>
      </c>
      <c r="L1805" t="str">
        <f>IFERROR(__xludf.DUMMYFUNCTION("""COMPUTED_VALUE"""),"")</f>
        <v/>
      </c>
      <c r="M1805" t="str">
        <f>IFERROR(__xludf.DUMMYFUNCTION("""COMPUTED_VALUE"""),"")</f>
        <v/>
      </c>
      <c r="N1805" t="str">
        <f>IFERROR(__xludf.DUMMYFUNCTION("""COMPUTED_VALUE"""),"")</f>
        <v/>
      </c>
      <c r="O1805" t="str">
        <f>IFERROR(__xludf.DUMMYFUNCTION("""COMPUTED_VALUE"""),"")</f>
        <v/>
      </c>
      <c r="P1805" t="str">
        <f>IFERROR(__xludf.DUMMYFUNCTION("""COMPUTED_VALUE"""),"ID ")</f>
        <v>ID </v>
      </c>
    </row>
    <row r="1806">
      <c r="A1806" s="6" t="str">
        <f>IFERROR(__xludf.DUMMYFUNCTION("""COMPUTED_VALUE"""),"")</f>
        <v/>
      </c>
      <c r="C1806" t="str">
        <f>IFERROR(__xludf.DUMMYFUNCTION("""COMPUTED_VALUE"""),"")</f>
        <v/>
      </c>
      <c r="D1806" t="str">
        <f>IFERROR(__xludf.DUMMYFUNCTION("""COMPUTED_VALUE"""),"")</f>
        <v/>
      </c>
      <c r="E1806" t="str">
        <f>IFERROR(__xludf.DUMMYFUNCTION("""COMPUTED_VALUE"""),"")</f>
        <v/>
      </c>
      <c r="F1806" t="str">
        <f>IFERROR(__xludf.DUMMYFUNCTION("""COMPUTED_VALUE"""),"")</f>
        <v/>
      </c>
      <c r="G1806" t="str">
        <f>IFERROR(__xludf.DUMMYFUNCTION("""COMPUTED_VALUE"""),"")</f>
        <v/>
      </c>
      <c r="H1806" s="2" t="str">
        <f>IFERROR(__xludf.DUMMYFUNCTION("""COMPUTED_VALUE"""),"")</f>
        <v/>
      </c>
      <c r="I1806" s="2" t="str">
        <f>IFERROR(__xludf.DUMMYFUNCTION("""COMPUTED_VALUE"""),"")</f>
        <v/>
      </c>
      <c r="J1806" s="2">
        <f>IFERROR(__xludf.DUMMYFUNCTION("""COMPUTED_VALUE"""),0.0)</f>
        <v>0</v>
      </c>
      <c r="K1806" s="5" t="str">
        <f>IFERROR(__xludf.DUMMYFUNCTION("""COMPUTED_VALUE"""),"")</f>
        <v/>
      </c>
      <c r="L1806" t="str">
        <f>IFERROR(__xludf.DUMMYFUNCTION("""COMPUTED_VALUE"""),"")</f>
        <v/>
      </c>
      <c r="M1806" t="str">
        <f>IFERROR(__xludf.DUMMYFUNCTION("""COMPUTED_VALUE"""),"")</f>
        <v/>
      </c>
      <c r="N1806" t="str">
        <f>IFERROR(__xludf.DUMMYFUNCTION("""COMPUTED_VALUE"""),"")</f>
        <v/>
      </c>
      <c r="O1806" t="str">
        <f>IFERROR(__xludf.DUMMYFUNCTION("""COMPUTED_VALUE"""),"")</f>
        <v/>
      </c>
      <c r="P1806" t="str">
        <f>IFERROR(__xludf.DUMMYFUNCTION("""COMPUTED_VALUE"""),"ID ")</f>
        <v>ID </v>
      </c>
    </row>
    <row r="1807">
      <c r="A1807" s="6" t="str">
        <f>IFERROR(__xludf.DUMMYFUNCTION("""COMPUTED_VALUE"""),"")</f>
        <v/>
      </c>
      <c r="C1807" t="str">
        <f>IFERROR(__xludf.DUMMYFUNCTION("""COMPUTED_VALUE"""),"")</f>
        <v/>
      </c>
      <c r="D1807" t="str">
        <f>IFERROR(__xludf.DUMMYFUNCTION("""COMPUTED_VALUE"""),"")</f>
        <v/>
      </c>
      <c r="E1807" t="str">
        <f>IFERROR(__xludf.DUMMYFUNCTION("""COMPUTED_VALUE"""),"")</f>
        <v/>
      </c>
      <c r="F1807" t="str">
        <f>IFERROR(__xludf.DUMMYFUNCTION("""COMPUTED_VALUE"""),"")</f>
        <v/>
      </c>
      <c r="G1807" t="str">
        <f>IFERROR(__xludf.DUMMYFUNCTION("""COMPUTED_VALUE"""),"")</f>
        <v/>
      </c>
      <c r="H1807" s="2" t="str">
        <f>IFERROR(__xludf.DUMMYFUNCTION("""COMPUTED_VALUE"""),"")</f>
        <v/>
      </c>
      <c r="I1807" s="2" t="str">
        <f>IFERROR(__xludf.DUMMYFUNCTION("""COMPUTED_VALUE"""),"")</f>
        <v/>
      </c>
      <c r="J1807" s="2">
        <f>IFERROR(__xludf.DUMMYFUNCTION("""COMPUTED_VALUE"""),0.0)</f>
        <v>0</v>
      </c>
      <c r="K1807" s="5" t="str">
        <f>IFERROR(__xludf.DUMMYFUNCTION("""COMPUTED_VALUE"""),"")</f>
        <v/>
      </c>
      <c r="L1807" t="str">
        <f>IFERROR(__xludf.DUMMYFUNCTION("""COMPUTED_VALUE"""),"")</f>
        <v/>
      </c>
      <c r="M1807" t="str">
        <f>IFERROR(__xludf.DUMMYFUNCTION("""COMPUTED_VALUE"""),"")</f>
        <v/>
      </c>
      <c r="N1807" t="str">
        <f>IFERROR(__xludf.DUMMYFUNCTION("""COMPUTED_VALUE"""),"")</f>
        <v/>
      </c>
      <c r="O1807" t="str">
        <f>IFERROR(__xludf.DUMMYFUNCTION("""COMPUTED_VALUE"""),"")</f>
        <v/>
      </c>
      <c r="P1807" t="str">
        <f>IFERROR(__xludf.DUMMYFUNCTION("""COMPUTED_VALUE"""),"ID ")</f>
        <v>ID </v>
      </c>
    </row>
    <row r="1808">
      <c r="A1808" s="6" t="str">
        <f>IFERROR(__xludf.DUMMYFUNCTION("""COMPUTED_VALUE"""),"")</f>
        <v/>
      </c>
      <c r="C1808" t="str">
        <f>IFERROR(__xludf.DUMMYFUNCTION("""COMPUTED_VALUE"""),"")</f>
        <v/>
      </c>
      <c r="D1808" t="str">
        <f>IFERROR(__xludf.DUMMYFUNCTION("""COMPUTED_VALUE"""),"")</f>
        <v/>
      </c>
      <c r="E1808" t="str">
        <f>IFERROR(__xludf.DUMMYFUNCTION("""COMPUTED_VALUE"""),"")</f>
        <v/>
      </c>
      <c r="F1808" t="str">
        <f>IFERROR(__xludf.DUMMYFUNCTION("""COMPUTED_VALUE"""),"")</f>
        <v/>
      </c>
      <c r="G1808" t="str">
        <f>IFERROR(__xludf.DUMMYFUNCTION("""COMPUTED_VALUE"""),"")</f>
        <v/>
      </c>
      <c r="H1808" s="2" t="str">
        <f>IFERROR(__xludf.DUMMYFUNCTION("""COMPUTED_VALUE"""),"")</f>
        <v/>
      </c>
      <c r="I1808" s="2" t="str">
        <f>IFERROR(__xludf.DUMMYFUNCTION("""COMPUTED_VALUE"""),"")</f>
        <v/>
      </c>
      <c r="J1808" s="2">
        <f>IFERROR(__xludf.DUMMYFUNCTION("""COMPUTED_VALUE"""),0.0)</f>
        <v>0</v>
      </c>
      <c r="K1808" s="5" t="str">
        <f>IFERROR(__xludf.DUMMYFUNCTION("""COMPUTED_VALUE"""),"")</f>
        <v/>
      </c>
      <c r="L1808" t="str">
        <f>IFERROR(__xludf.DUMMYFUNCTION("""COMPUTED_VALUE"""),"")</f>
        <v/>
      </c>
      <c r="M1808" t="str">
        <f>IFERROR(__xludf.DUMMYFUNCTION("""COMPUTED_VALUE"""),"")</f>
        <v/>
      </c>
      <c r="N1808" t="str">
        <f>IFERROR(__xludf.DUMMYFUNCTION("""COMPUTED_VALUE"""),"")</f>
        <v/>
      </c>
      <c r="O1808" t="str">
        <f>IFERROR(__xludf.DUMMYFUNCTION("""COMPUTED_VALUE"""),"")</f>
        <v/>
      </c>
      <c r="P1808" t="str">
        <f>IFERROR(__xludf.DUMMYFUNCTION("""COMPUTED_VALUE"""),"ID ")</f>
        <v>ID </v>
      </c>
    </row>
    <row r="1809">
      <c r="A1809" s="6" t="str">
        <f>IFERROR(__xludf.DUMMYFUNCTION("""COMPUTED_VALUE"""),"")</f>
        <v/>
      </c>
      <c r="C1809" t="str">
        <f>IFERROR(__xludf.DUMMYFUNCTION("""COMPUTED_VALUE"""),"")</f>
        <v/>
      </c>
      <c r="D1809" t="str">
        <f>IFERROR(__xludf.DUMMYFUNCTION("""COMPUTED_VALUE"""),"")</f>
        <v/>
      </c>
      <c r="E1809" t="str">
        <f>IFERROR(__xludf.DUMMYFUNCTION("""COMPUTED_VALUE"""),"")</f>
        <v/>
      </c>
      <c r="F1809" t="str">
        <f>IFERROR(__xludf.DUMMYFUNCTION("""COMPUTED_VALUE"""),"")</f>
        <v/>
      </c>
      <c r="G1809" t="str">
        <f>IFERROR(__xludf.DUMMYFUNCTION("""COMPUTED_VALUE"""),"")</f>
        <v/>
      </c>
      <c r="H1809" s="2" t="str">
        <f>IFERROR(__xludf.DUMMYFUNCTION("""COMPUTED_VALUE"""),"")</f>
        <v/>
      </c>
      <c r="I1809" s="2" t="str">
        <f>IFERROR(__xludf.DUMMYFUNCTION("""COMPUTED_VALUE"""),"")</f>
        <v/>
      </c>
      <c r="J1809" s="2">
        <f>IFERROR(__xludf.DUMMYFUNCTION("""COMPUTED_VALUE"""),0.0)</f>
        <v>0</v>
      </c>
      <c r="K1809" s="5" t="str">
        <f>IFERROR(__xludf.DUMMYFUNCTION("""COMPUTED_VALUE"""),"")</f>
        <v/>
      </c>
      <c r="L1809" t="str">
        <f>IFERROR(__xludf.DUMMYFUNCTION("""COMPUTED_VALUE"""),"")</f>
        <v/>
      </c>
      <c r="M1809" t="str">
        <f>IFERROR(__xludf.DUMMYFUNCTION("""COMPUTED_VALUE"""),"")</f>
        <v/>
      </c>
      <c r="N1809" t="str">
        <f>IFERROR(__xludf.DUMMYFUNCTION("""COMPUTED_VALUE"""),"")</f>
        <v/>
      </c>
      <c r="O1809" t="str">
        <f>IFERROR(__xludf.DUMMYFUNCTION("""COMPUTED_VALUE"""),"")</f>
        <v/>
      </c>
      <c r="P1809" t="str">
        <f>IFERROR(__xludf.DUMMYFUNCTION("""COMPUTED_VALUE"""),"ID ")</f>
        <v>ID </v>
      </c>
    </row>
    <row r="1810">
      <c r="A1810" s="6" t="str">
        <f>IFERROR(__xludf.DUMMYFUNCTION("""COMPUTED_VALUE"""),"")</f>
        <v/>
      </c>
      <c r="C1810" t="str">
        <f>IFERROR(__xludf.DUMMYFUNCTION("""COMPUTED_VALUE"""),"")</f>
        <v/>
      </c>
      <c r="D1810" t="str">
        <f>IFERROR(__xludf.DUMMYFUNCTION("""COMPUTED_VALUE"""),"")</f>
        <v/>
      </c>
      <c r="E1810" t="str">
        <f>IFERROR(__xludf.DUMMYFUNCTION("""COMPUTED_VALUE"""),"")</f>
        <v/>
      </c>
      <c r="F1810" t="str">
        <f>IFERROR(__xludf.DUMMYFUNCTION("""COMPUTED_VALUE"""),"")</f>
        <v/>
      </c>
      <c r="G1810" t="str">
        <f>IFERROR(__xludf.DUMMYFUNCTION("""COMPUTED_VALUE"""),"")</f>
        <v/>
      </c>
      <c r="H1810" s="2" t="str">
        <f>IFERROR(__xludf.DUMMYFUNCTION("""COMPUTED_VALUE"""),"")</f>
        <v/>
      </c>
      <c r="I1810" s="2" t="str">
        <f>IFERROR(__xludf.DUMMYFUNCTION("""COMPUTED_VALUE"""),"")</f>
        <v/>
      </c>
      <c r="J1810" s="2">
        <f>IFERROR(__xludf.DUMMYFUNCTION("""COMPUTED_VALUE"""),0.0)</f>
        <v>0</v>
      </c>
      <c r="K1810" s="5" t="str">
        <f>IFERROR(__xludf.DUMMYFUNCTION("""COMPUTED_VALUE"""),"")</f>
        <v/>
      </c>
      <c r="L1810" t="str">
        <f>IFERROR(__xludf.DUMMYFUNCTION("""COMPUTED_VALUE"""),"")</f>
        <v/>
      </c>
      <c r="M1810" t="str">
        <f>IFERROR(__xludf.DUMMYFUNCTION("""COMPUTED_VALUE"""),"")</f>
        <v/>
      </c>
      <c r="N1810" t="str">
        <f>IFERROR(__xludf.DUMMYFUNCTION("""COMPUTED_VALUE"""),"")</f>
        <v/>
      </c>
      <c r="O1810" t="str">
        <f>IFERROR(__xludf.DUMMYFUNCTION("""COMPUTED_VALUE"""),"")</f>
        <v/>
      </c>
      <c r="P1810" t="str">
        <f>IFERROR(__xludf.DUMMYFUNCTION("""COMPUTED_VALUE"""),"ID ")</f>
        <v>ID </v>
      </c>
    </row>
    <row r="1811">
      <c r="A1811" s="6" t="str">
        <f>IFERROR(__xludf.DUMMYFUNCTION("""COMPUTED_VALUE"""),"")</f>
        <v/>
      </c>
      <c r="C1811" t="str">
        <f>IFERROR(__xludf.DUMMYFUNCTION("""COMPUTED_VALUE"""),"")</f>
        <v/>
      </c>
      <c r="D1811" t="str">
        <f>IFERROR(__xludf.DUMMYFUNCTION("""COMPUTED_VALUE"""),"")</f>
        <v/>
      </c>
      <c r="E1811" t="str">
        <f>IFERROR(__xludf.DUMMYFUNCTION("""COMPUTED_VALUE"""),"")</f>
        <v/>
      </c>
      <c r="F1811" t="str">
        <f>IFERROR(__xludf.DUMMYFUNCTION("""COMPUTED_VALUE"""),"")</f>
        <v/>
      </c>
      <c r="G1811" t="str">
        <f>IFERROR(__xludf.DUMMYFUNCTION("""COMPUTED_VALUE"""),"")</f>
        <v/>
      </c>
      <c r="H1811" s="2" t="str">
        <f>IFERROR(__xludf.DUMMYFUNCTION("""COMPUTED_VALUE"""),"")</f>
        <v/>
      </c>
      <c r="I1811" s="2" t="str">
        <f>IFERROR(__xludf.DUMMYFUNCTION("""COMPUTED_VALUE"""),"")</f>
        <v/>
      </c>
      <c r="J1811" s="2">
        <f>IFERROR(__xludf.DUMMYFUNCTION("""COMPUTED_VALUE"""),0.0)</f>
        <v>0</v>
      </c>
      <c r="K1811" s="5" t="str">
        <f>IFERROR(__xludf.DUMMYFUNCTION("""COMPUTED_VALUE"""),"")</f>
        <v/>
      </c>
      <c r="L1811" t="str">
        <f>IFERROR(__xludf.DUMMYFUNCTION("""COMPUTED_VALUE"""),"")</f>
        <v/>
      </c>
      <c r="M1811" t="str">
        <f>IFERROR(__xludf.DUMMYFUNCTION("""COMPUTED_VALUE"""),"")</f>
        <v/>
      </c>
      <c r="N1811" t="str">
        <f>IFERROR(__xludf.DUMMYFUNCTION("""COMPUTED_VALUE"""),"")</f>
        <v/>
      </c>
      <c r="O1811" t="str">
        <f>IFERROR(__xludf.DUMMYFUNCTION("""COMPUTED_VALUE"""),"")</f>
        <v/>
      </c>
      <c r="P1811" t="str">
        <f>IFERROR(__xludf.DUMMYFUNCTION("""COMPUTED_VALUE"""),"ID ")</f>
        <v>ID </v>
      </c>
    </row>
    <row r="1812">
      <c r="A1812" s="6" t="str">
        <f>IFERROR(__xludf.DUMMYFUNCTION("""COMPUTED_VALUE"""),"")</f>
        <v/>
      </c>
      <c r="C1812" t="str">
        <f>IFERROR(__xludf.DUMMYFUNCTION("""COMPUTED_VALUE"""),"")</f>
        <v/>
      </c>
      <c r="D1812" t="str">
        <f>IFERROR(__xludf.DUMMYFUNCTION("""COMPUTED_VALUE"""),"")</f>
        <v/>
      </c>
      <c r="E1812" t="str">
        <f>IFERROR(__xludf.DUMMYFUNCTION("""COMPUTED_VALUE"""),"")</f>
        <v/>
      </c>
      <c r="F1812" t="str">
        <f>IFERROR(__xludf.DUMMYFUNCTION("""COMPUTED_VALUE"""),"")</f>
        <v/>
      </c>
      <c r="G1812" t="str">
        <f>IFERROR(__xludf.DUMMYFUNCTION("""COMPUTED_VALUE"""),"")</f>
        <v/>
      </c>
      <c r="H1812" s="2" t="str">
        <f>IFERROR(__xludf.DUMMYFUNCTION("""COMPUTED_VALUE"""),"")</f>
        <v/>
      </c>
      <c r="I1812" s="2" t="str">
        <f>IFERROR(__xludf.DUMMYFUNCTION("""COMPUTED_VALUE"""),"")</f>
        <v/>
      </c>
      <c r="J1812" s="2">
        <f>IFERROR(__xludf.DUMMYFUNCTION("""COMPUTED_VALUE"""),0.0)</f>
        <v>0</v>
      </c>
      <c r="K1812" s="5" t="str">
        <f>IFERROR(__xludf.DUMMYFUNCTION("""COMPUTED_VALUE"""),"")</f>
        <v/>
      </c>
      <c r="L1812" t="str">
        <f>IFERROR(__xludf.DUMMYFUNCTION("""COMPUTED_VALUE"""),"")</f>
        <v/>
      </c>
      <c r="M1812" t="str">
        <f>IFERROR(__xludf.DUMMYFUNCTION("""COMPUTED_VALUE"""),"")</f>
        <v/>
      </c>
      <c r="N1812" t="str">
        <f>IFERROR(__xludf.DUMMYFUNCTION("""COMPUTED_VALUE"""),"")</f>
        <v/>
      </c>
      <c r="O1812" t="str">
        <f>IFERROR(__xludf.DUMMYFUNCTION("""COMPUTED_VALUE"""),"")</f>
        <v/>
      </c>
      <c r="P1812" t="str">
        <f>IFERROR(__xludf.DUMMYFUNCTION("""COMPUTED_VALUE"""),"ID ")</f>
        <v>ID </v>
      </c>
    </row>
    <row r="1813">
      <c r="A1813" s="6" t="str">
        <f>IFERROR(__xludf.DUMMYFUNCTION("""COMPUTED_VALUE"""),"")</f>
        <v/>
      </c>
      <c r="C1813" t="str">
        <f>IFERROR(__xludf.DUMMYFUNCTION("""COMPUTED_VALUE"""),"")</f>
        <v/>
      </c>
      <c r="D1813" t="str">
        <f>IFERROR(__xludf.DUMMYFUNCTION("""COMPUTED_VALUE"""),"")</f>
        <v/>
      </c>
      <c r="E1813" t="str">
        <f>IFERROR(__xludf.DUMMYFUNCTION("""COMPUTED_VALUE"""),"")</f>
        <v/>
      </c>
      <c r="F1813" t="str">
        <f>IFERROR(__xludf.DUMMYFUNCTION("""COMPUTED_VALUE"""),"")</f>
        <v/>
      </c>
      <c r="G1813" t="str">
        <f>IFERROR(__xludf.DUMMYFUNCTION("""COMPUTED_VALUE"""),"")</f>
        <v/>
      </c>
      <c r="H1813" s="2" t="str">
        <f>IFERROR(__xludf.DUMMYFUNCTION("""COMPUTED_VALUE"""),"")</f>
        <v/>
      </c>
      <c r="I1813" s="2" t="str">
        <f>IFERROR(__xludf.DUMMYFUNCTION("""COMPUTED_VALUE"""),"")</f>
        <v/>
      </c>
      <c r="J1813" s="2">
        <f>IFERROR(__xludf.DUMMYFUNCTION("""COMPUTED_VALUE"""),0.0)</f>
        <v>0</v>
      </c>
      <c r="K1813" s="5" t="str">
        <f>IFERROR(__xludf.DUMMYFUNCTION("""COMPUTED_VALUE"""),"")</f>
        <v/>
      </c>
      <c r="L1813" t="str">
        <f>IFERROR(__xludf.DUMMYFUNCTION("""COMPUTED_VALUE"""),"")</f>
        <v/>
      </c>
      <c r="M1813" t="str">
        <f>IFERROR(__xludf.DUMMYFUNCTION("""COMPUTED_VALUE"""),"")</f>
        <v/>
      </c>
      <c r="N1813" t="str">
        <f>IFERROR(__xludf.DUMMYFUNCTION("""COMPUTED_VALUE"""),"")</f>
        <v/>
      </c>
      <c r="O1813" t="str">
        <f>IFERROR(__xludf.DUMMYFUNCTION("""COMPUTED_VALUE"""),"")</f>
        <v/>
      </c>
      <c r="P1813" t="str">
        <f>IFERROR(__xludf.DUMMYFUNCTION("""COMPUTED_VALUE"""),"ID ")</f>
        <v>ID </v>
      </c>
    </row>
    <row r="1814">
      <c r="A1814" s="6" t="str">
        <f>IFERROR(__xludf.DUMMYFUNCTION("""COMPUTED_VALUE"""),"")</f>
        <v/>
      </c>
      <c r="C1814" t="str">
        <f>IFERROR(__xludf.DUMMYFUNCTION("""COMPUTED_VALUE"""),"")</f>
        <v/>
      </c>
      <c r="D1814" t="str">
        <f>IFERROR(__xludf.DUMMYFUNCTION("""COMPUTED_VALUE"""),"")</f>
        <v/>
      </c>
      <c r="E1814" t="str">
        <f>IFERROR(__xludf.DUMMYFUNCTION("""COMPUTED_VALUE"""),"")</f>
        <v/>
      </c>
      <c r="F1814" t="str">
        <f>IFERROR(__xludf.DUMMYFUNCTION("""COMPUTED_VALUE"""),"")</f>
        <v/>
      </c>
      <c r="G1814" t="str">
        <f>IFERROR(__xludf.DUMMYFUNCTION("""COMPUTED_VALUE"""),"")</f>
        <v/>
      </c>
      <c r="H1814" s="2" t="str">
        <f>IFERROR(__xludf.DUMMYFUNCTION("""COMPUTED_VALUE"""),"")</f>
        <v/>
      </c>
      <c r="I1814" s="2" t="str">
        <f>IFERROR(__xludf.DUMMYFUNCTION("""COMPUTED_VALUE"""),"")</f>
        <v/>
      </c>
      <c r="J1814" s="2">
        <f>IFERROR(__xludf.DUMMYFUNCTION("""COMPUTED_VALUE"""),0.0)</f>
        <v>0</v>
      </c>
      <c r="K1814" s="5" t="str">
        <f>IFERROR(__xludf.DUMMYFUNCTION("""COMPUTED_VALUE"""),"")</f>
        <v/>
      </c>
      <c r="L1814" t="str">
        <f>IFERROR(__xludf.DUMMYFUNCTION("""COMPUTED_VALUE"""),"")</f>
        <v/>
      </c>
      <c r="M1814" t="str">
        <f>IFERROR(__xludf.DUMMYFUNCTION("""COMPUTED_VALUE"""),"")</f>
        <v/>
      </c>
      <c r="N1814" t="str">
        <f>IFERROR(__xludf.DUMMYFUNCTION("""COMPUTED_VALUE"""),"")</f>
        <v/>
      </c>
      <c r="O1814" t="str">
        <f>IFERROR(__xludf.DUMMYFUNCTION("""COMPUTED_VALUE"""),"")</f>
        <v/>
      </c>
      <c r="P1814" t="str">
        <f>IFERROR(__xludf.DUMMYFUNCTION("""COMPUTED_VALUE"""),"ID ")</f>
        <v>ID </v>
      </c>
    </row>
    <row r="1815">
      <c r="A1815" s="6" t="str">
        <f>IFERROR(__xludf.DUMMYFUNCTION("""COMPUTED_VALUE"""),"")</f>
        <v/>
      </c>
      <c r="C1815" t="str">
        <f>IFERROR(__xludf.DUMMYFUNCTION("""COMPUTED_VALUE"""),"")</f>
        <v/>
      </c>
      <c r="D1815" t="str">
        <f>IFERROR(__xludf.DUMMYFUNCTION("""COMPUTED_VALUE"""),"")</f>
        <v/>
      </c>
      <c r="E1815" t="str">
        <f>IFERROR(__xludf.DUMMYFUNCTION("""COMPUTED_VALUE"""),"")</f>
        <v/>
      </c>
      <c r="F1815" t="str">
        <f>IFERROR(__xludf.DUMMYFUNCTION("""COMPUTED_VALUE"""),"")</f>
        <v/>
      </c>
      <c r="G1815" t="str">
        <f>IFERROR(__xludf.DUMMYFUNCTION("""COMPUTED_VALUE"""),"")</f>
        <v/>
      </c>
      <c r="H1815" s="2" t="str">
        <f>IFERROR(__xludf.DUMMYFUNCTION("""COMPUTED_VALUE"""),"")</f>
        <v/>
      </c>
      <c r="I1815" s="2" t="str">
        <f>IFERROR(__xludf.DUMMYFUNCTION("""COMPUTED_VALUE"""),"")</f>
        <v/>
      </c>
      <c r="J1815" s="2">
        <f>IFERROR(__xludf.DUMMYFUNCTION("""COMPUTED_VALUE"""),0.0)</f>
        <v>0</v>
      </c>
      <c r="K1815" s="5" t="str">
        <f>IFERROR(__xludf.DUMMYFUNCTION("""COMPUTED_VALUE"""),"")</f>
        <v/>
      </c>
      <c r="L1815" t="str">
        <f>IFERROR(__xludf.DUMMYFUNCTION("""COMPUTED_VALUE"""),"")</f>
        <v/>
      </c>
      <c r="M1815" t="str">
        <f>IFERROR(__xludf.DUMMYFUNCTION("""COMPUTED_VALUE"""),"")</f>
        <v/>
      </c>
      <c r="N1815" t="str">
        <f>IFERROR(__xludf.DUMMYFUNCTION("""COMPUTED_VALUE"""),"")</f>
        <v/>
      </c>
      <c r="O1815" t="str">
        <f>IFERROR(__xludf.DUMMYFUNCTION("""COMPUTED_VALUE"""),"")</f>
        <v/>
      </c>
      <c r="P1815" t="str">
        <f>IFERROR(__xludf.DUMMYFUNCTION("""COMPUTED_VALUE"""),"ID ")</f>
        <v>ID </v>
      </c>
    </row>
    <row r="1816">
      <c r="A1816" s="6" t="str">
        <f>IFERROR(__xludf.DUMMYFUNCTION("""COMPUTED_VALUE"""),"")</f>
        <v/>
      </c>
      <c r="C1816" t="str">
        <f>IFERROR(__xludf.DUMMYFUNCTION("""COMPUTED_VALUE"""),"")</f>
        <v/>
      </c>
      <c r="D1816" t="str">
        <f>IFERROR(__xludf.DUMMYFUNCTION("""COMPUTED_VALUE"""),"")</f>
        <v/>
      </c>
      <c r="E1816" t="str">
        <f>IFERROR(__xludf.DUMMYFUNCTION("""COMPUTED_VALUE"""),"")</f>
        <v/>
      </c>
      <c r="F1816" t="str">
        <f>IFERROR(__xludf.DUMMYFUNCTION("""COMPUTED_VALUE"""),"")</f>
        <v/>
      </c>
      <c r="G1816" t="str">
        <f>IFERROR(__xludf.DUMMYFUNCTION("""COMPUTED_VALUE"""),"")</f>
        <v/>
      </c>
      <c r="H1816" s="2" t="str">
        <f>IFERROR(__xludf.DUMMYFUNCTION("""COMPUTED_VALUE"""),"")</f>
        <v/>
      </c>
      <c r="I1816" s="2" t="str">
        <f>IFERROR(__xludf.DUMMYFUNCTION("""COMPUTED_VALUE"""),"")</f>
        <v/>
      </c>
      <c r="J1816" s="2">
        <f>IFERROR(__xludf.DUMMYFUNCTION("""COMPUTED_VALUE"""),0.0)</f>
        <v>0</v>
      </c>
      <c r="K1816" s="5" t="str">
        <f>IFERROR(__xludf.DUMMYFUNCTION("""COMPUTED_VALUE"""),"")</f>
        <v/>
      </c>
      <c r="L1816" t="str">
        <f>IFERROR(__xludf.DUMMYFUNCTION("""COMPUTED_VALUE"""),"")</f>
        <v/>
      </c>
      <c r="M1816" t="str">
        <f>IFERROR(__xludf.DUMMYFUNCTION("""COMPUTED_VALUE"""),"")</f>
        <v/>
      </c>
      <c r="N1816" t="str">
        <f>IFERROR(__xludf.DUMMYFUNCTION("""COMPUTED_VALUE"""),"")</f>
        <v/>
      </c>
      <c r="O1816" t="str">
        <f>IFERROR(__xludf.DUMMYFUNCTION("""COMPUTED_VALUE"""),"")</f>
        <v/>
      </c>
      <c r="P1816" t="str">
        <f>IFERROR(__xludf.DUMMYFUNCTION("""COMPUTED_VALUE"""),"ID ")</f>
        <v>ID </v>
      </c>
    </row>
    <row r="1817">
      <c r="A1817" s="6" t="str">
        <f>IFERROR(__xludf.DUMMYFUNCTION("""COMPUTED_VALUE"""),"")</f>
        <v/>
      </c>
      <c r="C1817" t="str">
        <f>IFERROR(__xludf.DUMMYFUNCTION("""COMPUTED_VALUE"""),"")</f>
        <v/>
      </c>
      <c r="D1817" t="str">
        <f>IFERROR(__xludf.DUMMYFUNCTION("""COMPUTED_VALUE"""),"")</f>
        <v/>
      </c>
      <c r="E1817" t="str">
        <f>IFERROR(__xludf.DUMMYFUNCTION("""COMPUTED_VALUE"""),"")</f>
        <v/>
      </c>
      <c r="F1817" t="str">
        <f>IFERROR(__xludf.DUMMYFUNCTION("""COMPUTED_VALUE"""),"")</f>
        <v/>
      </c>
      <c r="G1817" t="str">
        <f>IFERROR(__xludf.DUMMYFUNCTION("""COMPUTED_VALUE"""),"")</f>
        <v/>
      </c>
      <c r="H1817" s="2" t="str">
        <f>IFERROR(__xludf.DUMMYFUNCTION("""COMPUTED_VALUE"""),"")</f>
        <v/>
      </c>
      <c r="I1817" s="2" t="str">
        <f>IFERROR(__xludf.DUMMYFUNCTION("""COMPUTED_VALUE"""),"")</f>
        <v/>
      </c>
      <c r="J1817" s="2">
        <f>IFERROR(__xludf.DUMMYFUNCTION("""COMPUTED_VALUE"""),0.0)</f>
        <v>0</v>
      </c>
      <c r="K1817" s="5" t="str">
        <f>IFERROR(__xludf.DUMMYFUNCTION("""COMPUTED_VALUE"""),"")</f>
        <v/>
      </c>
      <c r="L1817" t="str">
        <f>IFERROR(__xludf.DUMMYFUNCTION("""COMPUTED_VALUE"""),"")</f>
        <v/>
      </c>
      <c r="M1817" t="str">
        <f>IFERROR(__xludf.DUMMYFUNCTION("""COMPUTED_VALUE"""),"")</f>
        <v/>
      </c>
      <c r="N1817" t="str">
        <f>IFERROR(__xludf.DUMMYFUNCTION("""COMPUTED_VALUE"""),"")</f>
        <v/>
      </c>
      <c r="O1817" t="str">
        <f>IFERROR(__xludf.DUMMYFUNCTION("""COMPUTED_VALUE"""),"")</f>
        <v/>
      </c>
      <c r="P1817" t="str">
        <f>IFERROR(__xludf.DUMMYFUNCTION("""COMPUTED_VALUE"""),"ID ")</f>
        <v>ID </v>
      </c>
    </row>
    <row r="1818">
      <c r="A1818" s="6" t="str">
        <f>IFERROR(__xludf.DUMMYFUNCTION("""COMPUTED_VALUE"""),"")</f>
        <v/>
      </c>
      <c r="C1818" t="str">
        <f>IFERROR(__xludf.DUMMYFUNCTION("""COMPUTED_VALUE"""),"")</f>
        <v/>
      </c>
      <c r="D1818" t="str">
        <f>IFERROR(__xludf.DUMMYFUNCTION("""COMPUTED_VALUE"""),"")</f>
        <v/>
      </c>
      <c r="E1818" t="str">
        <f>IFERROR(__xludf.DUMMYFUNCTION("""COMPUTED_VALUE"""),"")</f>
        <v/>
      </c>
      <c r="F1818" t="str">
        <f>IFERROR(__xludf.DUMMYFUNCTION("""COMPUTED_VALUE"""),"")</f>
        <v/>
      </c>
      <c r="G1818" t="str">
        <f>IFERROR(__xludf.DUMMYFUNCTION("""COMPUTED_VALUE"""),"")</f>
        <v/>
      </c>
      <c r="H1818" s="2" t="str">
        <f>IFERROR(__xludf.DUMMYFUNCTION("""COMPUTED_VALUE"""),"")</f>
        <v/>
      </c>
      <c r="I1818" s="2" t="str">
        <f>IFERROR(__xludf.DUMMYFUNCTION("""COMPUTED_VALUE"""),"")</f>
        <v/>
      </c>
      <c r="J1818" s="2">
        <f>IFERROR(__xludf.DUMMYFUNCTION("""COMPUTED_VALUE"""),0.0)</f>
        <v>0</v>
      </c>
      <c r="K1818" s="5" t="str">
        <f>IFERROR(__xludf.DUMMYFUNCTION("""COMPUTED_VALUE"""),"")</f>
        <v/>
      </c>
      <c r="L1818" t="str">
        <f>IFERROR(__xludf.DUMMYFUNCTION("""COMPUTED_VALUE"""),"")</f>
        <v/>
      </c>
      <c r="M1818" t="str">
        <f>IFERROR(__xludf.DUMMYFUNCTION("""COMPUTED_VALUE"""),"")</f>
        <v/>
      </c>
      <c r="N1818" t="str">
        <f>IFERROR(__xludf.DUMMYFUNCTION("""COMPUTED_VALUE"""),"")</f>
        <v/>
      </c>
      <c r="O1818" t="str">
        <f>IFERROR(__xludf.DUMMYFUNCTION("""COMPUTED_VALUE"""),"")</f>
        <v/>
      </c>
      <c r="P1818" t="str">
        <f>IFERROR(__xludf.DUMMYFUNCTION("""COMPUTED_VALUE"""),"ID ")</f>
        <v>ID </v>
      </c>
    </row>
    <row r="1819">
      <c r="A1819" s="6" t="str">
        <f>IFERROR(__xludf.DUMMYFUNCTION("""COMPUTED_VALUE"""),"")</f>
        <v/>
      </c>
      <c r="C1819" t="str">
        <f>IFERROR(__xludf.DUMMYFUNCTION("""COMPUTED_VALUE"""),"")</f>
        <v/>
      </c>
      <c r="D1819" t="str">
        <f>IFERROR(__xludf.DUMMYFUNCTION("""COMPUTED_VALUE"""),"")</f>
        <v/>
      </c>
      <c r="E1819" t="str">
        <f>IFERROR(__xludf.DUMMYFUNCTION("""COMPUTED_VALUE"""),"")</f>
        <v/>
      </c>
      <c r="F1819" t="str">
        <f>IFERROR(__xludf.DUMMYFUNCTION("""COMPUTED_VALUE"""),"")</f>
        <v/>
      </c>
      <c r="G1819" t="str">
        <f>IFERROR(__xludf.DUMMYFUNCTION("""COMPUTED_VALUE"""),"")</f>
        <v/>
      </c>
      <c r="H1819" s="2" t="str">
        <f>IFERROR(__xludf.DUMMYFUNCTION("""COMPUTED_VALUE"""),"")</f>
        <v/>
      </c>
      <c r="I1819" s="2" t="str">
        <f>IFERROR(__xludf.DUMMYFUNCTION("""COMPUTED_VALUE"""),"")</f>
        <v/>
      </c>
      <c r="J1819" s="2">
        <f>IFERROR(__xludf.DUMMYFUNCTION("""COMPUTED_VALUE"""),0.0)</f>
        <v>0</v>
      </c>
      <c r="K1819" s="5" t="str">
        <f>IFERROR(__xludf.DUMMYFUNCTION("""COMPUTED_VALUE"""),"")</f>
        <v/>
      </c>
      <c r="L1819" t="str">
        <f>IFERROR(__xludf.DUMMYFUNCTION("""COMPUTED_VALUE"""),"")</f>
        <v/>
      </c>
      <c r="M1819" t="str">
        <f>IFERROR(__xludf.DUMMYFUNCTION("""COMPUTED_VALUE"""),"")</f>
        <v/>
      </c>
      <c r="N1819" t="str">
        <f>IFERROR(__xludf.DUMMYFUNCTION("""COMPUTED_VALUE"""),"")</f>
        <v/>
      </c>
      <c r="O1819" t="str">
        <f>IFERROR(__xludf.DUMMYFUNCTION("""COMPUTED_VALUE"""),"")</f>
        <v/>
      </c>
      <c r="P1819" t="str">
        <f>IFERROR(__xludf.DUMMYFUNCTION("""COMPUTED_VALUE"""),"ID ")</f>
        <v>ID </v>
      </c>
    </row>
    <row r="1820">
      <c r="A1820" s="6" t="str">
        <f>IFERROR(__xludf.DUMMYFUNCTION("""COMPUTED_VALUE"""),"")</f>
        <v/>
      </c>
      <c r="C1820" t="str">
        <f>IFERROR(__xludf.DUMMYFUNCTION("""COMPUTED_VALUE"""),"")</f>
        <v/>
      </c>
      <c r="D1820" t="str">
        <f>IFERROR(__xludf.DUMMYFUNCTION("""COMPUTED_VALUE"""),"")</f>
        <v/>
      </c>
      <c r="E1820" t="str">
        <f>IFERROR(__xludf.DUMMYFUNCTION("""COMPUTED_VALUE"""),"")</f>
        <v/>
      </c>
      <c r="F1820" t="str">
        <f>IFERROR(__xludf.DUMMYFUNCTION("""COMPUTED_VALUE"""),"")</f>
        <v/>
      </c>
      <c r="G1820" t="str">
        <f>IFERROR(__xludf.DUMMYFUNCTION("""COMPUTED_VALUE"""),"")</f>
        <v/>
      </c>
      <c r="H1820" s="2" t="str">
        <f>IFERROR(__xludf.DUMMYFUNCTION("""COMPUTED_VALUE"""),"")</f>
        <v/>
      </c>
      <c r="I1820" s="2" t="str">
        <f>IFERROR(__xludf.DUMMYFUNCTION("""COMPUTED_VALUE"""),"")</f>
        <v/>
      </c>
      <c r="J1820" s="2">
        <f>IFERROR(__xludf.DUMMYFUNCTION("""COMPUTED_VALUE"""),0.0)</f>
        <v>0</v>
      </c>
      <c r="K1820" s="5" t="str">
        <f>IFERROR(__xludf.DUMMYFUNCTION("""COMPUTED_VALUE"""),"")</f>
        <v/>
      </c>
      <c r="L1820" t="str">
        <f>IFERROR(__xludf.DUMMYFUNCTION("""COMPUTED_VALUE"""),"")</f>
        <v/>
      </c>
      <c r="M1820" t="str">
        <f>IFERROR(__xludf.DUMMYFUNCTION("""COMPUTED_VALUE"""),"")</f>
        <v/>
      </c>
      <c r="N1820" t="str">
        <f>IFERROR(__xludf.DUMMYFUNCTION("""COMPUTED_VALUE"""),"")</f>
        <v/>
      </c>
      <c r="O1820" t="str">
        <f>IFERROR(__xludf.DUMMYFUNCTION("""COMPUTED_VALUE"""),"")</f>
        <v/>
      </c>
      <c r="P1820" t="str">
        <f>IFERROR(__xludf.DUMMYFUNCTION("""COMPUTED_VALUE"""),"ID ")</f>
        <v>ID </v>
      </c>
    </row>
    <row r="1821">
      <c r="A1821" s="6" t="str">
        <f>IFERROR(__xludf.DUMMYFUNCTION("""COMPUTED_VALUE"""),"")</f>
        <v/>
      </c>
      <c r="C1821" t="str">
        <f>IFERROR(__xludf.DUMMYFUNCTION("""COMPUTED_VALUE"""),"")</f>
        <v/>
      </c>
      <c r="D1821" t="str">
        <f>IFERROR(__xludf.DUMMYFUNCTION("""COMPUTED_VALUE"""),"")</f>
        <v/>
      </c>
      <c r="E1821" t="str">
        <f>IFERROR(__xludf.DUMMYFUNCTION("""COMPUTED_VALUE"""),"")</f>
        <v/>
      </c>
      <c r="F1821" t="str">
        <f>IFERROR(__xludf.DUMMYFUNCTION("""COMPUTED_VALUE"""),"")</f>
        <v/>
      </c>
      <c r="G1821" t="str">
        <f>IFERROR(__xludf.DUMMYFUNCTION("""COMPUTED_VALUE"""),"")</f>
        <v/>
      </c>
      <c r="H1821" s="2" t="str">
        <f>IFERROR(__xludf.DUMMYFUNCTION("""COMPUTED_VALUE"""),"")</f>
        <v/>
      </c>
      <c r="I1821" s="2" t="str">
        <f>IFERROR(__xludf.DUMMYFUNCTION("""COMPUTED_VALUE"""),"")</f>
        <v/>
      </c>
      <c r="J1821" s="2">
        <f>IFERROR(__xludf.DUMMYFUNCTION("""COMPUTED_VALUE"""),0.0)</f>
        <v>0</v>
      </c>
      <c r="K1821" s="5" t="str">
        <f>IFERROR(__xludf.DUMMYFUNCTION("""COMPUTED_VALUE"""),"")</f>
        <v/>
      </c>
      <c r="L1821" t="str">
        <f>IFERROR(__xludf.DUMMYFUNCTION("""COMPUTED_VALUE"""),"")</f>
        <v/>
      </c>
      <c r="M1821" t="str">
        <f>IFERROR(__xludf.DUMMYFUNCTION("""COMPUTED_VALUE"""),"")</f>
        <v/>
      </c>
      <c r="N1821" t="str">
        <f>IFERROR(__xludf.DUMMYFUNCTION("""COMPUTED_VALUE"""),"")</f>
        <v/>
      </c>
      <c r="O1821" t="str">
        <f>IFERROR(__xludf.DUMMYFUNCTION("""COMPUTED_VALUE"""),"")</f>
        <v/>
      </c>
      <c r="P1821" t="str">
        <f>IFERROR(__xludf.DUMMYFUNCTION("""COMPUTED_VALUE"""),"ID ")</f>
        <v>ID </v>
      </c>
    </row>
    <row r="1822">
      <c r="A1822" s="6" t="str">
        <f>IFERROR(__xludf.DUMMYFUNCTION("""COMPUTED_VALUE"""),"")</f>
        <v/>
      </c>
      <c r="C1822" t="str">
        <f>IFERROR(__xludf.DUMMYFUNCTION("""COMPUTED_VALUE"""),"")</f>
        <v/>
      </c>
      <c r="D1822" t="str">
        <f>IFERROR(__xludf.DUMMYFUNCTION("""COMPUTED_VALUE"""),"")</f>
        <v/>
      </c>
      <c r="E1822" t="str">
        <f>IFERROR(__xludf.DUMMYFUNCTION("""COMPUTED_VALUE"""),"")</f>
        <v/>
      </c>
      <c r="F1822" t="str">
        <f>IFERROR(__xludf.DUMMYFUNCTION("""COMPUTED_VALUE"""),"")</f>
        <v/>
      </c>
      <c r="G1822" t="str">
        <f>IFERROR(__xludf.DUMMYFUNCTION("""COMPUTED_VALUE"""),"")</f>
        <v/>
      </c>
      <c r="H1822" s="2" t="str">
        <f>IFERROR(__xludf.DUMMYFUNCTION("""COMPUTED_VALUE"""),"")</f>
        <v/>
      </c>
      <c r="I1822" s="2" t="str">
        <f>IFERROR(__xludf.DUMMYFUNCTION("""COMPUTED_VALUE"""),"")</f>
        <v/>
      </c>
      <c r="J1822" s="2">
        <f>IFERROR(__xludf.DUMMYFUNCTION("""COMPUTED_VALUE"""),0.0)</f>
        <v>0</v>
      </c>
      <c r="K1822" s="5" t="str">
        <f>IFERROR(__xludf.DUMMYFUNCTION("""COMPUTED_VALUE"""),"")</f>
        <v/>
      </c>
      <c r="L1822" t="str">
        <f>IFERROR(__xludf.DUMMYFUNCTION("""COMPUTED_VALUE"""),"")</f>
        <v/>
      </c>
      <c r="M1822" t="str">
        <f>IFERROR(__xludf.DUMMYFUNCTION("""COMPUTED_VALUE"""),"")</f>
        <v/>
      </c>
      <c r="N1822" t="str">
        <f>IFERROR(__xludf.DUMMYFUNCTION("""COMPUTED_VALUE"""),"")</f>
        <v/>
      </c>
      <c r="O1822" t="str">
        <f>IFERROR(__xludf.DUMMYFUNCTION("""COMPUTED_VALUE"""),"")</f>
        <v/>
      </c>
      <c r="P1822" t="str">
        <f>IFERROR(__xludf.DUMMYFUNCTION("""COMPUTED_VALUE"""),"ID ")</f>
        <v>ID </v>
      </c>
    </row>
    <row r="1823">
      <c r="A1823" s="6" t="str">
        <f>IFERROR(__xludf.DUMMYFUNCTION("""COMPUTED_VALUE"""),"")</f>
        <v/>
      </c>
      <c r="C1823" t="str">
        <f>IFERROR(__xludf.DUMMYFUNCTION("""COMPUTED_VALUE"""),"")</f>
        <v/>
      </c>
      <c r="D1823" t="str">
        <f>IFERROR(__xludf.DUMMYFUNCTION("""COMPUTED_VALUE"""),"")</f>
        <v/>
      </c>
      <c r="E1823" t="str">
        <f>IFERROR(__xludf.DUMMYFUNCTION("""COMPUTED_VALUE"""),"")</f>
        <v/>
      </c>
      <c r="F1823" t="str">
        <f>IFERROR(__xludf.DUMMYFUNCTION("""COMPUTED_VALUE"""),"")</f>
        <v/>
      </c>
      <c r="G1823" t="str">
        <f>IFERROR(__xludf.DUMMYFUNCTION("""COMPUTED_VALUE"""),"")</f>
        <v/>
      </c>
      <c r="H1823" s="2" t="str">
        <f>IFERROR(__xludf.DUMMYFUNCTION("""COMPUTED_VALUE"""),"")</f>
        <v/>
      </c>
      <c r="I1823" s="2" t="str">
        <f>IFERROR(__xludf.DUMMYFUNCTION("""COMPUTED_VALUE"""),"")</f>
        <v/>
      </c>
      <c r="J1823" s="2">
        <f>IFERROR(__xludf.DUMMYFUNCTION("""COMPUTED_VALUE"""),0.0)</f>
        <v>0</v>
      </c>
      <c r="K1823" s="5" t="str">
        <f>IFERROR(__xludf.DUMMYFUNCTION("""COMPUTED_VALUE"""),"")</f>
        <v/>
      </c>
      <c r="L1823" t="str">
        <f>IFERROR(__xludf.DUMMYFUNCTION("""COMPUTED_VALUE"""),"")</f>
        <v/>
      </c>
      <c r="M1823" t="str">
        <f>IFERROR(__xludf.DUMMYFUNCTION("""COMPUTED_VALUE"""),"")</f>
        <v/>
      </c>
      <c r="N1823" t="str">
        <f>IFERROR(__xludf.DUMMYFUNCTION("""COMPUTED_VALUE"""),"")</f>
        <v/>
      </c>
      <c r="O1823" t="str">
        <f>IFERROR(__xludf.DUMMYFUNCTION("""COMPUTED_VALUE"""),"")</f>
        <v/>
      </c>
      <c r="P1823" t="str">
        <f>IFERROR(__xludf.DUMMYFUNCTION("""COMPUTED_VALUE"""),"ID ")</f>
        <v>ID </v>
      </c>
    </row>
    <row r="1824">
      <c r="A1824" s="6" t="str">
        <f>IFERROR(__xludf.DUMMYFUNCTION("""COMPUTED_VALUE"""),"")</f>
        <v/>
      </c>
      <c r="C1824" t="str">
        <f>IFERROR(__xludf.DUMMYFUNCTION("""COMPUTED_VALUE"""),"")</f>
        <v/>
      </c>
      <c r="D1824" t="str">
        <f>IFERROR(__xludf.DUMMYFUNCTION("""COMPUTED_VALUE"""),"")</f>
        <v/>
      </c>
      <c r="E1824" t="str">
        <f>IFERROR(__xludf.DUMMYFUNCTION("""COMPUTED_VALUE"""),"")</f>
        <v/>
      </c>
      <c r="F1824" t="str">
        <f>IFERROR(__xludf.DUMMYFUNCTION("""COMPUTED_VALUE"""),"")</f>
        <v/>
      </c>
      <c r="G1824" t="str">
        <f>IFERROR(__xludf.DUMMYFUNCTION("""COMPUTED_VALUE"""),"")</f>
        <v/>
      </c>
      <c r="H1824" s="2" t="str">
        <f>IFERROR(__xludf.DUMMYFUNCTION("""COMPUTED_VALUE"""),"")</f>
        <v/>
      </c>
      <c r="I1824" s="2" t="str">
        <f>IFERROR(__xludf.DUMMYFUNCTION("""COMPUTED_VALUE"""),"")</f>
        <v/>
      </c>
      <c r="J1824" s="2">
        <f>IFERROR(__xludf.DUMMYFUNCTION("""COMPUTED_VALUE"""),0.0)</f>
        <v>0</v>
      </c>
      <c r="K1824" s="5" t="str">
        <f>IFERROR(__xludf.DUMMYFUNCTION("""COMPUTED_VALUE"""),"")</f>
        <v/>
      </c>
      <c r="L1824" t="str">
        <f>IFERROR(__xludf.DUMMYFUNCTION("""COMPUTED_VALUE"""),"")</f>
        <v/>
      </c>
      <c r="M1824" t="str">
        <f>IFERROR(__xludf.DUMMYFUNCTION("""COMPUTED_VALUE"""),"")</f>
        <v/>
      </c>
      <c r="N1824" t="str">
        <f>IFERROR(__xludf.DUMMYFUNCTION("""COMPUTED_VALUE"""),"")</f>
        <v/>
      </c>
      <c r="O1824" t="str">
        <f>IFERROR(__xludf.DUMMYFUNCTION("""COMPUTED_VALUE"""),"")</f>
        <v/>
      </c>
      <c r="P1824" t="str">
        <f>IFERROR(__xludf.DUMMYFUNCTION("""COMPUTED_VALUE"""),"ID ")</f>
        <v>ID </v>
      </c>
    </row>
    <row r="1825">
      <c r="A1825" s="6" t="str">
        <f>IFERROR(__xludf.DUMMYFUNCTION("""COMPUTED_VALUE"""),"")</f>
        <v/>
      </c>
      <c r="C1825" t="str">
        <f>IFERROR(__xludf.DUMMYFUNCTION("""COMPUTED_VALUE"""),"")</f>
        <v/>
      </c>
      <c r="D1825" t="str">
        <f>IFERROR(__xludf.DUMMYFUNCTION("""COMPUTED_VALUE"""),"")</f>
        <v/>
      </c>
      <c r="E1825" t="str">
        <f>IFERROR(__xludf.DUMMYFUNCTION("""COMPUTED_VALUE"""),"")</f>
        <v/>
      </c>
      <c r="F1825" t="str">
        <f>IFERROR(__xludf.DUMMYFUNCTION("""COMPUTED_VALUE"""),"")</f>
        <v/>
      </c>
      <c r="G1825" t="str">
        <f>IFERROR(__xludf.DUMMYFUNCTION("""COMPUTED_VALUE"""),"")</f>
        <v/>
      </c>
      <c r="H1825" s="2" t="str">
        <f>IFERROR(__xludf.DUMMYFUNCTION("""COMPUTED_VALUE"""),"")</f>
        <v/>
      </c>
      <c r="I1825" s="2" t="str">
        <f>IFERROR(__xludf.DUMMYFUNCTION("""COMPUTED_VALUE"""),"")</f>
        <v/>
      </c>
      <c r="J1825" s="2">
        <f>IFERROR(__xludf.DUMMYFUNCTION("""COMPUTED_VALUE"""),0.0)</f>
        <v>0</v>
      </c>
      <c r="K1825" s="5" t="str">
        <f>IFERROR(__xludf.DUMMYFUNCTION("""COMPUTED_VALUE"""),"")</f>
        <v/>
      </c>
      <c r="L1825" t="str">
        <f>IFERROR(__xludf.DUMMYFUNCTION("""COMPUTED_VALUE"""),"")</f>
        <v/>
      </c>
      <c r="M1825" t="str">
        <f>IFERROR(__xludf.DUMMYFUNCTION("""COMPUTED_VALUE"""),"")</f>
        <v/>
      </c>
      <c r="N1825" t="str">
        <f>IFERROR(__xludf.DUMMYFUNCTION("""COMPUTED_VALUE"""),"")</f>
        <v/>
      </c>
      <c r="O1825" t="str">
        <f>IFERROR(__xludf.DUMMYFUNCTION("""COMPUTED_VALUE"""),"")</f>
        <v/>
      </c>
      <c r="P1825" t="str">
        <f>IFERROR(__xludf.DUMMYFUNCTION("""COMPUTED_VALUE"""),"ID ")</f>
        <v>ID </v>
      </c>
    </row>
    <row r="1826">
      <c r="A1826" s="6" t="str">
        <f>IFERROR(__xludf.DUMMYFUNCTION("""COMPUTED_VALUE"""),"")</f>
        <v/>
      </c>
      <c r="C1826" t="str">
        <f>IFERROR(__xludf.DUMMYFUNCTION("""COMPUTED_VALUE"""),"")</f>
        <v/>
      </c>
      <c r="D1826" t="str">
        <f>IFERROR(__xludf.DUMMYFUNCTION("""COMPUTED_VALUE"""),"")</f>
        <v/>
      </c>
      <c r="E1826" t="str">
        <f>IFERROR(__xludf.DUMMYFUNCTION("""COMPUTED_VALUE"""),"")</f>
        <v/>
      </c>
      <c r="F1826" t="str">
        <f>IFERROR(__xludf.DUMMYFUNCTION("""COMPUTED_VALUE"""),"")</f>
        <v/>
      </c>
      <c r="G1826" t="str">
        <f>IFERROR(__xludf.DUMMYFUNCTION("""COMPUTED_VALUE"""),"")</f>
        <v/>
      </c>
      <c r="H1826" s="2" t="str">
        <f>IFERROR(__xludf.DUMMYFUNCTION("""COMPUTED_VALUE"""),"")</f>
        <v/>
      </c>
      <c r="I1826" s="2" t="str">
        <f>IFERROR(__xludf.DUMMYFUNCTION("""COMPUTED_VALUE"""),"")</f>
        <v/>
      </c>
      <c r="J1826" s="2">
        <f>IFERROR(__xludf.DUMMYFUNCTION("""COMPUTED_VALUE"""),0.0)</f>
        <v>0</v>
      </c>
      <c r="K1826" s="5" t="str">
        <f>IFERROR(__xludf.DUMMYFUNCTION("""COMPUTED_VALUE"""),"")</f>
        <v/>
      </c>
      <c r="L1826" t="str">
        <f>IFERROR(__xludf.DUMMYFUNCTION("""COMPUTED_VALUE"""),"")</f>
        <v/>
      </c>
      <c r="M1826" t="str">
        <f>IFERROR(__xludf.DUMMYFUNCTION("""COMPUTED_VALUE"""),"")</f>
        <v/>
      </c>
      <c r="N1826" t="str">
        <f>IFERROR(__xludf.DUMMYFUNCTION("""COMPUTED_VALUE"""),"")</f>
        <v/>
      </c>
      <c r="O1826" t="str">
        <f>IFERROR(__xludf.DUMMYFUNCTION("""COMPUTED_VALUE"""),"")</f>
        <v/>
      </c>
      <c r="P1826" t="str">
        <f>IFERROR(__xludf.DUMMYFUNCTION("""COMPUTED_VALUE"""),"ID ")</f>
        <v>ID </v>
      </c>
    </row>
    <row r="1827">
      <c r="A1827" s="6" t="str">
        <f>IFERROR(__xludf.DUMMYFUNCTION("""COMPUTED_VALUE"""),"")</f>
        <v/>
      </c>
      <c r="C1827" t="str">
        <f>IFERROR(__xludf.DUMMYFUNCTION("""COMPUTED_VALUE"""),"")</f>
        <v/>
      </c>
      <c r="D1827" t="str">
        <f>IFERROR(__xludf.DUMMYFUNCTION("""COMPUTED_VALUE"""),"")</f>
        <v/>
      </c>
      <c r="E1827" t="str">
        <f>IFERROR(__xludf.DUMMYFUNCTION("""COMPUTED_VALUE"""),"")</f>
        <v/>
      </c>
      <c r="F1827" t="str">
        <f>IFERROR(__xludf.DUMMYFUNCTION("""COMPUTED_VALUE"""),"")</f>
        <v/>
      </c>
      <c r="G1827" t="str">
        <f>IFERROR(__xludf.DUMMYFUNCTION("""COMPUTED_VALUE"""),"")</f>
        <v/>
      </c>
      <c r="H1827" s="2" t="str">
        <f>IFERROR(__xludf.DUMMYFUNCTION("""COMPUTED_VALUE"""),"")</f>
        <v/>
      </c>
      <c r="I1827" s="2" t="str">
        <f>IFERROR(__xludf.DUMMYFUNCTION("""COMPUTED_VALUE"""),"")</f>
        <v/>
      </c>
      <c r="J1827" s="2">
        <f>IFERROR(__xludf.DUMMYFUNCTION("""COMPUTED_VALUE"""),0.0)</f>
        <v>0</v>
      </c>
      <c r="K1827" s="5" t="str">
        <f>IFERROR(__xludf.DUMMYFUNCTION("""COMPUTED_VALUE"""),"")</f>
        <v/>
      </c>
      <c r="L1827" t="str">
        <f>IFERROR(__xludf.DUMMYFUNCTION("""COMPUTED_VALUE"""),"")</f>
        <v/>
      </c>
      <c r="M1827" t="str">
        <f>IFERROR(__xludf.DUMMYFUNCTION("""COMPUTED_VALUE"""),"")</f>
        <v/>
      </c>
      <c r="N1827" t="str">
        <f>IFERROR(__xludf.DUMMYFUNCTION("""COMPUTED_VALUE"""),"")</f>
        <v/>
      </c>
      <c r="O1827" t="str">
        <f>IFERROR(__xludf.DUMMYFUNCTION("""COMPUTED_VALUE"""),"")</f>
        <v/>
      </c>
      <c r="P1827" t="str">
        <f>IFERROR(__xludf.DUMMYFUNCTION("""COMPUTED_VALUE"""),"ID ")</f>
        <v>ID </v>
      </c>
    </row>
    <row r="1828">
      <c r="A1828" s="6" t="str">
        <f>IFERROR(__xludf.DUMMYFUNCTION("""COMPUTED_VALUE"""),"")</f>
        <v/>
      </c>
      <c r="C1828" t="str">
        <f>IFERROR(__xludf.DUMMYFUNCTION("""COMPUTED_VALUE"""),"")</f>
        <v/>
      </c>
      <c r="D1828" t="str">
        <f>IFERROR(__xludf.DUMMYFUNCTION("""COMPUTED_VALUE"""),"")</f>
        <v/>
      </c>
      <c r="E1828" t="str">
        <f>IFERROR(__xludf.DUMMYFUNCTION("""COMPUTED_VALUE"""),"")</f>
        <v/>
      </c>
      <c r="F1828" t="str">
        <f>IFERROR(__xludf.DUMMYFUNCTION("""COMPUTED_VALUE"""),"")</f>
        <v/>
      </c>
      <c r="G1828" t="str">
        <f>IFERROR(__xludf.DUMMYFUNCTION("""COMPUTED_VALUE"""),"")</f>
        <v/>
      </c>
      <c r="H1828" s="2" t="str">
        <f>IFERROR(__xludf.DUMMYFUNCTION("""COMPUTED_VALUE"""),"")</f>
        <v/>
      </c>
      <c r="I1828" s="2" t="str">
        <f>IFERROR(__xludf.DUMMYFUNCTION("""COMPUTED_VALUE"""),"")</f>
        <v/>
      </c>
      <c r="J1828" s="2">
        <f>IFERROR(__xludf.DUMMYFUNCTION("""COMPUTED_VALUE"""),0.0)</f>
        <v>0</v>
      </c>
      <c r="K1828" s="5" t="str">
        <f>IFERROR(__xludf.DUMMYFUNCTION("""COMPUTED_VALUE"""),"")</f>
        <v/>
      </c>
      <c r="L1828" t="str">
        <f>IFERROR(__xludf.DUMMYFUNCTION("""COMPUTED_VALUE"""),"")</f>
        <v/>
      </c>
      <c r="M1828" t="str">
        <f>IFERROR(__xludf.DUMMYFUNCTION("""COMPUTED_VALUE"""),"")</f>
        <v/>
      </c>
      <c r="N1828" t="str">
        <f>IFERROR(__xludf.DUMMYFUNCTION("""COMPUTED_VALUE"""),"")</f>
        <v/>
      </c>
      <c r="O1828" t="str">
        <f>IFERROR(__xludf.DUMMYFUNCTION("""COMPUTED_VALUE"""),"")</f>
        <v/>
      </c>
      <c r="P1828" t="str">
        <f>IFERROR(__xludf.DUMMYFUNCTION("""COMPUTED_VALUE"""),"ID ")</f>
        <v>ID </v>
      </c>
    </row>
    <row r="1829">
      <c r="A1829" s="6" t="str">
        <f>IFERROR(__xludf.DUMMYFUNCTION("""COMPUTED_VALUE"""),"")</f>
        <v/>
      </c>
      <c r="C1829" t="str">
        <f>IFERROR(__xludf.DUMMYFUNCTION("""COMPUTED_VALUE"""),"")</f>
        <v/>
      </c>
      <c r="D1829" t="str">
        <f>IFERROR(__xludf.DUMMYFUNCTION("""COMPUTED_VALUE"""),"")</f>
        <v/>
      </c>
      <c r="E1829" t="str">
        <f>IFERROR(__xludf.DUMMYFUNCTION("""COMPUTED_VALUE"""),"")</f>
        <v/>
      </c>
      <c r="F1829" t="str">
        <f>IFERROR(__xludf.DUMMYFUNCTION("""COMPUTED_VALUE"""),"")</f>
        <v/>
      </c>
      <c r="G1829" t="str">
        <f>IFERROR(__xludf.DUMMYFUNCTION("""COMPUTED_VALUE"""),"")</f>
        <v/>
      </c>
      <c r="H1829" s="2" t="str">
        <f>IFERROR(__xludf.DUMMYFUNCTION("""COMPUTED_VALUE"""),"")</f>
        <v/>
      </c>
      <c r="I1829" s="2" t="str">
        <f>IFERROR(__xludf.DUMMYFUNCTION("""COMPUTED_VALUE"""),"")</f>
        <v/>
      </c>
      <c r="J1829" s="2">
        <f>IFERROR(__xludf.DUMMYFUNCTION("""COMPUTED_VALUE"""),0.0)</f>
        <v>0</v>
      </c>
      <c r="K1829" s="5" t="str">
        <f>IFERROR(__xludf.DUMMYFUNCTION("""COMPUTED_VALUE"""),"")</f>
        <v/>
      </c>
      <c r="L1829" t="str">
        <f>IFERROR(__xludf.DUMMYFUNCTION("""COMPUTED_VALUE"""),"")</f>
        <v/>
      </c>
      <c r="M1829" t="str">
        <f>IFERROR(__xludf.DUMMYFUNCTION("""COMPUTED_VALUE"""),"")</f>
        <v/>
      </c>
      <c r="N1829" t="str">
        <f>IFERROR(__xludf.DUMMYFUNCTION("""COMPUTED_VALUE"""),"")</f>
        <v/>
      </c>
      <c r="O1829" t="str">
        <f>IFERROR(__xludf.DUMMYFUNCTION("""COMPUTED_VALUE"""),"")</f>
        <v/>
      </c>
      <c r="P1829" t="str">
        <f>IFERROR(__xludf.DUMMYFUNCTION("""COMPUTED_VALUE"""),"ID ")</f>
        <v>ID </v>
      </c>
    </row>
    <row r="1830">
      <c r="A1830" s="6" t="str">
        <f>IFERROR(__xludf.DUMMYFUNCTION("""COMPUTED_VALUE"""),"")</f>
        <v/>
      </c>
      <c r="C1830" t="str">
        <f>IFERROR(__xludf.DUMMYFUNCTION("""COMPUTED_VALUE"""),"")</f>
        <v/>
      </c>
      <c r="D1830" t="str">
        <f>IFERROR(__xludf.DUMMYFUNCTION("""COMPUTED_VALUE"""),"")</f>
        <v/>
      </c>
      <c r="E1830" t="str">
        <f>IFERROR(__xludf.DUMMYFUNCTION("""COMPUTED_VALUE"""),"")</f>
        <v/>
      </c>
      <c r="F1830" t="str">
        <f>IFERROR(__xludf.DUMMYFUNCTION("""COMPUTED_VALUE"""),"")</f>
        <v/>
      </c>
      <c r="G1830" t="str">
        <f>IFERROR(__xludf.DUMMYFUNCTION("""COMPUTED_VALUE"""),"")</f>
        <v/>
      </c>
      <c r="H1830" s="2" t="str">
        <f>IFERROR(__xludf.DUMMYFUNCTION("""COMPUTED_VALUE"""),"")</f>
        <v/>
      </c>
      <c r="I1830" s="2" t="str">
        <f>IFERROR(__xludf.DUMMYFUNCTION("""COMPUTED_VALUE"""),"")</f>
        <v/>
      </c>
      <c r="J1830" s="2">
        <f>IFERROR(__xludf.DUMMYFUNCTION("""COMPUTED_VALUE"""),0.0)</f>
        <v>0</v>
      </c>
      <c r="K1830" s="5" t="str">
        <f>IFERROR(__xludf.DUMMYFUNCTION("""COMPUTED_VALUE"""),"")</f>
        <v/>
      </c>
      <c r="L1830" t="str">
        <f>IFERROR(__xludf.DUMMYFUNCTION("""COMPUTED_VALUE"""),"")</f>
        <v/>
      </c>
      <c r="M1830" t="str">
        <f>IFERROR(__xludf.DUMMYFUNCTION("""COMPUTED_VALUE"""),"")</f>
        <v/>
      </c>
      <c r="N1830" t="str">
        <f>IFERROR(__xludf.DUMMYFUNCTION("""COMPUTED_VALUE"""),"")</f>
        <v/>
      </c>
      <c r="O1830" t="str">
        <f>IFERROR(__xludf.DUMMYFUNCTION("""COMPUTED_VALUE"""),"")</f>
        <v/>
      </c>
      <c r="P1830" t="str">
        <f>IFERROR(__xludf.DUMMYFUNCTION("""COMPUTED_VALUE"""),"ID ")</f>
        <v>ID </v>
      </c>
    </row>
    <row r="1831">
      <c r="A1831" s="6" t="str">
        <f>IFERROR(__xludf.DUMMYFUNCTION("""COMPUTED_VALUE"""),"")</f>
        <v/>
      </c>
      <c r="C1831" t="str">
        <f>IFERROR(__xludf.DUMMYFUNCTION("""COMPUTED_VALUE"""),"")</f>
        <v/>
      </c>
      <c r="D1831" t="str">
        <f>IFERROR(__xludf.DUMMYFUNCTION("""COMPUTED_VALUE"""),"")</f>
        <v/>
      </c>
      <c r="E1831" t="str">
        <f>IFERROR(__xludf.DUMMYFUNCTION("""COMPUTED_VALUE"""),"")</f>
        <v/>
      </c>
      <c r="F1831" t="str">
        <f>IFERROR(__xludf.DUMMYFUNCTION("""COMPUTED_VALUE"""),"")</f>
        <v/>
      </c>
      <c r="G1831" t="str">
        <f>IFERROR(__xludf.DUMMYFUNCTION("""COMPUTED_VALUE"""),"")</f>
        <v/>
      </c>
      <c r="H1831" s="2" t="str">
        <f>IFERROR(__xludf.DUMMYFUNCTION("""COMPUTED_VALUE"""),"")</f>
        <v/>
      </c>
      <c r="I1831" s="2" t="str">
        <f>IFERROR(__xludf.DUMMYFUNCTION("""COMPUTED_VALUE"""),"")</f>
        <v/>
      </c>
      <c r="J1831" s="2">
        <f>IFERROR(__xludf.DUMMYFUNCTION("""COMPUTED_VALUE"""),0.0)</f>
        <v>0</v>
      </c>
      <c r="K1831" s="5" t="str">
        <f>IFERROR(__xludf.DUMMYFUNCTION("""COMPUTED_VALUE"""),"")</f>
        <v/>
      </c>
      <c r="L1831" t="str">
        <f>IFERROR(__xludf.DUMMYFUNCTION("""COMPUTED_VALUE"""),"")</f>
        <v/>
      </c>
      <c r="M1831" t="str">
        <f>IFERROR(__xludf.DUMMYFUNCTION("""COMPUTED_VALUE"""),"")</f>
        <v/>
      </c>
      <c r="N1831" t="str">
        <f>IFERROR(__xludf.DUMMYFUNCTION("""COMPUTED_VALUE"""),"")</f>
        <v/>
      </c>
      <c r="O1831" t="str">
        <f>IFERROR(__xludf.DUMMYFUNCTION("""COMPUTED_VALUE"""),"")</f>
        <v/>
      </c>
      <c r="P1831" t="str">
        <f>IFERROR(__xludf.DUMMYFUNCTION("""COMPUTED_VALUE"""),"ID ")</f>
        <v>ID </v>
      </c>
    </row>
    <row r="1832">
      <c r="A1832" s="6" t="str">
        <f>IFERROR(__xludf.DUMMYFUNCTION("""COMPUTED_VALUE"""),"")</f>
        <v/>
      </c>
      <c r="C1832" t="str">
        <f>IFERROR(__xludf.DUMMYFUNCTION("""COMPUTED_VALUE"""),"")</f>
        <v/>
      </c>
      <c r="D1832" t="str">
        <f>IFERROR(__xludf.DUMMYFUNCTION("""COMPUTED_VALUE"""),"")</f>
        <v/>
      </c>
      <c r="E1832" t="str">
        <f>IFERROR(__xludf.DUMMYFUNCTION("""COMPUTED_VALUE"""),"")</f>
        <v/>
      </c>
      <c r="F1832" t="str">
        <f>IFERROR(__xludf.DUMMYFUNCTION("""COMPUTED_VALUE"""),"")</f>
        <v/>
      </c>
      <c r="G1832" t="str">
        <f>IFERROR(__xludf.DUMMYFUNCTION("""COMPUTED_VALUE"""),"")</f>
        <v/>
      </c>
      <c r="H1832" s="2" t="str">
        <f>IFERROR(__xludf.DUMMYFUNCTION("""COMPUTED_VALUE"""),"")</f>
        <v/>
      </c>
      <c r="I1832" s="2" t="str">
        <f>IFERROR(__xludf.DUMMYFUNCTION("""COMPUTED_VALUE"""),"")</f>
        <v/>
      </c>
      <c r="J1832" s="2">
        <f>IFERROR(__xludf.DUMMYFUNCTION("""COMPUTED_VALUE"""),0.0)</f>
        <v>0</v>
      </c>
      <c r="K1832" s="5" t="str">
        <f>IFERROR(__xludf.DUMMYFUNCTION("""COMPUTED_VALUE"""),"")</f>
        <v/>
      </c>
      <c r="L1832" t="str">
        <f>IFERROR(__xludf.DUMMYFUNCTION("""COMPUTED_VALUE"""),"")</f>
        <v/>
      </c>
      <c r="M1832" t="str">
        <f>IFERROR(__xludf.DUMMYFUNCTION("""COMPUTED_VALUE"""),"")</f>
        <v/>
      </c>
      <c r="N1832" t="str">
        <f>IFERROR(__xludf.DUMMYFUNCTION("""COMPUTED_VALUE"""),"")</f>
        <v/>
      </c>
      <c r="O1832" t="str">
        <f>IFERROR(__xludf.DUMMYFUNCTION("""COMPUTED_VALUE"""),"")</f>
        <v/>
      </c>
      <c r="P1832" t="str">
        <f>IFERROR(__xludf.DUMMYFUNCTION("""COMPUTED_VALUE"""),"ID ")</f>
        <v>ID </v>
      </c>
    </row>
    <row r="1833">
      <c r="A1833" s="6" t="str">
        <f>IFERROR(__xludf.DUMMYFUNCTION("""COMPUTED_VALUE"""),"")</f>
        <v/>
      </c>
      <c r="C1833" t="str">
        <f>IFERROR(__xludf.DUMMYFUNCTION("""COMPUTED_VALUE"""),"")</f>
        <v/>
      </c>
      <c r="D1833" t="str">
        <f>IFERROR(__xludf.DUMMYFUNCTION("""COMPUTED_VALUE"""),"")</f>
        <v/>
      </c>
      <c r="E1833" t="str">
        <f>IFERROR(__xludf.DUMMYFUNCTION("""COMPUTED_VALUE"""),"")</f>
        <v/>
      </c>
      <c r="F1833" t="str">
        <f>IFERROR(__xludf.DUMMYFUNCTION("""COMPUTED_VALUE"""),"")</f>
        <v/>
      </c>
      <c r="G1833" t="str">
        <f>IFERROR(__xludf.DUMMYFUNCTION("""COMPUTED_VALUE"""),"")</f>
        <v/>
      </c>
      <c r="H1833" s="2" t="str">
        <f>IFERROR(__xludf.DUMMYFUNCTION("""COMPUTED_VALUE"""),"")</f>
        <v/>
      </c>
      <c r="I1833" s="2" t="str">
        <f>IFERROR(__xludf.DUMMYFUNCTION("""COMPUTED_VALUE"""),"")</f>
        <v/>
      </c>
      <c r="J1833" s="2">
        <f>IFERROR(__xludf.DUMMYFUNCTION("""COMPUTED_VALUE"""),0.0)</f>
        <v>0</v>
      </c>
      <c r="K1833" s="5" t="str">
        <f>IFERROR(__xludf.DUMMYFUNCTION("""COMPUTED_VALUE"""),"")</f>
        <v/>
      </c>
      <c r="L1833" t="str">
        <f>IFERROR(__xludf.DUMMYFUNCTION("""COMPUTED_VALUE"""),"")</f>
        <v/>
      </c>
      <c r="M1833" t="str">
        <f>IFERROR(__xludf.DUMMYFUNCTION("""COMPUTED_VALUE"""),"")</f>
        <v/>
      </c>
      <c r="N1833" t="str">
        <f>IFERROR(__xludf.DUMMYFUNCTION("""COMPUTED_VALUE"""),"")</f>
        <v/>
      </c>
      <c r="O1833" t="str">
        <f>IFERROR(__xludf.DUMMYFUNCTION("""COMPUTED_VALUE"""),"")</f>
        <v/>
      </c>
      <c r="P1833" t="str">
        <f>IFERROR(__xludf.DUMMYFUNCTION("""COMPUTED_VALUE"""),"ID ")</f>
        <v>ID </v>
      </c>
    </row>
    <row r="1834">
      <c r="A1834" s="6" t="str">
        <f>IFERROR(__xludf.DUMMYFUNCTION("""COMPUTED_VALUE"""),"")</f>
        <v/>
      </c>
      <c r="C1834" t="str">
        <f>IFERROR(__xludf.DUMMYFUNCTION("""COMPUTED_VALUE"""),"")</f>
        <v/>
      </c>
      <c r="D1834" t="str">
        <f>IFERROR(__xludf.DUMMYFUNCTION("""COMPUTED_VALUE"""),"")</f>
        <v/>
      </c>
      <c r="E1834" t="str">
        <f>IFERROR(__xludf.DUMMYFUNCTION("""COMPUTED_VALUE"""),"")</f>
        <v/>
      </c>
      <c r="F1834" t="str">
        <f>IFERROR(__xludf.DUMMYFUNCTION("""COMPUTED_VALUE"""),"")</f>
        <v/>
      </c>
      <c r="G1834" t="str">
        <f>IFERROR(__xludf.DUMMYFUNCTION("""COMPUTED_VALUE"""),"")</f>
        <v/>
      </c>
      <c r="H1834" s="2" t="str">
        <f>IFERROR(__xludf.DUMMYFUNCTION("""COMPUTED_VALUE"""),"")</f>
        <v/>
      </c>
      <c r="I1834" s="2" t="str">
        <f>IFERROR(__xludf.DUMMYFUNCTION("""COMPUTED_VALUE"""),"")</f>
        <v/>
      </c>
      <c r="J1834" s="2">
        <f>IFERROR(__xludf.DUMMYFUNCTION("""COMPUTED_VALUE"""),0.0)</f>
        <v>0</v>
      </c>
      <c r="K1834" s="5" t="str">
        <f>IFERROR(__xludf.DUMMYFUNCTION("""COMPUTED_VALUE"""),"")</f>
        <v/>
      </c>
      <c r="L1834" t="str">
        <f>IFERROR(__xludf.DUMMYFUNCTION("""COMPUTED_VALUE"""),"")</f>
        <v/>
      </c>
      <c r="M1834" t="str">
        <f>IFERROR(__xludf.DUMMYFUNCTION("""COMPUTED_VALUE"""),"")</f>
        <v/>
      </c>
      <c r="N1834" t="str">
        <f>IFERROR(__xludf.DUMMYFUNCTION("""COMPUTED_VALUE"""),"")</f>
        <v/>
      </c>
      <c r="O1834" t="str">
        <f>IFERROR(__xludf.DUMMYFUNCTION("""COMPUTED_VALUE"""),"")</f>
        <v/>
      </c>
      <c r="P1834" t="str">
        <f>IFERROR(__xludf.DUMMYFUNCTION("""COMPUTED_VALUE"""),"ID ")</f>
        <v>ID </v>
      </c>
    </row>
    <row r="1835">
      <c r="A1835" s="6" t="str">
        <f>IFERROR(__xludf.DUMMYFUNCTION("""COMPUTED_VALUE"""),"")</f>
        <v/>
      </c>
      <c r="C1835" t="str">
        <f>IFERROR(__xludf.DUMMYFUNCTION("""COMPUTED_VALUE"""),"")</f>
        <v/>
      </c>
      <c r="D1835" t="str">
        <f>IFERROR(__xludf.DUMMYFUNCTION("""COMPUTED_VALUE"""),"")</f>
        <v/>
      </c>
      <c r="E1835" t="str">
        <f>IFERROR(__xludf.DUMMYFUNCTION("""COMPUTED_VALUE"""),"")</f>
        <v/>
      </c>
      <c r="F1835" t="str">
        <f>IFERROR(__xludf.DUMMYFUNCTION("""COMPUTED_VALUE"""),"")</f>
        <v/>
      </c>
      <c r="G1835" t="str">
        <f>IFERROR(__xludf.DUMMYFUNCTION("""COMPUTED_VALUE"""),"")</f>
        <v/>
      </c>
      <c r="H1835" s="2" t="str">
        <f>IFERROR(__xludf.DUMMYFUNCTION("""COMPUTED_VALUE"""),"")</f>
        <v/>
      </c>
      <c r="I1835" s="2" t="str">
        <f>IFERROR(__xludf.DUMMYFUNCTION("""COMPUTED_VALUE"""),"")</f>
        <v/>
      </c>
      <c r="J1835" s="2">
        <f>IFERROR(__xludf.DUMMYFUNCTION("""COMPUTED_VALUE"""),0.0)</f>
        <v>0</v>
      </c>
      <c r="K1835" s="5" t="str">
        <f>IFERROR(__xludf.DUMMYFUNCTION("""COMPUTED_VALUE"""),"")</f>
        <v/>
      </c>
      <c r="L1835" t="str">
        <f>IFERROR(__xludf.DUMMYFUNCTION("""COMPUTED_VALUE"""),"")</f>
        <v/>
      </c>
      <c r="M1835" t="str">
        <f>IFERROR(__xludf.DUMMYFUNCTION("""COMPUTED_VALUE"""),"")</f>
        <v/>
      </c>
      <c r="N1835" t="str">
        <f>IFERROR(__xludf.DUMMYFUNCTION("""COMPUTED_VALUE"""),"")</f>
        <v/>
      </c>
      <c r="O1835" t="str">
        <f>IFERROR(__xludf.DUMMYFUNCTION("""COMPUTED_VALUE"""),"")</f>
        <v/>
      </c>
      <c r="P1835" t="str">
        <f>IFERROR(__xludf.DUMMYFUNCTION("""COMPUTED_VALUE"""),"ID ")</f>
        <v>ID </v>
      </c>
    </row>
    <row r="1836">
      <c r="A1836" s="6" t="str">
        <f>IFERROR(__xludf.DUMMYFUNCTION("""COMPUTED_VALUE"""),"")</f>
        <v/>
      </c>
      <c r="C1836" t="str">
        <f>IFERROR(__xludf.DUMMYFUNCTION("""COMPUTED_VALUE"""),"")</f>
        <v/>
      </c>
      <c r="D1836" t="str">
        <f>IFERROR(__xludf.DUMMYFUNCTION("""COMPUTED_VALUE"""),"")</f>
        <v/>
      </c>
      <c r="E1836" t="str">
        <f>IFERROR(__xludf.DUMMYFUNCTION("""COMPUTED_VALUE"""),"")</f>
        <v/>
      </c>
      <c r="F1836" t="str">
        <f>IFERROR(__xludf.DUMMYFUNCTION("""COMPUTED_VALUE"""),"")</f>
        <v/>
      </c>
      <c r="G1836" t="str">
        <f>IFERROR(__xludf.DUMMYFUNCTION("""COMPUTED_VALUE"""),"")</f>
        <v/>
      </c>
      <c r="H1836" s="2" t="str">
        <f>IFERROR(__xludf.DUMMYFUNCTION("""COMPUTED_VALUE"""),"")</f>
        <v/>
      </c>
      <c r="I1836" s="2" t="str">
        <f>IFERROR(__xludf.DUMMYFUNCTION("""COMPUTED_VALUE"""),"")</f>
        <v/>
      </c>
      <c r="J1836" s="2">
        <f>IFERROR(__xludf.DUMMYFUNCTION("""COMPUTED_VALUE"""),0.0)</f>
        <v>0</v>
      </c>
      <c r="K1836" s="5" t="str">
        <f>IFERROR(__xludf.DUMMYFUNCTION("""COMPUTED_VALUE"""),"")</f>
        <v/>
      </c>
      <c r="L1836" t="str">
        <f>IFERROR(__xludf.DUMMYFUNCTION("""COMPUTED_VALUE"""),"")</f>
        <v/>
      </c>
      <c r="M1836" t="str">
        <f>IFERROR(__xludf.DUMMYFUNCTION("""COMPUTED_VALUE"""),"")</f>
        <v/>
      </c>
      <c r="N1836" t="str">
        <f>IFERROR(__xludf.DUMMYFUNCTION("""COMPUTED_VALUE"""),"")</f>
        <v/>
      </c>
      <c r="O1836" t="str">
        <f>IFERROR(__xludf.DUMMYFUNCTION("""COMPUTED_VALUE"""),"")</f>
        <v/>
      </c>
      <c r="P1836" t="str">
        <f>IFERROR(__xludf.DUMMYFUNCTION("""COMPUTED_VALUE"""),"ID ")</f>
        <v>ID </v>
      </c>
    </row>
    <row r="1837">
      <c r="A1837" s="6" t="str">
        <f>IFERROR(__xludf.DUMMYFUNCTION("""COMPUTED_VALUE"""),"")</f>
        <v/>
      </c>
      <c r="C1837" t="str">
        <f>IFERROR(__xludf.DUMMYFUNCTION("""COMPUTED_VALUE"""),"")</f>
        <v/>
      </c>
      <c r="D1837" t="str">
        <f>IFERROR(__xludf.DUMMYFUNCTION("""COMPUTED_VALUE"""),"")</f>
        <v/>
      </c>
      <c r="E1837" t="str">
        <f>IFERROR(__xludf.DUMMYFUNCTION("""COMPUTED_VALUE"""),"")</f>
        <v/>
      </c>
      <c r="F1837" t="str">
        <f>IFERROR(__xludf.DUMMYFUNCTION("""COMPUTED_VALUE"""),"")</f>
        <v/>
      </c>
      <c r="G1837" t="str">
        <f>IFERROR(__xludf.DUMMYFUNCTION("""COMPUTED_VALUE"""),"")</f>
        <v/>
      </c>
      <c r="H1837" s="2" t="str">
        <f>IFERROR(__xludf.DUMMYFUNCTION("""COMPUTED_VALUE"""),"")</f>
        <v/>
      </c>
      <c r="I1837" s="2" t="str">
        <f>IFERROR(__xludf.DUMMYFUNCTION("""COMPUTED_VALUE"""),"")</f>
        <v/>
      </c>
      <c r="J1837" s="2">
        <f>IFERROR(__xludf.DUMMYFUNCTION("""COMPUTED_VALUE"""),0.0)</f>
        <v>0</v>
      </c>
      <c r="K1837" s="5" t="str">
        <f>IFERROR(__xludf.DUMMYFUNCTION("""COMPUTED_VALUE"""),"")</f>
        <v/>
      </c>
      <c r="L1837" t="str">
        <f>IFERROR(__xludf.DUMMYFUNCTION("""COMPUTED_VALUE"""),"")</f>
        <v/>
      </c>
      <c r="M1837" t="str">
        <f>IFERROR(__xludf.DUMMYFUNCTION("""COMPUTED_VALUE"""),"")</f>
        <v/>
      </c>
      <c r="N1837" t="str">
        <f>IFERROR(__xludf.DUMMYFUNCTION("""COMPUTED_VALUE"""),"")</f>
        <v/>
      </c>
      <c r="O1837" t="str">
        <f>IFERROR(__xludf.DUMMYFUNCTION("""COMPUTED_VALUE"""),"")</f>
        <v/>
      </c>
      <c r="P1837" t="str">
        <f>IFERROR(__xludf.DUMMYFUNCTION("""COMPUTED_VALUE"""),"ID ")</f>
        <v>ID </v>
      </c>
    </row>
    <row r="1838">
      <c r="A1838" s="6" t="str">
        <f>IFERROR(__xludf.DUMMYFUNCTION("""COMPUTED_VALUE"""),"")</f>
        <v/>
      </c>
      <c r="C1838" t="str">
        <f>IFERROR(__xludf.DUMMYFUNCTION("""COMPUTED_VALUE"""),"")</f>
        <v/>
      </c>
      <c r="D1838" t="str">
        <f>IFERROR(__xludf.DUMMYFUNCTION("""COMPUTED_VALUE"""),"")</f>
        <v/>
      </c>
      <c r="E1838" t="str">
        <f>IFERROR(__xludf.DUMMYFUNCTION("""COMPUTED_VALUE"""),"")</f>
        <v/>
      </c>
      <c r="F1838" t="str">
        <f>IFERROR(__xludf.DUMMYFUNCTION("""COMPUTED_VALUE"""),"")</f>
        <v/>
      </c>
      <c r="G1838" t="str">
        <f>IFERROR(__xludf.DUMMYFUNCTION("""COMPUTED_VALUE"""),"")</f>
        <v/>
      </c>
      <c r="H1838" s="2" t="str">
        <f>IFERROR(__xludf.DUMMYFUNCTION("""COMPUTED_VALUE"""),"")</f>
        <v/>
      </c>
      <c r="I1838" s="2" t="str">
        <f>IFERROR(__xludf.DUMMYFUNCTION("""COMPUTED_VALUE"""),"")</f>
        <v/>
      </c>
      <c r="J1838" s="2">
        <f>IFERROR(__xludf.DUMMYFUNCTION("""COMPUTED_VALUE"""),0.0)</f>
        <v>0</v>
      </c>
      <c r="K1838" s="5" t="str">
        <f>IFERROR(__xludf.DUMMYFUNCTION("""COMPUTED_VALUE"""),"")</f>
        <v/>
      </c>
      <c r="L1838" t="str">
        <f>IFERROR(__xludf.DUMMYFUNCTION("""COMPUTED_VALUE"""),"")</f>
        <v/>
      </c>
      <c r="M1838" t="str">
        <f>IFERROR(__xludf.DUMMYFUNCTION("""COMPUTED_VALUE"""),"")</f>
        <v/>
      </c>
      <c r="N1838" t="str">
        <f>IFERROR(__xludf.DUMMYFUNCTION("""COMPUTED_VALUE"""),"")</f>
        <v/>
      </c>
      <c r="O1838" t="str">
        <f>IFERROR(__xludf.DUMMYFUNCTION("""COMPUTED_VALUE"""),"")</f>
        <v/>
      </c>
      <c r="P1838" t="str">
        <f>IFERROR(__xludf.DUMMYFUNCTION("""COMPUTED_VALUE"""),"ID ")</f>
        <v>ID </v>
      </c>
    </row>
    <row r="1839">
      <c r="A1839" s="6" t="str">
        <f>IFERROR(__xludf.DUMMYFUNCTION("""COMPUTED_VALUE"""),"")</f>
        <v/>
      </c>
      <c r="C1839" t="str">
        <f>IFERROR(__xludf.DUMMYFUNCTION("""COMPUTED_VALUE"""),"")</f>
        <v/>
      </c>
      <c r="D1839" t="str">
        <f>IFERROR(__xludf.DUMMYFUNCTION("""COMPUTED_VALUE"""),"")</f>
        <v/>
      </c>
      <c r="E1839" t="str">
        <f>IFERROR(__xludf.DUMMYFUNCTION("""COMPUTED_VALUE"""),"")</f>
        <v/>
      </c>
      <c r="F1839" t="str">
        <f>IFERROR(__xludf.DUMMYFUNCTION("""COMPUTED_VALUE"""),"")</f>
        <v/>
      </c>
      <c r="G1839" t="str">
        <f>IFERROR(__xludf.DUMMYFUNCTION("""COMPUTED_VALUE"""),"")</f>
        <v/>
      </c>
      <c r="H1839" s="2" t="str">
        <f>IFERROR(__xludf.DUMMYFUNCTION("""COMPUTED_VALUE"""),"")</f>
        <v/>
      </c>
      <c r="I1839" s="2" t="str">
        <f>IFERROR(__xludf.DUMMYFUNCTION("""COMPUTED_VALUE"""),"")</f>
        <v/>
      </c>
      <c r="J1839" s="2">
        <f>IFERROR(__xludf.DUMMYFUNCTION("""COMPUTED_VALUE"""),0.0)</f>
        <v>0</v>
      </c>
      <c r="K1839" s="5" t="str">
        <f>IFERROR(__xludf.DUMMYFUNCTION("""COMPUTED_VALUE"""),"")</f>
        <v/>
      </c>
      <c r="L1839" t="str">
        <f>IFERROR(__xludf.DUMMYFUNCTION("""COMPUTED_VALUE"""),"")</f>
        <v/>
      </c>
      <c r="M1839" t="str">
        <f>IFERROR(__xludf.DUMMYFUNCTION("""COMPUTED_VALUE"""),"")</f>
        <v/>
      </c>
      <c r="N1839" t="str">
        <f>IFERROR(__xludf.DUMMYFUNCTION("""COMPUTED_VALUE"""),"")</f>
        <v/>
      </c>
      <c r="O1839" t="str">
        <f>IFERROR(__xludf.DUMMYFUNCTION("""COMPUTED_VALUE"""),"")</f>
        <v/>
      </c>
      <c r="P1839" t="str">
        <f>IFERROR(__xludf.DUMMYFUNCTION("""COMPUTED_VALUE"""),"ID ")</f>
        <v>ID </v>
      </c>
    </row>
    <row r="1840">
      <c r="A1840" s="6" t="str">
        <f>IFERROR(__xludf.DUMMYFUNCTION("""COMPUTED_VALUE"""),"")</f>
        <v/>
      </c>
      <c r="C1840" t="str">
        <f>IFERROR(__xludf.DUMMYFUNCTION("""COMPUTED_VALUE"""),"")</f>
        <v/>
      </c>
      <c r="D1840" t="str">
        <f>IFERROR(__xludf.DUMMYFUNCTION("""COMPUTED_VALUE"""),"")</f>
        <v/>
      </c>
      <c r="E1840" t="str">
        <f>IFERROR(__xludf.DUMMYFUNCTION("""COMPUTED_VALUE"""),"")</f>
        <v/>
      </c>
      <c r="F1840" t="str">
        <f>IFERROR(__xludf.DUMMYFUNCTION("""COMPUTED_VALUE"""),"")</f>
        <v/>
      </c>
      <c r="G1840" t="str">
        <f>IFERROR(__xludf.DUMMYFUNCTION("""COMPUTED_VALUE"""),"")</f>
        <v/>
      </c>
      <c r="H1840" s="2" t="str">
        <f>IFERROR(__xludf.DUMMYFUNCTION("""COMPUTED_VALUE"""),"")</f>
        <v/>
      </c>
      <c r="I1840" s="2" t="str">
        <f>IFERROR(__xludf.DUMMYFUNCTION("""COMPUTED_VALUE"""),"")</f>
        <v/>
      </c>
      <c r="J1840" s="2">
        <f>IFERROR(__xludf.DUMMYFUNCTION("""COMPUTED_VALUE"""),0.0)</f>
        <v>0</v>
      </c>
      <c r="K1840" s="5" t="str">
        <f>IFERROR(__xludf.DUMMYFUNCTION("""COMPUTED_VALUE"""),"")</f>
        <v/>
      </c>
      <c r="L1840" t="str">
        <f>IFERROR(__xludf.DUMMYFUNCTION("""COMPUTED_VALUE"""),"")</f>
        <v/>
      </c>
      <c r="M1840" t="str">
        <f>IFERROR(__xludf.DUMMYFUNCTION("""COMPUTED_VALUE"""),"")</f>
        <v/>
      </c>
      <c r="N1840" t="str">
        <f>IFERROR(__xludf.DUMMYFUNCTION("""COMPUTED_VALUE"""),"")</f>
        <v/>
      </c>
      <c r="O1840" t="str">
        <f>IFERROR(__xludf.DUMMYFUNCTION("""COMPUTED_VALUE"""),"")</f>
        <v/>
      </c>
      <c r="P1840" t="str">
        <f>IFERROR(__xludf.DUMMYFUNCTION("""COMPUTED_VALUE"""),"ID ")</f>
        <v>ID </v>
      </c>
    </row>
    <row r="1841">
      <c r="A1841" s="6" t="str">
        <f>IFERROR(__xludf.DUMMYFUNCTION("""COMPUTED_VALUE"""),"")</f>
        <v/>
      </c>
      <c r="C1841" t="str">
        <f>IFERROR(__xludf.DUMMYFUNCTION("""COMPUTED_VALUE"""),"")</f>
        <v/>
      </c>
      <c r="D1841" t="str">
        <f>IFERROR(__xludf.DUMMYFUNCTION("""COMPUTED_VALUE"""),"")</f>
        <v/>
      </c>
      <c r="E1841" t="str">
        <f>IFERROR(__xludf.DUMMYFUNCTION("""COMPUTED_VALUE"""),"")</f>
        <v/>
      </c>
      <c r="F1841" t="str">
        <f>IFERROR(__xludf.DUMMYFUNCTION("""COMPUTED_VALUE"""),"")</f>
        <v/>
      </c>
      <c r="G1841" t="str">
        <f>IFERROR(__xludf.DUMMYFUNCTION("""COMPUTED_VALUE"""),"")</f>
        <v/>
      </c>
      <c r="H1841" s="2" t="str">
        <f>IFERROR(__xludf.DUMMYFUNCTION("""COMPUTED_VALUE"""),"")</f>
        <v/>
      </c>
      <c r="I1841" s="2" t="str">
        <f>IFERROR(__xludf.DUMMYFUNCTION("""COMPUTED_VALUE"""),"")</f>
        <v/>
      </c>
      <c r="J1841" s="2">
        <f>IFERROR(__xludf.DUMMYFUNCTION("""COMPUTED_VALUE"""),0.0)</f>
        <v>0</v>
      </c>
      <c r="K1841" s="5" t="str">
        <f>IFERROR(__xludf.DUMMYFUNCTION("""COMPUTED_VALUE"""),"")</f>
        <v/>
      </c>
      <c r="L1841" t="str">
        <f>IFERROR(__xludf.DUMMYFUNCTION("""COMPUTED_VALUE"""),"")</f>
        <v/>
      </c>
      <c r="M1841" t="str">
        <f>IFERROR(__xludf.DUMMYFUNCTION("""COMPUTED_VALUE"""),"")</f>
        <v/>
      </c>
      <c r="N1841" t="str">
        <f>IFERROR(__xludf.DUMMYFUNCTION("""COMPUTED_VALUE"""),"")</f>
        <v/>
      </c>
      <c r="O1841" t="str">
        <f>IFERROR(__xludf.DUMMYFUNCTION("""COMPUTED_VALUE"""),"")</f>
        <v/>
      </c>
      <c r="P1841" t="str">
        <f>IFERROR(__xludf.DUMMYFUNCTION("""COMPUTED_VALUE"""),"ID ")</f>
        <v>ID </v>
      </c>
    </row>
    <row r="1842">
      <c r="A1842" s="6" t="str">
        <f>IFERROR(__xludf.DUMMYFUNCTION("""COMPUTED_VALUE"""),"")</f>
        <v/>
      </c>
      <c r="C1842" t="str">
        <f>IFERROR(__xludf.DUMMYFUNCTION("""COMPUTED_VALUE"""),"")</f>
        <v/>
      </c>
      <c r="D1842" t="str">
        <f>IFERROR(__xludf.DUMMYFUNCTION("""COMPUTED_VALUE"""),"")</f>
        <v/>
      </c>
      <c r="E1842" t="str">
        <f>IFERROR(__xludf.DUMMYFUNCTION("""COMPUTED_VALUE"""),"")</f>
        <v/>
      </c>
      <c r="F1842" t="str">
        <f>IFERROR(__xludf.DUMMYFUNCTION("""COMPUTED_VALUE"""),"")</f>
        <v/>
      </c>
      <c r="G1842" t="str">
        <f>IFERROR(__xludf.DUMMYFUNCTION("""COMPUTED_VALUE"""),"")</f>
        <v/>
      </c>
      <c r="H1842" s="2" t="str">
        <f>IFERROR(__xludf.DUMMYFUNCTION("""COMPUTED_VALUE"""),"")</f>
        <v/>
      </c>
      <c r="I1842" s="2" t="str">
        <f>IFERROR(__xludf.DUMMYFUNCTION("""COMPUTED_VALUE"""),"")</f>
        <v/>
      </c>
      <c r="J1842" s="2">
        <f>IFERROR(__xludf.DUMMYFUNCTION("""COMPUTED_VALUE"""),0.0)</f>
        <v>0</v>
      </c>
      <c r="K1842" s="5" t="str">
        <f>IFERROR(__xludf.DUMMYFUNCTION("""COMPUTED_VALUE"""),"")</f>
        <v/>
      </c>
      <c r="L1842" t="str">
        <f>IFERROR(__xludf.DUMMYFUNCTION("""COMPUTED_VALUE"""),"")</f>
        <v/>
      </c>
      <c r="M1842" t="str">
        <f>IFERROR(__xludf.DUMMYFUNCTION("""COMPUTED_VALUE"""),"")</f>
        <v/>
      </c>
      <c r="N1842" t="str">
        <f>IFERROR(__xludf.DUMMYFUNCTION("""COMPUTED_VALUE"""),"")</f>
        <v/>
      </c>
      <c r="O1842" t="str">
        <f>IFERROR(__xludf.DUMMYFUNCTION("""COMPUTED_VALUE"""),"")</f>
        <v/>
      </c>
      <c r="P1842" t="str">
        <f>IFERROR(__xludf.DUMMYFUNCTION("""COMPUTED_VALUE"""),"ID ")</f>
        <v>ID </v>
      </c>
    </row>
    <row r="1843">
      <c r="A1843" s="6" t="str">
        <f>IFERROR(__xludf.DUMMYFUNCTION("""COMPUTED_VALUE"""),"")</f>
        <v/>
      </c>
      <c r="C1843" t="str">
        <f>IFERROR(__xludf.DUMMYFUNCTION("""COMPUTED_VALUE"""),"")</f>
        <v/>
      </c>
      <c r="D1843" t="str">
        <f>IFERROR(__xludf.DUMMYFUNCTION("""COMPUTED_VALUE"""),"")</f>
        <v/>
      </c>
      <c r="E1843" t="str">
        <f>IFERROR(__xludf.DUMMYFUNCTION("""COMPUTED_VALUE"""),"")</f>
        <v/>
      </c>
      <c r="F1843" t="str">
        <f>IFERROR(__xludf.DUMMYFUNCTION("""COMPUTED_VALUE"""),"")</f>
        <v/>
      </c>
      <c r="G1843" t="str">
        <f>IFERROR(__xludf.DUMMYFUNCTION("""COMPUTED_VALUE"""),"")</f>
        <v/>
      </c>
      <c r="H1843" s="2" t="str">
        <f>IFERROR(__xludf.DUMMYFUNCTION("""COMPUTED_VALUE"""),"")</f>
        <v/>
      </c>
      <c r="I1843" s="2" t="str">
        <f>IFERROR(__xludf.DUMMYFUNCTION("""COMPUTED_VALUE"""),"")</f>
        <v/>
      </c>
      <c r="J1843" s="2">
        <f>IFERROR(__xludf.DUMMYFUNCTION("""COMPUTED_VALUE"""),0.0)</f>
        <v>0</v>
      </c>
      <c r="K1843" s="5" t="str">
        <f>IFERROR(__xludf.DUMMYFUNCTION("""COMPUTED_VALUE"""),"")</f>
        <v/>
      </c>
      <c r="L1843" t="str">
        <f>IFERROR(__xludf.DUMMYFUNCTION("""COMPUTED_VALUE"""),"")</f>
        <v/>
      </c>
      <c r="M1843" t="str">
        <f>IFERROR(__xludf.DUMMYFUNCTION("""COMPUTED_VALUE"""),"")</f>
        <v/>
      </c>
      <c r="N1843" t="str">
        <f>IFERROR(__xludf.DUMMYFUNCTION("""COMPUTED_VALUE"""),"")</f>
        <v/>
      </c>
      <c r="O1843" t="str">
        <f>IFERROR(__xludf.DUMMYFUNCTION("""COMPUTED_VALUE"""),"")</f>
        <v/>
      </c>
      <c r="P1843" t="str">
        <f>IFERROR(__xludf.DUMMYFUNCTION("""COMPUTED_VALUE"""),"ID ")</f>
        <v>ID </v>
      </c>
    </row>
    <row r="1844">
      <c r="A1844" s="6" t="str">
        <f>IFERROR(__xludf.DUMMYFUNCTION("""COMPUTED_VALUE"""),"")</f>
        <v/>
      </c>
      <c r="C1844" t="str">
        <f>IFERROR(__xludf.DUMMYFUNCTION("""COMPUTED_VALUE"""),"")</f>
        <v/>
      </c>
      <c r="D1844" t="str">
        <f>IFERROR(__xludf.DUMMYFUNCTION("""COMPUTED_VALUE"""),"")</f>
        <v/>
      </c>
      <c r="E1844" t="str">
        <f>IFERROR(__xludf.DUMMYFUNCTION("""COMPUTED_VALUE"""),"")</f>
        <v/>
      </c>
      <c r="F1844" t="str">
        <f>IFERROR(__xludf.DUMMYFUNCTION("""COMPUTED_VALUE"""),"")</f>
        <v/>
      </c>
      <c r="G1844" t="str">
        <f>IFERROR(__xludf.DUMMYFUNCTION("""COMPUTED_VALUE"""),"")</f>
        <v/>
      </c>
      <c r="H1844" s="2" t="str">
        <f>IFERROR(__xludf.DUMMYFUNCTION("""COMPUTED_VALUE"""),"")</f>
        <v/>
      </c>
      <c r="I1844" s="2" t="str">
        <f>IFERROR(__xludf.DUMMYFUNCTION("""COMPUTED_VALUE"""),"")</f>
        <v/>
      </c>
      <c r="J1844" s="2">
        <f>IFERROR(__xludf.DUMMYFUNCTION("""COMPUTED_VALUE"""),0.0)</f>
        <v>0</v>
      </c>
      <c r="K1844" s="5" t="str">
        <f>IFERROR(__xludf.DUMMYFUNCTION("""COMPUTED_VALUE"""),"")</f>
        <v/>
      </c>
      <c r="L1844" t="str">
        <f>IFERROR(__xludf.DUMMYFUNCTION("""COMPUTED_VALUE"""),"")</f>
        <v/>
      </c>
      <c r="M1844" t="str">
        <f>IFERROR(__xludf.DUMMYFUNCTION("""COMPUTED_VALUE"""),"")</f>
        <v/>
      </c>
      <c r="N1844" t="str">
        <f>IFERROR(__xludf.DUMMYFUNCTION("""COMPUTED_VALUE"""),"")</f>
        <v/>
      </c>
      <c r="O1844" t="str">
        <f>IFERROR(__xludf.DUMMYFUNCTION("""COMPUTED_VALUE"""),"")</f>
        <v/>
      </c>
      <c r="P1844" t="str">
        <f>IFERROR(__xludf.DUMMYFUNCTION("""COMPUTED_VALUE"""),"ID ")</f>
        <v>ID </v>
      </c>
    </row>
    <row r="1845">
      <c r="A1845" s="6" t="str">
        <f>IFERROR(__xludf.DUMMYFUNCTION("""COMPUTED_VALUE"""),"")</f>
        <v/>
      </c>
      <c r="C1845" t="str">
        <f>IFERROR(__xludf.DUMMYFUNCTION("""COMPUTED_VALUE"""),"")</f>
        <v/>
      </c>
      <c r="D1845" t="str">
        <f>IFERROR(__xludf.DUMMYFUNCTION("""COMPUTED_VALUE"""),"")</f>
        <v/>
      </c>
      <c r="E1845" t="str">
        <f>IFERROR(__xludf.DUMMYFUNCTION("""COMPUTED_VALUE"""),"")</f>
        <v/>
      </c>
      <c r="F1845" t="str">
        <f>IFERROR(__xludf.DUMMYFUNCTION("""COMPUTED_VALUE"""),"")</f>
        <v/>
      </c>
      <c r="G1845" t="str">
        <f>IFERROR(__xludf.DUMMYFUNCTION("""COMPUTED_VALUE"""),"")</f>
        <v/>
      </c>
      <c r="H1845" s="2" t="str">
        <f>IFERROR(__xludf.DUMMYFUNCTION("""COMPUTED_VALUE"""),"")</f>
        <v/>
      </c>
      <c r="I1845" s="2" t="str">
        <f>IFERROR(__xludf.DUMMYFUNCTION("""COMPUTED_VALUE"""),"")</f>
        <v/>
      </c>
      <c r="J1845" s="2">
        <f>IFERROR(__xludf.DUMMYFUNCTION("""COMPUTED_VALUE"""),0.0)</f>
        <v>0</v>
      </c>
      <c r="K1845" s="5" t="str">
        <f>IFERROR(__xludf.DUMMYFUNCTION("""COMPUTED_VALUE"""),"")</f>
        <v/>
      </c>
      <c r="L1845" t="str">
        <f>IFERROR(__xludf.DUMMYFUNCTION("""COMPUTED_VALUE"""),"")</f>
        <v/>
      </c>
      <c r="M1845" t="str">
        <f>IFERROR(__xludf.DUMMYFUNCTION("""COMPUTED_VALUE"""),"")</f>
        <v/>
      </c>
      <c r="N1845" t="str">
        <f>IFERROR(__xludf.DUMMYFUNCTION("""COMPUTED_VALUE"""),"")</f>
        <v/>
      </c>
      <c r="O1845" t="str">
        <f>IFERROR(__xludf.DUMMYFUNCTION("""COMPUTED_VALUE"""),"")</f>
        <v/>
      </c>
      <c r="P1845" t="str">
        <f>IFERROR(__xludf.DUMMYFUNCTION("""COMPUTED_VALUE"""),"ID ")</f>
        <v>ID </v>
      </c>
    </row>
    <row r="1846">
      <c r="A1846" s="6" t="str">
        <f>IFERROR(__xludf.DUMMYFUNCTION("""COMPUTED_VALUE"""),"")</f>
        <v/>
      </c>
      <c r="C1846" t="str">
        <f>IFERROR(__xludf.DUMMYFUNCTION("""COMPUTED_VALUE"""),"")</f>
        <v/>
      </c>
      <c r="D1846" t="str">
        <f>IFERROR(__xludf.DUMMYFUNCTION("""COMPUTED_VALUE"""),"")</f>
        <v/>
      </c>
      <c r="E1846" t="str">
        <f>IFERROR(__xludf.DUMMYFUNCTION("""COMPUTED_VALUE"""),"")</f>
        <v/>
      </c>
      <c r="F1846" t="str">
        <f>IFERROR(__xludf.DUMMYFUNCTION("""COMPUTED_VALUE"""),"")</f>
        <v/>
      </c>
      <c r="G1846" t="str">
        <f>IFERROR(__xludf.DUMMYFUNCTION("""COMPUTED_VALUE"""),"")</f>
        <v/>
      </c>
      <c r="H1846" s="2" t="str">
        <f>IFERROR(__xludf.DUMMYFUNCTION("""COMPUTED_VALUE"""),"")</f>
        <v/>
      </c>
      <c r="I1846" s="2" t="str">
        <f>IFERROR(__xludf.DUMMYFUNCTION("""COMPUTED_VALUE"""),"")</f>
        <v/>
      </c>
      <c r="J1846" s="2">
        <f>IFERROR(__xludf.DUMMYFUNCTION("""COMPUTED_VALUE"""),0.0)</f>
        <v>0</v>
      </c>
      <c r="K1846" s="5" t="str">
        <f>IFERROR(__xludf.DUMMYFUNCTION("""COMPUTED_VALUE"""),"")</f>
        <v/>
      </c>
      <c r="L1846" t="str">
        <f>IFERROR(__xludf.DUMMYFUNCTION("""COMPUTED_VALUE"""),"")</f>
        <v/>
      </c>
      <c r="M1846" t="str">
        <f>IFERROR(__xludf.DUMMYFUNCTION("""COMPUTED_VALUE"""),"")</f>
        <v/>
      </c>
      <c r="N1846" t="str">
        <f>IFERROR(__xludf.DUMMYFUNCTION("""COMPUTED_VALUE"""),"")</f>
        <v/>
      </c>
      <c r="O1846" t="str">
        <f>IFERROR(__xludf.DUMMYFUNCTION("""COMPUTED_VALUE"""),"")</f>
        <v/>
      </c>
      <c r="P1846" t="str">
        <f>IFERROR(__xludf.DUMMYFUNCTION("""COMPUTED_VALUE"""),"ID ")</f>
        <v>ID </v>
      </c>
    </row>
    <row r="1847">
      <c r="A1847" s="6" t="str">
        <f>IFERROR(__xludf.DUMMYFUNCTION("""COMPUTED_VALUE"""),"")</f>
        <v/>
      </c>
      <c r="C1847" t="str">
        <f>IFERROR(__xludf.DUMMYFUNCTION("""COMPUTED_VALUE"""),"")</f>
        <v/>
      </c>
      <c r="D1847" t="str">
        <f>IFERROR(__xludf.DUMMYFUNCTION("""COMPUTED_VALUE"""),"")</f>
        <v/>
      </c>
      <c r="E1847" t="str">
        <f>IFERROR(__xludf.DUMMYFUNCTION("""COMPUTED_VALUE"""),"")</f>
        <v/>
      </c>
      <c r="F1847" t="str">
        <f>IFERROR(__xludf.DUMMYFUNCTION("""COMPUTED_VALUE"""),"")</f>
        <v/>
      </c>
      <c r="G1847" t="str">
        <f>IFERROR(__xludf.DUMMYFUNCTION("""COMPUTED_VALUE"""),"")</f>
        <v/>
      </c>
      <c r="H1847" s="2" t="str">
        <f>IFERROR(__xludf.DUMMYFUNCTION("""COMPUTED_VALUE"""),"")</f>
        <v/>
      </c>
      <c r="I1847" s="2" t="str">
        <f>IFERROR(__xludf.DUMMYFUNCTION("""COMPUTED_VALUE"""),"")</f>
        <v/>
      </c>
      <c r="J1847" s="2">
        <f>IFERROR(__xludf.DUMMYFUNCTION("""COMPUTED_VALUE"""),0.0)</f>
        <v>0</v>
      </c>
      <c r="K1847" s="5" t="str">
        <f>IFERROR(__xludf.DUMMYFUNCTION("""COMPUTED_VALUE"""),"")</f>
        <v/>
      </c>
      <c r="L1847" t="str">
        <f>IFERROR(__xludf.DUMMYFUNCTION("""COMPUTED_VALUE"""),"")</f>
        <v/>
      </c>
      <c r="M1847" t="str">
        <f>IFERROR(__xludf.DUMMYFUNCTION("""COMPUTED_VALUE"""),"")</f>
        <v/>
      </c>
      <c r="N1847" t="str">
        <f>IFERROR(__xludf.DUMMYFUNCTION("""COMPUTED_VALUE"""),"")</f>
        <v/>
      </c>
      <c r="O1847" t="str">
        <f>IFERROR(__xludf.DUMMYFUNCTION("""COMPUTED_VALUE"""),"")</f>
        <v/>
      </c>
      <c r="P1847" t="str">
        <f>IFERROR(__xludf.DUMMYFUNCTION("""COMPUTED_VALUE"""),"ID ")</f>
        <v>ID </v>
      </c>
    </row>
    <row r="1848">
      <c r="A1848" s="6" t="str">
        <f>IFERROR(__xludf.DUMMYFUNCTION("""COMPUTED_VALUE"""),"")</f>
        <v/>
      </c>
      <c r="C1848" t="str">
        <f>IFERROR(__xludf.DUMMYFUNCTION("""COMPUTED_VALUE"""),"")</f>
        <v/>
      </c>
      <c r="D1848" t="str">
        <f>IFERROR(__xludf.DUMMYFUNCTION("""COMPUTED_VALUE"""),"")</f>
        <v/>
      </c>
      <c r="E1848" t="str">
        <f>IFERROR(__xludf.DUMMYFUNCTION("""COMPUTED_VALUE"""),"")</f>
        <v/>
      </c>
      <c r="F1848" t="str">
        <f>IFERROR(__xludf.DUMMYFUNCTION("""COMPUTED_VALUE"""),"")</f>
        <v/>
      </c>
      <c r="G1848" t="str">
        <f>IFERROR(__xludf.DUMMYFUNCTION("""COMPUTED_VALUE"""),"")</f>
        <v/>
      </c>
      <c r="H1848" s="2" t="str">
        <f>IFERROR(__xludf.DUMMYFUNCTION("""COMPUTED_VALUE"""),"")</f>
        <v/>
      </c>
      <c r="I1848" s="2" t="str">
        <f>IFERROR(__xludf.DUMMYFUNCTION("""COMPUTED_VALUE"""),"")</f>
        <v/>
      </c>
      <c r="J1848" s="2">
        <f>IFERROR(__xludf.DUMMYFUNCTION("""COMPUTED_VALUE"""),0.0)</f>
        <v>0</v>
      </c>
      <c r="K1848" s="5" t="str">
        <f>IFERROR(__xludf.DUMMYFUNCTION("""COMPUTED_VALUE"""),"")</f>
        <v/>
      </c>
      <c r="L1848" t="str">
        <f>IFERROR(__xludf.DUMMYFUNCTION("""COMPUTED_VALUE"""),"")</f>
        <v/>
      </c>
      <c r="M1848" t="str">
        <f>IFERROR(__xludf.DUMMYFUNCTION("""COMPUTED_VALUE"""),"")</f>
        <v/>
      </c>
      <c r="N1848" t="str">
        <f>IFERROR(__xludf.DUMMYFUNCTION("""COMPUTED_VALUE"""),"")</f>
        <v/>
      </c>
      <c r="O1848" t="str">
        <f>IFERROR(__xludf.DUMMYFUNCTION("""COMPUTED_VALUE"""),"")</f>
        <v/>
      </c>
      <c r="P1848" t="str">
        <f>IFERROR(__xludf.DUMMYFUNCTION("""COMPUTED_VALUE"""),"ID ")</f>
        <v>ID </v>
      </c>
    </row>
    <row r="1849">
      <c r="A1849" s="6" t="str">
        <f>IFERROR(__xludf.DUMMYFUNCTION("""COMPUTED_VALUE"""),"")</f>
        <v/>
      </c>
      <c r="C1849" t="str">
        <f>IFERROR(__xludf.DUMMYFUNCTION("""COMPUTED_VALUE"""),"")</f>
        <v/>
      </c>
      <c r="D1849" t="str">
        <f>IFERROR(__xludf.DUMMYFUNCTION("""COMPUTED_VALUE"""),"")</f>
        <v/>
      </c>
      <c r="E1849" t="str">
        <f>IFERROR(__xludf.DUMMYFUNCTION("""COMPUTED_VALUE"""),"")</f>
        <v/>
      </c>
      <c r="F1849" t="str">
        <f>IFERROR(__xludf.DUMMYFUNCTION("""COMPUTED_VALUE"""),"")</f>
        <v/>
      </c>
      <c r="G1849" t="str">
        <f>IFERROR(__xludf.DUMMYFUNCTION("""COMPUTED_VALUE"""),"")</f>
        <v/>
      </c>
      <c r="H1849" s="2" t="str">
        <f>IFERROR(__xludf.DUMMYFUNCTION("""COMPUTED_VALUE"""),"")</f>
        <v/>
      </c>
      <c r="I1849" s="2" t="str">
        <f>IFERROR(__xludf.DUMMYFUNCTION("""COMPUTED_VALUE"""),"")</f>
        <v/>
      </c>
      <c r="J1849" s="2">
        <f>IFERROR(__xludf.DUMMYFUNCTION("""COMPUTED_VALUE"""),0.0)</f>
        <v>0</v>
      </c>
      <c r="K1849" s="5" t="str">
        <f>IFERROR(__xludf.DUMMYFUNCTION("""COMPUTED_VALUE"""),"")</f>
        <v/>
      </c>
      <c r="L1849" t="str">
        <f>IFERROR(__xludf.DUMMYFUNCTION("""COMPUTED_VALUE"""),"")</f>
        <v/>
      </c>
      <c r="M1849" t="str">
        <f>IFERROR(__xludf.DUMMYFUNCTION("""COMPUTED_VALUE"""),"")</f>
        <v/>
      </c>
      <c r="N1849" t="str">
        <f>IFERROR(__xludf.DUMMYFUNCTION("""COMPUTED_VALUE"""),"")</f>
        <v/>
      </c>
      <c r="O1849" t="str">
        <f>IFERROR(__xludf.DUMMYFUNCTION("""COMPUTED_VALUE"""),"")</f>
        <v/>
      </c>
      <c r="P1849" t="str">
        <f>IFERROR(__xludf.DUMMYFUNCTION("""COMPUTED_VALUE"""),"ID ")</f>
        <v>ID </v>
      </c>
    </row>
    <row r="1850">
      <c r="A1850" s="6" t="str">
        <f>IFERROR(__xludf.DUMMYFUNCTION("""COMPUTED_VALUE"""),"")</f>
        <v/>
      </c>
      <c r="C1850" t="str">
        <f>IFERROR(__xludf.DUMMYFUNCTION("""COMPUTED_VALUE"""),"")</f>
        <v/>
      </c>
      <c r="D1850" t="str">
        <f>IFERROR(__xludf.DUMMYFUNCTION("""COMPUTED_VALUE"""),"")</f>
        <v/>
      </c>
      <c r="E1850" t="str">
        <f>IFERROR(__xludf.DUMMYFUNCTION("""COMPUTED_VALUE"""),"")</f>
        <v/>
      </c>
      <c r="F1850" t="str">
        <f>IFERROR(__xludf.DUMMYFUNCTION("""COMPUTED_VALUE"""),"")</f>
        <v/>
      </c>
      <c r="G1850" t="str">
        <f>IFERROR(__xludf.DUMMYFUNCTION("""COMPUTED_VALUE"""),"")</f>
        <v/>
      </c>
      <c r="H1850" s="2" t="str">
        <f>IFERROR(__xludf.DUMMYFUNCTION("""COMPUTED_VALUE"""),"")</f>
        <v/>
      </c>
      <c r="I1850" s="2" t="str">
        <f>IFERROR(__xludf.DUMMYFUNCTION("""COMPUTED_VALUE"""),"")</f>
        <v/>
      </c>
      <c r="J1850" s="2">
        <f>IFERROR(__xludf.DUMMYFUNCTION("""COMPUTED_VALUE"""),0.0)</f>
        <v>0</v>
      </c>
      <c r="K1850" s="5" t="str">
        <f>IFERROR(__xludf.DUMMYFUNCTION("""COMPUTED_VALUE"""),"")</f>
        <v/>
      </c>
      <c r="L1850" t="str">
        <f>IFERROR(__xludf.DUMMYFUNCTION("""COMPUTED_VALUE"""),"")</f>
        <v/>
      </c>
      <c r="M1850" t="str">
        <f>IFERROR(__xludf.DUMMYFUNCTION("""COMPUTED_VALUE"""),"")</f>
        <v/>
      </c>
      <c r="N1850" t="str">
        <f>IFERROR(__xludf.DUMMYFUNCTION("""COMPUTED_VALUE"""),"")</f>
        <v/>
      </c>
      <c r="O1850" t="str">
        <f>IFERROR(__xludf.DUMMYFUNCTION("""COMPUTED_VALUE"""),"")</f>
        <v/>
      </c>
      <c r="P1850" t="str">
        <f>IFERROR(__xludf.DUMMYFUNCTION("""COMPUTED_VALUE"""),"ID ")</f>
        <v>ID </v>
      </c>
    </row>
    <row r="1851">
      <c r="A1851" s="6" t="str">
        <f>IFERROR(__xludf.DUMMYFUNCTION("""COMPUTED_VALUE"""),"")</f>
        <v/>
      </c>
      <c r="C1851" t="str">
        <f>IFERROR(__xludf.DUMMYFUNCTION("""COMPUTED_VALUE"""),"")</f>
        <v/>
      </c>
      <c r="D1851" t="str">
        <f>IFERROR(__xludf.DUMMYFUNCTION("""COMPUTED_VALUE"""),"")</f>
        <v/>
      </c>
      <c r="E1851" t="str">
        <f>IFERROR(__xludf.DUMMYFUNCTION("""COMPUTED_VALUE"""),"")</f>
        <v/>
      </c>
      <c r="F1851" t="str">
        <f>IFERROR(__xludf.DUMMYFUNCTION("""COMPUTED_VALUE"""),"")</f>
        <v/>
      </c>
      <c r="G1851" t="str">
        <f>IFERROR(__xludf.DUMMYFUNCTION("""COMPUTED_VALUE"""),"")</f>
        <v/>
      </c>
      <c r="H1851" s="2" t="str">
        <f>IFERROR(__xludf.DUMMYFUNCTION("""COMPUTED_VALUE"""),"")</f>
        <v/>
      </c>
      <c r="I1851" s="2" t="str">
        <f>IFERROR(__xludf.DUMMYFUNCTION("""COMPUTED_VALUE"""),"")</f>
        <v/>
      </c>
      <c r="J1851" s="2">
        <f>IFERROR(__xludf.DUMMYFUNCTION("""COMPUTED_VALUE"""),0.0)</f>
        <v>0</v>
      </c>
      <c r="K1851" s="5" t="str">
        <f>IFERROR(__xludf.DUMMYFUNCTION("""COMPUTED_VALUE"""),"")</f>
        <v/>
      </c>
      <c r="L1851" t="str">
        <f>IFERROR(__xludf.DUMMYFUNCTION("""COMPUTED_VALUE"""),"")</f>
        <v/>
      </c>
      <c r="M1851" t="str">
        <f>IFERROR(__xludf.DUMMYFUNCTION("""COMPUTED_VALUE"""),"")</f>
        <v/>
      </c>
      <c r="N1851" t="str">
        <f>IFERROR(__xludf.DUMMYFUNCTION("""COMPUTED_VALUE"""),"")</f>
        <v/>
      </c>
      <c r="O1851" t="str">
        <f>IFERROR(__xludf.DUMMYFUNCTION("""COMPUTED_VALUE"""),"")</f>
        <v/>
      </c>
      <c r="P1851" t="str">
        <f>IFERROR(__xludf.DUMMYFUNCTION("""COMPUTED_VALUE"""),"ID ")</f>
        <v>ID </v>
      </c>
    </row>
    <row r="1852">
      <c r="A1852" s="6" t="str">
        <f>IFERROR(__xludf.DUMMYFUNCTION("""COMPUTED_VALUE"""),"")</f>
        <v/>
      </c>
      <c r="C1852" t="str">
        <f>IFERROR(__xludf.DUMMYFUNCTION("""COMPUTED_VALUE"""),"")</f>
        <v/>
      </c>
      <c r="D1852" t="str">
        <f>IFERROR(__xludf.DUMMYFUNCTION("""COMPUTED_VALUE"""),"")</f>
        <v/>
      </c>
      <c r="E1852" t="str">
        <f>IFERROR(__xludf.DUMMYFUNCTION("""COMPUTED_VALUE"""),"")</f>
        <v/>
      </c>
      <c r="F1852" t="str">
        <f>IFERROR(__xludf.DUMMYFUNCTION("""COMPUTED_VALUE"""),"")</f>
        <v/>
      </c>
      <c r="G1852" t="str">
        <f>IFERROR(__xludf.DUMMYFUNCTION("""COMPUTED_VALUE"""),"")</f>
        <v/>
      </c>
      <c r="H1852" s="2" t="str">
        <f>IFERROR(__xludf.DUMMYFUNCTION("""COMPUTED_VALUE"""),"")</f>
        <v/>
      </c>
      <c r="I1852" s="2" t="str">
        <f>IFERROR(__xludf.DUMMYFUNCTION("""COMPUTED_VALUE"""),"")</f>
        <v/>
      </c>
      <c r="J1852" s="2">
        <f>IFERROR(__xludf.DUMMYFUNCTION("""COMPUTED_VALUE"""),0.0)</f>
        <v>0</v>
      </c>
      <c r="K1852" s="5" t="str">
        <f>IFERROR(__xludf.DUMMYFUNCTION("""COMPUTED_VALUE"""),"")</f>
        <v/>
      </c>
      <c r="L1852" t="str">
        <f>IFERROR(__xludf.DUMMYFUNCTION("""COMPUTED_VALUE"""),"")</f>
        <v/>
      </c>
      <c r="M1852" t="str">
        <f>IFERROR(__xludf.DUMMYFUNCTION("""COMPUTED_VALUE"""),"")</f>
        <v/>
      </c>
      <c r="N1852" t="str">
        <f>IFERROR(__xludf.DUMMYFUNCTION("""COMPUTED_VALUE"""),"")</f>
        <v/>
      </c>
      <c r="O1852" t="str">
        <f>IFERROR(__xludf.DUMMYFUNCTION("""COMPUTED_VALUE"""),"")</f>
        <v/>
      </c>
      <c r="P1852" t="str">
        <f>IFERROR(__xludf.DUMMYFUNCTION("""COMPUTED_VALUE"""),"ID ")</f>
        <v>ID </v>
      </c>
    </row>
    <row r="1853">
      <c r="A1853" s="6" t="str">
        <f>IFERROR(__xludf.DUMMYFUNCTION("""COMPUTED_VALUE"""),"")</f>
        <v/>
      </c>
      <c r="C1853" t="str">
        <f>IFERROR(__xludf.DUMMYFUNCTION("""COMPUTED_VALUE"""),"")</f>
        <v/>
      </c>
      <c r="D1853" t="str">
        <f>IFERROR(__xludf.DUMMYFUNCTION("""COMPUTED_VALUE"""),"")</f>
        <v/>
      </c>
      <c r="E1853" t="str">
        <f>IFERROR(__xludf.DUMMYFUNCTION("""COMPUTED_VALUE"""),"")</f>
        <v/>
      </c>
      <c r="F1853" t="str">
        <f>IFERROR(__xludf.DUMMYFUNCTION("""COMPUTED_VALUE"""),"")</f>
        <v/>
      </c>
      <c r="G1853" t="str">
        <f>IFERROR(__xludf.DUMMYFUNCTION("""COMPUTED_VALUE"""),"")</f>
        <v/>
      </c>
      <c r="H1853" s="2" t="str">
        <f>IFERROR(__xludf.DUMMYFUNCTION("""COMPUTED_VALUE"""),"")</f>
        <v/>
      </c>
      <c r="I1853" s="2" t="str">
        <f>IFERROR(__xludf.DUMMYFUNCTION("""COMPUTED_VALUE"""),"")</f>
        <v/>
      </c>
      <c r="J1853" s="2">
        <f>IFERROR(__xludf.DUMMYFUNCTION("""COMPUTED_VALUE"""),0.0)</f>
        <v>0</v>
      </c>
      <c r="K1853" s="5" t="str">
        <f>IFERROR(__xludf.DUMMYFUNCTION("""COMPUTED_VALUE"""),"")</f>
        <v/>
      </c>
      <c r="L1853" t="str">
        <f>IFERROR(__xludf.DUMMYFUNCTION("""COMPUTED_VALUE"""),"")</f>
        <v/>
      </c>
      <c r="M1853" t="str">
        <f>IFERROR(__xludf.DUMMYFUNCTION("""COMPUTED_VALUE"""),"")</f>
        <v/>
      </c>
      <c r="N1853" t="str">
        <f>IFERROR(__xludf.DUMMYFUNCTION("""COMPUTED_VALUE"""),"")</f>
        <v/>
      </c>
      <c r="O1853" t="str">
        <f>IFERROR(__xludf.DUMMYFUNCTION("""COMPUTED_VALUE"""),"")</f>
        <v/>
      </c>
      <c r="P1853" t="str">
        <f>IFERROR(__xludf.DUMMYFUNCTION("""COMPUTED_VALUE"""),"ID ")</f>
        <v>ID </v>
      </c>
    </row>
    <row r="1854">
      <c r="A1854" s="6" t="str">
        <f>IFERROR(__xludf.DUMMYFUNCTION("""COMPUTED_VALUE"""),"")</f>
        <v/>
      </c>
      <c r="C1854" t="str">
        <f>IFERROR(__xludf.DUMMYFUNCTION("""COMPUTED_VALUE"""),"")</f>
        <v/>
      </c>
      <c r="D1854" t="str">
        <f>IFERROR(__xludf.DUMMYFUNCTION("""COMPUTED_VALUE"""),"")</f>
        <v/>
      </c>
      <c r="E1854" t="str">
        <f>IFERROR(__xludf.DUMMYFUNCTION("""COMPUTED_VALUE"""),"")</f>
        <v/>
      </c>
      <c r="F1854" t="str">
        <f>IFERROR(__xludf.DUMMYFUNCTION("""COMPUTED_VALUE"""),"")</f>
        <v/>
      </c>
      <c r="G1854" t="str">
        <f>IFERROR(__xludf.DUMMYFUNCTION("""COMPUTED_VALUE"""),"")</f>
        <v/>
      </c>
      <c r="H1854" s="2" t="str">
        <f>IFERROR(__xludf.DUMMYFUNCTION("""COMPUTED_VALUE"""),"")</f>
        <v/>
      </c>
      <c r="I1854" s="2" t="str">
        <f>IFERROR(__xludf.DUMMYFUNCTION("""COMPUTED_VALUE"""),"")</f>
        <v/>
      </c>
      <c r="J1854" s="2">
        <f>IFERROR(__xludf.DUMMYFUNCTION("""COMPUTED_VALUE"""),0.0)</f>
        <v>0</v>
      </c>
      <c r="K1854" s="5" t="str">
        <f>IFERROR(__xludf.DUMMYFUNCTION("""COMPUTED_VALUE"""),"")</f>
        <v/>
      </c>
      <c r="L1854" t="str">
        <f>IFERROR(__xludf.DUMMYFUNCTION("""COMPUTED_VALUE"""),"")</f>
        <v/>
      </c>
      <c r="M1854" t="str">
        <f>IFERROR(__xludf.DUMMYFUNCTION("""COMPUTED_VALUE"""),"")</f>
        <v/>
      </c>
      <c r="N1854" t="str">
        <f>IFERROR(__xludf.DUMMYFUNCTION("""COMPUTED_VALUE"""),"")</f>
        <v/>
      </c>
      <c r="O1854" t="str">
        <f>IFERROR(__xludf.DUMMYFUNCTION("""COMPUTED_VALUE"""),"")</f>
        <v/>
      </c>
      <c r="P1854" t="str">
        <f>IFERROR(__xludf.DUMMYFUNCTION("""COMPUTED_VALUE"""),"ID ")</f>
        <v>ID </v>
      </c>
    </row>
    <row r="1855">
      <c r="A1855" s="6" t="str">
        <f>IFERROR(__xludf.DUMMYFUNCTION("""COMPUTED_VALUE"""),"")</f>
        <v/>
      </c>
      <c r="C1855" t="str">
        <f>IFERROR(__xludf.DUMMYFUNCTION("""COMPUTED_VALUE"""),"")</f>
        <v/>
      </c>
      <c r="D1855" t="str">
        <f>IFERROR(__xludf.DUMMYFUNCTION("""COMPUTED_VALUE"""),"")</f>
        <v/>
      </c>
      <c r="E1855" t="str">
        <f>IFERROR(__xludf.DUMMYFUNCTION("""COMPUTED_VALUE"""),"")</f>
        <v/>
      </c>
      <c r="F1855" t="str">
        <f>IFERROR(__xludf.DUMMYFUNCTION("""COMPUTED_VALUE"""),"")</f>
        <v/>
      </c>
      <c r="G1855" t="str">
        <f>IFERROR(__xludf.DUMMYFUNCTION("""COMPUTED_VALUE"""),"")</f>
        <v/>
      </c>
      <c r="H1855" s="2" t="str">
        <f>IFERROR(__xludf.DUMMYFUNCTION("""COMPUTED_VALUE"""),"")</f>
        <v/>
      </c>
      <c r="I1855" s="2" t="str">
        <f>IFERROR(__xludf.DUMMYFUNCTION("""COMPUTED_VALUE"""),"")</f>
        <v/>
      </c>
      <c r="J1855" s="2">
        <f>IFERROR(__xludf.DUMMYFUNCTION("""COMPUTED_VALUE"""),0.0)</f>
        <v>0</v>
      </c>
      <c r="K1855" s="5" t="str">
        <f>IFERROR(__xludf.DUMMYFUNCTION("""COMPUTED_VALUE"""),"")</f>
        <v/>
      </c>
      <c r="L1855" t="str">
        <f>IFERROR(__xludf.DUMMYFUNCTION("""COMPUTED_VALUE"""),"")</f>
        <v/>
      </c>
      <c r="M1855" t="str">
        <f>IFERROR(__xludf.DUMMYFUNCTION("""COMPUTED_VALUE"""),"")</f>
        <v/>
      </c>
      <c r="N1855" t="str">
        <f>IFERROR(__xludf.DUMMYFUNCTION("""COMPUTED_VALUE"""),"")</f>
        <v/>
      </c>
      <c r="O1855" t="str">
        <f>IFERROR(__xludf.DUMMYFUNCTION("""COMPUTED_VALUE"""),"")</f>
        <v/>
      </c>
      <c r="P1855" t="str">
        <f>IFERROR(__xludf.DUMMYFUNCTION("""COMPUTED_VALUE"""),"ID ")</f>
        <v>ID </v>
      </c>
    </row>
    <row r="1856">
      <c r="A1856" s="6" t="str">
        <f>IFERROR(__xludf.DUMMYFUNCTION("""COMPUTED_VALUE"""),"")</f>
        <v/>
      </c>
      <c r="C1856" t="str">
        <f>IFERROR(__xludf.DUMMYFUNCTION("""COMPUTED_VALUE"""),"")</f>
        <v/>
      </c>
      <c r="D1856" t="str">
        <f>IFERROR(__xludf.DUMMYFUNCTION("""COMPUTED_VALUE"""),"")</f>
        <v/>
      </c>
      <c r="E1856" t="str">
        <f>IFERROR(__xludf.DUMMYFUNCTION("""COMPUTED_VALUE"""),"")</f>
        <v/>
      </c>
      <c r="F1856" t="str">
        <f>IFERROR(__xludf.DUMMYFUNCTION("""COMPUTED_VALUE"""),"")</f>
        <v/>
      </c>
      <c r="G1856" t="str">
        <f>IFERROR(__xludf.DUMMYFUNCTION("""COMPUTED_VALUE"""),"")</f>
        <v/>
      </c>
      <c r="H1856" s="2" t="str">
        <f>IFERROR(__xludf.DUMMYFUNCTION("""COMPUTED_VALUE"""),"")</f>
        <v/>
      </c>
      <c r="I1856" s="2" t="str">
        <f>IFERROR(__xludf.DUMMYFUNCTION("""COMPUTED_VALUE"""),"")</f>
        <v/>
      </c>
      <c r="J1856" s="2">
        <f>IFERROR(__xludf.DUMMYFUNCTION("""COMPUTED_VALUE"""),0.0)</f>
        <v>0</v>
      </c>
      <c r="K1856" s="5" t="str">
        <f>IFERROR(__xludf.DUMMYFUNCTION("""COMPUTED_VALUE"""),"")</f>
        <v/>
      </c>
      <c r="L1856" t="str">
        <f>IFERROR(__xludf.DUMMYFUNCTION("""COMPUTED_VALUE"""),"")</f>
        <v/>
      </c>
      <c r="M1856" t="str">
        <f>IFERROR(__xludf.DUMMYFUNCTION("""COMPUTED_VALUE"""),"")</f>
        <v/>
      </c>
      <c r="N1856" t="str">
        <f>IFERROR(__xludf.DUMMYFUNCTION("""COMPUTED_VALUE"""),"")</f>
        <v/>
      </c>
      <c r="O1856" t="str">
        <f>IFERROR(__xludf.DUMMYFUNCTION("""COMPUTED_VALUE"""),"")</f>
        <v/>
      </c>
      <c r="P1856" t="str">
        <f>IFERROR(__xludf.DUMMYFUNCTION("""COMPUTED_VALUE"""),"ID ")</f>
        <v>ID </v>
      </c>
    </row>
    <row r="1857">
      <c r="A1857" s="6" t="str">
        <f>IFERROR(__xludf.DUMMYFUNCTION("""COMPUTED_VALUE"""),"")</f>
        <v/>
      </c>
      <c r="C1857" t="str">
        <f>IFERROR(__xludf.DUMMYFUNCTION("""COMPUTED_VALUE"""),"")</f>
        <v/>
      </c>
      <c r="D1857" t="str">
        <f>IFERROR(__xludf.DUMMYFUNCTION("""COMPUTED_VALUE"""),"")</f>
        <v/>
      </c>
      <c r="E1857" t="str">
        <f>IFERROR(__xludf.DUMMYFUNCTION("""COMPUTED_VALUE"""),"")</f>
        <v/>
      </c>
      <c r="F1857" t="str">
        <f>IFERROR(__xludf.DUMMYFUNCTION("""COMPUTED_VALUE"""),"")</f>
        <v/>
      </c>
      <c r="G1857" t="str">
        <f>IFERROR(__xludf.DUMMYFUNCTION("""COMPUTED_VALUE"""),"")</f>
        <v/>
      </c>
      <c r="H1857" s="2" t="str">
        <f>IFERROR(__xludf.DUMMYFUNCTION("""COMPUTED_VALUE"""),"")</f>
        <v/>
      </c>
      <c r="I1857" s="2" t="str">
        <f>IFERROR(__xludf.DUMMYFUNCTION("""COMPUTED_VALUE"""),"")</f>
        <v/>
      </c>
      <c r="J1857" s="2">
        <f>IFERROR(__xludf.DUMMYFUNCTION("""COMPUTED_VALUE"""),0.0)</f>
        <v>0</v>
      </c>
      <c r="K1857" s="5" t="str">
        <f>IFERROR(__xludf.DUMMYFUNCTION("""COMPUTED_VALUE"""),"")</f>
        <v/>
      </c>
      <c r="L1857" t="str">
        <f>IFERROR(__xludf.DUMMYFUNCTION("""COMPUTED_VALUE"""),"")</f>
        <v/>
      </c>
      <c r="M1857" t="str">
        <f>IFERROR(__xludf.DUMMYFUNCTION("""COMPUTED_VALUE"""),"")</f>
        <v/>
      </c>
      <c r="N1857" t="str">
        <f>IFERROR(__xludf.DUMMYFUNCTION("""COMPUTED_VALUE"""),"")</f>
        <v/>
      </c>
      <c r="O1857" t="str">
        <f>IFERROR(__xludf.DUMMYFUNCTION("""COMPUTED_VALUE"""),"")</f>
        <v/>
      </c>
      <c r="P1857" t="str">
        <f>IFERROR(__xludf.DUMMYFUNCTION("""COMPUTED_VALUE"""),"ID ")</f>
        <v>ID </v>
      </c>
    </row>
    <row r="1858">
      <c r="A1858" s="6" t="str">
        <f>IFERROR(__xludf.DUMMYFUNCTION("""COMPUTED_VALUE"""),"")</f>
        <v/>
      </c>
      <c r="C1858" t="str">
        <f>IFERROR(__xludf.DUMMYFUNCTION("""COMPUTED_VALUE"""),"")</f>
        <v/>
      </c>
      <c r="D1858" t="str">
        <f>IFERROR(__xludf.DUMMYFUNCTION("""COMPUTED_VALUE"""),"")</f>
        <v/>
      </c>
      <c r="E1858" t="str">
        <f>IFERROR(__xludf.DUMMYFUNCTION("""COMPUTED_VALUE"""),"")</f>
        <v/>
      </c>
      <c r="F1858" t="str">
        <f>IFERROR(__xludf.DUMMYFUNCTION("""COMPUTED_VALUE"""),"")</f>
        <v/>
      </c>
      <c r="G1858" t="str">
        <f>IFERROR(__xludf.DUMMYFUNCTION("""COMPUTED_VALUE"""),"")</f>
        <v/>
      </c>
      <c r="H1858" s="2" t="str">
        <f>IFERROR(__xludf.DUMMYFUNCTION("""COMPUTED_VALUE"""),"")</f>
        <v/>
      </c>
      <c r="I1858" s="2" t="str">
        <f>IFERROR(__xludf.DUMMYFUNCTION("""COMPUTED_VALUE"""),"")</f>
        <v/>
      </c>
      <c r="J1858" s="2">
        <f>IFERROR(__xludf.DUMMYFUNCTION("""COMPUTED_VALUE"""),0.0)</f>
        <v>0</v>
      </c>
      <c r="K1858" s="5" t="str">
        <f>IFERROR(__xludf.DUMMYFUNCTION("""COMPUTED_VALUE"""),"")</f>
        <v/>
      </c>
      <c r="L1858" t="str">
        <f>IFERROR(__xludf.DUMMYFUNCTION("""COMPUTED_VALUE"""),"")</f>
        <v/>
      </c>
      <c r="M1858" t="str">
        <f>IFERROR(__xludf.DUMMYFUNCTION("""COMPUTED_VALUE"""),"")</f>
        <v/>
      </c>
      <c r="N1858" t="str">
        <f>IFERROR(__xludf.DUMMYFUNCTION("""COMPUTED_VALUE"""),"")</f>
        <v/>
      </c>
      <c r="O1858" t="str">
        <f>IFERROR(__xludf.DUMMYFUNCTION("""COMPUTED_VALUE"""),"")</f>
        <v/>
      </c>
      <c r="P1858" t="str">
        <f>IFERROR(__xludf.DUMMYFUNCTION("""COMPUTED_VALUE"""),"ID ")</f>
        <v>ID </v>
      </c>
    </row>
    <row r="1859">
      <c r="A1859" s="6" t="str">
        <f>IFERROR(__xludf.DUMMYFUNCTION("""COMPUTED_VALUE"""),"")</f>
        <v/>
      </c>
      <c r="C1859" t="str">
        <f>IFERROR(__xludf.DUMMYFUNCTION("""COMPUTED_VALUE"""),"")</f>
        <v/>
      </c>
      <c r="D1859" t="str">
        <f>IFERROR(__xludf.DUMMYFUNCTION("""COMPUTED_VALUE"""),"")</f>
        <v/>
      </c>
      <c r="E1859" t="str">
        <f>IFERROR(__xludf.DUMMYFUNCTION("""COMPUTED_VALUE"""),"")</f>
        <v/>
      </c>
      <c r="F1859" t="str">
        <f>IFERROR(__xludf.DUMMYFUNCTION("""COMPUTED_VALUE"""),"")</f>
        <v/>
      </c>
      <c r="G1859" t="str">
        <f>IFERROR(__xludf.DUMMYFUNCTION("""COMPUTED_VALUE"""),"")</f>
        <v/>
      </c>
      <c r="H1859" s="2" t="str">
        <f>IFERROR(__xludf.DUMMYFUNCTION("""COMPUTED_VALUE"""),"")</f>
        <v/>
      </c>
      <c r="I1859" s="2" t="str">
        <f>IFERROR(__xludf.DUMMYFUNCTION("""COMPUTED_VALUE"""),"")</f>
        <v/>
      </c>
      <c r="J1859" s="2">
        <f>IFERROR(__xludf.DUMMYFUNCTION("""COMPUTED_VALUE"""),0.0)</f>
        <v>0</v>
      </c>
      <c r="K1859" s="5" t="str">
        <f>IFERROR(__xludf.DUMMYFUNCTION("""COMPUTED_VALUE"""),"")</f>
        <v/>
      </c>
      <c r="L1859" t="str">
        <f>IFERROR(__xludf.DUMMYFUNCTION("""COMPUTED_VALUE"""),"")</f>
        <v/>
      </c>
      <c r="M1859" t="str">
        <f>IFERROR(__xludf.DUMMYFUNCTION("""COMPUTED_VALUE"""),"")</f>
        <v/>
      </c>
      <c r="N1859" t="str">
        <f>IFERROR(__xludf.DUMMYFUNCTION("""COMPUTED_VALUE"""),"")</f>
        <v/>
      </c>
      <c r="O1859" t="str">
        <f>IFERROR(__xludf.DUMMYFUNCTION("""COMPUTED_VALUE"""),"")</f>
        <v/>
      </c>
      <c r="P1859" t="str">
        <f>IFERROR(__xludf.DUMMYFUNCTION("""COMPUTED_VALUE"""),"ID ")</f>
        <v>ID </v>
      </c>
    </row>
    <row r="1860">
      <c r="A1860" s="6" t="str">
        <f>IFERROR(__xludf.DUMMYFUNCTION("""COMPUTED_VALUE"""),"")</f>
        <v/>
      </c>
      <c r="C1860" t="str">
        <f>IFERROR(__xludf.DUMMYFUNCTION("""COMPUTED_VALUE"""),"")</f>
        <v/>
      </c>
      <c r="D1860" t="str">
        <f>IFERROR(__xludf.DUMMYFUNCTION("""COMPUTED_VALUE"""),"")</f>
        <v/>
      </c>
      <c r="E1860" t="str">
        <f>IFERROR(__xludf.DUMMYFUNCTION("""COMPUTED_VALUE"""),"")</f>
        <v/>
      </c>
      <c r="F1860" t="str">
        <f>IFERROR(__xludf.DUMMYFUNCTION("""COMPUTED_VALUE"""),"")</f>
        <v/>
      </c>
      <c r="G1860" t="str">
        <f>IFERROR(__xludf.DUMMYFUNCTION("""COMPUTED_VALUE"""),"")</f>
        <v/>
      </c>
      <c r="H1860" s="2" t="str">
        <f>IFERROR(__xludf.DUMMYFUNCTION("""COMPUTED_VALUE"""),"")</f>
        <v/>
      </c>
      <c r="I1860" s="2" t="str">
        <f>IFERROR(__xludf.DUMMYFUNCTION("""COMPUTED_VALUE"""),"")</f>
        <v/>
      </c>
      <c r="J1860" s="2">
        <f>IFERROR(__xludf.DUMMYFUNCTION("""COMPUTED_VALUE"""),0.0)</f>
        <v>0</v>
      </c>
      <c r="K1860" s="5" t="str">
        <f>IFERROR(__xludf.DUMMYFUNCTION("""COMPUTED_VALUE"""),"")</f>
        <v/>
      </c>
      <c r="L1860" t="str">
        <f>IFERROR(__xludf.DUMMYFUNCTION("""COMPUTED_VALUE"""),"")</f>
        <v/>
      </c>
      <c r="M1860" t="str">
        <f>IFERROR(__xludf.DUMMYFUNCTION("""COMPUTED_VALUE"""),"")</f>
        <v/>
      </c>
      <c r="N1860" t="str">
        <f>IFERROR(__xludf.DUMMYFUNCTION("""COMPUTED_VALUE"""),"")</f>
        <v/>
      </c>
      <c r="O1860" t="str">
        <f>IFERROR(__xludf.DUMMYFUNCTION("""COMPUTED_VALUE"""),"")</f>
        <v/>
      </c>
      <c r="P1860" t="str">
        <f>IFERROR(__xludf.DUMMYFUNCTION("""COMPUTED_VALUE"""),"ID ")</f>
        <v>ID </v>
      </c>
    </row>
    <row r="1861">
      <c r="A1861" s="6" t="str">
        <f>IFERROR(__xludf.DUMMYFUNCTION("""COMPUTED_VALUE"""),"")</f>
        <v/>
      </c>
      <c r="C1861" t="str">
        <f>IFERROR(__xludf.DUMMYFUNCTION("""COMPUTED_VALUE"""),"")</f>
        <v/>
      </c>
      <c r="D1861" t="str">
        <f>IFERROR(__xludf.DUMMYFUNCTION("""COMPUTED_VALUE"""),"")</f>
        <v/>
      </c>
      <c r="E1861" t="str">
        <f>IFERROR(__xludf.DUMMYFUNCTION("""COMPUTED_VALUE"""),"")</f>
        <v/>
      </c>
      <c r="F1861" t="str">
        <f>IFERROR(__xludf.DUMMYFUNCTION("""COMPUTED_VALUE"""),"")</f>
        <v/>
      </c>
      <c r="G1861" t="str">
        <f>IFERROR(__xludf.DUMMYFUNCTION("""COMPUTED_VALUE"""),"")</f>
        <v/>
      </c>
      <c r="H1861" s="2" t="str">
        <f>IFERROR(__xludf.DUMMYFUNCTION("""COMPUTED_VALUE"""),"")</f>
        <v/>
      </c>
      <c r="I1861" s="2" t="str">
        <f>IFERROR(__xludf.DUMMYFUNCTION("""COMPUTED_VALUE"""),"")</f>
        <v/>
      </c>
      <c r="J1861" s="2">
        <f>IFERROR(__xludf.DUMMYFUNCTION("""COMPUTED_VALUE"""),0.0)</f>
        <v>0</v>
      </c>
      <c r="K1861" s="5" t="str">
        <f>IFERROR(__xludf.DUMMYFUNCTION("""COMPUTED_VALUE"""),"")</f>
        <v/>
      </c>
      <c r="L1861" t="str">
        <f>IFERROR(__xludf.DUMMYFUNCTION("""COMPUTED_VALUE"""),"")</f>
        <v/>
      </c>
      <c r="M1861" t="str">
        <f>IFERROR(__xludf.DUMMYFUNCTION("""COMPUTED_VALUE"""),"")</f>
        <v/>
      </c>
      <c r="N1861" t="str">
        <f>IFERROR(__xludf.DUMMYFUNCTION("""COMPUTED_VALUE"""),"")</f>
        <v/>
      </c>
      <c r="O1861" t="str">
        <f>IFERROR(__xludf.DUMMYFUNCTION("""COMPUTED_VALUE"""),"")</f>
        <v/>
      </c>
      <c r="P1861" t="str">
        <f>IFERROR(__xludf.DUMMYFUNCTION("""COMPUTED_VALUE"""),"ID ")</f>
        <v>ID </v>
      </c>
    </row>
    <row r="1862">
      <c r="A1862" s="6" t="str">
        <f>IFERROR(__xludf.DUMMYFUNCTION("""COMPUTED_VALUE"""),"")</f>
        <v/>
      </c>
      <c r="C1862" t="str">
        <f>IFERROR(__xludf.DUMMYFUNCTION("""COMPUTED_VALUE"""),"")</f>
        <v/>
      </c>
      <c r="D1862" t="str">
        <f>IFERROR(__xludf.DUMMYFUNCTION("""COMPUTED_VALUE"""),"")</f>
        <v/>
      </c>
      <c r="E1862" t="str">
        <f>IFERROR(__xludf.DUMMYFUNCTION("""COMPUTED_VALUE"""),"")</f>
        <v/>
      </c>
      <c r="F1862" t="str">
        <f>IFERROR(__xludf.DUMMYFUNCTION("""COMPUTED_VALUE"""),"")</f>
        <v/>
      </c>
      <c r="G1862" t="str">
        <f>IFERROR(__xludf.DUMMYFUNCTION("""COMPUTED_VALUE"""),"")</f>
        <v/>
      </c>
      <c r="H1862" s="2" t="str">
        <f>IFERROR(__xludf.DUMMYFUNCTION("""COMPUTED_VALUE"""),"")</f>
        <v/>
      </c>
      <c r="I1862" s="2" t="str">
        <f>IFERROR(__xludf.DUMMYFUNCTION("""COMPUTED_VALUE"""),"")</f>
        <v/>
      </c>
      <c r="J1862" s="2">
        <f>IFERROR(__xludf.DUMMYFUNCTION("""COMPUTED_VALUE"""),0.0)</f>
        <v>0</v>
      </c>
      <c r="K1862" s="5" t="str">
        <f>IFERROR(__xludf.DUMMYFUNCTION("""COMPUTED_VALUE"""),"")</f>
        <v/>
      </c>
      <c r="L1862" t="str">
        <f>IFERROR(__xludf.DUMMYFUNCTION("""COMPUTED_VALUE"""),"")</f>
        <v/>
      </c>
      <c r="M1862" t="str">
        <f>IFERROR(__xludf.DUMMYFUNCTION("""COMPUTED_VALUE"""),"")</f>
        <v/>
      </c>
      <c r="N1862" t="str">
        <f>IFERROR(__xludf.DUMMYFUNCTION("""COMPUTED_VALUE"""),"")</f>
        <v/>
      </c>
      <c r="O1862" t="str">
        <f>IFERROR(__xludf.DUMMYFUNCTION("""COMPUTED_VALUE"""),"")</f>
        <v/>
      </c>
      <c r="P1862" t="str">
        <f>IFERROR(__xludf.DUMMYFUNCTION("""COMPUTED_VALUE"""),"ID ")</f>
        <v>ID </v>
      </c>
    </row>
    <row r="1863">
      <c r="A1863" s="6" t="str">
        <f>IFERROR(__xludf.DUMMYFUNCTION("""COMPUTED_VALUE"""),"")</f>
        <v/>
      </c>
      <c r="C1863" t="str">
        <f>IFERROR(__xludf.DUMMYFUNCTION("""COMPUTED_VALUE"""),"")</f>
        <v/>
      </c>
      <c r="D1863" t="str">
        <f>IFERROR(__xludf.DUMMYFUNCTION("""COMPUTED_VALUE"""),"")</f>
        <v/>
      </c>
      <c r="E1863" t="str">
        <f>IFERROR(__xludf.DUMMYFUNCTION("""COMPUTED_VALUE"""),"")</f>
        <v/>
      </c>
      <c r="F1863" t="str">
        <f>IFERROR(__xludf.DUMMYFUNCTION("""COMPUTED_VALUE"""),"")</f>
        <v/>
      </c>
      <c r="G1863" t="str">
        <f>IFERROR(__xludf.DUMMYFUNCTION("""COMPUTED_VALUE"""),"")</f>
        <v/>
      </c>
      <c r="H1863" s="2" t="str">
        <f>IFERROR(__xludf.DUMMYFUNCTION("""COMPUTED_VALUE"""),"")</f>
        <v/>
      </c>
      <c r="I1863" s="2" t="str">
        <f>IFERROR(__xludf.DUMMYFUNCTION("""COMPUTED_VALUE"""),"")</f>
        <v/>
      </c>
      <c r="J1863" s="2">
        <f>IFERROR(__xludf.DUMMYFUNCTION("""COMPUTED_VALUE"""),0.0)</f>
        <v>0</v>
      </c>
      <c r="K1863" s="5" t="str">
        <f>IFERROR(__xludf.DUMMYFUNCTION("""COMPUTED_VALUE"""),"")</f>
        <v/>
      </c>
      <c r="L1863" t="str">
        <f>IFERROR(__xludf.DUMMYFUNCTION("""COMPUTED_VALUE"""),"")</f>
        <v/>
      </c>
      <c r="M1863" t="str">
        <f>IFERROR(__xludf.DUMMYFUNCTION("""COMPUTED_VALUE"""),"")</f>
        <v/>
      </c>
      <c r="N1863" t="str">
        <f>IFERROR(__xludf.DUMMYFUNCTION("""COMPUTED_VALUE"""),"")</f>
        <v/>
      </c>
      <c r="O1863" t="str">
        <f>IFERROR(__xludf.DUMMYFUNCTION("""COMPUTED_VALUE"""),"")</f>
        <v/>
      </c>
      <c r="P1863" t="str">
        <f>IFERROR(__xludf.DUMMYFUNCTION("""COMPUTED_VALUE"""),"ID ")</f>
        <v>ID </v>
      </c>
    </row>
    <row r="1864">
      <c r="A1864" s="6" t="str">
        <f>IFERROR(__xludf.DUMMYFUNCTION("""COMPUTED_VALUE"""),"")</f>
        <v/>
      </c>
      <c r="C1864" t="str">
        <f>IFERROR(__xludf.DUMMYFUNCTION("""COMPUTED_VALUE"""),"")</f>
        <v/>
      </c>
      <c r="D1864" t="str">
        <f>IFERROR(__xludf.DUMMYFUNCTION("""COMPUTED_VALUE"""),"")</f>
        <v/>
      </c>
      <c r="E1864" t="str">
        <f>IFERROR(__xludf.DUMMYFUNCTION("""COMPUTED_VALUE"""),"")</f>
        <v/>
      </c>
      <c r="F1864" t="str">
        <f>IFERROR(__xludf.DUMMYFUNCTION("""COMPUTED_VALUE"""),"")</f>
        <v/>
      </c>
      <c r="G1864" t="str">
        <f>IFERROR(__xludf.DUMMYFUNCTION("""COMPUTED_VALUE"""),"")</f>
        <v/>
      </c>
      <c r="H1864" s="2" t="str">
        <f>IFERROR(__xludf.DUMMYFUNCTION("""COMPUTED_VALUE"""),"")</f>
        <v/>
      </c>
      <c r="I1864" s="2" t="str">
        <f>IFERROR(__xludf.DUMMYFUNCTION("""COMPUTED_VALUE"""),"")</f>
        <v/>
      </c>
      <c r="J1864" s="2">
        <f>IFERROR(__xludf.DUMMYFUNCTION("""COMPUTED_VALUE"""),0.0)</f>
        <v>0</v>
      </c>
      <c r="K1864" s="5" t="str">
        <f>IFERROR(__xludf.DUMMYFUNCTION("""COMPUTED_VALUE"""),"")</f>
        <v/>
      </c>
      <c r="L1864" t="str">
        <f>IFERROR(__xludf.DUMMYFUNCTION("""COMPUTED_VALUE"""),"")</f>
        <v/>
      </c>
      <c r="M1864" t="str">
        <f>IFERROR(__xludf.DUMMYFUNCTION("""COMPUTED_VALUE"""),"")</f>
        <v/>
      </c>
      <c r="N1864" t="str">
        <f>IFERROR(__xludf.DUMMYFUNCTION("""COMPUTED_VALUE"""),"")</f>
        <v/>
      </c>
      <c r="O1864" t="str">
        <f>IFERROR(__xludf.DUMMYFUNCTION("""COMPUTED_VALUE"""),"")</f>
        <v/>
      </c>
      <c r="P1864" t="str">
        <f>IFERROR(__xludf.DUMMYFUNCTION("""COMPUTED_VALUE"""),"ID ")</f>
        <v>ID </v>
      </c>
    </row>
    <row r="1865">
      <c r="A1865" s="6" t="str">
        <f>IFERROR(__xludf.DUMMYFUNCTION("""COMPUTED_VALUE"""),"")</f>
        <v/>
      </c>
      <c r="C1865" t="str">
        <f>IFERROR(__xludf.DUMMYFUNCTION("""COMPUTED_VALUE"""),"")</f>
        <v/>
      </c>
      <c r="D1865" t="str">
        <f>IFERROR(__xludf.DUMMYFUNCTION("""COMPUTED_VALUE"""),"")</f>
        <v/>
      </c>
      <c r="E1865" t="str">
        <f>IFERROR(__xludf.DUMMYFUNCTION("""COMPUTED_VALUE"""),"")</f>
        <v/>
      </c>
      <c r="F1865" t="str">
        <f>IFERROR(__xludf.DUMMYFUNCTION("""COMPUTED_VALUE"""),"")</f>
        <v/>
      </c>
      <c r="G1865" t="str">
        <f>IFERROR(__xludf.DUMMYFUNCTION("""COMPUTED_VALUE"""),"")</f>
        <v/>
      </c>
      <c r="H1865" s="2" t="str">
        <f>IFERROR(__xludf.DUMMYFUNCTION("""COMPUTED_VALUE"""),"")</f>
        <v/>
      </c>
      <c r="I1865" s="2" t="str">
        <f>IFERROR(__xludf.DUMMYFUNCTION("""COMPUTED_VALUE"""),"")</f>
        <v/>
      </c>
      <c r="J1865" s="2">
        <f>IFERROR(__xludf.DUMMYFUNCTION("""COMPUTED_VALUE"""),0.0)</f>
        <v>0</v>
      </c>
      <c r="K1865" s="5" t="str">
        <f>IFERROR(__xludf.DUMMYFUNCTION("""COMPUTED_VALUE"""),"")</f>
        <v/>
      </c>
      <c r="L1865" t="str">
        <f>IFERROR(__xludf.DUMMYFUNCTION("""COMPUTED_VALUE"""),"")</f>
        <v/>
      </c>
      <c r="M1865" t="str">
        <f>IFERROR(__xludf.DUMMYFUNCTION("""COMPUTED_VALUE"""),"")</f>
        <v/>
      </c>
      <c r="N1865" t="str">
        <f>IFERROR(__xludf.DUMMYFUNCTION("""COMPUTED_VALUE"""),"")</f>
        <v/>
      </c>
      <c r="O1865" t="str">
        <f>IFERROR(__xludf.DUMMYFUNCTION("""COMPUTED_VALUE"""),"")</f>
        <v/>
      </c>
      <c r="P1865" t="str">
        <f>IFERROR(__xludf.DUMMYFUNCTION("""COMPUTED_VALUE"""),"ID ")</f>
        <v>ID </v>
      </c>
    </row>
    <row r="1866">
      <c r="A1866" s="6" t="str">
        <f>IFERROR(__xludf.DUMMYFUNCTION("""COMPUTED_VALUE"""),"")</f>
        <v/>
      </c>
      <c r="C1866" t="str">
        <f>IFERROR(__xludf.DUMMYFUNCTION("""COMPUTED_VALUE"""),"")</f>
        <v/>
      </c>
      <c r="D1866" t="str">
        <f>IFERROR(__xludf.DUMMYFUNCTION("""COMPUTED_VALUE"""),"")</f>
        <v/>
      </c>
      <c r="E1866" t="str">
        <f>IFERROR(__xludf.DUMMYFUNCTION("""COMPUTED_VALUE"""),"")</f>
        <v/>
      </c>
      <c r="F1866" t="str">
        <f>IFERROR(__xludf.DUMMYFUNCTION("""COMPUTED_VALUE"""),"")</f>
        <v/>
      </c>
      <c r="G1866" t="str">
        <f>IFERROR(__xludf.DUMMYFUNCTION("""COMPUTED_VALUE"""),"")</f>
        <v/>
      </c>
      <c r="H1866" s="2" t="str">
        <f>IFERROR(__xludf.DUMMYFUNCTION("""COMPUTED_VALUE"""),"")</f>
        <v/>
      </c>
      <c r="I1866" s="2" t="str">
        <f>IFERROR(__xludf.DUMMYFUNCTION("""COMPUTED_VALUE"""),"")</f>
        <v/>
      </c>
      <c r="J1866" s="2">
        <f>IFERROR(__xludf.DUMMYFUNCTION("""COMPUTED_VALUE"""),0.0)</f>
        <v>0</v>
      </c>
      <c r="K1866" s="5" t="str">
        <f>IFERROR(__xludf.DUMMYFUNCTION("""COMPUTED_VALUE"""),"")</f>
        <v/>
      </c>
      <c r="L1866" t="str">
        <f>IFERROR(__xludf.DUMMYFUNCTION("""COMPUTED_VALUE"""),"")</f>
        <v/>
      </c>
      <c r="M1866" t="str">
        <f>IFERROR(__xludf.DUMMYFUNCTION("""COMPUTED_VALUE"""),"")</f>
        <v/>
      </c>
      <c r="N1866" t="str">
        <f>IFERROR(__xludf.DUMMYFUNCTION("""COMPUTED_VALUE"""),"")</f>
        <v/>
      </c>
      <c r="O1866" t="str">
        <f>IFERROR(__xludf.DUMMYFUNCTION("""COMPUTED_VALUE"""),"")</f>
        <v/>
      </c>
      <c r="P1866" t="str">
        <f>IFERROR(__xludf.DUMMYFUNCTION("""COMPUTED_VALUE"""),"ID ")</f>
        <v>ID </v>
      </c>
    </row>
    <row r="1867">
      <c r="A1867" s="6" t="str">
        <f>IFERROR(__xludf.DUMMYFUNCTION("""COMPUTED_VALUE"""),"")</f>
        <v/>
      </c>
      <c r="C1867" t="str">
        <f>IFERROR(__xludf.DUMMYFUNCTION("""COMPUTED_VALUE"""),"")</f>
        <v/>
      </c>
      <c r="D1867" t="str">
        <f>IFERROR(__xludf.DUMMYFUNCTION("""COMPUTED_VALUE"""),"")</f>
        <v/>
      </c>
      <c r="E1867" t="str">
        <f>IFERROR(__xludf.DUMMYFUNCTION("""COMPUTED_VALUE"""),"")</f>
        <v/>
      </c>
      <c r="F1867" t="str">
        <f>IFERROR(__xludf.DUMMYFUNCTION("""COMPUTED_VALUE"""),"")</f>
        <v/>
      </c>
      <c r="G1867" t="str">
        <f>IFERROR(__xludf.DUMMYFUNCTION("""COMPUTED_VALUE"""),"")</f>
        <v/>
      </c>
      <c r="H1867" s="2" t="str">
        <f>IFERROR(__xludf.DUMMYFUNCTION("""COMPUTED_VALUE"""),"")</f>
        <v/>
      </c>
      <c r="I1867" s="2" t="str">
        <f>IFERROR(__xludf.DUMMYFUNCTION("""COMPUTED_VALUE"""),"")</f>
        <v/>
      </c>
      <c r="J1867" s="2">
        <f>IFERROR(__xludf.DUMMYFUNCTION("""COMPUTED_VALUE"""),0.0)</f>
        <v>0</v>
      </c>
      <c r="K1867" s="5" t="str">
        <f>IFERROR(__xludf.DUMMYFUNCTION("""COMPUTED_VALUE"""),"")</f>
        <v/>
      </c>
      <c r="L1867" t="str">
        <f>IFERROR(__xludf.DUMMYFUNCTION("""COMPUTED_VALUE"""),"")</f>
        <v/>
      </c>
      <c r="M1867" t="str">
        <f>IFERROR(__xludf.DUMMYFUNCTION("""COMPUTED_VALUE"""),"")</f>
        <v/>
      </c>
      <c r="N1867" t="str">
        <f>IFERROR(__xludf.DUMMYFUNCTION("""COMPUTED_VALUE"""),"")</f>
        <v/>
      </c>
      <c r="O1867" t="str">
        <f>IFERROR(__xludf.DUMMYFUNCTION("""COMPUTED_VALUE"""),"")</f>
        <v/>
      </c>
      <c r="P1867" t="str">
        <f>IFERROR(__xludf.DUMMYFUNCTION("""COMPUTED_VALUE"""),"ID ")</f>
        <v>ID </v>
      </c>
    </row>
    <row r="1868">
      <c r="A1868" s="6" t="str">
        <f>IFERROR(__xludf.DUMMYFUNCTION("""COMPUTED_VALUE"""),"")</f>
        <v/>
      </c>
      <c r="C1868" t="str">
        <f>IFERROR(__xludf.DUMMYFUNCTION("""COMPUTED_VALUE"""),"")</f>
        <v/>
      </c>
      <c r="D1868" t="str">
        <f>IFERROR(__xludf.DUMMYFUNCTION("""COMPUTED_VALUE"""),"")</f>
        <v/>
      </c>
      <c r="E1868" t="str">
        <f>IFERROR(__xludf.DUMMYFUNCTION("""COMPUTED_VALUE"""),"")</f>
        <v/>
      </c>
      <c r="F1868" t="str">
        <f>IFERROR(__xludf.DUMMYFUNCTION("""COMPUTED_VALUE"""),"")</f>
        <v/>
      </c>
      <c r="G1868" t="str">
        <f>IFERROR(__xludf.DUMMYFUNCTION("""COMPUTED_VALUE"""),"")</f>
        <v/>
      </c>
      <c r="H1868" s="2" t="str">
        <f>IFERROR(__xludf.DUMMYFUNCTION("""COMPUTED_VALUE"""),"")</f>
        <v/>
      </c>
      <c r="I1868" s="2" t="str">
        <f>IFERROR(__xludf.DUMMYFUNCTION("""COMPUTED_VALUE"""),"")</f>
        <v/>
      </c>
      <c r="J1868" s="2">
        <f>IFERROR(__xludf.DUMMYFUNCTION("""COMPUTED_VALUE"""),0.0)</f>
        <v>0</v>
      </c>
      <c r="K1868" s="5" t="str">
        <f>IFERROR(__xludf.DUMMYFUNCTION("""COMPUTED_VALUE"""),"")</f>
        <v/>
      </c>
      <c r="L1868" t="str">
        <f>IFERROR(__xludf.DUMMYFUNCTION("""COMPUTED_VALUE"""),"")</f>
        <v/>
      </c>
      <c r="M1868" t="str">
        <f>IFERROR(__xludf.DUMMYFUNCTION("""COMPUTED_VALUE"""),"")</f>
        <v/>
      </c>
      <c r="N1868" t="str">
        <f>IFERROR(__xludf.DUMMYFUNCTION("""COMPUTED_VALUE"""),"")</f>
        <v/>
      </c>
      <c r="O1868" t="str">
        <f>IFERROR(__xludf.DUMMYFUNCTION("""COMPUTED_VALUE"""),"")</f>
        <v/>
      </c>
      <c r="P1868" t="str">
        <f>IFERROR(__xludf.DUMMYFUNCTION("""COMPUTED_VALUE"""),"ID ")</f>
        <v>ID </v>
      </c>
    </row>
    <row r="1869">
      <c r="A1869" s="6" t="str">
        <f>IFERROR(__xludf.DUMMYFUNCTION("""COMPUTED_VALUE"""),"")</f>
        <v/>
      </c>
      <c r="C1869" t="str">
        <f>IFERROR(__xludf.DUMMYFUNCTION("""COMPUTED_VALUE"""),"")</f>
        <v/>
      </c>
      <c r="D1869" t="str">
        <f>IFERROR(__xludf.DUMMYFUNCTION("""COMPUTED_VALUE"""),"")</f>
        <v/>
      </c>
      <c r="E1869" t="str">
        <f>IFERROR(__xludf.DUMMYFUNCTION("""COMPUTED_VALUE"""),"")</f>
        <v/>
      </c>
      <c r="F1869" t="str">
        <f>IFERROR(__xludf.DUMMYFUNCTION("""COMPUTED_VALUE"""),"")</f>
        <v/>
      </c>
      <c r="G1869" t="str">
        <f>IFERROR(__xludf.DUMMYFUNCTION("""COMPUTED_VALUE"""),"")</f>
        <v/>
      </c>
      <c r="H1869" s="2" t="str">
        <f>IFERROR(__xludf.DUMMYFUNCTION("""COMPUTED_VALUE"""),"")</f>
        <v/>
      </c>
      <c r="I1869" s="2" t="str">
        <f>IFERROR(__xludf.DUMMYFUNCTION("""COMPUTED_VALUE"""),"")</f>
        <v/>
      </c>
      <c r="J1869" s="2">
        <f>IFERROR(__xludf.DUMMYFUNCTION("""COMPUTED_VALUE"""),0.0)</f>
        <v>0</v>
      </c>
      <c r="K1869" s="5" t="str">
        <f>IFERROR(__xludf.DUMMYFUNCTION("""COMPUTED_VALUE"""),"")</f>
        <v/>
      </c>
      <c r="L1869" t="str">
        <f>IFERROR(__xludf.DUMMYFUNCTION("""COMPUTED_VALUE"""),"")</f>
        <v/>
      </c>
      <c r="M1869" t="str">
        <f>IFERROR(__xludf.DUMMYFUNCTION("""COMPUTED_VALUE"""),"")</f>
        <v/>
      </c>
      <c r="N1869" t="str">
        <f>IFERROR(__xludf.DUMMYFUNCTION("""COMPUTED_VALUE"""),"")</f>
        <v/>
      </c>
      <c r="O1869" t="str">
        <f>IFERROR(__xludf.DUMMYFUNCTION("""COMPUTED_VALUE"""),"")</f>
        <v/>
      </c>
      <c r="P1869" t="str">
        <f>IFERROR(__xludf.DUMMYFUNCTION("""COMPUTED_VALUE"""),"ID ")</f>
        <v>ID </v>
      </c>
    </row>
    <row r="1870">
      <c r="A1870" s="6" t="str">
        <f>IFERROR(__xludf.DUMMYFUNCTION("""COMPUTED_VALUE"""),"")</f>
        <v/>
      </c>
      <c r="C1870" t="str">
        <f>IFERROR(__xludf.DUMMYFUNCTION("""COMPUTED_VALUE"""),"")</f>
        <v/>
      </c>
      <c r="D1870" t="str">
        <f>IFERROR(__xludf.DUMMYFUNCTION("""COMPUTED_VALUE"""),"")</f>
        <v/>
      </c>
      <c r="E1870" t="str">
        <f>IFERROR(__xludf.DUMMYFUNCTION("""COMPUTED_VALUE"""),"")</f>
        <v/>
      </c>
      <c r="F1870" t="str">
        <f>IFERROR(__xludf.DUMMYFUNCTION("""COMPUTED_VALUE"""),"")</f>
        <v/>
      </c>
      <c r="G1870" t="str">
        <f>IFERROR(__xludf.DUMMYFUNCTION("""COMPUTED_VALUE"""),"")</f>
        <v/>
      </c>
      <c r="H1870" s="2" t="str">
        <f>IFERROR(__xludf.DUMMYFUNCTION("""COMPUTED_VALUE"""),"")</f>
        <v/>
      </c>
      <c r="I1870" s="2" t="str">
        <f>IFERROR(__xludf.DUMMYFUNCTION("""COMPUTED_VALUE"""),"")</f>
        <v/>
      </c>
      <c r="J1870" s="2">
        <f>IFERROR(__xludf.DUMMYFUNCTION("""COMPUTED_VALUE"""),0.0)</f>
        <v>0</v>
      </c>
      <c r="K1870" s="5" t="str">
        <f>IFERROR(__xludf.DUMMYFUNCTION("""COMPUTED_VALUE"""),"")</f>
        <v/>
      </c>
      <c r="L1870" t="str">
        <f>IFERROR(__xludf.DUMMYFUNCTION("""COMPUTED_VALUE"""),"")</f>
        <v/>
      </c>
      <c r="M1870" t="str">
        <f>IFERROR(__xludf.DUMMYFUNCTION("""COMPUTED_VALUE"""),"")</f>
        <v/>
      </c>
      <c r="N1870" t="str">
        <f>IFERROR(__xludf.DUMMYFUNCTION("""COMPUTED_VALUE"""),"")</f>
        <v/>
      </c>
      <c r="O1870" t="str">
        <f>IFERROR(__xludf.DUMMYFUNCTION("""COMPUTED_VALUE"""),"")</f>
        <v/>
      </c>
      <c r="P1870" t="str">
        <f>IFERROR(__xludf.DUMMYFUNCTION("""COMPUTED_VALUE"""),"ID ")</f>
        <v>ID </v>
      </c>
    </row>
    <row r="1871">
      <c r="A1871" s="6" t="str">
        <f>IFERROR(__xludf.DUMMYFUNCTION("""COMPUTED_VALUE"""),"")</f>
        <v/>
      </c>
      <c r="C1871" t="str">
        <f>IFERROR(__xludf.DUMMYFUNCTION("""COMPUTED_VALUE"""),"")</f>
        <v/>
      </c>
      <c r="D1871" t="str">
        <f>IFERROR(__xludf.DUMMYFUNCTION("""COMPUTED_VALUE"""),"")</f>
        <v/>
      </c>
      <c r="E1871" t="str">
        <f>IFERROR(__xludf.DUMMYFUNCTION("""COMPUTED_VALUE"""),"")</f>
        <v/>
      </c>
      <c r="F1871" t="str">
        <f>IFERROR(__xludf.DUMMYFUNCTION("""COMPUTED_VALUE"""),"")</f>
        <v/>
      </c>
      <c r="G1871" t="str">
        <f>IFERROR(__xludf.DUMMYFUNCTION("""COMPUTED_VALUE"""),"")</f>
        <v/>
      </c>
      <c r="H1871" s="2" t="str">
        <f>IFERROR(__xludf.DUMMYFUNCTION("""COMPUTED_VALUE"""),"")</f>
        <v/>
      </c>
      <c r="I1871" s="2" t="str">
        <f>IFERROR(__xludf.DUMMYFUNCTION("""COMPUTED_VALUE"""),"")</f>
        <v/>
      </c>
      <c r="J1871" s="2">
        <f>IFERROR(__xludf.DUMMYFUNCTION("""COMPUTED_VALUE"""),0.0)</f>
        <v>0</v>
      </c>
      <c r="K1871" s="5" t="str">
        <f>IFERROR(__xludf.DUMMYFUNCTION("""COMPUTED_VALUE"""),"")</f>
        <v/>
      </c>
      <c r="L1871" t="str">
        <f>IFERROR(__xludf.DUMMYFUNCTION("""COMPUTED_VALUE"""),"")</f>
        <v/>
      </c>
      <c r="M1871" t="str">
        <f>IFERROR(__xludf.DUMMYFUNCTION("""COMPUTED_VALUE"""),"")</f>
        <v/>
      </c>
      <c r="N1871" t="str">
        <f>IFERROR(__xludf.DUMMYFUNCTION("""COMPUTED_VALUE"""),"")</f>
        <v/>
      </c>
      <c r="O1871" t="str">
        <f>IFERROR(__xludf.DUMMYFUNCTION("""COMPUTED_VALUE"""),"")</f>
        <v/>
      </c>
      <c r="P1871" t="str">
        <f>IFERROR(__xludf.DUMMYFUNCTION("""COMPUTED_VALUE"""),"ID ")</f>
        <v>ID </v>
      </c>
    </row>
    <row r="1872">
      <c r="A1872" s="6" t="str">
        <f>IFERROR(__xludf.DUMMYFUNCTION("""COMPUTED_VALUE"""),"")</f>
        <v/>
      </c>
      <c r="C1872" t="str">
        <f>IFERROR(__xludf.DUMMYFUNCTION("""COMPUTED_VALUE"""),"")</f>
        <v/>
      </c>
      <c r="D1872" t="str">
        <f>IFERROR(__xludf.DUMMYFUNCTION("""COMPUTED_VALUE"""),"")</f>
        <v/>
      </c>
      <c r="E1872" t="str">
        <f>IFERROR(__xludf.DUMMYFUNCTION("""COMPUTED_VALUE"""),"")</f>
        <v/>
      </c>
      <c r="F1872" t="str">
        <f>IFERROR(__xludf.DUMMYFUNCTION("""COMPUTED_VALUE"""),"")</f>
        <v/>
      </c>
      <c r="G1872" t="str">
        <f>IFERROR(__xludf.DUMMYFUNCTION("""COMPUTED_VALUE"""),"")</f>
        <v/>
      </c>
      <c r="H1872" s="2" t="str">
        <f>IFERROR(__xludf.DUMMYFUNCTION("""COMPUTED_VALUE"""),"")</f>
        <v/>
      </c>
      <c r="I1872" s="2" t="str">
        <f>IFERROR(__xludf.DUMMYFUNCTION("""COMPUTED_VALUE"""),"")</f>
        <v/>
      </c>
      <c r="J1872" s="2">
        <f>IFERROR(__xludf.DUMMYFUNCTION("""COMPUTED_VALUE"""),0.0)</f>
        <v>0</v>
      </c>
      <c r="K1872" s="5" t="str">
        <f>IFERROR(__xludf.DUMMYFUNCTION("""COMPUTED_VALUE"""),"")</f>
        <v/>
      </c>
      <c r="L1872" t="str">
        <f>IFERROR(__xludf.DUMMYFUNCTION("""COMPUTED_VALUE"""),"")</f>
        <v/>
      </c>
      <c r="M1872" t="str">
        <f>IFERROR(__xludf.DUMMYFUNCTION("""COMPUTED_VALUE"""),"")</f>
        <v/>
      </c>
      <c r="N1872" t="str">
        <f>IFERROR(__xludf.DUMMYFUNCTION("""COMPUTED_VALUE"""),"")</f>
        <v/>
      </c>
      <c r="O1872" t="str">
        <f>IFERROR(__xludf.DUMMYFUNCTION("""COMPUTED_VALUE"""),"")</f>
        <v/>
      </c>
      <c r="P1872" t="str">
        <f>IFERROR(__xludf.DUMMYFUNCTION("""COMPUTED_VALUE"""),"ID ")</f>
        <v>ID </v>
      </c>
    </row>
    <row r="1873">
      <c r="A1873" s="6" t="str">
        <f>IFERROR(__xludf.DUMMYFUNCTION("""COMPUTED_VALUE"""),"")</f>
        <v/>
      </c>
      <c r="C1873" t="str">
        <f>IFERROR(__xludf.DUMMYFUNCTION("""COMPUTED_VALUE"""),"")</f>
        <v/>
      </c>
      <c r="D1873" t="str">
        <f>IFERROR(__xludf.DUMMYFUNCTION("""COMPUTED_VALUE"""),"")</f>
        <v/>
      </c>
      <c r="E1873" t="str">
        <f>IFERROR(__xludf.DUMMYFUNCTION("""COMPUTED_VALUE"""),"")</f>
        <v/>
      </c>
      <c r="F1873" t="str">
        <f>IFERROR(__xludf.DUMMYFUNCTION("""COMPUTED_VALUE"""),"")</f>
        <v/>
      </c>
      <c r="G1873" t="str">
        <f>IFERROR(__xludf.DUMMYFUNCTION("""COMPUTED_VALUE"""),"")</f>
        <v/>
      </c>
      <c r="H1873" s="2" t="str">
        <f>IFERROR(__xludf.DUMMYFUNCTION("""COMPUTED_VALUE"""),"")</f>
        <v/>
      </c>
      <c r="I1873" s="2" t="str">
        <f>IFERROR(__xludf.DUMMYFUNCTION("""COMPUTED_VALUE"""),"")</f>
        <v/>
      </c>
      <c r="J1873" s="2">
        <f>IFERROR(__xludf.DUMMYFUNCTION("""COMPUTED_VALUE"""),0.0)</f>
        <v>0</v>
      </c>
      <c r="K1873" s="5" t="str">
        <f>IFERROR(__xludf.DUMMYFUNCTION("""COMPUTED_VALUE"""),"")</f>
        <v/>
      </c>
      <c r="L1873" t="str">
        <f>IFERROR(__xludf.DUMMYFUNCTION("""COMPUTED_VALUE"""),"")</f>
        <v/>
      </c>
      <c r="M1873" t="str">
        <f>IFERROR(__xludf.DUMMYFUNCTION("""COMPUTED_VALUE"""),"")</f>
        <v/>
      </c>
      <c r="N1873" t="str">
        <f>IFERROR(__xludf.DUMMYFUNCTION("""COMPUTED_VALUE"""),"")</f>
        <v/>
      </c>
      <c r="O1873" t="str">
        <f>IFERROR(__xludf.DUMMYFUNCTION("""COMPUTED_VALUE"""),"")</f>
        <v/>
      </c>
      <c r="P1873" t="str">
        <f>IFERROR(__xludf.DUMMYFUNCTION("""COMPUTED_VALUE"""),"ID ")</f>
        <v>ID </v>
      </c>
    </row>
    <row r="1874">
      <c r="A1874" s="6" t="str">
        <f>IFERROR(__xludf.DUMMYFUNCTION("""COMPUTED_VALUE"""),"")</f>
        <v/>
      </c>
      <c r="C1874" t="str">
        <f>IFERROR(__xludf.DUMMYFUNCTION("""COMPUTED_VALUE"""),"")</f>
        <v/>
      </c>
      <c r="D1874" t="str">
        <f>IFERROR(__xludf.DUMMYFUNCTION("""COMPUTED_VALUE"""),"")</f>
        <v/>
      </c>
      <c r="E1874" t="str">
        <f>IFERROR(__xludf.DUMMYFUNCTION("""COMPUTED_VALUE"""),"")</f>
        <v/>
      </c>
      <c r="F1874" t="str">
        <f>IFERROR(__xludf.DUMMYFUNCTION("""COMPUTED_VALUE"""),"")</f>
        <v/>
      </c>
      <c r="G1874" t="str">
        <f>IFERROR(__xludf.DUMMYFUNCTION("""COMPUTED_VALUE"""),"")</f>
        <v/>
      </c>
      <c r="H1874" s="2" t="str">
        <f>IFERROR(__xludf.DUMMYFUNCTION("""COMPUTED_VALUE"""),"")</f>
        <v/>
      </c>
      <c r="I1874" s="2" t="str">
        <f>IFERROR(__xludf.DUMMYFUNCTION("""COMPUTED_VALUE"""),"")</f>
        <v/>
      </c>
      <c r="J1874" s="2">
        <f>IFERROR(__xludf.DUMMYFUNCTION("""COMPUTED_VALUE"""),0.0)</f>
        <v>0</v>
      </c>
      <c r="K1874" s="5" t="str">
        <f>IFERROR(__xludf.DUMMYFUNCTION("""COMPUTED_VALUE"""),"")</f>
        <v/>
      </c>
      <c r="L1874" t="str">
        <f>IFERROR(__xludf.DUMMYFUNCTION("""COMPUTED_VALUE"""),"")</f>
        <v/>
      </c>
      <c r="M1874" t="str">
        <f>IFERROR(__xludf.DUMMYFUNCTION("""COMPUTED_VALUE"""),"")</f>
        <v/>
      </c>
      <c r="N1874" t="str">
        <f>IFERROR(__xludf.DUMMYFUNCTION("""COMPUTED_VALUE"""),"")</f>
        <v/>
      </c>
      <c r="O1874" t="str">
        <f>IFERROR(__xludf.DUMMYFUNCTION("""COMPUTED_VALUE"""),"")</f>
        <v/>
      </c>
      <c r="P1874" t="str">
        <f>IFERROR(__xludf.DUMMYFUNCTION("""COMPUTED_VALUE"""),"ID ")</f>
        <v>ID </v>
      </c>
    </row>
    <row r="1875">
      <c r="A1875" s="6" t="str">
        <f>IFERROR(__xludf.DUMMYFUNCTION("""COMPUTED_VALUE"""),"")</f>
        <v/>
      </c>
      <c r="C1875" t="str">
        <f>IFERROR(__xludf.DUMMYFUNCTION("""COMPUTED_VALUE"""),"")</f>
        <v/>
      </c>
      <c r="D1875" t="str">
        <f>IFERROR(__xludf.DUMMYFUNCTION("""COMPUTED_VALUE"""),"")</f>
        <v/>
      </c>
      <c r="E1875" t="str">
        <f>IFERROR(__xludf.DUMMYFUNCTION("""COMPUTED_VALUE"""),"")</f>
        <v/>
      </c>
      <c r="F1875" t="str">
        <f>IFERROR(__xludf.DUMMYFUNCTION("""COMPUTED_VALUE"""),"")</f>
        <v/>
      </c>
      <c r="G1875" t="str">
        <f>IFERROR(__xludf.DUMMYFUNCTION("""COMPUTED_VALUE"""),"")</f>
        <v/>
      </c>
      <c r="H1875" s="2" t="str">
        <f>IFERROR(__xludf.DUMMYFUNCTION("""COMPUTED_VALUE"""),"")</f>
        <v/>
      </c>
      <c r="I1875" s="2" t="str">
        <f>IFERROR(__xludf.DUMMYFUNCTION("""COMPUTED_VALUE"""),"")</f>
        <v/>
      </c>
      <c r="J1875" s="2">
        <f>IFERROR(__xludf.DUMMYFUNCTION("""COMPUTED_VALUE"""),0.0)</f>
        <v>0</v>
      </c>
      <c r="K1875" s="5" t="str">
        <f>IFERROR(__xludf.DUMMYFUNCTION("""COMPUTED_VALUE"""),"")</f>
        <v/>
      </c>
      <c r="L1875" t="str">
        <f>IFERROR(__xludf.DUMMYFUNCTION("""COMPUTED_VALUE"""),"")</f>
        <v/>
      </c>
      <c r="M1875" t="str">
        <f>IFERROR(__xludf.DUMMYFUNCTION("""COMPUTED_VALUE"""),"")</f>
        <v/>
      </c>
      <c r="N1875" t="str">
        <f>IFERROR(__xludf.DUMMYFUNCTION("""COMPUTED_VALUE"""),"")</f>
        <v/>
      </c>
      <c r="O1875" t="str">
        <f>IFERROR(__xludf.DUMMYFUNCTION("""COMPUTED_VALUE"""),"")</f>
        <v/>
      </c>
      <c r="P1875" t="str">
        <f>IFERROR(__xludf.DUMMYFUNCTION("""COMPUTED_VALUE"""),"ID ")</f>
        <v>ID </v>
      </c>
    </row>
    <row r="1876">
      <c r="A1876" s="6" t="str">
        <f>IFERROR(__xludf.DUMMYFUNCTION("""COMPUTED_VALUE"""),"")</f>
        <v/>
      </c>
      <c r="C1876" t="str">
        <f>IFERROR(__xludf.DUMMYFUNCTION("""COMPUTED_VALUE"""),"")</f>
        <v/>
      </c>
      <c r="D1876" t="str">
        <f>IFERROR(__xludf.DUMMYFUNCTION("""COMPUTED_VALUE"""),"")</f>
        <v/>
      </c>
      <c r="E1876" t="str">
        <f>IFERROR(__xludf.DUMMYFUNCTION("""COMPUTED_VALUE"""),"")</f>
        <v/>
      </c>
      <c r="F1876" t="str">
        <f>IFERROR(__xludf.DUMMYFUNCTION("""COMPUTED_VALUE"""),"")</f>
        <v/>
      </c>
      <c r="G1876" t="str">
        <f>IFERROR(__xludf.DUMMYFUNCTION("""COMPUTED_VALUE"""),"")</f>
        <v/>
      </c>
      <c r="H1876" s="2" t="str">
        <f>IFERROR(__xludf.DUMMYFUNCTION("""COMPUTED_VALUE"""),"")</f>
        <v/>
      </c>
      <c r="I1876" s="2" t="str">
        <f>IFERROR(__xludf.DUMMYFUNCTION("""COMPUTED_VALUE"""),"")</f>
        <v/>
      </c>
      <c r="J1876" s="2">
        <f>IFERROR(__xludf.DUMMYFUNCTION("""COMPUTED_VALUE"""),0.0)</f>
        <v>0</v>
      </c>
      <c r="K1876" s="5" t="str">
        <f>IFERROR(__xludf.DUMMYFUNCTION("""COMPUTED_VALUE"""),"")</f>
        <v/>
      </c>
      <c r="L1876" t="str">
        <f>IFERROR(__xludf.DUMMYFUNCTION("""COMPUTED_VALUE"""),"")</f>
        <v/>
      </c>
      <c r="M1876" t="str">
        <f>IFERROR(__xludf.DUMMYFUNCTION("""COMPUTED_VALUE"""),"")</f>
        <v/>
      </c>
      <c r="N1876" t="str">
        <f>IFERROR(__xludf.DUMMYFUNCTION("""COMPUTED_VALUE"""),"")</f>
        <v/>
      </c>
      <c r="O1876" t="str">
        <f>IFERROR(__xludf.DUMMYFUNCTION("""COMPUTED_VALUE"""),"")</f>
        <v/>
      </c>
      <c r="P1876" t="str">
        <f>IFERROR(__xludf.DUMMYFUNCTION("""COMPUTED_VALUE"""),"ID ")</f>
        <v>ID </v>
      </c>
    </row>
    <row r="1877">
      <c r="A1877" s="6" t="str">
        <f>IFERROR(__xludf.DUMMYFUNCTION("""COMPUTED_VALUE"""),"")</f>
        <v/>
      </c>
      <c r="C1877" t="str">
        <f>IFERROR(__xludf.DUMMYFUNCTION("""COMPUTED_VALUE"""),"")</f>
        <v/>
      </c>
      <c r="D1877" t="str">
        <f>IFERROR(__xludf.DUMMYFUNCTION("""COMPUTED_VALUE"""),"")</f>
        <v/>
      </c>
      <c r="E1877" t="str">
        <f>IFERROR(__xludf.DUMMYFUNCTION("""COMPUTED_VALUE"""),"")</f>
        <v/>
      </c>
      <c r="F1877" t="str">
        <f>IFERROR(__xludf.DUMMYFUNCTION("""COMPUTED_VALUE"""),"")</f>
        <v/>
      </c>
      <c r="G1877" t="str">
        <f>IFERROR(__xludf.DUMMYFUNCTION("""COMPUTED_VALUE"""),"")</f>
        <v/>
      </c>
      <c r="H1877" s="2" t="str">
        <f>IFERROR(__xludf.DUMMYFUNCTION("""COMPUTED_VALUE"""),"")</f>
        <v/>
      </c>
      <c r="I1877" s="2" t="str">
        <f>IFERROR(__xludf.DUMMYFUNCTION("""COMPUTED_VALUE"""),"")</f>
        <v/>
      </c>
      <c r="J1877" s="2">
        <f>IFERROR(__xludf.DUMMYFUNCTION("""COMPUTED_VALUE"""),0.0)</f>
        <v>0</v>
      </c>
      <c r="K1877" s="5" t="str">
        <f>IFERROR(__xludf.DUMMYFUNCTION("""COMPUTED_VALUE"""),"")</f>
        <v/>
      </c>
      <c r="L1877" t="str">
        <f>IFERROR(__xludf.DUMMYFUNCTION("""COMPUTED_VALUE"""),"")</f>
        <v/>
      </c>
      <c r="M1877" t="str">
        <f>IFERROR(__xludf.DUMMYFUNCTION("""COMPUTED_VALUE"""),"")</f>
        <v/>
      </c>
      <c r="N1877" t="str">
        <f>IFERROR(__xludf.DUMMYFUNCTION("""COMPUTED_VALUE"""),"")</f>
        <v/>
      </c>
      <c r="O1877" t="str">
        <f>IFERROR(__xludf.DUMMYFUNCTION("""COMPUTED_VALUE"""),"")</f>
        <v/>
      </c>
      <c r="P1877" t="str">
        <f>IFERROR(__xludf.DUMMYFUNCTION("""COMPUTED_VALUE"""),"ID ")</f>
        <v>ID </v>
      </c>
    </row>
    <row r="1878">
      <c r="A1878" s="6" t="str">
        <f>IFERROR(__xludf.DUMMYFUNCTION("""COMPUTED_VALUE"""),"")</f>
        <v/>
      </c>
      <c r="C1878" t="str">
        <f>IFERROR(__xludf.DUMMYFUNCTION("""COMPUTED_VALUE"""),"")</f>
        <v/>
      </c>
      <c r="D1878" t="str">
        <f>IFERROR(__xludf.DUMMYFUNCTION("""COMPUTED_VALUE"""),"")</f>
        <v/>
      </c>
      <c r="E1878" t="str">
        <f>IFERROR(__xludf.DUMMYFUNCTION("""COMPUTED_VALUE"""),"")</f>
        <v/>
      </c>
      <c r="F1878" t="str">
        <f>IFERROR(__xludf.DUMMYFUNCTION("""COMPUTED_VALUE"""),"")</f>
        <v/>
      </c>
      <c r="G1878" t="str">
        <f>IFERROR(__xludf.DUMMYFUNCTION("""COMPUTED_VALUE"""),"")</f>
        <v/>
      </c>
      <c r="H1878" s="2" t="str">
        <f>IFERROR(__xludf.DUMMYFUNCTION("""COMPUTED_VALUE"""),"")</f>
        <v/>
      </c>
      <c r="I1878" s="2" t="str">
        <f>IFERROR(__xludf.DUMMYFUNCTION("""COMPUTED_VALUE"""),"")</f>
        <v/>
      </c>
      <c r="J1878" s="2">
        <f>IFERROR(__xludf.DUMMYFUNCTION("""COMPUTED_VALUE"""),0.0)</f>
        <v>0</v>
      </c>
      <c r="K1878" s="5" t="str">
        <f>IFERROR(__xludf.DUMMYFUNCTION("""COMPUTED_VALUE"""),"")</f>
        <v/>
      </c>
      <c r="L1878" t="str">
        <f>IFERROR(__xludf.DUMMYFUNCTION("""COMPUTED_VALUE"""),"")</f>
        <v/>
      </c>
      <c r="M1878" t="str">
        <f>IFERROR(__xludf.DUMMYFUNCTION("""COMPUTED_VALUE"""),"")</f>
        <v/>
      </c>
      <c r="N1878" t="str">
        <f>IFERROR(__xludf.DUMMYFUNCTION("""COMPUTED_VALUE"""),"")</f>
        <v/>
      </c>
      <c r="O1878" t="str">
        <f>IFERROR(__xludf.DUMMYFUNCTION("""COMPUTED_VALUE"""),"")</f>
        <v/>
      </c>
      <c r="P1878" t="str">
        <f>IFERROR(__xludf.DUMMYFUNCTION("""COMPUTED_VALUE"""),"ID ")</f>
        <v>ID </v>
      </c>
    </row>
    <row r="1879">
      <c r="A1879" s="6" t="str">
        <f>IFERROR(__xludf.DUMMYFUNCTION("""COMPUTED_VALUE"""),"")</f>
        <v/>
      </c>
      <c r="C1879" t="str">
        <f>IFERROR(__xludf.DUMMYFUNCTION("""COMPUTED_VALUE"""),"")</f>
        <v/>
      </c>
      <c r="D1879" t="str">
        <f>IFERROR(__xludf.DUMMYFUNCTION("""COMPUTED_VALUE"""),"")</f>
        <v/>
      </c>
      <c r="E1879" t="str">
        <f>IFERROR(__xludf.DUMMYFUNCTION("""COMPUTED_VALUE"""),"")</f>
        <v/>
      </c>
      <c r="F1879" t="str">
        <f>IFERROR(__xludf.DUMMYFUNCTION("""COMPUTED_VALUE"""),"")</f>
        <v/>
      </c>
      <c r="G1879" t="str">
        <f>IFERROR(__xludf.DUMMYFUNCTION("""COMPUTED_VALUE"""),"")</f>
        <v/>
      </c>
      <c r="H1879" s="2" t="str">
        <f>IFERROR(__xludf.DUMMYFUNCTION("""COMPUTED_VALUE"""),"")</f>
        <v/>
      </c>
      <c r="I1879" s="2" t="str">
        <f>IFERROR(__xludf.DUMMYFUNCTION("""COMPUTED_VALUE"""),"")</f>
        <v/>
      </c>
      <c r="J1879" s="2">
        <f>IFERROR(__xludf.DUMMYFUNCTION("""COMPUTED_VALUE"""),0.0)</f>
        <v>0</v>
      </c>
      <c r="K1879" s="5" t="str">
        <f>IFERROR(__xludf.DUMMYFUNCTION("""COMPUTED_VALUE"""),"")</f>
        <v/>
      </c>
      <c r="L1879" t="str">
        <f>IFERROR(__xludf.DUMMYFUNCTION("""COMPUTED_VALUE"""),"")</f>
        <v/>
      </c>
      <c r="M1879" t="str">
        <f>IFERROR(__xludf.DUMMYFUNCTION("""COMPUTED_VALUE"""),"")</f>
        <v/>
      </c>
      <c r="N1879" t="str">
        <f>IFERROR(__xludf.DUMMYFUNCTION("""COMPUTED_VALUE"""),"")</f>
        <v/>
      </c>
      <c r="O1879" t="str">
        <f>IFERROR(__xludf.DUMMYFUNCTION("""COMPUTED_VALUE"""),"")</f>
        <v/>
      </c>
      <c r="P1879" t="str">
        <f>IFERROR(__xludf.DUMMYFUNCTION("""COMPUTED_VALUE"""),"ID ")</f>
        <v>ID </v>
      </c>
    </row>
    <row r="1880">
      <c r="A1880" s="6" t="str">
        <f>IFERROR(__xludf.DUMMYFUNCTION("""COMPUTED_VALUE"""),"")</f>
        <v/>
      </c>
      <c r="C1880" t="str">
        <f>IFERROR(__xludf.DUMMYFUNCTION("""COMPUTED_VALUE"""),"")</f>
        <v/>
      </c>
      <c r="D1880" t="str">
        <f>IFERROR(__xludf.DUMMYFUNCTION("""COMPUTED_VALUE"""),"")</f>
        <v/>
      </c>
      <c r="E1880" t="str">
        <f>IFERROR(__xludf.DUMMYFUNCTION("""COMPUTED_VALUE"""),"")</f>
        <v/>
      </c>
      <c r="F1880" t="str">
        <f>IFERROR(__xludf.DUMMYFUNCTION("""COMPUTED_VALUE"""),"")</f>
        <v/>
      </c>
      <c r="G1880" t="str">
        <f>IFERROR(__xludf.DUMMYFUNCTION("""COMPUTED_VALUE"""),"")</f>
        <v/>
      </c>
      <c r="H1880" s="2" t="str">
        <f>IFERROR(__xludf.DUMMYFUNCTION("""COMPUTED_VALUE"""),"")</f>
        <v/>
      </c>
      <c r="I1880" s="2" t="str">
        <f>IFERROR(__xludf.DUMMYFUNCTION("""COMPUTED_VALUE"""),"")</f>
        <v/>
      </c>
      <c r="J1880" s="2">
        <f>IFERROR(__xludf.DUMMYFUNCTION("""COMPUTED_VALUE"""),0.0)</f>
        <v>0</v>
      </c>
      <c r="K1880" s="5" t="str">
        <f>IFERROR(__xludf.DUMMYFUNCTION("""COMPUTED_VALUE"""),"")</f>
        <v/>
      </c>
      <c r="L1880" t="str">
        <f>IFERROR(__xludf.DUMMYFUNCTION("""COMPUTED_VALUE"""),"")</f>
        <v/>
      </c>
      <c r="M1880" t="str">
        <f>IFERROR(__xludf.DUMMYFUNCTION("""COMPUTED_VALUE"""),"")</f>
        <v/>
      </c>
      <c r="N1880" t="str">
        <f>IFERROR(__xludf.DUMMYFUNCTION("""COMPUTED_VALUE"""),"")</f>
        <v/>
      </c>
      <c r="O1880" t="str">
        <f>IFERROR(__xludf.DUMMYFUNCTION("""COMPUTED_VALUE"""),"")</f>
        <v/>
      </c>
      <c r="P1880" t="str">
        <f>IFERROR(__xludf.DUMMYFUNCTION("""COMPUTED_VALUE"""),"ID ")</f>
        <v>ID </v>
      </c>
    </row>
    <row r="1881">
      <c r="A1881" s="6" t="str">
        <f>IFERROR(__xludf.DUMMYFUNCTION("""COMPUTED_VALUE"""),"")</f>
        <v/>
      </c>
      <c r="C1881" t="str">
        <f>IFERROR(__xludf.DUMMYFUNCTION("""COMPUTED_VALUE"""),"")</f>
        <v/>
      </c>
      <c r="D1881" t="str">
        <f>IFERROR(__xludf.DUMMYFUNCTION("""COMPUTED_VALUE"""),"")</f>
        <v/>
      </c>
      <c r="E1881" t="str">
        <f>IFERROR(__xludf.DUMMYFUNCTION("""COMPUTED_VALUE"""),"")</f>
        <v/>
      </c>
      <c r="F1881" t="str">
        <f>IFERROR(__xludf.DUMMYFUNCTION("""COMPUTED_VALUE"""),"")</f>
        <v/>
      </c>
      <c r="G1881" t="str">
        <f>IFERROR(__xludf.DUMMYFUNCTION("""COMPUTED_VALUE"""),"")</f>
        <v/>
      </c>
      <c r="H1881" s="2" t="str">
        <f>IFERROR(__xludf.DUMMYFUNCTION("""COMPUTED_VALUE"""),"")</f>
        <v/>
      </c>
      <c r="I1881" s="2" t="str">
        <f>IFERROR(__xludf.DUMMYFUNCTION("""COMPUTED_VALUE"""),"")</f>
        <v/>
      </c>
      <c r="J1881" s="2">
        <f>IFERROR(__xludf.DUMMYFUNCTION("""COMPUTED_VALUE"""),0.0)</f>
        <v>0</v>
      </c>
      <c r="K1881" s="5" t="str">
        <f>IFERROR(__xludf.DUMMYFUNCTION("""COMPUTED_VALUE"""),"")</f>
        <v/>
      </c>
      <c r="L1881" t="str">
        <f>IFERROR(__xludf.DUMMYFUNCTION("""COMPUTED_VALUE"""),"")</f>
        <v/>
      </c>
      <c r="M1881" t="str">
        <f>IFERROR(__xludf.DUMMYFUNCTION("""COMPUTED_VALUE"""),"")</f>
        <v/>
      </c>
      <c r="N1881" t="str">
        <f>IFERROR(__xludf.DUMMYFUNCTION("""COMPUTED_VALUE"""),"")</f>
        <v/>
      </c>
      <c r="O1881" t="str">
        <f>IFERROR(__xludf.DUMMYFUNCTION("""COMPUTED_VALUE"""),"")</f>
        <v/>
      </c>
      <c r="P1881" t="str">
        <f>IFERROR(__xludf.DUMMYFUNCTION("""COMPUTED_VALUE"""),"ID ")</f>
        <v>ID </v>
      </c>
    </row>
    <row r="1882">
      <c r="A1882" s="6" t="str">
        <f>IFERROR(__xludf.DUMMYFUNCTION("""COMPUTED_VALUE"""),"")</f>
        <v/>
      </c>
      <c r="C1882" t="str">
        <f>IFERROR(__xludf.DUMMYFUNCTION("""COMPUTED_VALUE"""),"")</f>
        <v/>
      </c>
      <c r="D1882" t="str">
        <f>IFERROR(__xludf.DUMMYFUNCTION("""COMPUTED_VALUE"""),"")</f>
        <v/>
      </c>
      <c r="E1882" t="str">
        <f>IFERROR(__xludf.DUMMYFUNCTION("""COMPUTED_VALUE"""),"")</f>
        <v/>
      </c>
      <c r="F1882" t="str">
        <f>IFERROR(__xludf.DUMMYFUNCTION("""COMPUTED_VALUE"""),"")</f>
        <v/>
      </c>
      <c r="G1882" t="str">
        <f>IFERROR(__xludf.DUMMYFUNCTION("""COMPUTED_VALUE"""),"")</f>
        <v/>
      </c>
      <c r="H1882" s="2" t="str">
        <f>IFERROR(__xludf.DUMMYFUNCTION("""COMPUTED_VALUE"""),"")</f>
        <v/>
      </c>
      <c r="I1882" s="2" t="str">
        <f>IFERROR(__xludf.DUMMYFUNCTION("""COMPUTED_VALUE"""),"")</f>
        <v/>
      </c>
      <c r="J1882" s="2">
        <f>IFERROR(__xludf.DUMMYFUNCTION("""COMPUTED_VALUE"""),0.0)</f>
        <v>0</v>
      </c>
      <c r="K1882" s="5" t="str">
        <f>IFERROR(__xludf.DUMMYFUNCTION("""COMPUTED_VALUE"""),"")</f>
        <v/>
      </c>
      <c r="L1882" t="str">
        <f>IFERROR(__xludf.DUMMYFUNCTION("""COMPUTED_VALUE"""),"")</f>
        <v/>
      </c>
      <c r="M1882" t="str">
        <f>IFERROR(__xludf.DUMMYFUNCTION("""COMPUTED_VALUE"""),"")</f>
        <v/>
      </c>
      <c r="N1882" t="str">
        <f>IFERROR(__xludf.DUMMYFUNCTION("""COMPUTED_VALUE"""),"")</f>
        <v/>
      </c>
      <c r="O1882" t="str">
        <f>IFERROR(__xludf.DUMMYFUNCTION("""COMPUTED_VALUE"""),"")</f>
        <v/>
      </c>
      <c r="P1882" t="str">
        <f>IFERROR(__xludf.DUMMYFUNCTION("""COMPUTED_VALUE"""),"ID ")</f>
        <v>ID </v>
      </c>
    </row>
    <row r="1883">
      <c r="A1883" s="6" t="str">
        <f>IFERROR(__xludf.DUMMYFUNCTION("""COMPUTED_VALUE"""),"")</f>
        <v/>
      </c>
      <c r="C1883" t="str">
        <f>IFERROR(__xludf.DUMMYFUNCTION("""COMPUTED_VALUE"""),"")</f>
        <v/>
      </c>
      <c r="D1883" t="str">
        <f>IFERROR(__xludf.DUMMYFUNCTION("""COMPUTED_VALUE"""),"")</f>
        <v/>
      </c>
      <c r="E1883" t="str">
        <f>IFERROR(__xludf.DUMMYFUNCTION("""COMPUTED_VALUE"""),"")</f>
        <v/>
      </c>
      <c r="F1883" t="str">
        <f>IFERROR(__xludf.DUMMYFUNCTION("""COMPUTED_VALUE"""),"")</f>
        <v/>
      </c>
      <c r="G1883" t="str">
        <f>IFERROR(__xludf.DUMMYFUNCTION("""COMPUTED_VALUE"""),"")</f>
        <v/>
      </c>
      <c r="H1883" s="2" t="str">
        <f>IFERROR(__xludf.DUMMYFUNCTION("""COMPUTED_VALUE"""),"")</f>
        <v/>
      </c>
      <c r="I1883" s="2" t="str">
        <f>IFERROR(__xludf.DUMMYFUNCTION("""COMPUTED_VALUE"""),"")</f>
        <v/>
      </c>
      <c r="J1883" s="2">
        <f>IFERROR(__xludf.DUMMYFUNCTION("""COMPUTED_VALUE"""),0.0)</f>
        <v>0</v>
      </c>
      <c r="K1883" s="5" t="str">
        <f>IFERROR(__xludf.DUMMYFUNCTION("""COMPUTED_VALUE"""),"")</f>
        <v/>
      </c>
      <c r="L1883" t="str">
        <f>IFERROR(__xludf.DUMMYFUNCTION("""COMPUTED_VALUE"""),"")</f>
        <v/>
      </c>
      <c r="M1883" t="str">
        <f>IFERROR(__xludf.DUMMYFUNCTION("""COMPUTED_VALUE"""),"")</f>
        <v/>
      </c>
      <c r="N1883" t="str">
        <f>IFERROR(__xludf.DUMMYFUNCTION("""COMPUTED_VALUE"""),"")</f>
        <v/>
      </c>
      <c r="O1883" t="str">
        <f>IFERROR(__xludf.DUMMYFUNCTION("""COMPUTED_VALUE"""),"")</f>
        <v/>
      </c>
      <c r="P1883" t="str">
        <f>IFERROR(__xludf.DUMMYFUNCTION("""COMPUTED_VALUE"""),"ID ")</f>
        <v>ID </v>
      </c>
    </row>
    <row r="1884">
      <c r="A1884" s="6" t="str">
        <f>IFERROR(__xludf.DUMMYFUNCTION("""COMPUTED_VALUE"""),"")</f>
        <v/>
      </c>
      <c r="C1884" t="str">
        <f>IFERROR(__xludf.DUMMYFUNCTION("""COMPUTED_VALUE"""),"")</f>
        <v/>
      </c>
      <c r="D1884" t="str">
        <f>IFERROR(__xludf.DUMMYFUNCTION("""COMPUTED_VALUE"""),"")</f>
        <v/>
      </c>
      <c r="E1884" t="str">
        <f>IFERROR(__xludf.DUMMYFUNCTION("""COMPUTED_VALUE"""),"")</f>
        <v/>
      </c>
      <c r="F1884" t="str">
        <f>IFERROR(__xludf.DUMMYFUNCTION("""COMPUTED_VALUE"""),"")</f>
        <v/>
      </c>
      <c r="G1884" t="str">
        <f>IFERROR(__xludf.DUMMYFUNCTION("""COMPUTED_VALUE"""),"")</f>
        <v/>
      </c>
      <c r="H1884" s="2" t="str">
        <f>IFERROR(__xludf.DUMMYFUNCTION("""COMPUTED_VALUE"""),"")</f>
        <v/>
      </c>
      <c r="I1884" s="2" t="str">
        <f>IFERROR(__xludf.DUMMYFUNCTION("""COMPUTED_VALUE"""),"")</f>
        <v/>
      </c>
      <c r="J1884" s="2">
        <f>IFERROR(__xludf.DUMMYFUNCTION("""COMPUTED_VALUE"""),0.0)</f>
        <v>0</v>
      </c>
      <c r="K1884" s="5" t="str">
        <f>IFERROR(__xludf.DUMMYFUNCTION("""COMPUTED_VALUE"""),"")</f>
        <v/>
      </c>
      <c r="L1884" t="str">
        <f>IFERROR(__xludf.DUMMYFUNCTION("""COMPUTED_VALUE"""),"")</f>
        <v/>
      </c>
      <c r="M1884" t="str">
        <f>IFERROR(__xludf.DUMMYFUNCTION("""COMPUTED_VALUE"""),"")</f>
        <v/>
      </c>
      <c r="N1884" t="str">
        <f>IFERROR(__xludf.DUMMYFUNCTION("""COMPUTED_VALUE"""),"")</f>
        <v/>
      </c>
      <c r="O1884" t="str">
        <f>IFERROR(__xludf.DUMMYFUNCTION("""COMPUTED_VALUE"""),"")</f>
        <v/>
      </c>
      <c r="P1884" t="str">
        <f>IFERROR(__xludf.DUMMYFUNCTION("""COMPUTED_VALUE"""),"ID ")</f>
        <v>ID </v>
      </c>
    </row>
    <row r="1885">
      <c r="A1885" s="6" t="str">
        <f>IFERROR(__xludf.DUMMYFUNCTION("""COMPUTED_VALUE"""),"")</f>
        <v/>
      </c>
      <c r="C1885" t="str">
        <f>IFERROR(__xludf.DUMMYFUNCTION("""COMPUTED_VALUE"""),"")</f>
        <v/>
      </c>
      <c r="D1885" t="str">
        <f>IFERROR(__xludf.DUMMYFUNCTION("""COMPUTED_VALUE"""),"")</f>
        <v/>
      </c>
      <c r="E1885" t="str">
        <f>IFERROR(__xludf.DUMMYFUNCTION("""COMPUTED_VALUE"""),"")</f>
        <v/>
      </c>
      <c r="F1885" t="str">
        <f>IFERROR(__xludf.DUMMYFUNCTION("""COMPUTED_VALUE"""),"")</f>
        <v/>
      </c>
      <c r="G1885" t="str">
        <f>IFERROR(__xludf.DUMMYFUNCTION("""COMPUTED_VALUE"""),"")</f>
        <v/>
      </c>
      <c r="H1885" s="2" t="str">
        <f>IFERROR(__xludf.DUMMYFUNCTION("""COMPUTED_VALUE"""),"")</f>
        <v/>
      </c>
      <c r="I1885" s="2" t="str">
        <f>IFERROR(__xludf.DUMMYFUNCTION("""COMPUTED_VALUE"""),"")</f>
        <v/>
      </c>
      <c r="J1885" s="2">
        <f>IFERROR(__xludf.DUMMYFUNCTION("""COMPUTED_VALUE"""),0.0)</f>
        <v>0</v>
      </c>
      <c r="K1885" s="5" t="str">
        <f>IFERROR(__xludf.DUMMYFUNCTION("""COMPUTED_VALUE"""),"")</f>
        <v/>
      </c>
      <c r="L1885" t="str">
        <f>IFERROR(__xludf.DUMMYFUNCTION("""COMPUTED_VALUE"""),"")</f>
        <v/>
      </c>
      <c r="M1885" t="str">
        <f>IFERROR(__xludf.DUMMYFUNCTION("""COMPUTED_VALUE"""),"")</f>
        <v/>
      </c>
      <c r="N1885" t="str">
        <f>IFERROR(__xludf.DUMMYFUNCTION("""COMPUTED_VALUE"""),"")</f>
        <v/>
      </c>
      <c r="O1885" t="str">
        <f>IFERROR(__xludf.DUMMYFUNCTION("""COMPUTED_VALUE"""),"")</f>
        <v/>
      </c>
      <c r="P1885" t="str">
        <f>IFERROR(__xludf.DUMMYFUNCTION("""COMPUTED_VALUE"""),"ID ")</f>
        <v>ID </v>
      </c>
    </row>
    <row r="1886">
      <c r="A1886" s="6" t="str">
        <f>IFERROR(__xludf.DUMMYFUNCTION("""COMPUTED_VALUE"""),"")</f>
        <v/>
      </c>
      <c r="C1886" t="str">
        <f>IFERROR(__xludf.DUMMYFUNCTION("""COMPUTED_VALUE"""),"")</f>
        <v/>
      </c>
      <c r="D1886" t="str">
        <f>IFERROR(__xludf.DUMMYFUNCTION("""COMPUTED_VALUE"""),"")</f>
        <v/>
      </c>
      <c r="E1886" t="str">
        <f>IFERROR(__xludf.DUMMYFUNCTION("""COMPUTED_VALUE"""),"")</f>
        <v/>
      </c>
      <c r="F1886" t="str">
        <f>IFERROR(__xludf.DUMMYFUNCTION("""COMPUTED_VALUE"""),"")</f>
        <v/>
      </c>
      <c r="G1886" t="str">
        <f>IFERROR(__xludf.DUMMYFUNCTION("""COMPUTED_VALUE"""),"")</f>
        <v/>
      </c>
      <c r="H1886" s="2" t="str">
        <f>IFERROR(__xludf.DUMMYFUNCTION("""COMPUTED_VALUE"""),"")</f>
        <v/>
      </c>
      <c r="I1886" s="2" t="str">
        <f>IFERROR(__xludf.DUMMYFUNCTION("""COMPUTED_VALUE"""),"")</f>
        <v/>
      </c>
      <c r="J1886" s="2">
        <f>IFERROR(__xludf.DUMMYFUNCTION("""COMPUTED_VALUE"""),0.0)</f>
        <v>0</v>
      </c>
      <c r="K1886" s="5" t="str">
        <f>IFERROR(__xludf.DUMMYFUNCTION("""COMPUTED_VALUE"""),"")</f>
        <v/>
      </c>
      <c r="L1886" t="str">
        <f>IFERROR(__xludf.DUMMYFUNCTION("""COMPUTED_VALUE"""),"")</f>
        <v/>
      </c>
      <c r="M1886" t="str">
        <f>IFERROR(__xludf.DUMMYFUNCTION("""COMPUTED_VALUE"""),"")</f>
        <v/>
      </c>
      <c r="N1886" t="str">
        <f>IFERROR(__xludf.DUMMYFUNCTION("""COMPUTED_VALUE"""),"")</f>
        <v/>
      </c>
      <c r="O1886" t="str">
        <f>IFERROR(__xludf.DUMMYFUNCTION("""COMPUTED_VALUE"""),"")</f>
        <v/>
      </c>
      <c r="P1886" t="str">
        <f>IFERROR(__xludf.DUMMYFUNCTION("""COMPUTED_VALUE"""),"ID ")</f>
        <v>ID </v>
      </c>
    </row>
    <row r="1887">
      <c r="A1887" s="6" t="str">
        <f>IFERROR(__xludf.DUMMYFUNCTION("""COMPUTED_VALUE"""),"")</f>
        <v/>
      </c>
      <c r="C1887" t="str">
        <f>IFERROR(__xludf.DUMMYFUNCTION("""COMPUTED_VALUE"""),"")</f>
        <v/>
      </c>
      <c r="D1887" t="str">
        <f>IFERROR(__xludf.DUMMYFUNCTION("""COMPUTED_VALUE"""),"")</f>
        <v/>
      </c>
      <c r="E1887" t="str">
        <f>IFERROR(__xludf.DUMMYFUNCTION("""COMPUTED_VALUE"""),"")</f>
        <v/>
      </c>
      <c r="F1887" t="str">
        <f>IFERROR(__xludf.DUMMYFUNCTION("""COMPUTED_VALUE"""),"")</f>
        <v/>
      </c>
      <c r="G1887" t="str">
        <f>IFERROR(__xludf.DUMMYFUNCTION("""COMPUTED_VALUE"""),"")</f>
        <v/>
      </c>
      <c r="H1887" s="2" t="str">
        <f>IFERROR(__xludf.DUMMYFUNCTION("""COMPUTED_VALUE"""),"")</f>
        <v/>
      </c>
      <c r="I1887" s="2" t="str">
        <f>IFERROR(__xludf.DUMMYFUNCTION("""COMPUTED_VALUE"""),"")</f>
        <v/>
      </c>
      <c r="J1887" s="2">
        <f>IFERROR(__xludf.DUMMYFUNCTION("""COMPUTED_VALUE"""),0.0)</f>
        <v>0</v>
      </c>
      <c r="K1887" s="5" t="str">
        <f>IFERROR(__xludf.DUMMYFUNCTION("""COMPUTED_VALUE"""),"")</f>
        <v/>
      </c>
      <c r="L1887" t="str">
        <f>IFERROR(__xludf.DUMMYFUNCTION("""COMPUTED_VALUE"""),"")</f>
        <v/>
      </c>
      <c r="M1887" t="str">
        <f>IFERROR(__xludf.DUMMYFUNCTION("""COMPUTED_VALUE"""),"")</f>
        <v/>
      </c>
      <c r="N1887" t="str">
        <f>IFERROR(__xludf.DUMMYFUNCTION("""COMPUTED_VALUE"""),"")</f>
        <v/>
      </c>
      <c r="O1887" t="str">
        <f>IFERROR(__xludf.DUMMYFUNCTION("""COMPUTED_VALUE"""),"")</f>
        <v/>
      </c>
      <c r="P1887" t="str">
        <f>IFERROR(__xludf.DUMMYFUNCTION("""COMPUTED_VALUE"""),"ID ")</f>
        <v>ID </v>
      </c>
    </row>
    <row r="1888">
      <c r="A1888" s="6" t="str">
        <f>IFERROR(__xludf.DUMMYFUNCTION("""COMPUTED_VALUE"""),"")</f>
        <v/>
      </c>
      <c r="C1888" t="str">
        <f>IFERROR(__xludf.DUMMYFUNCTION("""COMPUTED_VALUE"""),"")</f>
        <v/>
      </c>
      <c r="D1888" t="str">
        <f>IFERROR(__xludf.DUMMYFUNCTION("""COMPUTED_VALUE"""),"")</f>
        <v/>
      </c>
      <c r="E1888" t="str">
        <f>IFERROR(__xludf.DUMMYFUNCTION("""COMPUTED_VALUE"""),"")</f>
        <v/>
      </c>
      <c r="F1888" t="str">
        <f>IFERROR(__xludf.DUMMYFUNCTION("""COMPUTED_VALUE"""),"")</f>
        <v/>
      </c>
      <c r="G1888" t="str">
        <f>IFERROR(__xludf.DUMMYFUNCTION("""COMPUTED_VALUE"""),"")</f>
        <v/>
      </c>
      <c r="H1888" s="2" t="str">
        <f>IFERROR(__xludf.DUMMYFUNCTION("""COMPUTED_VALUE"""),"")</f>
        <v/>
      </c>
      <c r="I1888" s="2" t="str">
        <f>IFERROR(__xludf.DUMMYFUNCTION("""COMPUTED_VALUE"""),"")</f>
        <v/>
      </c>
      <c r="J1888" s="2">
        <f>IFERROR(__xludf.DUMMYFUNCTION("""COMPUTED_VALUE"""),0.0)</f>
        <v>0</v>
      </c>
      <c r="K1888" s="5" t="str">
        <f>IFERROR(__xludf.DUMMYFUNCTION("""COMPUTED_VALUE"""),"")</f>
        <v/>
      </c>
      <c r="L1888" t="str">
        <f>IFERROR(__xludf.DUMMYFUNCTION("""COMPUTED_VALUE"""),"")</f>
        <v/>
      </c>
      <c r="M1888" t="str">
        <f>IFERROR(__xludf.DUMMYFUNCTION("""COMPUTED_VALUE"""),"")</f>
        <v/>
      </c>
      <c r="N1888" t="str">
        <f>IFERROR(__xludf.DUMMYFUNCTION("""COMPUTED_VALUE"""),"")</f>
        <v/>
      </c>
      <c r="O1888" t="str">
        <f>IFERROR(__xludf.DUMMYFUNCTION("""COMPUTED_VALUE"""),"")</f>
        <v/>
      </c>
      <c r="P1888" t="str">
        <f>IFERROR(__xludf.DUMMYFUNCTION("""COMPUTED_VALUE"""),"ID ")</f>
        <v>ID </v>
      </c>
    </row>
    <row r="1889">
      <c r="A1889" s="6" t="str">
        <f>IFERROR(__xludf.DUMMYFUNCTION("""COMPUTED_VALUE"""),"")</f>
        <v/>
      </c>
      <c r="C1889" t="str">
        <f>IFERROR(__xludf.DUMMYFUNCTION("""COMPUTED_VALUE"""),"")</f>
        <v/>
      </c>
      <c r="D1889" t="str">
        <f>IFERROR(__xludf.DUMMYFUNCTION("""COMPUTED_VALUE"""),"")</f>
        <v/>
      </c>
      <c r="E1889" t="str">
        <f>IFERROR(__xludf.DUMMYFUNCTION("""COMPUTED_VALUE"""),"")</f>
        <v/>
      </c>
      <c r="F1889" t="str">
        <f>IFERROR(__xludf.DUMMYFUNCTION("""COMPUTED_VALUE"""),"")</f>
        <v/>
      </c>
      <c r="G1889" t="str">
        <f>IFERROR(__xludf.DUMMYFUNCTION("""COMPUTED_VALUE"""),"")</f>
        <v/>
      </c>
      <c r="H1889" s="2" t="str">
        <f>IFERROR(__xludf.DUMMYFUNCTION("""COMPUTED_VALUE"""),"")</f>
        <v/>
      </c>
      <c r="I1889" s="2" t="str">
        <f>IFERROR(__xludf.DUMMYFUNCTION("""COMPUTED_VALUE"""),"")</f>
        <v/>
      </c>
      <c r="J1889" s="2">
        <f>IFERROR(__xludf.DUMMYFUNCTION("""COMPUTED_VALUE"""),0.0)</f>
        <v>0</v>
      </c>
      <c r="K1889" s="5" t="str">
        <f>IFERROR(__xludf.DUMMYFUNCTION("""COMPUTED_VALUE"""),"")</f>
        <v/>
      </c>
      <c r="L1889" t="str">
        <f>IFERROR(__xludf.DUMMYFUNCTION("""COMPUTED_VALUE"""),"")</f>
        <v/>
      </c>
      <c r="M1889" t="str">
        <f>IFERROR(__xludf.DUMMYFUNCTION("""COMPUTED_VALUE"""),"")</f>
        <v/>
      </c>
      <c r="N1889" t="str">
        <f>IFERROR(__xludf.DUMMYFUNCTION("""COMPUTED_VALUE"""),"")</f>
        <v/>
      </c>
      <c r="O1889" t="str">
        <f>IFERROR(__xludf.DUMMYFUNCTION("""COMPUTED_VALUE"""),"")</f>
        <v/>
      </c>
      <c r="P1889" t="str">
        <f>IFERROR(__xludf.DUMMYFUNCTION("""COMPUTED_VALUE"""),"ID ")</f>
        <v>ID </v>
      </c>
    </row>
    <row r="1890">
      <c r="A1890" s="6" t="str">
        <f>IFERROR(__xludf.DUMMYFUNCTION("""COMPUTED_VALUE"""),"")</f>
        <v/>
      </c>
      <c r="C1890" t="str">
        <f>IFERROR(__xludf.DUMMYFUNCTION("""COMPUTED_VALUE"""),"")</f>
        <v/>
      </c>
      <c r="D1890" t="str">
        <f>IFERROR(__xludf.DUMMYFUNCTION("""COMPUTED_VALUE"""),"")</f>
        <v/>
      </c>
      <c r="E1890" t="str">
        <f>IFERROR(__xludf.DUMMYFUNCTION("""COMPUTED_VALUE"""),"")</f>
        <v/>
      </c>
      <c r="F1890" t="str">
        <f>IFERROR(__xludf.DUMMYFUNCTION("""COMPUTED_VALUE"""),"")</f>
        <v/>
      </c>
      <c r="G1890" t="str">
        <f>IFERROR(__xludf.DUMMYFUNCTION("""COMPUTED_VALUE"""),"")</f>
        <v/>
      </c>
      <c r="H1890" s="2" t="str">
        <f>IFERROR(__xludf.DUMMYFUNCTION("""COMPUTED_VALUE"""),"")</f>
        <v/>
      </c>
      <c r="I1890" s="2" t="str">
        <f>IFERROR(__xludf.DUMMYFUNCTION("""COMPUTED_VALUE"""),"")</f>
        <v/>
      </c>
      <c r="J1890" s="2">
        <f>IFERROR(__xludf.DUMMYFUNCTION("""COMPUTED_VALUE"""),0.0)</f>
        <v>0</v>
      </c>
      <c r="K1890" s="5" t="str">
        <f>IFERROR(__xludf.DUMMYFUNCTION("""COMPUTED_VALUE"""),"")</f>
        <v/>
      </c>
      <c r="L1890" t="str">
        <f>IFERROR(__xludf.DUMMYFUNCTION("""COMPUTED_VALUE"""),"")</f>
        <v/>
      </c>
      <c r="M1890" t="str">
        <f>IFERROR(__xludf.DUMMYFUNCTION("""COMPUTED_VALUE"""),"")</f>
        <v/>
      </c>
      <c r="N1890" t="str">
        <f>IFERROR(__xludf.DUMMYFUNCTION("""COMPUTED_VALUE"""),"")</f>
        <v/>
      </c>
      <c r="O1890" t="str">
        <f>IFERROR(__xludf.DUMMYFUNCTION("""COMPUTED_VALUE"""),"")</f>
        <v/>
      </c>
      <c r="P1890" t="str">
        <f>IFERROR(__xludf.DUMMYFUNCTION("""COMPUTED_VALUE"""),"ID ")</f>
        <v>ID </v>
      </c>
    </row>
    <row r="1891">
      <c r="A1891" s="6" t="str">
        <f>IFERROR(__xludf.DUMMYFUNCTION("""COMPUTED_VALUE"""),"")</f>
        <v/>
      </c>
      <c r="C1891" t="str">
        <f>IFERROR(__xludf.DUMMYFUNCTION("""COMPUTED_VALUE"""),"")</f>
        <v/>
      </c>
      <c r="D1891" t="str">
        <f>IFERROR(__xludf.DUMMYFUNCTION("""COMPUTED_VALUE"""),"")</f>
        <v/>
      </c>
      <c r="E1891" t="str">
        <f>IFERROR(__xludf.DUMMYFUNCTION("""COMPUTED_VALUE"""),"")</f>
        <v/>
      </c>
      <c r="F1891" t="str">
        <f>IFERROR(__xludf.DUMMYFUNCTION("""COMPUTED_VALUE"""),"")</f>
        <v/>
      </c>
      <c r="G1891" t="str">
        <f>IFERROR(__xludf.DUMMYFUNCTION("""COMPUTED_VALUE"""),"")</f>
        <v/>
      </c>
      <c r="H1891" s="2" t="str">
        <f>IFERROR(__xludf.DUMMYFUNCTION("""COMPUTED_VALUE"""),"")</f>
        <v/>
      </c>
      <c r="I1891" s="2" t="str">
        <f>IFERROR(__xludf.DUMMYFUNCTION("""COMPUTED_VALUE"""),"")</f>
        <v/>
      </c>
      <c r="J1891" s="2">
        <f>IFERROR(__xludf.DUMMYFUNCTION("""COMPUTED_VALUE"""),0.0)</f>
        <v>0</v>
      </c>
      <c r="K1891" s="5" t="str">
        <f>IFERROR(__xludf.DUMMYFUNCTION("""COMPUTED_VALUE"""),"")</f>
        <v/>
      </c>
      <c r="L1891" t="str">
        <f>IFERROR(__xludf.DUMMYFUNCTION("""COMPUTED_VALUE"""),"")</f>
        <v/>
      </c>
      <c r="M1891" t="str">
        <f>IFERROR(__xludf.DUMMYFUNCTION("""COMPUTED_VALUE"""),"")</f>
        <v/>
      </c>
      <c r="N1891" t="str">
        <f>IFERROR(__xludf.DUMMYFUNCTION("""COMPUTED_VALUE"""),"")</f>
        <v/>
      </c>
      <c r="O1891" t="str">
        <f>IFERROR(__xludf.DUMMYFUNCTION("""COMPUTED_VALUE"""),"")</f>
        <v/>
      </c>
      <c r="P1891" t="str">
        <f>IFERROR(__xludf.DUMMYFUNCTION("""COMPUTED_VALUE"""),"ID ")</f>
        <v>ID </v>
      </c>
    </row>
    <row r="1892">
      <c r="A1892" s="6" t="str">
        <f>IFERROR(__xludf.DUMMYFUNCTION("""COMPUTED_VALUE"""),"")</f>
        <v/>
      </c>
      <c r="C1892" t="str">
        <f>IFERROR(__xludf.DUMMYFUNCTION("""COMPUTED_VALUE"""),"")</f>
        <v/>
      </c>
      <c r="D1892" t="str">
        <f>IFERROR(__xludf.DUMMYFUNCTION("""COMPUTED_VALUE"""),"")</f>
        <v/>
      </c>
      <c r="E1892" t="str">
        <f>IFERROR(__xludf.DUMMYFUNCTION("""COMPUTED_VALUE"""),"")</f>
        <v/>
      </c>
      <c r="F1892" t="str">
        <f>IFERROR(__xludf.DUMMYFUNCTION("""COMPUTED_VALUE"""),"")</f>
        <v/>
      </c>
      <c r="G1892" t="str">
        <f>IFERROR(__xludf.DUMMYFUNCTION("""COMPUTED_VALUE"""),"")</f>
        <v/>
      </c>
      <c r="H1892" s="2" t="str">
        <f>IFERROR(__xludf.DUMMYFUNCTION("""COMPUTED_VALUE"""),"")</f>
        <v/>
      </c>
      <c r="I1892" s="2" t="str">
        <f>IFERROR(__xludf.DUMMYFUNCTION("""COMPUTED_VALUE"""),"")</f>
        <v/>
      </c>
      <c r="J1892" s="2">
        <f>IFERROR(__xludf.DUMMYFUNCTION("""COMPUTED_VALUE"""),0.0)</f>
        <v>0</v>
      </c>
      <c r="K1892" s="5" t="str">
        <f>IFERROR(__xludf.DUMMYFUNCTION("""COMPUTED_VALUE"""),"")</f>
        <v/>
      </c>
      <c r="L1892" t="str">
        <f>IFERROR(__xludf.DUMMYFUNCTION("""COMPUTED_VALUE"""),"")</f>
        <v/>
      </c>
      <c r="M1892" t="str">
        <f>IFERROR(__xludf.DUMMYFUNCTION("""COMPUTED_VALUE"""),"")</f>
        <v/>
      </c>
      <c r="N1892" t="str">
        <f>IFERROR(__xludf.DUMMYFUNCTION("""COMPUTED_VALUE"""),"")</f>
        <v/>
      </c>
      <c r="O1892" t="str">
        <f>IFERROR(__xludf.DUMMYFUNCTION("""COMPUTED_VALUE"""),"")</f>
        <v/>
      </c>
      <c r="P1892" t="str">
        <f>IFERROR(__xludf.DUMMYFUNCTION("""COMPUTED_VALUE"""),"ID ")</f>
        <v>ID </v>
      </c>
    </row>
    <row r="1893">
      <c r="A1893" s="6" t="str">
        <f>IFERROR(__xludf.DUMMYFUNCTION("""COMPUTED_VALUE"""),"")</f>
        <v/>
      </c>
      <c r="C1893" t="str">
        <f>IFERROR(__xludf.DUMMYFUNCTION("""COMPUTED_VALUE"""),"")</f>
        <v/>
      </c>
      <c r="D1893" t="str">
        <f>IFERROR(__xludf.DUMMYFUNCTION("""COMPUTED_VALUE"""),"")</f>
        <v/>
      </c>
      <c r="E1893" t="str">
        <f>IFERROR(__xludf.DUMMYFUNCTION("""COMPUTED_VALUE"""),"")</f>
        <v/>
      </c>
      <c r="F1893" t="str">
        <f>IFERROR(__xludf.DUMMYFUNCTION("""COMPUTED_VALUE"""),"")</f>
        <v/>
      </c>
      <c r="G1893" t="str">
        <f>IFERROR(__xludf.DUMMYFUNCTION("""COMPUTED_VALUE"""),"")</f>
        <v/>
      </c>
      <c r="H1893" s="2" t="str">
        <f>IFERROR(__xludf.DUMMYFUNCTION("""COMPUTED_VALUE"""),"")</f>
        <v/>
      </c>
      <c r="I1893" s="2" t="str">
        <f>IFERROR(__xludf.DUMMYFUNCTION("""COMPUTED_VALUE"""),"")</f>
        <v/>
      </c>
      <c r="J1893" s="2">
        <f>IFERROR(__xludf.DUMMYFUNCTION("""COMPUTED_VALUE"""),0.0)</f>
        <v>0</v>
      </c>
      <c r="K1893" s="5" t="str">
        <f>IFERROR(__xludf.DUMMYFUNCTION("""COMPUTED_VALUE"""),"")</f>
        <v/>
      </c>
      <c r="L1893" t="str">
        <f>IFERROR(__xludf.DUMMYFUNCTION("""COMPUTED_VALUE"""),"")</f>
        <v/>
      </c>
      <c r="M1893" t="str">
        <f>IFERROR(__xludf.DUMMYFUNCTION("""COMPUTED_VALUE"""),"")</f>
        <v/>
      </c>
      <c r="N1893" t="str">
        <f>IFERROR(__xludf.DUMMYFUNCTION("""COMPUTED_VALUE"""),"")</f>
        <v/>
      </c>
      <c r="O1893" t="str">
        <f>IFERROR(__xludf.DUMMYFUNCTION("""COMPUTED_VALUE"""),"")</f>
        <v/>
      </c>
      <c r="P1893" t="str">
        <f>IFERROR(__xludf.DUMMYFUNCTION("""COMPUTED_VALUE"""),"ID ")</f>
        <v>ID </v>
      </c>
    </row>
    <row r="1894">
      <c r="A1894" s="6" t="str">
        <f>IFERROR(__xludf.DUMMYFUNCTION("""COMPUTED_VALUE"""),"")</f>
        <v/>
      </c>
      <c r="C1894" t="str">
        <f>IFERROR(__xludf.DUMMYFUNCTION("""COMPUTED_VALUE"""),"")</f>
        <v/>
      </c>
      <c r="D1894" t="str">
        <f>IFERROR(__xludf.DUMMYFUNCTION("""COMPUTED_VALUE"""),"")</f>
        <v/>
      </c>
      <c r="E1894" t="str">
        <f>IFERROR(__xludf.DUMMYFUNCTION("""COMPUTED_VALUE"""),"")</f>
        <v/>
      </c>
      <c r="F1894" t="str">
        <f>IFERROR(__xludf.DUMMYFUNCTION("""COMPUTED_VALUE"""),"")</f>
        <v/>
      </c>
      <c r="G1894" t="str">
        <f>IFERROR(__xludf.DUMMYFUNCTION("""COMPUTED_VALUE"""),"")</f>
        <v/>
      </c>
      <c r="H1894" s="2" t="str">
        <f>IFERROR(__xludf.DUMMYFUNCTION("""COMPUTED_VALUE"""),"")</f>
        <v/>
      </c>
      <c r="I1894" s="2" t="str">
        <f>IFERROR(__xludf.DUMMYFUNCTION("""COMPUTED_VALUE"""),"")</f>
        <v/>
      </c>
      <c r="J1894" s="2">
        <f>IFERROR(__xludf.DUMMYFUNCTION("""COMPUTED_VALUE"""),0.0)</f>
        <v>0</v>
      </c>
      <c r="K1894" s="5" t="str">
        <f>IFERROR(__xludf.DUMMYFUNCTION("""COMPUTED_VALUE"""),"")</f>
        <v/>
      </c>
      <c r="L1894" t="str">
        <f>IFERROR(__xludf.DUMMYFUNCTION("""COMPUTED_VALUE"""),"")</f>
        <v/>
      </c>
      <c r="M1894" t="str">
        <f>IFERROR(__xludf.DUMMYFUNCTION("""COMPUTED_VALUE"""),"")</f>
        <v/>
      </c>
      <c r="N1894" t="str">
        <f>IFERROR(__xludf.DUMMYFUNCTION("""COMPUTED_VALUE"""),"")</f>
        <v/>
      </c>
      <c r="O1894" t="str">
        <f>IFERROR(__xludf.DUMMYFUNCTION("""COMPUTED_VALUE"""),"")</f>
        <v/>
      </c>
      <c r="P1894" t="str">
        <f>IFERROR(__xludf.DUMMYFUNCTION("""COMPUTED_VALUE"""),"ID ")</f>
        <v>ID </v>
      </c>
    </row>
    <row r="1895">
      <c r="A1895" s="6" t="str">
        <f>IFERROR(__xludf.DUMMYFUNCTION("""COMPUTED_VALUE"""),"")</f>
        <v/>
      </c>
      <c r="C1895" t="str">
        <f>IFERROR(__xludf.DUMMYFUNCTION("""COMPUTED_VALUE"""),"")</f>
        <v/>
      </c>
      <c r="D1895" t="str">
        <f>IFERROR(__xludf.DUMMYFUNCTION("""COMPUTED_VALUE"""),"")</f>
        <v/>
      </c>
      <c r="E1895" t="str">
        <f>IFERROR(__xludf.DUMMYFUNCTION("""COMPUTED_VALUE"""),"")</f>
        <v/>
      </c>
      <c r="F1895" t="str">
        <f>IFERROR(__xludf.DUMMYFUNCTION("""COMPUTED_VALUE"""),"")</f>
        <v/>
      </c>
      <c r="G1895" t="str">
        <f>IFERROR(__xludf.DUMMYFUNCTION("""COMPUTED_VALUE"""),"")</f>
        <v/>
      </c>
      <c r="H1895" s="2" t="str">
        <f>IFERROR(__xludf.DUMMYFUNCTION("""COMPUTED_VALUE"""),"")</f>
        <v/>
      </c>
      <c r="I1895" s="2" t="str">
        <f>IFERROR(__xludf.DUMMYFUNCTION("""COMPUTED_VALUE"""),"")</f>
        <v/>
      </c>
      <c r="J1895" s="2">
        <f>IFERROR(__xludf.DUMMYFUNCTION("""COMPUTED_VALUE"""),0.0)</f>
        <v>0</v>
      </c>
      <c r="K1895" s="5" t="str">
        <f>IFERROR(__xludf.DUMMYFUNCTION("""COMPUTED_VALUE"""),"")</f>
        <v/>
      </c>
      <c r="L1895" t="str">
        <f>IFERROR(__xludf.DUMMYFUNCTION("""COMPUTED_VALUE"""),"")</f>
        <v/>
      </c>
      <c r="M1895" t="str">
        <f>IFERROR(__xludf.DUMMYFUNCTION("""COMPUTED_VALUE"""),"")</f>
        <v/>
      </c>
      <c r="N1895" t="str">
        <f>IFERROR(__xludf.DUMMYFUNCTION("""COMPUTED_VALUE"""),"")</f>
        <v/>
      </c>
      <c r="O1895" t="str">
        <f>IFERROR(__xludf.DUMMYFUNCTION("""COMPUTED_VALUE"""),"")</f>
        <v/>
      </c>
      <c r="P1895" t="str">
        <f>IFERROR(__xludf.DUMMYFUNCTION("""COMPUTED_VALUE"""),"ID ")</f>
        <v>ID </v>
      </c>
    </row>
    <row r="1896">
      <c r="A1896" s="6" t="str">
        <f>IFERROR(__xludf.DUMMYFUNCTION("""COMPUTED_VALUE"""),"")</f>
        <v/>
      </c>
      <c r="C1896" t="str">
        <f>IFERROR(__xludf.DUMMYFUNCTION("""COMPUTED_VALUE"""),"")</f>
        <v/>
      </c>
      <c r="D1896" t="str">
        <f>IFERROR(__xludf.DUMMYFUNCTION("""COMPUTED_VALUE"""),"")</f>
        <v/>
      </c>
      <c r="E1896" t="str">
        <f>IFERROR(__xludf.DUMMYFUNCTION("""COMPUTED_VALUE"""),"")</f>
        <v/>
      </c>
      <c r="F1896" t="str">
        <f>IFERROR(__xludf.DUMMYFUNCTION("""COMPUTED_VALUE"""),"")</f>
        <v/>
      </c>
      <c r="G1896" t="str">
        <f>IFERROR(__xludf.DUMMYFUNCTION("""COMPUTED_VALUE"""),"")</f>
        <v/>
      </c>
      <c r="H1896" s="2" t="str">
        <f>IFERROR(__xludf.DUMMYFUNCTION("""COMPUTED_VALUE"""),"")</f>
        <v/>
      </c>
      <c r="I1896" s="2" t="str">
        <f>IFERROR(__xludf.DUMMYFUNCTION("""COMPUTED_VALUE"""),"")</f>
        <v/>
      </c>
      <c r="J1896" s="2">
        <f>IFERROR(__xludf.DUMMYFUNCTION("""COMPUTED_VALUE"""),0.0)</f>
        <v>0</v>
      </c>
      <c r="K1896" s="5" t="str">
        <f>IFERROR(__xludf.DUMMYFUNCTION("""COMPUTED_VALUE"""),"")</f>
        <v/>
      </c>
      <c r="L1896" t="str">
        <f>IFERROR(__xludf.DUMMYFUNCTION("""COMPUTED_VALUE"""),"")</f>
        <v/>
      </c>
      <c r="M1896" t="str">
        <f>IFERROR(__xludf.DUMMYFUNCTION("""COMPUTED_VALUE"""),"")</f>
        <v/>
      </c>
      <c r="N1896" t="str">
        <f>IFERROR(__xludf.DUMMYFUNCTION("""COMPUTED_VALUE"""),"")</f>
        <v/>
      </c>
      <c r="O1896" t="str">
        <f>IFERROR(__xludf.DUMMYFUNCTION("""COMPUTED_VALUE"""),"")</f>
        <v/>
      </c>
      <c r="P1896" t="str">
        <f>IFERROR(__xludf.DUMMYFUNCTION("""COMPUTED_VALUE"""),"ID ")</f>
        <v>ID </v>
      </c>
    </row>
    <row r="1897">
      <c r="A1897" s="6" t="str">
        <f>IFERROR(__xludf.DUMMYFUNCTION("""COMPUTED_VALUE"""),"")</f>
        <v/>
      </c>
      <c r="C1897" t="str">
        <f>IFERROR(__xludf.DUMMYFUNCTION("""COMPUTED_VALUE"""),"")</f>
        <v/>
      </c>
      <c r="D1897" t="str">
        <f>IFERROR(__xludf.DUMMYFUNCTION("""COMPUTED_VALUE"""),"")</f>
        <v/>
      </c>
      <c r="E1897" t="str">
        <f>IFERROR(__xludf.DUMMYFUNCTION("""COMPUTED_VALUE"""),"")</f>
        <v/>
      </c>
      <c r="F1897" t="str">
        <f>IFERROR(__xludf.DUMMYFUNCTION("""COMPUTED_VALUE"""),"")</f>
        <v/>
      </c>
      <c r="G1897" t="str">
        <f>IFERROR(__xludf.DUMMYFUNCTION("""COMPUTED_VALUE"""),"")</f>
        <v/>
      </c>
      <c r="H1897" s="2" t="str">
        <f>IFERROR(__xludf.DUMMYFUNCTION("""COMPUTED_VALUE"""),"")</f>
        <v/>
      </c>
      <c r="I1897" s="2" t="str">
        <f>IFERROR(__xludf.DUMMYFUNCTION("""COMPUTED_VALUE"""),"")</f>
        <v/>
      </c>
      <c r="J1897" s="2">
        <f>IFERROR(__xludf.DUMMYFUNCTION("""COMPUTED_VALUE"""),0.0)</f>
        <v>0</v>
      </c>
      <c r="K1897" s="5" t="str">
        <f>IFERROR(__xludf.DUMMYFUNCTION("""COMPUTED_VALUE"""),"")</f>
        <v/>
      </c>
      <c r="L1897" t="str">
        <f>IFERROR(__xludf.DUMMYFUNCTION("""COMPUTED_VALUE"""),"")</f>
        <v/>
      </c>
      <c r="M1897" t="str">
        <f>IFERROR(__xludf.DUMMYFUNCTION("""COMPUTED_VALUE"""),"")</f>
        <v/>
      </c>
      <c r="N1897" t="str">
        <f>IFERROR(__xludf.DUMMYFUNCTION("""COMPUTED_VALUE"""),"")</f>
        <v/>
      </c>
      <c r="O1897" t="str">
        <f>IFERROR(__xludf.DUMMYFUNCTION("""COMPUTED_VALUE"""),"")</f>
        <v/>
      </c>
      <c r="P1897" t="str">
        <f>IFERROR(__xludf.DUMMYFUNCTION("""COMPUTED_VALUE"""),"ID ")</f>
        <v>ID </v>
      </c>
    </row>
    <row r="1898">
      <c r="A1898" s="6" t="str">
        <f>IFERROR(__xludf.DUMMYFUNCTION("""COMPUTED_VALUE"""),"")</f>
        <v/>
      </c>
      <c r="C1898" t="str">
        <f>IFERROR(__xludf.DUMMYFUNCTION("""COMPUTED_VALUE"""),"")</f>
        <v/>
      </c>
      <c r="D1898" t="str">
        <f>IFERROR(__xludf.DUMMYFUNCTION("""COMPUTED_VALUE"""),"")</f>
        <v/>
      </c>
      <c r="E1898" t="str">
        <f>IFERROR(__xludf.DUMMYFUNCTION("""COMPUTED_VALUE"""),"")</f>
        <v/>
      </c>
      <c r="F1898" t="str">
        <f>IFERROR(__xludf.DUMMYFUNCTION("""COMPUTED_VALUE"""),"")</f>
        <v/>
      </c>
      <c r="G1898" t="str">
        <f>IFERROR(__xludf.DUMMYFUNCTION("""COMPUTED_VALUE"""),"")</f>
        <v/>
      </c>
      <c r="H1898" s="2" t="str">
        <f>IFERROR(__xludf.DUMMYFUNCTION("""COMPUTED_VALUE"""),"")</f>
        <v/>
      </c>
      <c r="I1898" s="2" t="str">
        <f>IFERROR(__xludf.DUMMYFUNCTION("""COMPUTED_VALUE"""),"")</f>
        <v/>
      </c>
      <c r="J1898" s="2">
        <f>IFERROR(__xludf.DUMMYFUNCTION("""COMPUTED_VALUE"""),0.0)</f>
        <v>0</v>
      </c>
      <c r="K1898" s="5" t="str">
        <f>IFERROR(__xludf.DUMMYFUNCTION("""COMPUTED_VALUE"""),"")</f>
        <v/>
      </c>
      <c r="L1898" t="str">
        <f>IFERROR(__xludf.DUMMYFUNCTION("""COMPUTED_VALUE"""),"")</f>
        <v/>
      </c>
      <c r="M1898" t="str">
        <f>IFERROR(__xludf.DUMMYFUNCTION("""COMPUTED_VALUE"""),"")</f>
        <v/>
      </c>
      <c r="N1898" t="str">
        <f>IFERROR(__xludf.DUMMYFUNCTION("""COMPUTED_VALUE"""),"")</f>
        <v/>
      </c>
      <c r="O1898" t="str">
        <f>IFERROR(__xludf.DUMMYFUNCTION("""COMPUTED_VALUE"""),"")</f>
        <v/>
      </c>
      <c r="P1898" t="str">
        <f>IFERROR(__xludf.DUMMYFUNCTION("""COMPUTED_VALUE"""),"ID ")</f>
        <v>ID </v>
      </c>
    </row>
    <row r="1899">
      <c r="A1899" s="6" t="str">
        <f>IFERROR(__xludf.DUMMYFUNCTION("""COMPUTED_VALUE"""),"")</f>
        <v/>
      </c>
      <c r="C1899" t="str">
        <f>IFERROR(__xludf.DUMMYFUNCTION("""COMPUTED_VALUE"""),"")</f>
        <v/>
      </c>
      <c r="D1899" t="str">
        <f>IFERROR(__xludf.DUMMYFUNCTION("""COMPUTED_VALUE"""),"")</f>
        <v/>
      </c>
      <c r="E1899" t="str">
        <f>IFERROR(__xludf.DUMMYFUNCTION("""COMPUTED_VALUE"""),"")</f>
        <v/>
      </c>
      <c r="F1899" t="str">
        <f>IFERROR(__xludf.DUMMYFUNCTION("""COMPUTED_VALUE"""),"")</f>
        <v/>
      </c>
      <c r="G1899" t="str">
        <f>IFERROR(__xludf.DUMMYFUNCTION("""COMPUTED_VALUE"""),"")</f>
        <v/>
      </c>
      <c r="H1899" s="2" t="str">
        <f>IFERROR(__xludf.DUMMYFUNCTION("""COMPUTED_VALUE"""),"")</f>
        <v/>
      </c>
      <c r="I1899" s="2" t="str">
        <f>IFERROR(__xludf.DUMMYFUNCTION("""COMPUTED_VALUE"""),"")</f>
        <v/>
      </c>
      <c r="J1899" s="2">
        <f>IFERROR(__xludf.DUMMYFUNCTION("""COMPUTED_VALUE"""),0.0)</f>
        <v>0</v>
      </c>
      <c r="K1899" s="5" t="str">
        <f>IFERROR(__xludf.DUMMYFUNCTION("""COMPUTED_VALUE"""),"")</f>
        <v/>
      </c>
      <c r="L1899" t="str">
        <f>IFERROR(__xludf.DUMMYFUNCTION("""COMPUTED_VALUE"""),"")</f>
        <v/>
      </c>
      <c r="M1899" t="str">
        <f>IFERROR(__xludf.DUMMYFUNCTION("""COMPUTED_VALUE"""),"")</f>
        <v/>
      </c>
      <c r="N1899" t="str">
        <f>IFERROR(__xludf.DUMMYFUNCTION("""COMPUTED_VALUE"""),"")</f>
        <v/>
      </c>
      <c r="O1899" t="str">
        <f>IFERROR(__xludf.DUMMYFUNCTION("""COMPUTED_VALUE"""),"")</f>
        <v/>
      </c>
      <c r="P1899" t="str">
        <f>IFERROR(__xludf.DUMMYFUNCTION("""COMPUTED_VALUE"""),"ID ")</f>
        <v>ID </v>
      </c>
    </row>
    <row r="1900">
      <c r="A1900" s="6" t="str">
        <f>IFERROR(__xludf.DUMMYFUNCTION("""COMPUTED_VALUE"""),"")</f>
        <v/>
      </c>
      <c r="C1900" t="str">
        <f>IFERROR(__xludf.DUMMYFUNCTION("""COMPUTED_VALUE"""),"")</f>
        <v/>
      </c>
      <c r="D1900" t="str">
        <f>IFERROR(__xludf.DUMMYFUNCTION("""COMPUTED_VALUE"""),"")</f>
        <v/>
      </c>
      <c r="E1900" t="str">
        <f>IFERROR(__xludf.DUMMYFUNCTION("""COMPUTED_VALUE"""),"")</f>
        <v/>
      </c>
      <c r="F1900" t="str">
        <f>IFERROR(__xludf.DUMMYFUNCTION("""COMPUTED_VALUE"""),"")</f>
        <v/>
      </c>
      <c r="G1900" t="str">
        <f>IFERROR(__xludf.DUMMYFUNCTION("""COMPUTED_VALUE"""),"")</f>
        <v/>
      </c>
      <c r="H1900" s="2" t="str">
        <f>IFERROR(__xludf.DUMMYFUNCTION("""COMPUTED_VALUE"""),"")</f>
        <v/>
      </c>
      <c r="I1900" s="2" t="str">
        <f>IFERROR(__xludf.DUMMYFUNCTION("""COMPUTED_VALUE"""),"")</f>
        <v/>
      </c>
      <c r="J1900" s="2">
        <f>IFERROR(__xludf.DUMMYFUNCTION("""COMPUTED_VALUE"""),0.0)</f>
        <v>0</v>
      </c>
      <c r="K1900" s="5" t="str">
        <f>IFERROR(__xludf.DUMMYFUNCTION("""COMPUTED_VALUE"""),"")</f>
        <v/>
      </c>
      <c r="L1900" t="str">
        <f>IFERROR(__xludf.DUMMYFUNCTION("""COMPUTED_VALUE"""),"")</f>
        <v/>
      </c>
      <c r="M1900" t="str">
        <f>IFERROR(__xludf.DUMMYFUNCTION("""COMPUTED_VALUE"""),"")</f>
        <v/>
      </c>
      <c r="N1900" t="str">
        <f>IFERROR(__xludf.DUMMYFUNCTION("""COMPUTED_VALUE"""),"")</f>
        <v/>
      </c>
      <c r="O1900" t="str">
        <f>IFERROR(__xludf.DUMMYFUNCTION("""COMPUTED_VALUE"""),"")</f>
        <v/>
      </c>
      <c r="P1900" t="str">
        <f>IFERROR(__xludf.DUMMYFUNCTION("""COMPUTED_VALUE"""),"ID ")</f>
        <v>ID </v>
      </c>
    </row>
    <row r="1901">
      <c r="A1901" s="6" t="str">
        <f>IFERROR(__xludf.DUMMYFUNCTION("""COMPUTED_VALUE"""),"")</f>
        <v/>
      </c>
      <c r="C1901" t="str">
        <f>IFERROR(__xludf.DUMMYFUNCTION("""COMPUTED_VALUE"""),"")</f>
        <v/>
      </c>
      <c r="D1901" t="str">
        <f>IFERROR(__xludf.DUMMYFUNCTION("""COMPUTED_VALUE"""),"")</f>
        <v/>
      </c>
      <c r="E1901" t="str">
        <f>IFERROR(__xludf.DUMMYFUNCTION("""COMPUTED_VALUE"""),"")</f>
        <v/>
      </c>
      <c r="F1901" t="str">
        <f>IFERROR(__xludf.DUMMYFUNCTION("""COMPUTED_VALUE"""),"")</f>
        <v/>
      </c>
      <c r="G1901" t="str">
        <f>IFERROR(__xludf.DUMMYFUNCTION("""COMPUTED_VALUE"""),"")</f>
        <v/>
      </c>
      <c r="H1901" s="2" t="str">
        <f>IFERROR(__xludf.DUMMYFUNCTION("""COMPUTED_VALUE"""),"")</f>
        <v/>
      </c>
      <c r="I1901" s="2" t="str">
        <f>IFERROR(__xludf.DUMMYFUNCTION("""COMPUTED_VALUE"""),"")</f>
        <v/>
      </c>
      <c r="J1901" s="2">
        <f>IFERROR(__xludf.DUMMYFUNCTION("""COMPUTED_VALUE"""),0.0)</f>
        <v>0</v>
      </c>
      <c r="K1901" s="5" t="str">
        <f>IFERROR(__xludf.DUMMYFUNCTION("""COMPUTED_VALUE"""),"")</f>
        <v/>
      </c>
      <c r="L1901" t="str">
        <f>IFERROR(__xludf.DUMMYFUNCTION("""COMPUTED_VALUE"""),"")</f>
        <v/>
      </c>
      <c r="M1901" t="str">
        <f>IFERROR(__xludf.DUMMYFUNCTION("""COMPUTED_VALUE"""),"")</f>
        <v/>
      </c>
      <c r="N1901" t="str">
        <f>IFERROR(__xludf.DUMMYFUNCTION("""COMPUTED_VALUE"""),"")</f>
        <v/>
      </c>
      <c r="O1901" t="str">
        <f>IFERROR(__xludf.DUMMYFUNCTION("""COMPUTED_VALUE"""),"")</f>
        <v/>
      </c>
      <c r="P1901" t="str">
        <f>IFERROR(__xludf.DUMMYFUNCTION("""COMPUTED_VALUE"""),"ID ")</f>
        <v>ID </v>
      </c>
    </row>
    <row r="1902">
      <c r="A1902" s="6" t="str">
        <f>IFERROR(__xludf.DUMMYFUNCTION("""COMPUTED_VALUE"""),"")</f>
        <v/>
      </c>
      <c r="C1902" t="str">
        <f>IFERROR(__xludf.DUMMYFUNCTION("""COMPUTED_VALUE"""),"")</f>
        <v/>
      </c>
      <c r="D1902" t="str">
        <f>IFERROR(__xludf.DUMMYFUNCTION("""COMPUTED_VALUE"""),"")</f>
        <v/>
      </c>
      <c r="E1902" t="str">
        <f>IFERROR(__xludf.DUMMYFUNCTION("""COMPUTED_VALUE"""),"")</f>
        <v/>
      </c>
      <c r="F1902" t="str">
        <f>IFERROR(__xludf.DUMMYFUNCTION("""COMPUTED_VALUE"""),"")</f>
        <v/>
      </c>
      <c r="G1902" t="str">
        <f>IFERROR(__xludf.DUMMYFUNCTION("""COMPUTED_VALUE"""),"")</f>
        <v/>
      </c>
      <c r="H1902" s="2" t="str">
        <f>IFERROR(__xludf.DUMMYFUNCTION("""COMPUTED_VALUE"""),"")</f>
        <v/>
      </c>
      <c r="I1902" s="2" t="str">
        <f>IFERROR(__xludf.DUMMYFUNCTION("""COMPUTED_VALUE"""),"")</f>
        <v/>
      </c>
      <c r="J1902" s="2">
        <f>IFERROR(__xludf.DUMMYFUNCTION("""COMPUTED_VALUE"""),0.0)</f>
        <v>0</v>
      </c>
      <c r="K1902" s="5" t="str">
        <f>IFERROR(__xludf.DUMMYFUNCTION("""COMPUTED_VALUE"""),"")</f>
        <v/>
      </c>
      <c r="L1902" t="str">
        <f>IFERROR(__xludf.DUMMYFUNCTION("""COMPUTED_VALUE"""),"")</f>
        <v/>
      </c>
      <c r="M1902" t="str">
        <f>IFERROR(__xludf.DUMMYFUNCTION("""COMPUTED_VALUE"""),"")</f>
        <v/>
      </c>
      <c r="N1902" t="str">
        <f>IFERROR(__xludf.DUMMYFUNCTION("""COMPUTED_VALUE"""),"")</f>
        <v/>
      </c>
      <c r="O1902" t="str">
        <f>IFERROR(__xludf.DUMMYFUNCTION("""COMPUTED_VALUE"""),"")</f>
        <v/>
      </c>
      <c r="P1902" t="str">
        <f>IFERROR(__xludf.DUMMYFUNCTION("""COMPUTED_VALUE"""),"ID ")</f>
        <v>ID </v>
      </c>
    </row>
    <row r="1903">
      <c r="A1903" s="6" t="str">
        <f>IFERROR(__xludf.DUMMYFUNCTION("""COMPUTED_VALUE"""),"")</f>
        <v/>
      </c>
      <c r="C1903" t="str">
        <f>IFERROR(__xludf.DUMMYFUNCTION("""COMPUTED_VALUE"""),"")</f>
        <v/>
      </c>
      <c r="D1903" t="str">
        <f>IFERROR(__xludf.DUMMYFUNCTION("""COMPUTED_VALUE"""),"")</f>
        <v/>
      </c>
      <c r="E1903" t="str">
        <f>IFERROR(__xludf.DUMMYFUNCTION("""COMPUTED_VALUE"""),"")</f>
        <v/>
      </c>
      <c r="F1903" t="str">
        <f>IFERROR(__xludf.DUMMYFUNCTION("""COMPUTED_VALUE"""),"")</f>
        <v/>
      </c>
      <c r="G1903" t="str">
        <f>IFERROR(__xludf.DUMMYFUNCTION("""COMPUTED_VALUE"""),"")</f>
        <v/>
      </c>
      <c r="H1903" s="2" t="str">
        <f>IFERROR(__xludf.DUMMYFUNCTION("""COMPUTED_VALUE"""),"")</f>
        <v/>
      </c>
      <c r="I1903" s="2" t="str">
        <f>IFERROR(__xludf.DUMMYFUNCTION("""COMPUTED_VALUE"""),"")</f>
        <v/>
      </c>
      <c r="J1903" s="2">
        <f>IFERROR(__xludf.DUMMYFUNCTION("""COMPUTED_VALUE"""),0.0)</f>
        <v>0</v>
      </c>
      <c r="K1903" s="5" t="str">
        <f>IFERROR(__xludf.DUMMYFUNCTION("""COMPUTED_VALUE"""),"")</f>
        <v/>
      </c>
      <c r="L1903" t="str">
        <f>IFERROR(__xludf.DUMMYFUNCTION("""COMPUTED_VALUE"""),"")</f>
        <v/>
      </c>
      <c r="M1903" t="str">
        <f>IFERROR(__xludf.DUMMYFUNCTION("""COMPUTED_VALUE"""),"")</f>
        <v/>
      </c>
      <c r="N1903" t="str">
        <f>IFERROR(__xludf.DUMMYFUNCTION("""COMPUTED_VALUE"""),"")</f>
        <v/>
      </c>
      <c r="O1903" t="str">
        <f>IFERROR(__xludf.DUMMYFUNCTION("""COMPUTED_VALUE"""),"")</f>
        <v/>
      </c>
      <c r="P1903" t="str">
        <f>IFERROR(__xludf.DUMMYFUNCTION("""COMPUTED_VALUE"""),"ID ")</f>
        <v>ID </v>
      </c>
    </row>
    <row r="1904">
      <c r="A1904" s="6" t="str">
        <f>IFERROR(__xludf.DUMMYFUNCTION("""COMPUTED_VALUE"""),"")</f>
        <v/>
      </c>
      <c r="C1904" t="str">
        <f>IFERROR(__xludf.DUMMYFUNCTION("""COMPUTED_VALUE"""),"")</f>
        <v/>
      </c>
      <c r="D1904" t="str">
        <f>IFERROR(__xludf.DUMMYFUNCTION("""COMPUTED_VALUE"""),"")</f>
        <v/>
      </c>
      <c r="E1904" t="str">
        <f>IFERROR(__xludf.DUMMYFUNCTION("""COMPUTED_VALUE"""),"")</f>
        <v/>
      </c>
      <c r="F1904" t="str">
        <f>IFERROR(__xludf.DUMMYFUNCTION("""COMPUTED_VALUE"""),"")</f>
        <v/>
      </c>
      <c r="G1904" t="str">
        <f>IFERROR(__xludf.DUMMYFUNCTION("""COMPUTED_VALUE"""),"")</f>
        <v/>
      </c>
      <c r="H1904" s="2" t="str">
        <f>IFERROR(__xludf.DUMMYFUNCTION("""COMPUTED_VALUE"""),"")</f>
        <v/>
      </c>
      <c r="I1904" s="2" t="str">
        <f>IFERROR(__xludf.DUMMYFUNCTION("""COMPUTED_VALUE"""),"")</f>
        <v/>
      </c>
      <c r="J1904" s="2">
        <f>IFERROR(__xludf.DUMMYFUNCTION("""COMPUTED_VALUE"""),0.0)</f>
        <v>0</v>
      </c>
      <c r="K1904" s="5" t="str">
        <f>IFERROR(__xludf.DUMMYFUNCTION("""COMPUTED_VALUE"""),"")</f>
        <v/>
      </c>
      <c r="L1904" t="str">
        <f>IFERROR(__xludf.DUMMYFUNCTION("""COMPUTED_VALUE"""),"")</f>
        <v/>
      </c>
      <c r="M1904" t="str">
        <f>IFERROR(__xludf.DUMMYFUNCTION("""COMPUTED_VALUE"""),"")</f>
        <v/>
      </c>
      <c r="N1904" t="str">
        <f>IFERROR(__xludf.DUMMYFUNCTION("""COMPUTED_VALUE"""),"")</f>
        <v/>
      </c>
      <c r="O1904" t="str">
        <f>IFERROR(__xludf.DUMMYFUNCTION("""COMPUTED_VALUE"""),"")</f>
        <v/>
      </c>
      <c r="P1904" t="str">
        <f>IFERROR(__xludf.DUMMYFUNCTION("""COMPUTED_VALUE"""),"ID ")</f>
        <v>ID </v>
      </c>
    </row>
    <row r="1905">
      <c r="A1905" s="6" t="str">
        <f>IFERROR(__xludf.DUMMYFUNCTION("""COMPUTED_VALUE"""),"")</f>
        <v/>
      </c>
      <c r="C1905" t="str">
        <f>IFERROR(__xludf.DUMMYFUNCTION("""COMPUTED_VALUE"""),"")</f>
        <v/>
      </c>
      <c r="D1905" t="str">
        <f>IFERROR(__xludf.DUMMYFUNCTION("""COMPUTED_VALUE"""),"")</f>
        <v/>
      </c>
      <c r="E1905" t="str">
        <f>IFERROR(__xludf.DUMMYFUNCTION("""COMPUTED_VALUE"""),"")</f>
        <v/>
      </c>
      <c r="F1905" t="str">
        <f>IFERROR(__xludf.DUMMYFUNCTION("""COMPUTED_VALUE"""),"")</f>
        <v/>
      </c>
      <c r="G1905" t="str">
        <f>IFERROR(__xludf.DUMMYFUNCTION("""COMPUTED_VALUE"""),"")</f>
        <v/>
      </c>
      <c r="H1905" s="2" t="str">
        <f>IFERROR(__xludf.DUMMYFUNCTION("""COMPUTED_VALUE"""),"")</f>
        <v/>
      </c>
      <c r="I1905" s="2" t="str">
        <f>IFERROR(__xludf.DUMMYFUNCTION("""COMPUTED_VALUE"""),"")</f>
        <v/>
      </c>
      <c r="J1905" s="2">
        <f>IFERROR(__xludf.DUMMYFUNCTION("""COMPUTED_VALUE"""),0.0)</f>
        <v>0</v>
      </c>
      <c r="K1905" s="5" t="str">
        <f>IFERROR(__xludf.DUMMYFUNCTION("""COMPUTED_VALUE"""),"")</f>
        <v/>
      </c>
      <c r="L1905" t="str">
        <f>IFERROR(__xludf.DUMMYFUNCTION("""COMPUTED_VALUE"""),"")</f>
        <v/>
      </c>
      <c r="M1905" t="str">
        <f>IFERROR(__xludf.DUMMYFUNCTION("""COMPUTED_VALUE"""),"")</f>
        <v/>
      </c>
      <c r="N1905" t="str">
        <f>IFERROR(__xludf.DUMMYFUNCTION("""COMPUTED_VALUE"""),"")</f>
        <v/>
      </c>
      <c r="O1905" t="str">
        <f>IFERROR(__xludf.DUMMYFUNCTION("""COMPUTED_VALUE"""),"")</f>
        <v/>
      </c>
      <c r="P1905" t="str">
        <f>IFERROR(__xludf.DUMMYFUNCTION("""COMPUTED_VALUE"""),"ID ")</f>
        <v>ID </v>
      </c>
    </row>
    <row r="1906">
      <c r="A1906" s="6" t="str">
        <f>IFERROR(__xludf.DUMMYFUNCTION("""COMPUTED_VALUE"""),"")</f>
        <v/>
      </c>
      <c r="C1906" t="str">
        <f>IFERROR(__xludf.DUMMYFUNCTION("""COMPUTED_VALUE"""),"")</f>
        <v/>
      </c>
      <c r="D1906" t="str">
        <f>IFERROR(__xludf.DUMMYFUNCTION("""COMPUTED_VALUE"""),"")</f>
        <v/>
      </c>
      <c r="E1906" t="str">
        <f>IFERROR(__xludf.DUMMYFUNCTION("""COMPUTED_VALUE"""),"")</f>
        <v/>
      </c>
      <c r="F1906" t="str">
        <f>IFERROR(__xludf.DUMMYFUNCTION("""COMPUTED_VALUE"""),"")</f>
        <v/>
      </c>
      <c r="G1906" t="str">
        <f>IFERROR(__xludf.DUMMYFUNCTION("""COMPUTED_VALUE"""),"")</f>
        <v/>
      </c>
      <c r="H1906" s="2" t="str">
        <f>IFERROR(__xludf.DUMMYFUNCTION("""COMPUTED_VALUE"""),"")</f>
        <v/>
      </c>
      <c r="I1906" s="2" t="str">
        <f>IFERROR(__xludf.DUMMYFUNCTION("""COMPUTED_VALUE"""),"")</f>
        <v/>
      </c>
      <c r="J1906" s="2">
        <f>IFERROR(__xludf.DUMMYFUNCTION("""COMPUTED_VALUE"""),0.0)</f>
        <v>0</v>
      </c>
      <c r="K1906" s="5" t="str">
        <f>IFERROR(__xludf.DUMMYFUNCTION("""COMPUTED_VALUE"""),"")</f>
        <v/>
      </c>
      <c r="L1906" t="str">
        <f>IFERROR(__xludf.DUMMYFUNCTION("""COMPUTED_VALUE"""),"")</f>
        <v/>
      </c>
      <c r="M1906" t="str">
        <f>IFERROR(__xludf.DUMMYFUNCTION("""COMPUTED_VALUE"""),"")</f>
        <v/>
      </c>
      <c r="N1906" t="str">
        <f>IFERROR(__xludf.DUMMYFUNCTION("""COMPUTED_VALUE"""),"")</f>
        <v/>
      </c>
      <c r="O1906" t="str">
        <f>IFERROR(__xludf.DUMMYFUNCTION("""COMPUTED_VALUE"""),"")</f>
        <v/>
      </c>
      <c r="P1906" t="str">
        <f>IFERROR(__xludf.DUMMYFUNCTION("""COMPUTED_VALUE"""),"ID ")</f>
        <v>ID </v>
      </c>
    </row>
    <row r="1907">
      <c r="A1907" s="6" t="str">
        <f>IFERROR(__xludf.DUMMYFUNCTION("""COMPUTED_VALUE"""),"")</f>
        <v/>
      </c>
      <c r="C1907" t="str">
        <f>IFERROR(__xludf.DUMMYFUNCTION("""COMPUTED_VALUE"""),"")</f>
        <v/>
      </c>
      <c r="D1907" t="str">
        <f>IFERROR(__xludf.DUMMYFUNCTION("""COMPUTED_VALUE"""),"")</f>
        <v/>
      </c>
      <c r="E1907" t="str">
        <f>IFERROR(__xludf.DUMMYFUNCTION("""COMPUTED_VALUE"""),"")</f>
        <v/>
      </c>
      <c r="F1907" t="str">
        <f>IFERROR(__xludf.DUMMYFUNCTION("""COMPUTED_VALUE"""),"")</f>
        <v/>
      </c>
      <c r="G1907" t="str">
        <f>IFERROR(__xludf.DUMMYFUNCTION("""COMPUTED_VALUE"""),"")</f>
        <v/>
      </c>
      <c r="H1907" s="2" t="str">
        <f>IFERROR(__xludf.DUMMYFUNCTION("""COMPUTED_VALUE"""),"")</f>
        <v/>
      </c>
      <c r="I1907" s="2" t="str">
        <f>IFERROR(__xludf.DUMMYFUNCTION("""COMPUTED_VALUE"""),"")</f>
        <v/>
      </c>
      <c r="J1907" s="2">
        <f>IFERROR(__xludf.DUMMYFUNCTION("""COMPUTED_VALUE"""),0.0)</f>
        <v>0</v>
      </c>
      <c r="K1907" s="5" t="str">
        <f>IFERROR(__xludf.DUMMYFUNCTION("""COMPUTED_VALUE"""),"")</f>
        <v/>
      </c>
      <c r="L1907" t="str">
        <f>IFERROR(__xludf.DUMMYFUNCTION("""COMPUTED_VALUE"""),"")</f>
        <v/>
      </c>
      <c r="M1907" t="str">
        <f>IFERROR(__xludf.DUMMYFUNCTION("""COMPUTED_VALUE"""),"")</f>
        <v/>
      </c>
      <c r="N1907" t="str">
        <f>IFERROR(__xludf.DUMMYFUNCTION("""COMPUTED_VALUE"""),"")</f>
        <v/>
      </c>
      <c r="O1907" t="str">
        <f>IFERROR(__xludf.DUMMYFUNCTION("""COMPUTED_VALUE"""),"")</f>
        <v/>
      </c>
      <c r="P1907" t="str">
        <f>IFERROR(__xludf.DUMMYFUNCTION("""COMPUTED_VALUE"""),"ID ")</f>
        <v>ID </v>
      </c>
    </row>
    <row r="1908">
      <c r="A1908" s="6" t="str">
        <f>IFERROR(__xludf.DUMMYFUNCTION("""COMPUTED_VALUE"""),"")</f>
        <v/>
      </c>
      <c r="C1908" t="str">
        <f>IFERROR(__xludf.DUMMYFUNCTION("""COMPUTED_VALUE"""),"")</f>
        <v/>
      </c>
      <c r="D1908" t="str">
        <f>IFERROR(__xludf.DUMMYFUNCTION("""COMPUTED_VALUE"""),"")</f>
        <v/>
      </c>
      <c r="E1908" t="str">
        <f>IFERROR(__xludf.DUMMYFUNCTION("""COMPUTED_VALUE"""),"")</f>
        <v/>
      </c>
      <c r="F1908" t="str">
        <f>IFERROR(__xludf.DUMMYFUNCTION("""COMPUTED_VALUE"""),"")</f>
        <v/>
      </c>
      <c r="G1908" t="str">
        <f>IFERROR(__xludf.DUMMYFUNCTION("""COMPUTED_VALUE"""),"")</f>
        <v/>
      </c>
      <c r="H1908" s="2" t="str">
        <f>IFERROR(__xludf.DUMMYFUNCTION("""COMPUTED_VALUE"""),"")</f>
        <v/>
      </c>
      <c r="I1908" s="2" t="str">
        <f>IFERROR(__xludf.DUMMYFUNCTION("""COMPUTED_VALUE"""),"")</f>
        <v/>
      </c>
      <c r="J1908" s="2">
        <f>IFERROR(__xludf.DUMMYFUNCTION("""COMPUTED_VALUE"""),0.0)</f>
        <v>0</v>
      </c>
      <c r="K1908" s="5" t="str">
        <f>IFERROR(__xludf.DUMMYFUNCTION("""COMPUTED_VALUE"""),"")</f>
        <v/>
      </c>
      <c r="L1908" t="str">
        <f>IFERROR(__xludf.DUMMYFUNCTION("""COMPUTED_VALUE"""),"")</f>
        <v/>
      </c>
      <c r="M1908" t="str">
        <f>IFERROR(__xludf.DUMMYFUNCTION("""COMPUTED_VALUE"""),"")</f>
        <v/>
      </c>
      <c r="N1908" t="str">
        <f>IFERROR(__xludf.DUMMYFUNCTION("""COMPUTED_VALUE"""),"")</f>
        <v/>
      </c>
      <c r="O1908" t="str">
        <f>IFERROR(__xludf.DUMMYFUNCTION("""COMPUTED_VALUE"""),"")</f>
        <v/>
      </c>
      <c r="P1908" t="str">
        <f>IFERROR(__xludf.DUMMYFUNCTION("""COMPUTED_VALUE"""),"ID ")</f>
        <v>ID </v>
      </c>
    </row>
    <row r="1909">
      <c r="A1909" s="6" t="str">
        <f>IFERROR(__xludf.DUMMYFUNCTION("""COMPUTED_VALUE"""),"")</f>
        <v/>
      </c>
      <c r="C1909" t="str">
        <f>IFERROR(__xludf.DUMMYFUNCTION("""COMPUTED_VALUE"""),"")</f>
        <v/>
      </c>
      <c r="D1909" t="str">
        <f>IFERROR(__xludf.DUMMYFUNCTION("""COMPUTED_VALUE"""),"")</f>
        <v/>
      </c>
      <c r="E1909" t="str">
        <f>IFERROR(__xludf.DUMMYFUNCTION("""COMPUTED_VALUE"""),"")</f>
        <v/>
      </c>
      <c r="F1909" t="str">
        <f>IFERROR(__xludf.DUMMYFUNCTION("""COMPUTED_VALUE"""),"")</f>
        <v/>
      </c>
      <c r="G1909" t="str">
        <f>IFERROR(__xludf.DUMMYFUNCTION("""COMPUTED_VALUE"""),"")</f>
        <v/>
      </c>
      <c r="H1909" s="2" t="str">
        <f>IFERROR(__xludf.DUMMYFUNCTION("""COMPUTED_VALUE"""),"")</f>
        <v/>
      </c>
      <c r="I1909" s="2" t="str">
        <f>IFERROR(__xludf.DUMMYFUNCTION("""COMPUTED_VALUE"""),"")</f>
        <v/>
      </c>
      <c r="J1909" s="2">
        <f>IFERROR(__xludf.DUMMYFUNCTION("""COMPUTED_VALUE"""),0.0)</f>
        <v>0</v>
      </c>
      <c r="K1909" s="5" t="str">
        <f>IFERROR(__xludf.DUMMYFUNCTION("""COMPUTED_VALUE"""),"")</f>
        <v/>
      </c>
      <c r="L1909" t="str">
        <f>IFERROR(__xludf.DUMMYFUNCTION("""COMPUTED_VALUE"""),"")</f>
        <v/>
      </c>
      <c r="M1909" t="str">
        <f>IFERROR(__xludf.DUMMYFUNCTION("""COMPUTED_VALUE"""),"")</f>
        <v/>
      </c>
      <c r="N1909" t="str">
        <f>IFERROR(__xludf.DUMMYFUNCTION("""COMPUTED_VALUE"""),"")</f>
        <v/>
      </c>
      <c r="O1909" t="str">
        <f>IFERROR(__xludf.DUMMYFUNCTION("""COMPUTED_VALUE"""),"")</f>
        <v/>
      </c>
      <c r="P1909" t="str">
        <f>IFERROR(__xludf.DUMMYFUNCTION("""COMPUTED_VALUE"""),"ID ")</f>
        <v>ID </v>
      </c>
    </row>
    <row r="1910">
      <c r="A1910" s="6" t="str">
        <f>IFERROR(__xludf.DUMMYFUNCTION("""COMPUTED_VALUE"""),"")</f>
        <v/>
      </c>
      <c r="C1910" t="str">
        <f>IFERROR(__xludf.DUMMYFUNCTION("""COMPUTED_VALUE"""),"")</f>
        <v/>
      </c>
      <c r="D1910" t="str">
        <f>IFERROR(__xludf.DUMMYFUNCTION("""COMPUTED_VALUE"""),"")</f>
        <v/>
      </c>
      <c r="E1910" t="str">
        <f>IFERROR(__xludf.DUMMYFUNCTION("""COMPUTED_VALUE"""),"")</f>
        <v/>
      </c>
      <c r="F1910" t="str">
        <f>IFERROR(__xludf.DUMMYFUNCTION("""COMPUTED_VALUE"""),"")</f>
        <v/>
      </c>
      <c r="G1910" t="str">
        <f>IFERROR(__xludf.DUMMYFUNCTION("""COMPUTED_VALUE"""),"")</f>
        <v/>
      </c>
      <c r="H1910" s="2" t="str">
        <f>IFERROR(__xludf.DUMMYFUNCTION("""COMPUTED_VALUE"""),"")</f>
        <v/>
      </c>
      <c r="I1910" s="2" t="str">
        <f>IFERROR(__xludf.DUMMYFUNCTION("""COMPUTED_VALUE"""),"")</f>
        <v/>
      </c>
      <c r="J1910" s="2">
        <f>IFERROR(__xludf.DUMMYFUNCTION("""COMPUTED_VALUE"""),0.0)</f>
        <v>0</v>
      </c>
      <c r="K1910" s="5" t="str">
        <f>IFERROR(__xludf.DUMMYFUNCTION("""COMPUTED_VALUE"""),"")</f>
        <v/>
      </c>
      <c r="L1910" t="str">
        <f>IFERROR(__xludf.DUMMYFUNCTION("""COMPUTED_VALUE"""),"")</f>
        <v/>
      </c>
      <c r="M1910" t="str">
        <f>IFERROR(__xludf.DUMMYFUNCTION("""COMPUTED_VALUE"""),"")</f>
        <v/>
      </c>
      <c r="N1910" t="str">
        <f>IFERROR(__xludf.DUMMYFUNCTION("""COMPUTED_VALUE"""),"")</f>
        <v/>
      </c>
      <c r="O1910" t="str">
        <f>IFERROR(__xludf.DUMMYFUNCTION("""COMPUTED_VALUE"""),"")</f>
        <v/>
      </c>
      <c r="P1910" t="str">
        <f>IFERROR(__xludf.DUMMYFUNCTION("""COMPUTED_VALUE"""),"ID ")</f>
        <v>ID </v>
      </c>
    </row>
    <row r="1911">
      <c r="A1911" s="6" t="str">
        <f>IFERROR(__xludf.DUMMYFUNCTION("""COMPUTED_VALUE"""),"")</f>
        <v/>
      </c>
      <c r="C1911" t="str">
        <f>IFERROR(__xludf.DUMMYFUNCTION("""COMPUTED_VALUE"""),"")</f>
        <v/>
      </c>
      <c r="D1911" t="str">
        <f>IFERROR(__xludf.DUMMYFUNCTION("""COMPUTED_VALUE"""),"")</f>
        <v/>
      </c>
      <c r="E1911" t="str">
        <f>IFERROR(__xludf.DUMMYFUNCTION("""COMPUTED_VALUE"""),"")</f>
        <v/>
      </c>
      <c r="F1911" t="str">
        <f>IFERROR(__xludf.DUMMYFUNCTION("""COMPUTED_VALUE"""),"")</f>
        <v/>
      </c>
      <c r="G1911" t="str">
        <f>IFERROR(__xludf.DUMMYFUNCTION("""COMPUTED_VALUE"""),"")</f>
        <v/>
      </c>
      <c r="H1911" s="2" t="str">
        <f>IFERROR(__xludf.DUMMYFUNCTION("""COMPUTED_VALUE"""),"")</f>
        <v/>
      </c>
      <c r="I1911" s="2" t="str">
        <f>IFERROR(__xludf.DUMMYFUNCTION("""COMPUTED_VALUE"""),"")</f>
        <v/>
      </c>
      <c r="J1911" s="2">
        <f>IFERROR(__xludf.DUMMYFUNCTION("""COMPUTED_VALUE"""),0.0)</f>
        <v>0</v>
      </c>
      <c r="K1911" s="5" t="str">
        <f>IFERROR(__xludf.DUMMYFUNCTION("""COMPUTED_VALUE"""),"")</f>
        <v/>
      </c>
      <c r="L1911" t="str">
        <f>IFERROR(__xludf.DUMMYFUNCTION("""COMPUTED_VALUE"""),"")</f>
        <v/>
      </c>
      <c r="M1911" t="str">
        <f>IFERROR(__xludf.DUMMYFUNCTION("""COMPUTED_VALUE"""),"")</f>
        <v/>
      </c>
      <c r="N1911" t="str">
        <f>IFERROR(__xludf.DUMMYFUNCTION("""COMPUTED_VALUE"""),"")</f>
        <v/>
      </c>
      <c r="O1911" t="str">
        <f>IFERROR(__xludf.DUMMYFUNCTION("""COMPUTED_VALUE"""),"")</f>
        <v/>
      </c>
      <c r="P1911" t="str">
        <f>IFERROR(__xludf.DUMMYFUNCTION("""COMPUTED_VALUE"""),"ID ")</f>
        <v>ID </v>
      </c>
    </row>
    <row r="1912">
      <c r="A1912" s="6" t="str">
        <f>IFERROR(__xludf.DUMMYFUNCTION("""COMPUTED_VALUE"""),"")</f>
        <v/>
      </c>
      <c r="C1912" t="str">
        <f>IFERROR(__xludf.DUMMYFUNCTION("""COMPUTED_VALUE"""),"")</f>
        <v/>
      </c>
      <c r="D1912" t="str">
        <f>IFERROR(__xludf.DUMMYFUNCTION("""COMPUTED_VALUE"""),"")</f>
        <v/>
      </c>
      <c r="E1912" t="str">
        <f>IFERROR(__xludf.DUMMYFUNCTION("""COMPUTED_VALUE"""),"")</f>
        <v/>
      </c>
      <c r="F1912" t="str">
        <f>IFERROR(__xludf.DUMMYFUNCTION("""COMPUTED_VALUE"""),"")</f>
        <v/>
      </c>
      <c r="G1912" t="str">
        <f>IFERROR(__xludf.DUMMYFUNCTION("""COMPUTED_VALUE"""),"")</f>
        <v/>
      </c>
      <c r="H1912" s="2" t="str">
        <f>IFERROR(__xludf.DUMMYFUNCTION("""COMPUTED_VALUE"""),"")</f>
        <v/>
      </c>
      <c r="I1912" s="2" t="str">
        <f>IFERROR(__xludf.DUMMYFUNCTION("""COMPUTED_VALUE"""),"")</f>
        <v/>
      </c>
      <c r="J1912" s="2">
        <f>IFERROR(__xludf.DUMMYFUNCTION("""COMPUTED_VALUE"""),0.0)</f>
        <v>0</v>
      </c>
      <c r="K1912" s="5" t="str">
        <f>IFERROR(__xludf.DUMMYFUNCTION("""COMPUTED_VALUE"""),"")</f>
        <v/>
      </c>
      <c r="L1912" t="str">
        <f>IFERROR(__xludf.DUMMYFUNCTION("""COMPUTED_VALUE"""),"")</f>
        <v/>
      </c>
      <c r="M1912" t="str">
        <f>IFERROR(__xludf.DUMMYFUNCTION("""COMPUTED_VALUE"""),"")</f>
        <v/>
      </c>
      <c r="N1912" t="str">
        <f>IFERROR(__xludf.DUMMYFUNCTION("""COMPUTED_VALUE"""),"")</f>
        <v/>
      </c>
      <c r="O1912" t="str">
        <f>IFERROR(__xludf.DUMMYFUNCTION("""COMPUTED_VALUE"""),"")</f>
        <v/>
      </c>
      <c r="P1912" t="str">
        <f>IFERROR(__xludf.DUMMYFUNCTION("""COMPUTED_VALUE"""),"ID ")</f>
        <v>ID </v>
      </c>
    </row>
    <row r="1913">
      <c r="A1913" s="6" t="str">
        <f>IFERROR(__xludf.DUMMYFUNCTION("""COMPUTED_VALUE"""),"")</f>
        <v/>
      </c>
      <c r="C1913" t="str">
        <f>IFERROR(__xludf.DUMMYFUNCTION("""COMPUTED_VALUE"""),"")</f>
        <v/>
      </c>
      <c r="D1913" t="str">
        <f>IFERROR(__xludf.DUMMYFUNCTION("""COMPUTED_VALUE"""),"")</f>
        <v/>
      </c>
      <c r="E1913" t="str">
        <f>IFERROR(__xludf.DUMMYFUNCTION("""COMPUTED_VALUE"""),"")</f>
        <v/>
      </c>
      <c r="F1913" t="str">
        <f>IFERROR(__xludf.DUMMYFUNCTION("""COMPUTED_VALUE"""),"")</f>
        <v/>
      </c>
      <c r="G1913" t="str">
        <f>IFERROR(__xludf.DUMMYFUNCTION("""COMPUTED_VALUE"""),"")</f>
        <v/>
      </c>
      <c r="H1913" s="2" t="str">
        <f>IFERROR(__xludf.DUMMYFUNCTION("""COMPUTED_VALUE"""),"")</f>
        <v/>
      </c>
      <c r="I1913" s="2" t="str">
        <f>IFERROR(__xludf.DUMMYFUNCTION("""COMPUTED_VALUE"""),"")</f>
        <v/>
      </c>
      <c r="J1913" s="2">
        <f>IFERROR(__xludf.DUMMYFUNCTION("""COMPUTED_VALUE"""),0.0)</f>
        <v>0</v>
      </c>
      <c r="K1913" s="5" t="str">
        <f>IFERROR(__xludf.DUMMYFUNCTION("""COMPUTED_VALUE"""),"")</f>
        <v/>
      </c>
      <c r="L1913" t="str">
        <f>IFERROR(__xludf.DUMMYFUNCTION("""COMPUTED_VALUE"""),"")</f>
        <v/>
      </c>
      <c r="M1913" t="str">
        <f>IFERROR(__xludf.DUMMYFUNCTION("""COMPUTED_VALUE"""),"")</f>
        <v/>
      </c>
      <c r="N1913" t="str">
        <f>IFERROR(__xludf.DUMMYFUNCTION("""COMPUTED_VALUE"""),"")</f>
        <v/>
      </c>
      <c r="O1913" t="str">
        <f>IFERROR(__xludf.DUMMYFUNCTION("""COMPUTED_VALUE"""),"")</f>
        <v/>
      </c>
      <c r="P1913" t="str">
        <f>IFERROR(__xludf.DUMMYFUNCTION("""COMPUTED_VALUE"""),"ID ")</f>
        <v>ID </v>
      </c>
    </row>
    <row r="1914">
      <c r="A1914" s="6" t="str">
        <f>IFERROR(__xludf.DUMMYFUNCTION("""COMPUTED_VALUE"""),"")</f>
        <v/>
      </c>
      <c r="C1914" t="str">
        <f>IFERROR(__xludf.DUMMYFUNCTION("""COMPUTED_VALUE"""),"")</f>
        <v/>
      </c>
      <c r="D1914" t="str">
        <f>IFERROR(__xludf.DUMMYFUNCTION("""COMPUTED_VALUE"""),"")</f>
        <v/>
      </c>
      <c r="E1914" t="str">
        <f>IFERROR(__xludf.DUMMYFUNCTION("""COMPUTED_VALUE"""),"")</f>
        <v/>
      </c>
      <c r="F1914" t="str">
        <f>IFERROR(__xludf.DUMMYFUNCTION("""COMPUTED_VALUE"""),"")</f>
        <v/>
      </c>
      <c r="G1914" t="str">
        <f>IFERROR(__xludf.DUMMYFUNCTION("""COMPUTED_VALUE"""),"")</f>
        <v/>
      </c>
      <c r="H1914" s="2" t="str">
        <f>IFERROR(__xludf.DUMMYFUNCTION("""COMPUTED_VALUE"""),"")</f>
        <v/>
      </c>
      <c r="I1914" s="2" t="str">
        <f>IFERROR(__xludf.DUMMYFUNCTION("""COMPUTED_VALUE"""),"")</f>
        <v/>
      </c>
      <c r="J1914" s="2">
        <f>IFERROR(__xludf.DUMMYFUNCTION("""COMPUTED_VALUE"""),0.0)</f>
        <v>0</v>
      </c>
      <c r="K1914" s="5" t="str">
        <f>IFERROR(__xludf.DUMMYFUNCTION("""COMPUTED_VALUE"""),"")</f>
        <v/>
      </c>
      <c r="L1914" t="str">
        <f>IFERROR(__xludf.DUMMYFUNCTION("""COMPUTED_VALUE"""),"")</f>
        <v/>
      </c>
      <c r="M1914" t="str">
        <f>IFERROR(__xludf.DUMMYFUNCTION("""COMPUTED_VALUE"""),"")</f>
        <v/>
      </c>
      <c r="N1914" t="str">
        <f>IFERROR(__xludf.DUMMYFUNCTION("""COMPUTED_VALUE"""),"")</f>
        <v/>
      </c>
      <c r="O1914" t="str">
        <f>IFERROR(__xludf.DUMMYFUNCTION("""COMPUTED_VALUE"""),"")</f>
        <v/>
      </c>
      <c r="P1914" t="str">
        <f>IFERROR(__xludf.DUMMYFUNCTION("""COMPUTED_VALUE"""),"ID ")</f>
        <v>ID </v>
      </c>
    </row>
    <row r="1915">
      <c r="A1915" s="6" t="str">
        <f>IFERROR(__xludf.DUMMYFUNCTION("""COMPUTED_VALUE"""),"")</f>
        <v/>
      </c>
      <c r="C1915" t="str">
        <f>IFERROR(__xludf.DUMMYFUNCTION("""COMPUTED_VALUE"""),"")</f>
        <v/>
      </c>
      <c r="D1915" t="str">
        <f>IFERROR(__xludf.DUMMYFUNCTION("""COMPUTED_VALUE"""),"")</f>
        <v/>
      </c>
      <c r="E1915" t="str">
        <f>IFERROR(__xludf.DUMMYFUNCTION("""COMPUTED_VALUE"""),"")</f>
        <v/>
      </c>
      <c r="F1915" t="str">
        <f>IFERROR(__xludf.DUMMYFUNCTION("""COMPUTED_VALUE"""),"")</f>
        <v/>
      </c>
      <c r="G1915" t="str">
        <f>IFERROR(__xludf.DUMMYFUNCTION("""COMPUTED_VALUE"""),"")</f>
        <v/>
      </c>
      <c r="H1915" s="2" t="str">
        <f>IFERROR(__xludf.DUMMYFUNCTION("""COMPUTED_VALUE"""),"")</f>
        <v/>
      </c>
      <c r="I1915" s="2" t="str">
        <f>IFERROR(__xludf.DUMMYFUNCTION("""COMPUTED_VALUE"""),"")</f>
        <v/>
      </c>
      <c r="J1915" s="2">
        <f>IFERROR(__xludf.DUMMYFUNCTION("""COMPUTED_VALUE"""),0.0)</f>
        <v>0</v>
      </c>
      <c r="K1915" s="5" t="str">
        <f>IFERROR(__xludf.DUMMYFUNCTION("""COMPUTED_VALUE"""),"")</f>
        <v/>
      </c>
      <c r="L1915" t="str">
        <f>IFERROR(__xludf.DUMMYFUNCTION("""COMPUTED_VALUE"""),"")</f>
        <v/>
      </c>
      <c r="M1915" t="str">
        <f>IFERROR(__xludf.DUMMYFUNCTION("""COMPUTED_VALUE"""),"")</f>
        <v/>
      </c>
      <c r="N1915" t="str">
        <f>IFERROR(__xludf.DUMMYFUNCTION("""COMPUTED_VALUE"""),"")</f>
        <v/>
      </c>
      <c r="O1915" t="str">
        <f>IFERROR(__xludf.DUMMYFUNCTION("""COMPUTED_VALUE"""),"")</f>
        <v/>
      </c>
      <c r="P1915" t="str">
        <f>IFERROR(__xludf.DUMMYFUNCTION("""COMPUTED_VALUE"""),"ID ")</f>
        <v>ID </v>
      </c>
    </row>
    <row r="1916">
      <c r="A1916" s="6" t="str">
        <f>IFERROR(__xludf.DUMMYFUNCTION("""COMPUTED_VALUE"""),"")</f>
        <v/>
      </c>
      <c r="C1916" t="str">
        <f>IFERROR(__xludf.DUMMYFUNCTION("""COMPUTED_VALUE"""),"")</f>
        <v/>
      </c>
      <c r="D1916" t="str">
        <f>IFERROR(__xludf.DUMMYFUNCTION("""COMPUTED_VALUE"""),"")</f>
        <v/>
      </c>
      <c r="E1916" t="str">
        <f>IFERROR(__xludf.DUMMYFUNCTION("""COMPUTED_VALUE"""),"")</f>
        <v/>
      </c>
      <c r="F1916" t="str">
        <f>IFERROR(__xludf.DUMMYFUNCTION("""COMPUTED_VALUE"""),"")</f>
        <v/>
      </c>
      <c r="G1916" t="str">
        <f>IFERROR(__xludf.DUMMYFUNCTION("""COMPUTED_VALUE"""),"")</f>
        <v/>
      </c>
      <c r="H1916" s="2" t="str">
        <f>IFERROR(__xludf.DUMMYFUNCTION("""COMPUTED_VALUE"""),"")</f>
        <v/>
      </c>
      <c r="I1916" s="2" t="str">
        <f>IFERROR(__xludf.DUMMYFUNCTION("""COMPUTED_VALUE"""),"")</f>
        <v/>
      </c>
      <c r="J1916" s="2">
        <f>IFERROR(__xludf.DUMMYFUNCTION("""COMPUTED_VALUE"""),0.0)</f>
        <v>0</v>
      </c>
      <c r="K1916" s="5" t="str">
        <f>IFERROR(__xludf.DUMMYFUNCTION("""COMPUTED_VALUE"""),"")</f>
        <v/>
      </c>
      <c r="L1916" t="str">
        <f>IFERROR(__xludf.DUMMYFUNCTION("""COMPUTED_VALUE"""),"")</f>
        <v/>
      </c>
      <c r="M1916" t="str">
        <f>IFERROR(__xludf.DUMMYFUNCTION("""COMPUTED_VALUE"""),"")</f>
        <v/>
      </c>
      <c r="N1916" t="str">
        <f>IFERROR(__xludf.DUMMYFUNCTION("""COMPUTED_VALUE"""),"")</f>
        <v/>
      </c>
      <c r="O1916" t="str">
        <f>IFERROR(__xludf.DUMMYFUNCTION("""COMPUTED_VALUE"""),"")</f>
        <v/>
      </c>
      <c r="P1916" t="str">
        <f>IFERROR(__xludf.DUMMYFUNCTION("""COMPUTED_VALUE"""),"ID ")</f>
        <v>ID </v>
      </c>
    </row>
    <row r="1917">
      <c r="A1917" s="6" t="str">
        <f>IFERROR(__xludf.DUMMYFUNCTION("""COMPUTED_VALUE"""),"")</f>
        <v/>
      </c>
      <c r="C1917" t="str">
        <f>IFERROR(__xludf.DUMMYFUNCTION("""COMPUTED_VALUE"""),"")</f>
        <v/>
      </c>
      <c r="D1917" t="str">
        <f>IFERROR(__xludf.DUMMYFUNCTION("""COMPUTED_VALUE"""),"")</f>
        <v/>
      </c>
      <c r="E1917" t="str">
        <f>IFERROR(__xludf.DUMMYFUNCTION("""COMPUTED_VALUE"""),"")</f>
        <v/>
      </c>
      <c r="F1917" t="str">
        <f>IFERROR(__xludf.DUMMYFUNCTION("""COMPUTED_VALUE"""),"")</f>
        <v/>
      </c>
      <c r="G1917" t="str">
        <f>IFERROR(__xludf.DUMMYFUNCTION("""COMPUTED_VALUE"""),"")</f>
        <v/>
      </c>
      <c r="H1917" s="2" t="str">
        <f>IFERROR(__xludf.DUMMYFUNCTION("""COMPUTED_VALUE"""),"")</f>
        <v/>
      </c>
      <c r="I1917" s="2" t="str">
        <f>IFERROR(__xludf.DUMMYFUNCTION("""COMPUTED_VALUE"""),"")</f>
        <v/>
      </c>
      <c r="J1917" s="2">
        <f>IFERROR(__xludf.DUMMYFUNCTION("""COMPUTED_VALUE"""),0.0)</f>
        <v>0</v>
      </c>
      <c r="K1917" s="5" t="str">
        <f>IFERROR(__xludf.DUMMYFUNCTION("""COMPUTED_VALUE"""),"")</f>
        <v/>
      </c>
      <c r="L1917" t="str">
        <f>IFERROR(__xludf.DUMMYFUNCTION("""COMPUTED_VALUE"""),"")</f>
        <v/>
      </c>
      <c r="M1917" t="str">
        <f>IFERROR(__xludf.DUMMYFUNCTION("""COMPUTED_VALUE"""),"")</f>
        <v/>
      </c>
      <c r="N1917" t="str">
        <f>IFERROR(__xludf.DUMMYFUNCTION("""COMPUTED_VALUE"""),"")</f>
        <v/>
      </c>
      <c r="O1917" t="str">
        <f>IFERROR(__xludf.DUMMYFUNCTION("""COMPUTED_VALUE"""),"")</f>
        <v/>
      </c>
      <c r="P1917" t="str">
        <f>IFERROR(__xludf.DUMMYFUNCTION("""COMPUTED_VALUE"""),"ID ")</f>
        <v>ID </v>
      </c>
    </row>
    <row r="1918">
      <c r="A1918" s="6" t="str">
        <f>IFERROR(__xludf.DUMMYFUNCTION("""COMPUTED_VALUE"""),"")</f>
        <v/>
      </c>
      <c r="C1918" t="str">
        <f>IFERROR(__xludf.DUMMYFUNCTION("""COMPUTED_VALUE"""),"")</f>
        <v/>
      </c>
      <c r="D1918" t="str">
        <f>IFERROR(__xludf.DUMMYFUNCTION("""COMPUTED_VALUE"""),"")</f>
        <v/>
      </c>
      <c r="E1918" t="str">
        <f>IFERROR(__xludf.DUMMYFUNCTION("""COMPUTED_VALUE"""),"")</f>
        <v/>
      </c>
      <c r="F1918" t="str">
        <f>IFERROR(__xludf.DUMMYFUNCTION("""COMPUTED_VALUE"""),"")</f>
        <v/>
      </c>
      <c r="G1918" t="str">
        <f>IFERROR(__xludf.DUMMYFUNCTION("""COMPUTED_VALUE"""),"")</f>
        <v/>
      </c>
      <c r="H1918" s="2" t="str">
        <f>IFERROR(__xludf.DUMMYFUNCTION("""COMPUTED_VALUE"""),"")</f>
        <v/>
      </c>
      <c r="I1918" s="2" t="str">
        <f>IFERROR(__xludf.DUMMYFUNCTION("""COMPUTED_VALUE"""),"")</f>
        <v/>
      </c>
      <c r="J1918" s="2">
        <f>IFERROR(__xludf.DUMMYFUNCTION("""COMPUTED_VALUE"""),0.0)</f>
        <v>0</v>
      </c>
      <c r="K1918" s="5" t="str">
        <f>IFERROR(__xludf.DUMMYFUNCTION("""COMPUTED_VALUE"""),"")</f>
        <v/>
      </c>
      <c r="L1918" t="str">
        <f>IFERROR(__xludf.DUMMYFUNCTION("""COMPUTED_VALUE"""),"")</f>
        <v/>
      </c>
      <c r="M1918" t="str">
        <f>IFERROR(__xludf.DUMMYFUNCTION("""COMPUTED_VALUE"""),"")</f>
        <v/>
      </c>
      <c r="N1918" t="str">
        <f>IFERROR(__xludf.DUMMYFUNCTION("""COMPUTED_VALUE"""),"")</f>
        <v/>
      </c>
      <c r="O1918" t="str">
        <f>IFERROR(__xludf.DUMMYFUNCTION("""COMPUTED_VALUE"""),"")</f>
        <v/>
      </c>
      <c r="P1918" t="str">
        <f>IFERROR(__xludf.DUMMYFUNCTION("""COMPUTED_VALUE"""),"ID ")</f>
        <v>ID </v>
      </c>
    </row>
    <row r="1919">
      <c r="A1919" s="6" t="str">
        <f>IFERROR(__xludf.DUMMYFUNCTION("""COMPUTED_VALUE"""),"")</f>
        <v/>
      </c>
      <c r="C1919" t="str">
        <f>IFERROR(__xludf.DUMMYFUNCTION("""COMPUTED_VALUE"""),"")</f>
        <v/>
      </c>
      <c r="D1919" t="str">
        <f>IFERROR(__xludf.DUMMYFUNCTION("""COMPUTED_VALUE"""),"")</f>
        <v/>
      </c>
      <c r="E1919" t="str">
        <f>IFERROR(__xludf.DUMMYFUNCTION("""COMPUTED_VALUE"""),"")</f>
        <v/>
      </c>
      <c r="F1919" t="str">
        <f>IFERROR(__xludf.DUMMYFUNCTION("""COMPUTED_VALUE"""),"")</f>
        <v/>
      </c>
      <c r="G1919" t="str">
        <f>IFERROR(__xludf.DUMMYFUNCTION("""COMPUTED_VALUE"""),"")</f>
        <v/>
      </c>
      <c r="H1919" s="2" t="str">
        <f>IFERROR(__xludf.DUMMYFUNCTION("""COMPUTED_VALUE"""),"")</f>
        <v/>
      </c>
      <c r="I1919" s="2" t="str">
        <f>IFERROR(__xludf.DUMMYFUNCTION("""COMPUTED_VALUE"""),"")</f>
        <v/>
      </c>
      <c r="J1919" s="2">
        <f>IFERROR(__xludf.DUMMYFUNCTION("""COMPUTED_VALUE"""),0.0)</f>
        <v>0</v>
      </c>
      <c r="K1919" s="5" t="str">
        <f>IFERROR(__xludf.DUMMYFUNCTION("""COMPUTED_VALUE"""),"")</f>
        <v/>
      </c>
      <c r="L1919" t="str">
        <f>IFERROR(__xludf.DUMMYFUNCTION("""COMPUTED_VALUE"""),"")</f>
        <v/>
      </c>
      <c r="M1919" t="str">
        <f>IFERROR(__xludf.DUMMYFUNCTION("""COMPUTED_VALUE"""),"")</f>
        <v/>
      </c>
      <c r="N1919" t="str">
        <f>IFERROR(__xludf.DUMMYFUNCTION("""COMPUTED_VALUE"""),"")</f>
        <v/>
      </c>
      <c r="O1919" t="str">
        <f>IFERROR(__xludf.DUMMYFUNCTION("""COMPUTED_VALUE"""),"")</f>
        <v/>
      </c>
      <c r="P1919" t="str">
        <f>IFERROR(__xludf.DUMMYFUNCTION("""COMPUTED_VALUE"""),"ID ")</f>
        <v>ID </v>
      </c>
    </row>
    <row r="1920">
      <c r="A1920" s="6" t="str">
        <f>IFERROR(__xludf.DUMMYFUNCTION("""COMPUTED_VALUE"""),"")</f>
        <v/>
      </c>
      <c r="C1920" t="str">
        <f>IFERROR(__xludf.DUMMYFUNCTION("""COMPUTED_VALUE"""),"")</f>
        <v/>
      </c>
      <c r="D1920" t="str">
        <f>IFERROR(__xludf.DUMMYFUNCTION("""COMPUTED_VALUE"""),"")</f>
        <v/>
      </c>
      <c r="E1920" t="str">
        <f>IFERROR(__xludf.DUMMYFUNCTION("""COMPUTED_VALUE"""),"")</f>
        <v/>
      </c>
      <c r="F1920" t="str">
        <f>IFERROR(__xludf.DUMMYFUNCTION("""COMPUTED_VALUE"""),"")</f>
        <v/>
      </c>
      <c r="G1920" t="str">
        <f>IFERROR(__xludf.DUMMYFUNCTION("""COMPUTED_VALUE"""),"")</f>
        <v/>
      </c>
      <c r="H1920" s="2" t="str">
        <f>IFERROR(__xludf.DUMMYFUNCTION("""COMPUTED_VALUE"""),"")</f>
        <v/>
      </c>
      <c r="I1920" s="2" t="str">
        <f>IFERROR(__xludf.DUMMYFUNCTION("""COMPUTED_VALUE"""),"")</f>
        <v/>
      </c>
      <c r="J1920" s="2">
        <f>IFERROR(__xludf.DUMMYFUNCTION("""COMPUTED_VALUE"""),0.0)</f>
        <v>0</v>
      </c>
      <c r="K1920" s="5" t="str">
        <f>IFERROR(__xludf.DUMMYFUNCTION("""COMPUTED_VALUE"""),"")</f>
        <v/>
      </c>
      <c r="L1920" t="str">
        <f>IFERROR(__xludf.DUMMYFUNCTION("""COMPUTED_VALUE"""),"")</f>
        <v/>
      </c>
      <c r="M1920" t="str">
        <f>IFERROR(__xludf.DUMMYFUNCTION("""COMPUTED_VALUE"""),"")</f>
        <v/>
      </c>
      <c r="N1920" t="str">
        <f>IFERROR(__xludf.DUMMYFUNCTION("""COMPUTED_VALUE"""),"")</f>
        <v/>
      </c>
      <c r="O1920" t="str">
        <f>IFERROR(__xludf.DUMMYFUNCTION("""COMPUTED_VALUE"""),"")</f>
        <v/>
      </c>
      <c r="P1920" t="str">
        <f>IFERROR(__xludf.DUMMYFUNCTION("""COMPUTED_VALUE"""),"ID ")</f>
        <v>ID </v>
      </c>
    </row>
    <row r="1921">
      <c r="A1921" s="6" t="str">
        <f>IFERROR(__xludf.DUMMYFUNCTION("""COMPUTED_VALUE"""),"")</f>
        <v/>
      </c>
      <c r="C1921" t="str">
        <f>IFERROR(__xludf.DUMMYFUNCTION("""COMPUTED_VALUE"""),"")</f>
        <v/>
      </c>
      <c r="D1921" t="str">
        <f>IFERROR(__xludf.DUMMYFUNCTION("""COMPUTED_VALUE"""),"")</f>
        <v/>
      </c>
      <c r="E1921" t="str">
        <f>IFERROR(__xludf.DUMMYFUNCTION("""COMPUTED_VALUE"""),"")</f>
        <v/>
      </c>
      <c r="F1921" t="str">
        <f>IFERROR(__xludf.DUMMYFUNCTION("""COMPUTED_VALUE"""),"")</f>
        <v/>
      </c>
      <c r="G1921" t="str">
        <f>IFERROR(__xludf.DUMMYFUNCTION("""COMPUTED_VALUE"""),"")</f>
        <v/>
      </c>
      <c r="H1921" s="2" t="str">
        <f>IFERROR(__xludf.DUMMYFUNCTION("""COMPUTED_VALUE"""),"")</f>
        <v/>
      </c>
      <c r="I1921" s="2" t="str">
        <f>IFERROR(__xludf.DUMMYFUNCTION("""COMPUTED_VALUE"""),"")</f>
        <v/>
      </c>
      <c r="J1921" s="2">
        <f>IFERROR(__xludf.DUMMYFUNCTION("""COMPUTED_VALUE"""),0.0)</f>
        <v>0</v>
      </c>
      <c r="K1921" s="5" t="str">
        <f>IFERROR(__xludf.DUMMYFUNCTION("""COMPUTED_VALUE"""),"")</f>
        <v/>
      </c>
      <c r="L1921" t="str">
        <f>IFERROR(__xludf.DUMMYFUNCTION("""COMPUTED_VALUE"""),"")</f>
        <v/>
      </c>
      <c r="M1921" t="str">
        <f>IFERROR(__xludf.DUMMYFUNCTION("""COMPUTED_VALUE"""),"")</f>
        <v/>
      </c>
      <c r="N1921" t="str">
        <f>IFERROR(__xludf.DUMMYFUNCTION("""COMPUTED_VALUE"""),"")</f>
        <v/>
      </c>
      <c r="O1921" t="str">
        <f>IFERROR(__xludf.DUMMYFUNCTION("""COMPUTED_VALUE"""),"")</f>
        <v/>
      </c>
      <c r="P1921" t="str">
        <f>IFERROR(__xludf.DUMMYFUNCTION("""COMPUTED_VALUE"""),"ID ")</f>
        <v>ID </v>
      </c>
    </row>
    <row r="1922">
      <c r="A1922" s="6" t="str">
        <f>IFERROR(__xludf.DUMMYFUNCTION("""COMPUTED_VALUE"""),"")</f>
        <v/>
      </c>
      <c r="C1922" t="str">
        <f>IFERROR(__xludf.DUMMYFUNCTION("""COMPUTED_VALUE"""),"")</f>
        <v/>
      </c>
      <c r="D1922" t="str">
        <f>IFERROR(__xludf.DUMMYFUNCTION("""COMPUTED_VALUE"""),"")</f>
        <v/>
      </c>
      <c r="E1922" t="str">
        <f>IFERROR(__xludf.DUMMYFUNCTION("""COMPUTED_VALUE"""),"")</f>
        <v/>
      </c>
      <c r="F1922" t="str">
        <f>IFERROR(__xludf.DUMMYFUNCTION("""COMPUTED_VALUE"""),"")</f>
        <v/>
      </c>
      <c r="G1922" t="str">
        <f>IFERROR(__xludf.DUMMYFUNCTION("""COMPUTED_VALUE"""),"")</f>
        <v/>
      </c>
      <c r="H1922" s="2" t="str">
        <f>IFERROR(__xludf.DUMMYFUNCTION("""COMPUTED_VALUE"""),"")</f>
        <v/>
      </c>
      <c r="I1922" s="2" t="str">
        <f>IFERROR(__xludf.DUMMYFUNCTION("""COMPUTED_VALUE"""),"")</f>
        <v/>
      </c>
      <c r="J1922" s="2">
        <f>IFERROR(__xludf.DUMMYFUNCTION("""COMPUTED_VALUE"""),0.0)</f>
        <v>0</v>
      </c>
      <c r="K1922" s="5" t="str">
        <f>IFERROR(__xludf.DUMMYFUNCTION("""COMPUTED_VALUE"""),"")</f>
        <v/>
      </c>
      <c r="L1922" t="str">
        <f>IFERROR(__xludf.DUMMYFUNCTION("""COMPUTED_VALUE"""),"")</f>
        <v/>
      </c>
      <c r="M1922" t="str">
        <f>IFERROR(__xludf.DUMMYFUNCTION("""COMPUTED_VALUE"""),"")</f>
        <v/>
      </c>
      <c r="N1922" t="str">
        <f>IFERROR(__xludf.DUMMYFUNCTION("""COMPUTED_VALUE"""),"")</f>
        <v/>
      </c>
      <c r="O1922" t="str">
        <f>IFERROR(__xludf.DUMMYFUNCTION("""COMPUTED_VALUE"""),"")</f>
        <v/>
      </c>
      <c r="P1922" t="str">
        <f>IFERROR(__xludf.DUMMYFUNCTION("""COMPUTED_VALUE"""),"ID ")</f>
        <v>ID </v>
      </c>
    </row>
    <row r="1923">
      <c r="A1923" s="6" t="str">
        <f>IFERROR(__xludf.DUMMYFUNCTION("""COMPUTED_VALUE"""),"")</f>
        <v/>
      </c>
      <c r="C1923" t="str">
        <f>IFERROR(__xludf.DUMMYFUNCTION("""COMPUTED_VALUE"""),"")</f>
        <v/>
      </c>
      <c r="D1923" t="str">
        <f>IFERROR(__xludf.DUMMYFUNCTION("""COMPUTED_VALUE"""),"")</f>
        <v/>
      </c>
      <c r="E1923" t="str">
        <f>IFERROR(__xludf.DUMMYFUNCTION("""COMPUTED_VALUE"""),"")</f>
        <v/>
      </c>
      <c r="F1923" t="str">
        <f>IFERROR(__xludf.DUMMYFUNCTION("""COMPUTED_VALUE"""),"")</f>
        <v/>
      </c>
      <c r="G1923" t="str">
        <f>IFERROR(__xludf.DUMMYFUNCTION("""COMPUTED_VALUE"""),"")</f>
        <v/>
      </c>
      <c r="H1923" s="2" t="str">
        <f>IFERROR(__xludf.DUMMYFUNCTION("""COMPUTED_VALUE"""),"")</f>
        <v/>
      </c>
      <c r="I1923" s="2" t="str">
        <f>IFERROR(__xludf.DUMMYFUNCTION("""COMPUTED_VALUE"""),"")</f>
        <v/>
      </c>
      <c r="J1923" s="2">
        <f>IFERROR(__xludf.DUMMYFUNCTION("""COMPUTED_VALUE"""),0.0)</f>
        <v>0</v>
      </c>
      <c r="K1923" s="5" t="str">
        <f>IFERROR(__xludf.DUMMYFUNCTION("""COMPUTED_VALUE"""),"")</f>
        <v/>
      </c>
      <c r="L1923" t="str">
        <f>IFERROR(__xludf.DUMMYFUNCTION("""COMPUTED_VALUE"""),"")</f>
        <v/>
      </c>
      <c r="M1923" t="str">
        <f>IFERROR(__xludf.DUMMYFUNCTION("""COMPUTED_VALUE"""),"")</f>
        <v/>
      </c>
      <c r="N1923" t="str">
        <f>IFERROR(__xludf.DUMMYFUNCTION("""COMPUTED_VALUE"""),"")</f>
        <v/>
      </c>
      <c r="O1923" t="str">
        <f>IFERROR(__xludf.DUMMYFUNCTION("""COMPUTED_VALUE"""),"")</f>
        <v/>
      </c>
      <c r="P1923" t="str">
        <f>IFERROR(__xludf.DUMMYFUNCTION("""COMPUTED_VALUE"""),"ID ")</f>
        <v>ID </v>
      </c>
    </row>
    <row r="1924">
      <c r="A1924" s="6" t="str">
        <f>IFERROR(__xludf.DUMMYFUNCTION("""COMPUTED_VALUE"""),"")</f>
        <v/>
      </c>
      <c r="C1924" t="str">
        <f>IFERROR(__xludf.DUMMYFUNCTION("""COMPUTED_VALUE"""),"")</f>
        <v/>
      </c>
      <c r="D1924" t="str">
        <f>IFERROR(__xludf.DUMMYFUNCTION("""COMPUTED_VALUE"""),"")</f>
        <v/>
      </c>
      <c r="E1924" t="str">
        <f>IFERROR(__xludf.DUMMYFUNCTION("""COMPUTED_VALUE"""),"")</f>
        <v/>
      </c>
      <c r="F1924" t="str">
        <f>IFERROR(__xludf.DUMMYFUNCTION("""COMPUTED_VALUE"""),"")</f>
        <v/>
      </c>
      <c r="G1924" t="str">
        <f>IFERROR(__xludf.DUMMYFUNCTION("""COMPUTED_VALUE"""),"")</f>
        <v/>
      </c>
      <c r="H1924" s="2" t="str">
        <f>IFERROR(__xludf.DUMMYFUNCTION("""COMPUTED_VALUE"""),"")</f>
        <v/>
      </c>
      <c r="I1924" s="2" t="str">
        <f>IFERROR(__xludf.DUMMYFUNCTION("""COMPUTED_VALUE"""),"")</f>
        <v/>
      </c>
      <c r="J1924" s="2">
        <f>IFERROR(__xludf.DUMMYFUNCTION("""COMPUTED_VALUE"""),0.0)</f>
        <v>0</v>
      </c>
      <c r="K1924" s="5" t="str">
        <f>IFERROR(__xludf.DUMMYFUNCTION("""COMPUTED_VALUE"""),"")</f>
        <v/>
      </c>
      <c r="L1924" t="str">
        <f>IFERROR(__xludf.DUMMYFUNCTION("""COMPUTED_VALUE"""),"")</f>
        <v/>
      </c>
      <c r="M1924" t="str">
        <f>IFERROR(__xludf.DUMMYFUNCTION("""COMPUTED_VALUE"""),"")</f>
        <v/>
      </c>
      <c r="N1924" t="str">
        <f>IFERROR(__xludf.DUMMYFUNCTION("""COMPUTED_VALUE"""),"")</f>
        <v/>
      </c>
      <c r="O1924" t="str">
        <f>IFERROR(__xludf.DUMMYFUNCTION("""COMPUTED_VALUE"""),"")</f>
        <v/>
      </c>
      <c r="P1924" t="str">
        <f>IFERROR(__xludf.DUMMYFUNCTION("""COMPUTED_VALUE"""),"ID ")</f>
        <v>ID </v>
      </c>
    </row>
    <row r="1925">
      <c r="A1925" s="6" t="str">
        <f>IFERROR(__xludf.DUMMYFUNCTION("""COMPUTED_VALUE"""),"")</f>
        <v/>
      </c>
      <c r="C1925" t="str">
        <f>IFERROR(__xludf.DUMMYFUNCTION("""COMPUTED_VALUE"""),"")</f>
        <v/>
      </c>
      <c r="D1925" t="str">
        <f>IFERROR(__xludf.DUMMYFUNCTION("""COMPUTED_VALUE"""),"")</f>
        <v/>
      </c>
      <c r="E1925" t="str">
        <f>IFERROR(__xludf.DUMMYFUNCTION("""COMPUTED_VALUE"""),"")</f>
        <v/>
      </c>
      <c r="F1925" t="str">
        <f>IFERROR(__xludf.DUMMYFUNCTION("""COMPUTED_VALUE"""),"")</f>
        <v/>
      </c>
      <c r="G1925" t="str">
        <f>IFERROR(__xludf.DUMMYFUNCTION("""COMPUTED_VALUE"""),"")</f>
        <v/>
      </c>
      <c r="H1925" s="2" t="str">
        <f>IFERROR(__xludf.DUMMYFUNCTION("""COMPUTED_VALUE"""),"")</f>
        <v/>
      </c>
      <c r="I1925" s="2" t="str">
        <f>IFERROR(__xludf.DUMMYFUNCTION("""COMPUTED_VALUE"""),"")</f>
        <v/>
      </c>
      <c r="J1925" s="2">
        <f>IFERROR(__xludf.DUMMYFUNCTION("""COMPUTED_VALUE"""),0.0)</f>
        <v>0</v>
      </c>
      <c r="K1925" s="5" t="str">
        <f>IFERROR(__xludf.DUMMYFUNCTION("""COMPUTED_VALUE"""),"")</f>
        <v/>
      </c>
      <c r="L1925" t="str">
        <f>IFERROR(__xludf.DUMMYFUNCTION("""COMPUTED_VALUE"""),"")</f>
        <v/>
      </c>
      <c r="M1925" t="str">
        <f>IFERROR(__xludf.DUMMYFUNCTION("""COMPUTED_VALUE"""),"")</f>
        <v/>
      </c>
      <c r="N1925" t="str">
        <f>IFERROR(__xludf.DUMMYFUNCTION("""COMPUTED_VALUE"""),"")</f>
        <v/>
      </c>
      <c r="O1925" t="str">
        <f>IFERROR(__xludf.DUMMYFUNCTION("""COMPUTED_VALUE"""),"")</f>
        <v/>
      </c>
      <c r="P1925" t="str">
        <f>IFERROR(__xludf.DUMMYFUNCTION("""COMPUTED_VALUE"""),"ID ")</f>
        <v>ID </v>
      </c>
    </row>
    <row r="1926">
      <c r="A1926" s="6" t="str">
        <f>IFERROR(__xludf.DUMMYFUNCTION("""COMPUTED_VALUE"""),"")</f>
        <v/>
      </c>
      <c r="C1926" t="str">
        <f>IFERROR(__xludf.DUMMYFUNCTION("""COMPUTED_VALUE"""),"")</f>
        <v/>
      </c>
      <c r="D1926" t="str">
        <f>IFERROR(__xludf.DUMMYFUNCTION("""COMPUTED_VALUE"""),"")</f>
        <v/>
      </c>
      <c r="E1926" t="str">
        <f>IFERROR(__xludf.DUMMYFUNCTION("""COMPUTED_VALUE"""),"")</f>
        <v/>
      </c>
      <c r="F1926" t="str">
        <f>IFERROR(__xludf.DUMMYFUNCTION("""COMPUTED_VALUE"""),"")</f>
        <v/>
      </c>
      <c r="G1926" t="str">
        <f>IFERROR(__xludf.DUMMYFUNCTION("""COMPUTED_VALUE"""),"")</f>
        <v/>
      </c>
      <c r="H1926" s="2" t="str">
        <f>IFERROR(__xludf.DUMMYFUNCTION("""COMPUTED_VALUE"""),"")</f>
        <v/>
      </c>
      <c r="I1926" s="2" t="str">
        <f>IFERROR(__xludf.DUMMYFUNCTION("""COMPUTED_VALUE"""),"")</f>
        <v/>
      </c>
      <c r="J1926" s="2">
        <f>IFERROR(__xludf.DUMMYFUNCTION("""COMPUTED_VALUE"""),0.0)</f>
        <v>0</v>
      </c>
      <c r="K1926" s="5" t="str">
        <f>IFERROR(__xludf.DUMMYFUNCTION("""COMPUTED_VALUE"""),"")</f>
        <v/>
      </c>
      <c r="L1926" t="str">
        <f>IFERROR(__xludf.DUMMYFUNCTION("""COMPUTED_VALUE"""),"")</f>
        <v/>
      </c>
      <c r="M1926" t="str">
        <f>IFERROR(__xludf.DUMMYFUNCTION("""COMPUTED_VALUE"""),"")</f>
        <v/>
      </c>
      <c r="N1926" t="str">
        <f>IFERROR(__xludf.DUMMYFUNCTION("""COMPUTED_VALUE"""),"")</f>
        <v/>
      </c>
      <c r="O1926" t="str">
        <f>IFERROR(__xludf.DUMMYFUNCTION("""COMPUTED_VALUE"""),"")</f>
        <v/>
      </c>
      <c r="P1926" t="str">
        <f>IFERROR(__xludf.DUMMYFUNCTION("""COMPUTED_VALUE"""),"ID ")</f>
        <v>ID </v>
      </c>
    </row>
    <row r="1927">
      <c r="A1927" s="6" t="str">
        <f>IFERROR(__xludf.DUMMYFUNCTION("""COMPUTED_VALUE"""),"")</f>
        <v/>
      </c>
      <c r="C1927" t="str">
        <f>IFERROR(__xludf.DUMMYFUNCTION("""COMPUTED_VALUE"""),"")</f>
        <v/>
      </c>
      <c r="D1927" t="str">
        <f>IFERROR(__xludf.DUMMYFUNCTION("""COMPUTED_VALUE"""),"")</f>
        <v/>
      </c>
      <c r="E1927" t="str">
        <f>IFERROR(__xludf.DUMMYFUNCTION("""COMPUTED_VALUE"""),"")</f>
        <v/>
      </c>
      <c r="F1927" t="str">
        <f>IFERROR(__xludf.DUMMYFUNCTION("""COMPUTED_VALUE"""),"")</f>
        <v/>
      </c>
      <c r="G1927" t="str">
        <f>IFERROR(__xludf.DUMMYFUNCTION("""COMPUTED_VALUE"""),"")</f>
        <v/>
      </c>
      <c r="H1927" s="2" t="str">
        <f>IFERROR(__xludf.DUMMYFUNCTION("""COMPUTED_VALUE"""),"")</f>
        <v/>
      </c>
      <c r="I1927" s="2" t="str">
        <f>IFERROR(__xludf.DUMMYFUNCTION("""COMPUTED_VALUE"""),"")</f>
        <v/>
      </c>
      <c r="J1927" s="2">
        <f>IFERROR(__xludf.DUMMYFUNCTION("""COMPUTED_VALUE"""),0.0)</f>
        <v>0</v>
      </c>
      <c r="K1927" s="5" t="str">
        <f>IFERROR(__xludf.DUMMYFUNCTION("""COMPUTED_VALUE"""),"")</f>
        <v/>
      </c>
      <c r="L1927" t="str">
        <f>IFERROR(__xludf.DUMMYFUNCTION("""COMPUTED_VALUE"""),"")</f>
        <v/>
      </c>
      <c r="M1927" t="str">
        <f>IFERROR(__xludf.DUMMYFUNCTION("""COMPUTED_VALUE"""),"")</f>
        <v/>
      </c>
      <c r="N1927" t="str">
        <f>IFERROR(__xludf.DUMMYFUNCTION("""COMPUTED_VALUE"""),"")</f>
        <v/>
      </c>
      <c r="O1927" t="str">
        <f>IFERROR(__xludf.DUMMYFUNCTION("""COMPUTED_VALUE"""),"")</f>
        <v/>
      </c>
      <c r="P1927" t="str">
        <f>IFERROR(__xludf.DUMMYFUNCTION("""COMPUTED_VALUE"""),"ID ")</f>
        <v>ID </v>
      </c>
    </row>
    <row r="1928">
      <c r="A1928" s="6" t="str">
        <f>IFERROR(__xludf.DUMMYFUNCTION("""COMPUTED_VALUE"""),"")</f>
        <v/>
      </c>
      <c r="C1928" t="str">
        <f>IFERROR(__xludf.DUMMYFUNCTION("""COMPUTED_VALUE"""),"")</f>
        <v/>
      </c>
      <c r="D1928" t="str">
        <f>IFERROR(__xludf.DUMMYFUNCTION("""COMPUTED_VALUE"""),"")</f>
        <v/>
      </c>
      <c r="E1928" t="str">
        <f>IFERROR(__xludf.DUMMYFUNCTION("""COMPUTED_VALUE"""),"")</f>
        <v/>
      </c>
      <c r="F1928" t="str">
        <f>IFERROR(__xludf.DUMMYFUNCTION("""COMPUTED_VALUE"""),"")</f>
        <v/>
      </c>
      <c r="G1928" t="str">
        <f>IFERROR(__xludf.DUMMYFUNCTION("""COMPUTED_VALUE"""),"")</f>
        <v/>
      </c>
      <c r="H1928" s="2" t="str">
        <f>IFERROR(__xludf.DUMMYFUNCTION("""COMPUTED_VALUE"""),"")</f>
        <v/>
      </c>
      <c r="I1928" s="2" t="str">
        <f>IFERROR(__xludf.DUMMYFUNCTION("""COMPUTED_VALUE"""),"")</f>
        <v/>
      </c>
      <c r="J1928" s="2">
        <f>IFERROR(__xludf.DUMMYFUNCTION("""COMPUTED_VALUE"""),0.0)</f>
        <v>0</v>
      </c>
      <c r="K1928" s="5" t="str">
        <f>IFERROR(__xludf.DUMMYFUNCTION("""COMPUTED_VALUE"""),"")</f>
        <v/>
      </c>
      <c r="L1928" t="str">
        <f>IFERROR(__xludf.DUMMYFUNCTION("""COMPUTED_VALUE"""),"")</f>
        <v/>
      </c>
      <c r="M1928" t="str">
        <f>IFERROR(__xludf.DUMMYFUNCTION("""COMPUTED_VALUE"""),"")</f>
        <v/>
      </c>
      <c r="N1928" t="str">
        <f>IFERROR(__xludf.DUMMYFUNCTION("""COMPUTED_VALUE"""),"")</f>
        <v/>
      </c>
      <c r="O1928" t="str">
        <f>IFERROR(__xludf.DUMMYFUNCTION("""COMPUTED_VALUE"""),"")</f>
        <v/>
      </c>
      <c r="P1928" t="str">
        <f>IFERROR(__xludf.DUMMYFUNCTION("""COMPUTED_VALUE"""),"ID ")</f>
        <v>ID </v>
      </c>
    </row>
    <row r="1929">
      <c r="A1929" s="6" t="str">
        <f>IFERROR(__xludf.DUMMYFUNCTION("""COMPUTED_VALUE"""),"")</f>
        <v/>
      </c>
      <c r="C1929" t="str">
        <f>IFERROR(__xludf.DUMMYFUNCTION("""COMPUTED_VALUE"""),"")</f>
        <v/>
      </c>
      <c r="D1929" t="str">
        <f>IFERROR(__xludf.DUMMYFUNCTION("""COMPUTED_VALUE"""),"")</f>
        <v/>
      </c>
      <c r="E1929" t="str">
        <f>IFERROR(__xludf.DUMMYFUNCTION("""COMPUTED_VALUE"""),"")</f>
        <v/>
      </c>
      <c r="F1929" t="str">
        <f>IFERROR(__xludf.DUMMYFUNCTION("""COMPUTED_VALUE"""),"")</f>
        <v/>
      </c>
      <c r="G1929" t="str">
        <f>IFERROR(__xludf.DUMMYFUNCTION("""COMPUTED_VALUE"""),"")</f>
        <v/>
      </c>
      <c r="H1929" s="2" t="str">
        <f>IFERROR(__xludf.DUMMYFUNCTION("""COMPUTED_VALUE"""),"")</f>
        <v/>
      </c>
      <c r="I1929" s="2" t="str">
        <f>IFERROR(__xludf.DUMMYFUNCTION("""COMPUTED_VALUE"""),"")</f>
        <v/>
      </c>
      <c r="J1929" s="2">
        <f>IFERROR(__xludf.DUMMYFUNCTION("""COMPUTED_VALUE"""),0.0)</f>
        <v>0</v>
      </c>
      <c r="K1929" s="5" t="str">
        <f>IFERROR(__xludf.DUMMYFUNCTION("""COMPUTED_VALUE"""),"")</f>
        <v/>
      </c>
      <c r="L1929" t="str">
        <f>IFERROR(__xludf.DUMMYFUNCTION("""COMPUTED_VALUE"""),"")</f>
        <v/>
      </c>
      <c r="M1929" t="str">
        <f>IFERROR(__xludf.DUMMYFUNCTION("""COMPUTED_VALUE"""),"")</f>
        <v/>
      </c>
      <c r="N1929" t="str">
        <f>IFERROR(__xludf.DUMMYFUNCTION("""COMPUTED_VALUE"""),"")</f>
        <v/>
      </c>
      <c r="O1929" t="str">
        <f>IFERROR(__xludf.DUMMYFUNCTION("""COMPUTED_VALUE"""),"")</f>
        <v/>
      </c>
      <c r="P1929" t="str">
        <f>IFERROR(__xludf.DUMMYFUNCTION("""COMPUTED_VALUE"""),"ID ")</f>
        <v>ID </v>
      </c>
    </row>
    <row r="1930">
      <c r="A1930" s="6" t="str">
        <f>IFERROR(__xludf.DUMMYFUNCTION("""COMPUTED_VALUE"""),"")</f>
        <v/>
      </c>
      <c r="C1930" t="str">
        <f>IFERROR(__xludf.DUMMYFUNCTION("""COMPUTED_VALUE"""),"")</f>
        <v/>
      </c>
      <c r="D1930" t="str">
        <f>IFERROR(__xludf.DUMMYFUNCTION("""COMPUTED_VALUE"""),"")</f>
        <v/>
      </c>
      <c r="E1930" t="str">
        <f>IFERROR(__xludf.DUMMYFUNCTION("""COMPUTED_VALUE"""),"")</f>
        <v/>
      </c>
      <c r="F1930" t="str">
        <f>IFERROR(__xludf.DUMMYFUNCTION("""COMPUTED_VALUE"""),"")</f>
        <v/>
      </c>
      <c r="G1930" t="str">
        <f>IFERROR(__xludf.DUMMYFUNCTION("""COMPUTED_VALUE"""),"")</f>
        <v/>
      </c>
      <c r="H1930" s="2" t="str">
        <f>IFERROR(__xludf.DUMMYFUNCTION("""COMPUTED_VALUE"""),"")</f>
        <v/>
      </c>
      <c r="I1930" s="2" t="str">
        <f>IFERROR(__xludf.DUMMYFUNCTION("""COMPUTED_VALUE"""),"")</f>
        <v/>
      </c>
      <c r="J1930" s="2">
        <f>IFERROR(__xludf.DUMMYFUNCTION("""COMPUTED_VALUE"""),0.0)</f>
        <v>0</v>
      </c>
      <c r="K1930" s="5" t="str">
        <f>IFERROR(__xludf.DUMMYFUNCTION("""COMPUTED_VALUE"""),"")</f>
        <v/>
      </c>
      <c r="L1930" t="str">
        <f>IFERROR(__xludf.DUMMYFUNCTION("""COMPUTED_VALUE"""),"")</f>
        <v/>
      </c>
      <c r="M1930" t="str">
        <f>IFERROR(__xludf.DUMMYFUNCTION("""COMPUTED_VALUE"""),"")</f>
        <v/>
      </c>
      <c r="N1930" t="str">
        <f>IFERROR(__xludf.DUMMYFUNCTION("""COMPUTED_VALUE"""),"")</f>
        <v/>
      </c>
      <c r="O1930" t="str">
        <f>IFERROR(__xludf.DUMMYFUNCTION("""COMPUTED_VALUE"""),"")</f>
        <v/>
      </c>
      <c r="P1930" t="str">
        <f>IFERROR(__xludf.DUMMYFUNCTION("""COMPUTED_VALUE"""),"ID ")</f>
        <v>ID </v>
      </c>
    </row>
    <row r="1931">
      <c r="A1931" s="6" t="str">
        <f>IFERROR(__xludf.DUMMYFUNCTION("""COMPUTED_VALUE"""),"")</f>
        <v/>
      </c>
      <c r="C1931" t="str">
        <f>IFERROR(__xludf.DUMMYFUNCTION("""COMPUTED_VALUE"""),"")</f>
        <v/>
      </c>
      <c r="D1931" t="str">
        <f>IFERROR(__xludf.DUMMYFUNCTION("""COMPUTED_VALUE"""),"")</f>
        <v/>
      </c>
      <c r="E1931" t="str">
        <f>IFERROR(__xludf.DUMMYFUNCTION("""COMPUTED_VALUE"""),"")</f>
        <v/>
      </c>
      <c r="F1931" t="str">
        <f>IFERROR(__xludf.DUMMYFUNCTION("""COMPUTED_VALUE"""),"")</f>
        <v/>
      </c>
      <c r="G1931" t="str">
        <f>IFERROR(__xludf.DUMMYFUNCTION("""COMPUTED_VALUE"""),"")</f>
        <v/>
      </c>
      <c r="H1931" s="2" t="str">
        <f>IFERROR(__xludf.DUMMYFUNCTION("""COMPUTED_VALUE"""),"")</f>
        <v/>
      </c>
      <c r="I1931" s="2" t="str">
        <f>IFERROR(__xludf.DUMMYFUNCTION("""COMPUTED_VALUE"""),"")</f>
        <v/>
      </c>
      <c r="J1931" s="2">
        <f>IFERROR(__xludf.DUMMYFUNCTION("""COMPUTED_VALUE"""),0.0)</f>
        <v>0</v>
      </c>
      <c r="K1931" s="5" t="str">
        <f>IFERROR(__xludf.DUMMYFUNCTION("""COMPUTED_VALUE"""),"")</f>
        <v/>
      </c>
      <c r="L1931" t="str">
        <f>IFERROR(__xludf.DUMMYFUNCTION("""COMPUTED_VALUE"""),"")</f>
        <v/>
      </c>
      <c r="M1931" t="str">
        <f>IFERROR(__xludf.DUMMYFUNCTION("""COMPUTED_VALUE"""),"")</f>
        <v/>
      </c>
      <c r="N1931" t="str">
        <f>IFERROR(__xludf.DUMMYFUNCTION("""COMPUTED_VALUE"""),"")</f>
        <v/>
      </c>
      <c r="O1931" t="str">
        <f>IFERROR(__xludf.DUMMYFUNCTION("""COMPUTED_VALUE"""),"")</f>
        <v/>
      </c>
      <c r="P1931" t="str">
        <f>IFERROR(__xludf.DUMMYFUNCTION("""COMPUTED_VALUE"""),"ID ")</f>
        <v>ID </v>
      </c>
    </row>
    <row r="1932">
      <c r="A1932" s="6" t="str">
        <f>IFERROR(__xludf.DUMMYFUNCTION("""COMPUTED_VALUE"""),"")</f>
        <v/>
      </c>
      <c r="C1932" t="str">
        <f>IFERROR(__xludf.DUMMYFUNCTION("""COMPUTED_VALUE"""),"")</f>
        <v/>
      </c>
      <c r="D1932" t="str">
        <f>IFERROR(__xludf.DUMMYFUNCTION("""COMPUTED_VALUE"""),"")</f>
        <v/>
      </c>
      <c r="E1932" t="str">
        <f>IFERROR(__xludf.DUMMYFUNCTION("""COMPUTED_VALUE"""),"")</f>
        <v/>
      </c>
      <c r="F1932" t="str">
        <f>IFERROR(__xludf.DUMMYFUNCTION("""COMPUTED_VALUE"""),"")</f>
        <v/>
      </c>
      <c r="G1932" t="str">
        <f>IFERROR(__xludf.DUMMYFUNCTION("""COMPUTED_VALUE"""),"")</f>
        <v/>
      </c>
      <c r="H1932" s="2" t="str">
        <f>IFERROR(__xludf.DUMMYFUNCTION("""COMPUTED_VALUE"""),"")</f>
        <v/>
      </c>
      <c r="I1932" s="2" t="str">
        <f>IFERROR(__xludf.DUMMYFUNCTION("""COMPUTED_VALUE"""),"")</f>
        <v/>
      </c>
      <c r="J1932" s="2">
        <f>IFERROR(__xludf.DUMMYFUNCTION("""COMPUTED_VALUE"""),0.0)</f>
        <v>0</v>
      </c>
      <c r="K1932" s="5" t="str">
        <f>IFERROR(__xludf.DUMMYFUNCTION("""COMPUTED_VALUE"""),"")</f>
        <v/>
      </c>
      <c r="L1932" t="str">
        <f>IFERROR(__xludf.DUMMYFUNCTION("""COMPUTED_VALUE"""),"")</f>
        <v/>
      </c>
      <c r="M1932" t="str">
        <f>IFERROR(__xludf.DUMMYFUNCTION("""COMPUTED_VALUE"""),"")</f>
        <v/>
      </c>
      <c r="N1932" t="str">
        <f>IFERROR(__xludf.DUMMYFUNCTION("""COMPUTED_VALUE"""),"")</f>
        <v/>
      </c>
      <c r="O1932" t="str">
        <f>IFERROR(__xludf.DUMMYFUNCTION("""COMPUTED_VALUE"""),"")</f>
        <v/>
      </c>
      <c r="P1932" t="str">
        <f>IFERROR(__xludf.DUMMYFUNCTION("""COMPUTED_VALUE"""),"ID ")</f>
        <v>ID </v>
      </c>
    </row>
    <row r="1933">
      <c r="A1933" s="6" t="str">
        <f>IFERROR(__xludf.DUMMYFUNCTION("""COMPUTED_VALUE"""),"")</f>
        <v/>
      </c>
      <c r="C1933" t="str">
        <f>IFERROR(__xludf.DUMMYFUNCTION("""COMPUTED_VALUE"""),"")</f>
        <v/>
      </c>
      <c r="D1933" t="str">
        <f>IFERROR(__xludf.DUMMYFUNCTION("""COMPUTED_VALUE"""),"")</f>
        <v/>
      </c>
      <c r="E1933" t="str">
        <f>IFERROR(__xludf.DUMMYFUNCTION("""COMPUTED_VALUE"""),"")</f>
        <v/>
      </c>
      <c r="F1933" t="str">
        <f>IFERROR(__xludf.DUMMYFUNCTION("""COMPUTED_VALUE"""),"")</f>
        <v/>
      </c>
      <c r="G1933" t="str">
        <f>IFERROR(__xludf.DUMMYFUNCTION("""COMPUTED_VALUE"""),"")</f>
        <v/>
      </c>
      <c r="H1933" s="2" t="str">
        <f>IFERROR(__xludf.DUMMYFUNCTION("""COMPUTED_VALUE"""),"")</f>
        <v/>
      </c>
      <c r="I1933" s="2" t="str">
        <f>IFERROR(__xludf.DUMMYFUNCTION("""COMPUTED_VALUE"""),"")</f>
        <v/>
      </c>
      <c r="J1933" s="2">
        <f>IFERROR(__xludf.DUMMYFUNCTION("""COMPUTED_VALUE"""),0.0)</f>
        <v>0</v>
      </c>
      <c r="K1933" s="5" t="str">
        <f>IFERROR(__xludf.DUMMYFUNCTION("""COMPUTED_VALUE"""),"")</f>
        <v/>
      </c>
      <c r="L1933" t="str">
        <f>IFERROR(__xludf.DUMMYFUNCTION("""COMPUTED_VALUE"""),"")</f>
        <v/>
      </c>
      <c r="M1933" t="str">
        <f>IFERROR(__xludf.DUMMYFUNCTION("""COMPUTED_VALUE"""),"")</f>
        <v/>
      </c>
      <c r="N1933" t="str">
        <f>IFERROR(__xludf.DUMMYFUNCTION("""COMPUTED_VALUE"""),"")</f>
        <v/>
      </c>
      <c r="O1933" t="str">
        <f>IFERROR(__xludf.DUMMYFUNCTION("""COMPUTED_VALUE"""),"")</f>
        <v/>
      </c>
      <c r="P1933" t="str">
        <f>IFERROR(__xludf.DUMMYFUNCTION("""COMPUTED_VALUE"""),"ID ")</f>
        <v>ID </v>
      </c>
    </row>
    <row r="1934">
      <c r="A1934" s="6" t="str">
        <f>IFERROR(__xludf.DUMMYFUNCTION("""COMPUTED_VALUE"""),"")</f>
        <v/>
      </c>
      <c r="C1934" t="str">
        <f>IFERROR(__xludf.DUMMYFUNCTION("""COMPUTED_VALUE"""),"")</f>
        <v/>
      </c>
      <c r="D1934" t="str">
        <f>IFERROR(__xludf.DUMMYFUNCTION("""COMPUTED_VALUE"""),"")</f>
        <v/>
      </c>
      <c r="E1934" t="str">
        <f>IFERROR(__xludf.DUMMYFUNCTION("""COMPUTED_VALUE"""),"")</f>
        <v/>
      </c>
      <c r="F1934" t="str">
        <f>IFERROR(__xludf.DUMMYFUNCTION("""COMPUTED_VALUE"""),"")</f>
        <v/>
      </c>
      <c r="G1934" t="str">
        <f>IFERROR(__xludf.DUMMYFUNCTION("""COMPUTED_VALUE"""),"")</f>
        <v/>
      </c>
      <c r="H1934" s="2" t="str">
        <f>IFERROR(__xludf.DUMMYFUNCTION("""COMPUTED_VALUE"""),"")</f>
        <v/>
      </c>
      <c r="I1934" s="2" t="str">
        <f>IFERROR(__xludf.DUMMYFUNCTION("""COMPUTED_VALUE"""),"")</f>
        <v/>
      </c>
      <c r="J1934" s="2">
        <f>IFERROR(__xludf.DUMMYFUNCTION("""COMPUTED_VALUE"""),0.0)</f>
        <v>0</v>
      </c>
      <c r="K1934" s="5" t="str">
        <f>IFERROR(__xludf.DUMMYFUNCTION("""COMPUTED_VALUE"""),"")</f>
        <v/>
      </c>
      <c r="L1934" t="str">
        <f>IFERROR(__xludf.DUMMYFUNCTION("""COMPUTED_VALUE"""),"")</f>
        <v/>
      </c>
      <c r="M1934" t="str">
        <f>IFERROR(__xludf.DUMMYFUNCTION("""COMPUTED_VALUE"""),"")</f>
        <v/>
      </c>
      <c r="N1934" t="str">
        <f>IFERROR(__xludf.DUMMYFUNCTION("""COMPUTED_VALUE"""),"")</f>
        <v/>
      </c>
      <c r="O1934" t="str">
        <f>IFERROR(__xludf.DUMMYFUNCTION("""COMPUTED_VALUE"""),"")</f>
        <v/>
      </c>
      <c r="P1934" t="str">
        <f>IFERROR(__xludf.DUMMYFUNCTION("""COMPUTED_VALUE"""),"ID ")</f>
        <v>ID </v>
      </c>
    </row>
    <row r="1935">
      <c r="A1935" s="6" t="str">
        <f>IFERROR(__xludf.DUMMYFUNCTION("""COMPUTED_VALUE"""),"")</f>
        <v/>
      </c>
      <c r="C1935" t="str">
        <f>IFERROR(__xludf.DUMMYFUNCTION("""COMPUTED_VALUE"""),"")</f>
        <v/>
      </c>
      <c r="D1935" t="str">
        <f>IFERROR(__xludf.DUMMYFUNCTION("""COMPUTED_VALUE"""),"")</f>
        <v/>
      </c>
      <c r="E1935" t="str">
        <f>IFERROR(__xludf.DUMMYFUNCTION("""COMPUTED_VALUE"""),"")</f>
        <v/>
      </c>
      <c r="F1935" t="str">
        <f>IFERROR(__xludf.DUMMYFUNCTION("""COMPUTED_VALUE"""),"")</f>
        <v/>
      </c>
      <c r="G1935" t="str">
        <f>IFERROR(__xludf.DUMMYFUNCTION("""COMPUTED_VALUE"""),"")</f>
        <v/>
      </c>
      <c r="H1935" s="2" t="str">
        <f>IFERROR(__xludf.DUMMYFUNCTION("""COMPUTED_VALUE"""),"")</f>
        <v/>
      </c>
      <c r="I1935" s="2" t="str">
        <f>IFERROR(__xludf.DUMMYFUNCTION("""COMPUTED_VALUE"""),"")</f>
        <v/>
      </c>
      <c r="J1935" s="2">
        <f>IFERROR(__xludf.DUMMYFUNCTION("""COMPUTED_VALUE"""),0.0)</f>
        <v>0</v>
      </c>
      <c r="K1935" s="5" t="str">
        <f>IFERROR(__xludf.DUMMYFUNCTION("""COMPUTED_VALUE"""),"")</f>
        <v/>
      </c>
      <c r="L1935" t="str">
        <f>IFERROR(__xludf.DUMMYFUNCTION("""COMPUTED_VALUE"""),"")</f>
        <v/>
      </c>
      <c r="M1935" t="str">
        <f>IFERROR(__xludf.DUMMYFUNCTION("""COMPUTED_VALUE"""),"")</f>
        <v/>
      </c>
      <c r="N1935" t="str">
        <f>IFERROR(__xludf.DUMMYFUNCTION("""COMPUTED_VALUE"""),"")</f>
        <v/>
      </c>
      <c r="O1935" t="str">
        <f>IFERROR(__xludf.DUMMYFUNCTION("""COMPUTED_VALUE"""),"")</f>
        <v/>
      </c>
      <c r="P1935" t="str">
        <f>IFERROR(__xludf.DUMMYFUNCTION("""COMPUTED_VALUE"""),"ID ")</f>
        <v>ID </v>
      </c>
    </row>
    <row r="1936">
      <c r="A1936" s="6" t="str">
        <f>IFERROR(__xludf.DUMMYFUNCTION("""COMPUTED_VALUE"""),"")</f>
        <v/>
      </c>
      <c r="C1936" t="str">
        <f>IFERROR(__xludf.DUMMYFUNCTION("""COMPUTED_VALUE"""),"")</f>
        <v/>
      </c>
      <c r="D1936" t="str">
        <f>IFERROR(__xludf.DUMMYFUNCTION("""COMPUTED_VALUE"""),"")</f>
        <v/>
      </c>
      <c r="E1936" t="str">
        <f>IFERROR(__xludf.DUMMYFUNCTION("""COMPUTED_VALUE"""),"")</f>
        <v/>
      </c>
      <c r="F1936" t="str">
        <f>IFERROR(__xludf.DUMMYFUNCTION("""COMPUTED_VALUE"""),"")</f>
        <v/>
      </c>
      <c r="G1936" t="str">
        <f>IFERROR(__xludf.DUMMYFUNCTION("""COMPUTED_VALUE"""),"")</f>
        <v/>
      </c>
      <c r="H1936" s="2" t="str">
        <f>IFERROR(__xludf.DUMMYFUNCTION("""COMPUTED_VALUE"""),"")</f>
        <v/>
      </c>
      <c r="I1936" s="2" t="str">
        <f>IFERROR(__xludf.DUMMYFUNCTION("""COMPUTED_VALUE"""),"")</f>
        <v/>
      </c>
      <c r="J1936" s="2">
        <f>IFERROR(__xludf.DUMMYFUNCTION("""COMPUTED_VALUE"""),0.0)</f>
        <v>0</v>
      </c>
      <c r="K1936" s="5" t="str">
        <f>IFERROR(__xludf.DUMMYFUNCTION("""COMPUTED_VALUE"""),"")</f>
        <v/>
      </c>
      <c r="L1936" t="str">
        <f>IFERROR(__xludf.DUMMYFUNCTION("""COMPUTED_VALUE"""),"")</f>
        <v/>
      </c>
      <c r="M1936" t="str">
        <f>IFERROR(__xludf.DUMMYFUNCTION("""COMPUTED_VALUE"""),"")</f>
        <v/>
      </c>
      <c r="N1936" t="str">
        <f>IFERROR(__xludf.DUMMYFUNCTION("""COMPUTED_VALUE"""),"")</f>
        <v/>
      </c>
      <c r="O1936" t="str">
        <f>IFERROR(__xludf.DUMMYFUNCTION("""COMPUTED_VALUE"""),"")</f>
        <v/>
      </c>
      <c r="P1936" t="str">
        <f>IFERROR(__xludf.DUMMYFUNCTION("""COMPUTED_VALUE"""),"ID ")</f>
        <v>ID </v>
      </c>
    </row>
    <row r="1937">
      <c r="A1937" s="6" t="str">
        <f>IFERROR(__xludf.DUMMYFUNCTION("""COMPUTED_VALUE"""),"")</f>
        <v/>
      </c>
      <c r="C1937" t="str">
        <f>IFERROR(__xludf.DUMMYFUNCTION("""COMPUTED_VALUE"""),"")</f>
        <v/>
      </c>
      <c r="D1937" t="str">
        <f>IFERROR(__xludf.DUMMYFUNCTION("""COMPUTED_VALUE"""),"")</f>
        <v/>
      </c>
      <c r="E1937" t="str">
        <f>IFERROR(__xludf.DUMMYFUNCTION("""COMPUTED_VALUE"""),"")</f>
        <v/>
      </c>
      <c r="F1937" t="str">
        <f>IFERROR(__xludf.DUMMYFUNCTION("""COMPUTED_VALUE"""),"")</f>
        <v/>
      </c>
      <c r="G1937" t="str">
        <f>IFERROR(__xludf.DUMMYFUNCTION("""COMPUTED_VALUE"""),"")</f>
        <v/>
      </c>
      <c r="H1937" s="2" t="str">
        <f>IFERROR(__xludf.DUMMYFUNCTION("""COMPUTED_VALUE"""),"")</f>
        <v/>
      </c>
      <c r="I1937" s="2" t="str">
        <f>IFERROR(__xludf.DUMMYFUNCTION("""COMPUTED_VALUE"""),"")</f>
        <v/>
      </c>
      <c r="J1937" s="2">
        <f>IFERROR(__xludf.DUMMYFUNCTION("""COMPUTED_VALUE"""),0.0)</f>
        <v>0</v>
      </c>
      <c r="K1937" s="5" t="str">
        <f>IFERROR(__xludf.DUMMYFUNCTION("""COMPUTED_VALUE"""),"")</f>
        <v/>
      </c>
      <c r="L1937" t="str">
        <f>IFERROR(__xludf.DUMMYFUNCTION("""COMPUTED_VALUE"""),"")</f>
        <v/>
      </c>
      <c r="M1937" t="str">
        <f>IFERROR(__xludf.DUMMYFUNCTION("""COMPUTED_VALUE"""),"")</f>
        <v/>
      </c>
      <c r="N1937" t="str">
        <f>IFERROR(__xludf.DUMMYFUNCTION("""COMPUTED_VALUE"""),"")</f>
        <v/>
      </c>
      <c r="O1937" t="str">
        <f>IFERROR(__xludf.DUMMYFUNCTION("""COMPUTED_VALUE"""),"")</f>
        <v/>
      </c>
      <c r="P1937" t="str">
        <f>IFERROR(__xludf.DUMMYFUNCTION("""COMPUTED_VALUE"""),"ID ")</f>
        <v>ID </v>
      </c>
    </row>
    <row r="1938">
      <c r="A1938" s="6" t="str">
        <f>IFERROR(__xludf.DUMMYFUNCTION("""COMPUTED_VALUE"""),"")</f>
        <v/>
      </c>
      <c r="C1938" t="str">
        <f>IFERROR(__xludf.DUMMYFUNCTION("""COMPUTED_VALUE"""),"")</f>
        <v/>
      </c>
      <c r="D1938" t="str">
        <f>IFERROR(__xludf.DUMMYFUNCTION("""COMPUTED_VALUE"""),"")</f>
        <v/>
      </c>
      <c r="E1938" t="str">
        <f>IFERROR(__xludf.DUMMYFUNCTION("""COMPUTED_VALUE"""),"")</f>
        <v/>
      </c>
      <c r="F1938" t="str">
        <f>IFERROR(__xludf.DUMMYFUNCTION("""COMPUTED_VALUE"""),"")</f>
        <v/>
      </c>
      <c r="G1938" t="str">
        <f>IFERROR(__xludf.DUMMYFUNCTION("""COMPUTED_VALUE"""),"")</f>
        <v/>
      </c>
      <c r="H1938" s="2" t="str">
        <f>IFERROR(__xludf.DUMMYFUNCTION("""COMPUTED_VALUE"""),"")</f>
        <v/>
      </c>
      <c r="I1938" s="2" t="str">
        <f>IFERROR(__xludf.DUMMYFUNCTION("""COMPUTED_VALUE"""),"")</f>
        <v/>
      </c>
      <c r="J1938" s="2">
        <f>IFERROR(__xludf.DUMMYFUNCTION("""COMPUTED_VALUE"""),0.0)</f>
        <v>0</v>
      </c>
      <c r="K1938" s="5" t="str">
        <f>IFERROR(__xludf.DUMMYFUNCTION("""COMPUTED_VALUE"""),"")</f>
        <v/>
      </c>
      <c r="L1938" t="str">
        <f>IFERROR(__xludf.DUMMYFUNCTION("""COMPUTED_VALUE"""),"")</f>
        <v/>
      </c>
      <c r="M1938" t="str">
        <f>IFERROR(__xludf.DUMMYFUNCTION("""COMPUTED_VALUE"""),"")</f>
        <v/>
      </c>
      <c r="N1938" t="str">
        <f>IFERROR(__xludf.DUMMYFUNCTION("""COMPUTED_VALUE"""),"")</f>
        <v/>
      </c>
      <c r="O1938" t="str">
        <f>IFERROR(__xludf.DUMMYFUNCTION("""COMPUTED_VALUE"""),"")</f>
        <v/>
      </c>
      <c r="P1938" t="str">
        <f>IFERROR(__xludf.DUMMYFUNCTION("""COMPUTED_VALUE"""),"ID ")</f>
        <v>ID </v>
      </c>
    </row>
    <row r="1939">
      <c r="A1939" s="6" t="str">
        <f>IFERROR(__xludf.DUMMYFUNCTION("""COMPUTED_VALUE"""),"")</f>
        <v/>
      </c>
      <c r="C1939" t="str">
        <f>IFERROR(__xludf.DUMMYFUNCTION("""COMPUTED_VALUE"""),"")</f>
        <v/>
      </c>
      <c r="D1939" t="str">
        <f>IFERROR(__xludf.DUMMYFUNCTION("""COMPUTED_VALUE"""),"")</f>
        <v/>
      </c>
      <c r="E1939" t="str">
        <f>IFERROR(__xludf.DUMMYFUNCTION("""COMPUTED_VALUE"""),"")</f>
        <v/>
      </c>
      <c r="F1939" t="str">
        <f>IFERROR(__xludf.DUMMYFUNCTION("""COMPUTED_VALUE"""),"")</f>
        <v/>
      </c>
      <c r="G1939" t="str">
        <f>IFERROR(__xludf.DUMMYFUNCTION("""COMPUTED_VALUE"""),"")</f>
        <v/>
      </c>
      <c r="H1939" s="2" t="str">
        <f>IFERROR(__xludf.DUMMYFUNCTION("""COMPUTED_VALUE"""),"")</f>
        <v/>
      </c>
      <c r="I1939" s="2" t="str">
        <f>IFERROR(__xludf.DUMMYFUNCTION("""COMPUTED_VALUE"""),"")</f>
        <v/>
      </c>
      <c r="J1939" s="2">
        <f>IFERROR(__xludf.DUMMYFUNCTION("""COMPUTED_VALUE"""),0.0)</f>
        <v>0</v>
      </c>
      <c r="K1939" s="5" t="str">
        <f>IFERROR(__xludf.DUMMYFUNCTION("""COMPUTED_VALUE"""),"")</f>
        <v/>
      </c>
      <c r="L1939" t="str">
        <f>IFERROR(__xludf.DUMMYFUNCTION("""COMPUTED_VALUE"""),"")</f>
        <v/>
      </c>
      <c r="M1939" t="str">
        <f>IFERROR(__xludf.DUMMYFUNCTION("""COMPUTED_VALUE"""),"")</f>
        <v/>
      </c>
      <c r="N1939" t="str">
        <f>IFERROR(__xludf.DUMMYFUNCTION("""COMPUTED_VALUE"""),"")</f>
        <v/>
      </c>
      <c r="O1939" t="str">
        <f>IFERROR(__xludf.DUMMYFUNCTION("""COMPUTED_VALUE"""),"")</f>
        <v/>
      </c>
      <c r="P1939" t="str">
        <f>IFERROR(__xludf.DUMMYFUNCTION("""COMPUTED_VALUE"""),"ID ")</f>
        <v>ID </v>
      </c>
    </row>
    <row r="1940">
      <c r="A1940" s="6" t="str">
        <f>IFERROR(__xludf.DUMMYFUNCTION("""COMPUTED_VALUE"""),"")</f>
        <v/>
      </c>
      <c r="C1940" t="str">
        <f>IFERROR(__xludf.DUMMYFUNCTION("""COMPUTED_VALUE"""),"")</f>
        <v/>
      </c>
      <c r="D1940" t="str">
        <f>IFERROR(__xludf.DUMMYFUNCTION("""COMPUTED_VALUE"""),"")</f>
        <v/>
      </c>
      <c r="E1940" t="str">
        <f>IFERROR(__xludf.DUMMYFUNCTION("""COMPUTED_VALUE"""),"")</f>
        <v/>
      </c>
      <c r="F1940" t="str">
        <f>IFERROR(__xludf.DUMMYFUNCTION("""COMPUTED_VALUE"""),"")</f>
        <v/>
      </c>
      <c r="G1940" t="str">
        <f>IFERROR(__xludf.DUMMYFUNCTION("""COMPUTED_VALUE"""),"")</f>
        <v/>
      </c>
      <c r="H1940" s="2" t="str">
        <f>IFERROR(__xludf.DUMMYFUNCTION("""COMPUTED_VALUE"""),"")</f>
        <v/>
      </c>
      <c r="I1940" s="2" t="str">
        <f>IFERROR(__xludf.DUMMYFUNCTION("""COMPUTED_VALUE"""),"")</f>
        <v/>
      </c>
      <c r="J1940" s="2">
        <f>IFERROR(__xludf.DUMMYFUNCTION("""COMPUTED_VALUE"""),0.0)</f>
        <v>0</v>
      </c>
      <c r="K1940" s="5" t="str">
        <f>IFERROR(__xludf.DUMMYFUNCTION("""COMPUTED_VALUE"""),"")</f>
        <v/>
      </c>
      <c r="L1940" t="str">
        <f>IFERROR(__xludf.DUMMYFUNCTION("""COMPUTED_VALUE"""),"")</f>
        <v/>
      </c>
      <c r="M1940" t="str">
        <f>IFERROR(__xludf.DUMMYFUNCTION("""COMPUTED_VALUE"""),"")</f>
        <v/>
      </c>
      <c r="N1940" t="str">
        <f>IFERROR(__xludf.DUMMYFUNCTION("""COMPUTED_VALUE"""),"")</f>
        <v/>
      </c>
      <c r="O1940" t="str">
        <f>IFERROR(__xludf.DUMMYFUNCTION("""COMPUTED_VALUE"""),"")</f>
        <v/>
      </c>
      <c r="P1940" t="str">
        <f>IFERROR(__xludf.DUMMYFUNCTION("""COMPUTED_VALUE"""),"ID ")</f>
        <v>ID </v>
      </c>
    </row>
    <row r="1941">
      <c r="A1941" s="6" t="str">
        <f>IFERROR(__xludf.DUMMYFUNCTION("""COMPUTED_VALUE"""),"")</f>
        <v/>
      </c>
      <c r="C1941" t="str">
        <f>IFERROR(__xludf.DUMMYFUNCTION("""COMPUTED_VALUE"""),"")</f>
        <v/>
      </c>
      <c r="D1941" t="str">
        <f>IFERROR(__xludf.DUMMYFUNCTION("""COMPUTED_VALUE"""),"")</f>
        <v/>
      </c>
      <c r="E1941" t="str">
        <f>IFERROR(__xludf.DUMMYFUNCTION("""COMPUTED_VALUE"""),"")</f>
        <v/>
      </c>
      <c r="F1941" t="str">
        <f>IFERROR(__xludf.DUMMYFUNCTION("""COMPUTED_VALUE"""),"")</f>
        <v/>
      </c>
      <c r="G1941" t="str">
        <f>IFERROR(__xludf.DUMMYFUNCTION("""COMPUTED_VALUE"""),"")</f>
        <v/>
      </c>
      <c r="H1941" s="2" t="str">
        <f>IFERROR(__xludf.DUMMYFUNCTION("""COMPUTED_VALUE"""),"")</f>
        <v/>
      </c>
      <c r="I1941" s="2" t="str">
        <f>IFERROR(__xludf.DUMMYFUNCTION("""COMPUTED_VALUE"""),"")</f>
        <v/>
      </c>
      <c r="J1941" s="2">
        <f>IFERROR(__xludf.DUMMYFUNCTION("""COMPUTED_VALUE"""),0.0)</f>
        <v>0</v>
      </c>
      <c r="K1941" s="5" t="str">
        <f>IFERROR(__xludf.DUMMYFUNCTION("""COMPUTED_VALUE"""),"")</f>
        <v/>
      </c>
      <c r="L1941" t="str">
        <f>IFERROR(__xludf.DUMMYFUNCTION("""COMPUTED_VALUE"""),"")</f>
        <v/>
      </c>
      <c r="M1941" t="str">
        <f>IFERROR(__xludf.DUMMYFUNCTION("""COMPUTED_VALUE"""),"")</f>
        <v/>
      </c>
      <c r="N1941" t="str">
        <f>IFERROR(__xludf.DUMMYFUNCTION("""COMPUTED_VALUE"""),"")</f>
        <v/>
      </c>
      <c r="O1941" t="str">
        <f>IFERROR(__xludf.DUMMYFUNCTION("""COMPUTED_VALUE"""),"")</f>
        <v/>
      </c>
      <c r="P1941" t="str">
        <f>IFERROR(__xludf.DUMMYFUNCTION("""COMPUTED_VALUE"""),"ID ")</f>
        <v>ID </v>
      </c>
    </row>
    <row r="1942">
      <c r="A1942" s="6" t="str">
        <f>IFERROR(__xludf.DUMMYFUNCTION("""COMPUTED_VALUE"""),"")</f>
        <v/>
      </c>
      <c r="C1942" t="str">
        <f>IFERROR(__xludf.DUMMYFUNCTION("""COMPUTED_VALUE"""),"")</f>
        <v/>
      </c>
      <c r="D1942" t="str">
        <f>IFERROR(__xludf.DUMMYFUNCTION("""COMPUTED_VALUE"""),"")</f>
        <v/>
      </c>
      <c r="E1942" t="str">
        <f>IFERROR(__xludf.DUMMYFUNCTION("""COMPUTED_VALUE"""),"")</f>
        <v/>
      </c>
      <c r="F1942" t="str">
        <f>IFERROR(__xludf.DUMMYFUNCTION("""COMPUTED_VALUE"""),"")</f>
        <v/>
      </c>
      <c r="G1942" t="str">
        <f>IFERROR(__xludf.DUMMYFUNCTION("""COMPUTED_VALUE"""),"")</f>
        <v/>
      </c>
      <c r="H1942" s="2" t="str">
        <f>IFERROR(__xludf.DUMMYFUNCTION("""COMPUTED_VALUE"""),"")</f>
        <v/>
      </c>
      <c r="I1942" s="2" t="str">
        <f>IFERROR(__xludf.DUMMYFUNCTION("""COMPUTED_VALUE"""),"")</f>
        <v/>
      </c>
      <c r="J1942" s="2">
        <f>IFERROR(__xludf.DUMMYFUNCTION("""COMPUTED_VALUE"""),0.0)</f>
        <v>0</v>
      </c>
      <c r="K1942" s="5" t="str">
        <f>IFERROR(__xludf.DUMMYFUNCTION("""COMPUTED_VALUE"""),"")</f>
        <v/>
      </c>
      <c r="L1942" t="str">
        <f>IFERROR(__xludf.DUMMYFUNCTION("""COMPUTED_VALUE"""),"")</f>
        <v/>
      </c>
      <c r="M1942" t="str">
        <f>IFERROR(__xludf.DUMMYFUNCTION("""COMPUTED_VALUE"""),"")</f>
        <v/>
      </c>
      <c r="N1942" t="str">
        <f>IFERROR(__xludf.DUMMYFUNCTION("""COMPUTED_VALUE"""),"")</f>
        <v/>
      </c>
      <c r="O1942" t="str">
        <f>IFERROR(__xludf.DUMMYFUNCTION("""COMPUTED_VALUE"""),"")</f>
        <v/>
      </c>
      <c r="P1942" t="str">
        <f>IFERROR(__xludf.DUMMYFUNCTION("""COMPUTED_VALUE"""),"ID ")</f>
        <v>ID </v>
      </c>
    </row>
    <row r="1943">
      <c r="A1943" s="6" t="str">
        <f>IFERROR(__xludf.DUMMYFUNCTION("""COMPUTED_VALUE"""),"")</f>
        <v/>
      </c>
      <c r="C1943" t="str">
        <f>IFERROR(__xludf.DUMMYFUNCTION("""COMPUTED_VALUE"""),"")</f>
        <v/>
      </c>
      <c r="D1943" t="str">
        <f>IFERROR(__xludf.DUMMYFUNCTION("""COMPUTED_VALUE"""),"")</f>
        <v/>
      </c>
      <c r="E1943" t="str">
        <f>IFERROR(__xludf.DUMMYFUNCTION("""COMPUTED_VALUE"""),"")</f>
        <v/>
      </c>
      <c r="F1943" t="str">
        <f>IFERROR(__xludf.DUMMYFUNCTION("""COMPUTED_VALUE"""),"")</f>
        <v/>
      </c>
      <c r="G1943" t="str">
        <f>IFERROR(__xludf.DUMMYFUNCTION("""COMPUTED_VALUE"""),"")</f>
        <v/>
      </c>
      <c r="H1943" s="2" t="str">
        <f>IFERROR(__xludf.DUMMYFUNCTION("""COMPUTED_VALUE"""),"")</f>
        <v/>
      </c>
      <c r="I1943" s="2" t="str">
        <f>IFERROR(__xludf.DUMMYFUNCTION("""COMPUTED_VALUE"""),"")</f>
        <v/>
      </c>
      <c r="J1943" s="2">
        <f>IFERROR(__xludf.DUMMYFUNCTION("""COMPUTED_VALUE"""),0.0)</f>
        <v>0</v>
      </c>
      <c r="K1943" s="5" t="str">
        <f>IFERROR(__xludf.DUMMYFUNCTION("""COMPUTED_VALUE"""),"")</f>
        <v/>
      </c>
      <c r="L1943" t="str">
        <f>IFERROR(__xludf.DUMMYFUNCTION("""COMPUTED_VALUE"""),"")</f>
        <v/>
      </c>
      <c r="M1943" t="str">
        <f>IFERROR(__xludf.DUMMYFUNCTION("""COMPUTED_VALUE"""),"")</f>
        <v/>
      </c>
      <c r="N1943" t="str">
        <f>IFERROR(__xludf.DUMMYFUNCTION("""COMPUTED_VALUE"""),"")</f>
        <v/>
      </c>
      <c r="O1943" t="str">
        <f>IFERROR(__xludf.DUMMYFUNCTION("""COMPUTED_VALUE"""),"")</f>
        <v/>
      </c>
      <c r="P1943" t="str">
        <f>IFERROR(__xludf.DUMMYFUNCTION("""COMPUTED_VALUE"""),"ID ")</f>
        <v>ID </v>
      </c>
    </row>
    <row r="1944">
      <c r="A1944" s="6" t="str">
        <f>IFERROR(__xludf.DUMMYFUNCTION("""COMPUTED_VALUE"""),"")</f>
        <v/>
      </c>
      <c r="C1944" t="str">
        <f>IFERROR(__xludf.DUMMYFUNCTION("""COMPUTED_VALUE"""),"")</f>
        <v/>
      </c>
      <c r="D1944" t="str">
        <f>IFERROR(__xludf.DUMMYFUNCTION("""COMPUTED_VALUE"""),"")</f>
        <v/>
      </c>
      <c r="E1944" t="str">
        <f>IFERROR(__xludf.DUMMYFUNCTION("""COMPUTED_VALUE"""),"")</f>
        <v/>
      </c>
      <c r="F1944" t="str">
        <f>IFERROR(__xludf.DUMMYFUNCTION("""COMPUTED_VALUE"""),"")</f>
        <v/>
      </c>
      <c r="G1944" t="str">
        <f>IFERROR(__xludf.DUMMYFUNCTION("""COMPUTED_VALUE"""),"")</f>
        <v/>
      </c>
      <c r="H1944" s="2" t="str">
        <f>IFERROR(__xludf.DUMMYFUNCTION("""COMPUTED_VALUE"""),"")</f>
        <v/>
      </c>
      <c r="I1944" s="2" t="str">
        <f>IFERROR(__xludf.DUMMYFUNCTION("""COMPUTED_VALUE"""),"")</f>
        <v/>
      </c>
      <c r="J1944" s="2">
        <f>IFERROR(__xludf.DUMMYFUNCTION("""COMPUTED_VALUE"""),0.0)</f>
        <v>0</v>
      </c>
      <c r="K1944" s="5" t="str">
        <f>IFERROR(__xludf.DUMMYFUNCTION("""COMPUTED_VALUE"""),"")</f>
        <v/>
      </c>
      <c r="L1944" t="str">
        <f>IFERROR(__xludf.DUMMYFUNCTION("""COMPUTED_VALUE"""),"")</f>
        <v/>
      </c>
      <c r="M1944" t="str">
        <f>IFERROR(__xludf.DUMMYFUNCTION("""COMPUTED_VALUE"""),"")</f>
        <v/>
      </c>
      <c r="N1944" t="str">
        <f>IFERROR(__xludf.DUMMYFUNCTION("""COMPUTED_VALUE"""),"")</f>
        <v/>
      </c>
      <c r="O1944" t="str">
        <f>IFERROR(__xludf.DUMMYFUNCTION("""COMPUTED_VALUE"""),"")</f>
        <v/>
      </c>
      <c r="P1944" t="str">
        <f>IFERROR(__xludf.DUMMYFUNCTION("""COMPUTED_VALUE"""),"ID ")</f>
        <v>ID </v>
      </c>
    </row>
    <row r="1945">
      <c r="A1945" s="6" t="str">
        <f>IFERROR(__xludf.DUMMYFUNCTION("""COMPUTED_VALUE"""),"")</f>
        <v/>
      </c>
      <c r="C1945" t="str">
        <f>IFERROR(__xludf.DUMMYFUNCTION("""COMPUTED_VALUE"""),"")</f>
        <v/>
      </c>
      <c r="D1945" t="str">
        <f>IFERROR(__xludf.DUMMYFUNCTION("""COMPUTED_VALUE"""),"")</f>
        <v/>
      </c>
      <c r="E1945" t="str">
        <f>IFERROR(__xludf.DUMMYFUNCTION("""COMPUTED_VALUE"""),"")</f>
        <v/>
      </c>
      <c r="F1945" t="str">
        <f>IFERROR(__xludf.DUMMYFUNCTION("""COMPUTED_VALUE"""),"")</f>
        <v/>
      </c>
      <c r="G1945" t="str">
        <f>IFERROR(__xludf.DUMMYFUNCTION("""COMPUTED_VALUE"""),"")</f>
        <v/>
      </c>
      <c r="H1945" s="2" t="str">
        <f>IFERROR(__xludf.DUMMYFUNCTION("""COMPUTED_VALUE"""),"")</f>
        <v/>
      </c>
      <c r="I1945" s="2" t="str">
        <f>IFERROR(__xludf.DUMMYFUNCTION("""COMPUTED_VALUE"""),"")</f>
        <v/>
      </c>
      <c r="J1945" s="2">
        <f>IFERROR(__xludf.DUMMYFUNCTION("""COMPUTED_VALUE"""),0.0)</f>
        <v>0</v>
      </c>
      <c r="K1945" s="5" t="str">
        <f>IFERROR(__xludf.DUMMYFUNCTION("""COMPUTED_VALUE"""),"")</f>
        <v/>
      </c>
      <c r="L1945" t="str">
        <f>IFERROR(__xludf.DUMMYFUNCTION("""COMPUTED_VALUE"""),"")</f>
        <v/>
      </c>
      <c r="M1945" t="str">
        <f>IFERROR(__xludf.DUMMYFUNCTION("""COMPUTED_VALUE"""),"")</f>
        <v/>
      </c>
      <c r="N1945" t="str">
        <f>IFERROR(__xludf.DUMMYFUNCTION("""COMPUTED_VALUE"""),"")</f>
        <v/>
      </c>
      <c r="O1945" t="str">
        <f>IFERROR(__xludf.DUMMYFUNCTION("""COMPUTED_VALUE"""),"")</f>
        <v/>
      </c>
      <c r="P1945" t="str">
        <f>IFERROR(__xludf.DUMMYFUNCTION("""COMPUTED_VALUE"""),"ID ")</f>
        <v>ID </v>
      </c>
    </row>
    <row r="1946">
      <c r="A1946" s="6" t="str">
        <f>IFERROR(__xludf.DUMMYFUNCTION("""COMPUTED_VALUE"""),"")</f>
        <v/>
      </c>
      <c r="C1946" t="str">
        <f>IFERROR(__xludf.DUMMYFUNCTION("""COMPUTED_VALUE"""),"")</f>
        <v/>
      </c>
      <c r="D1946" t="str">
        <f>IFERROR(__xludf.DUMMYFUNCTION("""COMPUTED_VALUE"""),"")</f>
        <v/>
      </c>
      <c r="E1946" t="str">
        <f>IFERROR(__xludf.DUMMYFUNCTION("""COMPUTED_VALUE"""),"")</f>
        <v/>
      </c>
      <c r="F1946" t="str">
        <f>IFERROR(__xludf.DUMMYFUNCTION("""COMPUTED_VALUE"""),"")</f>
        <v/>
      </c>
      <c r="G1946" t="str">
        <f>IFERROR(__xludf.DUMMYFUNCTION("""COMPUTED_VALUE"""),"")</f>
        <v/>
      </c>
      <c r="H1946" s="2" t="str">
        <f>IFERROR(__xludf.DUMMYFUNCTION("""COMPUTED_VALUE"""),"")</f>
        <v/>
      </c>
      <c r="I1946" s="2" t="str">
        <f>IFERROR(__xludf.DUMMYFUNCTION("""COMPUTED_VALUE"""),"")</f>
        <v/>
      </c>
      <c r="J1946" s="2">
        <f>IFERROR(__xludf.DUMMYFUNCTION("""COMPUTED_VALUE"""),0.0)</f>
        <v>0</v>
      </c>
      <c r="K1946" s="5" t="str">
        <f>IFERROR(__xludf.DUMMYFUNCTION("""COMPUTED_VALUE"""),"")</f>
        <v/>
      </c>
      <c r="L1946" t="str">
        <f>IFERROR(__xludf.DUMMYFUNCTION("""COMPUTED_VALUE"""),"")</f>
        <v/>
      </c>
      <c r="M1946" t="str">
        <f>IFERROR(__xludf.DUMMYFUNCTION("""COMPUTED_VALUE"""),"")</f>
        <v/>
      </c>
      <c r="N1946" t="str">
        <f>IFERROR(__xludf.DUMMYFUNCTION("""COMPUTED_VALUE"""),"")</f>
        <v/>
      </c>
      <c r="O1946" t="str">
        <f>IFERROR(__xludf.DUMMYFUNCTION("""COMPUTED_VALUE"""),"")</f>
        <v/>
      </c>
      <c r="P1946" t="str">
        <f>IFERROR(__xludf.DUMMYFUNCTION("""COMPUTED_VALUE"""),"ID ")</f>
        <v>ID </v>
      </c>
    </row>
    <row r="1947">
      <c r="A1947" s="6" t="str">
        <f>IFERROR(__xludf.DUMMYFUNCTION("""COMPUTED_VALUE"""),"")</f>
        <v/>
      </c>
      <c r="C1947" t="str">
        <f>IFERROR(__xludf.DUMMYFUNCTION("""COMPUTED_VALUE"""),"")</f>
        <v/>
      </c>
      <c r="D1947" t="str">
        <f>IFERROR(__xludf.DUMMYFUNCTION("""COMPUTED_VALUE"""),"")</f>
        <v/>
      </c>
      <c r="E1947" t="str">
        <f>IFERROR(__xludf.DUMMYFUNCTION("""COMPUTED_VALUE"""),"")</f>
        <v/>
      </c>
      <c r="F1947" t="str">
        <f>IFERROR(__xludf.DUMMYFUNCTION("""COMPUTED_VALUE"""),"")</f>
        <v/>
      </c>
      <c r="G1947" t="str">
        <f>IFERROR(__xludf.DUMMYFUNCTION("""COMPUTED_VALUE"""),"")</f>
        <v/>
      </c>
      <c r="H1947" s="2" t="str">
        <f>IFERROR(__xludf.DUMMYFUNCTION("""COMPUTED_VALUE"""),"")</f>
        <v/>
      </c>
      <c r="I1947" s="2" t="str">
        <f>IFERROR(__xludf.DUMMYFUNCTION("""COMPUTED_VALUE"""),"")</f>
        <v/>
      </c>
      <c r="J1947" s="2">
        <f>IFERROR(__xludf.DUMMYFUNCTION("""COMPUTED_VALUE"""),0.0)</f>
        <v>0</v>
      </c>
      <c r="K1947" s="5" t="str">
        <f>IFERROR(__xludf.DUMMYFUNCTION("""COMPUTED_VALUE"""),"")</f>
        <v/>
      </c>
      <c r="L1947" t="str">
        <f>IFERROR(__xludf.DUMMYFUNCTION("""COMPUTED_VALUE"""),"")</f>
        <v/>
      </c>
      <c r="M1947" t="str">
        <f>IFERROR(__xludf.DUMMYFUNCTION("""COMPUTED_VALUE"""),"")</f>
        <v/>
      </c>
      <c r="N1947" t="str">
        <f>IFERROR(__xludf.DUMMYFUNCTION("""COMPUTED_VALUE"""),"")</f>
        <v/>
      </c>
      <c r="O1947" t="str">
        <f>IFERROR(__xludf.DUMMYFUNCTION("""COMPUTED_VALUE"""),"")</f>
        <v/>
      </c>
      <c r="P1947" t="str">
        <f>IFERROR(__xludf.DUMMYFUNCTION("""COMPUTED_VALUE"""),"ID ")</f>
        <v>ID </v>
      </c>
    </row>
    <row r="1948">
      <c r="A1948" s="6" t="str">
        <f>IFERROR(__xludf.DUMMYFUNCTION("""COMPUTED_VALUE"""),"")</f>
        <v/>
      </c>
      <c r="C1948" t="str">
        <f>IFERROR(__xludf.DUMMYFUNCTION("""COMPUTED_VALUE"""),"")</f>
        <v/>
      </c>
      <c r="D1948" t="str">
        <f>IFERROR(__xludf.DUMMYFUNCTION("""COMPUTED_VALUE"""),"")</f>
        <v/>
      </c>
      <c r="E1948" t="str">
        <f>IFERROR(__xludf.DUMMYFUNCTION("""COMPUTED_VALUE"""),"")</f>
        <v/>
      </c>
      <c r="F1948" t="str">
        <f>IFERROR(__xludf.DUMMYFUNCTION("""COMPUTED_VALUE"""),"")</f>
        <v/>
      </c>
      <c r="G1948" t="str">
        <f>IFERROR(__xludf.DUMMYFUNCTION("""COMPUTED_VALUE"""),"")</f>
        <v/>
      </c>
      <c r="H1948" s="2" t="str">
        <f>IFERROR(__xludf.DUMMYFUNCTION("""COMPUTED_VALUE"""),"")</f>
        <v/>
      </c>
      <c r="I1948" s="2" t="str">
        <f>IFERROR(__xludf.DUMMYFUNCTION("""COMPUTED_VALUE"""),"")</f>
        <v/>
      </c>
      <c r="J1948" s="2">
        <f>IFERROR(__xludf.DUMMYFUNCTION("""COMPUTED_VALUE"""),0.0)</f>
        <v>0</v>
      </c>
      <c r="K1948" s="5" t="str">
        <f>IFERROR(__xludf.DUMMYFUNCTION("""COMPUTED_VALUE"""),"")</f>
        <v/>
      </c>
      <c r="L1948" t="str">
        <f>IFERROR(__xludf.DUMMYFUNCTION("""COMPUTED_VALUE"""),"")</f>
        <v/>
      </c>
      <c r="M1948" t="str">
        <f>IFERROR(__xludf.DUMMYFUNCTION("""COMPUTED_VALUE"""),"")</f>
        <v/>
      </c>
      <c r="N1948" t="str">
        <f>IFERROR(__xludf.DUMMYFUNCTION("""COMPUTED_VALUE"""),"")</f>
        <v/>
      </c>
      <c r="O1948" t="str">
        <f>IFERROR(__xludf.DUMMYFUNCTION("""COMPUTED_VALUE"""),"")</f>
        <v/>
      </c>
      <c r="P1948" t="str">
        <f>IFERROR(__xludf.DUMMYFUNCTION("""COMPUTED_VALUE"""),"ID ")</f>
        <v>ID </v>
      </c>
    </row>
    <row r="1949">
      <c r="A1949" s="6" t="str">
        <f>IFERROR(__xludf.DUMMYFUNCTION("""COMPUTED_VALUE"""),"")</f>
        <v/>
      </c>
      <c r="C1949" t="str">
        <f>IFERROR(__xludf.DUMMYFUNCTION("""COMPUTED_VALUE"""),"")</f>
        <v/>
      </c>
      <c r="D1949" t="str">
        <f>IFERROR(__xludf.DUMMYFUNCTION("""COMPUTED_VALUE"""),"")</f>
        <v/>
      </c>
      <c r="E1949" t="str">
        <f>IFERROR(__xludf.DUMMYFUNCTION("""COMPUTED_VALUE"""),"")</f>
        <v/>
      </c>
      <c r="F1949" t="str">
        <f>IFERROR(__xludf.DUMMYFUNCTION("""COMPUTED_VALUE"""),"")</f>
        <v/>
      </c>
      <c r="G1949" t="str">
        <f>IFERROR(__xludf.DUMMYFUNCTION("""COMPUTED_VALUE"""),"")</f>
        <v/>
      </c>
      <c r="H1949" s="2" t="str">
        <f>IFERROR(__xludf.DUMMYFUNCTION("""COMPUTED_VALUE"""),"")</f>
        <v/>
      </c>
      <c r="I1949" s="2" t="str">
        <f>IFERROR(__xludf.DUMMYFUNCTION("""COMPUTED_VALUE"""),"")</f>
        <v/>
      </c>
      <c r="J1949" s="2">
        <f>IFERROR(__xludf.DUMMYFUNCTION("""COMPUTED_VALUE"""),0.0)</f>
        <v>0</v>
      </c>
      <c r="K1949" s="5" t="str">
        <f>IFERROR(__xludf.DUMMYFUNCTION("""COMPUTED_VALUE"""),"")</f>
        <v/>
      </c>
      <c r="L1949" t="str">
        <f>IFERROR(__xludf.DUMMYFUNCTION("""COMPUTED_VALUE"""),"")</f>
        <v/>
      </c>
      <c r="M1949" t="str">
        <f>IFERROR(__xludf.DUMMYFUNCTION("""COMPUTED_VALUE"""),"")</f>
        <v/>
      </c>
      <c r="N1949" t="str">
        <f>IFERROR(__xludf.DUMMYFUNCTION("""COMPUTED_VALUE"""),"")</f>
        <v/>
      </c>
      <c r="O1949" t="str">
        <f>IFERROR(__xludf.DUMMYFUNCTION("""COMPUTED_VALUE"""),"")</f>
        <v/>
      </c>
      <c r="P1949" t="str">
        <f>IFERROR(__xludf.DUMMYFUNCTION("""COMPUTED_VALUE"""),"ID ")</f>
        <v>ID </v>
      </c>
    </row>
    <row r="1950">
      <c r="A1950" s="6" t="str">
        <f>IFERROR(__xludf.DUMMYFUNCTION("""COMPUTED_VALUE"""),"")</f>
        <v/>
      </c>
      <c r="C1950" t="str">
        <f>IFERROR(__xludf.DUMMYFUNCTION("""COMPUTED_VALUE"""),"")</f>
        <v/>
      </c>
      <c r="D1950" t="str">
        <f>IFERROR(__xludf.DUMMYFUNCTION("""COMPUTED_VALUE"""),"")</f>
        <v/>
      </c>
      <c r="E1950" t="str">
        <f>IFERROR(__xludf.DUMMYFUNCTION("""COMPUTED_VALUE"""),"")</f>
        <v/>
      </c>
      <c r="F1950" t="str">
        <f>IFERROR(__xludf.DUMMYFUNCTION("""COMPUTED_VALUE"""),"")</f>
        <v/>
      </c>
      <c r="G1950" t="str">
        <f>IFERROR(__xludf.DUMMYFUNCTION("""COMPUTED_VALUE"""),"")</f>
        <v/>
      </c>
      <c r="H1950" s="2" t="str">
        <f>IFERROR(__xludf.DUMMYFUNCTION("""COMPUTED_VALUE"""),"")</f>
        <v/>
      </c>
      <c r="I1950" s="2" t="str">
        <f>IFERROR(__xludf.DUMMYFUNCTION("""COMPUTED_VALUE"""),"")</f>
        <v/>
      </c>
      <c r="J1950" s="2">
        <f>IFERROR(__xludf.DUMMYFUNCTION("""COMPUTED_VALUE"""),0.0)</f>
        <v>0</v>
      </c>
      <c r="K1950" s="5" t="str">
        <f>IFERROR(__xludf.DUMMYFUNCTION("""COMPUTED_VALUE"""),"")</f>
        <v/>
      </c>
      <c r="L1950" t="str">
        <f>IFERROR(__xludf.DUMMYFUNCTION("""COMPUTED_VALUE"""),"")</f>
        <v/>
      </c>
      <c r="M1950" t="str">
        <f>IFERROR(__xludf.DUMMYFUNCTION("""COMPUTED_VALUE"""),"")</f>
        <v/>
      </c>
      <c r="N1950" t="str">
        <f>IFERROR(__xludf.DUMMYFUNCTION("""COMPUTED_VALUE"""),"")</f>
        <v/>
      </c>
      <c r="O1950" t="str">
        <f>IFERROR(__xludf.DUMMYFUNCTION("""COMPUTED_VALUE"""),"")</f>
        <v/>
      </c>
      <c r="P1950" t="str">
        <f>IFERROR(__xludf.DUMMYFUNCTION("""COMPUTED_VALUE"""),"ID ")</f>
        <v>ID </v>
      </c>
    </row>
    <row r="1951">
      <c r="A1951" s="6" t="str">
        <f>IFERROR(__xludf.DUMMYFUNCTION("""COMPUTED_VALUE"""),"")</f>
        <v/>
      </c>
      <c r="C1951" t="str">
        <f>IFERROR(__xludf.DUMMYFUNCTION("""COMPUTED_VALUE"""),"")</f>
        <v/>
      </c>
      <c r="D1951" t="str">
        <f>IFERROR(__xludf.DUMMYFUNCTION("""COMPUTED_VALUE"""),"")</f>
        <v/>
      </c>
      <c r="E1951" t="str">
        <f>IFERROR(__xludf.DUMMYFUNCTION("""COMPUTED_VALUE"""),"")</f>
        <v/>
      </c>
      <c r="F1951" t="str">
        <f>IFERROR(__xludf.DUMMYFUNCTION("""COMPUTED_VALUE"""),"")</f>
        <v/>
      </c>
      <c r="G1951" t="str">
        <f>IFERROR(__xludf.DUMMYFUNCTION("""COMPUTED_VALUE"""),"")</f>
        <v/>
      </c>
      <c r="H1951" s="2" t="str">
        <f>IFERROR(__xludf.DUMMYFUNCTION("""COMPUTED_VALUE"""),"")</f>
        <v/>
      </c>
      <c r="I1951" s="2" t="str">
        <f>IFERROR(__xludf.DUMMYFUNCTION("""COMPUTED_VALUE"""),"")</f>
        <v/>
      </c>
      <c r="J1951" s="2">
        <f>IFERROR(__xludf.DUMMYFUNCTION("""COMPUTED_VALUE"""),0.0)</f>
        <v>0</v>
      </c>
      <c r="K1951" s="5" t="str">
        <f>IFERROR(__xludf.DUMMYFUNCTION("""COMPUTED_VALUE"""),"")</f>
        <v/>
      </c>
      <c r="L1951" t="str">
        <f>IFERROR(__xludf.DUMMYFUNCTION("""COMPUTED_VALUE"""),"")</f>
        <v/>
      </c>
      <c r="M1951" t="str">
        <f>IFERROR(__xludf.DUMMYFUNCTION("""COMPUTED_VALUE"""),"")</f>
        <v/>
      </c>
      <c r="N1951" t="str">
        <f>IFERROR(__xludf.DUMMYFUNCTION("""COMPUTED_VALUE"""),"")</f>
        <v/>
      </c>
      <c r="O1951" t="str">
        <f>IFERROR(__xludf.DUMMYFUNCTION("""COMPUTED_VALUE"""),"")</f>
        <v/>
      </c>
      <c r="P1951" t="str">
        <f>IFERROR(__xludf.DUMMYFUNCTION("""COMPUTED_VALUE"""),"ID ")</f>
        <v>ID </v>
      </c>
    </row>
    <row r="1952">
      <c r="A1952" s="6" t="str">
        <f>IFERROR(__xludf.DUMMYFUNCTION("""COMPUTED_VALUE"""),"")</f>
        <v/>
      </c>
      <c r="C1952" t="str">
        <f>IFERROR(__xludf.DUMMYFUNCTION("""COMPUTED_VALUE"""),"")</f>
        <v/>
      </c>
      <c r="D1952" t="str">
        <f>IFERROR(__xludf.DUMMYFUNCTION("""COMPUTED_VALUE"""),"")</f>
        <v/>
      </c>
      <c r="E1952" t="str">
        <f>IFERROR(__xludf.DUMMYFUNCTION("""COMPUTED_VALUE"""),"")</f>
        <v/>
      </c>
      <c r="F1952" t="str">
        <f>IFERROR(__xludf.DUMMYFUNCTION("""COMPUTED_VALUE"""),"")</f>
        <v/>
      </c>
      <c r="G1952" t="str">
        <f>IFERROR(__xludf.DUMMYFUNCTION("""COMPUTED_VALUE"""),"")</f>
        <v/>
      </c>
      <c r="H1952" s="2" t="str">
        <f>IFERROR(__xludf.DUMMYFUNCTION("""COMPUTED_VALUE"""),"")</f>
        <v/>
      </c>
      <c r="I1952" s="2" t="str">
        <f>IFERROR(__xludf.DUMMYFUNCTION("""COMPUTED_VALUE"""),"")</f>
        <v/>
      </c>
      <c r="J1952" s="2">
        <f>IFERROR(__xludf.DUMMYFUNCTION("""COMPUTED_VALUE"""),0.0)</f>
        <v>0</v>
      </c>
      <c r="K1952" s="5" t="str">
        <f>IFERROR(__xludf.DUMMYFUNCTION("""COMPUTED_VALUE"""),"")</f>
        <v/>
      </c>
      <c r="L1952" t="str">
        <f>IFERROR(__xludf.DUMMYFUNCTION("""COMPUTED_VALUE"""),"")</f>
        <v/>
      </c>
      <c r="M1952" t="str">
        <f>IFERROR(__xludf.DUMMYFUNCTION("""COMPUTED_VALUE"""),"")</f>
        <v/>
      </c>
      <c r="N1952" t="str">
        <f>IFERROR(__xludf.DUMMYFUNCTION("""COMPUTED_VALUE"""),"")</f>
        <v/>
      </c>
      <c r="O1952" t="str">
        <f>IFERROR(__xludf.DUMMYFUNCTION("""COMPUTED_VALUE"""),"")</f>
        <v/>
      </c>
      <c r="P1952" t="str">
        <f>IFERROR(__xludf.DUMMYFUNCTION("""COMPUTED_VALUE"""),"ID ")</f>
        <v>ID </v>
      </c>
    </row>
    <row r="1953">
      <c r="A1953" s="6" t="str">
        <f>IFERROR(__xludf.DUMMYFUNCTION("""COMPUTED_VALUE"""),"")</f>
        <v/>
      </c>
      <c r="C1953" t="str">
        <f>IFERROR(__xludf.DUMMYFUNCTION("""COMPUTED_VALUE"""),"")</f>
        <v/>
      </c>
      <c r="D1953" t="str">
        <f>IFERROR(__xludf.DUMMYFUNCTION("""COMPUTED_VALUE"""),"")</f>
        <v/>
      </c>
      <c r="E1953" t="str">
        <f>IFERROR(__xludf.DUMMYFUNCTION("""COMPUTED_VALUE"""),"")</f>
        <v/>
      </c>
      <c r="F1953" t="str">
        <f>IFERROR(__xludf.DUMMYFUNCTION("""COMPUTED_VALUE"""),"")</f>
        <v/>
      </c>
      <c r="G1953" t="str">
        <f>IFERROR(__xludf.DUMMYFUNCTION("""COMPUTED_VALUE"""),"")</f>
        <v/>
      </c>
      <c r="H1953" s="2" t="str">
        <f>IFERROR(__xludf.DUMMYFUNCTION("""COMPUTED_VALUE"""),"")</f>
        <v/>
      </c>
      <c r="I1953" s="2" t="str">
        <f>IFERROR(__xludf.DUMMYFUNCTION("""COMPUTED_VALUE"""),"")</f>
        <v/>
      </c>
      <c r="J1953" s="2">
        <f>IFERROR(__xludf.DUMMYFUNCTION("""COMPUTED_VALUE"""),0.0)</f>
        <v>0</v>
      </c>
      <c r="K1953" s="5" t="str">
        <f>IFERROR(__xludf.DUMMYFUNCTION("""COMPUTED_VALUE"""),"")</f>
        <v/>
      </c>
      <c r="L1953" t="str">
        <f>IFERROR(__xludf.DUMMYFUNCTION("""COMPUTED_VALUE"""),"")</f>
        <v/>
      </c>
      <c r="M1953" t="str">
        <f>IFERROR(__xludf.DUMMYFUNCTION("""COMPUTED_VALUE"""),"")</f>
        <v/>
      </c>
      <c r="N1953" t="str">
        <f>IFERROR(__xludf.DUMMYFUNCTION("""COMPUTED_VALUE"""),"")</f>
        <v/>
      </c>
      <c r="O1953" t="str">
        <f>IFERROR(__xludf.DUMMYFUNCTION("""COMPUTED_VALUE"""),"")</f>
        <v/>
      </c>
      <c r="P1953" t="str">
        <f>IFERROR(__xludf.DUMMYFUNCTION("""COMPUTED_VALUE"""),"ID ")</f>
        <v>ID </v>
      </c>
    </row>
    <row r="1954">
      <c r="A1954" s="6" t="str">
        <f>IFERROR(__xludf.DUMMYFUNCTION("""COMPUTED_VALUE"""),"")</f>
        <v/>
      </c>
      <c r="C1954" t="str">
        <f>IFERROR(__xludf.DUMMYFUNCTION("""COMPUTED_VALUE"""),"")</f>
        <v/>
      </c>
      <c r="D1954" t="str">
        <f>IFERROR(__xludf.DUMMYFUNCTION("""COMPUTED_VALUE"""),"")</f>
        <v/>
      </c>
      <c r="E1954" t="str">
        <f>IFERROR(__xludf.DUMMYFUNCTION("""COMPUTED_VALUE"""),"")</f>
        <v/>
      </c>
      <c r="F1954" t="str">
        <f>IFERROR(__xludf.DUMMYFUNCTION("""COMPUTED_VALUE"""),"")</f>
        <v/>
      </c>
      <c r="G1954" t="str">
        <f>IFERROR(__xludf.DUMMYFUNCTION("""COMPUTED_VALUE"""),"")</f>
        <v/>
      </c>
      <c r="H1954" s="2" t="str">
        <f>IFERROR(__xludf.DUMMYFUNCTION("""COMPUTED_VALUE"""),"")</f>
        <v/>
      </c>
      <c r="I1954" s="2" t="str">
        <f>IFERROR(__xludf.DUMMYFUNCTION("""COMPUTED_VALUE"""),"")</f>
        <v/>
      </c>
      <c r="J1954" s="2">
        <f>IFERROR(__xludf.DUMMYFUNCTION("""COMPUTED_VALUE"""),0.0)</f>
        <v>0</v>
      </c>
      <c r="K1954" s="5" t="str">
        <f>IFERROR(__xludf.DUMMYFUNCTION("""COMPUTED_VALUE"""),"")</f>
        <v/>
      </c>
      <c r="L1954" t="str">
        <f>IFERROR(__xludf.DUMMYFUNCTION("""COMPUTED_VALUE"""),"")</f>
        <v/>
      </c>
      <c r="M1954" t="str">
        <f>IFERROR(__xludf.DUMMYFUNCTION("""COMPUTED_VALUE"""),"")</f>
        <v/>
      </c>
      <c r="N1954" t="str">
        <f>IFERROR(__xludf.DUMMYFUNCTION("""COMPUTED_VALUE"""),"")</f>
        <v/>
      </c>
      <c r="O1954" t="str">
        <f>IFERROR(__xludf.DUMMYFUNCTION("""COMPUTED_VALUE"""),"")</f>
        <v/>
      </c>
      <c r="P1954" t="str">
        <f>IFERROR(__xludf.DUMMYFUNCTION("""COMPUTED_VALUE"""),"ID ")</f>
        <v>ID </v>
      </c>
    </row>
    <row r="1955">
      <c r="A1955" s="6" t="str">
        <f>IFERROR(__xludf.DUMMYFUNCTION("""COMPUTED_VALUE"""),"")</f>
        <v/>
      </c>
      <c r="C1955" t="str">
        <f>IFERROR(__xludf.DUMMYFUNCTION("""COMPUTED_VALUE"""),"")</f>
        <v/>
      </c>
      <c r="D1955" t="str">
        <f>IFERROR(__xludf.DUMMYFUNCTION("""COMPUTED_VALUE"""),"")</f>
        <v/>
      </c>
      <c r="E1955" t="str">
        <f>IFERROR(__xludf.DUMMYFUNCTION("""COMPUTED_VALUE"""),"")</f>
        <v/>
      </c>
      <c r="F1955" t="str">
        <f>IFERROR(__xludf.DUMMYFUNCTION("""COMPUTED_VALUE"""),"")</f>
        <v/>
      </c>
      <c r="G1955" t="str">
        <f>IFERROR(__xludf.DUMMYFUNCTION("""COMPUTED_VALUE"""),"")</f>
        <v/>
      </c>
      <c r="H1955" s="2" t="str">
        <f>IFERROR(__xludf.DUMMYFUNCTION("""COMPUTED_VALUE"""),"")</f>
        <v/>
      </c>
      <c r="I1955" s="2" t="str">
        <f>IFERROR(__xludf.DUMMYFUNCTION("""COMPUTED_VALUE"""),"")</f>
        <v/>
      </c>
      <c r="J1955" s="2">
        <f>IFERROR(__xludf.DUMMYFUNCTION("""COMPUTED_VALUE"""),0.0)</f>
        <v>0</v>
      </c>
      <c r="K1955" s="5" t="str">
        <f>IFERROR(__xludf.DUMMYFUNCTION("""COMPUTED_VALUE"""),"")</f>
        <v/>
      </c>
      <c r="L1955" t="str">
        <f>IFERROR(__xludf.DUMMYFUNCTION("""COMPUTED_VALUE"""),"")</f>
        <v/>
      </c>
      <c r="M1955" t="str">
        <f>IFERROR(__xludf.DUMMYFUNCTION("""COMPUTED_VALUE"""),"")</f>
        <v/>
      </c>
      <c r="N1955" t="str">
        <f>IFERROR(__xludf.DUMMYFUNCTION("""COMPUTED_VALUE"""),"")</f>
        <v/>
      </c>
      <c r="O1955" t="str">
        <f>IFERROR(__xludf.DUMMYFUNCTION("""COMPUTED_VALUE"""),"")</f>
        <v/>
      </c>
      <c r="P1955" t="str">
        <f>IFERROR(__xludf.DUMMYFUNCTION("""COMPUTED_VALUE"""),"ID ")</f>
        <v>ID </v>
      </c>
    </row>
    <row r="1956">
      <c r="A1956" s="6" t="str">
        <f>IFERROR(__xludf.DUMMYFUNCTION("""COMPUTED_VALUE"""),"")</f>
        <v/>
      </c>
      <c r="C1956" t="str">
        <f>IFERROR(__xludf.DUMMYFUNCTION("""COMPUTED_VALUE"""),"")</f>
        <v/>
      </c>
      <c r="D1956" t="str">
        <f>IFERROR(__xludf.DUMMYFUNCTION("""COMPUTED_VALUE"""),"")</f>
        <v/>
      </c>
      <c r="E1956" t="str">
        <f>IFERROR(__xludf.DUMMYFUNCTION("""COMPUTED_VALUE"""),"")</f>
        <v/>
      </c>
      <c r="F1956" t="str">
        <f>IFERROR(__xludf.DUMMYFUNCTION("""COMPUTED_VALUE"""),"")</f>
        <v/>
      </c>
      <c r="G1956" t="str">
        <f>IFERROR(__xludf.DUMMYFUNCTION("""COMPUTED_VALUE"""),"")</f>
        <v/>
      </c>
      <c r="H1956" s="2" t="str">
        <f>IFERROR(__xludf.DUMMYFUNCTION("""COMPUTED_VALUE"""),"")</f>
        <v/>
      </c>
      <c r="I1956" s="2" t="str">
        <f>IFERROR(__xludf.DUMMYFUNCTION("""COMPUTED_VALUE"""),"")</f>
        <v/>
      </c>
      <c r="J1956" s="2">
        <f>IFERROR(__xludf.DUMMYFUNCTION("""COMPUTED_VALUE"""),0.0)</f>
        <v>0</v>
      </c>
      <c r="K1956" s="5" t="str">
        <f>IFERROR(__xludf.DUMMYFUNCTION("""COMPUTED_VALUE"""),"")</f>
        <v/>
      </c>
      <c r="L1956" t="str">
        <f>IFERROR(__xludf.DUMMYFUNCTION("""COMPUTED_VALUE"""),"")</f>
        <v/>
      </c>
      <c r="M1956" t="str">
        <f>IFERROR(__xludf.DUMMYFUNCTION("""COMPUTED_VALUE"""),"")</f>
        <v/>
      </c>
      <c r="N1956" t="str">
        <f>IFERROR(__xludf.DUMMYFUNCTION("""COMPUTED_VALUE"""),"")</f>
        <v/>
      </c>
      <c r="O1956" t="str">
        <f>IFERROR(__xludf.DUMMYFUNCTION("""COMPUTED_VALUE"""),"")</f>
        <v/>
      </c>
      <c r="P1956" t="str">
        <f>IFERROR(__xludf.DUMMYFUNCTION("""COMPUTED_VALUE"""),"ID ")</f>
        <v>ID </v>
      </c>
    </row>
    <row r="1957">
      <c r="A1957" s="6" t="str">
        <f>IFERROR(__xludf.DUMMYFUNCTION("""COMPUTED_VALUE"""),"")</f>
        <v/>
      </c>
      <c r="C1957" t="str">
        <f>IFERROR(__xludf.DUMMYFUNCTION("""COMPUTED_VALUE"""),"")</f>
        <v/>
      </c>
      <c r="D1957" t="str">
        <f>IFERROR(__xludf.DUMMYFUNCTION("""COMPUTED_VALUE"""),"")</f>
        <v/>
      </c>
      <c r="E1957" t="str">
        <f>IFERROR(__xludf.DUMMYFUNCTION("""COMPUTED_VALUE"""),"")</f>
        <v/>
      </c>
      <c r="F1957" t="str">
        <f>IFERROR(__xludf.DUMMYFUNCTION("""COMPUTED_VALUE"""),"")</f>
        <v/>
      </c>
      <c r="G1957" t="str">
        <f>IFERROR(__xludf.DUMMYFUNCTION("""COMPUTED_VALUE"""),"")</f>
        <v/>
      </c>
      <c r="H1957" s="2" t="str">
        <f>IFERROR(__xludf.DUMMYFUNCTION("""COMPUTED_VALUE"""),"")</f>
        <v/>
      </c>
      <c r="I1957" s="2" t="str">
        <f>IFERROR(__xludf.DUMMYFUNCTION("""COMPUTED_VALUE"""),"")</f>
        <v/>
      </c>
      <c r="J1957" s="2">
        <f>IFERROR(__xludf.DUMMYFUNCTION("""COMPUTED_VALUE"""),0.0)</f>
        <v>0</v>
      </c>
      <c r="K1957" s="5" t="str">
        <f>IFERROR(__xludf.DUMMYFUNCTION("""COMPUTED_VALUE"""),"")</f>
        <v/>
      </c>
      <c r="L1957" t="str">
        <f>IFERROR(__xludf.DUMMYFUNCTION("""COMPUTED_VALUE"""),"")</f>
        <v/>
      </c>
      <c r="M1957" t="str">
        <f>IFERROR(__xludf.DUMMYFUNCTION("""COMPUTED_VALUE"""),"")</f>
        <v/>
      </c>
      <c r="N1957" t="str">
        <f>IFERROR(__xludf.DUMMYFUNCTION("""COMPUTED_VALUE"""),"")</f>
        <v/>
      </c>
      <c r="O1957" t="str">
        <f>IFERROR(__xludf.DUMMYFUNCTION("""COMPUTED_VALUE"""),"")</f>
        <v/>
      </c>
      <c r="P1957" t="str">
        <f>IFERROR(__xludf.DUMMYFUNCTION("""COMPUTED_VALUE"""),"ID ")</f>
        <v>ID </v>
      </c>
    </row>
    <row r="1958">
      <c r="A1958" s="6" t="str">
        <f>IFERROR(__xludf.DUMMYFUNCTION("""COMPUTED_VALUE"""),"")</f>
        <v/>
      </c>
      <c r="C1958" t="str">
        <f>IFERROR(__xludf.DUMMYFUNCTION("""COMPUTED_VALUE"""),"")</f>
        <v/>
      </c>
      <c r="D1958" t="str">
        <f>IFERROR(__xludf.DUMMYFUNCTION("""COMPUTED_VALUE"""),"")</f>
        <v/>
      </c>
      <c r="E1958" t="str">
        <f>IFERROR(__xludf.DUMMYFUNCTION("""COMPUTED_VALUE"""),"")</f>
        <v/>
      </c>
      <c r="F1958" t="str">
        <f>IFERROR(__xludf.DUMMYFUNCTION("""COMPUTED_VALUE"""),"")</f>
        <v/>
      </c>
      <c r="G1958" t="str">
        <f>IFERROR(__xludf.DUMMYFUNCTION("""COMPUTED_VALUE"""),"")</f>
        <v/>
      </c>
      <c r="H1958" s="2" t="str">
        <f>IFERROR(__xludf.DUMMYFUNCTION("""COMPUTED_VALUE"""),"")</f>
        <v/>
      </c>
      <c r="I1958" s="2" t="str">
        <f>IFERROR(__xludf.DUMMYFUNCTION("""COMPUTED_VALUE"""),"")</f>
        <v/>
      </c>
      <c r="J1958" s="2">
        <f>IFERROR(__xludf.DUMMYFUNCTION("""COMPUTED_VALUE"""),0.0)</f>
        <v>0</v>
      </c>
      <c r="K1958" s="5" t="str">
        <f>IFERROR(__xludf.DUMMYFUNCTION("""COMPUTED_VALUE"""),"")</f>
        <v/>
      </c>
      <c r="L1958" t="str">
        <f>IFERROR(__xludf.DUMMYFUNCTION("""COMPUTED_VALUE"""),"")</f>
        <v/>
      </c>
      <c r="M1958" t="str">
        <f>IFERROR(__xludf.DUMMYFUNCTION("""COMPUTED_VALUE"""),"")</f>
        <v/>
      </c>
      <c r="N1958" t="str">
        <f>IFERROR(__xludf.DUMMYFUNCTION("""COMPUTED_VALUE"""),"")</f>
        <v/>
      </c>
      <c r="O1958" t="str">
        <f>IFERROR(__xludf.DUMMYFUNCTION("""COMPUTED_VALUE"""),"")</f>
        <v/>
      </c>
      <c r="P1958" t="str">
        <f>IFERROR(__xludf.DUMMYFUNCTION("""COMPUTED_VALUE"""),"ID ")</f>
        <v>ID </v>
      </c>
    </row>
    <row r="1959">
      <c r="A1959" s="6" t="str">
        <f>IFERROR(__xludf.DUMMYFUNCTION("""COMPUTED_VALUE"""),"")</f>
        <v/>
      </c>
      <c r="C1959" t="str">
        <f>IFERROR(__xludf.DUMMYFUNCTION("""COMPUTED_VALUE"""),"")</f>
        <v/>
      </c>
      <c r="D1959" t="str">
        <f>IFERROR(__xludf.DUMMYFUNCTION("""COMPUTED_VALUE"""),"")</f>
        <v/>
      </c>
      <c r="E1959" t="str">
        <f>IFERROR(__xludf.DUMMYFUNCTION("""COMPUTED_VALUE"""),"")</f>
        <v/>
      </c>
      <c r="F1959" t="str">
        <f>IFERROR(__xludf.DUMMYFUNCTION("""COMPUTED_VALUE"""),"")</f>
        <v/>
      </c>
      <c r="G1959" t="str">
        <f>IFERROR(__xludf.DUMMYFUNCTION("""COMPUTED_VALUE"""),"")</f>
        <v/>
      </c>
      <c r="H1959" s="2" t="str">
        <f>IFERROR(__xludf.DUMMYFUNCTION("""COMPUTED_VALUE"""),"")</f>
        <v/>
      </c>
      <c r="I1959" s="2" t="str">
        <f>IFERROR(__xludf.DUMMYFUNCTION("""COMPUTED_VALUE"""),"")</f>
        <v/>
      </c>
      <c r="J1959" s="2">
        <f>IFERROR(__xludf.DUMMYFUNCTION("""COMPUTED_VALUE"""),0.0)</f>
        <v>0</v>
      </c>
      <c r="K1959" s="5" t="str">
        <f>IFERROR(__xludf.DUMMYFUNCTION("""COMPUTED_VALUE"""),"")</f>
        <v/>
      </c>
      <c r="L1959" t="str">
        <f>IFERROR(__xludf.DUMMYFUNCTION("""COMPUTED_VALUE"""),"")</f>
        <v/>
      </c>
      <c r="M1959" t="str">
        <f>IFERROR(__xludf.DUMMYFUNCTION("""COMPUTED_VALUE"""),"")</f>
        <v/>
      </c>
      <c r="N1959" t="str">
        <f>IFERROR(__xludf.DUMMYFUNCTION("""COMPUTED_VALUE"""),"")</f>
        <v/>
      </c>
      <c r="O1959" t="str">
        <f>IFERROR(__xludf.DUMMYFUNCTION("""COMPUTED_VALUE"""),"")</f>
        <v/>
      </c>
      <c r="P1959" t="str">
        <f>IFERROR(__xludf.DUMMYFUNCTION("""COMPUTED_VALUE"""),"ID ")</f>
        <v>ID </v>
      </c>
    </row>
    <row r="1960">
      <c r="A1960" s="6" t="str">
        <f>IFERROR(__xludf.DUMMYFUNCTION("""COMPUTED_VALUE"""),"")</f>
        <v/>
      </c>
      <c r="C1960" t="str">
        <f>IFERROR(__xludf.DUMMYFUNCTION("""COMPUTED_VALUE"""),"")</f>
        <v/>
      </c>
      <c r="D1960" t="str">
        <f>IFERROR(__xludf.DUMMYFUNCTION("""COMPUTED_VALUE"""),"")</f>
        <v/>
      </c>
      <c r="E1960" t="str">
        <f>IFERROR(__xludf.DUMMYFUNCTION("""COMPUTED_VALUE"""),"")</f>
        <v/>
      </c>
      <c r="F1960" t="str">
        <f>IFERROR(__xludf.DUMMYFUNCTION("""COMPUTED_VALUE"""),"")</f>
        <v/>
      </c>
      <c r="G1960" t="str">
        <f>IFERROR(__xludf.DUMMYFUNCTION("""COMPUTED_VALUE"""),"")</f>
        <v/>
      </c>
      <c r="H1960" s="2" t="str">
        <f>IFERROR(__xludf.DUMMYFUNCTION("""COMPUTED_VALUE"""),"")</f>
        <v/>
      </c>
      <c r="I1960" s="2" t="str">
        <f>IFERROR(__xludf.DUMMYFUNCTION("""COMPUTED_VALUE"""),"")</f>
        <v/>
      </c>
      <c r="J1960" s="2">
        <f>IFERROR(__xludf.DUMMYFUNCTION("""COMPUTED_VALUE"""),0.0)</f>
        <v>0</v>
      </c>
      <c r="K1960" s="5" t="str">
        <f>IFERROR(__xludf.DUMMYFUNCTION("""COMPUTED_VALUE"""),"")</f>
        <v/>
      </c>
      <c r="L1960" t="str">
        <f>IFERROR(__xludf.DUMMYFUNCTION("""COMPUTED_VALUE"""),"")</f>
        <v/>
      </c>
      <c r="M1960" t="str">
        <f>IFERROR(__xludf.DUMMYFUNCTION("""COMPUTED_VALUE"""),"")</f>
        <v/>
      </c>
      <c r="N1960" t="str">
        <f>IFERROR(__xludf.DUMMYFUNCTION("""COMPUTED_VALUE"""),"")</f>
        <v/>
      </c>
      <c r="O1960" t="str">
        <f>IFERROR(__xludf.DUMMYFUNCTION("""COMPUTED_VALUE"""),"")</f>
        <v/>
      </c>
      <c r="P1960" t="str">
        <f>IFERROR(__xludf.DUMMYFUNCTION("""COMPUTED_VALUE"""),"ID ")</f>
        <v>ID </v>
      </c>
    </row>
    <row r="1961">
      <c r="A1961" s="6" t="str">
        <f>IFERROR(__xludf.DUMMYFUNCTION("""COMPUTED_VALUE"""),"")</f>
        <v/>
      </c>
      <c r="C1961" t="str">
        <f>IFERROR(__xludf.DUMMYFUNCTION("""COMPUTED_VALUE"""),"")</f>
        <v/>
      </c>
      <c r="D1961" t="str">
        <f>IFERROR(__xludf.DUMMYFUNCTION("""COMPUTED_VALUE"""),"")</f>
        <v/>
      </c>
      <c r="E1961" t="str">
        <f>IFERROR(__xludf.DUMMYFUNCTION("""COMPUTED_VALUE"""),"")</f>
        <v/>
      </c>
      <c r="F1961" t="str">
        <f>IFERROR(__xludf.DUMMYFUNCTION("""COMPUTED_VALUE"""),"")</f>
        <v/>
      </c>
      <c r="G1961" t="str">
        <f>IFERROR(__xludf.DUMMYFUNCTION("""COMPUTED_VALUE"""),"")</f>
        <v/>
      </c>
      <c r="H1961" s="2" t="str">
        <f>IFERROR(__xludf.DUMMYFUNCTION("""COMPUTED_VALUE"""),"")</f>
        <v/>
      </c>
      <c r="I1961" s="2" t="str">
        <f>IFERROR(__xludf.DUMMYFUNCTION("""COMPUTED_VALUE"""),"")</f>
        <v/>
      </c>
      <c r="J1961" s="2">
        <f>IFERROR(__xludf.DUMMYFUNCTION("""COMPUTED_VALUE"""),0.0)</f>
        <v>0</v>
      </c>
      <c r="K1961" s="5" t="str">
        <f>IFERROR(__xludf.DUMMYFUNCTION("""COMPUTED_VALUE"""),"")</f>
        <v/>
      </c>
      <c r="L1961" t="str">
        <f>IFERROR(__xludf.DUMMYFUNCTION("""COMPUTED_VALUE"""),"")</f>
        <v/>
      </c>
      <c r="M1961" t="str">
        <f>IFERROR(__xludf.DUMMYFUNCTION("""COMPUTED_VALUE"""),"")</f>
        <v/>
      </c>
      <c r="N1961" t="str">
        <f>IFERROR(__xludf.DUMMYFUNCTION("""COMPUTED_VALUE"""),"")</f>
        <v/>
      </c>
      <c r="O1961" t="str">
        <f>IFERROR(__xludf.DUMMYFUNCTION("""COMPUTED_VALUE"""),"")</f>
        <v/>
      </c>
      <c r="P1961" t="str">
        <f>IFERROR(__xludf.DUMMYFUNCTION("""COMPUTED_VALUE"""),"ID ")</f>
        <v>ID </v>
      </c>
    </row>
    <row r="1962">
      <c r="A1962" s="6" t="str">
        <f>IFERROR(__xludf.DUMMYFUNCTION("""COMPUTED_VALUE"""),"")</f>
        <v/>
      </c>
      <c r="C1962" t="str">
        <f>IFERROR(__xludf.DUMMYFUNCTION("""COMPUTED_VALUE"""),"")</f>
        <v/>
      </c>
      <c r="D1962" t="str">
        <f>IFERROR(__xludf.DUMMYFUNCTION("""COMPUTED_VALUE"""),"")</f>
        <v/>
      </c>
      <c r="E1962" t="str">
        <f>IFERROR(__xludf.DUMMYFUNCTION("""COMPUTED_VALUE"""),"")</f>
        <v/>
      </c>
      <c r="F1962" t="str">
        <f>IFERROR(__xludf.DUMMYFUNCTION("""COMPUTED_VALUE"""),"")</f>
        <v/>
      </c>
      <c r="G1962" t="str">
        <f>IFERROR(__xludf.DUMMYFUNCTION("""COMPUTED_VALUE"""),"")</f>
        <v/>
      </c>
      <c r="H1962" s="2" t="str">
        <f>IFERROR(__xludf.DUMMYFUNCTION("""COMPUTED_VALUE"""),"")</f>
        <v/>
      </c>
      <c r="I1962" s="2" t="str">
        <f>IFERROR(__xludf.DUMMYFUNCTION("""COMPUTED_VALUE"""),"")</f>
        <v/>
      </c>
      <c r="J1962" s="2">
        <f>IFERROR(__xludf.DUMMYFUNCTION("""COMPUTED_VALUE"""),0.0)</f>
        <v>0</v>
      </c>
      <c r="K1962" s="5" t="str">
        <f>IFERROR(__xludf.DUMMYFUNCTION("""COMPUTED_VALUE"""),"")</f>
        <v/>
      </c>
      <c r="L1962" t="str">
        <f>IFERROR(__xludf.DUMMYFUNCTION("""COMPUTED_VALUE"""),"")</f>
        <v/>
      </c>
      <c r="M1962" t="str">
        <f>IFERROR(__xludf.DUMMYFUNCTION("""COMPUTED_VALUE"""),"")</f>
        <v/>
      </c>
      <c r="N1962" t="str">
        <f>IFERROR(__xludf.DUMMYFUNCTION("""COMPUTED_VALUE"""),"")</f>
        <v/>
      </c>
      <c r="O1962" t="str">
        <f>IFERROR(__xludf.DUMMYFUNCTION("""COMPUTED_VALUE"""),"")</f>
        <v/>
      </c>
      <c r="P1962" t="str">
        <f>IFERROR(__xludf.DUMMYFUNCTION("""COMPUTED_VALUE"""),"ID ")</f>
        <v>ID </v>
      </c>
    </row>
    <row r="1963">
      <c r="A1963" s="6" t="str">
        <f>IFERROR(__xludf.DUMMYFUNCTION("""COMPUTED_VALUE"""),"")</f>
        <v/>
      </c>
      <c r="C1963" t="str">
        <f>IFERROR(__xludf.DUMMYFUNCTION("""COMPUTED_VALUE"""),"")</f>
        <v/>
      </c>
      <c r="D1963" t="str">
        <f>IFERROR(__xludf.DUMMYFUNCTION("""COMPUTED_VALUE"""),"")</f>
        <v/>
      </c>
      <c r="E1963" t="str">
        <f>IFERROR(__xludf.DUMMYFUNCTION("""COMPUTED_VALUE"""),"")</f>
        <v/>
      </c>
      <c r="F1963" t="str">
        <f>IFERROR(__xludf.DUMMYFUNCTION("""COMPUTED_VALUE"""),"")</f>
        <v/>
      </c>
      <c r="G1963" t="str">
        <f>IFERROR(__xludf.DUMMYFUNCTION("""COMPUTED_VALUE"""),"")</f>
        <v/>
      </c>
      <c r="H1963" s="2" t="str">
        <f>IFERROR(__xludf.DUMMYFUNCTION("""COMPUTED_VALUE"""),"")</f>
        <v/>
      </c>
      <c r="I1963" s="2" t="str">
        <f>IFERROR(__xludf.DUMMYFUNCTION("""COMPUTED_VALUE"""),"")</f>
        <v/>
      </c>
      <c r="J1963" s="2">
        <f>IFERROR(__xludf.DUMMYFUNCTION("""COMPUTED_VALUE"""),0.0)</f>
        <v>0</v>
      </c>
      <c r="K1963" s="5" t="str">
        <f>IFERROR(__xludf.DUMMYFUNCTION("""COMPUTED_VALUE"""),"")</f>
        <v/>
      </c>
      <c r="L1963" t="str">
        <f>IFERROR(__xludf.DUMMYFUNCTION("""COMPUTED_VALUE"""),"")</f>
        <v/>
      </c>
      <c r="M1963" t="str">
        <f>IFERROR(__xludf.DUMMYFUNCTION("""COMPUTED_VALUE"""),"")</f>
        <v/>
      </c>
      <c r="N1963" t="str">
        <f>IFERROR(__xludf.DUMMYFUNCTION("""COMPUTED_VALUE"""),"")</f>
        <v/>
      </c>
      <c r="O1963" t="str">
        <f>IFERROR(__xludf.DUMMYFUNCTION("""COMPUTED_VALUE"""),"")</f>
        <v/>
      </c>
      <c r="P1963" t="str">
        <f>IFERROR(__xludf.DUMMYFUNCTION("""COMPUTED_VALUE"""),"ID ")</f>
        <v>ID </v>
      </c>
    </row>
    <row r="1964">
      <c r="A1964" s="6" t="str">
        <f>IFERROR(__xludf.DUMMYFUNCTION("""COMPUTED_VALUE"""),"")</f>
        <v/>
      </c>
      <c r="C1964" t="str">
        <f>IFERROR(__xludf.DUMMYFUNCTION("""COMPUTED_VALUE"""),"")</f>
        <v/>
      </c>
      <c r="D1964" t="str">
        <f>IFERROR(__xludf.DUMMYFUNCTION("""COMPUTED_VALUE"""),"")</f>
        <v/>
      </c>
      <c r="E1964" t="str">
        <f>IFERROR(__xludf.DUMMYFUNCTION("""COMPUTED_VALUE"""),"")</f>
        <v/>
      </c>
      <c r="F1964" t="str">
        <f>IFERROR(__xludf.DUMMYFUNCTION("""COMPUTED_VALUE"""),"")</f>
        <v/>
      </c>
      <c r="G1964" t="str">
        <f>IFERROR(__xludf.DUMMYFUNCTION("""COMPUTED_VALUE"""),"")</f>
        <v/>
      </c>
      <c r="H1964" s="2" t="str">
        <f>IFERROR(__xludf.DUMMYFUNCTION("""COMPUTED_VALUE"""),"")</f>
        <v/>
      </c>
      <c r="I1964" s="2" t="str">
        <f>IFERROR(__xludf.DUMMYFUNCTION("""COMPUTED_VALUE"""),"")</f>
        <v/>
      </c>
      <c r="J1964" s="2">
        <f>IFERROR(__xludf.DUMMYFUNCTION("""COMPUTED_VALUE"""),0.0)</f>
        <v>0</v>
      </c>
      <c r="K1964" s="5" t="str">
        <f>IFERROR(__xludf.DUMMYFUNCTION("""COMPUTED_VALUE"""),"")</f>
        <v/>
      </c>
      <c r="L1964" t="str">
        <f>IFERROR(__xludf.DUMMYFUNCTION("""COMPUTED_VALUE"""),"")</f>
        <v/>
      </c>
      <c r="M1964" t="str">
        <f>IFERROR(__xludf.DUMMYFUNCTION("""COMPUTED_VALUE"""),"")</f>
        <v/>
      </c>
      <c r="N1964" t="str">
        <f>IFERROR(__xludf.DUMMYFUNCTION("""COMPUTED_VALUE"""),"")</f>
        <v/>
      </c>
      <c r="O1964" t="str">
        <f>IFERROR(__xludf.DUMMYFUNCTION("""COMPUTED_VALUE"""),"")</f>
        <v/>
      </c>
      <c r="P1964" t="str">
        <f>IFERROR(__xludf.DUMMYFUNCTION("""COMPUTED_VALUE"""),"ID ")</f>
        <v>ID </v>
      </c>
    </row>
    <row r="1965">
      <c r="A1965" s="6" t="str">
        <f>IFERROR(__xludf.DUMMYFUNCTION("""COMPUTED_VALUE"""),"")</f>
        <v/>
      </c>
      <c r="C1965" t="str">
        <f>IFERROR(__xludf.DUMMYFUNCTION("""COMPUTED_VALUE"""),"")</f>
        <v/>
      </c>
      <c r="D1965" t="str">
        <f>IFERROR(__xludf.DUMMYFUNCTION("""COMPUTED_VALUE"""),"")</f>
        <v/>
      </c>
      <c r="E1965" t="str">
        <f>IFERROR(__xludf.DUMMYFUNCTION("""COMPUTED_VALUE"""),"")</f>
        <v/>
      </c>
      <c r="F1965" t="str">
        <f>IFERROR(__xludf.DUMMYFUNCTION("""COMPUTED_VALUE"""),"")</f>
        <v/>
      </c>
      <c r="G1965" t="str">
        <f>IFERROR(__xludf.DUMMYFUNCTION("""COMPUTED_VALUE"""),"")</f>
        <v/>
      </c>
      <c r="H1965" s="2" t="str">
        <f>IFERROR(__xludf.DUMMYFUNCTION("""COMPUTED_VALUE"""),"")</f>
        <v/>
      </c>
      <c r="I1965" s="2" t="str">
        <f>IFERROR(__xludf.DUMMYFUNCTION("""COMPUTED_VALUE"""),"")</f>
        <v/>
      </c>
      <c r="J1965" s="2">
        <f>IFERROR(__xludf.DUMMYFUNCTION("""COMPUTED_VALUE"""),0.0)</f>
        <v>0</v>
      </c>
      <c r="K1965" s="5" t="str">
        <f>IFERROR(__xludf.DUMMYFUNCTION("""COMPUTED_VALUE"""),"")</f>
        <v/>
      </c>
      <c r="L1965" t="str">
        <f>IFERROR(__xludf.DUMMYFUNCTION("""COMPUTED_VALUE"""),"")</f>
        <v/>
      </c>
      <c r="M1965" t="str">
        <f>IFERROR(__xludf.DUMMYFUNCTION("""COMPUTED_VALUE"""),"")</f>
        <v/>
      </c>
      <c r="N1965" t="str">
        <f>IFERROR(__xludf.DUMMYFUNCTION("""COMPUTED_VALUE"""),"")</f>
        <v/>
      </c>
      <c r="O1965" t="str">
        <f>IFERROR(__xludf.DUMMYFUNCTION("""COMPUTED_VALUE"""),"")</f>
        <v/>
      </c>
      <c r="P1965" t="str">
        <f>IFERROR(__xludf.DUMMYFUNCTION("""COMPUTED_VALUE"""),"ID ")</f>
        <v>ID </v>
      </c>
    </row>
    <row r="1966">
      <c r="A1966" s="6" t="str">
        <f>IFERROR(__xludf.DUMMYFUNCTION("""COMPUTED_VALUE"""),"")</f>
        <v/>
      </c>
      <c r="C1966" t="str">
        <f>IFERROR(__xludf.DUMMYFUNCTION("""COMPUTED_VALUE"""),"")</f>
        <v/>
      </c>
      <c r="D1966" t="str">
        <f>IFERROR(__xludf.DUMMYFUNCTION("""COMPUTED_VALUE"""),"")</f>
        <v/>
      </c>
      <c r="E1966" t="str">
        <f>IFERROR(__xludf.DUMMYFUNCTION("""COMPUTED_VALUE"""),"")</f>
        <v/>
      </c>
      <c r="F1966" t="str">
        <f>IFERROR(__xludf.DUMMYFUNCTION("""COMPUTED_VALUE"""),"")</f>
        <v/>
      </c>
      <c r="G1966" t="str">
        <f>IFERROR(__xludf.DUMMYFUNCTION("""COMPUTED_VALUE"""),"")</f>
        <v/>
      </c>
      <c r="H1966" s="2" t="str">
        <f>IFERROR(__xludf.DUMMYFUNCTION("""COMPUTED_VALUE"""),"")</f>
        <v/>
      </c>
      <c r="I1966" s="2" t="str">
        <f>IFERROR(__xludf.DUMMYFUNCTION("""COMPUTED_VALUE"""),"")</f>
        <v/>
      </c>
      <c r="J1966" s="2">
        <f>IFERROR(__xludf.DUMMYFUNCTION("""COMPUTED_VALUE"""),0.0)</f>
        <v>0</v>
      </c>
      <c r="K1966" s="5" t="str">
        <f>IFERROR(__xludf.DUMMYFUNCTION("""COMPUTED_VALUE"""),"")</f>
        <v/>
      </c>
      <c r="L1966" t="str">
        <f>IFERROR(__xludf.DUMMYFUNCTION("""COMPUTED_VALUE"""),"")</f>
        <v/>
      </c>
      <c r="M1966" t="str">
        <f>IFERROR(__xludf.DUMMYFUNCTION("""COMPUTED_VALUE"""),"")</f>
        <v/>
      </c>
      <c r="N1966" t="str">
        <f>IFERROR(__xludf.DUMMYFUNCTION("""COMPUTED_VALUE"""),"")</f>
        <v/>
      </c>
      <c r="O1966" t="str">
        <f>IFERROR(__xludf.DUMMYFUNCTION("""COMPUTED_VALUE"""),"")</f>
        <v/>
      </c>
      <c r="P1966" t="str">
        <f>IFERROR(__xludf.DUMMYFUNCTION("""COMPUTED_VALUE"""),"ID ")</f>
        <v>ID </v>
      </c>
    </row>
    <row r="1967">
      <c r="A1967" s="6" t="str">
        <f>IFERROR(__xludf.DUMMYFUNCTION("""COMPUTED_VALUE"""),"")</f>
        <v/>
      </c>
      <c r="C1967" t="str">
        <f>IFERROR(__xludf.DUMMYFUNCTION("""COMPUTED_VALUE"""),"")</f>
        <v/>
      </c>
      <c r="D1967" t="str">
        <f>IFERROR(__xludf.DUMMYFUNCTION("""COMPUTED_VALUE"""),"")</f>
        <v/>
      </c>
      <c r="E1967" t="str">
        <f>IFERROR(__xludf.DUMMYFUNCTION("""COMPUTED_VALUE"""),"")</f>
        <v/>
      </c>
      <c r="F1967" t="str">
        <f>IFERROR(__xludf.DUMMYFUNCTION("""COMPUTED_VALUE"""),"")</f>
        <v/>
      </c>
      <c r="G1967" t="str">
        <f>IFERROR(__xludf.DUMMYFUNCTION("""COMPUTED_VALUE"""),"")</f>
        <v/>
      </c>
      <c r="H1967" s="2" t="str">
        <f>IFERROR(__xludf.DUMMYFUNCTION("""COMPUTED_VALUE"""),"")</f>
        <v/>
      </c>
      <c r="I1967" s="2" t="str">
        <f>IFERROR(__xludf.DUMMYFUNCTION("""COMPUTED_VALUE"""),"")</f>
        <v/>
      </c>
      <c r="J1967" s="2">
        <f>IFERROR(__xludf.DUMMYFUNCTION("""COMPUTED_VALUE"""),0.0)</f>
        <v>0</v>
      </c>
      <c r="K1967" s="5" t="str">
        <f>IFERROR(__xludf.DUMMYFUNCTION("""COMPUTED_VALUE"""),"")</f>
        <v/>
      </c>
      <c r="L1967" t="str">
        <f>IFERROR(__xludf.DUMMYFUNCTION("""COMPUTED_VALUE"""),"")</f>
        <v/>
      </c>
      <c r="M1967" t="str">
        <f>IFERROR(__xludf.DUMMYFUNCTION("""COMPUTED_VALUE"""),"")</f>
        <v/>
      </c>
      <c r="N1967" t="str">
        <f>IFERROR(__xludf.DUMMYFUNCTION("""COMPUTED_VALUE"""),"")</f>
        <v/>
      </c>
      <c r="O1967" t="str">
        <f>IFERROR(__xludf.DUMMYFUNCTION("""COMPUTED_VALUE"""),"")</f>
        <v/>
      </c>
      <c r="P1967" t="str">
        <f>IFERROR(__xludf.DUMMYFUNCTION("""COMPUTED_VALUE"""),"ID ")</f>
        <v>ID </v>
      </c>
    </row>
    <row r="1968">
      <c r="A1968" s="6" t="str">
        <f>IFERROR(__xludf.DUMMYFUNCTION("""COMPUTED_VALUE"""),"")</f>
        <v/>
      </c>
      <c r="C1968" t="str">
        <f>IFERROR(__xludf.DUMMYFUNCTION("""COMPUTED_VALUE"""),"")</f>
        <v/>
      </c>
      <c r="D1968" t="str">
        <f>IFERROR(__xludf.DUMMYFUNCTION("""COMPUTED_VALUE"""),"")</f>
        <v/>
      </c>
      <c r="E1968" t="str">
        <f>IFERROR(__xludf.DUMMYFUNCTION("""COMPUTED_VALUE"""),"")</f>
        <v/>
      </c>
      <c r="F1968" t="str">
        <f>IFERROR(__xludf.DUMMYFUNCTION("""COMPUTED_VALUE"""),"")</f>
        <v/>
      </c>
      <c r="G1968" t="str">
        <f>IFERROR(__xludf.DUMMYFUNCTION("""COMPUTED_VALUE"""),"")</f>
        <v/>
      </c>
      <c r="H1968" s="2" t="str">
        <f>IFERROR(__xludf.DUMMYFUNCTION("""COMPUTED_VALUE"""),"")</f>
        <v/>
      </c>
      <c r="I1968" s="2" t="str">
        <f>IFERROR(__xludf.DUMMYFUNCTION("""COMPUTED_VALUE"""),"")</f>
        <v/>
      </c>
      <c r="J1968" s="2">
        <f>IFERROR(__xludf.DUMMYFUNCTION("""COMPUTED_VALUE"""),0.0)</f>
        <v>0</v>
      </c>
      <c r="K1968" s="5" t="str">
        <f>IFERROR(__xludf.DUMMYFUNCTION("""COMPUTED_VALUE"""),"")</f>
        <v/>
      </c>
      <c r="L1968" t="str">
        <f>IFERROR(__xludf.DUMMYFUNCTION("""COMPUTED_VALUE"""),"")</f>
        <v/>
      </c>
      <c r="M1968" t="str">
        <f>IFERROR(__xludf.DUMMYFUNCTION("""COMPUTED_VALUE"""),"")</f>
        <v/>
      </c>
      <c r="N1968" t="str">
        <f>IFERROR(__xludf.DUMMYFUNCTION("""COMPUTED_VALUE"""),"")</f>
        <v/>
      </c>
      <c r="O1968" t="str">
        <f>IFERROR(__xludf.DUMMYFUNCTION("""COMPUTED_VALUE"""),"")</f>
        <v/>
      </c>
      <c r="P1968" t="str">
        <f>IFERROR(__xludf.DUMMYFUNCTION("""COMPUTED_VALUE"""),"ID ")</f>
        <v>ID </v>
      </c>
    </row>
    <row r="1969">
      <c r="A1969" s="6" t="str">
        <f>IFERROR(__xludf.DUMMYFUNCTION("""COMPUTED_VALUE"""),"")</f>
        <v/>
      </c>
      <c r="C1969" t="str">
        <f>IFERROR(__xludf.DUMMYFUNCTION("""COMPUTED_VALUE"""),"")</f>
        <v/>
      </c>
      <c r="D1969" t="str">
        <f>IFERROR(__xludf.DUMMYFUNCTION("""COMPUTED_VALUE"""),"")</f>
        <v/>
      </c>
      <c r="E1969" t="str">
        <f>IFERROR(__xludf.DUMMYFUNCTION("""COMPUTED_VALUE"""),"")</f>
        <v/>
      </c>
      <c r="F1969" t="str">
        <f>IFERROR(__xludf.DUMMYFUNCTION("""COMPUTED_VALUE"""),"")</f>
        <v/>
      </c>
      <c r="G1969" t="str">
        <f>IFERROR(__xludf.DUMMYFUNCTION("""COMPUTED_VALUE"""),"")</f>
        <v/>
      </c>
      <c r="H1969" s="2" t="str">
        <f>IFERROR(__xludf.DUMMYFUNCTION("""COMPUTED_VALUE"""),"")</f>
        <v/>
      </c>
      <c r="I1969" s="2" t="str">
        <f>IFERROR(__xludf.DUMMYFUNCTION("""COMPUTED_VALUE"""),"")</f>
        <v/>
      </c>
      <c r="J1969" s="2">
        <f>IFERROR(__xludf.DUMMYFUNCTION("""COMPUTED_VALUE"""),0.0)</f>
        <v>0</v>
      </c>
      <c r="K1969" s="5" t="str">
        <f>IFERROR(__xludf.DUMMYFUNCTION("""COMPUTED_VALUE"""),"")</f>
        <v/>
      </c>
      <c r="L1969" t="str">
        <f>IFERROR(__xludf.DUMMYFUNCTION("""COMPUTED_VALUE"""),"")</f>
        <v/>
      </c>
      <c r="M1969" t="str">
        <f>IFERROR(__xludf.DUMMYFUNCTION("""COMPUTED_VALUE"""),"")</f>
        <v/>
      </c>
      <c r="N1969" t="str">
        <f>IFERROR(__xludf.DUMMYFUNCTION("""COMPUTED_VALUE"""),"")</f>
        <v/>
      </c>
      <c r="O1969" t="str">
        <f>IFERROR(__xludf.DUMMYFUNCTION("""COMPUTED_VALUE"""),"")</f>
        <v/>
      </c>
      <c r="P1969" t="str">
        <f>IFERROR(__xludf.DUMMYFUNCTION("""COMPUTED_VALUE"""),"ID ")</f>
        <v>ID </v>
      </c>
    </row>
    <row r="1970">
      <c r="A1970" s="6" t="str">
        <f>IFERROR(__xludf.DUMMYFUNCTION("""COMPUTED_VALUE"""),"")</f>
        <v/>
      </c>
      <c r="C1970" t="str">
        <f>IFERROR(__xludf.DUMMYFUNCTION("""COMPUTED_VALUE"""),"")</f>
        <v/>
      </c>
      <c r="D1970" t="str">
        <f>IFERROR(__xludf.DUMMYFUNCTION("""COMPUTED_VALUE"""),"")</f>
        <v/>
      </c>
      <c r="E1970" t="str">
        <f>IFERROR(__xludf.DUMMYFUNCTION("""COMPUTED_VALUE"""),"")</f>
        <v/>
      </c>
      <c r="F1970" t="str">
        <f>IFERROR(__xludf.DUMMYFUNCTION("""COMPUTED_VALUE"""),"")</f>
        <v/>
      </c>
      <c r="G1970" t="str">
        <f>IFERROR(__xludf.DUMMYFUNCTION("""COMPUTED_VALUE"""),"")</f>
        <v/>
      </c>
      <c r="H1970" s="2" t="str">
        <f>IFERROR(__xludf.DUMMYFUNCTION("""COMPUTED_VALUE"""),"")</f>
        <v/>
      </c>
      <c r="I1970" s="2" t="str">
        <f>IFERROR(__xludf.DUMMYFUNCTION("""COMPUTED_VALUE"""),"")</f>
        <v/>
      </c>
      <c r="J1970" s="2">
        <f>IFERROR(__xludf.DUMMYFUNCTION("""COMPUTED_VALUE"""),0.0)</f>
        <v>0</v>
      </c>
      <c r="K1970" s="5" t="str">
        <f>IFERROR(__xludf.DUMMYFUNCTION("""COMPUTED_VALUE"""),"")</f>
        <v/>
      </c>
      <c r="L1970" t="str">
        <f>IFERROR(__xludf.DUMMYFUNCTION("""COMPUTED_VALUE"""),"")</f>
        <v/>
      </c>
      <c r="M1970" t="str">
        <f>IFERROR(__xludf.DUMMYFUNCTION("""COMPUTED_VALUE"""),"")</f>
        <v/>
      </c>
      <c r="N1970" t="str">
        <f>IFERROR(__xludf.DUMMYFUNCTION("""COMPUTED_VALUE"""),"")</f>
        <v/>
      </c>
      <c r="O1970" t="str">
        <f>IFERROR(__xludf.DUMMYFUNCTION("""COMPUTED_VALUE"""),"")</f>
        <v/>
      </c>
      <c r="P1970" t="str">
        <f>IFERROR(__xludf.DUMMYFUNCTION("""COMPUTED_VALUE"""),"ID ")</f>
        <v>ID </v>
      </c>
    </row>
    <row r="1971">
      <c r="A1971" s="6" t="str">
        <f>IFERROR(__xludf.DUMMYFUNCTION("""COMPUTED_VALUE"""),"")</f>
        <v/>
      </c>
      <c r="C1971" t="str">
        <f>IFERROR(__xludf.DUMMYFUNCTION("""COMPUTED_VALUE"""),"")</f>
        <v/>
      </c>
      <c r="D1971" t="str">
        <f>IFERROR(__xludf.DUMMYFUNCTION("""COMPUTED_VALUE"""),"")</f>
        <v/>
      </c>
      <c r="E1971" t="str">
        <f>IFERROR(__xludf.DUMMYFUNCTION("""COMPUTED_VALUE"""),"")</f>
        <v/>
      </c>
      <c r="F1971" t="str">
        <f>IFERROR(__xludf.DUMMYFUNCTION("""COMPUTED_VALUE"""),"")</f>
        <v/>
      </c>
      <c r="G1971" t="str">
        <f>IFERROR(__xludf.DUMMYFUNCTION("""COMPUTED_VALUE"""),"")</f>
        <v/>
      </c>
      <c r="H1971" s="2" t="str">
        <f>IFERROR(__xludf.DUMMYFUNCTION("""COMPUTED_VALUE"""),"")</f>
        <v/>
      </c>
      <c r="I1971" s="2" t="str">
        <f>IFERROR(__xludf.DUMMYFUNCTION("""COMPUTED_VALUE"""),"")</f>
        <v/>
      </c>
      <c r="J1971" s="2">
        <f>IFERROR(__xludf.DUMMYFUNCTION("""COMPUTED_VALUE"""),0.0)</f>
        <v>0</v>
      </c>
      <c r="K1971" s="5" t="str">
        <f>IFERROR(__xludf.DUMMYFUNCTION("""COMPUTED_VALUE"""),"")</f>
        <v/>
      </c>
      <c r="L1971" t="str">
        <f>IFERROR(__xludf.DUMMYFUNCTION("""COMPUTED_VALUE"""),"")</f>
        <v/>
      </c>
      <c r="M1971" t="str">
        <f>IFERROR(__xludf.DUMMYFUNCTION("""COMPUTED_VALUE"""),"")</f>
        <v/>
      </c>
      <c r="N1971" t="str">
        <f>IFERROR(__xludf.DUMMYFUNCTION("""COMPUTED_VALUE"""),"")</f>
        <v/>
      </c>
      <c r="O1971" t="str">
        <f>IFERROR(__xludf.DUMMYFUNCTION("""COMPUTED_VALUE"""),"")</f>
        <v/>
      </c>
      <c r="P1971" t="str">
        <f>IFERROR(__xludf.DUMMYFUNCTION("""COMPUTED_VALUE"""),"ID ")</f>
        <v>ID </v>
      </c>
    </row>
    <row r="1972">
      <c r="A1972" s="6" t="str">
        <f>IFERROR(__xludf.DUMMYFUNCTION("""COMPUTED_VALUE"""),"")</f>
        <v/>
      </c>
      <c r="C1972" t="str">
        <f>IFERROR(__xludf.DUMMYFUNCTION("""COMPUTED_VALUE"""),"")</f>
        <v/>
      </c>
      <c r="D1972" t="str">
        <f>IFERROR(__xludf.DUMMYFUNCTION("""COMPUTED_VALUE"""),"")</f>
        <v/>
      </c>
      <c r="E1972" t="str">
        <f>IFERROR(__xludf.DUMMYFUNCTION("""COMPUTED_VALUE"""),"")</f>
        <v/>
      </c>
      <c r="F1972" t="str">
        <f>IFERROR(__xludf.DUMMYFUNCTION("""COMPUTED_VALUE"""),"")</f>
        <v/>
      </c>
      <c r="G1972" t="str">
        <f>IFERROR(__xludf.DUMMYFUNCTION("""COMPUTED_VALUE"""),"")</f>
        <v/>
      </c>
      <c r="H1972" s="2" t="str">
        <f>IFERROR(__xludf.DUMMYFUNCTION("""COMPUTED_VALUE"""),"")</f>
        <v/>
      </c>
      <c r="I1972" s="2" t="str">
        <f>IFERROR(__xludf.DUMMYFUNCTION("""COMPUTED_VALUE"""),"")</f>
        <v/>
      </c>
      <c r="J1972" s="2">
        <f>IFERROR(__xludf.DUMMYFUNCTION("""COMPUTED_VALUE"""),0.0)</f>
        <v>0</v>
      </c>
      <c r="K1972" s="5" t="str">
        <f>IFERROR(__xludf.DUMMYFUNCTION("""COMPUTED_VALUE"""),"")</f>
        <v/>
      </c>
      <c r="L1972" t="str">
        <f>IFERROR(__xludf.DUMMYFUNCTION("""COMPUTED_VALUE"""),"")</f>
        <v/>
      </c>
      <c r="M1972" t="str">
        <f>IFERROR(__xludf.DUMMYFUNCTION("""COMPUTED_VALUE"""),"")</f>
        <v/>
      </c>
      <c r="N1972" t="str">
        <f>IFERROR(__xludf.DUMMYFUNCTION("""COMPUTED_VALUE"""),"")</f>
        <v/>
      </c>
      <c r="O1972" t="str">
        <f>IFERROR(__xludf.DUMMYFUNCTION("""COMPUTED_VALUE"""),"")</f>
        <v/>
      </c>
      <c r="P1972" t="str">
        <f>IFERROR(__xludf.DUMMYFUNCTION("""COMPUTED_VALUE"""),"ID ")</f>
        <v>ID </v>
      </c>
    </row>
    <row r="1973">
      <c r="A1973" s="6" t="str">
        <f>IFERROR(__xludf.DUMMYFUNCTION("""COMPUTED_VALUE"""),"")</f>
        <v/>
      </c>
      <c r="C1973" t="str">
        <f>IFERROR(__xludf.DUMMYFUNCTION("""COMPUTED_VALUE"""),"")</f>
        <v/>
      </c>
      <c r="D1973" t="str">
        <f>IFERROR(__xludf.DUMMYFUNCTION("""COMPUTED_VALUE"""),"")</f>
        <v/>
      </c>
      <c r="E1973" t="str">
        <f>IFERROR(__xludf.DUMMYFUNCTION("""COMPUTED_VALUE"""),"")</f>
        <v/>
      </c>
      <c r="F1973" t="str">
        <f>IFERROR(__xludf.DUMMYFUNCTION("""COMPUTED_VALUE"""),"")</f>
        <v/>
      </c>
      <c r="G1973" t="str">
        <f>IFERROR(__xludf.DUMMYFUNCTION("""COMPUTED_VALUE"""),"")</f>
        <v/>
      </c>
      <c r="H1973" s="2" t="str">
        <f>IFERROR(__xludf.DUMMYFUNCTION("""COMPUTED_VALUE"""),"")</f>
        <v/>
      </c>
      <c r="I1973" s="2" t="str">
        <f>IFERROR(__xludf.DUMMYFUNCTION("""COMPUTED_VALUE"""),"")</f>
        <v/>
      </c>
      <c r="J1973" s="2">
        <f>IFERROR(__xludf.DUMMYFUNCTION("""COMPUTED_VALUE"""),0.0)</f>
        <v>0</v>
      </c>
      <c r="K1973" s="5" t="str">
        <f>IFERROR(__xludf.DUMMYFUNCTION("""COMPUTED_VALUE"""),"")</f>
        <v/>
      </c>
      <c r="L1973" t="str">
        <f>IFERROR(__xludf.DUMMYFUNCTION("""COMPUTED_VALUE"""),"")</f>
        <v/>
      </c>
      <c r="M1973" t="str">
        <f>IFERROR(__xludf.DUMMYFUNCTION("""COMPUTED_VALUE"""),"")</f>
        <v/>
      </c>
      <c r="N1973" t="str">
        <f>IFERROR(__xludf.DUMMYFUNCTION("""COMPUTED_VALUE"""),"")</f>
        <v/>
      </c>
      <c r="O1973" t="str">
        <f>IFERROR(__xludf.DUMMYFUNCTION("""COMPUTED_VALUE"""),"")</f>
        <v/>
      </c>
      <c r="P1973" t="str">
        <f>IFERROR(__xludf.DUMMYFUNCTION("""COMPUTED_VALUE"""),"ID ")</f>
        <v>ID </v>
      </c>
    </row>
    <row r="1974">
      <c r="A1974" s="6" t="str">
        <f>IFERROR(__xludf.DUMMYFUNCTION("""COMPUTED_VALUE"""),"")</f>
        <v/>
      </c>
      <c r="C1974" t="str">
        <f>IFERROR(__xludf.DUMMYFUNCTION("""COMPUTED_VALUE"""),"")</f>
        <v/>
      </c>
      <c r="D1974" t="str">
        <f>IFERROR(__xludf.DUMMYFUNCTION("""COMPUTED_VALUE"""),"")</f>
        <v/>
      </c>
      <c r="E1974" t="str">
        <f>IFERROR(__xludf.DUMMYFUNCTION("""COMPUTED_VALUE"""),"")</f>
        <v/>
      </c>
      <c r="F1974" t="str">
        <f>IFERROR(__xludf.DUMMYFUNCTION("""COMPUTED_VALUE"""),"")</f>
        <v/>
      </c>
      <c r="G1974" t="str">
        <f>IFERROR(__xludf.DUMMYFUNCTION("""COMPUTED_VALUE"""),"")</f>
        <v/>
      </c>
      <c r="H1974" s="2" t="str">
        <f>IFERROR(__xludf.DUMMYFUNCTION("""COMPUTED_VALUE"""),"")</f>
        <v/>
      </c>
      <c r="I1974" s="2" t="str">
        <f>IFERROR(__xludf.DUMMYFUNCTION("""COMPUTED_VALUE"""),"")</f>
        <v/>
      </c>
      <c r="J1974" s="2">
        <f>IFERROR(__xludf.DUMMYFUNCTION("""COMPUTED_VALUE"""),0.0)</f>
        <v>0</v>
      </c>
      <c r="K1974" s="5" t="str">
        <f>IFERROR(__xludf.DUMMYFUNCTION("""COMPUTED_VALUE"""),"")</f>
        <v/>
      </c>
      <c r="L1974" t="str">
        <f>IFERROR(__xludf.DUMMYFUNCTION("""COMPUTED_VALUE"""),"")</f>
        <v/>
      </c>
      <c r="M1974" t="str">
        <f>IFERROR(__xludf.DUMMYFUNCTION("""COMPUTED_VALUE"""),"")</f>
        <v/>
      </c>
      <c r="N1974" t="str">
        <f>IFERROR(__xludf.DUMMYFUNCTION("""COMPUTED_VALUE"""),"")</f>
        <v/>
      </c>
      <c r="O1974" t="str">
        <f>IFERROR(__xludf.DUMMYFUNCTION("""COMPUTED_VALUE"""),"")</f>
        <v/>
      </c>
      <c r="P1974" t="str">
        <f>IFERROR(__xludf.DUMMYFUNCTION("""COMPUTED_VALUE"""),"ID ")</f>
        <v>ID </v>
      </c>
    </row>
    <row r="1975">
      <c r="A1975" s="6" t="str">
        <f>IFERROR(__xludf.DUMMYFUNCTION("""COMPUTED_VALUE"""),"")</f>
        <v/>
      </c>
      <c r="C1975" t="str">
        <f>IFERROR(__xludf.DUMMYFUNCTION("""COMPUTED_VALUE"""),"")</f>
        <v/>
      </c>
      <c r="D1975" t="str">
        <f>IFERROR(__xludf.DUMMYFUNCTION("""COMPUTED_VALUE"""),"")</f>
        <v/>
      </c>
      <c r="E1975" t="str">
        <f>IFERROR(__xludf.DUMMYFUNCTION("""COMPUTED_VALUE"""),"")</f>
        <v/>
      </c>
      <c r="F1975" t="str">
        <f>IFERROR(__xludf.DUMMYFUNCTION("""COMPUTED_VALUE"""),"")</f>
        <v/>
      </c>
      <c r="G1975" t="str">
        <f>IFERROR(__xludf.DUMMYFUNCTION("""COMPUTED_VALUE"""),"")</f>
        <v/>
      </c>
      <c r="H1975" s="2" t="str">
        <f>IFERROR(__xludf.DUMMYFUNCTION("""COMPUTED_VALUE"""),"")</f>
        <v/>
      </c>
      <c r="I1975" s="2" t="str">
        <f>IFERROR(__xludf.DUMMYFUNCTION("""COMPUTED_VALUE"""),"")</f>
        <v/>
      </c>
      <c r="J1975" s="2">
        <f>IFERROR(__xludf.DUMMYFUNCTION("""COMPUTED_VALUE"""),0.0)</f>
        <v>0</v>
      </c>
      <c r="K1975" s="5" t="str">
        <f>IFERROR(__xludf.DUMMYFUNCTION("""COMPUTED_VALUE"""),"")</f>
        <v/>
      </c>
      <c r="L1975" t="str">
        <f>IFERROR(__xludf.DUMMYFUNCTION("""COMPUTED_VALUE"""),"")</f>
        <v/>
      </c>
      <c r="M1975" t="str">
        <f>IFERROR(__xludf.DUMMYFUNCTION("""COMPUTED_VALUE"""),"")</f>
        <v/>
      </c>
      <c r="N1975" t="str">
        <f>IFERROR(__xludf.DUMMYFUNCTION("""COMPUTED_VALUE"""),"")</f>
        <v/>
      </c>
      <c r="O1975" t="str">
        <f>IFERROR(__xludf.DUMMYFUNCTION("""COMPUTED_VALUE"""),"")</f>
        <v/>
      </c>
      <c r="P1975" t="str">
        <f>IFERROR(__xludf.DUMMYFUNCTION("""COMPUTED_VALUE"""),"ID ")</f>
        <v>ID </v>
      </c>
    </row>
    <row r="1976">
      <c r="A1976" s="6" t="str">
        <f>IFERROR(__xludf.DUMMYFUNCTION("""COMPUTED_VALUE"""),"")</f>
        <v/>
      </c>
      <c r="C1976" t="str">
        <f>IFERROR(__xludf.DUMMYFUNCTION("""COMPUTED_VALUE"""),"")</f>
        <v/>
      </c>
      <c r="D1976" t="str">
        <f>IFERROR(__xludf.DUMMYFUNCTION("""COMPUTED_VALUE"""),"")</f>
        <v/>
      </c>
      <c r="E1976" t="str">
        <f>IFERROR(__xludf.DUMMYFUNCTION("""COMPUTED_VALUE"""),"")</f>
        <v/>
      </c>
      <c r="F1976" t="str">
        <f>IFERROR(__xludf.DUMMYFUNCTION("""COMPUTED_VALUE"""),"")</f>
        <v/>
      </c>
      <c r="G1976" t="str">
        <f>IFERROR(__xludf.DUMMYFUNCTION("""COMPUTED_VALUE"""),"")</f>
        <v/>
      </c>
      <c r="H1976" s="2" t="str">
        <f>IFERROR(__xludf.DUMMYFUNCTION("""COMPUTED_VALUE"""),"")</f>
        <v/>
      </c>
      <c r="I1976" s="2" t="str">
        <f>IFERROR(__xludf.DUMMYFUNCTION("""COMPUTED_VALUE"""),"")</f>
        <v/>
      </c>
      <c r="J1976" s="2">
        <f>IFERROR(__xludf.DUMMYFUNCTION("""COMPUTED_VALUE"""),0.0)</f>
        <v>0</v>
      </c>
      <c r="K1976" s="5" t="str">
        <f>IFERROR(__xludf.DUMMYFUNCTION("""COMPUTED_VALUE"""),"")</f>
        <v/>
      </c>
      <c r="L1976" t="str">
        <f>IFERROR(__xludf.DUMMYFUNCTION("""COMPUTED_VALUE"""),"")</f>
        <v/>
      </c>
      <c r="M1976" t="str">
        <f>IFERROR(__xludf.DUMMYFUNCTION("""COMPUTED_VALUE"""),"")</f>
        <v/>
      </c>
      <c r="N1976" t="str">
        <f>IFERROR(__xludf.DUMMYFUNCTION("""COMPUTED_VALUE"""),"")</f>
        <v/>
      </c>
      <c r="O1976" t="str">
        <f>IFERROR(__xludf.DUMMYFUNCTION("""COMPUTED_VALUE"""),"")</f>
        <v/>
      </c>
      <c r="P1976" t="str">
        <f>IFERROR(__xludf.DUMMYFUNCTION("""COMPUTED_VALUE"""),"ID ")</f>
        <v>ID </v>
      </c>
    </row>
    <row r="1977">
      <c r="A1977" s="6" t="str">
        <f>IFERROR(__xludf.DUMMYFUNCTION("""COMPUTED_VALUE"""),"")</f>
        <v/>
      </c>
      <c r="C1977" t="str">
        <f>IFERROR(__xludf.DUMMYFUNCTION("""COMPUTED_VALUE"""),"")</f>
        <v/>
      </c>
      <c r="D1977" t="str">
        <f>IFERROR(__xludf.DUMMYFUNCTION("""COMPUTED_VALUE"""),"")</f>
        <v/>
      </c>
      <c r="E1977" t="str">
        <f>IFERROR(__xludf.DUMMYFUNCTION("""COMPUTED_VALUE"""),"")</f>
        <v/>
      </c>
      <c r="F1977" t="str">
        <f>IFERROR(__xludf.DUMMYFUNCTION("""COMPUTED_VALUE"""),"")</f>
        <v/>
      </c>
      <c r="G1977" t="str">
        <f>IFERROR(__xludf.DUMMYFUNCTION("""COMPUTED_VALUE"""),"")</f>
        <v/>
      </c>
      <c r="H1977" s="2" t="str">
        <f>IFERROR(__xludf.DUMMYFUNCTION("""COMPUTED_VALUE"""),"")</f>
        <v/>
      </c>
      <c r="I1977" s="2" t="str">
        <f>IFERROR(__xludf.DUMMYFUNCTION("""COMPUTED_VALUE"""),"")</f>
        <v/>
      </c>
      <c r="J1977" s="2">
        <f>IFERROR(__xludf.DUMMYFUNCTION("""COMPUTED_VALUE"""),0.0)</f>
        <v>0</v>
      </c>
      <c r="K1977" s="5" t="str">
        <f>IFERROR(__xludf.DUMMYFUNCTION("""COMPUTED_VALUE"""),"")</f>
        <v/>
      </c>
      <c r="L1977" t="str">
        <f>IFERROR(__xludf.DUMMYFUNCTION("""COMPUTED_VALUE"""),"")</f>
        <v/>
      </c>
      <c r="M1977" t="str">
        <f>IFERROR(__xludf.DUMMYFUNCTION("""COMPUTED_VALUE"""),"")</f>
        <v/>
      </c>
      <c r="N1977" t="str">
        <f>IFERROR(__xludf.DUMMYFUNCTION("""COMPUTED_VALUE"""),"")</f>
        <v/>
      </c>
      <c r="O1977" t="str">
        <f>IFERROR(__xludf.DUMMYFUNCTION("""COMPUTED_VALUE"""),"")</f>
        <v/>
      </c>
      <c r="P1977" t="str">
        <f>IFERROR(__xludf.DUMMYFUNCTION("""COMPUTED_VALUE"""),"ID ")</f>
        <v>ID </v>
      </c>
    </row>
    <row r="1978">
      <c r="A1978" s="6" t="str">
        <f>IFERROR(__xludf.DUMMYFUNCTION("""COMPUTED_VALUE"""),"")</f>
        <v/>
      </c>
      <c r="C1978" t="str">
        <f>IFERROR(__xludf.DUMMYFUNCTION("""COMPUTED_VALUE"""),"")</f>
        <v/>
      </c>
      <c r="D1978" t="str">
        <f>IFERROR(__xludf.DUMMYFUNCTION("""COMPUTED_VALUE"""),"")</f>
        <v/>
      </c>
      <c r="E1978" t="str">
        <f>IFERROR(__xludf.DUMMYFUNCTION("""COMPUTED_VALUE"""),"")</f>
        <v/>
      </c>
      <c r="F1978" t="str">
        <f>IFERROR(__xludf.DUMMYFUNCTION("""COMPUTED_VALUE"""),"")</f>
        <v/>
      </c>
      <c r="G1978" t="str">
        <f>IFERROR(__xludf.DUMMYFUNCTION("""COMPUTED_VALUE"""),"")</f>
        <v/>
      </c>
      <c r="H1978" s="2" t="str">
        <f>IFERROR(__xludf.DUMMYFUNCTION("""COMPUTED_VALUE"""),"")</f>
        <v/>
      </c>
      <c r="I1978" s="2" t="str">
        <f>IFERROR(__xludf.DUMMYFUNCTION("""COMPUTED_VALUE"""),"")</f>
        <v/>
      </c>
      <c r="J1978" s="2">
        <f>IFERROR(__xludf.DUMMYFUNCTION("""COMPUTED_VALUE"""),0.0)</f>
        <v>0</v>
      </c>
      <c r="K1978" s="5" t="str">
        <f>IFERROR(__xludf.DUMMYFUNCTION("""COMPUTED_VALUE"""),"")</f>
        <v/>
      </c>
      <c r="L1978" t="str">
        <f>IFERROR(__xludf.DUMMYFUNCTION("""COMPUTED_VALUE"""),"")</f>
        <v/>
      </c>
      <c r="M1978" t="str">
        <f>IFERROR(__xludf.DUMMYFUNCTION("""COMPUTED_VALUE"""),"")</f>
        <v/>
      </c>
      <c r="N1978" t="str">
        <f>IFERROR(__xludf.DUMMYFUNCTION("""COMPUTED_VALUE"""),"")</f>
        <v/>
      </c>
      <c r="O1978" t="str">
        <f>IFERROR(__xludf.DUMMYFUNCTION("""COMPUTED_VALUE"""),"")</f>
        <v/>
      </c>
      <c r="P1978" t="str">
        <f>IFERROR(__xludf.DUMMYFUNCTION("""COMPUTED_VALUE"""),"ID ")</f>
        <v>ID </v>
      </c>
    </row>
    <row r="1979">
      <c r="A1979" s="6" t="str">
        <f>IFERROR(__xludf.DUMMYFUNCTION("""COMPUTED_VALUE"""),"")</f>
        <v/>
      </c>
      <c r="C1979" t="str">
        <f>IFERROR(__xludf.DUMMYFUNCTION("""COMPUTED_VALUE"""),"")</f>
        <v/>
      </c>
      <c r="D1979" t="str">
        <f>IFERROR(__xludf.DUMMYFUNCTION("""COMPUTED_VALUE"""),"")</f>
        <v/>
      </c>
      <c r="E1979" t="str">
        <f>IFERROR(__xludf.DUMMYFUNCTION("""COMPUTED_VALUE"""),"")</f>
        <v/>
      </c>
      <c r="F1979" t="str">
        <f>IFERROR(__xludf.DUMMYFUNCTION("""COMPUTED_VALUE"""),"")</f>
        <v/>
      </c>
      <c r="G1979" t="str">
        <f>IFERROR(__xludf.DUMMYFUNCTION("""COMPUTED_VALUE"""),"")</f>
        <v/>
      </c>
      <c r="H1979" s="2" t="str">
        <f>IFERROR(__xludf.DUMMYFUNCTION("""COMPUTED_VALUE"""),"")</f>
        <v/>
      </c>
      <c r="I1979" s="2" t="str">
        <f>IFERROR(__xludf.DUMMYFUNCTION("""COMPUTED_VALUE"""),"")</f>
        <v/>
      </c>
      <c r="J1979" s="2">
        <f>IFERROR(__xludf.DUMMYFUNCTION("""COMPUTED_VALUE"""),0.0)</f>
        <v>0</v>
      </c>
      <c r="K1979" s="5" t="str">
        <f>IFERROR(__xludf.DUMMYFUNCTION("""COMPUTED_VALUE"""),"")</f>
        <v/>
      </c>
      <c r="L1979" t="str">
        <f>IFERROR(__xludf.DUMMYFUNCTION("""COMPUTED_VALUE"""),"")</f>
        <v/>
      </c>
      <c r="M1979" t="str">
        <f>IFERROR(__xludf.DUMMYFUNCTION("""COMPUTED_VALUE"""),"")</f>
        <v/>
      </c>
      <c r="N1979" t="str">
        <f>IFERROR(__xludf.DUMMYFUNCTION("""COMPUTED_VALUE"""),"")</f>
        <v/>
      </c>
      <c r="O1979" t="str">
        <f>IFERROR(__xludf.DUMMYFUNCTION("""COMPUTED_VALUE"""),"")</f>
        <v/>
      </c>
      <c r="P1979" t="str">
        <f>IFERROR(__xludf.DUMMYFUNCTION("""COMPUTED_VALUE"""),"ID ")</f>
        <v>ID </v>
      </c>
    </row>
    <row r="1980">
      <c r="A1980" s="6" t="str">
        <f>IFERROR(__xludf.DUMMYFUNCTION("""COMPUTED_VALUE"""),"")</f>
        <v/>
      </c>
      <c r="C1980" t="str">
        <f>IFERROR(__xludf.DUMMYFUNCTION("""COMPUTED_VALUE"""),"")</f>
        <v/>
      </c>
      <c r="D1980" t="str">
        <f>IFERROR(__xludf.DUMMYFUNCTION("""COMPUTED_VALUE"""),"")</f>
        <v/>
      </c>
      <c r="E1980" t="str">
        <f>IFERROR(__xludf.DUMMYFUNCTION("""COMPUTED_VALUE"""),"")</f>
        <v/>
      </c>
      <c r="F1980" t="str">
        <f>IFERROR(__xludf.DUMMYFUNCTION("""COMPUTED_VALUE"""),"")</f>
        <v/>
      </c>
      <c r="G1980" t="str">
        <f>IFERROR(__xludf.DUMMYFUNCTION("""COMPUTED_VALUE"""),"")</f>
        <v/>
      </c>
      <c r="H1980" s="2" t="str">
        <f>IFERROR(__xludf.DUMMYFUNCTION("""COMPUTED_VALUE"""),"")</f>
        <v/>
      </c>
      <c r="I1980" s="2" t="str">
        <f>IFERROR(__xludf.DUMMYFUNCTION("""COMPUTED_VALUE"""),"")</f>
        <v/>
      </c>
      <c r="J1980" s="2">
        <f>IFERROR(__xludf.DUMMYFUNCTION("""COMPUTED_VALUE"""),0.0)</f>
        <v>0</v>
      </c>
      <c r="K1980" s="5" t="str">
        <f>IFERROR(__xludf.DUMMYFUNCTION("""COMPUTED_VALUE"""),"")</f>
        <v/>
      </c>
      <c r="L1980" t="str">
        <f>IFERROR(__xludf.DUMMYFUNCTION("""COMPUTED_VALUE"""),"")</f>
        <v/>
      </c>
      <c r="M1980" t="str">
        <f>IFERROR(__xludf.DUMMYFUNCTION("""COMPUTED_VALUE"""),"")</f>
        <v/>
      </c>
      <c r="N1980" t="str">
        <f>IFERROR(__xludf.DUMMYFUNCTION("""COMPUTED_VALUE"""),"")</f>
        <v/>
      </c>
      <c r="O1980" t="str">
        <f>IFERROR(__xludf.DUMMYFUNCTION("""COMPUTED_VALUE"""),"")</f>
        <v/>
      </c>
      <c r="P1980" t="str">
        <f>IFERROR(__xludf.DUMMYFUNCTION("""COMPUTED_VALUE"""),"ID ")</f>
        <v>ID </v>
      </c>
    </row>
    <row r="1981">
      <c r="A1981" s="6" t="str">
        <f>IFERROR(__xludf.DUMMYFUNCTION("""COMPUTED_VALUE"""),"")</f>
        <v/>
      </c>
      <c r="C1981" t="str">
        <f>IFERROR(__xludf.DUMMYFUNCTION("""COMPUTED_VALUE"""),"")</f>
        <v/>
      </c>
      <c r="D1981" t="str">
        <f>IFERROR(__xludf.DUMMYFUNCTION("""COMPUTED_VALUE"""),"")</f>
        <v/>
      </c>
      <c r="E1981" t="str">
        <f>IFERROR(__xludf.DUMMYFUNCTION("""COMPUTED_VALUE"""),"")</f>
        <v/>
      </c>
      <c r="F1981" t="str">
        <f>IFERROR(__xludf.DUMMYFUNCTION("""COMPUTED_VALUE"""),"")</f>
        <v/>
      </c>
      <c r="G1981" t="str">
        <f>IFERROR(__xludf.DUMMYFUNCTION("""COMPUTED_VALUE"""),"")</f>
        <v/>
      </c>
      <c r="H1981" s="2" t="str">
        <f>IFERROR(__xludf.DUMMYFUNCTION("""COMPUTED_VALUE"""),"")</f>
        <v/>
      </c>
      <c r="I1981" s="2" t="str">
        <f>IFERROR(__xludf.DUMMYFUNCTION("""COMPUTED_VALUE"""),"")</f>
        <v/>
      </c>
      <c r="J1981" s="2">
        <f>IFERROR(__xludf.DUMMYFUNCTION("""COMPUTED_VALUE"""),0.0)</f>
        <v>0</v>
      </c>
      <c r="K1981" s="5" t="str">
        <f>IFERROR(__xludf.DUMMYFUNCTION("""COMPUTED_VALUE"""),"")</f>
        <v/>
      </c>
      <c r="L1981" t="str">
        <f>IFERROR(__xludf.DUMMYFUNCTION("""COMPUTED_VALUE"""),"")</f>
        <v/>
      </c>
      <c r="M1981" t="str">
        <f>IFERROR(__xludf.DUMMYFUNCTION("""COMPUTED_VALUE"""),"")</f>
        <v/>
      </c>
      <c r="N1981" t="str">
        <f>IFERROR(__xludf.DUMMYFUNCTION("""COMPUTED_VALUE"""),"")</f>
        <v/>
      </c>
      <c r="O1981" t="str">
        <f>IFERROR(__xludf.DUMMYFUNCTION("""COMPUTED_VALUE"""),"")</f>
        <v/>
      </c>
      <c r="P1981" t="str">
        <f>IFERROR(__xludf.DUMMYFUNCTION("""COMPUTED_VALUE"""),"ID ")</f>
        <v>ID </v>
      </c>
    </row>
    <row r="1982">
      <c r="A1982" s="6" t="str">
        <f>IFERROR(__xludf.DUMMYFUNCTION("""COMPUTED_VALUE"""),"")</f>
        <v/>
      </c>
      <c r="C1982" t="str">
        <f>IFERROR(__xludf.DUMMYFUNCTION("""COMPUTED_VALUE"""),"")</f>
        <v/>
      </c>
      <c r="D1982" t="str">
        <f>IFERROR(__xludf.DUMMYFUNCTION("""COMPUTED_VALUE"""),"")</f>
        <v/>
      </c>
      <c r="E1982" t="str">
        <f>IFERROR(__xludf.DUMMYFUNCTION("""COMPUTED_VALUE"""),"")</f>
        <v/>
      </c>
      <c r="F1982" t="str">
        <f>IFERROR(__xludf.DUMMYFUNCTION("""COMPUTED_VALUE"""),"")</f>
        <v/>
      </c>
      <c r="G1982" t="str">
        <f>IFERROR(__xludf.DUMMYFUNCTION("""COMPUTED_VALUE"""),"")</f>
        <v/>
      </c>
      <c r="H1982" s="2" t="str">
        <f>IFERROR(__xludf.DUMMYFUNCTION("""COMPUTED_VALUE"""),"")</f>
        <v/>
      </c>
      <c r="I1982" s="2" t="str">
        <f>IFERROR(__xludf.DUMMYFUNCTION("""COMPUTED_VALUE"""),"")</f>
        <v/>
      </c>
      <c r="J1982" s="2">
        <f>IFERROR(__xludf.DUMMYFUNCTION("""COMPUTED_VALUE"""),0.0)</f>
        <v>0</v>
      </c>
      <c r="K1982" s="5" t="str">
        <f>IFERROR(__xludf.DUMMYFUNCTION("""COMPUTED_VALUE"""),"")</f>
        <v/>
      </c>
      <c r="L1982" t="str">
        <f>IFERROR(__xludf.DUMMYFUNCTION("""COMPUTED_VALUE"""),"")</f>
        <v/>
      </c>
      <c r="M1982" t="str">
        <f>IFERROR(__xludf.DUMMYFUNCTION("""COMPUTED_VALUE"""),"")</f>
        <v/>
      </c>
      <c r="N1982" t="str">
        <f>IFERROR(__xludf.DUMMYFUNCTION("""COMPUTED_VALUE"""),"")</f>
        <v/>
      </c>
      <c r="O1982" t="str">
        <f>IFERROR(__xludf.DUMMYFUNCTION("""COMPUTED_VALUE"""),"")</f>
        <v/>
      </c>
      <c r="P1982" t="str">
        <f>IFERROR(__xludf.DUMMYFUNCTION("""COMPUTED_VALUE"""),"ID ")</f>
        <v>ID </v>
      </c>
    </row>
    <row r="1983">
      <c r="A1983" s="6" t="str">
        <f>IFERROR(__xludf.DUMMYFUNCTION("""COMPUTED_VALUE"""),"")</f>
        <v/>
      </c>
      <c r="C1983" t="str">
        <f>IFERROR(__xludf.DUMMYFUNCTION("""COMPUTED_VALUE"""),"")</f>
        <v/>
      </c>
      <c r="D1983" t="str">
        <f>IFERROR(__xludf.DUMMYFUNCTION("""COMPUTED_VALUE"""),"")</f>
        <v/>
      </c>
      <c r="E1983" t="str">
        <f>IFERROR(__xludf.DUMMYFUNCTION("""COMPUTED_VALUE"""),"")</f>
        <v/>
      </c>
      <c r="F1983" t="str">
        <f>IFERROR(__xludf.DUMMYFUNCTION("""COMPUTED_VALUE"""),"")</f>
        <v/>
      </c>
      <c r="G1983" t="str">
        <f>IFERROR(__xludf.DUMMYFUNCTION("""COMPUTED_VALUE"""),"")</f>
        <v/>
      </c>
      <c r="H1983" s="2" t="str">
        <f>IFERROR(__xludf.DUMMYFUNCTION("""COMPUTED_VALUE"""),"")</f>
        <v/>
      </c>
      <c r="I1983" s="2" t="str">
        <f>IFERROR(__xludf.DUMMYFUNCTION("""COMPUTED_VALUE"""),"")</f>
        <v/>
      </c>
      <c r="J1983" s="2">
        <f>IFERROR(__xludf.DUMMYFUNCTION("""COMPUTED_VALUE"""),0.0)</f>
        <v>0</v>
      </c>
      <c r="K1983" s="5" t="str">
        <f>IFERROR(__xludf.DUMMYFUNCTION("""COMPUTED_VALUE"""),"")</f>
        <v/>
      </c>
      <c r="L1983" t="str">
        <f>IFERROR(__xludf.DUMMYFUNCTION("""COMPUTED_VALUE"""),"")</f>
        <v/>
      </c>
      <c r="M1983" t="str">
        <f>IFERROR(__xludf.DUMMYFUNCTION("""COMPUTED_VALUE"""),"")</f>
        <v/>
      </c>
      <c r="N1983" t="str">
        <f>IFERROR(__xludf.DUMMYFUNCTION("""COMPUTED_VALUE"""),"")</f>
        <v/>
      </c>
      <c r="O1983" t="str">
        <f>IFERROR(__xludf.DUMMYFUNCTION("""COMPUTED_VALUE"""),"")</f>
        <v/>
      </c>
      <c r="P1983" t="str">
        <f>IFERROR(__xludf.DUMMYFUNCTION("""COMPUTED_VALUE"""),"ID ")</f>
        <v>ID </v>
      </c>
    </row>
    <row r="1984">
      <c r="A1984" s="6" t="str">
        <f>IFERROR(__xludf.DUMMYFUNCTION("""COMPUTED_VALUE"""),"")</f>
        <v/>
      </c>
      <c r="C1984" t="str">
        <f>IFERROR(__xludf.DUMMYFUNCTION("""COMPUTED_VALUE"""),"")</f>
        <v/>
      </c>
      <c r="D1984" t="str">
        <f>IFERROR(__xludf.DUMMYFUNCTION("""COMPUTED_VALUE"""),"")</f>
        <v/>
      </c>
      <c r="E1984" t="str">
        <f>IFERROR(__xludf.DUMMYFUNCTION("""COMPUTED_VALUE"""),"")</f>
        <v/>
      </c>
      <c r="F1984" t="str">
        <f>IFERROR(__xludf.DUMMYFUNCTION("""COMPUTED_VALUE"""),"")</f>
        <v/>
      </c>
      <c r="G1984" t="str">
        <f>IFERROR(__xludf.DUMMYFUNCTION("""COMPUTED_VALUE"""),"")</f>
        <v/>
      </c>
      <c r="H1984" s="2" t="str">
        <f>IFERROR(__xludf.DUMMYFUNCTION("""COMPUTED_VALUE"""),"")</f>
        <v/>
      </c>
      <c r="I1984" s="2" t="str">
        <f>IFERROR(__xludf.DUMMYFUNCTION("""COMPUTED_VALUE"""),"")</f>
        <v/>
      </c>
      <c r="J1984" s="2">
        <f>IFERROR(__xludf.DUMMYFUNCTION("""COMPUTED_VALUE"""),0.0)</f>
        <v>0</v>
      </c>
      <c r="K1984" s="5" t="str">
        <f>IFERROR(__xludf.DUMMYFUNCTION("""COMPUTED_VALUE"""),"")</f>
        <v/>
      </c>
      <c r="L1984" t="str">
        <f>IFERROR(__xludf.DUMMYFUNCTION("""COMPUTED_VALUE"""),"")</f>
        <v/>
      </c>
      <c r="M1984" t="str">
        <f>IFERROR(__xludf.DUMMYFUNCTION("""COMPUTED_VALUE"""),"")</f>
        <v/>
      </c>
      <c r="N1984" t="str">
        <f>IFERROR(__xludf.DUMMYFUNCTION("""COMPUTED_VALUE"""),"")</f>
        <v/>
      </c>
      <c r="O1984" t="str">
        <f>IFERROR(__xludf.DUMMYFUNCTION("""COMPUTED_VALUE"""),"")</f>
        <v/>
      </c>
      <c r="P1984" t="str">
        <f>IFERROR(__xludf.DUMMYFUNCTION("""COMPUTED_VALUE"""),"ID ")</f>
        <v>ID </v>
      </c>
    </row>
    <row r="1985">
      <c r="A1985" s="6" t="str">
        <f>IFERROR(__xludf.DUMMYFUNCTION("""COMPUTED_VALUE"""),"")</f>
        <v/>
      </c>
      <c r="C1985" t="str">
        <f>IFERROR(__xludf.DUMMYFUNCTION("""COMPUTED_VALUE"""),"")</f>
        <v/>
      </c>
      <c r="D1985" t="str">
        <f>IFERROR(__xludf.DUMMYFUNCTION("""COMPUTED_VALUE"""),"")</f>
        <v/>
      </c>
      <c r="E1985" t="str">
        <f>IFERROR(__xludf.DUMMYFUNCTION("""COMPUTED_VALUE"""),"")</f>
        <v/>
      </c>
      <c r="F1985" t="str">
        <f>IFERROR(__xludf.DUMMYFUNCTION("""COMPUTED_VALUE"""),"")</f>
        <v/>
      </c>
      <c r="G1985" t="str">
        <f>IFERROR(__xludf.DUMMYFUNCTION("""COMPUTED_VALUE"""),"")</f>
        <v/>
      </c>
      <c r="H1985" s="2" t="str">
        <f>IFERROR(__xludf.DUMMYFUNCTION("""COMPUTED_VALUE"""),"")</f>
        <v/>
      </c>
      <c r="I1985" s="2" t="str">
        <f>IFERROR(__xludf.DUMMYFUNCTION("""COMPUTED_VALUE"""),"")</f>
        <v/>
      </c>
      <c r="J1985" s="2">
        <f>IFERROR(__xludf.DUMMYFUNCTION("""COMPUTED_VALUE"""),0.0)</f>
        <v>0</v>
      </c>
      <c r="K1985" s="5" t="str">
        <f>IFERROR(__xludf.DUMMYFUNCTION("""COMPUTED_VALUE"""),"")</f>
        <v/>
      </c>
      <c r="L1985" t="str">
        <f>IFERROR(__xludf.DUMMYFUNCTION("""COMPUTED_VALUE"""),"")</f>
        <v/>
      </c>
      <c r="M1985" t="str">
        <f>IFERROR(__xludf.DUMMYFUNCTION("""COMPUTED_VALUE"""),"")</f>
        <v/>
      </c>
      <c r="N1985" t="str">
        <f>IFERROR(__xludf.DUMMYFUNCTION("""COMPUTED_VALUE"""),"")</f>
        <v/>
      </c>
      <c r="O1985" t="str">
        <f>IFERROR(__xludf.DUMMYFUNCTION("""COMPUTED_VALUE"""),"")</f>
        <v/>
      </c>
      <c r="P1985" t="str">
        <f>IFERROR(__xludf.DUMMYFUNCTION("""COMPUTED_VALUE"""),"ID ")</f>
        <v>ID </v>
      </c>
    </row>
    <row r="1986">
      <c r="A1986" s="6" t="str">
        <f>IFERROR(__xludf.DUMMYFUNCTION("""COMPUTED_VALUE"""),"")</f>
        <v/>
      </c>
      <c r="C1986" t="str">
        <f>IFERROR(__xludf.DUMMYFUNCTION("""COMPUTED_VALUE"""),"")</f>
        <v/>
      </c>
      <c r="D1986" t="str">
        <f>IFERROR(__xludf.DUMMYFUNCTION("""COMPUTED_VALUE"""),"")</f>
        <v/>
      </c>
      <c r="E1986" t="str">
        <f>IFERROR(__xludf.DUMMYFUNCTION("""COMPUTED_VALUE"""),"")</f>
        <v/>
      </c>
      <c r="F1986" t="str">
        <f>IFERROR(__xludf.DUMMYFUNCTION("""COMPUTED_VALUE"""),"")</f>
        <v/>
      </c>
      <c r="G1986" t="str">
        <f>IFERROR(__xludf.DUMMYFUNCTION("""COMPUTED_VALUE"""),"")</f>
        <v/>
      </c>
      <c r="H1986" s="2" t="str">
        <f>IFERROR(__xludf.DUMMYFUNCTION("""COMPUTED_VALUE"""),"")</f>
        <v/>
      </c>
      <c r="I1986" s="2" t="str">
        <f>IFERROR(__xludf.DUMMYFUNCTION("""COMPUTED_VALUE"""),"")</f>
        <v/>
      </c>
      <c r="J1986" s="2">
        <f>IFERROR(__xludf.DUMMYFUNCTION("""COMPUTED_VALUE"""),0.0)</f>
        <v>0</v>
      </c>
      <c r="K1986" s="5" t="str">
        <f>IFERROR(__xludf.DUMMYFUNCTION("""COMPUTED_VALUE"""),"")</f>
        <v/>
      </c>
      <c r="L1986" t="str">
        <f>IFERROR(__xludf.DUMMYFUNCTION("""COMPUTED_VALUE"""),"")</f>
        <v/>
      </c>
      <c r="M1986" t="str">
        <f>IFERROR(__xludf.DUMMYFUNCTION("""COMPUTED_VALUE"""),"")</f>
        <v/>
      </c>
      <c r="N1986" t="str">
        <f>IFERROR(__xludf.DUMMYFUNCTION("""COMPUTED_VALUE"""),"")</f>
        <v/>
      </c>
      <c r="O1986" t="str">
        <f>IFERROR(__xludf.DUMMYFUNCTION("""COMPUTED_VALUE"""),"")</f>
        <v/>
      </c>
      <c r="P1986" t="str">
        <f>IFERROR(__xludf.DUMMYFUNCTION("""COMPUTED_VALUE"""),"ID ")</f>
        <v>ID </v>
      </c>
    </row>
    <row r="1987">
      <c r="A1987" s="6" t="str">
        <f>IFERROR(__xludf.DUMMYFUNCTION("""COMPUTED_VALUE"""),"")</f>
        <v/>
      </c>
      <c r="C1987" t="str">
        <f>IFERROR(__xludf.DUMMYFUNCTION("""COMPUTED_VALUE"""),"")</f>
        <v/>
      </c>
      <c r="D1987" t="str">
        <f>IFERROR(__xludf.DUMMYFUNCTION("""COMPUTED_VALUE"""),"")</f>
        <v/>
      </c>
      <c r="E1987" t="str">
        <f>IFERROR(__xludf.DUMMYFUNCTION("""COMPUTED_VALUE"""),"")</f>
        <v/>
      </c>
      <c r="F1987" t="str">
        <f>IFERROR(__xludf.DUMMYFUNCTION("""COMPUTED_VALUE"""),"")</f>
        <v/>
      </c>
      <c r="G1987" t="str">
        <f>IFERROR(__xludf.DUMMYFUNCTION("""COMPUTED_VALUE"""),"")</f>
        <v/>
      </c>
      <c r="H1987" s="2" t="str">
        <f>IFERROR(__xludf.DUMMYFUNCTION("""COMPUTED_VALUE"""),"")</f>
        <v/>
      </c>
      <c r="I1987" s="2" t="str">
        <f>IFERROR(__xludf.DUMMYFUNCTION("""COMPUTED_VALUE"""),"")</f>
        <v/>
      </c>
      <c r="J1987" s="2">
        <f>IFERROR(__xludf.DUMMYFUNCTION("""COMPUTED_VALUE"""),0.0)</f>
        <v>0</v>
      </c>
      <c r="K1987" s="5" t="str">
        <f>IFERROR(__xludf.DUMMYFUNCTION("""COMPUTED_VALUE"""),"")</f>
        <v/>
      </c>
      <c r="L1987" t="str">
        <f>IFERROR(__xludf.DUMMYFUNCTION("""COMPUTED_VALUE"""),"")</f>
        <v/>
      </c>
      <c r="M1987" t="str">
        <f>IFERROR(__xludf.DUMMYFUNCTION("""COMPUTED_VALUE"""),"")</f>
        <v/>
      </c>
      <c r="N1987" t="str">
        <f>IFERROR(__xludf.DUMMYFUNCTION("""COMPUTED_VALUE"""),"")</f>
        <v/>
      </c>
      <c r="O1987" t="str">
        <f>IFERROR(__xludf.DUMMYFUNCTION("""COMPUTED_VALUE"""),"")</f>
        <v/>
      </c>
      <c r="P1987" t="str">
        <f>IFERROR(__xludf.DUMMYFUNCTION("""COMPUTED_VALUE"""),"ID ")</f>
        <v>ID </v>
      </c>
    </row>
    <row r="1988">
      <c r="A1988" s="6" t="str">
        <f>IFERROR(__xludf.DUMMYFUNCTION("""COMPUTED_VALUE"""),"")</f>
        <v/>
      </c>
      <c r="C1988" t="str">
        <f>IFERROR(__xludf.DUMMYFUNCTION("""COMPUTED_VALUE"""),"")</f>
        <v/>
      </c>
      <c r="D1988" t="str">
        <f>IFERROR(__xludf.DUMMYFUNCTION("""COMPUTED_VALUE"""),"")</f>
        <v/>
      </c>
      <c r="E1988" t="str">
        <f>IFERROR(__xludf.DUMMYFUNCTION("""COMPUTED_VALUE"""),"")</f>
        <v/>
      </c>
      <c r="F1988" t="str">
        <f>IFERROR(__xludf.DUMMYFUNCTION("""COMPUTED_VALUE"""),"")</f>
        <v/>
      </c>
      <c r="G1988" t="str">
        <f>IFERROR(__xludf.DUMMYFUNCTION("""COMPUTED_VALUE"""),"")</f>
        <v/>
      </c>
      <c r="H1988" s="2" t="str">
        <f>IFERROR(__xludf.DUMMYFUNCTION("""COMPUTED_VALUE"""),"")</f>
        <v/>
      </c>
      <c r="I1988" s="2" t="str">
        <f>IFERROR(__xludf.DUMMYFUNCTION("""COMPUTED_VALUE"""),"")</f>
        <v/>
      </c>
      <c r="J1988" s="2">
        <f>IFERROR(__xludf.DUMMYFUNCTION("""COMPUTED_VALUE"""),0.0)</f>
        <v>0</v>
      </c>
      <c r="K1988" s="5" t="str">
        <f>IFERROR(__xludf.DUMMYFUNCTION("""COMPUTED_VALUE"""),"")</f>
        <v/>
      </c>
      <c r="L1988" t="str">
        <f>IFERROR(__xludf.DUMMYFUNCTION("""COMPUTED_VALUE"""),"")</f>
        <v/>
      </c>
      <c r="M1988" t="str">
        <f>IFERROR(__xludf.DUMMYFUNCTION("""COMPUTED_VALUE"""),"")</f>
        <v/>
      </c>
      <c r="N1988" t="str">
        <f>IFERROR(__xludf.DUMMYFUNCTION("""COMPUTED_VALUE"""),"")</f>
        <v/>
      </c>
      <c r="O1988" t="str">
        <f>IFERROR(__xludf.DUMMYFUNCTION("""COMPUTED_VALUE"""),"")</f>
        <v/>
      </c>
      <c r="P1988" t="str">
        <f>IFERROR(__xludf.DUMMYFUNCTION("""COMPUTED_VALUE"""),"ID ")</f>
        <v>ID </v>
      </c>
    </row>
    <row r="1989">
      <c r="A1989" s="6" t="str">
        <f>IFERROR(__xludf.DUMMYFUNCTION("""COMPUTED_VALUE"""),"")</f>
        <v/>
      </c>
      <c r="C1989" t="str">
        <f>IFERROR(__xludf.DUMMYFUNCTION("""COMPUTED_VALUE"""),"")</f>
        <v/>
      </c>
      <c r="D1989" t="str">
        <f>IFERROR(__xludf.DUMMYFUNCTION("""COMPUTED_VALUE"""),"")</f>
        <v/>
      </c>
      <c r="E1989" t="str">
        <f>IFERROR(__xludf.DUMMYFUNCTION("""COMPUTED_VALUE"""),"")</f>
        <v/>
      </c>
      <c r="F1989" t="str">
        <f>IFERROR(__xludf.DUMMYFUNCTION("""COMPUTED_VALUE"""),"")</f>
        <v/>
      </c>
      <c r="G1989" t="str">
        <f>IFERROR(__xludf.DUMMYFUNCTION("""COMPUTED_VALUE"""),"")</f>
        <v/>
      </c>
      <c r="H1989" s="2" t="str">
        <f>IFERROR(__xludf.DUMMYFUNCTION("""COMPUTED_VALUE"""),"")</f>
        <v/>
      </c>
      <c r="I1989" s="2" t="str">
        <f>IFERROR(__xludf.DUMMYFUNCTION("""COMPUTED_VALUE"""),"")</f>
        <v/>
      </c>
      <c r="J1989" s="2">
        <f>IFERROR(__xludf.DUMMYFUNCTION("""COMPUTED_VALUE"""),0.0)</f>
        <v>0</v>
      </c>
      <c r="K1989" s="5" t="str">
        <f>IFERROR(__xludf.DUMMYFUNCTION("""COMPUTED_VALUE"""),"")</f>
        <v/>
      </c>
      <c r="L1989" t="str">
        <f>IFERROR(__xludf.DUMMYFUNCTION("""COMPUTED_VALUE"""),"")</f>
        <v/>
      </c>
      <c r="M1989" t="str">
        <f>IFERROR(__xludf.DUMMYFUNCTION("""COMPUTED_VALUE"""),"")</f>
        <v/>
      </c>
      <c r="N1989" t="str">
        <f>IFERROR(__xludf.DUMMYFUNCTION("""COMPUTED_VALUE"""),"")</f>
        <v/>
      </c>
      <c r="O1989" t="str">
        <f>IFERROR(__xludf.DUMMYFUNCTION("""COMPUTED_VALUE"""),"")</f>
        <v/>
      </c>
      <c r="P1989" t="str">
        <f>IFERROR(__xludf.DUMMYFUNCTION("""COMPUTED_VALUE"""),"ID ")</f>
        <v>ID </v>
      </c>
    </row>
    <row r="1990">
      <c r="A1990" s="6" t="str">
        <f>IFERROR(__xludf.DUMMYFUNCTION("""COMPUTED_VALUE"""),"")</f>
        <v/>
      </c>
      <c r="C1990" t="str">
        <f>IFERROR(__xludf.DUMMYFUNCTION("""COMPUTED_VALUE"""),"")</f>
        <v/>
      </c>
      <c r="D1990" t="str">
        <f>IFERROR(__xludf.DUMMYFUNCTION("""COMPUTED_VALUE"""),"")</f>
        <v/>
      </c>
      <c r="E1990" t="str">
        <f>IFERROR(__xludf.DUMMYFUNCTION("""COMPUTED_VALUE"""),"")</f>
        <v/>
      </c>
      <c r="F1990" t="str">
        <f>IFERROR(__xludf.DUMMYFUNCTION("""COMPUTED_VALUE"""),"")</f>
        <v/>
      </c>
      <c r="G1990" t="str">
        <f>IFERROR(__xludf.DUMMYFUNCTION("""COMPUTED_VALUE"""),"")</f>
        <v/>
      </c>
      <c r="H1990" s="2" t="str">
        <f>IFERROR(__xludf.DUMMYFUNCTION("""COMPUTED_VALUE"""),"")</f>
        <v/>
      </c>
      <c r="I1990" s="2" t="str">
        <f>IFERROR(__xludf.DUMMYFUNCTION("""COMPUTED_VALUE"""),"")</f>
        <v/>
      </c>
      <c r="J1990" s="2">
        <f>IFERROR(__xludf.DUMMYFUNCTION("""COMPUTED_VALUE"""),0.0)</f>
        <v>0</v>
      </c>
      <c r="K1990" s="5" t="str">
        <f>IFERROR(__xludf.DUMMYFUNCTION("""COMPUTED_VALUE"""),"")</f>
        <v/>
      </c>
      <c r="L1990" t="str">
        <f>IFERROR(__xludf.DUMMYFUNCTION("""COMPUTED_VALUE"""),"")</f>
        <v/>
      </c>
      <c r="M1990" t="str">
        <f>IFERROR(__xludf.DUMMYFUNCTION("""COMPUTED_VALUE"""),"")</f>
        <v/>
      </c>
      <c r="N1990" t="str">
        <f>IFERROR(__xludf.DUMMYFUNCTION("""COMPUTED_VALUE"""),"")</f>
        <v/>
      </c>
      <c r="O1990" t="str">
        <f>IFERROR(__xludf.DUMMYFUNCTION("""COMPUTED_VALUE"""),"")</f>
        <v/>
      </c>
      <c r="P1990" t="str">
        <f>IFERROR(__xludf.DUMMYFUNCTION("""COMPUTED_VALUE"""),"ID ")</f>
        <v>ID </v>
      </c>
    </row>
    <row r="1991">
      <c r="A1991" s="6" t="str">
        <f>IFERROR(__xludf.DUMMYFUNCTION("""COMPUTED_VALUE"""),"")</f>
        <v/>
      </c>
      <c r="C1991" t="str">
        <f>IFERROR(__xludf.DUMMYFUNCTION("""COMPUTED_VALUE"""),"")</f>
        <v/>
      </c>
      <c r="D1991" t="str">
        <f>IFERROR(__xludf.DUMMYFUNCTION("""COMPUTED_VALUE"""),"")</f>
        <v/>
      </c>
      <c r="E1991" t="str">
        <f>IFERROR(__xludf.DUMMYFUNCTION("""COMPUTED_VALUE"""),"")</f>
        <v/>
      </c>
      <c r="F1991" t="str">
        <f>IFERROR(__xludf.DUMMYFUNCTION("""COMPUTED_VALUE"""),"")</f>
        <v/>
      </c>
      <c r="G1991" t="str">
        <f>IFERROR(__xludf.DUMMYFUNCTION("""COMPUTED_VALUE"""),"")</f>
        <v/>
      </c>
      <c r="H1991" s="2" t="str">
        <f>IFERROR(__xludf.DUMMYFUNCTION("""COMPUTED_VALUE"""),"")</f>
        <v/>
      </c>
      <c r="I1991" s="2" t="str">
        <f>IFERROR(__xludf.DUMMYFUNCTION("""COMPUTED_VALUE"""),"")</f>
        <v/>
      </c>
      <c r="J1991" s="2">
        <f>IFERROR(__xludf.DUMMYFUNCTION("""COMPUTED_VALUE"""),0.0)</f>
        <v>0</v>
      </c>
      <c r="K1991" s="5" t="str">
        <f>IFERROR(__xludf.DUMMYFUNCTION("""COMPUTED_VALUE"""),"")</f>
        <v/>
      </c>
      <c r="L1991" t="str">
        <f>IFERROR(__xludf.DUMMYFUNCTION("""COMPUTED_VALUE"""),"")</f>
        <v/>
      </c>
      <c r="M1991" t="str">
        <f>IFERROR(__xludf.DUMMYFUNCTION("""COMPUTED_VALUE"""),"")</f>
        <v/>
      </c>
      <c r="N1991" t="str">
        <f>IFERROR(__xludf.DUMMYFUNCTION("""COMPUTED_VALUE"""),"")</f>
        <v/>
      </c>
      <c r="O1991" t="str">
        <f>IFERROR(__xludf.DUMMYFUNCTION("""COMPUTED_VALUE"""),"")</f>
        <v/>
      </c>
      <c r="P1991" t="str">
        <f>IFERROR(__xludf.DUMMYFUNCTION("""COMPUTED_VALUE"""),"ID ")</f>
        <v>ID </v>
      </c>
    </row>
    <row r="1992">
      <c r="A1992" s="6" t="str">
        <f>IFERROR(__xludf.DUMMYFUNCTION("""COMPUTED_VALUE"""),"")</f>
        <v/>
      </c>
      <c r="C1992" t="str">
        <f>IFERROR(__xludf.DUMMYFUNCTION("""COMPUTED_VALUE"""),"")</f>
        <v/>
      </c>
      <c r="D1992" t="str">
        <f>IFERROR(__xludf.DUMMYFUNCTION("""COMPUTED_VALUE"""),"")</f>
        <v/>
      </c>
      <c r="E1992" t="str">
        <f>IFERROR(__xludf.DUMMYFUNCTION("""COMPUTED_VALUE"""),"")</f>
        <v/>
      </c>
      <c r="F1992" t="str">
        <f>IFERROR(__xludf.DUMMYFUNCTION("""COMPUTED_VALUE"""),"")</f>
        <v/>
      </c>
      <c r="G1992" t="str">
        <f>IFERROR(__xludf.DUMMYFUNCTION("""COMPUTED_VALUE"""),"")</f>
        <v/>
      </c>
      <c r="H1992" s="2" t="str">
        <f>IFERROR(__xludf.DUMMYFUNCTION("""COMPUTED_VALUE"""),"")</f>
        <v/>
      </c>
      <c r="I1992" s="2" t="str">
        <f>IFERROR(__xludf.DUMMYFUNCTION("""COMPUTED_VALUE"""),"")</f>
        <v/>
      </c>
      <c r="J1992" s="2">
        <f>IFERROR(__xludf.DUMMYFUNCTION("""COMPUTED_VALUE"""),0.0)</f>
        <v>0</v>
      </c>
      <c r="K1992" s="5" t="str">
        <f>IFERROR(__xludf.DUMMYFUNCTION("""COMPUTED_VALUE"""),"")</f>
        <v/>
      </c>
      <c r="L1992" t="str">
        <f>IFERROR(__xludf.DUMMYFUNCTION("""COMPUTED_VALUE"""),"")</f>
        <v/>
      </c>
      <c r="M1992" t="str">
        <f>IFERROR(__xludf.DUMMYFUNCTION("""COMPUTED_VALUE"""),"")</f>
        <v/>
      </c>
      <c r="N1992" t="str">
        <f>IFERROR(__xludf.DUMMYFUNCTION("""COMPUTED_VALUE"""),"")</f>
        <v/>
      </c>
      <c r="O1992" t="str">
        <f>IFERROR(__xludf.DUMMYFUNCTION("""COMPUTED_VALUE"""),"")</f>
        <v/>
      </c>
      <c r="P1992" t="str">
        <f>IFERROR(__xludf.DUMMYFUNCTION("""COMPUTED_VALUE"""),"ID ")</f>
        <v>ID </v>
      </c>
    </row>
    <row r="1993">
      <c r="A1993" s="6" t="str">
        <f>IFERROR(__xludf.DUMMYFUNCTION("""COMPUTED_VALUE"""),"")</f>
        <v/>
      </c>
      <c r="C1993" t="str">
        <f>IFERROR(__xludf.DUMMYFUNCTION("""COMPUTED_VALUE"""),"")</f>
        <v/>
      </c>
      <c r="D1993" t="str">
        <f>IFERROR(__xludf.DUMMYFUNCTION("""COMPUTED_VALUE"""),"")</f>
        <v/>
      </c>
      <c r="E1993" t="str">
        <f>IFERROR(__xludf.DUMMYFUNCTION("""COMPUTED_VALUE"""),"")</f>
        <v/>
      </c>
      <c r="F1993" t="str">
        <f>IFERROR(__xludf.DUMMYFUNCTION("""COMPUTED_VALUE"""),"")</f>
        <v/>
      </c>
      <c r="G1993" t="str">
        <f>IFERROR(__xludf.DUMMYFUNCTION("""COMPUTED_VALUE"""),"")</f>
        <v/>
      </c>
      <c r="H1993" s="2" t="str">
        <f>IFERROR(__xludf.DUMMYFUNCTION("""COMPUTED_VALUE"""),"")</f>
        <v/>
      </c>
      <c r="I1993" s="2" t="str">
        <f>IFERROR(__xludf.DUMMYFUNCTION("""COMPUTED_VALUE"""),"")</f>
        <v/>
      </c>
      <c r="J1993" s="2">
        <f>IFERROR(__xludf.DUMMYFUNCTION("""COMPUTED_VALUE"""),0.0)</f>
        <v>0</v>
      </c>
      <c r="K1993" s="5" t="str">
        <f>IFERROR(__xludf.DUMMYFUNCTION("""COMPUTED_VALUE"""),"")</f>
        <v/>
      </c>
      <c r="L1993" t="str">
        <f>IFERROR(__xludf.DUMMYFUNCTION("""COMPUTED_VALUE"""),"")</f>
        <v/>
      </c>
      <c r="M1993" t="str">
        <f>IFERROR(__xludf.DUMMYFUNCTION("""COMPUTED_VALUE"""),"")</f>
        <v/>
      </c>
      <c r="N1993" t="str">
        <f>IFERROR(__xludf.DUMMYFUNCTION("""COMPUTED_VALUE"""),"")</f>
        <v/>
      </c>
      <c r="O1993" t="str">
        <f>IFERROR(__xludf.DUMMYFUNCTION("""COMPUTED_VALUE"""),"")</f>
        <v/>
      </c>
      <c r="P1993" t="str">
        <f>IFERROR(__xludf.DUMMYFUNCTION("""COMPUTED_VALUE"""),"ID ")</f>
        <v>ID </v>
      </c>
    </row>
    <row r="1994">
      <c r="A1994" s="6" t="str">
        <f>IFERROR(__xludf.DUMMYFUNCTION("""COMPUTED_VALUE"""),"")</f>
        <v/>
      </c>
      <c r="C1994" t="str">
        <f>IFERROR(__xludf.DUMMYFUNCTION("""COMPUTED_VALUE"""),"")</f>
        <v/>
      </c>
      <c r="D1994" t="str">
        <f>IFERROR(__xludf.DUMMYFUNCTION("""COMPUTED_VALUE"""),"")</f>
        <v/>
      </c>
      <c r="E1994" t="str">
        <f>IFERROR(__xludf.DUMMYFUNCTION("""COMPUTED_VALUE"""),"")</f>
        <v/>
      </c>
      <c r="F1994" t="str">
        <f>IFERROR(__xludf.DUMMYFUNCTION("""COMPUTED_VALUE"""),"")</f>
        <v/>
      </c>
      <c r="G1994" t="str">
        <f>IFERROR(__xludf.DUMMYFUNCTION("""COMPUTED_VALUE"""),"")</f>
        <v/>
      </c>
      <c r="H1994" s="2" t="str">
        <f>IFERROR(__xludf.DUMMYFUNCTION("""COMPUTED_VALUE"""),"")</f>
        <v/>
      </c>
      <c r="I1994" s="2" t="str">
        <f>IFERROR(__xludf.DUMMYFUNCTION("""COMPUTED_VALUE"""),"")</f>
        <v/>
      </c>
      <c r="J1994" s="2">
        <f>IFERROR(__xludf.DUMMYFUNCTION("""COMPUTED_VALUE"""),0.0)</f>
        <v>0</v>
      </c>
      <c r="K1994" s="5" t="str">
        <f>IFERROR(__xludf.DUMMYFUNCTION("""COMPUTED_VALUE"""),"")</f>
        <v/>
      </c>
      <c r="L1994" t="str">
        <f>IFERROR(__xludf.DUMMYFUNCTION("""COMPUTED_VALUE"""),"")</f>
        <v/>
      </c>
      <c r="M1994" t="str">
        <f>IFERROR(__xludf.DUMMYFUNCTION("""COMPUTED_VALUE"""),"")</f>
        <v/>
      </c>
      <c r="N1994" t="str">
        <f>IFERROR(__xludf.DUMMYFUNCTION("""COMPUTED_VALUE"""),"")</f>
        <v/>
      </c>
      <c r="O1994" t="str">
        <f>IFERROR(__xludf.DUMMYFUNCTION("""COMPUTED_VALUE"""),"")</f>
        <v/>
      </c>
      <c r="P1994" t="str">
        <f>IFERROR(__xludf.DUMMYFUNCTION("""COMPUTED_VALUE"""),"ID ")</f>
        <v>ID </v>
      </c>
    </row>
    <row r="1995">
      <c r="A1995" s="6" t="str">
        <f>IFERROR(__xludf.DUMMYFUNCTION("""COMPUTED_VALUE"""),"")</f>
        <v/>
      </c>
      <c r="C1995" t="str">
        <f>IFERROR(__xludf.DUMMYFUNCTION("""COMPUTED_VALUE"""),"")</f>
        <v/>
      </c>
      <c r="D1995" t="str">
        <f>IFERROR(__xludf.DUMMYFUNCTION("""COMPUTED_VALUE"""),"")</f>
        <v/>
      </c>
      <c r="E1995" t="str">
        <f>IFERROR(__xludf.DUMMYFUNCTION("""COMPUTED_VALUE"""),"")</f>
        <v/>
      </c>
      <c r="F1995" t="str">
        <f>IFERROR(__xludf.DUMMYFUNCTION("""COMPUTED_VALUE"""),"")</f>
        <v/>
      </c>
      <c r="G1995" t="str">
        <f>IFERROR(__xludf.DUMMYFUNCTION("""COMPUTED_VALUE"""),"")</f>
        <v/>
      </c>
      <c r="H1995" s="2" t="str">
        <f>IFERROR(__xludf.DUMMYFUNCTION("""COMPUTED_VALUE"""),"")</f>
        <v/>
      </c>
      <c r="I1995" s="2" t="str">
        <f>IFERROR(__xludf.DUMMYFUNCTION("""COMPUTED_VALUE"""),"")</f>
        <v/>
      </c>
      <c r="J1995" s="2">
        <f>IFERROR(__xludf.DUMMYFUNCTION("""COMPUTED_VALUE"""),0.0)</f>
        <v>0</v>
      </c>
      <c r="K1995" s="5" t="str">
        <f>IFERROR(__xludf.DUMMYFUNCTION("""COMPUTED_VALUE"""),"")</f>
        <v/>
      </c>
      <c r="L1995" t="str">
        <f>IFERROR(__xludf.DUMMYFUNCTION("""COMPUTED_VALUE"""),"")</f>
        <v/>
      </c>
      <c r="M1995" t="str">
        <f>IFERROR(__xludf.DUMMYFUNCTION("""COMPUTED_VALUE"""),"")</f>
        <v/>
      </c>
      <c r="N1995" t="str">
        <f>IFERROR(__xludf.DUMMYFUNCTION("""COMPUTED_VALUE"""),"")</f>
        <v/>
      </c>
      <c r="O1995" t="str">
        <f>IFERROR(__xludf.DUMMYFUNCTION("""COMPUTED_VALUE"""),"")</f>
        <v/>
      </c>
      <c r="P1995" t="str">
        <f>IFERROR(__xludf.DUMMYFUNCTION("""COMPUTED_VALUE"""),"ID ")</f>
        <v>ID </v>
      </c>
    </row>
    <row r="1996">
      <c r="A1996" s="6" t="str">
        <f>IFERROR(__xludf.DUMMYFUNCTION("""COMPUTED_VALUE"""),"")</f>
        <v/>
      </c>
      <c r="C1996" t="str">
        <f>IFERROR(__xludf.DUMMYFUNCTION("""COMPUTED_VALUE"""),"")</f>
        <v/>
      </c>
      <c r="D1996" t="str">
        <f>IFERROR(__xludf.DUMMYFUNCTION("""COMPUTED_VALUE"""),"")</f>
        <v/>
      </c>
      <c r="E1996" t="str">
        <f>IFERROR(__xludf.DUMMYFUNCTION("""COMPUTED_VALUE"""),"")</f>
        <v/>
      </c>
      <c r="F1996" t="str">
        <f>IFERROR(__xludf.DUMMYFUNCTION("""COMPUTED_VALUE"""),"")</f>
        <v/>
      </c>
      <c r="G1996" t="str">
        <f>IFERROR(__xludf.DUMMYFUNCTION("""COMPUTED_VALUE"""),"")</f>
        <v/>
      </c>
      <c r="H1996" s="2" t="str">
        <f>IFERROR(__xludf.DUMMYFUNCTION("""COMPUTED_VALUE"""),"")</f>
        <v/>
      </c>
      <c r="I1996" s="2" t="str">
        <f>IFERROR(__xludf.DUMMYFUNCTION("""COMPUTED_VALUE"""),"")</f>
        <v/>
      </c>
      <c r="J1996" s="2">
        <f>IFERROR(__xludf.DUMMYFUNCTION("""COMPUTED_VALUE"""),0.0)</f>
        <v>0</v>
      </c>
      <c r="K1996" s="5" t="str">
        <f>IFERROR(__xludf.DUMMYFUNCTION("""COMPUTED_VALUE"""),"")</f>
        <v/>
      </c>
      <c r="L1996" t="str">
        <f>IFERROR(__xludf.DUMMYFUNCTION("""COMPUTED_VALUE"""),"")</f>
        <v/>
      </c>
      <c r="M1996" t="str">
        <f>IFERROR(__xludf.DUMMYFUNCTION("""COMPUTED_VALUE"""),"")</f>
        <v/>
      </c>
      <c r="N1996" t="str">
        <f>IFERROR(__xludf.DUMMYFUNCTION("""COMPUTED_VALUE"""),"")</f>
        <v/>
      </c>
      <c r="O1996" t="str">
        <f>IFERROR(__xludf.DUMMYFUNCTION("""COMPUTED_VALUE"""),"")</f>
        <v/>
      </c>
      <c r="P1996" t="str">
        <f>IFERROR(__xludf.DUMMYFUNCTION("""COMPUTED_VALUE"""),"ID ")</f>
        <v>ID </v>
      </c>
    </row>
    <row r="1997">
      <c r="A1997" s="6" t="str">
        <f>IFERROR(__xludf.DUMMYFUNCTION("""COMPUTED_VALUE"""),"")</f>
        <v/>
      </c>
      <c r="C1997" t="str">
        <f>IFERROR(__xludf.DUMMYFUNCTION("""COMPUTED_VALUE"""),"")</f>
        <v/>
      </c>
      <c r="D1997" t="str">
        <f>IFERROR(__xludf.DUMMYFUNCTION("""COMPUTED_VALUE"""),"")</f>
        <v/>
      </c>
      <c r="E1997" t="str">
        <f>IFERROR(__xludf.DUMMYFUNCTION("""COMPUTED_VALUE"""),"")</f>
        <v/>
      </c>
      <c r="F1997" t="str">
        <f>IFERROR(__xludf.DUMMYFUNCTION("""COMPUTED_VALUE"""),"")</f>
        <v/>
      </c>
      <c r="G1997" t="str">
        <f>IFERROR(__xludf.DUMMYFUNCTION("""COMPUTED_VALUE"""),"")</f>
        <v/>
      </c>
      <c r="H1997" s="2" t="str">
        <f>IFERROR(__xludf.DUMMYFUNCTION("""COMPUTED_VALUE"""),"")</f>
        <v/>
      </c>
      <c r="I1997" s="2" t="str">
        <f>IFERROR(__xludf.DUMMYFUNCTION("""COMPUTED_VALUE"""),"")</f>
        <v/>
      </c>
      <c r="J1997" s="2">
        <f>IFERROR(__xludf.DUMMYFUNCTION("""COMPUTED_VALUE"""),0.0)</f>
        <v>0</v>
      </c>
      <c r="K1997" s="5" t="str">
        <f>IFERROR(__xludf.DUMMYFUNCTION("""COMPUTED_VALUE"""),"")</f>
        <v/>
      </c>
      <c r="L1997" t="str">
        <f>IFERROR(__xludf.DUMMYFUNCTION("""COMPUTED_VALUE"""),"")</f>
        <v/>
      </c>
      <c r="M1997" t="str">
        <f>IFERROR(__xludf.DUMMYFUNCTION("""COMPUTED_VALUE"""),"")</f>
        <v/>
      </c>
      <c r="N1997" t="str">
        <f>IFERROR(__xludf.DUMMYFUNCTION("""COMPUTED_VALUE"""),"")</f>
        <v/>
      </c>
      <c r="O1997" t="str">
        <f>IFERROR(__xludf.DUMMYFUNCTION("""COMPUTED_VALUE"""),"")</f>
        <v/>
      </c>
      <c r="P1997" t="str">
        <f>IFERROR(__xludf.DUMMYFUNCTION("""COMPUTED_VALUE"""),"ID ")</f>
        <v>ID </v>
      </c>
    </row>
    <row r="1998">
      <c r="A1998" s="6" t="str">
        <f>IFERROR(__xludf.DUMMYFUNCTION("""COMPUTED_VALUE"""),"")</f>
        <v/>
      </c>
      <c r="C1998" t="str">
        <f>IFERROR(__xludf.DUMMYFUNCTION("""COMPUTED_VALUE"""),"")</f>
        <v/>
      </c>
      <c r="D1998" t="str">
        <f>IFERROR(__xludf.DUMMYFUNCTION("""COMPUTED_VALUE"""),"")</f>
        <v/>
      </c>
      <c r="E1998" t="str">
        <f>IFERROR(__xludf.DUMMYFUNCTION("""COMPUTED_VALUE"""),"")</f>
        <v/>
      </c>
      <c r="F1998" t="str">
        <f>IFERROR(__xludf.DUMMYFUNCTION("""COMPUTED_VALUE"""),"")</f>
        <v/>
      </c>
      <c r="G1998" t="str">
        <f>IFERROR(__xludf.DUMMYFUNCTION("""COMPUTED_VALUE"""),"")</f>
        <v/>
      </c>
      <c r="H1998" s="2" t="str">
        <f>IFERROR(__xludf.DUMMYFUNCTION("""COMPUTED_VALUE"""),"")</f>
        <v/>
      </c>
      <c r="I1998" s="2" t="str">
        <f>IFERROR(__xludf.DUMMYFUNCTION("""COMPUTED_VALUE"""),"")</f>
        <v/>
      </c>
      <c r="J1998" s="2">
        <f>IFERROR(__xludf.DUMMYFUNCTION("""COMPUTED_VALUE"""),0.0)</f>
        <v>0</v>
      </c>
      <c r="K1998" s="5" t="str">
        <f>IFERROR(__xludf.DUMMYFUNCTION("""COMPUTED_VALUE"""),"")</f>
        <v/>
      </c>
      <c r="L1998" t="str">
        <f>IFERROR(__xludf.DUMMYFUNCTION("""COMPUTED_VALUE"""),"")</f>
        <v/>
      </c>
      <c r="M1998" t="str">
        <f>IFERROR(__xludf.DUMMYFUNCTION("""COMPUTED_VALUE"""),"")</f>
        <v/>
      </c>
      <c r="N1998" t="str">
        <f>IFERROR(__xludf.DUMMYFUNCTION("""COMPUTED_VALUE"""),"")</f>
        <v/>
      </c>
      <c r="O1998" t="str">
        <f>IFERROR(__xludf.DUMMYFUNCTION("""COMPUTED_VALUE"""),"")</f>
        <v/>
      </c>
      <c r="P1998" t="str">
        <f>IFERROR(__xludf.DUMMYFUNCTION("""COMPUTED_VALUE"""),"ID ")</f>
        <v>ID </v>
      </c>
    </row>
    <row r="1999">
      <c r="A1999" s="6" t="str">
        <f>IFERROR(__xludf.DUMMYFUNCTION("""COMPUTED_VALUE"""),"")</f>
        <v/>
      </c>
      <c r="C1999" t="str">
        <f>IFERROR(__xludf.DUMMYFUNCTION("""COMPUTED_VALUE"""),"")</f>
        <v/>
      </c>
      <c r="D1999" t="str">
        <f>IFERROR(__xludf.DUMMYFUNCTION("""COMPUTED_VALUE"""),"")</f>
        <v/>
      </c>
      <c r="E1999" t="str">
        <f>IFERROR(__xludf.DUMMYFUNCTION("""COMPUTED_VALUE"""),"")</f>
        <v/>
      </c>
      <c r="F1999" t="str">
        <f>IFERROR(__xludf.DUMMYFUNCTION("""COMPUTED_VALUE"""),"")</f>
        <v/>
      </c>
      <c r="G1999" t="str">
        <f>IFERROR(__xludf.DUMMYFUNCTION("""COMPUTED_VALUE"""),"")</f>
        <v/>
      </c>
      <c r="H1999" s="2" t="str">
        <f>IFERROR(__xludf.DUMMYFUNCTION("""COMPUTED_VALUE"""),"")</f>
        <v/>
      </c>
      <c r="I1999" s="2" t="str">
        <f>IFERROR(__xludf.DUMMYFUNCTION("""COMPUTED_VALUE"""),"")</f>
        <v/>
      </c>
      <c r="J1999" s="2">
        <f>IFERROR(__xludf.DUMMYFUNCTION("""COMPUTED_VALUE"""),0.0)</f>
        <v>0</v>
      </c>
      <c r="K1999" s="5" t="str">
        <f>IFERROR(__xludf.DUMMYFUNCTION("""COMPUTED_VALUE"""),"")</f>
        <v/>
      </c>
      <c r="L1999" t="str">
        <f>IFERROR(__xludf.DUMMYFUNCTION("""COMPUTED_VALUE"""),"")</f>
        <v/>
      </c>
      <c r="M1999" t="str">
        <f>IFERROR(__xludf.DUMMYFUNCTION("""COMPUTED_VALUE"""),"")</f>
        <v/>
      </c>
      <c r="N1999" t="str">
        <f>IFERROR(__xludf.DUMMYFUNCTION("""COMPUTED_VALUE"""),"")</f>
        <v/>
      </c>
      <c r="O1999" t="str">
        <f>IFERROR(__xludf.DUMMYFUNCTION("""COMPUTED_VALUE"""),"")</f>
        <v/>
      </c>
      <c r="P1999" t="str">
        <f>IFERROR(__xludf.DUMMYFUNCTION("""COMPUTED_VALUE"""),"ID ")</f>
        <v>ID </v>
      </c>
    </row>
    <row r="2000">
      <c r="A2000" s="6" t="str">
        <f>IFERROR(__xludf.DUMMYFUNCTION("""COMPUTED_VALUE"""),"")</f>
        <v/>
      </c>
      <c r="C2000" t="str">
        <f>IFERROR(__xludf.DUMMYFUNCTION("""COMPUTED_VALUE"""),"")</f>
        <v/>
      </c>
      <c r="D2000" t="str">
        <f>IFERROR(__xludf.DUMMYFUNCTION("""COMPUTED_VALUE"""),"")</f>
        <v/>
      </c>
      <c r="E2000" t="str">
        <f>IFERROR(__xludf.DUMMYFUNCTION("""COMPUTED_VALUE"""),"")</f>
        <v/>
      </c>
      <c r="F2000" t="str">
        <f>IFERROR(__xludf.DUMMYFUNCTION("""COMPUTED_VALUE"""),"")</f>
        <v/>
      </c>
      <c r="G2000" t="str">
        <f>IFERROR(__xludf.DUMMYFUNCTION("""COMPUTED_VALUE"""),"")</f>
        <v/>
      </c>
      <c r="H2000" s="2" t="str">
        <f>IFERROR(__xludf.DUMMYFUNCTION("""COMPUTED_VALUE"""),"")</f>
        <v/>
      </c>
      <c r="I2000" s="2" t="str">
        <f>IFERROR(__xludf.DUMMYFUNCTION("""COMPUTED_VALUE"""),"")</f>
        <v/>
      </c>
      <c r="J2000" s="2">
        <f>IFERROR(__xludf.DUMMYFUNCTION("""COMPUTED_VALUE"""),0.0)</f>
        <v>0</v>
      </c>
      <c r="K2000" s="5" t="str">
        <f>IFERROR(__xludf.DUMMYFUNCTION("""COMPUTED_VALUE"""),"")</f>
        <v/>
      </c>
      <c r="L2000" t="str">
        <f>IFERROR(__xludf.DUMMYFUNCTION("""COMPUTED_VALUE"""),"")</f>
        <v/>
      </c>
      <c r="M2000" t="str">
        <f>IFERROR(__xludf.DUMMYFUNCTION("""COMPUTED_VALUE"""),"")</f>
        <v/>
      </c>
      <c r="N2000" t="str">
        <f>IFERROR(__xludf.DUMMYFUNCTION("""COMPUTED_VALUE"""),"")</f>
        <v/>
      </c>
      <c r="O2000" t="str">
        <f>IFERROR(__xludf.DUMMYFUNCTION("""COMPUTED_VALUE"""),"")</f>
        <v/>
      </c>
      <c r="P2000" t="str">
        <f>IFERROR(__xludf.DUMMYFUNCTION("""COMPUTED_VALUE"""),"ID ")</f>
        <v>ID </v>
      </c>
    </row>
    <row r="2001">
      <c r="A2001" s="6" t="str">
        <f>IFERROR(__xludf.DUMMYFUNCTION("""COMPUTED_VALUE"""),"")</f>
        <v/>
      </c>
      <c r="C2001" t="str">
        <f>IFERROR(__xludf.DUMMYFUNCTION("""COMPUTED_VALUE"""),"")</f>
        <v/>
      </c>
      <c r="D2001" t="str">
        <f>IFERROR(__xludf.DUMMYFUNCTION("""COMPUTED_VALUE"""),"")</f>
        <v/>
      </c>
      <c r="E2001" t="str">
        <f>IFERROR(__xludf.DUMMYFUNCTION("""COMPUTED_VALUE"""),"")</f>
        <v/>
      </c>
      <c r="F2001" t="str">
        <f>IFERROR(__xludf.DUMMYFUNCTION("""COMPUTED_VALUE"""),"")</f>
        <v/>
      </c>
      <c r="G2001" t="str">
        <f>IFERROR(__xludf.DUMMYFUNCTION("""COMPUTED_VALUE"""),"")</f>
        <v/>
      </c>
      <c r="H2001" s="2" t="str">
        <f>IFERROR(__xludf.DUMMYFUNCTION("""COMPUTED_VALUE"""),"")</f>
        <v/>
      </c>
      <c r="I2001" s="2" t="str">
        <f>IFERROR(__xludf.DUMMYFUNCTION("""COMPUTED_VALUE"""),"")</f>
        <v/>
      </c>
      <c r="J2001" s="2">
        <f>IFERROR(__xludf.DUMMYFUNCTION("""COMPUTED_VALUE"""),0.0)</f>
        <v>0</v>
      </c>
      <c r="K2001" s="5" t="str">
        <f>IFERROR(__xludf.DUMMYFUNCTION("""COMPUTED_VALUE"""),"")</f>
        <v/>
      </c>
      <c r="L2001" t="str">
        <f>IFERROR(__xludf.DUMMYFUNCTION("""COMPUTED_VALUE"""),"")</f>
        <v/>
      </c>
      <c r="M2001" t="str">
        <f>IFERROR(__xludf.DUMMYFUNCTION("""COMPUTED_VALUE"""),"")</f>
        <v/>
      </c>
      <c r="N2001" t="str">
        <f>IFERROR(__xludf.DUMMYFUNCTION("""COMPUTED_VALUE"""),"")</f>
        <v/>
      </c>
      <c r="O2001" t="str">
        <f>IFERROR(__xludf.DUMMYFUNCTION("""COMPUTED_VALUE"""),"")</f>
        <v/>
      </c>
      <c r="P2001" t="str">
        <f>IFERROR(__xludf.DUMMYFUNCTION("""COMPUTED_VALUE"""),"ID ")</f>
        <v>ID </v>
      </c>
    </row>
    <row r="2002">
      <c r="A2002" s="6" t="str">
        <f>IFERROR(__xludf.DUMMYFUNCTION("""COMPUTED_VALUE"""),"")</f>
        <v/>
      </c>
      <c r="C2002" t="str">
        <f>IFERROR(__xludf.DUMMYFUNCTION("""COMPUTED_VALUE"""),"")</f>
        <v/>
      </c>
      <c r="D2002" t="str">
        <f>IFERROR(__xludf.DUMMYFUNCTION("""COMPUTED_VALUE"""),"")</f>
        <v/>
      </c>
      <c r="E2002" t="str">
        <f>IFERROR(__xludf.DUMMYFUNCTION("""COMPUTED_VALUE"""),"")</f>
        <v/>
      </c>
      <c r="F2002" t="str">
        <f>IFERROR(__xludf.DUMMYFUNCTION("""COMPUTED_VALUE"""),"")</f>
        <v/>
      </c>
      <c r="G2002" t="str">
        <f>IFERROR(__xludf.DUMMYFUNCTION("""COMPUTED_VALUE"""),"")</f>
        <v/>
      </c>
      <c r="H2002" s="2" t="str">
        <f>IFERROR(__xludf.DUMMYFUNCTION("""COMPUTED_VALUE"""),"")</f>
        <v/>
      </c>
      <c r="I2002" s="2" t="str">
        <f>IFERROR(__xludf.DUMMYFUNCTION("""COMPUTED_VALUE"""),"")</f>
        <v/>
      </c>
      <c r="J2002" s="2">
        <f>IFERROR(__xludf.DUMMYFUNCTION("""COMPUTED_VALUE"""),0.0)</f>
        <v>0</v>
      </c>
      <c r="K2002" s="5" t="str">
        <f>IFERROR(__xludf.DUMMYFUNCTION("""COMPUTED_VALUE"""),"")</f>
        <v/>
      </c>
      <c r="L2002" t="str">
        <f>IFERROR(__xludf.DUMMYFUNCTION("""COMPUTED_VALUE"""),"")</f>
        <v/>
      </c>
      <c r="M2002" t="str">
        <f>IFERROR(__xludf.DUMMYFUNCTION("""COMPUTED_VALUE"""),"")</f>
        <v/>
      </c>
      <c r="N2002" t="str">
        <f>IFERROR(__xludf.DUMMYFUNCTION("""COMPUTED_VALUE"""),"")</f>
        <v/>
      </c>
      <c r="O2002" t="str">
        <f>IFERROR(__xludf.DUMMYFUNCTION("""COMPUTED_VALUE"""),"")</f>
        <v/>
      </c>
      <c r="P2002" t="str">
        <f>IFERROR(__xludf.DUMMYFUNCTION("""COMPUTED_VALUE"""),"ID ")</f>
        <v>ID </v>
      </c>
    </row>
    <row r="2003">
      <c r="A2003" s="6" t="str">
        <f>IFERROR(__xludf.DUMMYFUNCTION("""COMPUTED_VALUE"""),"")</f>
        <v/>
      </c>
      <c r="C2003" t="str">
        <f>IFERROR(__xludf.DUMMYFUNCTION("""COMPUTED_VALUE"""),"")</f>
        <v/>
      </c>
      <c r="D2003" t="str">
        <f>IFERROR(__xludf.DUMMYFUNCTION("""COMPUTED_VALUE"""),"")</f>
        <v/>
      </c>
      <c r="E2003" t="str">
        <f>IFERROR(__xludf.DUMMYFUNCTION("""COMPUTED_VALUE"""),"")</f>
        <v/>
      </c>
      <c r="F2003" t="str">
        <f>IFERROR(__xludf.DUMMYFUNCTION("""COMPUTED_VALUE"""),"")</f>
        <v/>
      </c>
      <c r="G2003" t="str">
        <f>IFERROR(__xludf.DUMMYFUNCTION("""COMPUTED_VALUE"""),"")</f>
        <v/>
      </c>
      <c r="H2003" s="2" t="str">
        <f>IFERROR(__xludf.DUMMYFUNCTION("""COMPUTED_VALUE"""),"")</f>
        <v/>
      </c>
      <c r="I2003" s="2" t="str">
        <f>IFERROR(__xludf.DUMMYFUNCTION("""COMPUTED_VALUE"""),"")</f>
        <v/>
      </c>
      <c r="J2003" s="2">
        <f>IFERROR(__xludf.DUMMYFUNCTION("""COMPUTED_VALUE"""),0.0)</f>
        <v>0</v>
      </c>
      <c r="K2003" s="5" t="str">
        <f>IFERROR(__xludf.DUMMYFUNCTION("""COMPUTED_VALUE"""),"")</f>
        <v/>
      </c>
      <c r="L2003" t="str">
        <f>IFERROR(__xludf.DUMMYFUNCTION("""COMPUTED_VALUE"""),"")</f>
        <v/>
      </c>
      <c r="M2003" t="str">
        <f>IFERROR(__xludf.DUMMYFUNCTION("""COMPUTED_VALUE"""),"")</f>
        <v/>
      </c>
      <c r="N2003" t="str">
        <f>IFERROR(__xludf.DUMMYFUNCTION("""COMPUTED_VALUE"""),"")</f>
        <v/>
      </c>
      <c r="O2003" t="str">
        <f>IFERROR(__xludf.DUMMYFUNCTION("""COMPUTED_VALUE"""),"")</f>
        <v/>
      </c>
      <c r="P2003" t="str">
        <f>IFERROR(__xludf.DUMMYFUNCTION("""COMPUTED_VALUE"""),"ID ")</f>
        <v>ID </v>
      </c>
    </row>
    <row r="2004">
      <c r="A2004" s="6" t="str">
        <f>IFERROR(__xludf.DUMMYFUNCTION("""COMPUTED_VALUE"""),"")</f>
        <v/>
      </c>
      <c r="C2004" t="str">
        <f>IFERROR(__xludf.DUMMYFUNCTION("""COMPUTED_VALUE"""),"")</f>
        <v/>
      </c>
      <c r="D2004" t="str">
        <f>IFERROR(__xludf.DUMMYFUNCTION("""COMPUTED_VALUE"""),"")</f>
        <v/>
      </c>
      <c r="E2004" t="str">
        <f>IFERROR(__xludf.DUMMYFUNCTION("""COMPUTED_VALUE"""),"")</f>
        <v/>
      </c>
      <c r="F2004" t="str">
        <f>IFERROR(__xludf.DUMMYFUNCTION("""COMPUTED_VALUE"""),"")</f>
        <v/>
      </c>
      <c r="G2004" t="str">
        <f>IFERROR(__xludf.DUMMYFUNCTION("""COMPUTED_VALUE"""),"")</f>
        <v/>
      </c>
      <c r="H2004" s="2" t="str">
        <f>IFERROR(__xludf.DUMMYFUNCTION("""COMPUTED_VALUE"""),"")</f>
        <v/>
      </c>
      <c r="I2004" s="2" t="str">
        <f>IFERROR(__xludf.DUMMYFUNCTION("""COMPUTED_VALUE"""),"")</f>
        <v/>
      </c>
      <c r="J2004" s="2">
        <f>IFERROR(__xludf.DUMMYFUNCTION("""COMPUTED_VALUE"""),0.0)</f>
        <v>0</v>
      </c>
      <c r="K2004" s="5" t="str">
        <f>IFERROR(__xludf.DUMMYFUNCTION("""COMPUTED_VALUE"""),"")</f>
        <v/>
      </c>
      <c r="L2004" t="str">
        <f>IFERROR(__xludf.DUMMYFUNCTION("""COMPUTED_VALUE"""),"")</f>
        <v/>
      </c>
      <c r="M2004" t="str">
        <f>IFERROR(__xludf.DUMMYFUNCTION("""COMPUTED_VALUE"""),"")</f>
        <v/>
      </c>
      <c r="N2004" t="str">
        <f>IFERROR(__xludf.DUMMYFUNCTION("""COMPUTED_VALUE"""),"")</f>
        <v/>
      </c>
      <c r="O2004" t="str">
        <f>IFERROR(__xludf.DUMMYFUNCTION("""COMPUTED_VALUE"""),"")</f>
        <v/>
      </c>
      <c r="P2004" t="str">
        <f>IFERROR(__xludf.DUMMYFUNCTION("""COMPUTED_VALUE"""),"ID ")</f>
        <v>ID </v>
      </c>
    </row>
    <row r="2005">
      <c r="A2005" s="6" t="str">
        <f>IFERROR(__xludf.DUMMYFUNCTION("""COMPUTED_VALUE"""),"")</f>
        <v/>
      </c>
      <c r="C2005" t="str">
        <f>IFERROR(__xludf.DUMMYFUNCTION("""COMPUTED_VALUE"""),"")</f>
        <v/>
      </c>
      <c r="D2005" t="str">
        <f>IFERROR(__xludf.DUMMYFUNCTION("""COMPUTED_VALUE"""),"")</f>
        <v/>
      </c>
      <c r="E2005" t="str">
        <f>IFERROR(__xludf.DUMMYFUNCTION("""COMPUTED_VALUE"""),"")</f>
        <v/>
      </c>
      <c r="F2005" t="str">
        <f>IFERROR(__xludf.DUMMYFUNCTION("""COMPUTED_VALUE"""),"")</f>
        <v/>
      </c>
      <c r="G2005" t="str">
        <f>IFERROR(__xludf.DUMMYFUNCTION("""COMPUTED_VALUE"""),"")</f>
        <v/>
      </c>
      <c r="H2005" s="2" t="str">
        <f>IFERROR(__xludf.DUMMYFUNCTION("""COMPUTED_VALUE"""),"")</f>
        <v/>
      </c>
      <c r="I2005" s="2" t="str">
        <f>IFERROR(__xludf.DUMMYFUNCTION("""COMPUTED_VALUE"""),"")</f>
        <v/>
      </c>
      <c r="J2005" s="2">
        <f>IFERROR(__xludf.DUMMYFUNCTION("""COMPUTED_VALUE"""),0.0)</f>
        <v>0</v>
      </c>
      <c r="K2005" s="5" t="str">
        <f>IFERROR(__xludf.DUMMYFUNCTION("""COMPUTED_VALUE"""),"")</f>
        <v/>
      </c>
      <c r="L2005" t="str">
        <f>IFERROR(__xludf.DUMMYFUNCTION("""COMPUTED_VALUE"""),"")</f>
        <v/>
      </c>
      <c r="M2005" t="str">
        <f>IFERROR(__xludf.DUMMYFUNCTION("""COMPUTED_VALUE"""),"")</f>
        <v/>
      </c>
      <c r="N2005" t="str">
        <f>IFERROR(__xludf.DUMMYFUNCTION("""COMPUTED_VALUE"""),"")</f>
        <v/>
      </c>
      <c r="O2005" t="str">
        <f>IFERROR(__xludf.DUMMYFUNCTION("""COMPUTED_VALUE"""),"")</f>
        <v/>
      </c>
      <c r="P2005" t="str">
        <f>IFERROR(__xludf.DUMMYFUNCTION("""COMPUTED_VALUE"""),"ID ")</f>
        <v>ID </v>
      </c>
    </row>
    <row r="2006">
      <c r="A2006" s="6" t="str">
        <f>IFERROR(__xludf.DUMMYFUNCTION("""COMPUTED_VALUE"""),"")</f>
        <v/>
      </c>
      <c r="C2006" t="str">
        <f>IFERROR(__xludf.DUMMYFUNCTION("""COMPUTED_VALUE"""),"")</f>
        <v/>
      </c>
      <c r="D2006" t="str">
        <f>IFERROR(__xludf.DUMMYFUNCTION("""COMPUTED_VALUE"""),"")</f>
        <v/>
      </c>
      <c r="E2006" t="str">
        <f>IFERROR(__xludf.DUMMYFUNCTION("""COMPUTED_VALUE"""),"")</f>
        <v/>
      </c>
      <c r="F2006" t="str">
        <f>IFERROR(__xludf.DUMMYFUNCTION("""COMPUTED_VALUE"""),"")</f>
        <v/>
      </c>
      <c r="G2006" t="str">
        <f>IFERROR(__xludf.DUMMYFUNCTION("""COMPUTED_VALUE"""),"")</f>
        <v/>
      </c>
      <c r="H2006" s="2" t="str">
        <f>IFERROR(__xludf.DUMMYFUNCTION("""COMPUTED_VALUE"""),"")</f>
        <v/>
      </c>
      <c r="I2006" s="2" t="str">
        <f>IFERROR(__xludf.DUMMYFUNCTION("""COMPUTED_VALUE"""),"")</f>
        <v/>
      </c>
      <c r="J2006" s="2">
        <f>IFERROR(__xludf.DUMMYFUNCTION("""COMPUTED_VALUE"""),0.0)</f>
        <v>0</v>
      </c>
      <c r="K2006" s="5" t="str">
        <f>IFERROR(__xludf.DUMMYFUNCTION("""COMPUTED_VALUE"""),"")</f>
        <v/>
      </c>
      <c r="L2006" t="str">
        <f>IFERROR(__xludf.DUMMYFUNCTION("""COMPUTED_VALUE"""),"")</f>
        <v/>
      </c>
      <c r="M2006" t="str">
        <f>IFERROR(__xludf.DUMMYFUNCTION("""COMPUTED_VALUE"""),"")</f>
        <v/>
      </c>
      <c r="N2006" t="str">
        <f>IFERROR(__xludf.DUMMYFUNCTION("""COMPUTED_VALUE"""),"")</f>
        <v/>
      </c>
      <c r="O2006" t="str">
        <f>IFERROR(__xludf.DUMMYFUNCTION("""COMPUTED_VALUE"""),"")</f>
        <v/>
      </c>
      <c r="P2006" t="str">
        <f>IFERROR(__xludf.DUMMYFUNCTION("""COMPUTED_VALUE"""),"ID ")</f>
        <v>ID </v>
      </c>
    </row>
    <row r="2007">
      <c r="A2007" s="6" t="str">
        <f>IFERROR(__xludf.DUMMYFUNCTION("""COMPUTED_VALUE"""),"")</f>
        <v/>
      </c>
      <c r="C2007" t="str">
        <f>IFERROR(__xludf.DUMMYFUNCTION("""COMPUTED_VALUE"""),"")</f>
        <v/>
      </c>
      <c r="D2007" t="str">
        <f>IFERROR(__xludf.DUMMYFUNCTION("""COMPUTED_VALUE"""),"")</f>
        <v/>
      </c>
      <c r="E2007" t="str">
        <f>IFERROR(__xludf.DUMMYFUNCTION("""COMPUTED_VALUE"""),"")</f>
        <v/>
      </c>
      <c r="F2007" t="str">
        <f>IFERROR(__xludf.DUMMYFUNCTION("""COMPUTED_VALUE"""),"")</f>
        <v/>
      </c>
      <c r="G2007" t="str">
        <f>IFERROR(__xludf.DUMMYFUNCTION("""COMPUTED_VALUE"""),"")</f>
        <v/>
      </c>
      <c r="H2007" s="2" t="str">
        <f>IFERROR(__xludf.DUMMYFUNCTION("""COMPUTED_VALUE"""),"")</f>
        <v/>
      </c>
      <c r="I2007" s="2" t="str">
        <f>IFERROR(__xludf.DUMMYFUNCTION("""COMPUTED_VALUE"""),"")</f>
        <v/>
      </c>
      <c r="J2007" s="2">
        <f>IFERROR(__xludf.DUMMYFUNCTION("""COMPUTED_VALUE"""),0.0)</f>
        <v>0</v>
      </c>
      <c r="K2007" s="5" t="str">
        <f>IFERROR(__xludf.DUMMYFUNCTION("""COMPUTED_VALUE"""),"")</f>
        <v/>
      </c>
      <c r="L2007" t="str">
        <f>IFERROR(__xludf.DUMMYFUNCTION("""COMPUTED_VALUE"""),"")</f>
        <v/>
      </c>
      <c r="M2007" t="str">
        <f>IFERROR(__xludf.DUMMYFUNCTION("""COMPUTED_VALUE"""),"")</f>
        <v/>
      </c>
      <c r="N2007" t="str">
        <f>IFERROR(__xludf.DUMMYFUNCTION("""COMPUTED_VALUE"""),"")</f>
        <v/>
      </c>
      <c r="O2007" t="str">
        <f>IFERROR(__xludf.DUMMYFUNCTION("""COMPUTED_VALUE"""),"")</f>
        <v/>
      </c>
      <c r="P2007" t="str">
        <f>IFERROR(__xludf.DUMMYFUNCTION("""COMPUTED_VALUE"""),"ID ")</f>
        <v>ID </v>
      </c>
    </row>
    <row r="2008">
      <c r="A2008" s="6" t="str">
        <f>IFERROR(__xludf.DUMMYFUNCTION("""COMPUTED_VALUE"""),"")</f>
        <v/>
      </c>
      <c r="C2008" t="str">
        <f>IFERROR(__xludf.DUMMYFUNCTION("""COMPUTED_VALUE"""),"")</f>
        <v/>
      </c>
      <c r="D2008" t="str">
        <f>IFERROR(__xludf.DUMMYFUNCTION("""COMPUTED_VALUE"""),"")</f>
        <v/>
      </c>
      <c r="E2008" t="str">
        <f>IFERROR(__xludf.DUMMYFUNCTION("""COMPUTED_VALUE"""),"")</f>
        <v/>
      </c>
      <c r="F2008" t="str">
        <f>IFERROR(__xludf.DUMMYFUNCTION("""COMPUTED_VALUE"""),"")</f>
        <v/>
      </c>
      <c r="G2008" t="str">
        <f>IFERROR(__xludf.DUMMYFUNCTION("""COMPUTED_VALUE"""),"")</f>
        <v/>
      </c>
      <c r="H2008" s="2" t="str">
        <f>IFERROR(__xludf.DUMMYFUNCTION("""COMPUTED_VALUE"""),"")</f>
        <v/>
      </c>
      <c r="I2008" s="2" t="str">
        <f>IFERROR(__xludf.DUMMYFUNCTION("""COMPUTED_VALUE"""),"")</f>
        <v/>
      </c>
      <c r="J2008" s="2">
        <f>IFERROR(__xludf.DUMMYFUNCTION("""COMPUTED_VALUE"""),0.0)</f>
        <v>0</v>
      </c>
      <c r="K2008" s="5" t="str">
        <f>IFERROR(__xludf.DUMMYFUNCTION("""COMPUTED_VALUE"""),"")</f>
        <v/>
      </c>
      <c r="L2008" t="str">
        <f>IFERROR(__xludf.DUMMYFUNCTION("""COMPUTED_VALUE"""),"")</f>
        <v/>
      </c>
      <c r="M2008" t="str">
        <f>IFERROR(__xludf.DUMMYFUNCTION("""COMPUTED_VALUE"""),"")</f>
        <v/>
      </c>
      <c r="N2008" t="str">
        <f>IFERROR(__xludf.DUMMYFUNCTION("""COMPUTED_VALUE"""),"")</f>
        <v/>
      </c>
      <c r="O2008" t="str">
        <f>IFERROR(__xludf.DUMMYFUNCTION("""COMPUTED_VALUE"""),"")</f>
        <v/>
      </c>
      <c r="P2008" t="str">
        <f>IFERROR(__xludf.DUMMYFUNCTION("""COMPUTED_VALUE"""),"ID ")</f>
        <v>ID </v>
      </c>
    </row>
    <row r="2009">
      <c r="A2009" s="6" t="str">
        <f>IFERROR(__xludf.DUMMYFUNCTION("""COMPUTED_VALUE"""),"")</f>
        <v/>
      </c>
      <c r="C2009" t="str">
        <f>IFERROR(__xludf.DUMMYFUNCTION("""COMPUTED_VALUE"""),"")</f>
        <v/>
      </c>
      <c r="D2009" t="str">
        <f>IFERROR(__xludf.DUMMYFUNCTION("""COMPUTED_VALUE"""),"")</f>
        <v/>
      </c>
      <c r="E2009" t="str">
        <f>IFERROR(__xludf.DUMMYFUNCTION("""COMPUTED_VALUE"""),"")</f>
        <v/>
      </c>
      <c r="F2009" t="str">
        <f>IFERROR(__xludf.DUMMYFUNCTION("""COMPUTED_VALUE"""),"")</f>
        <v/>
      </c>
      <c r="G2009" t="str">
        <f>IFERROR(__xludf.DUMMYFUNCTION("""COMPUTED_VALUE"""),"")</f>
        <v/>
      </c>
      <c r="H2009" s="2" t="str">
        <f>IFERROR(__xludf.DUMMYFUNCTION("""COMPUTED_VALUE"""),"")</f>
        <v/>
      </c>
      <c r="I2009" s="2" t="str">
        <f>IFERROR(__xludf.DUMMYFUNCTION("""COMPUTED_VALUE"""),"")</f>
        <v/>
      </c>
      <c r="J2009" s="2">
        <f>IFERROR(__xludf.DUMMYFUNCTION("""COMPUTED_VALUE"""),0.0)</f>
        <v>0</v>
      </c>
      <c r="K2009" s="5" t="str">
        <f>IFERROR(__xludf.DUMMYFUNCTION("""COMPUTED_VALUE"""),"")</f>
        <v/>
      </c>
      <c r="L2009" t="str">
        <f>IFERROR(__xludf.DUMMYFUNCTION("""COMPUTED_VALUE"""),"")</f>
        <v/>
      </c>
      <c r="M2009" t="str">
        <f>IFERROR(__xludf.DUMMYFUNCTION("""COMPUTED_VALUE"""),"")</f>
        <v/>
      </c>
      <c r="N2009" t="str">
        <f>IFERROR(__xludf.DUMMYFUNCTION("""COMPUTED_VALUE"""),"")</f>
        <v/>
      </c>
      <c r="O2009" t="str">
        <f>IFERROR(__xludf.DUMMYFUNCTION("""COMPUTED_VALUE"""),"")</f>
        <v/>
      </c>
      <c r="P2009" t="str">
        <f>IFERROR(__xludf.DUMMYFUNCTION("""COMPUTED_VALUE"""),"ID ")</f>
        <v>ID </v>
      </c>
    </row>
    <row r="2010">
      <c r="A2010" s="6" t="str">
        <f>IFERROR(__xludf.DUMMYFUNCTION("""COMPUTED_VALUE"""),"")</f>
        <v/>
      </c>
      <c r="C2010" t="str">
        <f>IFERROR(__xludf.DUMMYFUNCTION("""COMPUTED_VALUE"""),"")</f>
        <v/>
      </c>
      <c r="D2010" t="str">
        <f>IFERROR(__xludf.DUMMYFUNCTION("""COMPUTED_VALUE"""),"")</f>
        <v/>
      </c>
      <c r="E2010" t="str">
        <f>IFERROR(__xludf.DUMMYFUNCTION("""COMPUTED_VALUE"""),"")</f>
        <v/>
      </c>
      <c r="F2010" t="str">
        <f>IFERROR(__xludf.DUMMYFUNCTION("""COMPUTED_VALUE"""),"")</f>
        <v/>
      </c>
      <c r="G2010" t="str">
        <f>IFERROR(__xludf.DUMMYFUNCTION("""COMPUTED_VALUE"""),"")</f>
        <v/>
      </c>
      <c r="H2010" s="2" t="str">
        <f>IFERROR(__xludf.DUMMYFUNCTION("""COMPUTED_VALUE"""),"")</f>
        <v/>
      </c>
      <c r="I2010" s="2" t="str">
        <f>IFERROR(__xludf.DUMMYFUNCTION("""COMPUTED_VALUE"""),"")</f>
        <v/>
      </c>
      <c r="J2010" s="2">
        <f>IFERROR(__xludf.DUMMYFUNCTION("""COMPUTED_VALUE"""),0.0)</f>
        <v>0</v>
      </c>
      <c r="K2010" s="5" t="str">
        <f>IFERROR(__xludf.DUMMYFUNCTION("""COMPUTED_VALUE"""),"")</f>
        <v/>
      </c>
      <c r="L2010" t="str">
        <f>IFERROR(__xludf.DUMMYFUNCTION("""COMPUTED_VALUE"""),"")</f>
        <v/>
      </c>
      <c r="M2010" t="str">
        <f>IFERROR(__xludf.DUMMYFUNCTION("""COMPUTED_VALUE"""),"")</f>
        <v/>
      </c>
      <c r="N2010" t="str">
        <f>IFERROR(__xludf.DUMMYFUNCTION("""COMPUTED_VALUE"""),"")</f>
        <v/>
      </c>
      <c r="O2010" t="str">
        <f>IFERROR(__xludf.DUMMYFUNCTION("""COMPUTED_VALUE"""),"")</f>
        <v/>
      </c>
      <c r="P2010" t="str">
        <f>IFERROR(__xludf.DUMMYFUNCTION("""COMPUTED_VALUE"""),"ID ")</f>
        <v>ID </v>
      </c>
    </row>
    <row r="2011">
      <c r="A2011" s="6" t="str">
        <f>IFERROR(__xludf.DUMMYFUNCTION("""COMPUTED_VALUE"""),"")</f>
        <v/>
      </c>
      <c r="C2011" t="str">
        <f>IFERROR(__xludf.DUMMYFUNCTION("""COMPUTED_VALUE"""),"")</f>
        <v/>
      </c>
      <c r="D2011" t="str">
        <f>IFERROR(__xludf.DUMMYFUNCTION("""COMPUTED_VALUE"""),"")</f>
        <v/>
      </c>
      <c r="E2011" t="str">
        <f>IFERROR(__xludf.DUMMYFUNCTION("""COMPUTED_VALUE"""),"")</f>
        <v/>
      </c>
      <c r="F2011" t="str">
        <f>IFERROR(__xludf.DUMMYFUNCTION("""COMPUTED_VALUE"""),"")</f>
        <v/>
      </c>
      <c r="G2011" t="str">
        <f>IFERROR(__xludf.DUMMYFUNCTION("""COMPUTED_VALUE"""),"")</f>
        <v/>
      </c>
      <c r="H2011" s="2" t="str">
        <f>IFERROR(__xludf.DUMMYFUNCTION("""COMPUTED_VALUE"""),"")</f>
        <v/>
      </c>
      <c r="I2011" s="2" t="str">
        <f>IFERROR(__xludf.DUMMYFUNCTION("""COMPUTED_VALUE"""),"")</f>
        <v/>
      </c>
      <c r="J2011" s="2">
        <f>IFERROR(__xludf.DUMMYFUNCTION("""COMPUTED_VALUE"""),0.0)</f>
        <v>0</v>
      </c>
      <c r="K2011" s="5" t="str">
        <f>IFERROR(__xludf.DUMMYFUNCTION("""COMPUTED_VALUE"""),"")</f>
        <v/>
      </c>
      <c r="L2011" t="str">
        <f>IFERROR(__xludf.DUMMYFUNCTION("""COMPUTED_VALUE"""),"")</f>
        <v/>
      </c>
      <c r="M2011" t="str">
        <f>IFERROR(__xludf.DUMMYFUNCTION("""COMPUTED_VALUE"""),"")</f>
        <v/>
      </c>
      <c r="N2011" t="str">
        <f>IFERROR(__xludf.DUMMYFUNCTION("""COMPUTED_VALUE"""),"")</f>
        <v/>
      </c>
      <c r="O2011" t="str">
        <f>IFERROR(__xludf.DUMMYFUNCTION("""COMPUTED_VALUE"""),"")</f>
        <v/>
      </c>
      <c r="P2011" t="str">
        <f>IFERROR(__xludf.DUMMYFUNCTION("""COMPUTED_VALUE"""),"ID ")</f>
        <v>ID </v>
      </c>
    </row>
    <row r="2012">
      <c r="A2012" s="6" t="str">
        <f>IFERROR(__xludf.DUMMYFUNCTION("""COMPUTED_VALUE"""),"")</f>
        <v/>
      </c>
      <c r="C2012" t="str">
        <f>IFERROR(__xludf.DUMMYFUNCTION("""COMPUTED_VALUE"""),"")</f>
        <v/>
      </c>
      <c r="D2012" t="str">
        <f>IFERROR(__xludf.DUMMYFUNCTION("""COMPUTED_VALUE"""),"")</f>
        <v/>
      </c>
      <c r="E2012" t="str">
        <f>IFERROR(__xludf.DUMMYFUNCTION("""COMPUTED_VALUE"""),"")</f>
        <v/>
      </c>
      <c r="F2012" t="str">
        <f>IFERROR(__xludf.DUMMYFUNCTION("""COMPUTED_VALUE"""),"")</f>
        <v/>
      </c>
      <c r="G2012" t="str">
        <f>IFERROR(__xludf.DUMMYFUNCTION("""COMPUTED_VALUE"""),"")</f>
        <v/>
      </c>
      <c r="H2012" s="2" t="str">
        <f>IFERROR(__xludf.DUMMYFUNCTION("""COMPUTED_VALUE"""),"")</f>
        <v/>
      </c>
      <c r="I2012" s="2" t="str">
        <f>IFERROR(__xludf.DUMMYFUNCTION("""COMPUTED_VALUE"""),"")</f>
        <v/>
      </c>
      <c r="J2012" s="2">
        <f>IFERROR(__xludf.DUMMYFUNCTION("""COMPUTED_VALUE"""),0.0)</f>
        <v>0</v>
      </c>
      <c r="K2012" s="5" t="str">
        <f>IFERROR(__xludf.DUMMYFUNCTION("""COMPUTED_VALUE"""),"")</f>
        <v/>
      </c>
      <c r="L2012" t="str">
        <f>IFERROR(__xludf.DUMMYFUNCTION("""COMPUTED_VALUE"""),"")</f>
        <v/>
      </c>
      <c r="M2012" t="str">
        <f>IFERROR(__xludf.DUMMYFUNCTION("""COMPUTED_VALUE"""),"")</f>
        <v/>
      </c>
      <c r="N2012" t="str">
        <f>IFERROR(__xludf.DUMMYFUNCTION("""COMPUTED_VALUE"""),"")</f>
        <v/>
      </c>
      <c r="O2012" t="str">
        <f>IFERROR(__xludf.DUMMYFUNCTION("""COMPUTED_VALUE"""),"")</f>
        <v/>
      </c>
      <c r="P2012" t="str">
        <f>IFERROR(__xludf.DUMMYFUNCTION("""COMPUTED_VALUE"""),"ID ")</f>
        <v>ID </v>
      </c>
    </row>
    <row r="2013">
      <c r="A2013" s="6" t="str">
        <f>IFERROR(__xludf.DUMMYFUNCTION("""COMPUTED_VALUE"""),"")</f>
        <v/>
      </c>
      <c r="C2013" t="str">
        <f>IFERROR(__xludf.DUMMYFUNCTION("""COMPUTED_VALUE"""),"")</f>
        <v/>
      </c>
      <c r="D2013" t="str">
        <f>IFERROR(__xludf.DUMMYFUNCTION("""COMPUTED_VALUE"""),"")</f>
        <v/>
      </c>
      <c r="E2013" t="str">
        <f>IFERROR(__xludf.DUMMYFUNCTION("""COMPUTED_VALUE"""),"")</f>
        <v/>
      </c>
      <c r="F2013" t="str">
        <f>IFERROR(__xludf.DUMMYFUNCTION("""COMPUTED_VALUE"""),"")</f>
        <v/>
      </c>
      <c r="G2013" t="str">
        <f>IFERROR(__xludf.DUMMYFUNCTION("""COMPUTED_VALUE"""),"")</f>
        <v/>
      </c>
      <c r="H2013" s="2" t="str">
        <f>IFERROR(__xludf.DUMMYFUNCTION("""COMPUTED_VALUE"""),"")</f>
        <v/>
      </c>
      <c r="I2013" s="2" t="str">
        <f>IFERROR(__xludf.DUMMYFUNCTION("""COMPUTED_VALUE"""),"")</f>
        <v/>
      </c>
      <c r="J2013" s="2">
        <f>IFERROR(__xludf.DUMMYFUNCTION("""COMPUTED_VALUE"""),0.0)</f>
        <v>0</v>
      </c>
      <c r="K2013" s="5" t="str">
        <f>IFERROR(__xludf.DUMMYFUNCTION("""COMPUTED_VALUE"""),"")</f>
        <v/>
      </c>
      <c r="L2013" t="str">
        <f>IFERROR(__xludf.DUMMYFUNCTION("""COMPUTED_VALUE"""),"")</f>
        <v/>
      </c>
      <c r="M2013" t="str">
        <f>IFERROR(__xludf.DUMMYFUNCTION("""COMPUTED_VALUE"""),"")</f>
        <v/>
      </c>
      <c r="N2013" t="str">
        <f>IFERROR(__xludf.DUMMYFUNCTION("""COMPUTED_VALUE"""),"")</f>
        <v/>
      </c>
      <c r="O2013" t="str">
        <f>IFERROR(__xludf.DUMMYFUNCTION("""COMPUTED_VALUE"""),"")</f>
        <v/>
      </c>
      <c r="P2013" t="str">
        <f>IFERROR(__xludf.DUMMYFUNCTION("""COMPUTED_VALUE"""),"ID ")</f>
        <v>ID </v>
      </c>
    </row>
    <row r="2014">
      <c r="A2014" s="6" t="str">
        <f>IFERROR(__xludf.DUMMYFUNCTION("""COMPUTED_VALUE"""),"")</f>
        <v/>
      </c>
      <c r="C2014" t="str">
        <f>IFERROR(__xludf.DUMMYFUNCTION("""COMPUTED_VALUE"""),"")</f>
        <v/>
      </c>
      <c r="D2014" t="str">
        <f>IFERROR(__xludf.DUMMYFUNCTION("""COMPUTED_VALUE"""),"")</f>
        <v/>
      </c>
      <c r="E2014" t="str">
        <f>IFERROR(__xludf.DUMMYFUNCTION("""COMPUTED_VALUE"""),"")</f>
        <v/>
      </c>
      <c r="F2014" t="str">
        <f>IFERROR(__xludf.DUMMYFUNCTION("""COMPUTED_VALUE"""),"")</f>
        <v/>
      </c>
      <c r="G2014" t="str">
        <f>IFERROR(__xludf.DUMMYFUNCTION("""COMPUTED_VALUE"""),"")</f>
        <v/>
      </c>
      <c r="H2014" s="2" t="str">
        <f>IFERROR(__xludf.DUMMYFUNCTION("""COMPUTED_VALUE"""),"")</f>
        <v/>
      </c>
      <c r="I2014" s="2" t="str">
        <f>IFERROR(__xludf.DUMMYFUNCTION("""COMPUTED_VALUE"""),"")</f>
        <v/>
      </c>
      <c r="J2014" s="2">
        <f>IFERROR(__xludf.DUMMYFUNCTION("""COMPUTED_VALUE"""),0.0)</f>
        <v>0</v>
      </c>
      <c r="K2014" s="5" t="str">
        <f>IFERROR(__xludf.DUMMYFUNCTION("""COMPUTED_VALUE"""),"")</f>
        <v/>
      </c>
      <c r="L2014" t="str">
        <f>IFERROR(__xludf.DUMMYFUNCTION("""COMPUTED_VALUE"""),"")</f>
        <v/>
      </c>
      <c r="M2014" t="str">
        <f>IFERROR(__xludf.DUMMYFUNCTION("""COMPUTED_VALUE"""),"")</f>
        <v/>
      </c>
      <c r="N2014" t="str">
        <f>IFERROR(__xludf.DUMMYFUNCTION("""COMPUTED_VALUE"""),"")</f>
        <v/>
      </c>
      <c r="O2014" t="str">
        <f>IFERROR(__xludf.DUMMYFUNCTION("""COMPUTED_VALUE"""),"")</f>
        <v/>
      </c>
      <c r="P2014" t="str">
        <f>IFERROR(__xludf.DUMMYFUNCTION("""COMPUTED_VALUE"""),"ID ")</f>
        <v>ID </v>
      </c>
    </row>
    <row r="2015">
      <c r="A2015" s="6" t="str">
        <f>IFERROR(__xludf.DUMMYFUNCTION("""COMPUTED_VALUE"""),"")</f>
        <v/>
      </c>
      <c r="C2015" t="str">
        <f>IFERROR(__xludf.DUMMYFUNCTION("""COMPUTED_VALUE"""),"")</f>
        <v/>
      </c>
      <c r="D2015" t="str">
        <f>IFERROR(__xludf.DUMMYFUNCTION("""COMPUTED_VALUE"""),"")</f>
        <v/>
      </c>
      <c r="E2015" t="str">
        <f>IFERROR(__xludf.DUMMYFUNCTION("""COMPUTED_VALUE"""),"")</f>
        <v/>
      </c>
      <c r="F2015" t="str">
        <f>IFERROR(__xludf.DUMMYFUNCTION("""COMPUTED_VALUE"""),"")</f>
        <v/>
      </c>
      <c r="G2015" t="str">
        <f>IFERROR(__xludf.DUMMYFUNCTION("""COMPUTED_VALUE"""),"")</f>
        <v/>
      </c>
      <c r="H2015" s="2" t="str">
        <f>IFERROR(__xludf.DUMMYFUNCTION("""COMPUTED_VALUE"""),"")</f>
        <v/>
      </c>
      <c r="I2015" s="2" t="str">
        <f>IFERROR(__xludf.DUMMYFUNCTION("""COMPUTED_VALUE"""),"")</f>
        <v/>
      </c>
      <c r="J2015" s="2">
        <f>IFERROR(__xludf.DUMMYFUNCTION("""COMPUTED_VALUE"""),0.0)</f>
        <v>0</v>
      </c>
      <c r="K2015" s="5" t="str">
        <f>IFERROR(__xludf.DUMMYFUNCTION("""COMPUTED_VALUE"""),"")</f>
        <v/>
      </c>
      <c r="L2015" t="str">
        <f>IFERROR(__xludf.DUMMYFUNCTION("""COMPUTED_VALUE"""),"")</f>
        <v/>
      </c>
      <c r="M2015" t="str">
        <f>IFERROR(__xludf.DUMMYFUNCTION("""COMPUTED_VALUE"""),"")</f>
        <v/>
      </c>
      <c r="N2015" t="str">
        <f>IFERROR(__xludf.DUMMYFUNCTION("""COMPUTED_VALUE"""),"")</f>
        <v/>
      </c>
      <c r="O2015" t="str">
        <f>IFERROR(__xludf.DUMMYFUNCTION("""COMPUTED_VALUE"""),"")</f>
        <v/>
      </c>
      <c r="P2015" t="str">
        <f>IFERROR(__xludf.DUMMYFUNCTION("""COMPUTED_VALUE"""),"ID ")</f>
        <v>ID </v>
      </c>
    </row>
    <row r="2016">
      <c r="A2016" s="6" t="str">
        <f>IFERROR(__xludf.DUMMYFUNCTION("""COMPUTED_VALUE"""),"")</f>
        <v/>
      </c>
      <c r="C2016" t="str">
        <f>IFERROR(__xludf.DUMMYFUNCTION("""COMPUTED_VALUE"""),"")</f>
        <v/>
      </c>
      <c r="D2016" t="str">
        <f>IFERROR(__xludf.DUMMYFUNCTION("""COMPUTED_VALUE"""),"")</f>
        <v/>
      </c>
      <c r="E2016" t="str">
        <f>IFERROR(__xludf.DUMMYFUNCTION("""COMPUTED_VALUE"""),"")</f>
        <v/>
      </c>
      <c r="F2016" t="str">
        <f>IFERROR(__xludf.DUMMYFUNCTION("""COMPUTED_VALUE"""),"")</f>
        <v/>
      </c>
      <c r="G2016" t="str">
        <f>IFERROR(__xludf.DUMMYFUNCTION("""COMPUTED_VALUE"""),"")</f>
        <v/>
      </c>
      <c r="H2016" s="2" t="str">
        <f>IFERROR(__xludf.DUMMYFUNCTION("""COMPUTED_VALUE"""),"")</f>
        <v/>
      </c>
      <c r="I2016" s="2" t="str">
        <f>IFERROR(__xludf.DUMMYFUNCTION("""COMPUTED_VALUE"""),"")</f>
        <v/>
      </c>
      <c r="J2016" s="2">
        <f>IFERROR(__xludf.DUMMYFUNCTION("""COMPUTED_VALUE"""),0.0)</f>
        <v>0</v>
      </c>
      <c r="K2016" s="5" t="str">
        <f>IFERROR(__xludf.DUMMYFUNCTION("""COMPUTED_VALUE"""),"")</f>
        <v/>
      </c>
      <c r="L2016" t="str">
        <f>IFERROR(__xludf.DUMMYFUNCTION("""COMPUTED_VALUE"""),"")</f>
        <v/>
      </c>
      <c r="M2016" t="str">
        <f>IFERROR(__xludf.DUMMYFUNCTION("""COMPUTED_VALUE"""),"")</f>
        <v/>
      </c>
      <c r="N2016" t="str">
        <f>IFERROR(__xludf.DUMMYFUNCTION("""COMPUTED_VALUE"""),"")</f>
        <v/>
      </c>
      <c r="O2016" t="str">
        <f>IFERROR(__xludf.DUMMYFUNCTION("""COMPUTED_VALUE"""),"")</f>
        <v/>
      </c>
      <c r="P2016" t="str">
        <f>IFERROR(__xludf.DUMMYFUNCTION("""COMPUTED_VALUE"""),"ID ")</f>
        <v>ID </v>
      </c>
    </row>
    <row r="2017">
      <c r="A2017" s="6" t="str">
        <f>IFERROR(__xludf.DUMMYFUNCTION("""COMPUTED_VALUE"""),"")</f>
        <v/>
      </c>
      <c r="C2017" t="str">
        <f>IFERROR(__xludf.DUMMYFUNCTION("""COMPUTED_VALUE"""),"")</f>
        <v/>
      </c>
      <c r="D2017" t="str">
        <f>IFERROR(__xludf.DUMMYFUNCTION("""COMPUTED_VALUE"""),"")</f>
        <v/>
      </c>
      <c r="E2017" t="str">
        <f>IFERROR(__xludf.DUMMYFUNCTION("""COMPUTED_VALUE"""),"")</f>
        <v/>
      </c>
      <c r="F2017" t="str">
        <f>IFERROR(__xludf.DUMMYFUNCTION("""COMPUTED_VALUE"""),"")</f>
        <v/>
      </c>
      <c r="G2017" t="str">
        <f>IFERROR(__xludf.DUMMYFUNCTION("""COMPUTED_VALUE"""),"")</f>
        <v/>
      </c>
      <c r="H2017" s="2" t="str">
        <f>IFERROR(__xludf.DUMMYFUNCTION("""COMPUTED_VALUE"""),"")</f>
        <v/>
      </c>
      <c r="I2017" s="2" t="str">
        <f>IFERROR(__xludf.DUMMYFUNCTION("""COMPUTED_VALUE"""),"")</f>
        <v/>
      </c>
      <c r="J2017" s="2">
        <f>IFERROR(__xludf.DUMMYFUNCTION("""COMPUTED_VALUE"""),0.0)</f>
        <v>0</v>
      </c>
      <c r="K2017" s="5" t="str">
        <f>IFERROR(__xludf.DUMMYFUNCTION("""COMPUTED_VALUE"""),"")</f>
        <v/>
      </c>
      <c r="L2017" t="str">
        <f>IFERROR(__xludf.DUMMYFUNCTION("""COMPUTED_VALUE"""),"")</f>
        <v/>
      </c>
      <c r="M2017" t="str">
        <f>IFERROR(__xludf.DUMMYFUNCTION("""COMPUTED_VALUE"""),"")</f>
        <v/>
      </c>
      <c r="N2017" t="str">
        <f>IFERROR(__xludf.DUMMYFUNCTION("""COMPUTED_VALUE"""),"")</f>
        <v/>
      </c>
      <c r="O2017" t="str">
        <f>IFERROR(__xludf.DUMMYFUNCTION("""COMPUTED_VALUE"""),"")</f>
        <v/>
      </c>
      <c r="P2017" t="str">
        <f>IFERROR(__xludf.DUMMYFUNCTION("""COMPUTED_VALUE"""),"ID ")</f>
        <v>ID </v>
      </c>
    </row>
    <row r="2018">
      <c r="A2018" s="6" t="str">
        <f>IFERROR(__xludf.DUMMYFUNCTION("""COMPUTED_VALUE"""),"")</f>
        <v/>
      </c>
      <c r="C2018" t="str">
        <f>IFERROR(__xludf.DUMMYFUNCTION("""COMPUTED_VALUE"""),"")</f>
        <v/>
      </c>
      <c r="D2018" t="str">
        <f>IFERROR(__xludf.DUMMYFUNCTION("""COMPUTED_VALUE"""),"")</f>
        <v/>
      </c>
      <c r="E2018" t="str">
        <f>IFERROR(__xludf.DUMMYFUNCTION("""COMPUTED_VALUE"""),"")</f>
        <v/>
      </c>
      <c r="F2018" t="str">
        <f>IFERROR(__xludf.DUMMYFUNCTION("""COMPUTED_VALUE"""),"")</f>
        <v/>
      </c>
      <c r="G2018" t="str">
        <f>IFERROR(__xludf.DUMMYFUNCTION("""COMPUTED_VALUE"""),"")</f>
        <v/>
      </c>
      <c r="H2018" s="2" t="str">
        <f>IFERROR(__xludf.DUMMYFUNCTION("""COMPUTED_VALUE"""),"")</f>
        <v/>
      </c>
      <c r="I2018" s="2" t="str">
        <f>IFERROR(__xludf.DUMMYFUNCTION("""COMPUTED_VALUE"""),"")</f>
        <v/>
      </c>
      <c r="J2018" s="2">
        <f>IFERROR(__xludf.DUMMYFUNCTION("""COMPUTED_VALUE"""),0.0)</f>
        <v>0</v>
      </c>
      <c r="K2018" s="5" t="str">
        <f>IFERROR(__xludf.DUMMYFUNCTION("""COMPUTED_VALUE"""),"")</f>
        <v/>
      </c>
      <c r="L2018" t="str">
        <f>IFERROR(__xludf.DUMMYFUNCTION("""COMPUTED_VALUE"""),"")</f>
        <v/>
      </c>
      <c r="M2018" t="str">
        <f>IFERROR(__xludf.DUMMYFUNCTION("""COMPUTED_VALUE"""),"")</f>
        <v/>
      </c>
      <c r="N2018" t="str">
        <f>IFERROR(__xludf.DUMMYFUNCTION("""COMPUTED_VALUE"""),"")</f>
        <v/>
      </c>
      <c r="O2018" t="str">
        <f>IFERROR(__xludf.DUMMYFUNCTION("""COMPUTED_VALUE"""),"")</f>
        <v/>
      </c>
      <c r="P2018" t="str">
        <f>IFERROR(__xludf.DUMMYFUNCTION("""COMPUTED_VALUE"""),"ID ")</f>
        <v>ID </v>
      </c>
    </row>
    <row r="2019">
      <c r="A2019" s="6" t="str">
        <f>IFERROR(__xludf.DUMMYFUNCTION("""COMPUTED_VALUE"""),"")</f>
        <v/>
      </c>
      <c r="C2019" t="str">
        <f>IFERROR(__xludf.DUMMYFUNCTION("""COMPUTED_VALUE"""),"")</f>
        <v/>
      </c>
      <c r="D2019" t="str">
        <f>IFERROR(__xludf.DUMMYFUNCTION("""COMPUTED_VALUE"""),"")</f>
        <v/>
      </c>
      <c r="E2019" t="str">
        <f>IFERROR(__xludf.DUMMYFUNCTION("""COMPUTED_VALUE"""),"")</f>
        <v/>
      </c>
      <c r="F2019" t="str">
        <f>IFERROR(__xludf.DUMMYFUNCTION("""COMPUTED_VALUE"""),"")</f>
        <v/>
      </c>
      <c r="G2019" t="str">
        <f>IFERROR(__xludf.DUMMYFUNCTION("""COMPUTED_VALUE"""),"")</f>
        <v/>
      </c>
      <c r="H2019" s="2" t="str">
        <f>IFERROR(__xludf.DUMMYFUNCTION("""COMPUTED_VALUE"""),"")</f>
        <v/>
      </c>
      <c r="I2019" s="2" t="str">
        <f>IFERROR(__xludf.DUMMYFUNCTION("""COMPUTED_VALUE"""),"")</f>
        <v/>
      </c>
      <c r="J2019" s="2">
        <f>IFERROR(__xludf.DUMMYFUNCTION("""COMPUTED_VALUE"""),0.0)</f>
        <v>0</v>
      </c>
      <c r="K2019" s="5" t="str">
        <f>IFERROR(__xludf.DUMMYFUNCTION("""COMPUTED_VALUE"""),"")</f>
        <v/>
      </c>
      <c r="L2019" t="str">
        <f>IFERROR(__xludf.DUMMYFUNCTION("""COMPUTED_VALUE"""),"")</f>
        <v/>
      </c>
      <c r="M2019" t="str">
        <f>IFERROR(__xludf.DUMMYFUNCTION("""COMPUTED_VALUE"""),"")</f>
        <v/>
      </c>
      <c r="N2019" t="str">
        <f>IFERROR(__xludf.DUMMYFUNCTION("""COMPUTED_VALUE"""),"")</f>
        <v/>
      </c>
      <c r="O2019" t="str">
        <f>IFERROR(__xludf.DUMMYFUNCTION("""COMPUTED_VALUE"""),"")</f>
        <v/>
      </c>
      <c r="P2019" t="str">
        <f>IFERROR(__xludf.DUMMYFUNCTION("""COMPUTED_VALUE"""),"ID ")</f>
        <v>ID </v>
      </c>
    </row>
    <row r="2020">
      <c r="A2020" s="6" t="str">
        <f>IFERROR(__xludf.DUMMYFUNCTION("""COMPUTED_VALUE"""),"")</f>
        <v/>
      </c>
      <c r="C2020" t="str">
        <f>IFERROR(__xludf.DUMMYFUNCTION("""COMPUTED_VALUE"""),"")</f>
        <v/>
      </c>
      <c r="D2020" t="str">
        <f>IFERROR(__xludf.DUMMYFUNCTION("""COMPUTED_VALUE"""),"")</f>
        <v/>
      </c>
      <c r="E2020" t="str">
        <f>IFERROR(__xludf.DUMMYFUNCTION("""COMPUTED_VALUE"""),"")</f>
        <v/>
      </c>
      <c r="F2020" t="str">
        <f>IFERROR(__xludf.DUMMYFUNCTION("""COMPUTED_VALUE"""),"")</f>
        <v/>
      </c>
      <c r="G2020" t="str">
        <f>IFERROR(__xludf.DUMMYFUNCTION("""COMPUTED_VALUE"""),"")</f>
        <v/>
      </c>
      <c r="H2020" s="2" t="str">
        <f>IFERROR(__xludf.DUMMYFUNCTION("""COMPUTED_VALUE"""),"")</f>
        <v/>
      </c>
      <c r="I2020" s="2" t="str">
        <f>IFERROR(__xludf.DUMMYFUNCTION("""COMPUTED_VALUE"""),"")</f>
        <v/>
      </c>
      <c r="J2020" s="2">
        <f>IFERROR(__xludf.DUMMYFUNCTION("""COMPUTED_VALUE"""),0.0)</f>
        <v>0</v>
      </c>
      <c r="K2020" s="5" t="str">
        <f>IFERROR(__xludf.DUMMYFUNCTION("""COMPUTED_VALUE"""),"")</f>
        <v/>
      </c>
      <c r="L2020" t="str">
        <f>IFERROR(__xludf.DUMMYFUNCTION("""COMPUTED_VALUE"""),"")</f>
        <v/>
      </c>
      <c r="M2020" t="str">
        <f>IFERROR(__xludf.DUMMYFUNCTION("""COMPUTED_VALUE"""),"")</f>
        <v/>
      </c>
      <c r="N2020" t="str">
        <f>IFERROR(__xludf.DUMMYFUNCTION("""COMPUTED_VALUE"""),"")</f>
        <v/>
      </c>
      <c r="O2020" t="str">
        <f>IFERROR(__xludf.DUMMYFUNCTION("""COMPUTED_VALUE"""),"")</f>
        <v/>
      </c>
      <c r="P2020" t="str">
        <f>IFERROR(__xludf.DUMMYFUNCTION("""COMPUTED_VALUE"""),"ID ")</f>
        <v>ID </v>
      </c>
    </row>
    <row r="2021">
      <c r="A2021" s="6" t="str">
        <f>IFERROR(__xludf.DUMMYFUNCTION("""COMPUTED_VALUE"""),"")</f>
        <v/>
      </c>
      <c r="C2021" t="str">
        <f>IFERROR(__xludf.DUMMYFUNCTION("""COMPUTED_VALUE"""),"")</f>
        <v/>
      </c>
      <c r="D2021" t="str">
        <f>IFERROR(__xludf.DUMMYFUNCTION("""COMPUTED_VALUE"""),"")</f>
        <v/>
      </c>
      <c r="E2021" t="str">
        <f>IFERROR(__xludf.DUMMYFUNCTION("""COMPUTED_VALUE"""),"")</f>
        <v/>
      </c>
      <c r="F2021" t="str">
        <f>IFERROR(__xludf.DUMMYFUNCTION("""COMPUTED_VALUE"""),"")</f>
        <v/>
      </c>
      <c r="G2021" t="str">
        <f>IFERROR(__xludf.DUMMYFUNCTION("""COMPUTED_VALUE"""),"")</f>
        <v/>
      </c>
      <c r="H2021" s="2" t="str">
        <f>IFERROR(__xludf.DUMMYFUNCTION("""COMPUTED_VALUE"""),"")</f>
        <v/>
      </c>
      <c r="I2021" s="2" t="str">
        <f>IFERROR(__xludf.DUMMYFUNCTION("""COMPUTED_VALUE"""),"")</f>
        <v/>
      </c>
      <c r="J2021" s="2">
        <f>IFERROR(__xludf.DUMMYFUNCTION("""COMPUTED_VALUE"""),0.0)</f>
        <v>0</v>
      </c>
      <c r="K2021" s="5" t="str">
        <f>IFERROR(__xludf.DUMMYFUNCTION("""COMPUTED_VALUE"""),"")</f>
        <v/>
      </c>
      <c r="L2021" t="str">
        <f>IFERROR(__xludf.DUMMYFUNCTION("""COMPUTED_VALUE"""),"")</f>
        <v/>
      </c>
      <c r="M2021" t="str">
        <f>IFERROR(__xludf.DUMMYFUNCTION("""COMPUTED_VALUE"""),"")</f>
        <v/>
      </c>
      <c r="N2021" t="str">
        <f>IFERROR(__xludf.DUMMYFUNCTION("""COMPUTED_VALUE"""),"")</f>
        <v/>
      </c>
      <c r="O2021" t="str">
        <f>IFERROR(__xludf.DUMMYFUNCTION("""COMPUTED_VALUE"""),"")</f>
        <v/>
      </c>
      <c r="P2021" t="str">
        <f>IFERROR(__xludf.DUMMYFUNCTION("""COMPUTED_VALUE"""),"ID ")</f>
        <v>ID </v>
      </c>
    </row>
    <row r="2022">
      <c r="A2022" s="6" t="str">
        <f>IFERROR(__xludf.DUMMYFUNCTION("""COMPUTED_VALUE"""),"")</f>
        <v/>
      </c>
      <c r="C2022" t="str">
        <f>IFERROR(__xludf.DUMMYFUNCTION("""COMPUTED_VALUE"""),"")</f>
        <v/>
      </c>
      <c r="D2022" t="str">
        <f>IFERROR(__xludf.DUMMYFUNCTION("""COMPUTED_VALUE"""),"")</f>
        <v/>
      </c>
      <c r="E2022" t="str">
        <f>IFERROR(__xludf.DUMMYFUNCTION("""COMPUTED_VALUE"""),"")</f>
        <v/>
      </c>
      <c r="F2022" t="str">
        <f>IFERROR(__xludf.DUMMYFUNCTION("""COMPUTED_VALUE"""),"")</f>
        <v/>
      </c>
      <c r="G2022" t="str">
        <f>IFERROR(__xludf.DUMMYFUNCTION("""COMPUTED_VALUE"""),"")</f>
        <v/>
      </c>
      <c r="H2022" s="2" t="str">
        <f>IFERROR(__xludf.DUMMYFUNCTION("""COMPUTED_VALUE"""),"")</f>
        <v/>
      </c>
      <c r="I2022" s="2" t="str">
        <f>IFERROR(__xludf.DUMMYFUNCTION("""COMPUTED_VALUE"""),"")</f>
        <v/>
      </c>
      <c r="J2022" s="2">
        <f>IFERROR(__xludf.DUMMYFUNCTION("""COMPUTED_VALUE"""),0.0)</f>
        <v>0</v>
      </c>
      <c r="K2022" s="5" t="str">
        <f>IFERROR(__xludf.DUMMYFUNCTION("""COMPUTED_VALUE"""),"")</f>
        <v/>
      </c>
      <c r="L2022" t="str">
        <f>IFERROR(__xludf.DUMMYFUNCTION("""COMPUTED_VALUE"""),"")</f>
        <v/>
      </c>
      <c r="M2022" t="str">
        <f>IFERROR(__xludf.DUMMYFUNCTION("""COMPUTED_VALUE"""),"")</f>
        <v/>
      </c>
      <c r="N2022" t="str">
        <f>IFERROR(__xludf.DUMMYFUNCTION("""COMPUTED_VALUE"""),"")</f>
        <v/>
      </c>
      <c r="O2022" t="str">
        <f>IFERROR(__xludf.DUMMYFUNCTION("""COMPUTED_VALUE"""),"")</f>
        <v/>
      </c>
      <c r="P2022" t="str">
        <f>IFERROR(__xludf.DUMMYFUNCTION("""COMPUTED_VALUE"""),"ID ")</f>
        <v>ID </v>
      </c>
    </row>
    <row r="2023">
      <c r="A2023" s="6" t="str">
        <f>IFERROR(__xludf.DUMMYFUNCTION("""COMPUTED_VALUE"""),"")</f>
        <v/>
      </c>
      <c r="C2023" t="str">
        <f>IFERROR(__xludf.DUMMYFUNCTION("""COMPUTED_VALUE"""),"")</f>
        <v/>
      </c>
      <c r="D2023" t="str">
        <f>IFERROR(__xludf.DUMMYFUNCTION("""COMPUTED_VALUE"""),"")</f>
        <v/>
      </c>
      <c r="E2023" t="str">
        <f>IFERROR(__xludf.DUMMYFUNCTION("""COMPUTED_VALUE"""),"")</f>
        <v/>
      </c>
      <c r="F2023" t="str">
        <f>IFERROR(__xludf.DUMMYFUNCTION("""COMPUTED_VALUE"""),"")</f>
        <v/>
      </c>
      <c r="G2023" t="str">
        <f>IFERROR(__xludf.DUMMYFUNCTION("""COMPUTED_VALUE"""),"")</f>
        <v/>
      </c>
      <c r="H2023" s="2" t="str">
        <f>IFERROR(__xludf.DUMMYFUNCTION("""COMPUTED_VALUE"""),"")</f>
        <v/>
      </c>
      <c r="I2023" s="2" t="str">
        <f>IFERROR(__xludf.DUMMYFUNCTION("""COMPUTED_VALUE"""),"")</f>
        <v/>
      </c>
      <c r="J2023" s="2">
        <f>IFERROR(__xludf.DUMMYFUNCTION("""COMPUTED_VALUE"""),0.0)</f>
        <v>0</v>
      </c>
      <c r="K2023" s="5" t="str">
        <f>IFERROR(__xludf.DUMMYFUNCTION("""COMPUTED_VALUE"""),"")</f>
        <v/>
      </c>
      <c r="L2023" t="str">
        <f>IFERROR(__xludf.DUMMYFUNCTION("""COMPUTED_VALUE"""),"")</f>
        <v/>
      </c>
      <c r="M2023" t="str">
        <f>IFERROR(__xludf.DUMMYFUNCTION("""COMPUTED_VALUE"""),"")</f>
        <v/>
      </c>
      <c r="N2023" t="str">
        <f>IFERROR(__xludf.DUMMYFUNCTION("""COMPUTED_VALUE"""),"")</f>
        <v/>
      </c>
      <c r="O2023" t="str">
        <f>IFERROR(__xludf.DUMMYFUNCTION("""COMPUTED_VALUE"""),"")</f>
        <v/>
      </c>
      <c r="P2023" t="str">
        <f>IFERROR(__xludf.DUMMYFUNCTION("""COMPUTED_VALUE"""),"ID ")</f>
        <v>ID </v>
      </c>
    </row>
    <row r="2024">
      <c r="A2024" s="6" t="str">
        <f>IFERROR(__xludf.DUMMYFUNCTION("""COMPUTED_VALUE"""),"")</f>
        <v/>
      </c>
      <c r="C2024" t="str">
        <f>IFERROR(__xludf.DUMMYFUNCTION("""COMPUTED_VALUE"""),"")</f>
        <v/>
      </c>
      <c r="D2024" t="str">
        <f>IFERROR(__xludf.DUMMYFUNCTION("""COMPUTED_VALUE"""),"")</f>
        <v/>
      </c>
      <c r="E2024" t="str">
        <f>IFERROR(__xludf.DUMMYFUNCTION("""COMPUTED_VALUE"""),"")</f>
        <v/>
      </c>
      <c r="F2024" t="str">
        <f>IFERROR(__xludf.DUMMYFUNCTION("""COMPUTED_VALUE"""),"")</f>
        <v/>
      </c>
      <c r="G2024" t="str">
        <f>IFERROR(__xludf.DUMMYFUNCTION("""COMPUTED_VALUE"""),"")</f>
        <v/>
      </c>
      <c r="H2024" s="2" t="str">
        <f>IFERROR(__xludf.DUMMYFUNCTION("""COMPUTED_VALUE"""),"")</f>
        <v/>
      </c>
      <c r="I2024" s="2" t="str">
        <f>IFERROR(__xludf.DUMMYFUNCTION("""COMPUTED_VALUE"""),"")</f>
        <v/>
      </c>
      <c r="J2024" s="2">
        <f>IFERROR(__xludf.DUMMYFUNCTION("""COMPUTED_VALUE"""),0.0)</f>
        <v>0</v>
      </c>
      <c r="K2024" s="5" t="str">
        <f>IFERROR(__xludf.DUMMYFUNCTION("""COMPUTED_VALUE"""),"")</f>
        <v/>
      </c>
      <c r="L2024" t="str">
        <f>IFERROR(__xludf.DUMMYFUNCTION("""COMPUTED_VALUE"""),"")</f>
        <v/>
      </c>
      <c r="M2024" t="str">
        <f>IFERROR(__xludf.DUMMYFUNCTION("""COMPUTED_VALUE"""),"")</f>
        <v/>
      </c>
      <c r="N2024" t="str">
        <f>IFERROR(__xludf.DUMMYFUNCTION("""COMPUTED_VALUE"""),"")</f>
        <v/>
      </c>
      <c r="O2024" t="str">
        <f>IFERROR(__xludf.DUMMYFUNCTION("""COMPUTED_VALUE"""),"")</f>
        <v/>
      </c>
      <c r="P2024" t="str">
        <f>IFERROR(__xludf.DUMMYFUNCTION("""COMPUTED_VALUE"""),"ID ")</f>
        <v>ID </v>
      </c>
    </row>
    <row r="2025">
      <c r="A2025" s="6" t="str">
        <f>IFERROR(__xludf.DUMMYFUNCTION("""COMPUTED_VALUE"""),"")</f>
        <v/>
      </c>
      <c r="C2025" t="str">
        <f>IFERROR(__xludf.DUMMYFUNCTION("""COMPUTED_VALUE"""),"")</f>
        <v/>
      </c>
      <c r="D2025" t="str">
        <f>IFERROR(__xludf.DUMMYFUNCTION("""COMPUTED_VALUE"""),"")</f>
        <v/>
      </c>
      <c r="E2025" t="str">
        <f>IFERROR(__xludf.DUMMYFUNCTION("""COMPUTED_VALUE"""),"")</f>
        <v/>
      </c>
      <c r="F2025" t="str">
        <f>IFERROR(__xludf.DUMMYFUNCTION("""COMPUTED_VALUE"""),"")</f>
        <v/>
      </c>
      <c r="G2025" t="str">
        <f>IFERROR(__xludf.DUMMYFUNCTION("""COMPUTED_VALUE"""),"")</f>
        <v/>
      </c>
      <c r="H2025" s="2" t="str">
        <f>IFERROR(__xludf.DUMMYFUNCTION("""COMPUTED_VALUE"""),"")</f>
        <v/>
      </c>
      <c r="I2025" s="2" t="str">
        <f>IFERROR(__xludf.DUMMYFUNCTION("""COMPUTED_VALUE"""),"")</f>
        <v/>
      </c>
      <c r="J2025" s="2">
        <f>IFERROR(__xludf.DUMMYFUNCTION("""COMPUTED_VALUE"""),0.0)</f>
        <v>0</v>
      </c>
      <c r="K2025" s="5" t="str">
        <f>IFERROR(__xludf.DUMMYFUNCTION("""COMPUTED_VALUE"""),"")</f>
        <v/>
      </c>
      <c r="L2025" t="str">
        <f>IFERROR(__xludf.DUMMYFUNCTION("""COMPUTED_VALUE"""),"")</f>
        <v/>
      </c>
      <c r="M2025" t="str">
        <f>IFERROR(__xludf.DUMMYFUNCTION("""COMPUTED_VALUE"""),"")</f>
        <v/>
      </c>
      <c r="N2025" t="str">
        <f>IFERROR(__xludf.DUMMYFUNCTION("""COMPUTED_VALUE"""),"")</f>
        <v/>
      </c>
      <c r="O2025" t="str">
        <f>IFERROR(__xludf.DUMMYFUNCTION("""COMPUTED_VALUE"""),"")</f>
        <v/>
      </c>
      <c r="P2025" t="str">
        <f>IFERROR(__xludf.DUMMYFUNCTION("""COMPUTED_VALUE"""),"ID ")</f>
        <v>ID </v>
      </c>
    </row>
    <row r="2026">
      <c r="A2026" s="6" t="str">
        <f>IFERROR(__xludf.DUMMYFUNCTION("""COMPUTED_VALUE"""),"")</f>
        <v/>
      </c>
      <c r="C2026" t="str">
        <f>IFERROR(__xludf.DUMMYFUNCTION("""COMPUTED_VALUE"""),"")</f>
        <v/>
      </c>
      <c r="D2026" t="str">
        <f>IFERROR(__xludf.DUMMYFUNCTION("""COMPUTED_VALUE"""),"")</f>
        <v/>
      </c>
      <c r="E2026" t="str">
        <f>IFERROR(__xludf.DUMMYFUNCTION("""COMPUTED_VALUE"""),"")</f>
        <v/>
      </c>
      <c r="F2026" t="str">
        <f>IFERROR(__xludf.DUMMYFUNCTION("""COMPUTED_VALUE"""),"")</f>
        <v/>
      </c>
      <c r="G2026" t="str">
        <f>IFERROR(__xludf.DUMMYFUNCTION("""COMPUTED_VALUE"""),"")</f>
        <v/>
      </c>
      <c r="H2026" s="2" t="str">
        <f>IFERROR(__xludf.DUMMYFUNCTION("""COMPUTED_VALUE"""),"")</f>
        <v/>
      </c>
      <c r="I2026" s="2" t="str">
        <f>IFERROR(__xludf.DUMMYFUNCTION("""COMPUTED_VALUE"""),"")</f>
        <v/>
      </c>
      <c r="J2026" s="2">
        <f>IFERROR(__xludf.DUMMYFUNCTION("""COMPUTED_VALUE"""),0.0)</f>
        <v>0</v>
      </c>
      <c r="K2026" s="5" t="str">
        <f>IFERROR(__xludf.DUMMYFUNCTION("""COMPUTED_VALUE"""),"")</f>
        <v/>
      </c>
      <c r="L2026" t="str">
        <f>IFERROR(__xludf.DUMMYFUNCTION("""COMPUTED_VALUE"""),"")</f>
        <v/>
      </c>
      <c r="M2026" t="str">
        <f>IFERROR(__xludf.DUMMYFUNCTION("""COMPUTED_VALUE"""),"")</f>
        <v/>
      </c>
      <c r="N2026" t="str">
        <f>IFERROR(__xludf.DUMMYFUNCTION("""COMPUTED_VALUE"""),"")</f>
        <v/>
      </c>
      <c r="O2026" t="str">
        <f>IFERROR(__xludf.DUMMYFUNCTION("""COMPUTED_VALUE"""),"")</f>
        <v/>
      </c>
      <c r="P2026" t="str">
        <f>IFERROR(__xludf.DUMMYFUNCTION("""COMPUTED_VALUE"""),"ID ")</f>
        <v>ID </v>
      </c>
    </row>
    <row r="2027">
      <c r="A2027" s="6" t="str">
        <f>IFERROR(__xludf.DUMMYFUNCTION("""COMPUTED_VALUE"""),"")</f>
        <v/>
      </c>
      <c r="C2027" t="str">
        <f>IFERROR(__xludf.DUMMYFUNCTION("""COMPUTED_VALUE"""),"")</f>
        <v/>
      </c>
      <c r="D2027" t="str">
        <f>IFERROR(__xludf.DUMMYFUNCTION("""COMPUTED_VALUE"""),"")</f>
        <v/>
      </c>
      <c r="E2027" t="str">
        <f>IFERROR(__xludf.DUMMYFUNCTION("""COMPUTED_VALUE"""),"")</f>
        <v/>
      </c>
      <c r="F2027" t="str">
        <f>IFERROR(__xludf.DUMMYFUNCTION("""COMPUTED_VALUE"""),"")</f>
        <v/>
      </c>
      <c r="G2027" t="str">
        <f>IFERROR(__xludf.DUMMYFUNCTION("""COMPUTED_VALUE"""),"")</f>
        <v/>
      </c>
      <c r="H2027" s="2" t="str">
        <f>IFERROR(__xludf.DUMMYFUNCTION("""COMPUTED_VALUE"""),"")</f>
        <v/>
      </c>
      <c r="I2027" s="2" t="str">
        <f>IFERROR(__xludf.DUMMYFUNCTION("""COMPUTED_VALUE"""),"")</f>
        <v/>
      </c>
      <c r="J2027" s="2">
        <f>IFERROR(__xludf.DUMMYFUNCTION("""COMPUTED_VALUE"""),0.0)</f>
        <v>0</v>
      </c>
      <c r="K2027" s="5" t="str">
        <f>IFERROR(__xludf.DUMMYFUNCTION("""COMPUTED_VALUE"""),"")</f>
        <v/>
      </c>
      <c r="L2027" t="str">
        <f>IFERROR(__xludf.DUMMYFUNCTION("""COMPUTED_VALUE"""),"")</f>
        <v/>
      </c>
      <c r="M2027" t="str">
        <f>IFERROR(__xludf.DUMMYFUNCTION("""COMPUTED_VALUE"""),"")</f>
        <v/>
      </c>
      <c r="N2027" t="str">
        <f>IFERROR(__xludf.DUMMYFUNCTION("""COMPUTED_VALUE"""),"")</f>
        <v/>
      </c>
      <c r="O2027" t="str">
        <f>IFERROR(__xludf.DUMMYFUNCTION("""COMPUTED_VALUE"""),"")</f>
        <v/>
      </c>
      <c r="P2027" t="str">
        <f>IFERROR(__xludf.DUMMYFUNCTION("""COMPUTED_VALUE"""),"ID ")</f>
        <v>ID </v>
      </c>
    </row>
    <row r="2028">
      <c r="A2028" s="6" t="str">
        <f>IFERROR(__xludf.DUMMYFUNCTION("""COMPUTED_VALUE"""),"")</f>
        <v/>
      </c>
      <c r="C2028" t="str">
        <f>IFERROR(__xludf.DUMMYFUNCTION("""COMPUTED_VALUE"""),"")</f>
        <v/>
      </c>
      <c r="D2028" t="str">
        <f>IFERROR(__xludf.DUMMYFUNCTION("""COMPUTED_VALUE"""),"")</f>
        <v/>
      </c>
      <c r="E2028" t="str">
        <f>IFERROR(__xludf.DUMMYFUNCTION("""COMPUTED_VALUE"""),"")</f>
        <v/>
      </c>
      <c r="F2028" t="str">
        <f>IFERROR(__xludf.DUMMYFUNCTION("""COMPUTED_VALUE"""),"")</f>
        <v/>
      </c>
      <c r="G2028" t="str">
        <f>IFERROR(__xludf.DUMMYFUNCTION("""COMPUTED_VALUE"""),"")</f>
        <v/>
      </c>
      <c r="H2028" s="2" t="str">
        <f>IFERROR(__xludf.DUMMYFUNCTION("""COMPUTED_VALUE"""),"")</f>
        <v/>
      </c>
      <c r="I2028" s="2" t="str">
        <f>IFERROR(__xludf.DUMMYFUNCTION("""COMPUTED_VALUE"""),"")</f>
        <v/>
      </c>
      <c r="J2028" s="2">
        <f>IFERROR(__xludf.DUMMYFUNCTION("""COMPUTED_VALUE"""),0.0)</f>
        <v>0</v>
      </c>
      <c r="K2028" s="5" t="str">
        <f>IFERROR(__xludf.DUMMYFUNCTION("""COMPUTED_VALUE"""),"")</f>
        <v/>
      </c>
      <c r="L2028" t="str">
        <f>IFERROR(__xludf.DUMMYFUNCTION("""COMPUTED_VALUE"""),"")</f>
        <v/>
      </c>
      <c r="M2028" t="str">
        <f>IFERROR(__xludf.DUMMYFUNCTION("""COMPUTED_VALUE"""),"")</f>
        <v/>
      </c>
      <c r="N2028" t="str">
        <f>IFERROR(__xludf.DUMMYFUNCTION("""COMPUTED_VALUE"""),"")</f>
        <v/>
      </c>
      <c r="O2028" t="str">
        <f>IFERROR(__xludf.DUMMYFUNCTION("""COMPUTED_VALUE"""),"")</f>
        <v/>
      </c>
      <c r="P2028" t="str">
        <f>IFERROR(__xludf.DUMMYFUNCTION("""COMPUTED_VALUE"""),"ID ")</f>
        <v>ID </v>
      </c>
    </row>
    <row r="2029">
      <c r="A2029" s="6" t="str">
        <f>IFERROR(__xludf.DUMMYFUNCTION("""COMPUTED_VALUE"""),"")</f>
        <v/>
      </c>
      <c r="C2029" t="str">
        <f>IFERROR(__xludf.DUMMYFUNCTION("""COMPUTED_VALUE"""),"")</f>
        <v/>
      </c>
      <c r="D2029" t="str">
        <f>IFERROR(__xludf.DUMMYFUNCTION("""COMPUTED_VALUE"""),"")</f>
        <v/>
      </c>
      <c r="E2029" t="str">
        <f>IFERROR(__xludf.DUMMYFUNCTION("""COMPUTED_VALUE"""),"")</f>
        <v/>
      </c>
      <c r="F2029" t="str">
        <f>IFERROR(__xludf.DUMMYFUNCTION("""COMPUTED_VALUE"""),"")</f>
        <v/>
      </c>
      <c r="G2029" t="str">
        <f>IFERROR(__xludf.DUMMYFUNCTION("""COMPUTED_VALUE"""),"")</f>
        <v/>
      </c>
      <c r="H2029" s="2" t="str">
        <f>IFERROR(__xludf.DUMMYFUNCTION("""COMPUTED_VALUE"""),"")</f>
        <v/>
      </c>
      <c r="I2029" s="2" t="str">
        <f>IFERROR(__xludf.DUMMYFUNCTION("""COMPUTED_VALUE"""),"")</f>
        <v/>
      </c>
      <c r="J2029" s="2">
        <f>IFERROR(__xludf.DUMMYFUNCTION("""COMPUTED_VALUE"""),0.0)</f>
        <v>0</v>
      </c>
      <c r="K2029" s="5" t="str">
        <f>IFERROR(__xludf.DUMMYFUNCTION("""COMPUTED_VALUE"""),"")</f>
        <v/>
      </c>
      <c r="L2029" t="str">
        <f>IFERROR(__xludf.DUMMYFUNCTION("""COMPUTED_VALUE"""),"")</f>
        <v/>
      </c>
      <c r="M2029" t="str">
        <f>IFERROR(__xludf.DUMMYFUNCTION("""COMPUTED_VALUE"""),"")</f>
        <v/>
      </c>
      <c r="N2029" t="str">
        <f>IFERROR(__xludf.DUMMYFUNCTION("""COMPUTED_VALUE"""),"")</f>
        <v/>
      </c>
      <c r="O2029" t="str">
        <f>IFERROR(__xludf.DUMMYFUNCTION("""COMPUTED_VALUE"""),"")</f>
        <v/>
      </c>
      <c r="P2029" t="str">
        <f>IFERROR(__xludf.DUMMYFUNCTION("""COMPUTED_VALUE"""),"ID ")</f>
        <v>ID </v>
      </c>
    </row>
    <row r="2030">
      <c r="A2030" s="6" t="str">
        <f>IFERROR(__xludf.DUMMYFUNCTION("""COMPUTED_VALUE"""),"")</f>
        <v/>
      </c>
      <c r="C2030" t="str">
        <f>IFERROR(__xludf.DUMMYFUNCTION("""COMPUTED_VALUE"""),"")</f>
        <v/>
      </c>
      <c r="D2030" t="str">
        <f>IFERROR(__xludf.DUMMYFUNCTION("""COMPUTED_VALUE"""),"")</f>
        <v/>
      </c>
      <c r="E2030" t="str">
        <f>IFERROR(__xludf.DUMMYFUNCTION("""COMPUTED_VALUE"""),"")</f>
        <v/>
      </c>
      <c r="F2030" t="str">
        <f>IFERROR(__xludf.DUMMYFUNCTION("""COMPUTED_VALUE"""),"")</f>
        <v/>
      </c>
      <c r="G2030" t="str">
        <f>IFERROR(__xludf.DUMMYFUNCTION("""COMPUTED_VALUE"""),"")</f>
        <v/>
      </c>
      <c r="H2030" s="2" t="str">
        <f>IFERROR(__xludf.DUMMYFUNCTION("""COMPUTED_VALUE"""),"")</f>
        <v/>
      </c>
      <c r="I2030" s="2" t="str">
        <f>IFERROR(__xludf.DUMMYFUNCTION("""COMPUTED_VALUE"""),"")</f>
        <v/>
      </c>
      <c r="J2030" s="2">
        <f>IFERROR(__xludf.DUMMYFUNCTION("""COMPUTED_VALUE"""),0.0)</f>
        <v>0</v>
      </c>
      <c r="K2030" s="5" t="str">
        <f>IFERROR(__xludf.DUMMYFUNCTION("""COMPUTED_VALUE"""),"")</f>
        <v/>
      </c>
      <c r="L2030" t="str">
        <f>IFERROR(__xludf.DUMMYFUNCTION("""COMPUTED_VALUE"""),"")</f>
        <v/>
      </c>
      <c r="M2030" t="str">
        <f>IFERROR(__xludf.DUMMYFUNCTION("""COMPUTED_VALUE"""),"")</f>
        <v/>
      </c>
      <c r="N2030" t="str">
        <f>IFERROR(__xludf.DUMMYFUNCTION("""COMPUTED_VALUE"""),"")</f>
        <v/>
      </c>
      <c r="O2030" t="str">
        <f>IFERROR(__xludf.DUMMYFUNCTION("""COMPUTED_VALUE"""),"")</f>
        <v/>
      </c>
      <c r="P2030" t="str">
        <f>IFERROR(__xludf.DUMMYFUNCTION("""COMPUTED_VALUE"""),"ID ")</f>
        <v>ID </v>
      </c>
    </row>
    <row r="2031">
      <c r="A2031" s="6" t="str">
        <f>IFERROR(__xludf.DUMMYFUNCTION("""COMPUTED_VALUE"""),"")</f>
        <v/>
      </c>
      <c r="C2031" t="str">
        <f>IFERROR(__xludf.DUMMYFUNCTION("""COMPUTED_VALUE"""),"")</f>
        <v/>
      </c>
      <c r="D2031" t="str">
        <f>IFERROR(__xludf.DUMMYFUNCTION("""COMPUTED_VALUE"""),"")</f>
        <v/>
      </c>
      <c r="E2031" t="str">
        <f>IFERROR(__xludf.DUMMYFUNCTION("""COMPUTED_VALUE"""),"")</f>
        <v/>
      </c>
      <c r="F2031" t="str">
        <f>IFERROR(__xludf.DUMMYFUNCTION("""COMPUTED_VALUE"""),"")</f>
        <v/>
      </c>
      <c r="G2031" t="str">
        <f>IFERROR(__xludf.DUMMYFUNCTION("""COMPUTED_VALUE"""),"")</f>
        <v/>
      </c>
      <c r="H2031" s="2" t="str">
        <f>IFERROR(__xludf.DUMMYFUNCTION("""COMPUTED_VALUE"""),"")</f>
        <v/>
      </c>
      <c r="I2031" s="2" t="str">
        <f>IFERROR(__xludf.DUMMYFUNCTION("""COMPUTED_VALUE"""),"")</f>
        <v/>
      </c>
      <c r="J2031" s="2">
        <f>IFERROR(__xludf.DUMMYFUNCTION("""COMPUTED_VALUE"""),0.0)</f>
        <v>0</v>
      </c>
      <c r="K2031" s="5" t="str">
        <f>IFERROR(__xludf.DUMMYFUNCTION("""COMPUTED_VALUE"""),"")</f>
        <v/>
      </c>
      <c r="L2031" t="str">
        <f>IFERROR(__xludf.DUMMYFUNCTION("""COMPUTED_VALUE"""),"")</f>
        <v/>
      </c>
      <c r="M2031" t="str">
        <f>IFERROR(__xludf.DUMMYFUNCTION("""COMPUTED_VALUE"""),"")</f>
        <v/>
      </c>
      <c r="N2031" t="str">
        <f>IFERROR(__xludf.DUMMYFUNCTION("""COMPUTED_VALUE"""),"")</f>
        <v/>
      </c>
      <c r="O2031" t="str">
        <f>IFERROR(__xludf.DUMMYFUNCTION("""COMPUTED_VALUE"""),"")</f>
        <v/>
      </c>
      <c r="P2031" t="str">
        <f>IFERROR(__xludf.DUMMYFUNCTION("""COMPUTED_VALUE"""),"ID ")</f>
        <v>ID </v>
      </c>
    </row>
    <row r="2032">
      <c r="A2032" s="6" t="str">
        <f>IFERROR(__xludf.DUMMYFUNCTION("""COMPUTED_VALUE"""),"")</f>
        <v/>
      </c>
      <c r="C2032" t="str">
        <f>IFERROR(__xludf.DUMMYFUNCTION("""COMPUTED_VALUE"""),"")</f>
        <v/>
      </c>
      <c r="D2032" t="str">
        <f>IFERROR(__xludf.DUMMYFUNCTION("""COMPUTED_VALUE"""),"")</f>
        <v/>
      </c>
      <c r="E2032" t="str">
        <f>IFERROR(__xludf.DUMMYFUNCTION("""COMPUTED_VALUE"""),"")</f>
        <v/>
      </c>
      <c r="F2032" t="str">
        <f>IFERROR(__xludf.DUMMYFUNCTION("""COMPUTED_VALUE"""),"")</f>
        <v/>
      </c>
      <c r="G2032" t="str">
        <f>IFERROR(__xludf.DUMMYFUNCTION("""COMPUTED_VALUE"""),"")</f>
        <v/>
      </c>
      <c r="H2032" s="2" t="str">
        <f>IFERROR(__xludf.DUMMYFUNCTION("""COMPUTED_VALUE"""),"")</f>
        <v/>
      </c>
      <c r="I2032" s="2" t="str">
        <f>IFERROR(__xludf.DUMMYFUNCTION("""COMPUTED_VALUE"""),"")</f>
        <v/>
      </c>
      <c r="J2032" s="2">
        <f>IFERROR(__xludf.DUMMYFUNCTION("""COMPUTED_VALUE"""),0.0)</f>
        <v>0</v>
      </c>
      <c r="K2032" s="5" t="str">
        <f>IFERROR(__xludf.DUMMYFUNCTION("""COMPUTED_VALUE"""),"")</f>
        <v/>
      </c>
      <c r="L2032" t="str">
        <f>IFERROR(__xludf.DUMMYFUNCTION("""COMPUTED_VALUE"""),"")</f>
        <v/>
      </c>
      <c r="M2032" t="str">
        <f>IFERROR(__xludf.DUMMYFUNCTION("""COMPUTED_VALUE"""),"")</f>
        <v/>
      </c>
      <c r="N2032" t="str">
        <f>IFERROR(__xludf.DUMMYFUNCTION("""COMPUTED_VALUE"""),"")</f>
        <v/>
      </c>
      <c r="O2032" t="str">
        <f>IFERROR(__xludf.DUMMYFUNCTION("""COMPUTED_VALUE"""),"")</f>
        <v/>
      </c>
      <c r="P2032" t="str">
        <f>IFERROR(__xludf.DUMMYFUNCTION("""COMPUTED_VALUE"""),"ID ")</f>
        <v>ID </v>
      </c>
    </row>
    <row r="2033">
      <c r="A2033" s="6" t="str">
        <f>IFERROR(__xludf.DUMMYFUNCTION("""COMPUTED_VALUE"""),"")</f>
        <v/>
      </c>
      <c r="C2033" t="str">
        <f>IFERROR(__xludf.DUMMYFUNCTION("""COMPUTED_VALUE"""),"")</f>
        <v/>
      </c>
      <c r="D2033" t="str">
        <f>IFERROR(__xludf.DUMMYFUNCTION("""COMPUTED_VALUE"""),"")</f>
        <v/>
      </c>
      <c r="E2033" t="str">
        <f>IFERROR(__xludf.DUMMYFUNCTION("""COMPUTED_VALUE"""),"")</f>
        <v/>
      </c>
      <c r="F2033" t="str">
        <f>IFERROR(__xludf.DUMMYFUNCTION("""COMPUTED_VALUE"""),"")</f>
        <v/>
      </c>
      <c r="G2033" t="str">
        <f>IFERROR(__xludf.DUMMYFUNCTION("""COMPUTED_VALUE"""),"")</f>
        <v/>
      </c>
      <c r="H2033" s="2" t="str">
        <f>IFERROR(__xludf.DUMMYFUNCTION("""COMPUTED_VALUE"""),"")</f>
        <v/>
      </c>
      <c r="I2033" s="2" t="str">
        <f>IFERROR(__xludf.DUMMYFUNCTION("""COMPUTED_VALUE"""),"")</f>
        <v/>
      </c>
      <c r="J2033" s="2">
        <f>IFERROR(__xludf.DUMMYFUNCTION("""COMPUTED_VALUE"""),0.0)</f>
        <v>0</v>
      </c>
      <c r="K2033" s="5" t="str">
        <f>IFERROR(__xludf.DUMMYFUNCTION("""COMPUTED_VALUE"""),"")</f>
        <v/>
      </c>
      <c r="L2033" t="str">
        <f>IFERROR(__xludf.DUMMYFUNCTION("""COMPUTED_VALUE"""),"")</f>
        <v/>
      </c>
      <c r="M2033" t="str">
        <f>IFERROR(__xludf.DUMMYFUNCTION("""COMPUTED_VALUE"""),"")</f>
        <v/>
      </c>
      <c r="N2033" t="str">
        <f>IFERROR(__xludf.DUMMYFUNCTION("""COMPUTED_VALUE"""),"")</f>
        <v/>
      </c>
      <c r="O2033" t="str">
        <f>IFERROR(__xludf.DUMMYFUNCTION("""COMPUTED_VALUE"""),"")</f>
        <v/>
      </c>
      <c r="P2033" t="str">
        <f>IFERROR(__xludf.DUMMYFUNCTION("""COMPUTED_VALUE"""),"ID ")</f>
        <v>ID </v>
      </c>
    </row>
    <row r="2034">
      <c r="A2034" s="6" t="str">
        <f>IFERROR(__xludf.DUMMYFUNCTION("""COMPUTED_VALUE"""),"")</f>
        <v/>
      </c>
      <c r="C2034" t="str">
        <f>IFERROR(__xludf.DUMMYFUNCTION("""COMPUTED_VALUE"""),"")</f>
        <v/>
      </c>
      <c r="D2034" t="str">
        <f>IFERROR(__xludf.DUMMYFUNCTION("""COMPUTED_VALUE"""),"")</f>
        <v/>
      </c>
      <c r="E2034" t="str">
        <f>IFERROR(__xludf.DUMMYFUNCTION("""COMPUTED_VALUE"""),"")</f>
        <v/>
      </c>
      <c r="F2034" t="str">
        <f>IFERROR(__xludf.DUMMYFUNCTION("""COMPUTED_VALUE"""),"")</f>
        <v/>
      </c>
      <c r="G2034" t="str">
        <f>IFERROR(__xludf.DUMMYFUNCTION("""COMPUTED_VALUE"""),"")</f>
        <v/>
      </c>
      <c r="H2034" s="2" t="str">
        <f>IFERROR(__xludf.DUMMYFUNCTION("""COMPUTED_VALUE"""),"")</f>
        <v/>
      </c>
      <c r="I2034" s="2" t="str">
        <f>IFERROR(__xludf.DUMMYFUNCTION("""COMPUTED_VALUE"""),"")</f>
        <v/>
      </c>
      <c r="J2034" s="2">
        <f>IFERROR(__xludf.DUMMYFUNCTION("""COMPUTED_VALUE"""),0.0)</f>
        <v>0</v>
      </c>
      <c r="K2034" s="5" t="str">
        <f>IFERROR(__xludf.DUMMYFUNCTION("""COMPUTED_VALUE"""),"")</f>
        <v/>
      </c>
      <c r="L2034" t="str">
        <f>IFERROR(__xludf.DUMMYFUNCTION("""COMPUTED_VALUE"""),"")</f>
        <v/>
      </c>
      <c r="M2034" t="str">
        <f>IFERROR(__xludf.DUMMYFUNCTION("""COMPUTED_VALUE"""),"")</f>
        <v/>
      </c>
      <c r="N2034" t="str">
        <f>IFERROR(__xludf.DUMMYFUNCTION("""COMPUTED_VALUE"""),"")</f>
        <v/>
      </c>
      <c r="O2034" t="str">
        <f>IFERROR(__xludf.DUMMYFUNCTION("""COMPUTED_VALUE"""),"")</f>
        <v/>
      </c>
      <c r="P2034" t="str">
        <f>IFERROR(__xludf.DUMMYFUNCTION("""COMPUTED_VALUE"""),"ID ")</f>
        <v>ID </v>
      </c>
    </row>
    <row r="2035">
      <c r="A2035" s="6" t="str">
        <f>IFERROR(__xludf.DUMMYFUNCTION("""COMPUTED_VALUE"""),"")</f>
        <v/>
      </c>
      <c r="C2035" t="str">
        <f>IFERROR(__xludf.DUMMYFUNCTION("""COMPUTED_VALUE"""),"")</f>
        <v/>
      </c>
      <c r="D2035" t="str">
        <f>IFERROR(__xludf.DUMMYFUNCTION("""COMPUTED_VALUE"""),"")</f>
        <v/>
      </c>
      <c r="E2035" t="str">
        <f>IFERROR(__xludf.DUMMYFUNCTION("""COMPUTED_VALUE"""),"")</f>
        <v/>
      </c>
      <c r="F2035" t="str">
        <f>IFERROR(__xludf.DUMMYFUNCTION("""COMPUTED_VALUE"""),"")</f>
        <v/>
      </c>
      <c r="G2035" t="str">
        <f>IFERROR(__xludf.DUMMYFUNCTION("""COMPUTED_VALUE"""),"")</f>
        <v/>
      </c>
      <c r="H2035" s="2" t="str">
        <f>IFERROR(__xludf.DUMMYFUNCTION("""COMPUTED_VALUE"""),"")</f>
        <v/>
      </c>
      <c r="I2035" s="2" t="str">
        <f>IFERROR(__xludf.DUMMYFUNCTION("""COMPUTED_VALUE"""),"")</f>
        <v/>
      </c>
      <c r="J2035" s="2">
        <f>IFERROR(__xludf.DUMMYFUNCTION("""COMPUTED_VALUE"""),0.0)</f>
        <v>0</v>
      </c>
      <c r="K2035" s="5" t="str">
        <f>IFERROR(__xludf.DUMMYFUNCTION("""COMPUTED_VALUE"""),"")</f>
        <v/>
      </c>
      <c r="L2035" t="str">
        <f>IFERROR(__xludf.DUMMYFUNCTION("""COMPUTED_VALUE"""),"")</f>
        <v/>
      </c>
      <c r="M2035" t="str">
        <f>IFERROR(__xludf.DUMMYFUNCTION("""COMPUTED_VALUE"""),"")</f>
        <v/>
      </c>
      <c r="N2035" t="str">
        <f>IFERROR(__xludf.DUMMYFUNCTION("""COMPUTED_VALUE"""),"")</f>
        <v/>
      </c>
      <c r="O2035" t="str">
        <f>IFERROR(__xludf.DUMMYFUNCTION("""COMPUTED_VALUE"""),"")</f>
        <v/>
      </c>
      <c r="P2035" t="str">
        <f>IFERROR(__xludf.DUMMYFUNCTION("""COMPUTED_VALUE"""),"ID ")</f>
        <v>ID </v>
      </c>
    </row>
    <row r="2036">
      <c r="A2036" s="6" t="str">
        <f>IFERROR(__xludf.DUMMYFUNCTION("""COMPUTED_VALUE"""),"")</f>
        <v/>
      </c>
      <c r="C2036" t="str">
        <f>IFERROR(__xludf.DUMMYFUNCTION("""COMPUTED_VALUE"""),"")</f>
        <v/>
      </c>
      <c r="D2036" t="str">
        <f>IFERROR(__xludf.DUMMYFUNCTION("""COMPUTED_VALUE"""),"")</f>
        <v/>
      </c>
      <c r="E2036" t="str">
        <f>IFERROR(__xludf.DUMMYFUNCTION("""COMPUTED_VALUE"""),"")</f>
        <v/>
      </c>
      <c r="F2036" t="str">
        <f>IFERROR(__xludf.DUMMYFUNCTION("""COMPUTED_VALUE"""),"")</f>
        <v/>
      </c>
      <c r="G2036" t="str">
        <f>IFERROR(__xludf.DUMMYFUNCTION("""COMPUTED_VALUE"""),"")</f>
        <v/>
      </c>
      <c r="H2036" s="2" t="str">
        <f>IFERROR(__xludf.DUMMYFUNCTION("""COMPUTED_VALUE"""),"")</f>
        <v/>
      </c>
      <c r="I2036" s="2" t="str">
        <f>IFERROR(__xludf.DUMMYFUNCTION("""COMPUTED_VALUE"""),"")</f>
        <v/>
      </c>
      <c r="J2036" s="2">
        <f>IFERROR(__xludf.DUMMYFUNCTION("""COMPUTED_VALUE"""),0.0)</f>
        <v>0</v>
      </c>
      <c r="K2036" s="5" t="str">
        <f>IFERROR(__xludf.DUMMYFUNCTION("""COMPUTED_VALUE"""),"")</f>
        <v/>
      </c>
      <c r="L2036" t="str">
        <f>IFERROR(__xludf.DUMMYFUNCTION("""COMPUTED_VALUE"""),"")</f>
        <v/>
      </c>
      <c r="M2036" t="str">
        <f>IFERROR(__xludf.DUMMYFUNCTION("""COMPUTED_VALUE"""),"")</f>
        <v/>
      </c>
      <c r="N2036" t="str">
        <f>IFERROR(__xludf.DUMMYFUNCTION("""COMPUTED_VALUE"""),"")</f>
        <v/>
      </c>
      <c r="O2036" t="str">
        <f>IFERROR(__xludf.DUMMYFUNCTION("""COMPUTED_VALUE"""),"")</f>
        <v/>
      </c>
      <c r="P2036" t="str">
        <f>IFERROR(__xludf.DUMMYFUNCTION("""COMPUTED_VALUE"""),"ID ")</f>
        <v>ID </v>
      </c>
    </row>
    <row r="2037">
      <c r="A2037" s="6" t="str">
        <f>IFERROR(__xludf.DUMMYFUNCTION("""COMPUTED_VALUE"""),"")</f>
        <v/>
      </c>
      <c r="C2037" t="str">
        <f>IFERROR(__xludf.DUMMYFUNCTION("""COMPUTED_VALUE"""),"")</f>
        <v/>
      </c>
      <c r="D2037" t="str">
        <f>IFERROR(__xludf.DUMMYFUNCTION("""COMPUTED_VALUE"""),"")</f>
        <v/>
      </c>
      <c r="E2037" t="str">
        <f>IFERROR(__xludf.DUMMYFUNCTION("""COMPUTED_VALUE"""),"")</f>
        <v/>
      </c>
      <c r="F2037" t="str">
        <f>IFERROR(__xludf.DUMMYFUNCTION("""COMPUTED_VALUE"""),"")</f>
        <v/>
      </c>
      <c r="G2037" t="str">
        <f>IFERROR(__xludf.DUMMYFUNCTION("""COMPUTED_VALUE"""),"")</f>
        <v/>
      </c>
      <c r="H2037" s="2" t="str">
        <f>IFERROR(__xludf.DUMMYFUNCTION("""COMPUTED_VALUE"""),"")</f>
        <v/>
      </c>
      <c r="I2037" s="2" t="str">
        <f>IFERROR(__xludf.DUMMYFUNCTION("""COMPUTED_VALUE"""),"")</f>
        <v/>
      </c>
      <c r="J2037" s="2">
        <f>IFERROR(__xludf.DUMMYFUNCTION("""COMPUTED_VALUE"""),0.0)</f>
        <v>0</v>
      </c>
      <c r="K2037" s="5" t="str">
        <f>IFERROR(__xludf.DUMMYFUNCTION("""COMPUTED_VALUE"""),"")</f>
        <v/>
      </c>
      <c r="L2037" t="str">
        <f>IFERROR(__xludf.DUMMYFUNCTION("""COMPUTED_VALUE"""),"")</f>
        <v/>
      </c>
      <c r="M2037" t="str">
        <f>IFERROR(__xludf.DUMMYFUNCTION("""COMPUTED_VALUE"""),"")</f>
        <v/>
      </c>
      <c r="N2037" t="str">
        <f>IFERROR(__xludf.DUMMYFUNCTION("""COMPUTED_VALUE"""),"")</f>
        <v/>
      </c>
      <c r="O2037" t="str">
        <f>IFERROR(__xludf.DUMMYFUNCTION("""COMPUTED_VALUE"""),"")</f>
        <v/>
      </c>
      <c r="P2037" t="str">
        <f>IFERROR(__xludf.DUMMYFUNCTION("""COMPUTED_VALUE"""),"ID ")</f>
        <v>ID </v>
      </c>
    </row>
    <row r="2038">
      <c r="A2038" s="6" t="str">
        <f>IFERROR(__xludf.DUMMYFUNCTION("""COMPUTED_VALUE"""),"")</f>
        <v/>
      </c>
      <c r="C2038" t="str">
        <f>IFERROR(__xludf.DUMMYFUNCTION("""COMPUTED_VALUE"""),"")</f>
        <v/>
      </c>
      <c r="D2038" t="str">
        <f>IFERROR(__xludf.DUMMYFUNCTION("""COMPUTED_VALUE"""),"")</f>
        <v/>
      </c>
      <c r="E2038" t="str">
        <f>IFERROR(__xludf.DUMMYFUNCTION("""COMPUTED_VALUE"""),"")</f>
        <v/>
      </c>
      <c r="F2038" t="str">
        <f>IFERROR(__xludf.DUMMYFUNCTION("""COMPUTED_VALUE"""),"")</f>
        <v/>
      </c>
      <c r="G2038" t="str">
        <f>IFERROR(__xludf.DUMMYFUNCTION("""COMPUTED_VALUE"""),"")</f>
        <v/>
      </c>
      <c r="H2038" s="2" t="str">
        <f>IFERROR(__xludf.DUMMYFUNCTION("""COMPUTED_VALUE"""),"")</f>
        <v/>
      </c>
      <c r="I2038" s="2" t="str">
        <f>IFERROR(__xludf.DUMMYFUNCTION("""COMPUTED_VALUE"""),"")</f>
        <v/>
      </c>
      <c r="J2038" s="2">
        <f>IFERROR(__xludf.DUMMYFUNCTION("""COMPUTED_VALUE"""),0.0)</f>
        <v>0</v>
      </c>
      <c r="K2038" s="5" t="str">
        <f>IFERROR(__xludf.DUMMYFUNCTION("""COMPUTED_VALUE"""),"")</f>
        <v/>
      </c>
      <c r="L2038" t="str">
        <f>IFERROR(__xludf.DUMMYFUNCTION("""COMPUTED_VALUE"""),"")</f>
        <v/>
      </c>
      <c r="M2038" t="str">
        <f>IFERROR(__xludf.DUMMYFUNCTION("""COMPUTED_VALUE"""),"")</f>
        <v/>
      </c>
      <c r="N2038" t="str">
        <f>IFERROR(__xludf.DUMMYFUNCTION("""COMPUTED_VALUE"""),"")</f>
        <v/>
      </c>
      <c r="O2038" t="str">
        <f>IFERROR(__xludf.DUMMYFUNCTION("""COMPUTED_VALUE"""),"")</f>
        <v/>
      </c>
      <c r="P2038" t="str">
        <f>IFERROR(__xludf.DUMMYFUNCTION("""COMPUTED_VALUE"""),"ID ")</f>
        <v>ID </v>
      </c>
    </row>
    <row r="2039">
      <c r="A2039" s="6" t="str">
        <f>IFERROR(__xludf.DUMMYFUNCTION("""COMPUTED_VALUE"""),"")</f>
        <v/>
      </c>
      <c r="C2039" t="str">
        <f>IFERROR(__xludf.DUMMYFUNCTION("""COMPUTED_VALUE"""),"")</f>
        <v/>
      </c>
      <c r="D2039" t="str">
        <f>IFERROR(__xludf.DUMMYFUNCTION("""COMPUTED_VALUE"""),"")</f>
        <v/>
      </c>
      <c r="E2039" t="str">
        <f>IFERROR(__xludf.DUMMYFUNCTION("""COMPUTED_VALUE"""),"")</f>
        <v/>
      </c>
      <c r="F2039" t="str">
        <f>IFERROR(__xludf.DUMMYFUNCTION("""COMPUTED_VALUE"""),"")</f>
        <v/>
      </c>
      <c r="G2039" t="str">
        <f>IFERROR(__xludf.DUMMYFUNCTION("""COMPUTED_VALUE"""),"")</f>
        <v/>
      </c>
      <c r="H2039" s="2" t="str">
        <f>IFERROR(__xludf.DUMMYFUNCTION("""COMPUTED_VALUE"""),"")</f>
        <v/>
      </c>
      <c r="I2039" s="2" t="str">
        <f>IFERROR(__xludf.DUMMYFUNCTION("""COMPUTED_VALUE"""),"")</f>
        <v/>
      </c>
      <c r="J2039" s="2">
        <f>IFERROR(__xludf.DUMMYFUNCTION("""COMPUTED_VALUE"""),0.0)</f>
        <v>0</v>
      </c>
      <c r="K2039" s="5" t="str">
        <f>IFERROR(__xludf.DUMMYFUNCTION("""COMPUTED_VALUE"""),"")</f>
        <v/>
      </c>
      <c r="L2039" t="str">
        <f>IFERROR(__xludf.DUMMYFUNCTION("""COMPUTED_VALUE"""),"")</f>
        <v/>
      </c>
      <c r="M2039" t="str">
        <f>IFERROR(__xludf.DUMMYFUNCTION("""COMPUTED_VALUE"""),"")</f>
        <v/>
      </c>
      <c r="N2039" t="str">
        <f>IFERROR(__xludf.DUMMYFUNCTION("""COMPUTED_VALUE"""),"")</f>
        <v/>
      </c>
      <c r="O2039" t="str">
        <f>IFERROR(__xludf.DUMMYFUNCTION("""COMPUTED_VALUE"""),"")</f>
        <v/>
      </c>
      <c r="P2039" t="str">
        <f>IFERROR(__xludf.DUMMYFUNCTION("""COMPUTED_VALUE"""),"ID ")</f>
        <v>ID </v>
      </c>
    </row>
    <row r="2040">
      <c r="A2040" s="6" t="str">
        <f>IFERROR(__xludf.DUMMYFUNCTION("""COMPUTED_VALUE"""),"")</f>
        <v/>
      </c>
      <c r="C2040" t="str">
        <f>IFERROR(__xludf.DUMMYFUNCTION("""COMPUTED_VALUE"""),"")</f>
        <v/>
      </c>
      <c r="D2040" t="str">
        <f>IFERROR(__xludf.DUMMYFUNCTION("""COMPUTED_VALUE"""),"")</f>
        <v/>
      </c>
      <c r="E2040" t="str">
        <f>IFERROR(__xludf.DUMMYFUNCTION("""COMPUTED_VALUE"""),"")</f>
        <v/>
      </c>
      <c r="F2040" t="str">
        <f>IFERROR(__xludf.DUMMYFUNCTION("""COMPUTED_VALUE"""),"")</f>
        <v/>
      </c>
      <c r="G2040" t="str">
        <f>IFERROR(__xludf.DUMMYFUNCTION("""COMPUTED_VALUE"""),"")</f>
        <v/>
      </c>
      <c r="H2040" s="2" t="str">
        <f>IFERROR(__xludf.DUMMYFUNCTION("""COMPUTED_VALUE"""),"")</f>
        <v/>
      </c>
      <c r="I2040" s="2" t="str">
        <f>IFERROR(__xludf.DUMMYFUNCTION("""COMPUTED_VALUE"""),"")</f>
        <v/>
      </c>
      <c r="J2040" s="2">
        <f>IFERROR(__xludf.DUMMYFUNCTION("""COMPUTED_VALUE"""),0.0)</f>
        <v>0</v>
      </c>
      <c r="K2040" s="5" t="str">
        <f>IFERROR(__xludf.DUMMYFUNCTION("""COMPUTED_VALUE"""),"")</f>
        <v/>
      </c>
      <c r="L2040" t="str">
        <f>IFERROR(__xludf.DUMMYFUNCTION("""COMPUTED_VALUE"""),"")</f>
        <v/>
      </c>
      <c r="M2040" t="str">
        <f>IFERROR(__xludf.DUMMYFUNCTION("""COMPUTED_VALUE"""),"")</f>
        <v/>
      </c>
      <c r="N2040" t="str">
        <f>IFERROR(__xludf.DUMMYFUNCTION("""COMPUTED_VALUE"""),"")</f>
        <v/>
      </c>
      <c r="O2040" t="str">
        <f>IFERROR(__xludf.DUMMYFUNCTION("""COMPUTED_VALUE"""),"")</f>
        <v/>
      </c>
      <c r="P2040" t="str">
        <f>IFERROR(__xludf.DUMMYFUNCTION("""COMPUTED_VALUE"""),"ID ")</f>
        <v>ID </v>
      </c>
    </row>
    <row r="2041">
      <c r="A2041" s="6" t="str">
        <f>IFERROR(__xludf.DUMMYFUNCTION("""COMPUTED_VALUE"""),"")</f>
        <v/>
      </c>
      <c r="C2041" t="str">
        <f>IFERROR(__xludf.DUMMYFUNCTION("""COMPUTED_VALUE"""),"")</f>
        <v/>
      </c>
      <c r="D2041" t="str">
        <f>IFERROR(__xludf.DUMMYFUNCTION("""COMPUTED_VALUE"""),"")</f>
        <v/>
      </c>
      <c r="E2041" t="str">
        <f>IFERROR(__xludf.DUMMYFUNCTION("""COMPUTED_VALUE"""),"")</f>
        <v/>
      </c>
      <c r="F2041" t="str">
        <f>IFERROR(__xludf.DUMMYFUNCTION("""COMPUTED_VALUE"""),"")</f>
        <v/>
      </c>
      <c r="G2041" t="str">
        <f>IFERROR(__xludf.DUMMYFUNCTION("""COMPUTED_VALUE"""),"")</f>
        <v/>
      </c>
      <c r="H2041" s="2" t="str">
        <f>IFERROR(__xludf.DUMMYFUNCTION("""COMPUTED_VALUE"""),"")</f>
        <v/>
      </c>
      <c r="I2041" s="2" t="str">
        <f>IFERROR(__xludf.DUMMYFUNCTION("""COMPUTED_VALUE"""),"")</f>
        <v/>
      </c>
      <c r="J2041" s="2">
        <f>IFERROR(__xludf.DUMMYFUNCTION("""COMPUTED_VALUE"""),0.0)</f>
        <v>0</v>
      </c>
      <c r="K2041" s="5" t="str">
        <f>IFERROR(__xludf.DUMMYFUNCTION("""COMPUTED_VALUE"""),"")</f>
        <v/>
      </c>
      <c r="L2041" t="str">
        <f>IFERROR(__xludf.DUMMYFUNCTION("""COMPUTED_VALUE"""),"")</f>
        <v/>
      </c>
      <c r="M2041" t="str">
        <f>IFERROR(__xludf.DUMMYFUNCTION("""COMPUTED_VALUE"""),"")</f>
        <v/>
      </c>
      <c r="N2041" t="str">
        <f>IFERROR(__xludf.DUMMYFUNCTION("""COMPUTED_VALUE"""),"")</f>
        <v/>
      </c>
      <c r="O2041" t="str">
        <f>IFERROR(__xludf.DUMMYFUNCTION("""COMPUTED_VALUE"""),"")</f>
        <v/>
      </c>
      <c r="P2041" t="str">
        <f>IFERROR(__xludf.DUMMYFUNCTION("""COMPUTED_VALUE"""),"ID ")</f>
        <v>ID </v>
      </c>
    </row>
    <row r="2042">
      <c r="A2042" s="6" t="str">
        <f>IFERROR(__xludf.DUMMYFUNCTION("""COMPUTED_VALUE"""),"")</f>
        <v/>
      </c>
      <c r="C2042" t="str">
        <f>IFERROR(__xludf.DUMMYFUNCTION("""COMPUTED_VALUE"""),"")</f>
        <v/>
      </c>
      <c r="D2042" t="str">
        <f>IFERROR(__xludf.DUMMYFUNCTION("""COMPUTED_VALUE"""),"")</f>
        <v/>
      </c>
      <c r="E2042" t="str">
        <f>IFERROR(__xludf.DUMMYFUNCTION("""COMPUTED_VALUE"""),"")</f>
        <v/>
      </c>
      <c r="F2042" t="str">
        <f>IFERROR(__xludf.DUMMYFUNCTION("""COMPUTED_VALUE"""),"")</f>
        <v/>
      </c>
      <c r="G2042" t="str">
        <f>IFERROR(__xludf.DUMMYFUNCTION("""COMPUTED_VALUE"""),"")</f>
        <v/>
      </c>
      <c r="H2042" s="2" t="str">
        <f>IFERROR(__xludf.DUMMYFUNCTION("""COMPUTED_VALUE"""),"")</f>
        <v/>
      </c>
      <c r="I2042" s="2" t="str">
        <f>IFERROR(__xludf.DUMMYFUNCTION("""COMPUTED_VALUE"""),"")</f>
        <v/>
      </c>
      <c r="J2042" s="2">
        <f>IFERROR(__xludf.DUMMYFUNCTION("""COMPUTED_VALUE"""),0.0)</f>
        <v>0</v>
      </c>
      <c r="K2042" s="5" t="str">
        <f>IFERROR(__xludf.DUMMYFUNCTION("""COMPUTED_VALUE"""),"")</f>
        <v/>
      </c>
      <c r="L2042" t="str">
        <f>IFERROR(__xludf.DUMMYFUNCTION("""COMPUTED_VALUE"""),"")</f>
        <v/>
      </c>
      <c r="M2042" t="str">
        <f>IFERROR(__xludf.DUMMYFUNCTION("""COMPUTED_VALUE"""),"")</f>
        <v/>
      </c>
      <c r="N2042" t="str">
        <f>IFERROR(__xludf.DUMMYFUNCTION("""COMPUTED_VALUE"""),"")</f>
        <v/>
      </c>
      <c r="O2042" t="str">
        <f>IFERROR(__xludf.DUMMYFUNCTION("""COMPUTED_VALUE"""),"")</f>
        <v/>
      </c>
      <c r="P2042" t="str">
        <f>IFERROR(__xludf.DUMMYFUNCTION("""COMPUTED_VALUE"""),"ID ")</f>
        <v>ID </v>
      </c>
    </row>
    <row r="2043">
      <c r="A2043" s="6" t="str">
        <f>IFERROR(__xludf.DUMMYFUNCTION("""COMPUTED_VALUE"""),"")</f>
        <v/>
      </c>
      <c r="C2043" t="str">
        <f>IFERROR(__xludf.DUMMYFUNCTION("""COMPUTED_VALUE"""),"")</f>
        <v/>
      </c>
      <c r="D2043" t="str">
        <f>IFERROR(__xludf.DUMMYFUNCTION("""COMPUTED_VALUE"""),"")</f>
        <v/>
      </c>
      <c r="E2043" t="str">
        <f>IFERROR(__xludf.DUMMYFUNCTION("""COMPUTED_VALUE"""),"")</f>
        <v/>
      </c>
      <c r="F2043" t="str">
        <f>IFERROR(__xludf.DUMMYFUNCTION("""COMPUTED_VALUE"""),"")</f>
        <v/>
      </c>
      <c r="G2043" t="str">
        <f>IFERROR(__xludf.DUMMYFUNCTION("""COMPUTED_VALUE"""),"")</f>
        <v/>
      </c>
      <c r="H2043" s="2" t="str">
        <f>IFERROR(__xludf.DUMMYFUNCTION("""COMPUTED_VALUE"""),"")</f>
        <v/>
      </c>
      <c r="I2043" s="2" t="str">
        <f>IFERROR(__xludf.DUMMYFUNCTION("""COMPUTED_VALUE"""),"")</f>
        <v/>
      </c>
      <c r="J2043" s="2">
        <f>IFERROR(__xludf.DUMMYFUNCTION("""COMPUTED_VALUE"""),0.0)</f>
        <v>0</v>
      </c>
      <c r="K2043" s="5" t="str">
        <f>IFERROR(__xludf.DUMMYFUNCTION("""COMPUTED_VALUE"""),"")</f>
        <v/>
      </c>
      <c r="L2043" t="str">
        <f>IFERROR(__xludf.DUMMYFUNCTION("""COMPUTED_VALUE"""),"")</f>
        <v/>
      </c>
      <c r="M2043" t="str">
        <f>IFERROR(__xludf.DUMMYFUNCTION("""COMPUTED_VALUE"""),"")</f>
        <v/>
      </c>
      <c r="N2043" t="str">
        <f>IFERROR(__xludf.DUMMYFUNCTION("""COMPUTED_VALUE"""),"")</f>
        <v/>
      </c>
      <c r="O2043" t="str">
        <f>IFERROR(__xludf.DUMMYFUNCTION("""COMPUTED_VALUE"""),"")</f>
        <v/>
      </c>
      <c r="P2043" t="str">
        <f>IFERROR(__xludf.DUMMYFUNCTION("""COMPUTED_VALUE"""),"ID ")</f>
        <v>ID </v>
      </c>
    </row>
    <row r="2044">
      <c r="A2044" s="6" t="str">
        <f>IFERROR(__xludf.DUMMYFUNCTION("""COMPUTED_VALUE"""),"")</f>
        <v/>
      </c>
      <c r="C2044" t="str">
        <f>IFERROR(__xludf.DUMMYFUNCTION("""COMPUTED_VALUE"""),"")</f>
        <v/>
      </c>
      <c r="D2044" t="str">
        <f>IFERROR(__xludf.DUMMYFUNCTION("""COMPUTED_VALUE"""),"")</f>
        <v/>
      </c>
      <c r="E2044" t="str">
        <f>IFERROR(__xludf.DUMMYFUNCTION("""COMPUTED_VALUE"""),"")</f>
        <v/>
      </c>
      <c r="F2044" t="str">
        <f>IFERROR(__xludf.DUMMYFUNCTION("""COMPUTED_VALUE"""),"")</f>
        <v/>
      </c>
      <c r="G2044" t="str">
        <f>IFERROR(__xludf.DUMMYFUNCTION("""COMPUTED_VALUE"""),"")</f>
        <v/>
      </c>
      <c r="H2044" s="2" t="str">
        <f>IFERROR(__xludf.DUMMYFUNCTION("""COMPUTED_VALUE"""),"")</f>
        <v/>
      </c>
      <c r="I2044" s="2" t="str">
        <f>IFERROR(__xludf.DUMMYFUNCTION("""COMPUTED_VALUE"""),"")</f>
        <v/>
      </c>
      <c r="J2044" s="2">
        <f>IFERROR(__xludf.DUMMYFUNCTION("""COMPUTED_VALUE"""),0.0)</f>
        <v>0</v>
      </c>
      <c r="K2044" s="5" t="str">
        <f>IFERROR(__xludf.DUMMYFUNCTION("""COMPUTED_VALUE"""),"")</f>
        <v/>
      </c>
      <c r="L2044" t="str">
        <f>IFERROR(__xludf.DUMMYFUNCTION("""COMPUTED_VALUE"""),"")</f>
        <v/>
      </c>
      <c r="M2044" t="str">
        <f>IFERROR(__xludf.DUMMYFUNCTION("""COMPUTED_VALUE"""),"")</f>
        <v/>
      </c>
      <c r="N2044" t="str">
        <f>IFERROR(__xludf.DUMMYFUNCTION("""COMPUTED_VALUE"""),"")</f>
        <v/>
      </c>
      <c r="O2044" t="str">
        <f>IFERROR(__xludf.DUMMYFUNCTION("""COMPUTED_VALUE"""),"")</f>
        <v/>
      </c>
      <c r="P2044" t="str">
        <f>IFERROR(__xludf.DUMMYFUNCTION("""COMPUTED_VALUE"""),"ID ")</f>
        <v>ID </v>
      </c>
    </row>
    <row r="2045">
      <c r="A2045" s="6" t="str">
        <f>IFERROR(__xludf.DUMMYFUNCTION("""COMPUTED_VALUE"""),"")</f>
        <v/>
      </c>
      <c r="C2045" t="str">
        <f>IFERROR(__xludf.DUMMYFUNCTION("""COMPUTED_VALUE"""),"")</f>
        <v/>
      </c>
      <c r="D2045" t="str">
        <f>IFERROR(__xludf.DUMMYFUNCTION("""COMPUTED_VALUE"""),"")</f>
        <v/>
      </c>
      <c r="E2045" t="str">
        <f>IFERROR(__xludf.DUMMYFUNCTION("""COMPUTED_VALUE"""),"")</f>
        <v/>
      </c>
      <c r="F2045" t="str">
        <f>IFERROR(__xludf.DUMMYFUNCTION("""COMPUTED_VALUE"""),"")</f>
        <v/>
      </c>
      <c r="G2045" t="str">
        <f>IFERROR(__xludf.DUMMYFUNCTION("""COMPUTED_VALUE"""),"")</f>
        <v/>
      </c>
      <c r="H2045" s="2" t="str">
        <f>IFERROR(__xludf.DUMMYFUNCTION("""COMPUTED_VALUE"""),"")</f>
        <v/>
      </c>
      <c r="I2045" s="2" t="str">
        <f>IFERROR(__xludf.DUMMYFUNCTION("""COMPUTED_VALUE"""),"")</f>
        <v/>
      </c>
      <c r="J2045" s="2">
        <f>IFERROR(__xludf.DUMMYFUNCTION("""COMPUTED_VALUE"""),0.0)</f>
        <v>0</v>
      </c>
      <c r="K2045" s="5" t="str">
        <f>IFERROR(__xludf.DUMMYFUNCTION("""COMPUTED_VALUE"""),"")</f>
        <v/>
      </c>
      <c r="L2045" t="str">
        <f>IFERROR(__xludf.DUMMYFUNCTION("""COMPUTED_VALUE"""),"")</f>
        <v/>
      </c>
      <c r="M2045" t="str">
        <f>IFERROR(__xludf.DUMMYFUNCTION("""COMPUTED_VALUE"""),"")</f>
        <v/>
      </c>
      <c r="N2045" t="str">
        <f>IFERROR(__xludf.DUMMYFUNCTION("""COMPUTED_VALUE"""),"")</f>
        <v/>
      </c>
      <c r="O2045" t="str">
        <f>IFERROR(__xludf.DUMMYFUNCTION("""COMPUTED_VALUE"""),"")</f>
        <v/>
      </c>
      <c r="P2045" t="str">
        <f>IFERROR(__xludf.DUMMYFUNCTION("""COMPUTED_VALUE"""),"ID ")</f>
        <v>ID </v>
      </c>
    </row>
    <row r="2046">
      <c r="A2046" s="6" t="str">
        <f>IFERROR(__xludf.DUMMYFUNCTION("""COMPUTED_VALUE"""),"")</f>
        <v/>
      </c>
      <c r="C2046" t="str">
        <f>IFERROR(__xludf.DUMMYFUNCTION("""COMPUTED_VALUE"""),"")</f>
        <v/>
      </c>
      <c r="D2046" t="str">
        <f>IFERROR(__xludf.DUMMYFUNCTION("""COMPUTED_VALUE"""),"")</f>
        <v/>
      </c>
      <c r="E2046" t="str">
        <f>IFERROR(__xludf.DUMMYFUNCTION("""COMPUTED_VALUE"""),"")</f>
        <v/>
      </c>
      <c r="F2046" t="str">
        <f>IFERROR(__xludf.DUMMYFUNCTION("""COMPUTED_VALUE"""),"")</f>
        <v/>
      </c>
      <c r="G2046" t="str">
        <f>IFERROR(__xludf.DUMMYFUNCTION("""COMPUTED_VALUE"""),"")</f>
        <v/>
      </c>
      <c r="H2046" s="2" t="str">
        <f>IFERROR(__xludf.DUMMYFUNCTION("""COMPUTED_VALUE"""),"")</f>
        <v/>
      </c>
      <c r="I2046" s="2" t="str">
        <f>IFERROR(__xludf.DUMMYFUNCTION("""COMPUTED_VALUE"""),"")</f>
        <v/>
      </c>
      <c r="J2046" s="2">
        <f>IFERROR(__xludf.DUMMYFUNCTION("""COMPUTED_VALUE"""),0.0)</f>
        <v>0</v>
      </c>
      <c r="K2046" s="5" t="str">
        <f>IFERROR(__xludf.DUMMYFUNCTION("""COMPUTED_VALUE"""),"")</f>
        <v/>
      </c>
      <c r="L2046" t="str">
        <f>IFERROR(__xludf.DUMMYFUNCTION("""COMPUTED_VALUE"""),"")</f>
        <v/>
      </c>
      <c r="M2046" t="str">
        <f>IFERROR(__xludf.DUMMYFUNCTION("""COMPUTED_VALUE"""),"")</f>
        <v/>
      </c>
      <c r="N2046" t="str">
        <f>IFERROR(__xludf.DUMMYFUNCTION("""COMPUTED_VALUE"""),"")</f>
        <v/>
      </c>
      <c r="O2046" t="str">
        <f>IFERROR(__xludf.DUMMYFUNCTION("""COMPUTED_VALUE"""),"")</f>
        <v/>
      </c>
      <c r="P2046" t="str">
        <f>IFERROR(__xludf.DUMMYFUNCTION("""COMPUTED_VALUE"""),"ID ")</f>
        <v>ID </v>
      </c>
    </row>
    <row r="2047">
      <c r="A2047" s="6" t="str">
        <f>IFERROR(__xludf.DUMMYFUNCTION("""COMPUTED_VALUE"""),"")</f>
        <v/>
      </c>
      <c r="C2047" t="str">
        <f>IFERROR(__xludf.DUMMYFUNCTION("""COMPUTED_VALUE"""),"")</f>
        <v/>
      </c>
      <c r="D2047" t="str">
        <f>IFERROR(__xludf.DUMMYFUNCTION("""COMPUTED_VALUE"""),"")</f>
        <v/>
      </c>
      <c r="E2047" t="str">
        <f>IFERROR(__xludf.DUMMYFUNCTION("""COMPUTED_VALUE"""),"")</f>
        <v/>
      </c>
      <c r="F2047" t="str">
        <f>IFERROR(__xludf.DUMMYFUNCTION("""COMPUTED_VALUE"""),"")</f>
        <v/>
      </c>
      <c r="G2047" t="str">
        <f>IFERROR(__xludf.DUMMYFUNCTION("""COMPUTED_VALUE"""),"")</f>
        <v/>
      </c>
      <c r="H2047" s="2" t="str">
        <f>IFERROR(__xludf.DUMMYFUNCTION("""COMPUTED_VALUE"""),"")</f>
        <v/>
      </c>
      <c r="I2047" s="2" t="str">
        <f>IFERROR(__xludf.DUMMYFUNCTION("""COMPUTED_VALUE"""),"")</f>
        <v/>
      </c>
      <c r="J2047" s="2">
        <f>IFERROR(__xludf.DUMMYFUNCTION("""COMPUTED_VALUE"""),0.0)</f>
        <v>0</v>
      </c>
      <c r="K2047" s="5" t="str">
        <f>IFERROR(__xludf.DUMMYFUNCTION("""COMPUTED_VALUE"""),"")</f>
        <v/>
      </c>
      <c r="L2047" t="str">
        <f>IFERROR(__xludf.DUMMYFUNCTION("""COMPUTED_VALUE"""),"")</f>
        <v/>
      </c>
      <c r="M2047" t="str">
        <f>IFERROR(__xludf.DUMMYFUNCTION("""COMPUTED_VALUE"""),"")</f>
        <v/>
      </c>
      <c r="N2047" t="str">
        <f>IFERROR(__xludf.DUMMYFUNCTION("""COMPUTED_VALUE"""),"")</f>
        <v/>
      </c>
      <c r="O2047" t="str">
        <f>IFERROR(__xludf.DUMMYFUNCTION("""COMPUTED_VALUE"""),"")</f>
        <v/>
      </c>
      <c r="P2047" t="str">
        <f>IFERROR(__xludf.DUMMYFUNCTION("""COMPUTED_VALUE"""),"ID ")</f>
        <v>ID </v>
      </c>
    </row>
    <row r="2048">
      <c r="A2048" s="6" t="str">
        <f>IFERROR(__xludf.DUMMYFUNCTION("""COMPUTED_VALUE"""),"")</f>
        <v/>
      </c>
      <c r="C2048" t="str">
        <f>IFERROR(__xludf.DUMMYFUNCTION("""COMPUTED_VALUE"""),"")</f>
        <v/>
      </c>
      <c r="D2048" t="str">
        <f>IFERROR(__xludf.DUMMYFUNCTION("""COMPUTED_VALUE"""),"")</f>
        <v/>
      </c>
      <c r="E2048" t="str">
        <f>IFERROR(__xludf.DUMMYFUNCTION("""COMPUTED_VALUE"""),"")</f>
        <v/>
      </c>
      <c r="F2048" t="str">
        <f>IFERROR(__xludf.DUMMYFUNCTION("""COMPUTED_VALUE"""),"")</f>
        <v/>
      </c>
      <c r="G2048" t="str">
        <f>IFERROR(__xludf.DUMMYFUNCTION("""COMPUTED_VALUE"""),"")</f>
        <v/>
      </c>
      <c r="H2048" s="2" t="str">
        <f>IFERROR(__xludf.DUMMYFUNCTION("""COMPUTED_VALUE"""),"")</f>
        <v/>
      </c>
      <c r="I2048" s="2" t="str">
        <f>IFERROR(__xludf.DUMMYFUNCTION("""COMPUTED_VALUE"""),"")</f>
        <v/>
      </c>
      <c r="J2048" s="2">
        <f>IFERROR(__xludf.DUMMYFUNCTION("""COMPUTED_VALUE"""),0.0)</f>
        <v>0</v>
      </c>
      <c r="K2048" s="5" t="str">
        <f>IFERROR(__xludf.DUMMYFUNCTION("""COMPUTED_VALUE"""),"")</f>
        <v/>
      </c>
      <c r="L2048" t="str">
        <f>IFERROR(__xludf.DUMMYFUNCTION("""COMPUTED_VALUE"""),"")</f>
        <v/>
      </c>
      <c r="M2048" t="str">
        <f>IFERROR(__xludf.DUMMYFUNCTION("""COMPUTED_VALUE"""),"")</f>
        <v/>
      </c>
      <c r="N2048" t="str">
        <f>IFERROR(__xludf.DUMMYFUNCTION("""COMPUTED_VALUE"""),"")</f>
        <v/>
      </c>
      <c r="O2048" t="str">
        <f>IFERROR(__xludf.DUMMYFUNCTION("""COMPUTED_VALUE"""),"")</f>
        <v/>
      </c>
      <c r="P2048" t="str">
        <f>IFERROR(__xludf.DUMMYFUNCTION("""COMPUTED_VALUE"""),"ID ")</f>
        <v>ID </v>
      </c>
    </row>
    <row r="2049">
      <c r="A2049" s="6" t="str">
        <f>IFERROR(__xludf.DUMMYFUNCTION("""COMPUTED_VALUE"""),"")</f>
        <v/>
      </c>
      <c r="C2049" t="str">
        <f>IFERROR(__xludf.DUMMYFUNCTION("""COMPUTED_VALUE"""),"")</f>
        <v/>
      </c>
      <c r="D2049" t="str">
        <f>IFERROR(__xludf.DUMMYFUNCTION("""COMPUTED_VALUE"""),"")</f>
        <v/>
      </c>
      <c r="E2049" t="str">
        <f>IFERROR(__xludf.DUMMYFUNCTION("""COMPUTED_VALUE"""),"")</f>
        <v/>
      </c>
      <c r="F2049" t="str">
        <f>IFERROR(__xludf.DUMMYFUNCTION("""COMPUTED_VALUE"""),"")</f>
        <v/>
      </c>
      <c r="G2049" t="str">
        <f>IFERROR(__xludf.DUMMYFUNCTION("""COMPUTED_VALUE"""),"")</f>
        <v/>
      </c>
      <c r="H2049" s="2" t="str">
        <f>IFERROR(__xludf.DUMMYFUNCTION("""COMPUTED_VALUE"""),"")</f>
        <v/>
      </c>
      <c r="I2049" s="2" t="str">
        <f>IFERROR(__xludf.DUMMYFUNCTION("""COMPUTED_VALUE"""),"")</f>
        <v/>
      </c>
      <c r="J2049" s="2">
        <f>IFERROR(__xludf.DUMMYFUNCTION("""COMPUTED_VALUE"""),0.0)</f>
        <v>0</v>
      </c>
      <c r="K2049" s="5" t="str">
        <f>IFERROR(__xludf.DUMMYFUNCTION("""COMPUTED_VALUE"""),"")</f>
        <v/>
      </c>
      <c r="L2049" t="str">
        <f>IFERROR(__xludf.DUMMYFUNCTION("""COMPUTED_VALUE"""),"")</f>
        <v/>
      </c>
      <c r="M2049" t="str">
        <f>IFERROR(__xludf.DUMMYFUNCTION("""COMPUTED_VALUE"""),"")</f>
        <v/>
      </c>
      <c r="N2049" t="str">
        <f>IFERROR(__xludf.DUMMYFUNCTION("""COMPUTED_VALUE"""),"")</f>
        <v/>
      </c>
      <c r="O2049" t="str">
        <f>IFERROR(__xludf.DUMMYFUNCTION("""COMPUTED_VALUE"""),"")</f>
        <v/>
      </c>
      <c r="P2049" t="str">
        <f>IFERROR(__xludf.DUMMYFUNCTION("""COMPUTED_VALUE"""),"ID ")</f>
        <v>ID </v>
      </c>
    </row>
    <row r="2050">
      <c r="A2050" s="6" t="str">
        <f>IFERROR(__xludf.DUMMYFUNCTION("""COMPUTED_VALUE"""),"")</f>
        <v/>
      </c>
      <c r="C2050" t="str">
        <f>IFERROR(__xludf.DUMMYFUNCTION("""COMPUTED_VALUE"""),"")</f>
        <v/>
      </c>
      <c r="D2050" t="str">
        <f>IFERROR(__xludf.DUMMYFUNCTION("""COMPUTED_VALUE"""),"")</f>
        <v/>
      </c>
      <c r="E2050" t="str">
        <f>IFERROR(__xludf.DUMMYFUNCTION("""COMPUTED_VALUE"""),"")</f>
        <v/>
      </c>
      <c r="F2050" t="str">
        <f>IFERROR(__xludf.DUMMYFUNCTION("""COMPUTED_VALUE"""),"")</f>
        <v/>
      </c>
      <c r="G2050" t="str">
        <f>IFERROR(__xludf.DUMMYFUNCTION("""COMPUTED_VALUE"""),"")</f>
        <v/>
      </c>
      <c r="H2050" s="2" t="str">
        <f>IFERROR(__xludf.DUMMYFUNCTION("""COMPUTED_VALUE"""),"")</f>
        <v/>
      </c>
      <c r="I2050" s="2" t="str">
        <f>IFERROR(__xludf.DUMMYFUNCTION("""COMPUTED_VALUE"""),"")</f>
        <v/>
      </c>
      <c r="J2050" s="2">
        <f>IFERROR(__xludf.DUMMYFUNCTION("""COMPUTED_VALUE"""),0.0)</f>
        <v>0</v>
      </c>
      <c r="K2050" s="5" t="str">
        <f>IFERROR(__xludf.DUMMYFUNCTION("""COMPUTED_VALUE"""),"")</f>
        <v/>
      </c>
      <c r="L2050" t="str">
        <f>IFERROR(__xludf.DUMMYFUNCTION("""COMPUTED_VALUE"""),"")</f>
        <v/>
      </c>
      <c r="M2050" t="str">
        <f>IFERROR(__xludf.DUMMYFUNCTION("""COMPUTED_VALUE"""),"")</f>
        <v/>
      </c>
      <c r="N2050" t="str">
        <f>IFERROR(__xludf.DUMMYFUNCTION("""COMPUTED_VALUE"""),"")</f>
        <v/>
      </c>
      <c r="O2050" t="str">
        <f>IFERROR(__xludf.DUMMYFUNCTION("""COMPUTED_VALUE"""),"")</f>
        <v/>
      </c>
      <c r="P2050" t="str">
        <f>IFERROR(__xludf.DUMMYFUNCTION("""COMPUTED_VALUE"""),"ID ")</f>
        <v>ID </v>
      </c>
    </row>
    <row r="2051">
      <c r="A2051" s="6" t="str">
        <f>IFERROR(__xludf.DUMMYFUNCTION("""COMPUTED_VALUE"""),"")</f>
        <v/>
      </c>
      <c r="C2051" t="str">
        <f>IFERROR(__xludf.DUMMYFUNCTION("""COMPUTED_VALUE"""),"")</f>
        <v/>
      </c>
      <c r="D2051" t="str">
        <f>IFERROR(__xludf.DUMMYFUNCTION("""COMPUTED_VALUE"""),"")</f>
        <v/>
      </c>
      <c r="E2051" t="str">
        <f>IFERROR(__xludf.DUMMYFUNCTION("""COMPUTED_VALUE"""),"")</f>
        <v/>
      </c>
      <c r="F2051" t="str">
        <f>IFERROR(__xludf.DUMMYFUNCTION("""COMPUTED_VALUE"""),"")</f>
        <v/>
      </c>
      <c r="G2051" t="str">
        <f>IFERROR(__xludf.DUMMYFUNCTION("""COMPUTED_VALUE"""),"")</f>
        <v/>
      </c>
      <c r="H2051" s="2" t="str">
        <f>IFERROR(__xludf.DUMMYFUNCTION("""COMPUTED_VALUE"""),"")</f>
        <v/>
      </c>
      <c r="I2051" s="2" t="str">
        <f>IFERROR(__xludf.DUMMYFUNCTION("""COMPUTED_VALUE"""),"")</f>
        <v/>
      </c>
      <c r="J2051" s="2">
        <f>IFERROR(__xludf.DUMMYFUNCTION("""COMPUTED_VALUE"""),0.0)</f>
        <v>0</v>
      </c>
      <c r="K2051" s="5" t="str">
        <f>IFERROR(__xludf.DUMMYFUNCTION("""COMPUTED_VALUE"""),"")</f>
        <v/>
      </c>
      <c r="L2051" t="str">
        <f>IFERROR(__xludf.DUMMYFUNCTION("""COMPUTED_VALUE"""),"")</f>
        <v/>
      </c>
      <c r="M2051" t="str">
        <f>IFERROR(__xludf.DUMMYFUNCTION("""COMPUTED_VALUE"""),"")</f>
        <v/>
      </c>
      <c r="N2051" t="str">
        <f>IFERROR(__xludf.DUMMYFUNCTION("""COMPUTED_VALUE"""),"")</f>
        <v/>
      </c>
      <c r="O2051" t="str">
        <f>IFERROR(__xludf.DUMMYFUNCTION("""COMPUTED_VALUE"""),"")</f>
        <v/>
      </c>
      <c r="P2051" t="str">
        <f>IFERROR(__xludf.DUMMYFUNCTION("""COMPUTED_VALUE"""),"ID ")</f>
        <v>ID </v>
      </c>
    </row>
    <row r="2052">
      <c r="A2052" s="6" t="str">
        <f>IFERROR(__xludf.DUMMYFUNCTION("""COMPUTED_VALUE"""),"")</f>
        <v/>
      </c>
      <c r="C2052" t="str">
        <f>IFERROR(__xludf.DUMMYFUNCTION("""COMPUTED_VALUE"""),"")</f>
        <v/>
      </c>
      <c r="D2052" t="str">
        <f>IFERROR(__xludf.DUMMYFUNCTION("""COMPUTED_VALUE"""),"")</f>
        <v/>
      </c>
      <c r="E2052" t="str">
        <f>IFERROR(__xludf.DUMMYFUNCTION("""COMPUTED_VALUE"""),"")</f>
        <v/>
      </c>
      <c r="F2052" t="str">
        <f>IFERROR(__xludf.DUMMYFUNCTION("""COMPUTED_VALUE"""),"")</f>
        <v/>
      </c>
      <c r="G2052" t="str">
        <f>IFERROR(__xludf.DUMMYFUNCTION("""COMPUTED_VALUE"""),"")</f>
        <v/>
      </c>
      <c r="H2052" s="2" t="str">
        <f>IFERROR(__xludf.DUMMYFUNCTION("""COMPUTED_VALUE"""),"")</f>
        <v/>
      </c>
      <c r="I2052" s="2" t="str">
        <f>IFERROR(__xludf.DUMMYFUNCTION("""COMPUTED_VALUE"""),"")</f>
        <v/>
      </c>
      <c r="J2052" s="2">
        <f>IFERROR(__xludf.DUMMYFUNCTION("""COMPUTED_VALUE"""),0.0)</f>
        <v>0</v>
      </c>
      <c r="K2052" s="5" t="str">
        <f>IFERROR(__xludf.DUMMYFUNCTION("""COMPUTED_VALUE"""),"")</f>
        <v/>
      </c>
      <c r="L2052" t="str">
        <f>IFERROR(__xludf.DUMMYFUNCTION("""COMPUTED_VALUE"""),"")</f>
        <v/>
      </c>
      <c r="M2052" t="str">
        <f>IFERROR(__xludf.DUMMYFUNCTION("""COMPUTED_VALUE"""),"")</f>
        <v/>
      </c>
      <c r="N2052" t="str">
        <f>IFERROR(__xludf.DUMMYFUNCTION("""COMPUTED_VALUE"""),"")</f>
        <v/>
      </c>
      <c r="O2052" t="str">
        <f>IFERROR(__xludf.DUMMYFUNCTION("""COMPUTED_VALUE"""),"")</f>
        <v/>
      </c>
      <c r="P2052" t="str">
        <f>IFERROR(__xludf.DUMMYFUNCTION("""COMPUTED_VALUE"""),"ID ")</f>
        <v>ID </v>
      </c>
    </row>
    <row r="2053">
      <c r="A2053" s="6" t="str">
        <f>IFERROR(__xludf.DUMMYFUNCTION("""COMPUTED_VALUE"""),"")</f>
        <v/>
      </c>
      <c r="C2053" t="str">
        <f>IFERROR(__xludf.DUMMYFUNCTION("""COMPUTED_VALUE"""),"")</f>
        <v/>
      </c>
      <c r="D2053" t="str">
        <f>IFERROR(__xludf.DUMMYFUNCTION("""COMPUTED_VALUE"""),"")</f>
        <v/>
      </c>
      <c r="E2053" t="str">
        <f>IFERROR(__xludf.DUMMYFUNCTION("""COMPUTED_VALUE"""),"")</f>
        <v/>
      </c>
      <c r="F2053" t="str">
        <f>IFERROR(__xludf.DUMMYFUNCTION("""COMPUTED_VALUE"""),"")</f>
        <v/>
      </c>
      <c r="G2053" t="str">
        <f>IFERROR(__xludf.DUMMYFUNCTION("""COMPUTED_VALUE"""),"")</f>
        <v/>
      </c>
      <c r="H2053" s="2" t="str">
        <f>IFERROR(__xludf.DUMMYFUNCTION("""COMPUTED_VALUE"""),"")</f>
        <v/>
      </c>
      <c r="I2053" s="2" t="str">
        <f>IFERROR(__xludf.DUMMYFUNCTION("""COMPUTED_VALUE"""),"")</f>
        <v/>
      </c>
      <c r="J2053" s="2">
        <f>IFERROR(__xludf.DUMMYFUNCTION("""COMPUTED_VALUE"""),0.0)</f>
        <v>0</v>
      </c>
      <c r="K2053" s="5" t="str">
        <f>IFERROR(__xludf.DUMMYFUNCTION("""COMPUTED_VALUE"""),"")</f>
        <v/>
      </c>
      <c r="L2053" t="str">
        <f>IFERROR(__xludf.DUMMYFUNCTION("""COMPUTED_VALUE"""),"")</f>
        <v/>
      </c>
      <c r="M2053" t="str">
        <f>IFERROR(__xludf.DUMMYFUNCTION("""COMPUTED_VALUE"""),"")</f>
        <v/>
      </c>
      <c r="N2053" t="str">
        <f>IFERROR(__xludf.DUMMYFUNCTION("""COMPUTED_VALUE"""),"")</f>
        <v/>
      </c>
      <c r="O2053" t="str">
        <f>IFERROR(__xludf.DUMMYFUNCTION("""COMPUTED_VALUE"""),"")</f>
        <v/>
      </c>
      <c r="P2053" t="str">
        <f>IFERROR(__xludf.DUMMYFUNCTION("""COMPUTED_VALUE"""),"ID ")</f>
        <v>ID </v>
      </c>
    </row>
    <row r="2054">
      <c r="A2054" s="6" t="str">
        <f>IFERROR(__xludf.DUMMYFUNCTION("""COMPUTED_VALUE"""),"")</f>
        <v/>
      </c>
      <c r="C2054" t="str">
        <f>IFERROR(__xludf.DUMMYFUNCTION("""COMPUTED_VALUE"""),"")</f>
        <v/>
      </c>
      <c r="D2054" t="str">
        <f>IFERROR(__xludf.DUMMYFUNCTION("""COMPUTED_VALUE"""),"")</f>
        <v/>
      </c>
      <c r="E2054" t="str">
        <f>IFERROR(__xludf.DUMMYFUNCTION("""COMPUTED_VALUE"""),"")</f>
        <v/>
      </c>
      <c r="F2054" t="str">
        <f>IFERROR(__xludf.DUMMYFUNCTION("""COMPUTED_VALUE"""),"")</f>
        <v/>
      </c>
      <c r="G2054" t="str">
        <f>IFERROR(__xludf.DUMMYFUNCTION("""COMPUTED_VALUE"""),"")</f>
        <v/>
      </c>
      <c r="H2054" s="2" t="str">
        <f>IFERROR(__xludf.DUMMYFUNCTION("""COMPUTED_VALUE"""),"")</f>
        <v/>
      </c>
      <c r="I2054" s="2" t="str">
        <f>IFERROR(__xludf.DUMMYFUNCTION("""COMPUTED_VALUE"""),"")</f>
        <v/>
      </c>
      <c r="J2054" s="2">
        <f>IFERROR(__xludf.DUMMYFUNCTION("""COMPUTED_VALUE"""),0.0)</f>
        <v>0</v>
      </c>
      <c r="K2054" s="5" t="str">
        <f>IFERROR(__xludf.DUMMYFUNCTION("""COMPUTED_VALUE"""),"")</f>
        <v/>
      </c>
      <c r="L2054" t="str">
        <f>IFERROR(__xludf.DUMMYFUNCTION("""COMPUTED_VALUE"""),"")</f>
        <v/>
      </c>
      <c r="M2054" t="str">
        <f>IFERROR(__xludf.DUMMYFUNCTION("""COMPUTED_VALUE"""),"")</f>
        <v/>
      </c>
      <c r="N2054" t="str">
        <f>IFERROR(__xludf.DUMMYFUNCTION("""COMPUTED_VALUE"""),"")</f>
        <v/>
      </c>
      <c r="O2054" t="str">
        <f>IFERROR(__xludf.DUMMYFUNCTION("""COMPUTED_VALUE"""),"")</f>
        <v/>
      </c>
      <c r="P2054" t="str">
        <f>IFERROR(__xludf.DUMMYFUNCTION("""COMPUTED_VALUE"""),"ID ")</f>
        <v>ID </v>
      </c>
    </row>
    <row r="2055">
      <c r="A2055" s="6" t="str">
        <f>IFERROR(__xludf.DUMMYFUNCTION("""COMPUTED_VALUE"""),"")</f>
        <v/>
      </c>
      <c r="C2055" t="str">
        <f>IFERROR(__xludf.DUMMYFUNCTION("""COMPUTED_VALUE"""),"")</f>
        <v/>
      </c>
      <c r="D2055" t="str">
        <f>IFERROR(__xludf.DUMMYFUNCTION("""COMPUTED_VALUE"""),"")</f>
        <v/>
      </c>
      <c r="E2055" t="str">
        <f>IFERROR(__xludf.DUMMYFUNCTION("""COMPUTED_VALUE"""),"")</f>
        <v/>
      </c>
      <c r="F2055" t="str">
        <f>IFERROR(__xludf.DUMMYFUNCTION("""COMPUTED_VALUE"""),"")</f>
        <v/>
      </c>
      <c r="G2055" t="str">
        <f>IFERROR(__xludf.DUMMYFUNCTION("""COMPUTED_VALUE"""),"")</f>
        <v/>
      </c>
      <c r="H2055" s="2" t="str">
        <f>IFERROR(__xludf.DUMMYFUNCTION("""COMPUTED_VALUE"""),"")</f>
        <v/>
      </c>
      <c r="I2055" s="2" t="str">
        <f>IFERROR(__xludf.DUMMYFUNCTION("""COMPUTED_VALUE"""),"")</f>
        <v/>
      </c>
      <c r="J2055" s="2">
        <f>IFERROR(__xludf.DUMMYFUNCTION("""COMPUTED_VALUE"""),0.0)</f>
        <v>0</v>
      </c>
      <c r="K2055" s="5" t="str">
        <f>IFERROR(__xludf.DUMMYFUNCTION("""COMPUTED_VALUE"""),"")</f>
        <v/>
      </c>
      <c r="L2055" t="str">
        <f>IFERROR(__xludf.DUMMYFUNCTION("""COMPUTED_VALUE"""),"")</f>
        <v/>
      </c>
      <c r="M2055" t="str">
        <f>IFERROR(__xludf.DUMMYFUNCTION("""COMPUTED_VALUE"""),"")</f>
        <v/>
      </c>
      <c r="N2055" t="str">
        <f>IFERROR(__xludf.DUMMYFUNCTION("""COMPUTED_VALUE"""),"")</f>
        <v/>
      </c>
      <c r="O2055" t="str">
        <f>IFERROR(__xludf.DUMMYFUNCTION("""COMPUTED_VALUE"""),"")</f>
        <v/>
      </c>
      <c r="P2055" t="str">
        <f>IFERROR(__xludf.DUMMYFUNCTION("""COMPUTED_VALUE"""),"ID ")</f>
        <v>ID </v>
      </c>
    </row>
    <row r="2056">
      <c r="A2056" s="6" t="str">
        <f>IFERROR(__xludf.DUMMYFUNCTION("""COMPUTED_VALUE"""),"")</f>
        <v/>
      </c>
      <c r="C2056" t="str">
        <f>IFERROR(__xludf.DUMMYFUNCTION("""COMPUTED_VALUE"""),"")</f>
        <v/>
      </c>
      <c r="D2056" t="str">
        <f>IFERROR(__xludf.DUMMYFUNCTION("""COMPUTED_VALUE"""),"")</f>
        <v/>
      </c>
      <c r="E2056" t="str">
        <f>IFERROR(__xludf.DUMMYFUNCTION("""COMPUTED_VALUE"""),"")</f>
        <v/>
      </c>
      <c r="F2056" t="str">
        <f>IFERROR(__xludf.DUMMYFUNCTION("""COMPUTED_VALUE"""),"")</f>
        <v/>
      </c>
      <c r="G2056" t="str">
        <f>IFERROR(__xludf.DUMMYFUNCTION("""COMPUTED_VALUE"""),"")</f>
        <v/>
      </c>
      <c r="H2056" s="2" t="str">
        <f>IFERROR(__xludf.DUMMYFUNCTION("""COMPUTED_VALUE"""),"")</f>
        <v/>
      </c>
      <c r="I2056" s="2" t="str">
        <f>IFERROR(__xludf.DUMMYFUNCTION("""COMPUTED_VALUE"""),"")</f>
        <v/>
      </c>
      <c r="J2056" s="2">
        <f>IFERROR(__xludf.DUMMYFUNCTION("""COMPUTED_VALUE"""),0.0)</f>
        <v>0</v>
      </c>
      <c r="K2056" s="5" t="str">
        <f>IFERROR(__xludf.DUMMYFUNCTION("""COMPUTED_VALUE"""),"")</f>
        <v/>
      </c>
      <c r="L2056" t="str">
        <f>IFERROR(__xludf.DUMMYFUNCTION("""COMPUTED_VALUE"""),"")</f>
        <v/>
      </c>
      <c r="M2056" t="str">
        <f>IFERROR(__xludf.DUMMYFUNCTION("""COMPUTED_VALUE"""),"")</f>
        <v/>
      </c>
      <c r="N2056" t="str">
        <f>IFERROR(__xludf.DUMMYFUNCTION("""COMPUTED_VALUE"""),"")</f>
        <v/>
      </c>
      <c r="O2056" t="str">
        <f>IFERROR(__xludf.DUMMYFUNCTION("""COMPUTED_VALUE"""),"")</f>
        <v/>
      </c>
      <c r="P2056" t="str">
        <f>IFERROR(__xludf.DUMMYFUNCTION("""COMPUTED_VALUE"""),"ID ")</f>
        <v>ID </v>
      </c>
    </row>
    <row r="2057">
      <c r="A2057" s="6" t="str">
        <f>IFERROR(__xludf.DUMMYFUNCTION("""COMPUTED_VALUE"""),"")</f>
        <v/>
      </c>
      <c r="C2057" t="str">
        <f>IFERROR(__xludf.DUMMYFUNCTION("""COMPUTED_VALUE"""),"")</f>
        <v/>
      </c>
      <c r="D2057" t="str">
        <f>IFERROR(__xludf.DUMMYFUNCTION("""COMPUTED_VALUE"""),"")</f>
        <v/>
      </c>
      <c r="E2057" t="str">
        <f>IFERROR(__xludf.DUMMYFUNCTION("""COMPUTED_VALUE"""),"")</f>
        <v/>
      </c>
      <c r="F2057" t="str">
        <f>IFERROR(__xludf.DUMMYFUNCTION("""COMPUTED_VALUE"""),"")</f>
        <v/>
      </c>
      <c r="G2057" t="str">
        <f>IFERROR(__xludf.DUMMYFUNCTION("""COMPUTED_VALUE"""),"")</f>
        <v/>
      </c>
      <c r="H2057" s="2" t="str">
        <f>IFERROR(__xludf.DUMMYFUNCTION("""COMPUTED_VALUE"""),"")</f>
        <v/>
      </c>
      <c r="I2057" s="2" t="str">
        <f>IFERROR(__xludf.DUMMYFUNCTION("""COMPUTED_VALUE"""),"")</f>
        <v/>
      </c>
      <c r="J2057" s="2">
        <f>IFERROR(__xludf.DUMMYFUNCTION("""COMPUTED_VALUE"""),0.0)</f>
        <v>0</v>
      </c>
      <c r="K2057" s="5" t="str">
        <f>IFERROR(__xludf.DUMMYFUNCTION("""COMPUTED_VALUE"""),"")</f>
        <v/>
      </c>
      <c r="L2057" t="str">
        <f>IFERROR(__xludf.DUMMYFUNCTION("""COMPUTED_VALUE"""),"")</f>
        <v/>
      </c>
      <c r="M2057" t="str">
        <f>IFERROR(__xludf.DUMMYFUNCTION("""COMPUTED_VALUE"""),"")</f>
        <v/>
      </c>
      <c r="N2057" t="str">
        <f>IFERROR(__xludf.DUMMYFUNCTION("""COMPUTED_VALUE"""),"")</f>
        <v/>
      </c>
      <c r="O2057" t="str">
        <f>IFERROR(__xludf.DUMMYFUNCTION("""COMPUTED_VALUE"""),"")</f>
        <v/>
      </c>
      <c r="P2057" t="str">
        <f>IFERROR(__xludf.DUMMYFUNCTION("""COMPUTED_VALUE"""),"ID ")</f>
        <v>ID </v>
      </c>
    </row>
    <row r="2058">
      <c r="A2058" s="6" t="str">
        <f>IFERROR(__xludf.DUMMYFUNCTION("""COMPUTED_VALUE"""),"")</f>
        <v/>
      </c>
      <c r="C2058" t="str">
        <f>IFERROR(__xludf.DUMMYFUNCTION("""COMPUTED_VALUE"""),"")</f>
        <v/>
      </c>
      <c r="D2058" t="str">
        <f>IFERROR(__xludf.DUMMYFUNCTION("""COMPUTED_VALUE"""),"")</f>
        <v/>
      </c>
      <c r="E2058" t="str">
        <f>IFERROR(__xludf.DUMMYFUNCTION("""COMPUTED_VALUE"""),"")</f>
        <v/>
      </c>
      <c r="F2058" t="str">
        <f>IFERROR(__xludf.DUMMYFUNCTION("""COMPUTED_VALUE"""),"")</f>
        <v/>
      </c>
      <c r="G2058" t="str">
        <f>IFERROR(__xludf.DUMMYFUNCTION("""COMPUTED_VALUE"""),"")</f>
        <v/>
      </c>
      <c r="H2058" s="2" t="str">
        <f>IFERROR(__xludf.DUMMYFUNCTION("""COMPUTED_VALUE"""),"")</f>
        <v/>
      </c>
      <c r="I2058" s="2" t="str">
        <f>IFERROR(__xludf.DUMMYFUNCTION("""COMPUTED_VALUE"""),"")</f>
        <v/>
      </c>
      <c r="J2058" s="2">
        <f>IFERROR(__xludf.DUMMYFUNCTION("""COMPUTED_VALUE"""),0.0)</f>
        <v>0</v>
      </c>
      <c r="K2058" s="5" t="str">
        <f>IFERROR(__xludf.DUMMYFUNCTION("""COMPUTED_VALUE"""),"")</f>
        <v/>
      </c>
      <c r="L2058" t="str">
        <f>IFERROR(__xludf.DUMMYFUNCTION("""COMPUTED_VALUE"""),"")</f>
        <v/>
      </c>
      <c r="M2058" t="str">
        <f>IFERROR(__xludf.DUMMYFUNCTION("""COMPUTED_VALUE"""),"")</f>
        <v/>
      </c>
      <c r="N2058" t="str">
        <f>IFERROR(__xludf.DUMMYFUNCTION("""COMPUTED_VALUE"""),"")</f>
        <v/>
      </c>
      <c r="O2058" t="str">
        <f>IFERROR(__xludf.DUMMYFUNCTION("""COMPUTED_VALUE"""),"")</f>
        <v/>
      </c>
      <c r="P2058" t="str">
        <f>IFERROR(__xludf.DUMMYFUNCTION("""COMPUTED_VALUE"""),"ID ")</f>
        <v>ID </v>
      </c>
    </row>
    <row r="2059">
      <c r="A2059" s="6" t="str">
        <f>IFERROR(__xludf.DUMMYFUNCTION("""COMPUTED_VALUE"""),"")</f>
        <v/>
      </c>
      <c r="C2059" t="str">
        <f>IFERROR(__xludf.DUMMYFUNCTION("""COMPUTED_VALUE"""),"")</f>
        <v/>
      </c>
      <c r="D2059" t="str">
        <f>IFERROR(__xludf.DUMMYFUNCTION("""COMPUTED_VALUE"""),"")</f>
        <v/>
      </c>
      <c r="E2059" t="str">
        <f>IFERROR(__xludf.DUMMYFUNCTION("""COMPUTED_VALUE"""),"")</f>
        <v/>
      </c>
      <c r="F2059" t="str">
        <f>IFERROR(__xludf.DUMMYFUNCTION("""COMPUTED_VALUE"""),"")</f>
        <v/>
      </c>
      <c r="G2059" t="str">
        <f>IFERROR(__xludf.DUMMYFUNCTION("""COMPUTED_VALUE"""),"")</f>
        <v/>
      </c>
      <c r="H2059" s="2" t="str">
        <f>IFERROR(__xludf.DUMMYFUNCTION("""COMPUTED_VALUE"""),"")</f>
        <v/>
      </c>
      <c r="I2059" s="2" t="str">
        <f>IFERROR(__xludf.DUMMYFUNCTION("""COMPUTED_VALUE"""),"")</f>
        <v/>
      </c>
      <c r="J2059" s="2">
        <f>IFERROR(__xludf.DUMMYFUNCTION("""COMPUTED_VALUE"""),0.0)</f>
        <v>0</v>
      </c>
      <c r="K2059" s="5" t="str">
        <f>IFERROR(__xludf.DUMMYFUNCTION("""COMPUTED_VALUE"""),"")</f>
        <v/>
      </c>
      <c r="L2059" t="str">
        <f>IFERROR(__xludf.DUMMYFUNCTION("""COMPUTED_VALUE"""),"")</f>
        <v/>
      </c>
      <c r="M2059" t="str">
        <f>IFERROR(__xludf.DUMMYFUNCTION("""COMPUTED_VALUE"""),"")</f>
        <v/>
      </c>
      <c r="N2059" t="str">
        <f>IFERROR(__xludf.DUMMYFUNCTION("""COMPUTED_VALUE"""),"")</f>
        <v/>
      </c>
      <c r="O2059" t="str">
        <f>IFERROR(__xludf.DUMMYFUNCTION("""COMPUTED_VALUE"""),"")</f>
        <v/>
      </c>
      <c r="P2059" t="str">
        <f>IFERROR(__xludf.DUMMYFUNCTION("""COMPUTED_VALUE"""),"ID ")</f>
        <v>ID </v>
      </c>
    </row>
    <row r="2060">
      <c r="A2060" s="6" t="str">
        <f>IFERROR(__xludf.DUMMYFUNCTION("""COMPUTED_VALUE"""),"")</f>
        <v/>
      </c>
      <c r="C2060" t="str">
        <f>IFERROR(__xludf.DUMMYFUNCTION("""COMPUTED_VALUE"""),"")</f>
        <v/>
      </c>
      <c r="D2060" t="str">
        <f>IFERROR(__xludf.DUMMYFUNCTION("""COMPUTED_VALUE"""),"")</f>
        <v/>
      </c>
      <c r="E2060" t="str">
        <f>IFERROR(__xludf.DUMMYFUNCTION("""COMPUTED_VALUE"""),"")</f>
        <v/>
      </c>
      <c r="F2060" t="str">
        <f>IFERROR(__xludf.DUMMYFUNCTION("""COMPUTED_VALUE"""),"")</f>
        <v/>
      </c>
      <c r="G2060" t="str">
        <f>IFERROR(__xludf.DUMMYFUNCTION("""COMPUTED_VALUE"""),"")</f>
        <v/>
      </c>
      <c r="H2060" s="2" t="str">
        <f>IFERROR(__xludf.DUMMYFUNCTION("""COMPUTED_VALUE"""),"")</f>
        <v/>
      </c>
      <c r="I2060" s="2" t="str">
        <f>IFERROR(__xludf.DUMMYFUNCTION("""COMPUTED_VALUE"""),"")</f>
        <v/>
      </c>
      <c r="J2060" s="2">
        <f>IFERROR(__xludf.DUMMYFUNCTION("""COMPUTED_VALUE"""),0.0)</f>
        <v>0</v>
      </c>
      <c r="K2060" s="5" t="str">
        <f>IFERROR(__xludf.DUMMYFUNCTION("""COMPUTED_VALUE"""),"")</f>
        <v/>
      </c>
      <c r="L2060" t="str">
        <f>IFERROR(__xludf.DUMMYFUNCTION("""COMPUTED_VALUE"""),"")</f>
        <v/>
      </c>
      <c r="M2060" t="str">
        <f>IFERROR(__xludf.DUMMYFUNCTION("""COMPUTED_VALUE"""),"")</f>
        <v/>
      </c>
      <c r="N2060" t="str">
        <f>IFERROR(__xludf.DUMMYFUNCTION("""COMPUTED_VALUE"""),"")</f>
        <v/>
      </c>
      <c r="O2060" t="str">
        <f>IFERROR(__xludf.DUMMYFUNCTION("""COMPUTED_VALUE"""),"")</f>
        <v/>
      </c>
      <c r="P2060" t="str">
        <f>IFERROR(__xludf.DUMMYFUNCTION("""COMPUTED_VALUE"""),"ID ")</f>
        <v>ID </v>
      </c>
    </row>
    <row r="2061">
      <c r="A2061" s="6" t="str">
        <f>IFERROR(__xludf.DUMMYFUNCTION("""COMPUTED_VALUE"""),"")</f>
        <v/>
      </c>
      <c r="C2061" t="str">
        <f>IFERROR(__xludf.DUMMYFUNCTION("""COMPUTED_VALUE"""),"")</f>
        <v/>
      </c>
      <c r="D2061" t="str">
        <f>IFERROR(__xludf.DUMMYFUNCTION("""COMPUTED_VALUE"""),"")</f>
        <v/>
      </c>
      <c r="E2061" t="str">
        <f>IFERROR(__xludf.DUMMYFUNCTION("""COMPUTED_VALUE"""),"")</f>
        <v/>
      </c>
      <c r="F2061" t="str">
        <f>IFERROR(__xludf.DUMMYFUNCTION("""COMPUTED_VALUE"""),"")</f>
        <v/>
      </c>
      <c r="G2061" t="str">
        <f>IFERROR(__xludf.DUMMYFUNCTION("""COMPUTED_VALUE"""),"")</f>
        <v/>
      </c>
      <c r="H2061" s="2" t="str">
        <f>IFERROR(__xludf.DUMMYFUNCTION("""COMPUTED_VALUE"""),"")</f>
        <v/>
      </c>
      <c r="I2061" s="2" t="str">
        <f>IFERROR(__xludf.DUMMYFUNCTION("""COMPUTED_VALUE"""),"")</f>
        <v/>
      </c>
      <c r="J2061" s="2">
        <f>IFERROR(__xludf.DUMMYFUNCTION("""COMPUTED_VALUE"""),0.0)</f>
        <v>0</v>
      </c>
      <c r="K2061" s="5" t="str">
        <f>IFERROR(__xludf.DUMMYFUNCTION("""COMPUTED_VALUE"""),"")</f>
        <v/>
      </c>
      <c r="L2061" t="str">
        <f>IFERROR(__xludf.DUMMYFUNCTION("""COMPUTED_VALUE"""),"")</f>
        <v/>
      </c>
      <c r="M2061" t="str">
        <f>IFERROR(__xludf.DUMMYFUNCTION("""COMPUTED_VALUE"""),"")</f>
        <v/>
      </c>
      <c r="N2061" t="str">
        <f>IFERROR(__xludf.DUMMYFUNCTION("""COMPUTED_VALUE"""),"")</f>
        <v/>
      </c>
      <c r="O2061" t="str">
        <f>IFERROR(__xludf.DUMMYFUNCTION("""COMPUTED_VALUE"""),"")</f>
        <v/>
      </c>
      <c r="P2061" t="str">
        <f>IFERROR(__xludf.DUMMYFUNCTION("""COMPUTED_VALUE"""),"ID ")</f>
        <v>ID </v>
      </c>
    </row>
    <row r="2062">
      <c r="A2062" s="6" t="str">
        <f>IFERROR(__xludf.DUMMYFUNCTION("""COMPUTED_VALUE"""),"")</f>
        <v/>
      </c>
      <c r="C2062" t="str">
        <f>IFERROR(__xludf.DUMMYFUNCTION("""COMPUTED_VALUE"""),"")</f>
        <v/>
      </c>
      <c r="D2062" t="str">
        <f>IFERROR(__xludf.DUMMYFUNCTION("""COMPUTED_VALUE"""),"")</f>
        <v/>
      </c>
      <c r="E2062" t="str">
        <f>IFERROR(__xludf.DUMMYFUNCTION("""COMPUTED_VALUE"""),"")</f>
        <v/>
      </c>
      <c r="F2062" t="str">
        <f>IFERROR(__xludf.DUMMYFUNCTION("""COMPUTED_VALUE"""),"")</f>
        <v/>
      </c>
      <c r="G2062" t="str">
        <f>IFERROR(__xludf.DUMMYFUNCTION("""COMPUTED_VALUE"""),"")</f>
        <v/>
      </c>
      <c r="H2062" s="2" t="str">
        <f>IFERROR(__xludf.DUMMYFUNCTION("""COMPUTED_VALUE"""),"")</f>
        <v/>
      </c>
      <c r="I2062" s="2" t="str">
        <f>IFERROR(__xludf.DUMMYFUNCTION("""COMPUTED_VALUE"""),"")</f>
        <v/>
      </c>
      <c r="J2062" s="2">
        <f>IFERROR(__xludf.DUMMYFUNCTION("""COMPUTED_VALUE"""),0.0)</f>
        <v>0</v>
      </c>
      <c r="K2062" s="5" t="str">
        <f>IFERROR(__xludf.DUMMYFUNCTION("""COMPUTED_VALUE"""),"")</f>
        <v/>
      </c>
      <c r="L2062" t="str">
        <f>IFERROR(__xludf.DUMMYFUNCTION("""COMPUTED_VALUE"""),"")</f>
        <v/>
      </c>
      <c r="M2062" t="str">
        <f>IFERROR(__xludf.DUMMYFUNCTION("""COMPUTED_VALUE"""),"")</f>
        <v/>
      </c>
      <c r="N2062" t="str">
        <f>IFERROR(__xludf.DUMMYFUNCTION("""COMPUTED_VALUE"""),"")</f>
        <v/>
      </c>
      <c r="O2062" t="str">
        <f>IFERROR(__xludf.DUMMYFUNCTION("""COMPUTED_VALUE"""),"")</f>
        <v/>
      </c>
      <c r="P2062" t="str">
        <f>IFERROR(__xludf.DUMMYFUNCTION("""COMPUTED_VALUE"""),"ID ")</f>
        <v>ID </v>
      </c>
    </row>
    <row r="2063">
      <c r="A2063" s="6" t="str">
        <f>IFERROR(__xludf.DUMMYFUNCTION("""COMPUTED_VALUE"""),"")</f>
        <v/>
      </c>
      <c r="C2063" t="str">
        <f>IFERROR(__xludf.DUMMYFUNCTION("""COMPUTED_VALUE"""),"")</f>
        <v/>
      </c>
      <c r="D2063" t="str">
        <f>IFERROR(__xludf.DUMMYFUNCTION("""COMPUTED_VALUE"""),"")</f>
        <v/>
      </c>
      <c r="E2063" t="str">
        <f>IFERROR(__xludf.DUMMYFUNCTION("""COMPUTED_VALUE"""),"")</f>
        <v/>
      </c>
      <c r="F2063" t="str">
        <f>IFERROR(__xludf.DUMMYFUNCTION("""COMPUTED_VALUE"""),"")</f>
        <v/>
      </c>
      <c r="G2063" t="str">
        <f>IFERROR(__xludf.DUMMYFUNCTION("""COMPUTED_VALUE"""),"")</f>
        <v/>
      </c>
      <c r="H2063" s="2" t="str">
        <f>IFERROR(__xludf.DUMMYFUNCTION("""COMPUTED_VALUE"""),"")</f>
        <v/>
      </c>
      <c r="I2063" s="2" t="str">
        <f>IFERROR(__xludf.DUMMYFUNCTION("""COMPUTED_VALUE"""),"")</f>
        <v/>
      </c>
      <c r="J2063" s="2">
        <f>IFERROR(__xludf.DUMMYFUNCTION("""COMPUTED_VALUE"""),0.0)</f>
        <v>0</v>
      </c>
      <c r="K2063" s="5" t="str">
        <f>IFERROR(__xludf.DUMMYFUNCTION("""COMPUTED_VALUE"""),"")</f>
        <v/>
      </c>
      <c r="L2063" t="str">
        <f>IFERROR(__xludf.DUMMYFUNCTION("""COMPUTED_VALUE"""),"")</f>
        <v/>
      </c>
      <c r="M2063" t="str">
        <f>IFERROR(__xludf.DUMMYFUNCTION("""COMPUTED_VALUE"""),"")</f>
        <v/>
      </c>
      <c r="N2063" t="str">
        <f>IFERROR(__xludf.DUMMYFUNCTION("""COMPUTED_VALUE"""),"")</f>
        <v/>
      </c>
      <c r="O2063" t="str">
        <f>IFERROR(__xludf.DUMMYFUNCTION("""COMPUTED_VALUE"""),"")</f>
        <v/>
      </c>
      <c r="P2063" t="str">
        <f>IFERROR(__xludf.DUMMYFUNCTION("""COMPUTED_VALUE"""),"ID ")</f>
        <v>ID </v>
      </c>
    </row>
    <row r="2064">
      <c r="A2064" s="6" t="str">
        <f>IFERROR(__xludf.DUMMYFUNCTION("""COMPUTED_VALUE"""),"")</f>
        <v/>
      </c>
      <c r="C2064" t="str">
        <f>IFERROR(__xludf.DUMMYFUNCTION("""COMPUTED_VALUE"""),"")</f>
        <v/>
      </c>
      <c r="D2064" t="str">
        <f>IFERROR(__xludf.DUMMYFUNCTION("""COMPUTED_VALUE"""),"")</f>
        <v/>
      </c>
      <c r="E2064" t="str">
        <f>IFERROR(__xludf.DUMMYFUNCTION("""COMPUTED_VALUE"""),"")</f>
        <v/>
      </c>
      <c r="F2064" t="str">
        <f>IFERROR(__xludf.DUMMYFUNCTION("""COMPUTED_VALUE"""),"")</f>
        <v/>
      </c>
      <c r="G2064" t="str">
        <f>IFERROR(__xludf.DUMMYFUNCTION("""COMPUTED_VALUE"""),"")</f>
        <v/>
      </c>
      <c r="H2064" s="2" t="str">
        <f>IFERROR(__xludf.DUMMYFUNCTION("""COMPUTED_VALUE"""),"")</f>
        <v/>
      </c>
      <c r="I2064" s="2" t="str">
        <f>IFERROR(__xludf.DUMMYFUNCTION("""COMPUTED_VALUE"""),"")</f>
        <v/>
      </c>
      <c r="J2064" s="2">
        <f>IFERROR(__xludf.DUMMYFUNCTION("""COMPUTED_VALUE"""),0.0)</f>
        <v>0</v>
      </c>
      <c r="K2064" s="5" t="str">
        <f>IFERROR(__xludf.DUMMYFUNCTION("""COMPUTED_VALUE"""),"")</f>
        <v/>
      </c>
      <c r="L2064" t="str">
        <f>IFERROR(__xludf.DUMMYFUNCTION("""COMPUTED_VALUE"""),"")</f>
        <v/>
      </c>
      <c r="M2064" t="str">
        <f>IFERROR(__xludf.DUMMYFUNCTION("""COMPUTED_VALUE"""),"")</f>
        <v/>
      </c>
      <c r="N2064" t="str">
        <f>IFERROR(__xludf.DUMMYFUNCTION("""COMPUTED_VALUE"""),"")</f>
        <v/>
      </c>
      <c r="O2064" t="str">
        <f>IFERROR(__xludf.DUMMYFUNCTION("""COMPUTED_VALUE"""),"")</f>
        <v/>
      </c>
      <c r="P2064" t="str">
        <f>IFERROR(__xludf.DUMMYFUNCTION("""COMPUTED_VALUE"""),"ID ")</f>
        <v>ID </v>
      </c>
    </row>
    <row r="2065">
      <c r="A2065" s="6" t="str">
        <f>IFERROR(__xludf.DUMMYFUNCTION("""COMPUTED_VALUE"""),"")</f>
        <v/>
      </c>
      <c r="C2065" t="str">
        <f>IFERROR(__xludf.DUMMYFUNCTION("""COMPUTED_VALUE"""),"")</f>
        <v/>
      </c>
      <c r="D2065" t="str">
        <f>IFERROR(__xludf.DUMMYFUNCTION("""COMPUTED_VALUE"""),"")</f>
        <v/>
      </c>
      <c r="E2065" t="str">
        <f>IFERROR(__xludf.DUMMYFUNCTION("""COMPUTED_VALUE"""),"")</f>
        <v/>
      </c>
      <c r="F2065" t="str">
        <f>IFERROR(__xludf.DUMMYFUNCTION("""COMPUTED_VALUE"""),"")</f>
        <v/>
      </c>
      <c r="G2065" t="str">
        <f>IFERROR(__xludf.DUMMYFUNCTION("""COMPUTED_VALUE"""),"")</f>
        <v/>
      </c>
      <c r="H2065" s="2" t="str">
        <f>IFERROR(__xludf.DUMMYFUNCTION("""COMPUTED_VALUE"""),"")</f>
        <v/>
      </c>
      <c r="I2065" s="2" t="str">
        <f>IFERROR(__xludf.DUMMYFUNCTION("""COMPUTED_VALUE"""),"")</f>
        <v/>
      </c>
      <c r="J2065" s="2">
        <f>IFERROR(__xludf.DUMMYFUNCTION("""COMPUTED_VALUE"""),0.0)</f>
        <v>0</v>
      </c>
      <c r="K2065" s="5" t="str">
        <f>IFERROR(__xludf.DUMMYFUNCTION("""COMPUTED_VALUE"""),"")</f>
        <v/>
      </c>
      <c r="L2065" t="str">
        <f>IFERROR(__xludf.DUMMYFUNCTION("""COMPUTED_VALUE"""),"")</f>
        <v/>
      </c>
      <c r="M2065" t="str">
        <f>IFERROR(__xludf.DUMMYFUNCTION("""COMPUTED_VALUE"""),"")</f>
        <v/>
      </c>
      <c r="N2065" t="str">
        <f>IFERROR(__xludf.DUMMYFUNCTION("""COMPUTED_VALUE"""),"")</f>
        <v/>
      </c>
      <c r="O2065" t="str">
        <f>IFERROR(__xludf.DUMMYFUNCTION("""COMPUTED_VALUE"""),"")</f>
        <v/>
      </c>
      <c r="P2065" t="str">
        <f>IFERROR(__xludf.DUMMYFUNCTION("""COMPUTED_VALUE"""),"ID ")</f>
        <v>ID </v>
      </c>
    </row>
    <row r="2066">
      <c r="A2066" s="6" t="str">
        <f>IFERROR(__xludf.DUMMYFUNCTION("""COMPUTED_VALUE"""),"")</f>
        <v/>
      </c>
      <c r="C2066" t="str">
        <f>IFERROR(__xludf.DUMMYFUNCTION("""COMPUTED_VALUE"""),"")</f>
        <v/>
      </c>
      <c r="D2066" t="str">
        <f>IFERROR(__xludf.DUMMYFUNCTION("""COMPUTED_VALUE"""),"")</f>
        <v/>
      </c>
      <c r="E2066" t="str">
        <f>IFERROR(__xludf.DUMMYFUNCTION("""COMPUTED_VALUE"""),"")</f>
        <v/>
      </c>
      <c r="F2066" t="str">
        <f>IFERROR(__xludf.DUMMYFUNCTION("""COMPUTED_VALUE"""),"")</f>
        <v/>
      </c>
      <c r="G2066" t="str">
        <f>IFERROR(__xludf.DUMMYFUNCTION("""COMPUTED_VALUE"""),"")</f>
        <v/>
      </c>
      <c r="H2066" s="2" t="str">
        <f>IFERROR(__xludf.DUMMYFUNCTION("""COMPUTED_VALUE"""),"")</f>
        <v/>
      </c>
      <c r="I2066" s="2" t="str">
        <f>IFERROR(__xludf.DUMMYFUNCTION("""COMPUTED_VALUE"""),"")</f>
        <v/>
      </c>
      <c r="J2066" s="2">
        <f>IFERROR(__xludf.DUMMYFUNCTION("""COMPUTED_VALUE"""),0.0)</f>
        <v>0</v>
      </c>
      <c r="K2066" s="5" t="str">
        <f>IFERROR(__xludf.DUMMYFUNCTION("""COMPUTED_VALUE"""),"")</f>
        <v/>
      </c>
      <c r="L2066" t="str">
        <f>IFERROR(__xludf.DUMMYFUNCTION("""COMPUTED_VALUE"""),"")</f>
        <v/>
      </c>
      <c r="M2066" t="str">
        <f>IFERROR(__xludf.DUMMYFUNCTION("""COMPUTED_VALUE"""),"")</f>
        <v/>
      </c>
      <c r="N2066" t="str">
        <f>IFERROR(__xludf.DUMMYFUNCTION("""COMPUTED_VALUE"""),"")</f>
        <v/>
      </c>
      <c r="O2066" t="str">
        <f>IFERROR(__xludf.DUMMYFUNCTION("""COMPUTED_VALUE"""),"")</f>
        <v/>
      </c>
      <c r="P2066" t="str">
        <f>IFERROR(__xludf.DUMMYFUNCTION("""COMPUTED_VALUE"""),"ID ")</f>
        <v>ID </v>
      </c>
    </row>
    <row r="2067">
      <c r="A2067" s="6" t="str">
        <f>IFERROR(__xludf.DUMMYFUNCTION("""COMPUTED_VALUE"""),"")</f>
        <v/>
      </c>
      <c r="C2067" t="str">
        <f>IFERROR(__xludf.DUMMYFUNCTION("""COMPUTED_VALUE"""),"")</f>
        <v/>
      </c>
      <c r="D2067" t="str">
        <f>IFERROR(__xludf.DUMMYFUNCTION("""COMPUTED_VALUE"""),"")</f>
        <v/>
      </c>
      <c r="E2067" t="str">
        <f>IFERROR(__xludf.DUMMYFUNCTION("""COMPUTED_VALUE"""),"")</f>
        <v/>
      </c>
      <c r="F2067" t="str">
        <f>IFERROR(__xludf.DUMMYFUNCTION("""COMPUTED_VALUE"""),"")</f>
        <v/>
      </c>
      <c r="G2067" t="str">
        <f>IFERROR(__xludf.DUMMYFUNCTION("""COMPUTED_VALUE"""),"")</f>
        <v/>
      </c>
      <c r="H2067" s="2" t="str">
        <f>IFERROR(__xludf.DUMMYFUNCTION("""COMPUTED_VALUE"""),"")</f>
        <v/>
      </c>
      <c r="I2067" s="2" t="str">
        <f>IFERROR(__xludf.DUMMYFUNCTION("""COMPUTED_VALUE"""),"")</f>
        <v/>
      </c>
      <c r="J2067" s="2">
        <f>IFERROR(__xludf.DUMMYFUNCTION("""COMPUTED_VALUE"""),0.0)</f>
        <v>0</v>
      </c>
      <c r="K2067" s="5" t="str">
        <f>IFERROR(__xludf.DUMMYFUNCTION("""COMPUTED_VALUE"""),"")</f>
        <v/>
      </c>
      <c r="L2067" t="str">
        <f>IFERROR(__xludf.DUMMYFUNCTION("""COMPUTED_VALUE"""),"")</f>
        <v/>
      </c>
      <c r="M2067" t="str">
        <f>IFERROR(__xludf.DUMMYFUNCTION("""COMPUTED_VALUE"""),"")</f>
        <v/>
      </c>
      <c r="N2067" t="str">
        <f>IFERROR(__xludf.DUMMYFUNCTION("""COMPUTED_VALUE"""),"")</f>
        <v/>
      </c>
      <c r="O2067" t="str">
        <f>IFERROR(__xludf.DUMMYFUNCTION("""COMPUTED_VALUE"""),"")</f>
        <v/>
      </c>
      <c r="P2067" t="str">
        <f>IFERROR(__xludf.DUMMYFUNCTION("""COMPUTED_VALUE"""),"ID ")</f>
        <v>ID </v>
      </c>
    </row>
    <row r="2068">
      <c r="A2068" s="6" t="str">
        <f>IFERROR(__xludf.DUMMYFUNCTION("""COMPUTED_VALUE"""),"")</f>
        <v/>
      </c>
      <c r="C2068" t="str">
        <f>IFERROR(__xludf.DUMMYFUNCTION("""COMPUTED_VALUE"""),"")</f>
        <v/>
      </c>
      <c r="D2068" t="str">
        <f>IFERROR(__xludf.DUMMYFUNCTION("""COMPUTED_VALUE"""),"")</f>
        <v/>
      </c>
      <c r="E2068" t="str">
        <f>IFERROR(__xludf.DUMMYFUNCTION("""COMPUTED_VALUE"""),"")</f>
        <v/>
      </c>
      <c r="F2068" t="str">
        <f>IFERROR(__xludf.DUMMYFUNCTION("""COMPUTED_VALUE"""),"")</f>
        <v/>
      </c>
      <c r="G2068" t="str">
        <f>IFERROR(__xludf.DUMMYFUNCTION("""COMPUTED_VALUE"""),"")</f>
        <v/>
      </c>
      <c r="H2068" s="2" t="str">
        <f>IFERROR(__xludf.DUMMYFUNCTION("""COMPUTED_VALUE"""),"")</f>
        <v/>
      </c>
      <c r="I2068" s="2" t="str">
        <f>IFERROR(__xludf.DUMMYFUNCTION("""COMPUTED_VALUE"""),"")</f>
        <v/>
      </c>
      <c r="J2068" s="2">
        <f>IFERROR(__xludf.DUMMYFUNCTION("""COMPUTED_VALUE"""),0.0)</f>
        <v>0</v>
      </c>
      <c r="K2068" s="5" t="str">
        <f>IFERROR(__xludf.DUMMYFUNCTION("""COMPUTED_VALUE"""),"")</f>
        <v/>
      </c>
      <c r="L2068" t="str">
        <f>IFERROR(__xludf.DUMMYFUNCTION("""COMPUTED_VALUE"""),"")</f>
        <v/>
      </c>
      <c r="M2068" t="str">
        <f>IFERROR(__xludf.DUMMYFUNCTION("""COMPUTED_VALUE"""),"")</f>
        <v/>
      </c>
      <c r="N2068" t="str">
        <f>IFERROR(__xludf.DUMMYFUNCTION("""COMPUTED_VALUE"""),"")</f>
        <v/>
      </c>
      <c r="O2068" t="str">
        <f>IFERROR(__xludf.DUMMYFUNCTION("""COMPUTED_VALUE"""),"")</f>
        <v/>
      </c>
      <c r="P2068" t="str">
        <f>IFERROR(__xludf.DUMMYFUNCTION("""COMPUTED_VALUE"""),"ID ")</f>
        <v>ID </v>
      </c>
    </row>
    <row r="2069">
      <c r="A2069" s="6" t="str">
        <f>IFERROR(__xludf.DUMMYFUNCTION("""COMPUTED_VALUE"""),"")</f>
        <v/>
      </c>
      <c r="C2069" t="str">
        <f>IFERROR(__xludf.DUMMYFUNCTION("""COMPUTED_VALUE"""),"")</f>
        <v/>
      </c>
      <c r="D2069" t="str">
        <f>IFERROR(__xludf.DUMMYFUNCTION("""COMPUTED_VALUE"""),"")</f>
        <v/>
      </c>
      <c r="E2069" t="str">
        <f>IFERROR(__xludf.DUMMYFUNCTION("""COMPUTED_VALUE"""),"")</f>
        <v/>
      </c>
      <c r="F2069" t="str">
        <f>IFERROR(__xludf.DUMMYFUNCTION("""COMPUTED_VALUE"""),"")</f>
        <v/>
      </c>
      <c r="G2069" t="str">
        <f>IFERROR(__xludf.DUMMYFUNCTION("""COMPUTED_VALUE"""),"")</f>
        <v/>
      </c>
      <c r="H2069" s="2" t="str">
        <f>IFERROR(__xludf.DUMMYFUNCTION("""COMPUTED_VALUE"""),"")</f>
        <v/>
      </c>
      <c r="I2069" s="2" t="str">
        <f>IFERROR(__xludf.DUMMYFUNCTION("""COMPUTED_VALUE"""),"")</f>
        <v/>
      </c>
      <c r="J2069" s="2">
        <f>IFERROR(__xludf.DUMMYFUNCTION("""COMPUTED_VALUE"""),0.0)</f>
        <v>0</v>
      </c>
      <c r="K2069" s="5" t="str">
        <f>IFERROR(__xludf.DUMMYFUNCTION("""COMPUTED_VALUE"""),"")</f>
        <v/>
      </c>
      <c r="L2069" t="str">
        <f>IFERROR(__xludf.DUMMYFUNCTION("""COMPUTED_VALUE"""),"")</f>
        <v/>
      </c>
      <c r="M2069" t="str">
        <f>IFERROR(__xludf.DUMMYFUNCTION("""COMPUTED_VALUE"""),"")</f>
        <v/>
      </c>
      <c r="N2069" t="str">
        <f>IFERROR(__xludf.DUMMYFUNCTION("""COMPUTED_VALUE"""),"")</f>
        <v/>
      </c>
      <c r="O2069" t="str">
        <f>IFERROR(__xludf.DUMMYFUNCTION("""COMPUTED_VALUE"""),"")</f>
        <v/>
      </c>
      <c r="P2069" t="str">
        <f>IFERROR(__xludf.DUMMYFUNCTION("""COMPUTED_VALUE"""),"ID ")</f>
        <v>ID </v>
      </c>
    </row>
    <row r="2070">
      <c r="A2070" s="6" t="str">
        <f>IFERROR(__xludf.DUMMYFUNCTION("""COMPUTED_VALUE"""),"")</f>
        <v/>
      </c>
      <c r="C2070" t="str">
        <f>IFERROR(__xludf.DUMMYFUNCTION("""COMPUTED_VALUE"""),"")</f>
        <v/>
      </c>
      <c r="D2070" t="str">
        <f>IFERROR(__xludf.DUMMYFUNCTION("""COMPUTED_VALUE"""),"")</f>
        <v/>
      </c>
      <c r="E2070" t="str">
        <f>IFERROR(__xludf.DUMMYFUNCTION("""COMPUTED_VALUE"""),"")</f>
        <v/>
      </c>
      <c r="F2070" t="str">
        <f>IFERROR(__xludf.DUMMYFUNCTION("""COMPUTED_VALUE"""),"")</f>
        <v/>
      </c>
      <c r="G2070" t="str">
        <f>IFERROR(__xludf.DUMMYFUNCTION("""COMPUTED_VALUE"""),"")</f>
        <v/>
      </c>
      <c r="H2070" s="2" t="str">
        <f>IFERROR(__xludf.DUMMYFUNCTION("""COMPUTED_VALUE"""),"")</f>
        <v/>
      </c>
      <c r="I2070" s="2" t="str">
        <f>IFERROR(__xludf.DUMMYFUNCTION("""COMPUTED_VALUE"""),"")</f>
        <v/>
      </c>
      <c r="J2070" s="2">
        <f>IFERROR(__xludf.DUMMYFUNCTION("""COMPUTED_VALUE"""),0.0)</f>
        <v>0</v>
      </c>
      <c r="K2070" s="5" t="str">
        <f>IFERROR(__xludf.DUMMYFUNCTION("""COMPUTED_VALUE"""),"")</f>
        <v/>
      </c>
      <c r="L2070" t="str">
        <f>IFERROR(__xludf.DUMMYFUNCTION("""COMPUTED_VALUE"""),"")</f>
        <v/>
      </c>
      <c r="M2070" t="str">
        <f>IFERROR(__xludf.DUMMYFUNCTION("""COMPUTED_VALUE"""),"")</f>
        <v/>
      </c>
      <c r="N2070" t="str">
        <f>IFERROR(__xludf.DUMMYFUNCTION("""COMPUTED_VALUE"""),"")</f>
        <v/>
      </c>
      <c r="O2070" t="str">
        <f>IFERROR(__xludf.DUMMYFUNCTION("""COMPUTED_VALUE"""),"")</f>
        <v/>
      </c>
      <c r="P2070" t="str">
        <f>IFERROR(__xludf.DUMMYFUNCTION("""COMPUTED_VALUE"""),"ID ")</f>
        <v>ID </v>
      </c>
    </row>
    <row r="2071">
      <c r="A2071" s="6" t="str">
        <f>IFERROR(__xludf.DUMMYFUNCTION("""COMPUTED_VALUE"""),"")</f>
        <v/>
      </c>
      <c r="C2071" t="str">
        <f>IFERROR(__xludf.DUMMYFUNCTION("""COMPUTED_VALUE"""),"")</f>
        <v/>
      </c>
      <c r="D2071" t="str">
        <f>IFERROR(__xludf.DUMMYFUNCTION("""COMPUTED_VALUE"""),"")</f>
        <v/>
      </c>
      <c r="E2071" t="str">
        <f>IFERROR(__xludf.DUMMYFUNCTION("""COMPUTED_VALUE"""),"")</f>
        <v/>
      </c>
      <c r="F2071" t="str">
        <f>IFERROR(__xludf.DUMMYFUNCTION("""COMPUTED_VALUE"""),"")</f>
        <v/>
      </c>
      <c r="G2071" t="str">
        <f>IFERROR(__xludf.DUMMYFUNCTION("""COMPUTED_VALUE"""),"")</f>
        <v/>
      </c>
      <c r="H2071" s="2" t="str">
        <f>IFERROR(__xludf.DUMMYFUNCTION("""COMPUTED_VALUE"""),"")</f>
        <v/>
      </c>
      <c r="I2071" s="2" t="str">
        <f>IFERROR(__xludf.DUMMYFUNCTION("""COMPUTED_VALUE"""),"")</f>
        <v/>
      </c>
      <c r="J2071" s="2">
        <f>IFERROR(__xludf.DUMMYFUNCTION("""COMPUTED_VALUE"""),0.0)</f>
        <v>0</v>
      </c>
      <c r="K2071" s="5" t="str">
        <f>IFERROR(__xludf.DUMMYFUNCTION("""COMPUTED_VALUE"""),"")</f>
        <v/>
      </c>
      <c r="L2071" t="str">
        <f>IFERROR(__xludf.DUMMYFUNCTION("""COMPUTED_VALUE"""),"")</f>
        <v/>
      </c>
      <c r="M2071" t="str">
        <f>IFERROR(__xludf.DUMMYFUNCTION("""COMPUTED_VALUE"""),"")</f>
        <v/>
      </c>
      <c r="N2071" t="str">
        <f>IFERROR(__xludf.DUMMYFUNCTION("""COMPUTED_VALUE"""),"")</f>
        <v/>
      </c>
      <c r="O2071" t="str">
        <f>IFERROR(__xludf.DUMMYFUNCTION("""COMPUTED_VALUE"""),"")</f>
        <v/>
      </c>
      <c r="P2071" t="str">
        <f>IFERROR(__xludf.DUMMYFUNCTION("""COMPUTED_VALUE"""),"ID ")</f>
        <v>ID </v>
      </c>
    </row>
    <row r="2072">
      <c r="A2072" s="6" t="str">
        <f>IFERROR(__xludf.DUMMYFUNCTION("""COMPUTED_VALUE"""),"")</f>
        <v/>
      </c>
      <c r="C2072" t="str">
        <f>IFERROR(__xludf.DUMMYFUNCTION("""COMPUTED_VALUE"""),"")</f>
        <v/>
      </c>
      <c r="D2072" t="str">
        <f>IFERROR(__xludf.DUMMYFUNCTION("""COMPUTED_VALUE"""),"")</f>
        <v/>
      </c>
      <c r="E2072" t="str">
        <f>IFERROR(__xludf.DUMMYFUNCTION("""COMPUTED_VALUE"""),"")</f>
        <v/>
      </c>
      <c r="F2072" t="str">
        <f>IFERROR(__xludf.DUMMYFUNCTION("""COMPUTED_VALUE"""),"")</f>
        <v/>
      </c>
      <c r="G2072" t="str">
        <f>IFERROR(__xludf.DUMMYFUNCTION("""COMPUTED_VALUE"""),"")</f>
        <v/>
      </c>
      <c r="H2072" s="2" t="str">
        <f>IFERROR(__xludf.DUMMYFUNCTION("""COMPUTED_VALUE"""),"")</f>
        <v/>
      </c>
      <c r="I2072" s="2" t="str">
        <f>IFERROR(__xludf.DUMMYFUNCTION("""COMPUTED_VALUE"""),"")</f>
        <v/>
      </c>
      <c r="J2072" s="2">
        <f>IFERROR(__xludf.DUMMYFUNCTION("""COMPUTED_VALUE"""),0.0)</f>
        <v>0</v>
      </c>
      <c r="K2072" s="5" t="str">
        <f>IFERROR(__xludf.DUMMYFUNCTION("""COMPUTED_VALUE"""),"")</f>
        <v/>
      </c>
      <c r="L2072" t="str">
        <f>IFERROR(__xludf.DUMMYFUNCTION("""COMPUTED_VALUE"""),"")</f>
        <v/>
      </c>
      <c r="M2072" t="str">
        <f>IFERROR(__xludf.DUMMYFUNCTION("""COMPUTED_VALUE"""),"")</f>
        <v/>
      </c>
      <c r="N2072" t="str">
        <f>IFERROR(__xludf.DUMMYFUNCTION("""COMPUTED_VALUE"""),"")</f>
        <v/>
      </c>
      <c r="O2072" t="str">
        <f>IFERROR(__xludf.DUMMYFUNCTION("""COMPUTED_VALUE"""),"")</f>
        <v/>
      </c>
      <c r="P2072" t="str">
        <f>IFERROR(__xludf.DUMMYFUNCTION("""COMPUTED_VALUE"""),"ID ")</f>
        <v>ID </v>
      </c>
    </row>
    <row r="2073">
      <c r="A2073" s="6" t="str">
        <f>IFERROR(__xludf.DUMMYFUNCTION("""COMPUTED_VALUE"""),"")</f>
        <v/>
      </c>
      <c r="C2073" t="str">
        <f>IFERROR(__xludf.DUMMYFUNCTION("""COMPUTED_VALUE"""),"")</f>
        <v/>
      </c>
      <c r="D2073" t="str">
        <f>IFERROR(__xludf.DUMMYFUNCTION("""COMPUTED_VALUE"""),"")</f>
        <v/>
      </c>
      <c r="E2073" t="str">
        <f>IFERROR(__xludf.DUMMYFUNCTION("""COMPUTED_VALUE"""),"")</f>
        <v/>
      </c>
      <c r="F2073" t="str">
        <f>IFERROR(__xludf.DUMMYFUNCTION("""COMPUTED_VALUE"""),"")</f>
        <v/>
      </c>
      <c r="G2073" t="str">
        <f>IFERROR(__xludf.DUMMYFUNCTION("""COMPUTED_VALUE"""),"")</f>
        <v/>
      </c>
      <c r="H2073" s="2" t="str">
        <f>IFERROR(__xludf.DUMMYFUNCTION("""COMPUTED_VALUE"""),"")</f>
        <v/>
      </c>
      <c r="I2073" s="2" t="str">
        <f>IFERROR(__xludf.DUMMYFUNCTION("""COMPUTED_VALUE"""),"")</f>
        <v/>
      </c>
      <c r="J2073" s="2">
        <f>IFERROR(__xludf.DUMMYFUNCTION("""COMPUTED_VALUE"""),0.0)</f>
        <v>0</v>
      </c>
      <c r="K2073" s="5" t="str">
        <f>IFERROR(__xludf.DUMMYFUNCTION("""COMPUTED_VALUE"""),"")</f>
        <v/>
      </c>
      <c r="L2073" t="str">
        <f>IFERROR(__xludf.DUMMYFUNCTION("""COMPUTED_VALUE"""),"")</f>
        <v/>
      </c>
      <c r="M2073" t="str">
        <f>IFERROR(__xludf.DUMMYFUNCTION("""COMPUTED_VALUE"""),"")</f>
        <v/>
      </c>
      <c r="N2073" t="str">
        <f>IFERROR(__xludf.DUMMYFUNCTION("""COMPUTED_VALUE"""),"")</f>
        <v/>
      </c>
      <c r="O2073" t="str">
        <f>IFERROR(__xludf.DUMMYFUNCTION("""COMPUTED_VALUE"""),"")</f>
        <v/>
      </c>
      <c r="P2073" t="str">
        <f>IFERROR(__xludf.DUMMYFUNCTION("""COMPUTED_VALUE"""),"ID ")</f>
        <v>ID </v>
      </c>
    </row>
    <row r="2074">
      <c r="A2074" s="6" t="str">
        <f>IFERROR(__xludf.DUMMYFUNCTION("""COMPUTED_VALUE"""),"")</f>
        <v/>
      </c>
      <c r="C2074" t="str">
        <f>IFERROR(__xludf.DUMMYFUNCTION("""COMPUTED_VALUE"""),"")</f>
        <v/>
      </c>
      <c r="D2074" t="str">
        <f>IFERROR(__xludf.DUMMYFUNCTION("""COMPUTED_VALUE"""),"")</f>
        <v/>
      </c>
      <c r="E2074" t="str">
        <f>IFERROR(__xludf.DUMMYFUNCTION("""COMPUTED_VALUE"""),"")</f>
        <v/>
      </c>
      <c r="F2074" t="str">
        <f>IFERROR(__xludf.DUMMYFUNCTION("""COMPUTED_VALUE"""),"")</f>
        <v/>
      </c>
      <c r="G2074" t="str">
        <f>IFERROR(__xludf.DUMMYFUNCTION("""COMPUTED_VALUE"""),"")</f>
        <v/>
      </c>
      <c r="H2074" s="2" t="str">
        <f>IFERROR(__xludf.DUMMYFUNCTION("""COMPUTED_VALUE"""),"")</f>
        <v/>
      </c>
      <c r="I2074" s="2" t="str">
        <f>IFERROR(__xludf.DUMMYFUNCTION("""COMPUTED_VALUE"""),"")</f>
        <v/>
      </c>
      <c r="J2074" s="2">
        <f>IFERROR(__xludf.DUMMYFUNCTION("""COMPUTED_VALUE"""),0.0)</f>
        <v>0</v>
      </c>
      <c r="K2074" s="5" t="str">
        <f>IFERROR(__xludf.DUMMYFUNCTION("""COMPUTED_VALUE"""),"")</f>
        <v/>
      </c>
      <c r="L2074" t="str">
        <f>IFERROR(__xludf.DUMMYFUNCTION("""COMPUTED_VALUE"""),"")</f>
        <v/>
      </c>
      <c r="M2074" t="str">
        <f>IFERROR(__xludf.DUMMYFUNCTION("""COMPUTED_VALUE"""),"")</f>
        <v/>
      </c>
      <c r="N2074" t="str">
        <f>IFERROR(__xludf.DUMMYFUNCTION("""COMPUTED_VALUE"""),"")</f>
        <v/>
      </c>
      <c r="O2074" t="str">
        <f>IFERROR(__xludf.DUMMYFUNCTION("""COMPUTED_VALUE"""),"")</f>
        <v/>
      </c>
      <c r="P2074" t="str">
        <f>IFERROR(__xludf.DUMMYFUNCTION("""COMPUTED_VALUE"""),"ID ")</f>
        <v>ID </v>
      </c>
    </row>
    <row r="2075">
      <c r="A2075" s="6" t="str">
        <f>IFERROR(__xludf.DUMMYFUNCTION("""COMPUTED_VALUE"""),"")</f>
        <v/>
      </c>
      <c r="C2075" t="str">
        <f>IFERROR(__xludf.DUMMYFUNCTION("""COMPUTED_VALUE"""),"")</f>
        <v/>
      </c>
      <c r="D2075" t="str">
        <f>IFERROR(__xludf.DUMMYFUNCTION("""COMPUTED_VALUE"""),"")</f>
        <v/>
      </c>
      <c r="E2075" t="str">
        <f>IFERROR(__xludf.DUMMYFUNCTION("""COMPUTED_VALUE"""),"")</f>
        <v/>
      </c>
      <c r="F2075" t="str">
        <f>IFERROR(__xludf.DUMMYFUNCTION("""COMPUTED_VALUE"""),"")</f>
        <v/>
      </c>
      <c r="G2075" t="str">
        <f>IFERROR(__xludf.DUMMYFUNCTION("""COMPUTED_VALUE"""),"")</f>
        <v/>
      </c>
      <c r="H2075" s="2" t="str">
        <f>IFERROR(__xludf.DUMMYFUNCTION("""COMPUTED_VALUE"""),"")</f>
        <v/>
      </c>
      <c r="I2075" s="2" t="str">
        <f>IFERROR(__xludf.DUMMYFUNCTION("""COMPUTED_VALUE"""),"")</f>
        <v/>
      </c>
      <c r="J2075" s="2">
        <f>IFERROR(__xludf.DUMMYFUNCTION("""COMPUTED_VALUE"""),0.0)</f>
        <v>0</v>
      </c>
      <c r="K2075" s="5" t="str">
        <f>IFERROR(__xludf.DUMMYFUNCTION("""COMPUTED_VALUE"""),"")</f>
        <v/>
      </c>
      <c r="L2075" t="str">
        <f>IFERROR(__xludf.DUMMYFUNCTION("""COMPUTED_VALUE"""),"")</f>
        <v/>
      </c>
      <c r="M2075" t="str">
        <f>IFERROR(__xludf.DUMMYFUNCTION("""COMPUTED_VALUE"""),"")</f>
        <v/>
      </c>
      <c r="N2075" t="str">
        <f>IFERROR(__xludf.DUMMYFUNCTION("""COMPUTED_VALUE"""),"")</f>
        <v/>
      </c>
      <c r="O2075" t="str">
        <f>IFERROR(__xludf.DUMMYFUNCTION("""COMPUTED_VALUE"""),"")</f>
        <v/>
      </c>
      <c r="P2075" t="str">
        <f>IFERROR(__xludf.DUMMYFUNCTION("""COMPUTED_VALUE"""),"ID ")</f>
        <v>ID </v>
      </c>
    </row>
    <row r="2076">
      <c r="A2076" s="6" t="str">
        <f>IFERROR(__xludf.DUMMYFUNCTION("""COMPUTED_VALUE"""),"")</f>
        <v/>
      </c>
      <c r="C2076" t="str">
        <f>IFERROR(__xludf.DUMMYFUNCTION("""COMPUTED_VALUE"""),"")</f>
        <v/>
      </c>
      <c r="D2076" t="str">
        <f>IFERROR(__xludf.DUMMYFUNCTION("""COMPUTED_VALUE"""),"")</f>
        <v/>
      </c>
      <c r="E2076" t="str">
        <f>IFERROR(__xludf.DUMMYFUNCTION("""COMPUTED_VALUE"""),"")</f>
        <v/>
      </c>
      <c r="F2076" t="str">
        <f>IFERROR(__xludf.DUMMYFUNCTION("""COMPUTED_VALUE"""),"")</f>
        <v/>
      </c>
      <c r="G2076" t="str">
        <f>IFERROR(__xludf.DUMMYFUNCTION("""COMPUTED_VALUE"""),"")</f>
        <v/>
      </c>
      <c r="H2076" s="2" t="str">
        <f>IFERROR(__xludf.DUMMYFUNCTION("""COMPUTED_VALUE"""),"")</f>
        <v/>
      </c>
      <c r="I2076" s="2" t="str">
        <f>IFERROR(__xludf.DUMMYFUNCTION("""COMPUTED_VALUE"""),"")</f>
        <v/>
      </c>
      <c r="J2076" s="2">
        <f>IFERROR(__xludf.DUMMYFUNCTION("""COMPUTED_VALUE"""),0.0)</f>
        <v>0</v>
      </c>
      <c r="K2076" s="5" t="str">
        <f>IFERROR(__xludf.DUMMYFUNCTION("""COMPUTED_VALUE"""),"")</f>
        <v/>
      </c>
      <c r="L2076" t="str">
        <f>IFERROR(__xludf.DUMMYFUNCTION("""COMPUTED_VALUE"""),"")</f>
        <v/>
      </c>
      <c r="M2076" t="str">
        <f>IFERROR(__xludf.DUMMYFUNCTION("""COMPUTED_VALUE"""),"")</f>
        <v/>
      </c>
      <c r="N2076" t="str">
        <f>IFERROR(__xludf.DUMMYFUNCTION("""COMPUTED_VALUE"""),"")</f>
        <v/>
      </c>
      <c r="O2076" t="str">
        <f>IFERROR(__xludf.DUMMYFUNCTION("""COMPUTED_VALUE"""),"")</f>
        <v/>
      </c>
      <c r="P2076" t="str">
        <f>IFERROR(__xludf.DUMMYFUNCTION("""COMPUTED_VALUE"""),"ID ")</f>
        <v>ID </v>
      </c>
    </row>
    <row r="2077">
      <c r="A2077" s="6" t="str">
        <f>IFERROR(__xludf.DUMMYFUNCTION("""COMPUTED_VALUE"""),"")</f>
        <v/>
      </c>
      <c r="C2077" t="str">
        <f>IFERROR(__xludf.DUMMYFUNCTION("""COMPUTED_VALUE"""),"")</f>
        <v/>
      </c>
      <c r="D2077" t="str">
        <f>IFERROR(__xludf.DUMMYFUNCTION("""COMPUTED_VALUE"""),"")</f>
        <v/>
      </c>
      <c r="E2077" t="str">
        <f>IFERROR(__xludf.DUMMYFUNCTION("""COMPUTED_VALUE"""),"")</f>
        <v/>
      </c>
      <c r="F2077" t="str">
        <f>IFERROR(__xludf.DUMMYFUNCTION("""COMPUTED_VALUE"""),"")</f>
        <v/>
      </c>
      <c r="G2077" t="str">
        <f>IFERROR(__xludf.DUMMYFUNCTION("""COMPUTED_VALUE"""),"")</f>
        <v/>
      </c>
      <c r="H2077" s="2" t="str">
        <f>IFERROR(__xludf.DUMMYFUNCTION("""COMPUTED_VALUE"""),"")</f>
        <v/>
      </c>
      <c r="I2077" s="2" t="str">
        <f>IFERROR(__xludf.DUMMYFUNCTION("""COMPUTED_VALUE"""),"")</f>
        <v/>
      </c>
      <c r="J2077" s="2">
        <f>IFERROR(__xludf.DUMMYFUNCTION("""COMPUTED_VALUE"""),0.0)</f>
        <v>0</v>
      </c>
      <c r="K2077" s="5" t="str">
        <f>IFERROR(__xludf.DUMMYFUNCTION("""COMPUTED_VALUE"""),"")</f>
        <v/>
      </c>
      <c r="L2077" t="str">
        <f>IFERROR(__xludf.DUMMYFUNCTION("""COMPUTED_VALUE"""),"")</f>
        <v/>
      </c>
      <c r="M2077" t="str">
        <f>IFERROR(__xludf.DUMMYFUNCTION("""COMPUTED_VALUE"""),"")</f>
        <v/>
      </c>
      <c r="N2077" t="str">
        <f>IFERROR(__xludf.DUMMYFUNCTION("""COMPUTED_VALUE"""),"")</f>
        <v/>
      </c>
      <c r="O2077" t="str">
        <f>IFERROR(__xludf.DUMMYFUNCTION("""COMPUTED_VALUE"""),"")</f>
        <v/>
      </c>
      <c r="P2077" t="str">
        <f>IFERROR(__xludf.DUMMYFUNCTION("""COMPUTED_VALUE"""),"ID ")</f>
        <v>ID </v>
      </c>
    </row>
    <row r="2078">
      <c r="A2078" s="6" t="str">
        <f>IFERROR(__xludf.DUMMYFUNCTION("""COMPUTED_VALUE"""),"")</f>
        <v/>
      </c>
      <c r="C2078" t="str">
        <f>IFERROR(__xludf.DUMMYFUNCTION("""COMPUTED_VALUE"""),"")</f>
        <v/>
      </c>
      <c r="D2078" t="str">
        <f>IFERROR(__xludf.DUMMYFUNCTION("""COMPUTED_VALUE"""),"")</f>
        <v/>
      </c>
      <c r="E2078" t="str">
        <f>IFERROR(__xludf.DUMMYFUNCTION("""COMPUTED_VALUE"""),"")</f>
        <v/>
      </c>
      <c r="F2078" t="str">
        <f>IFERROR(__xludf.DUMMYFUNCTION("""COMPUTED_VALUE"""),"")</f>
        <v/>
      </c>
      <c r="G2078" t="str">
        <f>IFERROR(__xludf.DUMMYFUNCTION("""COMPUTED_VALUE"""),"")</f>
        <v/>
      </c>
      <c r="H2078" s="2" t="str">
        <f>IFERROR(__xludf.DUMMYFUNCTION("""COMPUTED_VALUE"""),"")</f>
        <v/>
      </c>
      <c r="I2078" s="2" t="str">
        <f>IFERROR(__xludf.DUMMYFUNCTION("""COMPUTED_VALUE"""),"")</f>
        <v/>
      </c>
      <c r="J2078" s="2">
        <f>IFERROR(__xludf.DUMMYFUNCTION("""COMPUTED_VALUE"""),0.0)</f>
        <v>0</v>
      </c>
      <c r="K2078" s="5" t="str">
        <f>IFERROR(__xludf.DUMMYFUNCTION("""COMPUTED_VALUE"""),"")</f>
        <v/>
      </c>
      <c r="L2078" t="str">
        <f>IFERROR(__xludf.DUMMYFUNCTION("""COMPUTED_VALUE"""),"")</f>
        <v/>
      </c>
      <c r="M2078" t="str">
        <f>IFERROR(__xludf.DUMMYFUNCTION("""COMPUTED_VALUE"""),"")</f>
        <v/>
      </c>
      <c r="N2078" t="str">
        <f>IFERROR(__xludf.DUMMYFUNCTION("""COMPUTED_VALUE"""),"")</f>
        <v/>
      </c>
      <c r="O2078" t="str">
        <f>IFERROR(__xludf.DUMMYFUNCTION("""COMPUTED_VALUE"""),"")</f>
        <v/>
      </c>
      <c r="P2078" t="str">
        <f>IFERROR(__xludf.DUMMYFUNCTION("""COMPUTED_VALUE"""),"ID ")</f>
        <v>ID </v>
      </c>
    </row>
    <row r="2079">
      <c r="A2079" s="6" t="str">
        <f>IFERROR(__xludf.DUMMYFUNCTION("""COMPUTED_VALUE"""),"")</f>
        <v/>
      </c>
      <c r="C2079" t="str">
        <f>IFERROR(__xludf.DUMMYFUNCTION("""COMPUTED_VALUE"""),"")</f>
        <v/>
      </c>
      <c r="D2079" t="str">
        <f>IFERROR(__xludf.DUMMYFUNCTION("""COMPUTED_VALUE"""),"")</f>
        <v/>
      </c>
      <c r="E2079" t="str">
        <f>IFERROR(__xludf.DUMMYFUNCTION("""COMPUTED_VALUE"""),"")</f>
        <v/>
      </c>
      <c r="F2079" t="str">
        <f>IFERROR(__xludf.DUMMYFUNCTION("""COMPUTED_VALUE"""),"")</f>
        <v/>
      </c>
      <c r="G2079" t="str">
        <f>IFERROR(__xludf.DUMMYFUNCTION("""COMPUTED_VALUE"""),"")</f>
        <v/>
      </c>
      <c r="H2079" s="2" t="str">
        <f>IFERROR(__xludf.DUMMYFUNCTION("""COMPUTED_VALUE"""),"")</f>
        <v/>
      </c>
      <c r="I2079" s="2" t="str">
        <f>IFERROR(__xludf.DUMMYFUNCTION("""COMPUTED_VALUE"""),"")</f>
        <v/>
      </c>
      <c r="J2079" s="2">
        <f>IFERROR(__xludf.DUMMYFUNCTION("""COMPUTED_VALUE"""),0.0)</f>
        <v>0</v>
      </c>
      <c r="K2079" s="5" t="str">
        <f>IFERROR(__xludf.DUMMYFUNCTION("""COMPUTED_VALUE"""),"")</f>
        <v/>
      </c>
      <c r="L2079" t="str">
        <f>IFERROR(__xludf.DUMMYFUNCTION("""COMPUTED_VALUE"""),"")</f>
        <v/>
      </c>
      <c r="M2079" t="str">
        <f>IFERROR(__xludf.DUMMYFUNCTION("""COMPUTED_VALUE"""),"")</f>
        <v/>
      </c>
      <c r="N2079" t="str">
        <f>IFERROR(__xludf.DUMMYFUNCTION("""COMPUTED_VALUE"""),"")</f>
        <v/>
      </c>
      <c r="O2079" t="str">
        <f>IFERROR(__xludf.DUMMYFUNCTION("""COMPUTED_VALUE"""),"")</f>
        <v/>
      </c>
      <c r="P2079" t="str">
        <f>IFERROR(__xludf.DUMMYFUNCTION("""COMPUTED_VALUE"""),"ID ")</f>
        <v>ID </v>
      </c>
    </row>
    <row r="2080">
      <c r="A2080" s="6" t="str">
        <f>IFERROR(__xludf.DUMMYFUNCTION("""COMPUTED_VALUE"""),"")</f>
        <v/>
      </c>
      <c r="C2080" t="str">
        <f>IFERROR(__xludf.DUMMYFUNCTION("""COMPUTED_VALUE"""),"")</f>
        <v/>
      </c>
      <c r="D2080" t="str">
        <f>IFERROR(__xludf.DUMMYFUNCTION("""COMPUTED_VALUE"""),"")</f>
        <v/>
      </c>
      <c r="E2080" t="str">
        <f>IFERROR(__xludf.DUMMYFUNCTION("""COMPUTED_VALUE"""),"")</f>
        <v/>
      </c>
      <c r="F2080" t="str">
        <f>IFERROR(__xludf.DUMMYFUNCTION("""COMPUTED_VALUE"""),"")</f>
        <v/>
      </c>
      <c r="G2080" t="str">
        <f>IFERROR(__xludf.DUMMYFUNCTION("""COMPUTED_VALUE"""),"")</f>
        <v/>
      </c>
      <c r="H2080" s="2" t="str">
        <f>IFERROR(__xludf.DUMMYFUNCTION("""COMPUTED_VALUE"""),"")</f>
        <v/>
      </c>
      <c r="I2080" s="2" t="str">
        <f>IFERROR(__xludf.DUMMYFUNCTION("""COMPUTED_VALUE"""),"")</f>
        <v/>
      </c>
      <c r="J2080" s="2">
        <f>IFERROR(__xludf.DUMMYFUNCTION("""COMPUTED_VALUE"""),0.0)</f>
        <v>0</v>
      </c>
      <c r="K2080" s="5" t="str">
        <f>IFERROR(__xludf.DUMMYFUNCTION("""COMPUTED_VALUE"""),"")</f>
        <v/>
      </c>
      <c r="L2080" t="str">
        <f>IFERROR(__xludf.DUMMYFUNCTION("""COMPUTED_VALUE"""),"")</f>
        <v/>
      </c>
      <c r="M2080" t="str">
        <f>IFERROR(__xludf.DUMMYFUNCTION("""COMPUTED_VALUE"""),"")</f>
        <v/>
      </c>
      <c r="N2080" t="str">
        <f>IFERROR(__xludf.DUMMYFUNCTION("""COMPUTED_VALUE"""),"")</f>
        <v/>
      </c>
      <c r="O2080" t="str">
        <f>IFERROR(__xludf.DUMMYFUNCTION("""COMPUTED_VALUE"""),"")</f>
        <v/>
      </c>
      <c r="P2080" t="str">
        <f>IFERROR(__xludf.DUMMYFUNCTION("""COMPUTED_VALUE"""),"ID ")</f>
        <v>ID </v>
      </c>
    </row>
    <row r="2081">
      <c r="A2081" s="6" t="str">
        <f>IFERROR(__xludf.DUMMYFUNCTION("""COMPUTED_VALUE"""),"")</f>
        <v/>
      </c>
      <c r="C2081" t="str">
        <f>IFERROR(__xludf.DUMMYFUNCTION("""COMPUTED_VALUE"""),"")</f>
        <v/>
      </c>
      <c r="D2081" t="str">
        <f>IFERROR(__xludf.DUMMYFUNCTION("""COMPUTED_VALUE"""),"")</f>
        <v/>
      </c>
      <c r="E2081" t="str">
        <f>IFERROR(__xludf.DUMMYFUNCTION("""COMPUTED_VALUE"""),"")</f>
        <v/>
      </c>
      <c r="F2081" t="str">
        <f>IFERROR(__xludf.DUMMYFUNCTION("""COMPUTED_VALUE"""),"")</f>
        <v/>
      </c>
      <c r="G2081" t="str">
        <f>IFERROR(__xludf.DUMMYFUNCTION("""COMPUTED_VALUE"""),"")</f>
        <v/>
      </c>
      <c r="H2081" s="2" t="str">
        <f>IFERROR(__xludf.DUMMYFUNCTION("""COMPUTED_VALUE"""),"")</f>
        <v/>
      </c>
      <c r="I2081" s="2" t="str">
        <f>IFERROR(__xludf.DUMMYFUNCTION("""COMPUTED_VALUE"""),"")</f>
        <v/>
      </c>
      <c r="J2081" s="2">
        <f>IFERROR(__xludf.DUMMYFUNCTION("""COMPUTED_VALUE"""),0.0)</f>
        <v>0</v>
      </c>
      <c r="K2081" s="5" t="str">
        <f>IFERROR(__xludf.DUMMYFUNCTION("""COMPUTED_VALUE"""),"")</f>
        <v/>
      </c>
      <c r="L2081" t="str">
        <f>IFERROR(__xludf.DUMMYFUNCTION("""COMPUTED_VALUE"""),"")</f>
        <v/>
      </c>
      <c r="M2081" t="str">
        <f>IFERROR(__xludf.DUMMYFUNCTION("""COMPUTED_VALUE"""),"")</f>
        <v/>
      </c>
      <c r="N2081" t="str">
        <f>IFERROR(__xludf.DUMMYFUNCTION("""COMPUTED_VALUE"""),"")</f>
        <v/>
      </c>
      <c r="O2081" t="str">
        <f>IFERROR(__xludf.DUMMYFUNCTION("""COMPUTED_VALUE"""),"")</f>
        <v/>
      </c>
      <c r="P2081" t="str">
        <f>IFERROR(__xludf.DUMMYFUNCTION("""COMPUTED_VALUE"""),"ID ")</f>
        <v>ID </v>
      </c>
    </row>
    <row r="2082">
      <c r="A2082" s="6" t="str">
        <f>IFERROR(__xludf.DUMMYFUNCTION("""COMPUTED_VALUE"""),"")</f>
        <v/>
      </c>
      <c r="C2082" t="str">
        <f>IFERROR(__xludf.DUMMYFUNCTION("""COMPUTED_VALUE"""),"")</f>
        <v/>
      </c>
      <c r="D2082" t="str">
        <f>IFERROR(__xludf.DUMMYFUNCTION("""COMPUTED_VALUE"""),"")</f>
        <v/>
      </c>
      <c r="E2082" t="str">
        <f>IFERROR(__xludf.DUMMYFUNCTION("""COMPUTED_VALUE"""),"")</f>
        <v/>
      </c>
      <c r="F2082" t="str">
        <f>IFERROR(__xludf.DUMMYFUNCTION("""COMPUTED_VALUE"""),"")</f>
        <v/>
      </c>
      <c r="G2082" t="str">
        <f>IFERROR(__xludf.DUMMYFUNCTION("""COMPUTED_VALUE"""),"")</f>
        <v/>
      </c>
      <c r="H2082" s="2" t="str">
        <f>IFERROR(__xludf.DUMMYFUNCTION("""COMPUTED_VALUE"""),"")</f>
        <v/>
      </c>
      <c r="I2082" s="2" t="str">
        <f>IFERROR(__xludf.DUMMYFUNCTION("""COMPUTED_VALUE"""),"")</f>
        <v/>
      </c>
      <c r="J2082" s="2">
        <f>IFERROR(__xludf.DUMMYFUNCTION("""COMPUTED_VALUE"""),0.0)</f>
        <v>0</v>
      </c>
      <c r="K2082" s="5" t="str">
        <f>IFERROR(__xludf.DUMMYFUNCTION("""COMPUTED_VALUE"""),"")</f>
        <v/>
      </c>
      <c r="L2082" t="str">
        <f>IFERROR(__xludf.DUMMYFUNCTION("""COMPUTED_VALUE"""),"")</f>
        <v/>
      </c>
      <c r="M2082" t="str">
        <f>IFERROR(__xludf.DUMMYFUNCTION("""COMPUTED_VALUE"""),"")</f>
        <v/>
      </c>
      <c r="N2082" t="str">
        <f>IFERROR(__xludf.DUMMYFUNCTION("""COMPUTED_VALUE"""),"")</f>
        <v/>
      </c>
      <c r="O2082" t="str">
        <f>IFERROR(__xludf.DUMMYFUNCTION("""COMPUTED_VALUE"""),"")</f>
        <v/>
      </c>
      <c r="P2082" t="str">
        <f>IFERROR(__xludf.DUMMYFUNCTION("""COMPUTED_VALUE"""),"ID ")</f>
        <v>ID </v>
      </c>
    </row>
    <row r="2083">
      <c r="A2083" s="6" t="str">
        <f>IFERROR(__xludf.DUMMYFUNCTION("""COMPUTED_VALUE"""),"")</f>
        <v/>
      </c>
      <c r="C2083" t="str">
        <f>IFERROR(__xludf.DUMMYFUNCTION("""COMPUTED_VALUE"""),"")</f>
        <v/>
      </c>
      <c r="D2083" t="str">
        <f>IFERROR(__xludf.DUMMYFUNCTION("""COMPUTED_VALUE"""),"")</f>
        <v/>
      </c>
      <c r="E2083" t="str">
        <f>IFERROR(__xludf.DUMMYFUNCTION("""COMPUTED_VALUE"""),"")</f>
        <v/>
      </c>
      <c r="F2083" t="str">
        <f>IFERROR(__xludf.DUMMYFUNCTION("""COMPUTED_VALUE"""),"")</f>
        <v/>
      </c>
      <c r="G2083" t="str">
        <f>IFERROR(__xludf.DUMMYFUNCTION("""COMPUTED_VALUE"""),"")</f>
        <v/>
      </c>
      <c r="H2083" s="2" t="str">
        <f>IFERROR(__xludf.DUMMYFUNCTION("""COMPUTED_VALUE"""),"")</f>
        <v/>
      </c>
      <c r="I2083" s="2" t="str">
        <f>IFERROR(__xludf.DUMMYFUNCTION("""COMPUTED_VALUE"""),"")</f>
        <v/>
      </c>
      <c r="J2083" s="2">
        <f>IFERROR(__xludf.DUMMYFUNCTION("""COMPUTED_VALUE"""),0.0)</f>
        <v>0</v>
      </c>
      <c r="K2083" s="5" t="str">
        <f>IFERROR(__xludf.DUMMYFUNCTION("""COMPUTED_VALUE"""),"")</f>
        <v/>
      </c>
      <c r="L2083" t="str">
        <f>IFERROR(__xludf.DUMMYFUNCTION("""COMPUTED_VALUE"""),"")</f>
        <v/>
      </c>
      <c r="M2083" t="str">
        <f>IFERROR(__xludf.DUMMYFUNCTION("""COMPUTED_VALUE"""),"")</f>
        <v/>
      </c>
      <c r="N2083" t="str">
        <f>IFERROR(__xludf.DUMMYFUNCTION("""COMPUTED_VALUE"""),"")</f>
        <v/>
      </c>
      <c r="O2083" t="str">
        <f>IFERROR(__xludf.DUMMYFUNCTION("""COMPUTED_VALUE"""),"")</f>
        <v/>
      </c>
      <c r="P2083" t="str">
        <f>IFERROR(__xludf.DUMMYFUNCTION("""COMPUTED_VALUE"""),"ID ")</f>
        <v>ID </v>
      </c>
    </row>
    <row r="2084">
      <c r="A2084" s="6" t="str">
        <f>IFERROR(__xludf.DUMMYFUNCTION("""COMPUTED_VALUE"""),"")</f>
        <v/>
      </c>
      <c r="C2084" t="str">
        <f>IFERROR(__xludf.DUMMYFUNCTION("""COMPUTED_VALUE"""),"")</f>
        <v/>
      </c>
      <c r="D2084" t="str">
        <f>IFERROR(__xludf.DUMMYFUNCTION("""COMPUTED_VALUE"""),"")</f>
        <v/>
      </c>
      <c r="E2084" t="str">
        <f>IFERROR(__xludf.DUMMYFUNCTION("""COMPUTED_VALUE"""),"")</f>
        <v/>
      </c>
      <c r="F2084" t="str">
        <f>IFERROR(__xludf.DUMMYFUNCTION("""COMPUTED_VALUE"""),"")</f>
        <v/>
      </c>
      <c r="G2084" t="str">
        <f>IFERROR(__xludf.DUMMYFUNCTION("""COMPUTED_VALUE"""),"")</f>
        <v/>
      </c>
      <c r="H2084" s="2" t="str">
        <f>IFERROR(__xludf.DUMMYFUNCTION("""COMPUTED_VALUE"""),"")</f>
        <v/>
      </c>
      <c r="I2084" s="2" t="str">
        <f>IFERROR(__xludf.DUMMYFUNCTION("""COMPUTED_VALUE"""),"")</f>
        <v/>
      </c>
      <c r="J2084" s="2">
        <f>IFERROR(__xludf.DUMMYFUNCTION("""COMPUTED_VALUE"""),0.0)</f>
        <v>0</v>
      </c>
      <c r="K2084" s="5" t="str">
        <f>IFERROR(__xludf.DUMMYFUNCTION("""COMPUTED_VALUE"""),"")</f>
        <v/>
      </c>
      <c r="L2084" t="str">
        <f>IFERROR(__xludf.DUMMYFUNCTION("""COMPUTED_VALUE"""),"")</f>
        <v/>
      </c>
      <c r="M2084" t="str">
        <f>IFERROR(__xludf.DUMMYFUNCTION("""COMPUTED_VALUE"""),"")</f>
        <v/>
      </c>
      <c r="N2084" t="str">
        <f>IFERROR(__xludf.DUMMYFUNCTION("""COMPUTED_VALUE"""),"")</f>
        <v/>
      </c>
      <c r="O2084" t="str">
        <f>IFERROR(__xludf.DUMMYFUNCTION("""COMPUTED_VALUE"""),"")</f>
        <v/>
      </c>
      <c r="P2084" t="str">
        <f>IFERROR(__xludf.DUMMYFUNCTION("""COMPUTED_VALUE"""),"ID ")</f>
        <v>ID </v>
      </c>
    </row>
    <row r="2085">
      <c r="A2085" s="6" t="str">
        <f>IFERROR(__xludf.DUMMYFUNCTION("""COMPUTED_VALUE"""),"")</f>
        <v/>
      </c>
      <c r="C2085" t="str">
        <f>IFERROR(__xludf.DUMMYFUNCTION("""COMPUTED_VALUE"""),"")</f>
        <v/>
      </c>
      <c r="D2085" t="str">
        <f>IFERROR(__xludf.DUMMYFUNCTION("""COMPUTED_VALUE"""),"")</f>
        <v/>
      </c>
      <c r="E2085" t="str">
        <f>IFERROR(__xludf.DUMMYFUNCTION("""COMPUTED_VALUE"""),"")</f>
        <v/>
      </c>
      <c r="F2085" t="str">
        <f>IFERROR(__xludf.DUMMYFUNCTION("""COMPUTED_VALUE"""),"")</f>
        <v/>
      </c>
      <c r="G2085" t="str">
        <f>IFERROR(__xludf.DUMMYFUNCTION("""COMPUTED_VALUE"""),"")</f>
        <v/>
      </c>
      <c r="H2085" s="2" t="str">
        <f>IFERROR(__xludf.DUMMYFUNCTION("""COMPUTED_VALUE"""),"")</f>
        <v/>
      </c>
      <c r="I2085" s="2" t="str">
        <f>IFERROR(__xludf.DUMMYFUNCTION("""COMPUTED_VALUE"""),"")</f>
        <v/>
      </c>
      <c r="J2085" s="2">
        <f>IFERROR(__xludf.DUMMYFUNCTION("""COMPUTED_VALUE"""),0.0)</f>
        <v>0</v>
      </c>
      <c r="K2085" s="5" t="str">
        <f>IFERROR(__xludf.DUMMYFUNCTION("""COMPUTED_VALUE"""),"")</f>
        <v/>
      </c>
      <c r="L2085" t="str">
        <f>IFERROR(__xludf.DUMMYFUNCTION("""COMPUTED_VALUE"""),"")</f>
        <v/>
      </c>
      <c r="M2085" t="str">
        <f>IFERROR(__xludf.DUMMYFUNCTION("""COMPUTED_VALUE"""),"")</f>
        <v/>
      </c>
      <c r="N2085" t="str">
        <f>IFERROR(__xludf.DUMMYFUNCTION("""COMPUTED_VALUE"""),"")</f>
        <v/>
      </c>
      <c r="O2085" t="str">
        <f>IFERROR(__xludf.DUMMYFUNCTION("""COMPUTED_VALUE"""),"")</f>
        <v/>
      </c>
      <c r="P2085" t="str">
        <f>IFERROR(__xludf.DUMMYFUNCTION("""COMPUTED_VALUE"""),"ID ")</f>
        <v>ID </v>
      </c>
    </row>
    <row r="2086">
      <c r="A2086" s="6" t="str">
        <f>IFERROR(__xludf.DUMMYFUNCTION("""COMPUTED_VALUE"""),"")</f>
        <v/>
      </c>
      <c r="C2086" t="str">
        <f>IFERROR(__xludf.DUMMYFUNCTION("""COMPUTED_VALUE"""),"")</f>
        <v/>
      </c>
      <c r="D2086" t="str">
        <f>IFERROR(__xludf.DUMMYFUNCTION("""COMPUTED_VALUE"""),"")</f>
        <v/>
      </c>
      <c r="E2086" t="str">
        <f>IFERROR(__xludf.DUMMYFUNCTION("""COMPUTED_VALUE"""),"")</f>
        <v/>
      </c>
      <c r="F2086" t="str">
        <f>IFERROR(__xludf.DUMMYFUNCTION("""COMPUTED_VALUE"""),"")</f>
        <v/>
      </c>
      <c r="G2086" t="str">
        <f>IFERROR(__xludf.DUMMYFUNCTION("""COMPUTED_VALUE"""),"")</f>
        <v/>
      </c>
      <c r="H2086" s="2" t="str">
        <f>IFERROR(__xludf.DUMMYFUNCTION("""COMPUTED_VALUE"""),"")</f>
        <v/>
      </c>
      <c r="I2086" s="2" t="str">
        <f>IFERROR(__xludf.DUMMYFUNCTION("""COMPUTED_VALUE"""),"")</f>
        <v/>
      </c>
      <c r="J2086" s="2">
        <f>IFERROR(__xludf.DUMMYFUNCTION("""COMPUTED_VALUE"""),0.0)</f>
        <v>0</v>
      </c>
      <c r="K2086" s="5" t="str">
        <f>IFERROR(__xludf.DUMMYFUNCTION("""COMPUTED_VALUE"""),"")</f>
        <v/>
      </c>
      <c r="L2086" t="str">
        <f>IFERROR(__xludf.DUMMYFUNCTION("""COMPUTED_VALUE"""),"")</f>
        <v/>
      </c>
      <c r="M2086" t="str">
        <f>IFERROR(__xludf.DUMMYFUNCTION("""COMPUTED_VALUE"""),"")</f>
        <v/>
      </c>
      <c r="N2086" t="str">
        <f>IFERROR(__xludf.DUMMYFUNCTION("""COMPUTED_VALUE"""),"")</f>
        <v/>
      </c>
      <c r="O2086" t="str">
        <f>IFERROR(__xludf.DUMMYFUNCTION("""COMPUTED_VALUE"""),"")</f>
        <v/>
      </c>
      <c r="P2086" t="str">
        <f>IFERROR(__xludf.DUMMYFUNCTION("""COMPUTED_VALUE"""),"ID ")</f>
        <v>ID </v>
      </c>
    </row>
    <row r="2087">
      <c r="A2087" s="6" t="str">
        <f>IFERROR(__xludf.DUMMYFUNCTION("""COMPUTED_VALUE"""),"")</f>
        <v/>
      </c>
      <c r="C2087" t="str">
        <f>IFERROR(__xludf.DUMMYFUNCTION("""COMPUTED_VALUE"""),"")</f>
        <v/>
      </c>
      <c r="D2087" t="str">
        <f>IFERROR(__xludf.DUMMYFUNCTION("""COMPUTED_VALUE"""),"")</f>
        <v/>
      </c>
      <c r="E2087" t="str">
        <f>IFERROR(__xludf.DUMMYFUNCTION("""COMPUTED_VALUE"""),"")</f>
        <v/>
      </c>
      <c r="F2087" t="str">
        <f>IFERROR(__xludf.DUMMYFUNCTION("""COMPUTED_VALUE"""),"")</f>
        <v/>
      </c>
      <c r="G2087" t="str">
        <f>IFERROR(__xludf.DUMMYFUNCTION("""COMPUTED_VALUE"""),"")</f>
        <v/>
      </c>
      <c r="H2087" s="2" t="str">
        <f>IFERROR(__xludf.DUMMYFUNCTION("""COMPUTED_VALUE"""),"")</f>
        <v/>
      </c>
      <c r="I2087" s="2" t="str">
        <f>IFERROR(__xludf.DUMMYFUNCTION("""COMPUTED_VALUE"""),"")</f>
        <v/>
      </c>
      <c r="J2087" s="2">
        <f>IFERROR(__xludf.DUMMYFUNCTION("""COMPUTED_VALUE"""),0.0)</f>
        <v>0</v>
      </c>
      <c r="K2087" s="5" t="str">
        <f>IFERROR(__xludf.DUMMYFUNCTION("""COMPUTED_VALUE"""),"")</f>
        <v/>
      </c>
      <c r="L2087" t="str">
        <f>IFERROR(__xludf.DUMMYFUNCTION("""COMPUTED_VALUE"""),"")</f>
        <v/>
      </c>
      <c r="M2087" t="str">
        <f>IFERROR(__xludf.DUMMYFUNCTION("""COMPUTED_VALUE"""),"")</f>
        <v/>
      </c>
      <c r="N2087" t="str">
        <f>IFERROR(__xludf.DUMMYFUNCTION("""COMPUTED_VALUE"""),"")</f>
        <v/>
      </c>
      <c r="O2087" t="str">
        <f>IFERROR(__xludf.DUMMYFUNCTION("""COMPUTED_VALUE"""),"")</f>
        <v/>
      </c>
      <c r="P2087" t="str">
        <f>IFERROR(__xludf.DUMMYFUNCTION("""COMPUTED_VALUE"""),"ID ")</f>
        <v>ID </v>
      </c>
    </row>
    <row r="2088">
      <c r="A2088" s="6" t="str">
        <f>IFERROR(__xludf.DUMMYFUNCTION("""COMPUTED_VALUE"""),"")</f>
        <v/>
      </c>
      <c r="C2088" t="str">
        <f>IFERROR(__xludf.DUMMYFUNCTION("""COMPUTED_VALUE"""),"")</f>
        <v/>
      </c>
      <c r="D2088" t="str">
        <f>IFERROR(__xludf.DUMMYFUNCTION("""COMPUTED_VALUE"""),"")</f>
        <v/>
      </c>
      <c r="E2088" t="str">
        <f>IFERROR(__xludf.DUMMYFUNCTION("""COMPUTED_VALUE"""),"")</f>
        <v/>
      </c>
      <c r="F2088" t="str">
        <f>IFERROR(__xludf.DUMMYFUNCTION("""COMPUTED_VALUE"""),"")</f>
        <v/>
      </c>
      <c r="G2088" t="str">
        <f>IFERROR(__xludf.DUMMYFUNCTION("""COMPUTED_VALUE"""),"")</f>
        <v/>
      </c>
      <c r="H2088" s="2" t="str">
        <f>IFERROR(__xludf.DUMMYFUNCTION("""COMPUTED_VALUE"""),"")</f>
        <v/>
      </c>
      <c r="I2088" s="2" t="str">
        <f>IFERROR(__xludf.DUMMYFUNCTION("""COMPUTED_VALUE"""),"")</f>
        <v/>
      </c>
      <c r="J2088" s="2">
        <f>IFERROR(__xludf.DUMMYFUNCTION("""COMPUTED_VALUE"""),0.0)</f>
        <v>0</v>
      </c>
      <c r="K2088" s="5" t="str">
        <f>IFERROR(__xludf.DUMMYFUNCTION("""COMPUTED_VALUE"""),"")</f>
        <v/>
      </c>
      <c r="L2088" t="str">
        <f>IFERROR(__xludf.DUMMYFUNCTION("""COMPUTED_VALUE"""),"")</f>
        <v/>
      </c>
      <c r="M2088" t="str">
        <f>IFERROR(__xludf.DUMMYFUNCTION("""COMPUTED_VALUE"""),"")</f>
        <v/>
      </c>
      <c r="N2088" t="str">
        <f>IFERROR(__xludf.DUMMYFUNCTION("""COMPUTED_VALUE"""),"")</f>
        <v/>
      </c>
      <c r="O2088" t="str">
        <f>IFERROR(__xludf.DUMMYFUNCTION("""COMPUTED_VALUE"""),"")</f>
        <v/>
      </c>
      <c r="P2088" t="str">
        <f>IFERROR(__xludf.DUMMYFUNCTION("""COMPUTED_VALUE"""),"ID ")</f>
        <v>ID </v>
      </c>
    </row>
    <row r="2089">
      <c r="A2089" s="6" t="str">
        <f>IFERROR(__xludf.DUMMYFUNCTION("""COMPUTED_VALUE"""),"")</f>
        <v/>
      </c>
      <c r="C2089" t="str">
        <f>IFERROR(__xludf.DUMMYFUNCTION("""COMPUTED_VALUE"""),"")</f>
        <v/>
      </c>
      <c r="D2089" t="str">
        <f>IFERROR(__xludf.DUMMYFUNCTION("""COMPUTED_VALUE"""),"")</f>
        <v/>
      </c>
      <c r="E2089" t="str">
        <f>IFERROR(__xludf.DUMMYFUNCTION("""COMPUTED_VALUE"""),"")</f>
        <v/>
      </c>
      <c r="F2089" t="str">
        <f>IFERROR(__xludf.DUMMYFUNCTION("""COMPUTED_VALUE"""),"")</f>
        <v/>
      </c>
      <c r="G2089" t="str">
        <f>IFERROR(__xludf.DUMMYFUNCTION("""COMPUTED_VALUE"""),"")</f>
        <v/>
      </c>
      <c r="H2089" s="2" t="str">
        <f>IFERROR(__xludf.DUMMYFUNCTION("""COMPUTED_VALUE"""),"")</f>
        <v/>
      </c>
      <c r="I2089" s="2" t="str">
        <f>IFERROR(__xludf.DUMMYFUNCTION("""COMPUTED_VALUE"""),"")</f>
        <v/>
      </c>
      <c r="J2089" s="2">
        <f>IFERROR(__xludf.DUMMYFUNCTION("""COMPUTED_VALUE"""),0.0)</f>
        <v>0</v>
      </c>
      <c r="K2089" s="5" t="str">
        <f>IFERROR(__xludf.DUMMYFUNCTION("""COMPUTED_VALUE"""),"")</f>
        <v/>
      </c>
      <c r="L2089" t="str">
        <f>IFERROR(__xludf.DUMMYFUNCTION("""COMPUTED_VALUE"""),"")</f>
        <v/>
      </c>
      <c r="M2089" t="str">
        <f>IFERROR(__xludf.DUMMYFUNCTION("""COMPUTED_VALUE"""),"")</f>
        <v/>
      </c>
      <c r="N2089" t="str">
        <f>IFERROR(__xludf.DUMMYFUNCTION("""COMPUTED_VALUE"""),"")</f>
        <v/>
      </c>
      <c r="O2089" t="str">
        <f>IFERROR(__xludf.DUMMYFUNCTION("""COMPUTED_VALUE"""),"")</f>
        <v/>
      </c>
      <c r="P2089" t="str">
        <f>IFERROR(__xludf.DUMMYFUNCTION("""COMPUTED_VALUE"""),"ID ")</f>
        <v>ID </v>
      </c>
    </row>
    <row r="2090">
      <c r="A2090" s="6" t="str">
        <f>IFERROR(__xludf.DUMMYFUNCTION("""COMPUTED_VALUE"""),"")</f>
        <v/>
      </c>
      <c r="C2090" t="str">
        <f>IFERROR(__xludf.DUMMYFUNCTION("""COMPUTED_VALUE"""),"")</f>
        <v/>
      </c>
      <c r="D2090" t="str">
        <f>IFERROR(__xludf.DUMMYFUNCTION("""COMPUTED_VALUE"""),"")</f>
        <v/>
      </c>
      <c r="E2090" t="str">
        <f>IFERROR(__xludf.DUMMYFUNCTION("""COMPUTED_VALUE"""),"")</f>
        <v/>
      </c>
      <c r="F2090" t="str">
        <f>IFERROR(__xludf.DUMMYFUNCTION("""COMPUTED_VALUE"""),"")</f>
        <v/>
      </c>
      <c r="G2090" t="str">
        <f>IFERROR(__xludf.DUMMYFUNCTION("""COMPUTED_VALUE"""),"")</f>
        <v/>
      </c>
      <c r="H2090" s="2" t="str">
        <f>IFERROR(__xludf.DUMMYFUNCTION("""COMPUTED_VALUE"""),"")</f>
        <v/>
      </c>
      <c r="I2090" s="2" t="str">
        <f>IFERROR(__xludf.DUMMYFUNCTION("""COMPUTED_VALUE"""),"")</f>
        <v/>
      </c>
      <c r="J2090" s="2">
        <f>IFERROR(__xludf.DUMMYFUNCTION("""COMPUTED_VALUE"""),0.0)</f>
        <v>0</v>
      </c>
      <c r="K2090" s="5" t="str">
        <f>IFERROR(__xludf.DUMMYFUNCTION("""COMPUTED_VALUE"""),"")</f>
        <v/>
      </c>
      <c r="L2090" t="str">
        <f>IFERROR(__xludf.DUMMYFUNCTION("""COMPUTED_VALUE"""),"")</f>
        <v/>
      </c>
      <c r="M2090" t="str">
        <f>IFERROR(__xludf.DUMMYFUNCTION("""COMPUTED_VALUE"""),"")</f>
        <v/>
      </c>
      <c r="N2090" t="str">
        <f>IFERROR(__xludf.DUMMYFUNCTION("""COMPUTED_VALUE"""),"")</f>
        <v/>
      </c>
      <c r="O2090" t="str">
        <f>IFERROR(__xludf.DUMMYFUNCTION("""COMPUTED_VALUE"""),"")</f>
        <v/>
      </c>
      <c r="P2090" t="str">
        <f>IFERROR(__xludf.DUMMYFUNCTION("""COMPUTED_VALUE"""),"ID ")</f>
        <v>ID </v>
      </c>
    </row>
    <row r="2091">
      <c r="A2091" s="6" t="str">
        <f>IFERROR(__xludf.DUMMYFUNCTION("""COMPUTED_VALUE"""),"")</f>
        <v/>
      </c>
      <c r="C2091" t="str">
        <f>IFERROR(__xludf.DUMMYFUNCTION("""COMPUTED_VALUE"""),"")</f>
        <v/>
      </c>
      <c r="D2091" t="str">
        <f>IFERROR(__xludf.DUMMYFUNCTION("""COMPUTED_VALUE"""),"")</f>
        <v/>
      </c>
      <c r="E2091" t="str">
        <f>IFERROR(__xludf.DUMMYFUNCTION("""COMPUTED_VALUE"""),"")</f>
        <v/>
      </c>
      <c r="F2091" t="str">
        <f>IFERROR(__xludf.DUMMYFUNCTION("""COMPUTED_VALUE"""),"")</f>
        <v/>
      </c>
      <c r="G2091" t="str">
        <f>IFERROR(__xludf.DUMMYFUNCTION("""COMPUTED_VALUE"""),"")</f>
        <v/>
      </c>
      <c r="H2091" s="2" t="str">
        <f>IFERROR(__xludf.DUMMYFUNCTION("""COMPUTED_VALUE"""),"")</f>
        <v/>
      </c>
      <c r="I2091" s="2" t="str">
        <f>IFERROR(__xludf.DUMMYFUNCTION("""COMPUTED_VALUE"""),"")</f>
        <v/>
      </c>
      <c r="J2091" s="2">
        <f>IFERROR(__xludf.DUMMYFUNCTION("""COMPUTED_VALUE"""),0.0)</f>
        <v>0</v>
      </c>
      <c r="K2091" s="5" t="str">
        <f>IFERROR(__xludf.DUMMYFUNCTION("""COMPUTED_VALUE"""),"")</f>
        <v/>
      </c>
      <c r="L2091" t="str">
        <f>IFERROR(__xludf.DUMMYFUNCTION("""COMPUTED_VALUE"""),"")</f>
        <v/>
      </c>
      <c r="M2091" t="str">
        <f>IFERROR(__xludf.DUMMYFUNCTION("""COMPUTED_VALUE"""),"")</f>
        <v/>
      </c>
      <c r="N2091" t="str">
        <f>IFERROR(__xludf.DUMMYFUNCTION("""COMPUTED_VALUE"""),"")</f>
        <v/>
      </c>
      <c r="O2091" t="str">
        <f>IFERROR(__xludf.DUMMYFUNCTION("""COMPUTED_VALUE"""),"")</f>
        <v/>
      </c>
      <c r="P2091" t="str">
        <f>IFERROR(__xludf.DUMMYFUNCTION("""COMPUTED_VALUE"""),"ID ")</f>
        <v>ID </v>
      </c>
    </row>
    <row r="2092">
      <c r="A2092" s="6" t="str">
        <f>IFERROR(__xludf.DUMMYFUNCTION("""COMPUTED_VALUE"""),"")</f>
        <v/>
      </c>
      <c r="C2092" t="str">
        <f>IFERROR(__xludf.DUMMYFUNCTION("""COMPUTED_VALUE"""),"")</f>
        <v/>
      </c>
      <c r="D2092" t="str">
        <f>IFERROR(__xludf.DUMMYFUNCTION("""COMPUTED_VALUE"""),"")</f>
        <v/>
      </c>
      <c r="E2092" t="str">
        <f>IFERROR(__xludf.DUMMYFUNCTION("""COMPUTED_VALUE"""),"")</f>
        <v/>
      </c>
      <c r="F2092" t="str">
        <f>IFERROR(__xludf.DUMMYFUNCTION("""COMPUTED_VALUE"""),"")</f>
        <v/>
      </c>
      <c r="G2092" t="str">
        <f>IFERROR(__xludf.DUMMYFUNCTION("""COMPUTED_VALUE"""),"")</f>
        <v/>
      </c>
      <c r="H2092" s="2" t="str">
        <f>IFERROR(__xludf.DUMMYFUNCTION("""COMPUTED_VALUE"""),"")</f>
        <v/>
      </c>
      <c r="I2092" s="2" t="str">
        <f>IFERROR(__xludf.DUMMYFUNCTION("""COMPUTED_VALUE"""),"")</f>
        <v/>
      </c>
      <c r="J2092" s="2">
        <f>IFERROR(__xludf.DUMMYFUNCTION("""COMPUTED_VALUE"""),0.0)</f>
        <v>0</v>
      </c>
      <c r="K2092" s="5" t="str">
        <f>IFERROR(__xludf.DUMMYFUNCTION("""COMPUTED_VALUE"""),"")</f>
        <v/>
      </c>
      <c r="L2092" t="str">
        <f>IFERROR(__xludf.DUMMYFUNCTION("""COMPUTED_VALUE"""),"")</f>
        <v/>
      </c>
      <c r="M2092" t="str">
        <f>IFERROR(__xludf.DUMMYFUNCTION("""COMPUTED_VALUE"""),"")</f>
        <v/>
      </c>
      <c r="N2092" t="str">
        <f>IFERROR(__xludf.DUMMYFUNCTION("""COMPUTED_VALUE"""),"")</f>
        <v/>
      </c>
      <c r="O2092" t="str">
        <f>IFERROR(__xludf.DUMMYFUNCTION("""COMPUTED_VALUE"""),"")</f>
        <v/>
      </c>
      <c r="P2092" t="str">
        <f>IFERROR(__xludf.DUMMYFUNCTION("""COMPUTED_VALUE"""),"ID ")</f>
        <v>ID </v>
      </c>
    </row>
    <row r="2093">
      <c r="A2093" s="6" t="str">
        <f>IFERROR(__xludf.DUMMYFUNCTION("""COMPUTED_VALUE"""),"")</f>
        <v/>
      </c>
      <c r="C2093" t="str">
        <f>IFERROR(__xludf.DUMMYFUNCTION("""COMPUTED_VALUE"""),"")</f>
        <v/>
      </c>
      <c r="D2093" t="str">
        <f>IFERROR(__xludf.DUMMYFUNCTION("""COMPUTED_VALUE"""),"")</f>
        <v/>
      </c>
      <c r="E2093" t="str">
        <f>IFERROR(__xludf.DUMMYFUNCTION("""COMPUTED_VALUE"""),"")</f>
        <v/>
      </c>
      <c r="F2093" t="str">
        <f>IFERROR(__xludf.DUMMYFUNCTION("""COMPUTED_VALUE"""),"")</f>
        <v/>
      </c>
      <c r="G2093" t="str">
        <f>IFERROR(__xludf.DUMMYFUNCTION("""COMPUTED_VALUE"""),"")</f>
        <v/>
      </c>
      <c r="H2093" s="2" t="str">
        <f>IFERROR(__xludf.DUMMYFUNCTION("""COMPUTED_VALUE"""),"")</f>
        <v/>
      </c>
      <c r="I2093" s="2" t="str">
        <f>IFERROR(__xludf.DUMMYFUNCTION("""COMPUTED_VALUE"""),"")</f>
        <v/>
      </c>
      <c r="J2093" s="2">
        <f>IFERROR(__xludf.DUMMYFUNCTION("""COMPUTED_VALUE"""),0.0)</f>
        <v>0</v>
      </c>
      <c r="K2093" s="5" t="str">
        <f>IFERROR(__xludf.DUMMYFUNCTION("""COMPUTED_VALUE"""),"")</f>
        <v/>
      </c>
      <c r="L2093" t="str">
        <f>IFERROR(__xludf.DUMMYFUNCTION("""COMPUTED_VALUE"""),"")</f>
        <v/>
      </c>
      <c r="M2093" t="str">
        <f>IFERROR(__xludf.DUMMYFUNCTION("""COMPUTED_VALUE"""),"")</f>
        <v/>
      </c>
      <c r="N2093" t="str">
        <f>IFERROR(__xludf.DUMMYFUNCTION("""COMPUTED_VALUE"""),"")</f>
        <v/>
      </c>
      <c r="O2093" t="str">
        <f>IFERROR(__xludf.DUMMYFUNCTION("""COMPUTED_VALUE"""),"")</f>
        <v/>
      </c>
      <c r="P2093" t="str">
        <f>IFERROR(__xludf.DUMMYFUNCTION("""COMPUTED_VALUE"""),"ID ")</f>
        <v>ID </v>
      </c>
    </row>
    <row r="2094">
      <c r="A2094" s="6" t="str">
        <f>IFERROR(__xludf.DUMMYFUNCTION("""COMPUTED_VALUE"""),"")</f>
        <v/>
      </c>
      <c r="C2094" t="str">
        <f>IFERROR(__xludf.DUMMYFUNCTION("""COMPUTED_VALUE"""),"")</f>
        <v/>
      </c>
      <c r="D2094" t="str">
        <f>IFERROR(__xludf.DUMMYFUNCTION("""COMPUTED_VALUE"""),"")</f>
        <v/>
      </c>
      <c r="E2094" t="str">
        <f>IFERROR(__xludf.DUMMYFUNCTION("""COMPUTED_VALUE"""),"")</f>
        <v/>
      </c>
      <c r="F2094" t="str">
        <f>IFERROR(__xludf.DUMMYFUNCTION("""COMPUTED_VALUE"""),"")</f>
        <v/>
      </c>
      <c r="G2094" t="str">
        <f>IFERROR(__xludf.DUMMYFUNCTION("""COMPUTED_VALUE"""),"")</f>
        <v/>
      </c>
      <c r="H2094" s="2" t="str">
        <f>IFERROR(__xludf.DUMMYFUNCTION("""COMPUTED_VALUE"""),"")</f>
        <v/>
      </c>
      <c r="I2094" s="2" t="str">
        <f>IFERROR(__xludf.DUMMYFUNCTION("""COMPUTED_VALUE"""),"")</f>
        <v/>
      </c>
      <c r="J2094" s="2">
        <f>IFERROR(__xludf.DUMMYFUNCTION("""COMPUTED_VALUE"""),0.0)</f>
        <v>0</v>
      </c>
      <c r="K2094" s="5" t="str">
        <f>IFERROR(__xludf.DUMMYFUNCTION("""COMPUTED_VALUE"""),"")</f>
        <v/>
      </c>
      <c r="L2094" t="str">
        <f>IFERROR(__xludf.DUMMYFUNCTION("""COMPUTED_VALUE"""),"")</f>
        <v/>
      </c>
      <c r="M2094" t="str">
        <f>IFERROR(__xludf.DUMMYFUNCTION("""COMPUTED_VALUE"""),"")</f>
        <v/>
      </c>
      <c r="N2094" t="str">
        <f>IFERROR(__xludf.DUMMYFUNCTION("""COMPUTED_VALUE"""),"")</f>
        <v/>
      </c>
      <c r="O2094" t="str">
        <f>IFERROR(__xludf.DUMMYFUNCTION("""COMPUTED_VALUE"""),"")</f>
        <v/>
      </c>
      <c r="P2094" t="str">
        <f>IFERROR(__xludf.DUMMYFUNCTION("""COMPUTED_VALUE"""),"ID ")</f>
        <v>ID </v>
      </c>
    </row>
    <row r="2095">
      <c r="A2095" s="6" t="str">
        <f>IFERROR(__xludf.DUMMYFUNCTION("""COMPUTED_VALUE"""),"")</f>
        <v/>
      </c>
      <c r="C2095" t="str">
        <f>IFERROR(__xludf.DUMMYFUNCTION("""COMPUTED_VALUE"""),"")</f>
        <v/>
      </c>
      <c r="D2095" t="str">
        <f>IFERROR(__xludf.DUMMYFUNCTION("""COMPUTED_VALUE"""),"")</f>
        <v/>
      </c>
      <c r="E2095" t="str">
        <f>IFERROR(__xludf.DUMMYFUNCTION("""COMPUTED_VALUE"""),"")</f>
        <v/>
      </c>
      <c r="F2095" t="str">
        <f>IFERROR(__xludf.DUMMYFUNCTION("""COMPUTED_VALUE"""),"")</f>
        <v/>
      </c>
      <c r="G2095" t="str">
        <f>IFERROR(__xludf.DUMMYFUNCTION("""COMPUTED_VALUE"""),"")</f>
        <v/>
      </c>
      <c r="H2095" s="2" t="str">
        <f>IFERROR(__xludf.DUMMYFUNCTION("""COMPUTED_VALUE"""),"")</f>
        <v/>
      </c>
      <c r="I2095" s="2" t="str">
        <f>IFERROR(__xludf.DUMMYFUNCTION("""COMPUTED_VALUE"""),"")</f>
        <v/>
      </c>
      <c r="J2095" s="2">
        <f>IFERROR(__xludf.DUMMYFUNCTION("""COMPUTED_VALUE"""),0.0)</f>
        <v>0</v>
      </c>
      <c r="K2095" s="5" t="str">
        <f>IFERROR(__xludf.DUMMYFUNCTION("""COMPUTED_VALUE"""),"")</f>
        <v/>
      </c>
      <c r="L2095" t="str">
        <f>IFERROR(__xludf.DUMMYFUNCTION("""COMPUTED_VALUE"""),"")</f>
        <v/>
      </c>
      <c r="M2095" t="str">
        <f>IFERROR(__xludf.DUMMYFUNCTION("""COMPUTED_VALUE"""),"")</f>
        <v/>
      </c>
      <c r="N2095" t="str">
        <f>IFERROR(__xludf.DUMMYFUNCTION("""COMPUTED_VALUE"""),"")</f>
        <v/>
      </c>
      <c r="O2095" t="str">
        <f>IFERROR(__xludf.DUMMYFUNCTION("""COMPUTED_VALUE"""),"")</f>
        <v/>
      </c>
      <c r="P2095" t="str">
        <f>IFERROR(__xludf.DUMMYFUNCTION("""COMPUTED_VALUE"""),"ID ")</f>
        <v>ID </v>
      </c>
    </row>
    <row r="2096">
      <c r="A2096" s="6" t="str">
        <f>IFERROR(__xludf.DUMMYFUNCTION("""COMPUTED_VALUE"""),"")</f>
        <v/>
      </c>
      <c r="C2096" t="str">
        <f>IFERROR(__xludf.DUMMYFUNCTION("""COMPUTED_VALUE"""),"")</f>
        <v/>
      </c>
      <c r="D2096" t="str">
        <f>IFERROR(__xludf.DUMMYFUNCTION("""COMPUTED_VALUE"""),"")</f>
        <v/>
      </c>
      <c r="E2096" t="str">
        <f>IFERROR(__xludf.DUMMYFUNCTION("""COMPUTED_VALUE"""),"")</f>
        <v/>
      </c>
      <c r="F2096" t="str">
        <f>IFERROR(__xludf.DUMMYFUNCTION("""COMPUTED_VALUE"""),"")</f>
        <v/>
      </c>
      <c r="G2096" t="str">
        <f>IFERROR(__xludf.DUMMYFUNCTION("""COMPUTED_VALUE"""),"")</f>
        <v/>
      </c>
      <c r="H2096" s="2" t="str">
        <f>IFERROR(__xludf.DUMMYFUNCTION("""COMPUTED_VALUE"""),"")</f>
        <v/>
      </c>
      <c r="I2096" s="2" t="str">
        <f>IFERROR(__xludf.DUMMYFUNCTION("""COMPUTED_VALUE"""),"")</f>
        <v/>
      </c>
      <c r="J2096" s="2">
        <f>IFERROR(__xludf.DUMMYFUNCTION("""COMPUTED_VALUE"""),0.0)</f>
        <v>0</v>
      </c>
      <c r="K2096" s="5" t="str">
        <f>IFERROR(__xludf.DUMMYFUNCTION("""COMPUTED_VALUE"""),"")</f>
        <v/>
      </c>
      <c r="L2096" t="str">
        <f>IFERROR(__xludf.DUMMYFUNCTION("""COMPUTED_VALUE"""),"")</f>
        <v/>
      </c>
      <c r="M2096" t="str">
        <f>IFERROR(__xludf.DUMMYFUNCTION("""COMPUTED_VALUE"""),"")</f>
        <v/>
      </c>
      <c r="N2096" t="str">
        <f>IFERROR(__xludf.DUMMYFUNCTION("""COMPUTED_VALUE"""),"")</f>
        <v/>
      </c>
      <c r="O2096" t="str">
        <f>IFERROR(__xludf.DUMMYFUNCTION("""COMPUTED_VALUE"""),"")</f>
        <v/>
      </c>
      <c r="P2096" t="str">
        <f>IFERROR(__xludf.DUMMYFUNCTION("""COMPUTED_VALUE"""),"ID ")</f>
        <v>ID </v>
      </c>
    </row>
    <row r="2097">
      <c r="A2097" s="6" t="str">
        <f>IFERROR(__xludf.DUMMYFUNCTION("""COMPUTED_VALUE"""),"")</f>
        <v/>
      </c>
      <c r="C2097" t="str">
        <f>IFERROR(__xludf.DUMMYFUNCTION("""COMPUTED_VALUE"""),"")</f>
        <v/>
      </c>
      <c r="D2097" t="str">
        <f>IFERROR(__xludf.DUMMYFUNCTION("""COMPUTED_VALUE"""),"")</f>
        <v/>
      </c>
      <c r="E2097" t="str">
        <f>IFERROR(__xludf.DUMMYFUNCTION("""COMPUTED_VALUE"""),"")</f>
        <v/>
      </c>
      <c r="F2097" t="str">
        <f>IFERROR(__xludf.DUMMYFUNCTION("""COMPUTED_VALUE"""),"")</f>
        <v/>
      </c>
      <c r="G2097" t="str">
        <f>IFERROR(__xludf.DUMMYFUNCTION("""COMPUTED_VALUE"""),"")</f>
        <v/>
      </c>
      <c r="H2097" s="2" t="str">
        <f>IFERROR(__xludf.DUMMYFUNCTION("""COMPUTED_VALUE"""),"")</f>
        <v/>
      </c>
      <c r="I2097" s="2" t="str">
        <f>IFERROR(__xludf.DUMMYFUNCTION("""COMPUTED_VALUE"""),"")</f>
        <v/>
      </c>
      <c r="J2097" s="2">
        <f>IFERROR(__xludf.DUMMYFUNCTION("""COMPUTED_VALUE"""),0.0)</f>
        <v>0</v>
      </c>
      <c r="K2097" s="5" t="str">
        <f>IFERROR(__xludf.DUMMYFUNCTION("""COMPUTED_VALUE"""),"")</f>
        <v/>
      </c>
      <c r="L2097" t="str">
        <f>IFERROR(__xludf.DUMMYFUNCTION("""COMPUTED_VALUE"""),"")</f>
        <v/>
      </c>
      <c r="M2097" t="str">
        <f>IFERROR(__xludf.DUMMYFUNCTION("""COMPUTED_VALUE"""),"")</f>
        <v/>
      </c>
      <c r="N2097" t="str">
        <f>IFERROR(__xludf.DUMMYFUNCTION("""COMPUTED_VALUE"""),"")</f>
        <v/>
      </c>
      <c r="O2097" t="str">
        <f>IFERROR(__xludf.DUMMYFUNCTION("""COMPUTED_VALUE"""),"")</f>
        <v/>
      </c>
      <c r="P2097" t="str">
        <f>IFERROR(__xludf.DUMMYFUNCTION("""COMPUTED_VALUE"""),"ID ")</f>
        <v>ID </v>
      </c>
    </row>
    <row r="2098">
      <c r="A2098" s="6" t="str">
        <f>IFERROR(__xludf.DUMMYFUNCTION("""COMPUTED_VALUE"""),"")</f>
        <v/>
      </c>
      <c r="C2098" t="str">
        <f>IFERROR(__xludf.DUMMYFUNCTION("""COMPUTED_VALUE"""),"")</f>
        <v/>
      </c>
      <c r="D2098" t="str">
        <f>IFERROR(__xludf.DUMMYFUNCTION("""COMPUTED_VALUE"""),"")</f>
        <v/>
      </c>
      <c r="E2098" t="str">
        <f>IFERROR(__xludf.DUMMYFUNCTION("""COMPUTED_VALUE"""),"")</f>
        <v/>
      </c>
      <c r="F2098" t="str">
        <f>IFERROR(__xludf.DUMMYFUNCTION("""COMPUTED_VALUE"""),"")</f>
        <v/>
      </c>
      <c r="G2098" t="str">
        <f>IFERROR(__xludf.DUMMYFUNCTION("""COMPUTED_VALUE"""),"")</f>
        <v/>
      </c>
      <c r="H2098" s="2" t="str">
        <f>IFERROR(__xludf.DUMMYFUNCTION("""COMPUTED_VALUE"""),"")</f>
        <v/>
      </c>
      <c r="I2098" s="2" t="str">
        <f>IFERROR(__xludf.DUMMYFUNCTION("""COMPUTED_VALUE"""),"")</f>
        <v/>
      </c>
      <c r="J2098" s="2">
        <f>IFERROR(__xludf.DUMMYFUNCTION("""COMPUTED_VALUE"""),0.0)</f>
        <v>0</v>
      </c>
      <c r="K2098" s="5" t="str">
        <f>IFERROR(__xludf.DUMMYFUNCTION("""COMPUTED_VALUE"""),"")</f>
        <v/>
      </c>
      <c r="L2098" t="str">
        <f>IFERROR(__xludf.DUMMYFUNCTION("""COMPUTED_VALUE"""),"")</f>
        <v/>
      </c>
      <c r="M2098" t="str">
        <f>IFERROR(__xludf.DUMMYFUNCTION("""COMPUTED_VALUE"""),"")</f>
        <v/>
      </c>
      <c r="N2098" t="str">
        <f>IFERROR(__xludf.DUMMYFUNCTION("""COMPUTED_VALUE"""),"")</f>
        <v/>
      </c>
      <c r="O2098" t="str">
        <f>IFERROR(__xludf.DUMMYFUNCTION("""COMPUTED_VALUE"""),"")</f>
        <v/>
      </c>
      <c r="P2098" t="str">
        <f>IFERROR(__xludf.DUMMYFUNCTION("""COMPUTED_VALUE"""),"ID ")</f>
        <v>ID </v>
      </c>
    </row>
    <row r="2099">
      <c r="A2099" s="6" t="str">
        <f>IFERROR(__xludf.DUMMYFUNCTION("""COMPUTED_VALUE"""),"")</f>
        <v/>
      </c>
      <c r="C2099" t="str">
        <f>IFERROR(__xludf.DUMMYFUNCTION("""COMPUTED_VALUE"""),"")</f>
        <v/>
      </c>
      <c r="D2099" t="str">
        <f>IFERROR(__xludf.DUMMYFUNCTION("""COMPUTED_VALUE"""),"")</f>
        <v/>
      </c>
      <c r="E2099" t="str">
        <f>IFERROR(__xludf.DUMMYFUNCTION("""COMPUTED_VALUE"""),"")</f>
        <v/>
      </c>
      <c r="F2099" t="str">
        <f>IFERROR(__xludf.DUMMYFUNCTION("""COMPUTED_VALUE"""),"")</f>
        <v/>
      </c>
      <c r="G2099" t="str">
        <f>IFERROR(__xludf.DUMMYFUNCTION("""COMPUTED_VALUE"""),"")</f>
        <v/>
      </c>
      <c r="H2099" s="2" t="str">
        <f>IFERROR(__xludf.DUMMYFUNCTION("""COMPUTED_VALUE"""),"")</f>
        <v/>
      </c>
      <c r="I2099" s="2" t="str">
        <f>IFERROR(__xludf.DUMMYFUNCTION("""COMPUTED_VALUE"""),"")</f>
        <v/>
      </c>
      <c r="J2099" s="2">
        <f>IFERROR(__xludf.DUMMYFUNCTION("""COMPUTED_VALUE"""),0.0)</f>
        <v>0</v>
      </c>
      <c r="K2099" s="5" t="str">
        <f>IFERROR(__xludf.DUMMYFUNCTION("""COMPUTED_VALUE"""),"")</f>
        <v/>
      </c>
      <c r="L2099" t="str">
        <f>IFERROR(__xludf.DUMMYFUNCTION("""COMPUTED_VALUE"""),"")</f>
        <v/>
      </c>
      <c r="M2099" t="str">
        <f>IFERROR(__xludf.DUMMYFUNCTION("""COMPUTED_VALUE"""),"")</f>
        <v/>
      </c>
      <c r="N2099" t="str">
        <f>IFERROR(__xludf.DUMMYFUNCTION("""COMPUTED_VALUE"""),"")</f>
        <v/>
      </c>
      <c r="O2099" t="str">
        <f>IFERROR(__xludf.DUMMYFUNCTION("""COMPUTED_VALUE"""),"")</f>
        <v/>
      </c>
      <c r="P2099" t="str">
        <f>IFERROR(__xludf.DUMMYFUNCTION("""COMPUTED_VALUE"""),"ID ")</f>
        <v>ID </v>
      </c>
    </row>
    <row r="2100">
      <c r="A2100" s="6" t="str">
        <f>IFERROR(__xludf.DUMMYFUNCTION("""COMPUTED_VALUE"""),"")</f>
        <v/>
      </c>
      <c r="C2100" t="str">
        <f>IFERROR(__xludf.DUMMYFUNCTION("""COMPUTED_VALUE"""),"")</f>
        <v/>
      </c>
      <c r="D2100" t="str">
        <f>IFERROR(__xludf.DUMMYFUNCTION("""COMPUTED_VALUE"""),"")</f>
        <v/>
      </c>
      <c r="E2100" t="str">
        <f>IFERROR(__xludf.DUMMYFUNCTION("""COMPUTED_VALUE"""),"")</f>
        <v/>
      </c>
      <c r="F2100" t="str">
        <f>IFERROR(__xludf.DUMMYFUNCTION("""COMPUTED_VALUE"""),"")</f>
        <v/>
      </c>
      <c r="G2100" t="str">
        <f>IFERROR(__xludf.DUMMYFUNCTION("""COMPUTED_VALUE"""),"")</f>
        <v/>
      </c>
      <c r="H2100" s="2" t="str">
        <f>IFERROR(__xludf.DUMMYFUNCTION("""COMPUTED_VALUE"""),"")</f>
        <v/>
      </c>
      <c r="I2100" s="2" t="str">
        <f>IFERROR(__xludf.DUMMYFUNCTION("""COMPUTED_VALUE"""),"")</f>
        <v/>
      </c>
      <c r="J2100" s="2">
        <f>IFERROR(__xludf.DUMMYFUNCTION("""COMPUTED_VALUE"""),0.0)</f>
        <v>0</v>
      </c>
      <c r="K2100" s="5" t="str">
        <f>IFERROR(__xludf.DUMMYFUNCTION("""COMPUTED_VALUE"""),"")</f>
        <v/>
      </c>
      <c r="L2100" t="str">
        <f>IFERROR(__xludf.DUMMYFUNCTION("""COMPUTED_VALUE"""),"")</f>
        <v/>
      </c>
      <c r="M2100" t="str">
        <f>IFERROR(__xludf.DUMMYFUNCTION("""COMPUTED_VALUE"""),"")</f>
        <v/>
      </c>
      <c r="N2100" t="str">
        <f>IFERROR(__xludf.DUMMYFUNCTION("""COMPUTED_VALUE"""),"")</f>
        <v/>
      </c>
      <c r="O2100" t="str">
        <f>IFERROR(__xludf.DUMMYFUNCTION("""COMPUTED_VALUE"""),"")</f>
        <v/>
      </c>
      <c r="P2100" t="str">
        <f>IFERROR(__xludf.DUMMYFUNCTION("""COMPUTED_VALUE"""),"ID ")</f>
        <v>ID </v>
      </c>
    </row>
    <row r="2101">
      <c r="A2101" s="6" t="str">
        <f>IFERROR(__xludf.DUMMYFUNCTION("""COMPUTED_VALUE"""),"")</f>
        <v/>
      </c>
      <c r="C2101" t="str">
        <f>IFERROR(__xludf.DUMMYFUNCTION("""COMPUTED_VALUE"""),"")</f>
        <v/>
      </c>
      <c r="D2101" t="str">
        <f>IFERROR(__xludf.DUMMYFUNCTION("""COMPUTED_VALUE"""),"")</f>
        <v/>
      </c>
      <c r="E2101" t="str">
        <f>IFERROR(__xludf.DUMMYFUNCTION("""COMPUTED_VALUE"""),"")</f>
        <v/>
      </c>
      <c r="F2101" t="str">
        <f>IFERROR(__xludf.DUMMYFUNCTION("""COMPUTED_VALUE"""),"")</f>
        <v/>
      </c>
      <c r="G2101" t="str">
        <f>IFERROR(__xludf.DUMMYFUNCTION("""COMPUTED_VALUE"""),"")</f>
        <v/>
      </c>
      <c r="H2101" s="2" t="str">
        <f>IFERROR(__xludf.DUMMYFUNCTION("""COMPUTED_VALUE"""),"")</f>
        <v/>
      </c>
      <c r="I2101" s="2" t="str">
        <f>IFERROR(__xludf.DUMMYFUNCTION("""COMPUTED_VALUE"""),"")</f>
        <v/>
      </c>
      <c r="J2101" s="2">
        <f>IFERROR(__xludf.DUMMYFUNCTION("""COMPUTED_VALUE"""),0.0)</f>
        <v>0</v>
      </c>
      <c r="K2101" s="5" t="str">
        <f>IFERROR(__xludf.DUMMYFUNCTION("""COMPUTED_VALUE"""),"")</f>
        <v/>
      </c>
      <c r="L2101" t="str">
        <f>IFERROR(__xludf.DUMMYFUNCTION("""COMPUTED_VALUE"""),"")</f>
        <v/>
      </c>
      <c r="M2101" t="str">
        <f>IFERROR(__xludf.DUMMYFUNCTION("""COMPUTED_VALUE"""),"")</f>
        <v/>
      </c>
      <c r="N2101" t="str">
        <f>IFERROR(__xludf.DUMMYFUNCTION("""COMPUTED_VALUE"""),"")</f>
        <v/>
      </c>
      <c r="O2101" t="str">
        <f>IFERROR(__xludf.DUMMYFUNCTION("""COMPUTED_VALUE"""),"")</f>
        <v/>
      </c>
      <c r="P2101" t="str">
        <f>IFERROR(__xludf.DUMMYFUNCTION("""COMPUTED_VALUE"""),"ID ")</f>
        <v>ID </v>
      </c>
    </row>
    <row r="2102">
      <c r="A2102" s="6" t="str">
        <f>IFERROR(__xludf.DUMMYFUNCTION("""COMPUTED_VALUE"""),"")</f>
        <v/>
      </c>
      <c r="C2102" t="str">
        <f>IFERROR(__xludf.DUMMYFUNCTION("""COMPUTED_VALUE"""),"")</f>
        <v/>
      </c>
      <c r="D2102" t="str">
        <f>IFERROR(__xludf.DUMMYFUNCTION("""COMPUTED_VALUE"""),"")</f>
        <v/>
      </c>
      <c r="E2102" t="str">
        <f>IFERROR(__xludf.DUMMYFUNCTION("""COMPUTED_VALUE"""),"")</f>
        <v/>
      </c>
      <c r="F2102" t="str">
        <f>IFERROR(__xludf.DUMMYFUNCTION("""COMPUTED_VALUE"""),"")</f>
        <v/>
      </c>
      <c r="G2102" t="str">
        <f>IFERROR(__xludf.DUMMYFUNCTION("""COMPUTED_VALUE"""),"")</f>
        <v/>
      </c>
      <c r="H2102" s="2" t="str">
        <f>IFERROR(__xludf.DUMMYFUNCTION("""COMPUTED_VALUE"""),"")</f>
        <v/>
      </c>
      <c r="I2102" s="2" t="str">
        <f>IFERROR(__xludf.DUMMYFUNCTION("""COMPUTED_VALUE"""),"")</f>
        <v/>
      </c>
      <c r="J2102" s="2">
        <f>IFERROR(__xludf.DUMMYFUNCTION("""COMPUTED_VALUE"""),0.0)</f>
        <v>0</v>
      </c>
      <c r="K2102" s="5" t="str">
        <f>IFERROR(__xludf.DUMMYFUNCTION("""COMPUTED_VALUE"""),"")</f>
        <v/>
      </c>
      <c r="L2102" t="str">
        <f>IFERROR(__xludf.DUMMYFUNCTION("""COMPUTED_VALUE"""),"")</f>
        <v/>
      </c>
      <c r="M2102" t="str">
        <f>IFERROR(__xludf.DUMMYFUNCTION("""COMPUTED_VALUE"""),"")</f>
        <v/>
      </c>
      <c r="N2102" t="str">
        <f>IFERROR(__xludf.DUMMYFUNCTION("""COMPUTED_VALUE"""),"")</f>
        <v/>
      </c>
      <c r="O2102" t="str">
        <f>IFERROR(__xludf.DUMMYFUNCTION("""COMPUTED_VALUE"""),"")</f>
        <v/>
      </c>
      <c r="P2102" t="str">
        <f>IFERROR(__xludf.DUMMYFUNCTION("""COMPUTED_VALUE"""),"ID ")</f>
        <v>ID </v>
      </c>
    </row>
    <row r="2103">
      <c r="A2103" s="6" t="str">
        <f>IFERROR(__xludf.DUMMYFUNCTION("""COMPUTED_VALUE"""),"")</f>
        <v/>
      </c>
      <c r="C2103" t="str">
        <f>IFERROR(__xludf.DUMMYFUNCTION("""COMPUTED_VALUE"""),"")</f>
        <v/>
      </c>
      <c r="D2103" t="str">
        <f>IFERROR(__xludf.DUMMYFUNCTION("""COMPUTED_VALUE"""),"")</f>
        <v/>
      </c>
      <c r="E2103" t="str">
        <f>IFERROR(__xludf.DUMMYFUNCTION("""COMPUTED_VALUE"""),"")</f>
        <v/>
      </c>
      <c r="F2103" t="str">
        <f>IFERROR(__xludf.DUMMYFUNCTION("""COMPUTED_VALUE"""),"")</f>
        <v/>
      </c>
      <c r="G2103" t="str">
        <f>IFERROR(__xludf.DUMMYFUNCTION("""COMPUTED_VALUE"""),"")</f>
        <v/>
      </c>
      <c r="H2103" s="2" t="str">
        <f>IFERROR(__xludf.DUMMYFUNCTION("""COMPUTED_VALUE"""),"")</f>
        <v/>
      </c>
      <c r="I2103" s="2" t="str">
        <f>IFERROR(__xludf.DUMMYFUNCTION("""COMPUTED_VALUE"""),"")</f>
        <v/>
      </c>
      <c r="J2103" s="2">
        <f>IFERROR(__xludf.DUMMYFUNCTION("""COMPUTED_VALUE"""),0.0)</f>
        <v>0</v>
      </c>
      <c r="K2103" s="5" t="str">
        <f>IFERROR(__xludf.DUMMYFUNCTION("""COMPUTED_VALUE"""),"")</f>
        <v/>
      </c>
      <c r="L2103" t="str">
        <f>IFERROR(__xludf.DUMMYFUNCTION("""COMPUTED_VALUE"""),"")</f>
        <v/>
      </c>
      <c r="M2103" t="str">
        <f>IFERROR(__xludf.DUMMYFUNCTION("""COMPUTED_VALUE"""),"")</f>
        <v/>
      </c>
      <c r="N2103" t="str">
        <f>IFERROR(__xludf.DUMMYFUNCTION("""COMPUTED_VALUE"""),"")</f>
        <v/>
      </c>
      <c r="O2103" t="str">
        <f>IFERROR(__xludf.DUMMYFUNCTION("""COMPUTED_VALUE"""),"")</f>
        <v/>
      </c>
      <c r="P2103" t="str">
        <f>IFERROR(__xludf.DUMMYFUNCTION("""COMPUTED_VALUE"""),"ID ")</f>
        <v>ID </v>
      </c>
    </row>
    <row r="2104">
      <c r="A2104" s="6" t="str">
        <f>IFERROR(__xludf.DUMMYFUNCTION("""COMPUTED_VALUE"""),"")</f>
        <v/>
      </c>
      <c r="C2104" t="str">
        <f>IFERROR(__xludf.DUMMYFUNCTION("""COMPUTED_VALUE"""),"")</f>
        <v/>
      </c>
      <c r="D2104" t="str">
        <f>IFERROR(__xludf.DUMMYFUNCTION("""COMPUTED_VALUE"""),"")</f>
        <v/>
      </c>
      <c r="E2104" t="str">
        <f>IFERROR(__xludf.DUMMYFUNCTION("""COMPUTED_VALUE"""),"")</f>
        <v/>
      </c>
      <c r="F2104" t="str">
        <f>IFERROR(__xludf.DUMMYFUNCTION("""COMPUTED_VALUE"""),"")</f>
        <v/>
      </c>
      <c r="G2104" t="str">
        <f>IFERROR(__xludf.DUMMYFUNCTION("""COMPUTED_VALUE"""),"")</f>
        <v/>
      </c>
      <c r="H2104" s="2" t="str">
        <f>IFERROR(__xludf.DUMMYFUNCTION("""COMPUTED_VALUE"""),"")</f>
        <v/>
      </c>
      <c r="I2104" s="2" t="str">
        <f>IFERROR(__xludf.DUMMYFUNCTION("""COMPUTED_VALUE"""),"")</f>
        <v/>
      </c>
      <c r="J2104" s="2">
        <f>IFERROR(__xludf.DUMMYFUNCTION("""COMPUTED_VALUE"""),0.0)</f>
        <v>0</v>
      </c>
      <c r="K2104" s="5" t="str">
        <f>IFERROR(__xludf.DUMMYFUNCTION("""COMPUTED_VALUE"""),"")</f>
        <v/>
      </c>
      <c r="L2104" t="str">
        <f>IFERROR(__xludf.DUMMYFUNCTION("""COMPUTED_VALUE"""),"")</f>
        <v/>
      </c>
      <c r="M2104" t="str">
        <f>IFERROR(__xludf.DUMMYFUNCTION("""COMPUTED_VALUE"""),"")</f>
        <v/>
      </c>
      <c r="N2104" t="str">
        <f>IFERROR(__xludf.DUMMYFUNCTION("""COMPUTED_VALUE"""),"")</f>
        <v/>
      </c>
      <c r="O2104" t="str">
        <f>IFERROR(__xludf.DUMMYFUNCTION("""COMPUTED_VALUE"""),"")</f>
        <v/>
      </c>
      <c r="P2104" t="str">
        <f>IFERROR(__xludf.DUMMYFUNCTION("""COMPUTED_VALUE"""),"ID ")</f>
        <v>ID </v>
      </c>
    </row>
    <row r="2105">
      <c r="A2105" s="6" t="str">
        <f>IFERROR(__xludf.DUMMYFUNCTION("""COMPUTED_VALUE"""),"")</f>
        <v/>
      </c>
      <c r="C2105" t="str">
        <f>IFERROR(__xludf.DUMMYFUNCTION("""COMPUTED_VALUE"""),"")</f>
        <v/>
      </c>
      <c r="D2105" t="str">
        <f>IFERROR(__xludf.DUMMYFUNCTION("""COMPUTED_VALUE"""),"")</f>
        <v/>
      </c>
      <c r="E2105" t="str">
        <f>IFERROR(__xludf.DUMMYFUNCTION("""COMPUTED_VALUE"""),"")</f>
        <v/>
      </c>
      <c r="F2105" t="str">
        <f>IFERROR(__xludf.DUMMYFUNCTION("""COMPUTED_VALUE"""),"")</f>
        <v/>
      </c>
      <c r="G2105" t="str">
        <f>IFERROR(__xludf.DUMMYFUNCTION("""COMPUTED_VALUE"""),"")</f>
        <v/>
      </c>
      <c r="H2105" s="2" t="str">
        <f>IFERROR(__xludf.DUMMYFUNCTION("""COMPUTED_VALUE"""),"")</f>
        <v/>
      </c>
      <c r="I2105" s="2" t="str">
        <f>IFERROR(__xludf.DUMMYFUNCTION("""COMPUTED_VALUE"""),"")</f>
        <v/>
      </c>
      <c r="J2105" s="2">
        <f>IFERROR(__xludf.DUMMYFUNCTION("""COMPUTED_VALUE"""),0.0)</f>
        <v>0</v>
      </c>
      <c r="K2105" s="5" t="str">
        <f>IFERROR(__xludf.DUMMYFUNCTION("""COMPUTED_VALUE"""),"")</f>
        <v/>
      </c>
      <c r="L2105" t="str">
        <f>IFERROR(__xludf.DUMMYFUNCTION("""COMPUTED_VALUE"""),"")</f>
        <v/>
      </c>
      <c r="M2105" t="str">
        <f>IFERROR(__xludf.DUMMYFUNCTION("""COMPUTED_VALUE"""),"")</f>
        <v/>
      </c>
      <c r="N2105" t="str">
        <f>IFERROR(__xludf.DUMMYFUNCTION("""COMPUTED_VALUE"""),"")</f>
        <v/>
      </c>
      <c r="O2105" t="str">
        <f>IFERROR(__xludf.DUMMYFUNCTION("""COMPUTED_VALUE"""),"")</f>
        <v/>
      </c>
      <c r="P2105" t="str">
        <f>IFERROR(__xludf.DUMMYFUNCTION("""COMPUTED_VALUE"""),"ID ")</f>
        <v>ID </v>
      </c>
    </row>
    <row r="2106">
      <c r="A2106" s="6" t="str">
        <f>IFERROR(__xludf.DUMMYFUNCTION("""COMPUTED_VALUE"""),"")</f>
        <v/>
      </c>
      <c r="C2106" t="str">
        <f>IFERROR(__xludf.DUMMYFUNCTION("""COMPUTED_VALUE"""),"")</f>
        <v/>
      </c>
      <c r="D2106" t="str">
        <f>IFERROR(__xludf.DUMMYFUNCTION("""COMPUTED_VALUE"""),"")</f>
        <v/>
      </c>
      <c r="E2106" t="str">
        <f>IFERROR(__xludf.DUMMYFUNCTION("""COMPUTED_VALUE"""),"")</f>
        <v/>
      </c>
      <c r="F2106" t="str">
        <f>IFERROR(__xludf.DUMMYFUNCTION("""COMPUTED_VALUE"""),"")</f>
        <v/>
      </c>
      <c r="G2106" t="str">
        <f>IFERROR(__xludf.DUMMYFUNCTION("""COMPUTED_VALUE"""),"")</f>
        <v/>
      </c>
      <c r="H2106" s="2" t="str">
        <f>IFERROR(__xludf.DUMMYFUNCTION("""COMPUTED_VALUE"""),"")</f>
        <v/>
      </c>
      <c r="I2106" s="2" t="str">
        <f>IFERROR(__xludf.DUMMYFUNCTION("""COMPUTED_VALUE"""),"")</f>
        <v/>
      </c>
      <c r="J2106" s="2">
        <f>IFERROR(__xludf.DUMMYFUNCTION("""COMPUTED_VALUE"""),0.0)</f>
        <v>0</v>
      </c>
      <c r="K2106" s="5" t="str">
        <f>IFERROR(__xludf.DUMMYFUNCTION("""COMPUTED_VALUE"""),"")</f>
        <v/>
      </c>
      <c r="L2106" t="str">
        <f>IFERROR(__xludf.DUMMYFUNCTION("""COMPUTED_VALUE"""),"")</f>
        <v/>
      </c>
      <c r="M2106" t="str">
        <f>IFERROR(__xludf.DUMMYFUNCTION("""COMPUTED_VALUE"""),"")</f>
        <v/>
      </c>
      <c r="N2106" t="str">
        <f>IFERROR(__xludf.DUMMYFUNCTION("""COMPUTED_VALUE"""),"")</f>
        <v/>
      </c>
      <c r="O2106" t="str">
        <f>IFERROR(__xludf.DUMMYFUNCTION("""COMPUTED_VALUE"""),"")</f>
        <v/>
      </c>
      <c r="P2106" t="str">
        <f>IFERROR(__xludf.DUMMYFUNCTION("""COMPUTED_VALUE"""),"ID ")</f>
        <v>ID </v>
      </c>
    </row>
    <row r="2107">
      <c r="A2107" s="6" t="str">
        <f>IFERROR(__xludf.DUMMYFUNCTION("""COMPUTED_VALUE"""),"")</f>
        <v/>
      </c>
      <c r="C2107" t="str">
        <f>IFERROR(__xludf.DUMMYFUNCTION("""COMPUTED_VALUE"""),"")</f>
        <v/>
      </c>
      <c r="D2107" t="str">
        <f>IFERROR(__xludf.DUMMYFUNCTION("""COMPUTED_VALUE"""),"")</f>
        <v/>
      </c>
      <c r="E2107" t="str">
        <f>IFERROR(__xludf.DUMMYFUNCTION("""COMPUTED_VALUE"""),"")</f>
        <v/>
      </c>
      <c r="F2107" t="str">
        <f>IFERROR(__xludf.DUMMYFUNCTION("""COMPUTED_VALUE"""),"")</f>
        <v/>
      </c>
      <c r="G2107" t="str">
        <f>IFERROR(__xludf.DUMMYFUNCTION("""COMPUTED_VALUE"""),"")</f>
        <v/>
      </c>
      <c r="H2107" s="2" t="str">
        <f>IFERROR(__xludf.DUMMYFUNCTION("""COMPUTED_VALUE"""),"")</f>
        <v/>
      </c>
      <c r="I2107" s="2" t="str">
        <f>IFERROR(__xludf.DUMMYFUNCTION("""COMPUTED_VALUE"""),"")</f>
        <v/>
      </c>
      <c r="J2107" s="2">
        <f>IFERROR(__xludf.DUMMYFUNCTION("""COMPUTED_VALUE"""),0.0)</f>
        <v>0</v>
      </c>
      <c r="K2107" s="5" t="str">
        <f>IFERROR(__xludf.DUMMYFUNCTION("""COMPUTED_VALUE"""),"")</f>
        <v/>
      </c>
      <c r="L2107" t="str">
        <f>IFERROR(__xludf.DUMMYFUNCTION("""COMPUTED_VALUE"""),"")</f>
        <v/>
      </c>
      <c r="M2107" t="str">
        <f>IFERROR(__xludf.DUMMYFUNCTION("""COMPUTED_VALUE"""),"")</f>
        <v/>
      </c>
      <c r="N2107" t="str">
        <f>IFERROR(__xludf.DUMMYFUNCTION("""COMPUTED_VALUE"""),"")</f>
        <v/>
      </c>
      <c r="O2107" t="str">
        <f>IFERROR(__xludf.DUMMYFUNCTION("""COMPUTED_VALUE"""),"")</f>
        <v/>
      </c>
      <c r="P2107" t="str">
        <f>IFERROR(__xludf.DUMMYFUNCTION("""COMPUTED_VALUE"""),"ID ")</f>
        <v>ID </v>
      </c>
    </row>
    <row r="2108">
      <c r="A2108" s="6" t="str">
        <f>IFERROR(__xludf.DUMMYFUNCTION("""COMPUTED_VALUE"""),"")</f>
        <v/>
      </c>
      <c r="C2108" t="str">
        <f>IFERROR(__xludf.DUMMYFUNCTION("""COMPUTED_VALUE"""),"")</f>
        <v/>
      </c>
      <c r="D2108" t="str">
        <f>IFERROR(__xludf.DUMMYFUNCTION("""COMPUTED_VALUE"""),"")</f>
        <v/>
      </c>
      <c r="E2108" t="str">
        <f>IFERROR(__xludf.DUMMYFUNCTION("""COMPUTED_VALUE"""),"")</f>
        <v/>
      </c>
      <c r="F2108" t="str">
        <f>IFERROR(__xludf.DUMMYFUNCTION("""COMPUTED_VALUE"""),"")</f>
        <v/>
      </c>
      <c r="G2108" t="str">
        <f>IFERROR(__xludf.DUMMYFUNCTION("""COMPUTED_VALUE"""),"")</f>
        <v/>
      </c>
      <c r="H2108" s="2" t="str">
        <f>IFERROR(__xludf.DUMMYFUNCTION("""COMPUTED_VALUE"""),"")</f>
        <v/>
      </c>
      <c r="I2108" s="2" t="str">
        <f>IFERROR(__xludf.DUMMYFUNCTION("""COMPUTED_VALUE"""),"")</f>
        <v/>
      </c>
      <c r="J2108" s="2">
        <f>IFERROR(__xludf.DUMMYFUNCTION("""COMPUTED_VALUE"""),0.0)</f>
        <v>0</v>
      </c>
      <c r="K2108" s="5" t="str">
        <f>IFERROR(__xludf.DUMMYFUNCTION("""COMPUTED_VALUE"""),"")</f>
        <v/>
      </c>
      <c r="L2108" t="str">
        <f>IFERROR(__xludf.DUMMYFUNCTION("""COMPUTED_VALUE"""),"")</f>
        <v/>
      </c>
      <c r="M2108" t="str">
        <f>IFERROR(__xludf.DUMMYFUNCTION("""COMPUTED_VALUE"""),"")</f>
        <v/>
      </c>
      <c r="N2108" t="str">
        <f>IFERROR(__xludf.DUMMYFUNCTION("""COMPUTED_VALUE"""),"")</f>
        <v/>
      </c>
      <c r="O2108" t="str">
        <f>IFERROR(__xludf.DUMMYFUNCTION("""COMPUTED_VALUE"""),"")</f>
        <v/>
      </c>
      <c r="P2108" t="str">
        <f>IFERROR(__xludf.DUMMYFUNCTION("""COMPUTED_VALUE"""),"ID ")</f>
        <v>ID </v>
      </c>
    </row>
    <row r="2109">
      <c r="A2109" s="6" t="str">
        <f>IFERROR(__xludf.DUMMYFUNCTION("""COMPUTED_VALUE"""),"")</f>
        <v/>
      </c>
      <c r="C2109" t="str">
        <f>IFERROR(__xludf.DUMMYFUNCTION("""COMPUTED_VALUE"""),"")</f>
        <v/>
      </c>
      <c r="D2109" t="str">
        <f>IFERROR(__xludf.DUMMYFUNCTION("""COMPUTED_VALUE"""),"")</f>
        <v/>
      </c>
      <c r="E2109" t="str">
        <f>IFERROR(__xludf.DUMMYFUNCTION("""COMPUTED_VALUE"""),"")</f>
        <v/>
      </c>
      <c r="F2109" t="str">
        <f>IFERROR(__xludf.DUMMYFUNCTION("""COMPUTED_VALUE"""),"")</f>
        <v/>
      </c>
      <c r="G2109" t="str">
        <f>IFERROR(__xludf.DUMMYFUNCTION("""COMPUTED_VALUE"""),"")</f>
        <v/>
      </c>
      <c r="H2109" s="2" t="str">
        <f>IFERROR(__xludf.DUMMYFUNCTION("""COMPUTED_VALUE"""),"")</f>
        <v/>
      </c>
      <c r="I2109" s="2" t="str">
        <f>IFERROR(__xludf.DUMMYFUNCTION("""COMPUTED_VALUE"""),"")</f>
        <v/>
      </c>
      <c r="J2109" s="2">
        <f>IFERROR(__xludf.DUMMYFUNCTION("""COMPUTED_VALUE"""),0.0)</f>
        <v>0</v>
      </c>
      <c r="K2109" s="5" t="str">
        <f>IFERROR(__xludf.DUMMYFUNCTION("""COMPUTED_VALUE"""),"")</f>
        <v/>
      </c>
      <c r="L2109" t="str">
        <f>IFERROR(__xludf.DUMMYFUNCTION("""COMPUTED_VALUE"""),"")</f>
        <v/>
      </c>
      <c r="M2109" t="str">
        <f>IFERROR(__xludf.DUMMYFUNCTION("""COMPUTED_VALUE"""),"")</f>
        <v/>
      </c>
      <c r="N2109" t="str">
        <f>IFERROR(__xludf.DUMMYFUNCTION("""COMPUTED_VALUE"""),"")</f>
        <v/>
      </c>
      <c r="O2109" t="str">
        <f>IFERROR(__xludf.DUMMYFUNCTION("""COMPUTED_VALUE"""),"")</f>
        <v/>
      </c>
      <c r="P2109" t="str">
        <f>IFERROR(__xludf.DUMMYFUNCTION("""COMPUTED_VALUE"""),"ID ")</f>
        <v>ID </v>
      </c>
    </row>
    <row r="2110">
      <c r="A2110" s="6" t="str">
        <f>IFERROR(__xludf.DUMMYFUNCTION("""COMPUTED_VALUE"""),"")</f>
        <v/>
      </c>
      <c r="C2110" t="str">
        <f>IFERROR(__xludf.DUMMYFUNCTION("""COMPUTED_VALUE"""),"")</f>
        <v/>
      </c>
      <c r="D2110" t="str">
        <f>IFERROR(__xludf.DUMMYFUNCTION("""COMPUTED_VALUE"""),"")</f>
        <v/>
      </c>
      <c r="E2110" t="str">
        <f>IFERROR(__xludf.DUMMYFUNCTION("""COMPUTED_VALUE"""),"")</f>
        <v/>
      </c>
      <c r="F2110" t="str">
        <f>IFERROR(__xludf.DUMMYFUNCTION("""COMPUTED_VALUE"""),"")</f>
        <v/>
      </c>
      <c r="G2110" t="str">
        <f>IFERROR(__xludf.DUMMYFUNCTION("""COMPUTED_VALUE"""),"")</f>
        <v/>
      </c>
      <c r="H2110" s="2" t="str">
        <f>IFERROR(__xludf.DUMMYFUNCTION("""COMPUTED_VALUE"""),"")</f>
        <v/>
      </c>
      <c r="I2110" s="2" t="str">
        <f>IFERROR(__xludf.DUMMYFUNCTION("""COMPUTED_VALUE"""),"")</f>
        <v/>
      </c>
      <c r="J2110" s="2">
        <f>IFERROR(__xludf.DUMMYFUNCTION("""COMPUTED_VALUE"""),0.0)</f>
        <v>0</v>
      </c>
      <c r="K2110" s="5" t="str">
        <f>IFERROR(__xludf.DUMMYFUNCTION("""COMPUTED_VALUE"""),"")</f>
        <v/>
      </c>
      <c r="L2110" t="str">
        <f>IFERROR(__xludf.DUMMYFUNCTION("""COMPUTED_VALUE"""),"")</f>
        <v/>
      </c>
      <c r="M2110" t="str">
        <f>IFERROR(__xludf.DUMMYFUNCTION("""COMPUTED_VALUE"""),"")</f>
        <v/>
      </c>
      <c r="N2110" t="str">
        <f>IFERROR(__xludf.DUMMYFUNCTION("""COMPUTED_VALUE"""),"")</f>
        <v/>
      </c>
      <c r="O2110" t="str">
        <f>IFERROR(__xludf.DUMMYFUNCTION("""COMPUTED_VALUE"""),"")</f>
        <v/>
      </c>
      <c r="P2110" t="str">
        <f>IFERROR(__xludf.DUMMYFUNCTION("""COMPUTED_VALUE"""),"ID ")</f>
        <v>ID </v>
      </c>
    </row>
    <row r="2111">
      <c r="A2111" s="6" t="str">
        <f>IFERROR(__xludf.DUMMYFUNCTION("""COMPUTED_VALUE"""),"")</f>
        <v/>
      </c>
      <c r="C2111" t="str">
        <f>IFERROR(__xludf.DUMMYFUNCTION("""COMPUTED_VALUE"""),"")</f>
        <v/>
      </c>
      <c r="D2111" t="str">
        <f>IFERROR(__xludf.DUMMYFUNCTION("""COMPUTED_VALUE"""),"")</f>
        <v/>
      </c>
      <c r="E2111" t="str">
        <f>IFERROR(__xludf.DUMMYFUNCTION("""COMPUTED_VALUE"""),"")</f>
        <v/>
      </c>
      <c r="F2111" t="str">
        <f>IFERROR(__xludf.DUMMYFUNCTION("""COMPUTED_VALUE"""),"")</f>
        <v/>
      </c>
      <c r="G2111" t="str">
        <f>IFERROR(__xludf.DUMMYFUNCTION("""COMPUTED_VALUE"""),"")</f>
        <v/>
      </c>
      <c r="H2111" s="2" t="str">
        <f>IFERROR(__xludf.DUMMYFUNCTION("""COMPUTED_VALUE"""),"")</f>
        <v/>
      </c>
      <c r="I2111" s="2" t="str">
        <f>IFERROR(__xludf.DUMMYFUNCTION("""COMPUTED_VALUE"""),"")</f>
        <v/>
      </c>
      <c r="J2111" s="2">
        <f>IFERROR(__xludf.DUMMYFUNCTION("""COMPUTED_VALUE"""),0.0)</f>
        <v>0</v>
      </c>
      <c r="K2111" s="5" t="str">
        <f>IFERROR(__xludf.DUMMYFUNCTION("""COMPUTED_VALUE"""),"")</f>
        <v/>
      </c>
      <c r="L2111" t="str">
        <f>IFERROR(__xludf.DUMMYFUNCTION("""COMPUTED_VALUE"""),"")</f>
        <v/>
      </c>
      <c r="M2111" t="str">
        <f>IFERROR(__xludf.DUMMYFUNCTION("""COMPUTED_VALUE"""),"")</f>
        <v/>
      </c>
      <c r="N2111" t="str">
        <f>IFERROR(__xludf.DUMMYFUNCTION("""COMPUTED_VALUE"""),"")</f>
        <v/>
      </c>
      <c r="O2111" t="str">
        <f>IFERROR(__xludf.DUMMYFUNCTION("""COMPUTED_VALUE"""),"")</f>
        <v/>
      </c>
      <c r="P2111" t="str">
        <f>IFERROR(__xludf.DUMMYFUNCTION("""COMPUTED_VALUE"""),"ID ")</f>
        <v>ID </v>
      </c>
    </row>
    <row r="2112">
      <c r="A2112" s="6" t="str">
        <f>IFERROR(__xludf.DUMMYFUNCTION("""COMPUTED_VALUE"""),"")</f>
        <v/>
      </c>
      <c r="C2112" t="str">
        <f>IFERROR(__xludf.DUMMYFUNCTION("""COMPUTED_VALUE"""),"")</f>
        <v/>
      </c>
      <c r="D2112" t="str">
        <f>IFERROR(__xludf.DUMMYFUNCTION("""COMPUTED_VALUE"""),"")</f>
        <v/>
      </c>
      <c r="E2112" t="str">
        <f>IFERROR(__xludf.DUMMYFUNCTION("""COMPUTED_VALUE"""),"")</f>
        <v/>
      </c>
      <c r="F2112" t="str">
        <f>IFERROR(__xludf.DUMMYFUNCTION("""COMPUTED_VALUE"""),"")</f>
        <v/>
      </c>
      <c r="G2112" t="str">
        <f>IFERROR(__xludf.DUMMYFUNCTION("""COMPUTED_VALUE"""),"")</f>
        <v/>
      </c>
      <c r="H2112" s="2" t="str">
        <f>IFERROR(__xludf.DUMMYFUNCTION("""COMPUTED_VALUE"""),"")</f>
        <v/>
      </c>
      <c r="I2112" s="2" t="str">
        <f>IFERROR(__xludf.DUMMYFUNCTION("""COMPUTED_VALUE"""),"")</f>
        <v/>
      </c>
      <c r="J2112" s="2">
        <f>IFERROR(__xludf.DUMMYFUNCTION("""COMPUTED_VALUE"""),0.0)</f>
        <v>0</v>
      </c>
      <c r="K2112" s="5" t="str">
        <f>IFERROR(__xludf.DUMMYFUNCTION("""COMPUTED_VALUE"""),"")</f>
        <v/>
      </c>
      <c r="L2112" t="str">
        <f>IFERROR(__xludf.DUMMYFUNCTION("""COMPUTED_VALUE"""),"")</f>
        <v/>
      </c>
      <c r="M2112" t="str">
        <f>IFERROR(__xludf.DUMMYFUNCTION("""COMPUTED_VALUE"""),"")</f>
        <v/>
      </c>
      <c r="N2112" t="str">
        <f>IFERROR(__xludf.DUMMYFUNCTION("""COMPUTED_VALUE"""),"")</f>
        <v/>
      </c>
      <c r="O2112" t="str">
        <f>IFERROR(__xludf.DUMMYFUNCTION("""COMPUTED_VALUE"""),"")</f>
        <v/>
      </c>
      <c r="P2112" t="str">
        <f>IFERROR(__xludf.DUMMYFUNCTION("""COMPUTED_VALUE"""),"ID ")</f>
        <v>ID </v>
      </c>
    </row>
    <row r="2113">
      <c r="A2113" s="6" t="str">
        <f>IFERROR(__xludf.DUMMYFUNCTION("""COMPUTED_VALUE"""),"")</f>
        <v/>
      </c>
      <c r="C2113" t="str">
        <f>IFERROR(__xludf.DUMMYFUNCTION("""COMPUTED_VALUE"""),"")</f>
        <v/>
      </c>
      <c r="D2113" t="str">
        <f>IFERROR(__xludf.DUMMYFUNCTION("""COMPUTED_VALUE"""),"")</f>
        <v/>
      </c>
      <c r="E2113" t="str">
        <f>IFERROR(__xludf.DUMMYFUNCTION("""COMPUTED_VALUE"""),"")</f>
        <v/>
      </c>
      <c r="F2113" t="str">
        <f>IFERROR(__xludf.DUMMYFUNCTION("""COMPUTED_VALUE"""),"")</f>
        <v/>
      </c>
      <c r="G2113" t="str">
        <f>IFERROR(__xludf.DUMMYFUNCTION("""COMPUTED_VALUE"""),"")</f>
        <v/>
      </c>
      <c r="H2113" s="2" t="str">
        <f>IFERROR(__xludf.DUMMYFUNCTION("""COMPUTED_VALUE"""),"")</f>
        <v/>
      </c>
      <c r="I2113" s="2" t="str">
        <f>IFERROR(__xludf.DUMMYFUNCTION("""COMPUTED_VALUE"""),"")</f>
        <v/>
      </c>
      <c r="J2113" s="2">
        <f>IFERROR(__xludf.DUMMYFUNCTION("""COMPUTED_VALUE"""),0.0)</f>
        <v>0</v>
      </c>
      <c r="K2113" s="5" t="str">
        <f>IFERROR(__xludf.DUMMYFUNCTION("""COMPUTED_VALUE"""),"")</f>
        <v/>
      </c>
      <c r="L2113" t="str">
        <f>IFERROR(__xludf.DUMMYFUNCTION("""COMPUTED_VALUE"""),"")</f>
        <v/>
      </c>
      <c r="M2113" t="str">
        <f>IFERROR(__xludf.DUMMYFUNCTION("""COMPUTED_VALUE"""),"")</f>
        <v/>
      </c>
      <c r="N2113" t="str">
        <f>IFERROR(__xludf.DUMMYFUNCTION("""COMPUTED_VALUE"""),"")</f>
        <v/>
      </c>
      <c r="O2113" t="str">
        <f>IFERROR(__xludf.DUMMYFUNCTION("""COMPUTED_VALUE"""),"")</f>
        <v/>
      </c>
      <c r="P2113" t="str">
        <f>IFERROR(__xludf.DUMMYFUNCTION("""COMPUTED_VALUE"""),"ID ")</f>
        <v>ID </v>
      </c>
    </row>
    <row r="2114">
      <c r="A2114" s="6" t="str">
        <f>IFERROR(__xludf.DUMMYFUNCTION("""COMPUTED_VALUE"""),"")</f>
        <v/>
      </c>
      <c r="C2114" t="str">
        <f>IFERROR(__xludf.DUMMYFUNCTION("""COMPUTED_VALUE"""),"")</f>
        <v/>
      </c>
      <c r="D2114" t="str">
        <f>IFERROR(__xludf.DUMMYFUNCTION("""COMPUTED_VALUE"""),"")</f>
        <v/>
      </c>
      <c r="E2114" t="str">
        <f>IFERROR(__xludf.DUMMYFUNCTION("""COMPUTED_VALUE"""),"")</f>
        <v/>
      </c>
      <c r="F2114" t="str">
        <f>IFERROR(__xludf.DUMMYFUNCTION("""COMPUTED_VALUE"""),"")</f>
        <v/>
      </c>
      <c r="G2114" t="str">
        <f>IFERROR(__xludf.DUMMYFUNCTION("""COMPUTED_VALUE"""),"")</f>
        <v/>
      </c>
      <c r="H2114" s="2" t="str">
        <f>IFERROR(__xludf.DUMMYFUNCTION("""COMPUTED_VALUE"""),"")</f>
        <v/>
      </c>
      <c r="I2114" s="2" t="str">
        <f>IFERROR(__xludf.DUMMYFUNCTION("""COMPUTED_VALUE"""),"")</f>
        <v/>
      </c>
      <c r="J2114" s="2">
        <f>IFERROR(__xludf.DUMMYFUNCTION("""COMPUTED_VALUE"""),0.0)</f>
        <v>0</v>
      </c>
      <c r="K2114" s="5" t="str">
        <f>IFERROR(__xludf.DUMMYFUNCTION("""COMPUTED_VALUE"""),"")</f>
        <v/>
      </c>
      <c r="L2114" t="str">
        <f>IFERROR(__xludf.DUMMYFUNCTION("""COMPUTED_VALUE"""),"")</f>
        <v/>
      </c>
      <c r="M2114" t="str">
        <f>IFERROR(__xludf.DUMMYFUNCTION("""COMPUTED_VALUE"""),"")</f>
        <v/>
      </c>
      <c r="N2114" t="str">
        <f>IFERROR(__xludf.DUMMYFUNCTION("""COMPUTED_VALUE"""),"")</f>
        <v/>
      </c>
      <c r="O2114" t="str">
        <f>IFERROR(__xludf.DUMMYFUNCTION("""COMPUTED_VALUE"""),"")</f>
        <v/>
      </c>
      <c r="P2114" t="str">
        <f>IFERROR(__xludf.DUMMYFUNCTION("""COMPUTED_VALUE"""),"ID ")</f>
        <v>ID </v>
      </c>
    </row>
    <row r="2115">
      <c r="A2115" s="6" t="str">
        <f>IFERROR(__xludf.DUMMYFUNCTION("""COMPUTED_VALUE"""),"")</f>
        <v/>
      </c>
      <c r="C2115" t="str">
        <f>IFERROR(__xludf.DUMMYFUNCTION("""COMPUTED_VALUE"""),"")</f>
        <v/>
      </c>
      <c r="D2115" t="str">
        <f>IFERROR(__xludf.DUMMYFUNCTION("""COMPUTED_VALUE"""),"")</f>
        <v/>
      </c>
      <c r="E2115" t="str">
        <f>IFERROR(__xludf.DUMMYFUNCTION("""COMPUTED_VALUE"""),"")</f>
        <v/>
      </c>
      <c r="F2115" t="str">
        <f>IFERROR(__xludf.DUMMYFUNCTION("""COMPUTED_VALUE"""),"")</f>
        <v/>
      </c>
      <c r="G2115" t="str">
        <f>IFERROR(__xludf.DUMMYFUNCTION("""COMPUTED_VALUE"""),"")</f>
        <v/>
      </c>
      <c r="H2115" s="2" t="str">
        <f>IFERROR(__xludf.DUMMYFUNCTION("""COMPUTED_VALUE"""),"")</f>
        <v/>
      </c>
      <c r="I2115" s="2" t="str">
        <f>IFERROR(__xludf.DUMMYFUNCTION("""COMPUTED_VALUE"""),"")</f>
        <v/>
      </c>
      <c r="J2115" s="2">
        <f>IFERROR(__xludf.DUMMYFUNCTION("""COMPUTED_VALUE"""),0.0)</f>
        <v>0</v>
      </c>
      <c r="K2115" s="5" t="str">
        <f>IFERROR(__xludf.DUMMYFUNCTION("""COMPUTED_VALUE"""),"")</f>
        <v/>
      </c>
      <c r="L2115" t="str">
        <f>IFERROR(__xludf.DUMMYFUNCTION("""COMPUTED_VALUE"""),"")</f>
        <v/>
      </c>
      <c r="M2115" t="str">
        <f>IFERROR(__xludf.DUMMYFUNCTION("""COMPUTED_VALUE"""),"")</f>
        <v/>
      </c>
      <c r="N2115" t="str">
        <f>IFERROR(__xludf.DUMMYFUNCTION("""COMPUTED_VALUE"""),"")</f>
        <v/>
      </c>
      <c r="O2115" t="str">
        <f>IFERROR(__xludf.DUMMYFUNCTION("""COMPUTED_VALUE"""),"")</f>
        <v/>
      </c>
      <c r="P2115" t="str">
        <f>IFERROR(__xludf.DUMMYFUNCTION("""COMPUTED_VALUE"""),"ID ")</f>
        <v>ID </v>
      </c>
    </row>
    <row r="2116">
      <c r="A2116" s="6" t="str">
        <f>IFERROR(__xludf.DUMMYFUNCTION("""COMPUTED_VALUE"""),"")</f>
        <v/>
      </c>
      <c r="C2116" t="str">
        <f>IFERROR(__xludf.DUMMYFUNCTION("""COMPUTED_VALUE"""),"")</f>
        <v/>
      </c>
      <c r="D2116" t="str">
        <f>IFERROR(__xludf.DUMMYFUNCTION("""COMPUTED_VALUE"""),"")</f>
        <v/>
      </c>
      <c r="E2116" t="str">
        <f>IFERROR(__xludf.DUMMYFUNCTION("""COMPUTED_VALUE"""),"")</f>
        <v/>
      </c>
      <c r="F2116" t="str">
        <f>IFERROR(__xludf.DUMMYFUNCTION("""COMPUTED_VALUE"""),"")</f>
        <v/>
      </c>
      <c r="G2116" t="str">
        <f>IFERROR(__xludf.DUMMYFUNCTION("""COMPUTED_VALUE"""),"")</f>
        <v/>
      </c>
      <c r="H2116" s="2" t="str">
        <f>IFERROR(__xludf.DUMMYFUNCTION("""COMPUTED_VALUE"""),"")</f>
        <v/>
      </c>
      <c r="I2116" s="2" t="str">
        <f>IFERROR(__xludf.DUMMYFUNCTION("""COMPUTED_VALUE"""),"")</f>
        <v/>
      </c>
      <c r="J2116" s="2">
        <f>IFERROR(__xludf.DUMMYFUNCTION("""COMPUTED_VALUE"""),0.0)</f>
        <v>0</v>
      </c>
      <c r="K2116" s="5" t="str">
        <f>IFERROR(__xludf.DUMMYFUNCTION("""COMPUTED_VALUE"""),"")</f>
        <v/>
      </c>
      <c r="L2116" t="str">
        <f>IFERROR(__xludf.DUMMYFUNCTION("""COMPUTED_VALUE"""),"")</f>
        <v/>
      </c>
      <c r="M2116" t="str">
        <f>IFERROR(__xludf.DUMMYFUNCTION("""COMPUTED_VALUE"""),"")</f>
        <v/>
      </c>
      <c r="N2116" t="str">
        <f>IFERROR(__xludf.DUMMYFUNCTION("""COMPUTED_VALUE"""),"")</f>
        <v/>
      </c>
      <c r="O2116" t="str">
        <f>IFERROR(__xludf.DUMMYFUNCTION("""COMPUTED_VALUE"""),"")</f>
        <v/>
      </c>
      <c r="P2116" t="str">
        <f>IFERROR(__xludf.DUMMYFUNCTION("""COMPUTED_VALUE"""),"ID ")</f>
        <v>ID </v>
      </c>
    </row>
    <row r="2117">
      <c r="A2117" s="6" t="str">
        <f>IFERROR(__xludf.DUMMYFUNCTION("""COMPUTED_VALUE"""),"")</f>
        <v/>
      </c>
      <c r="C2117" t="str">
        <f>IFERROR(__xludf.DUMMYFUNCTION("""COMPUTED_VALUE"""),"")</f>
        <v/>
      </c>
      <c r="D2117" t="str">
        <f>IFERROR(__xludf.DUMMYFUNCTION("""COMPUTED_VALUE"""),"")</f>
        <v/>
      </c>
      <c r="E2117" t="str">
        <f>IFERROR(__xludf.DUMMYFUNCTION("""COMPUTED_VALUE"""),"")</f>
        <v/>
      </c>
      <c r="F2117" t="str">
        <f>IFERROR(__xludf.DUMMYFUNCTION("""COMPUTED_VALUE"""),"")</f>
        <v/>
      </c>
      <c r="G2117" t="str">
        <f>IFERROR(__xludf.DUMMYFUNCTION("""COMPUTED_VALUE"""),"")</f>
        <v/>
      </c>
      <c r="H2117" s="2" t="str">
        <f>IFERROR(__xludf.DUMMYFUNCTION("""COMPUTED_VALUE"""),"")</f>
        <v/>
      </c>
      <c r="I2117" s="2" t="str">
        <f>IFERROR(__xludf.DUMMYFUNCTION("""COMPUTED_VALUE"""),"")</f>
        <v/>
      </c>
      <c r="J2117" s="2">
        <f>IFERROR(__xludf.DUMMYFUNCTION("""COMPUTED_VALUE"""),0.0)</f>
        <v>0</v>
      </c>
      <c r="K2117" s="5" t="str">
        <f>IFERROR(__xludf.DUMMYFUNCTION("""COMPUTED_VALUE"""),"")</f>
        <v/>
      </c>
      <c r="L2117" t="str">
        <f>IFERROR(__xludf.DUMMYFUNCTION("""COMPUTED_VALUE"""),"")</f>
        <v/>
      </c>
      <c r="M2117" t="str">
        <f>IFERROR(__xludf.DUMMYFUNCTION("""COMPUTED_VALUE"""),"")</f>
        <v/>
      </c>
      <c r="N2117" t="str">
        <f>IFERROR(__xludf.DUMMYFUNCTION("""COMPUTED_VALUE"""),"")</f>
        <v/>
      </c>
      <c r="O2117" t="str">
        <f>IFERROR(__xludf.DUMMYFUNCTION("""COMPUTED_VALUE"""),"")</f>
        <v/>
      </c>
      <c r="P2117" t="str">
        <f>IFERROR(__xludf.DUMMYFUNCTION("""COMPUTED_VALUE"""),"ID ")</f>
        <v>ID </v>
      </c>
    </row>
    <row r="2118">
      <c r="A2118" s="6" t="str">
        <f>IFERROR(__xludf.DUMMYFUNCTION("""COMPUTED_VALUE"""),"")</f>
        <v/>
      </c>
      <c r="C2118" t="str">
        <f>IFERROR(__xludf.DUMMYFUNCTION("""COMPUTED_VALUE"""),"")</f>
        <v/>
      </c>
      <c r="D2118" t="str">
        <f>IFERROR(__xludf.DUMMYFUNCTION("""COMPUTED_VALUE"""),"")</f>
        <v/>
      </c>
      <c r="E2118" t="str">
        <f>IFERROR(__xludf.DUMMYFUNCTION("""COMPUTED_VALUE"""),"")</f>
        <v/>
      </c>
      <c r="F2118" t="str">
        <f>IFERROR(__xludf.DUMMYFUNCTION("""COMPUTED_VALUE"""),"")</f>
        <v/>
      </c>
      <c r="G2118" t="str">
        <f>IFERROR(__xludf.DUMMYFUNCTION("""COMPUTED_VALUE"""),"")</f>
        <v/>
      </c>
      <c r="H2118" s="2" t="str">
        <f>IFERROR(__xludf.DUMMYFUNCTION("""COMPUTED_VALUE"""),"")</f>
        <v/>
      </c>
      <c r="I2118" s="2" t="str">
        <f>IFERROR(__xludf.DUMMYFUNCTION("""COMPUTED_VALUE"""),"")</f>
        <v/>
      </c>
      <c r="J2118" s="2">
        <f>IFERROR(__xludf.DUMMYFUNCTION("""COMPUTED_VALUE"""),0.0)</f>
        <v>0</v>
      </c>
      <c r="K2118" s="5" t="str">
        <f>IFERROR(__xludf.DUMMYFUNCTION("""COMPUTED_VALUE"""),"")</f>
        <v/>
      </c>
      <c r="L2118" t="str">
        <f>IFERROR(__xludf.DUMMYFUNCTION("""COMPUTED_VALUE"""),"")</f>
        <v/>
      </c>
      <c r="M2118" t="str">
        <f>IFERROR(__xludf.DUMMYFUNCTION("""COMPUTED_VALUE"""),"")</f>
        <v/>
      </c>
      <c r="N2118" t="str">
        <f>IFERROR(__xludf.DUMMYFUNCTION("""COMPUTED_VALUE"""),"")</f>
        <v/>
      </c>
      <c r="O2118" t="str">
        <f>IFERROR(__xludf.DUMMYFUNCTION("""COMPUTED_VALUE"""),"")</f>
        <v/>
      </c>
      <c r="P2118" t="str">
        <f>IFERROR(__xludf.DUMMYFUNCTION("""COMPUTED_VALUE"""),"ID ")</f>
        <v>ID </v>
      </c>
    </row>
    <row r="2119">
      <c r="A2119" s="6" t="str">
        <f>IFERROR(__xludf.DUMMYFUNCTION("""COMPUTED_VALUE"""),"")</f>
        <v/>
      </c>
      <c r="C2119" t="str">
        <f>IFERROR(__xludf.DUMMYFUNCTION("""COMPUTED_VALUE"""),"")</f>
        <v/>
      </c>
      <c r="D2119" t="str">
        <f>IFERROR(__xludf.DUMMYFUNCTION("""COMPUTED_VALUE"""),"")</f>
        <v/>
      </c>
      <c r="E2119" t="str">
        <f>IFERROR(__xludf.DUMMYFUNCTION("""COMPUTED_VALUE"""),"")</f>
        <v/>
      </c>
      <c r="F2119" t="str">
        <f>IFERROR(__xludf.DUMMYFUNCTION("""COMPUTED_VALUE"""),"")</f>
        <v/>
      </c>
      <c r="G2119" t="str">
        <f>IFERROR(__xludf.DUMMYFUNCTION("""COMPUTED_VALUE"""),"")</f>
        <v/>
      </c>
      <c r="H2119" s="2" t="str">
        <f>IFERROR(__xludf.DUMMYFUNCTION("""COMPUTED_VALUE"""),"")</f>
        <v/>
      </c>
      <c r="I2119" s="2" t="str">
        <f>IFERROR(__xludf.DUMMYFUNCTION("""COMPUTED_VALUE"""),"")</f>
        <v/>
      </c>
      <c r="J2119" s="2">
        <f>IFERROR(__xludf.DUMMYFUNCTION("""COMPUTED_VALUE"""),0.0)</f>
        <v>0</v>
      </c>
      <c r="K2119" s="5" t="str">
        <f>IFERROR(__xludf.DUMMYFUNCTION("""COMPUTED_VALUE"""),"")</f>
        <v/>
      </c>
      <c r="L2119" t="str">
        <f>IFERROR(__xludf.DUMMYFUNCTION("""COMPUTED_VALUE"""),"")</f>
        <v/>
      </c>
      <c r="M2119" t="str">
        <f>IFERROR(__xludf.DUMMYFUNCTION("""COMPUTED_VALUE"""),"")</f>
        <v/>
      </c>
      <c r="N2119" t="str">
        <f>IFERROR(__xludf.DUMMYFUNCTION("""COMPUTED_VALUE"""),"")</f>
        <v/>
      </c>
      <c r="O2119" t="str">
        <f>IFERROR(__xludf.DUMMYFUNCTION("""COMPUTED_VALUE"""),"")</f>
        <v/>
      </c>
      <c r="P2119" t="str">
        <f>IFERROR(__xludf.DUMMYFUNCTION("""COMPUTED_VALUE"""),"ID ")</f>
        <v>ID </v>
      </c>
    </row>
    <row r="2120">
      <c r="A2120" s="6" t="str">
        <f>IFERROR(__xludf.DUMMYFUNCTION("""COMPUTED_VALUE"""),"")</f>
        <v/>
      </c>
      <c r="C2120" t="str">
        <f>IFERROR(__xludf.DUMMYFUNCTION("""COMPUTED_VALUE"""),"")</f>
        <v/>
      </c>
      <c r="D2120" t="str">
        <f>IFERROR(__xludf.DUMMYFUNCTION("""COMPUTED_VALUE"""),"")</f>
        <v/>
      </c>
      <c r="E2120" t="str">
        <f>IFERROR(__xludf.DUMMYFUNCTION("""COMPUTED_VALUE"""),"")</f>
        <v/>
      </c>
      <c r="F2120" t="str">
        <f>IFERROR(__xludf.DUMMYFUNCTION("""COMPUTED_VALUE"""),"")</f>
        <v/>
      </c>
      <c r="G2120" t="str">
        <f>IFERROR(__xludf.DUMMYFUNCTION("""COMPUTED_VALUE"""),"")</f>
        <v/>
      </c>
      <c r="H2120" s="2" t="str">
        <f>IFERROR(__xludf.DUMMYFUNCTION("""COMPUTED_VALUE"""),"")</f>
        <v/>
      </c>
      <c r="I2120" s="2" t="str">
        <f>IFERROR(__xludf.DUMMYFUNCTION("""COMPUTED_VALUE"""),"")</f>
        <v/>
      </c>
      <c r="J2120" s="2">
        <f>IFERROR(__xludf.DUMMYFUNCTION("""COMPUTED_VALUE"""),0.0)</f>
        <v>0</v>
      </c>
      <c r="K2120" s="5" t="str">
        <f>IFERROR(__xludf.DUMMYFUNCTION("""COMPUTED_VALUE"""),"")</f>
        <v/>
      </c>
      <c r="L2120" t="str">
        <f>IFERROR(__xludf.DUMMYFUNCTION("""COMPUTED_VALUE"""),"")</f>
        <v/>
      </c>
      <c r="M2120" t="str">
        <f>IFERROR(__xludf.DUMMYFUNCTION("""COMPUTED_VALUE"""),"")</f>
        <v/>
      </c>
      <c r="N2120" t="str">
        <f>IFERROR(__xludf.DUMMYFUNCTION("""COMPUTED_VALUE"""),"")</f>
        <v/>
      </c>
      <c r="O2120" t="str">
        <f>IFERROR(__xludf.DUMMYFUNCTION("""COMPUTED_VALUE"""),"")</f>
        <v/>
      </c>
      <c r="P2120" t="str">
        <f>IFERROR(__xludf.DUMMYFUNCTION("""COMPUTED_VALUE"""),"ID ")</f>
        <v>ID </v>
      </c>
    </row>
    <row r="2121">
      <c r="A2121" s="6" t="str">
        <f>IFERROR(__xludf.DUMMYFUNCTION("""COMPUTED_VALUE"""),"")</f>
        <v/>
      </c>
      <c r="C2121" t="str">
        <f>IFERROR(__xludf.DUMMYFUNCTION("""COMPUTED_VALUE"""),"")</f>
        <v/>
      </c>
      <c r="D2121" t="str">
        <f>IFERROR(__xludf.DUMMYFUNCTION("""COMPUTED_VALUE"""),"")</f>
        <v/>
      </c>
      <c r="E2121" t="str">
        <f>IFERROR(__xludf.DUMMYFUNCTION("""COMPUTED_VALUE"""),"")</f>
        <v/>
      </c>
      <c r="F2121" t="str">
        <f>IFERROR(__xludf.DUMMYFUNCTION("""COMPUTED_VALUE"""),"")</f>
        <v/>
      </c>
      <c r="G2121" t="str">
        <f>IFERROR(__xludf.DUMMYFUNCTION("""COMPUTED_VALUE"""),"")</f>
        <v/>
      </c>
      <c r="H2121" s="2" t="str">
        <f>IFERROR(__xludf.DUMMYFUNCTION("""COMPUTED_VALUE"""),"")</f>
        <v/>
      </c>
      <c r="I2121" s="2" t="str">
        <f>IFERROR(__xludf.DUMMYFUNCTION("""COMPUTED_VALUE"""),"")</f>
        <v/>
      </c>
      <c r="J2121" s="2">
        <f>IFERROR(__xludf.DUMMYFUNCTION("""COMPUTED_VALUE"""),0.0)</f>
        <v>0</v>
      </c>
      <c r="K2121" s="5" t="str">
        <f>IFERROR(__xludf.DUMMYFUNCTION("""COMPUTED_VALUE"""),"")</f>
        <v/>
      </c>
      <c r="L2121" t="str">
        <f>IFERROR(__xludf.DUMMYFUNCTION("""COMPUTED_VALUE"""),"")</f>
        <v/>
      </c>
      <c r="M2121" t="str">
        <f>IFERROR(__xludf.DUMMYFUNCTION("""COMPUTED_VALUE"""),"")</f>
        <v/>
      </c>
      <c r="N2121" t="str">
        <f>IFERROR(__xludf.DUMMYFUNCTION("""COMPUTED_VALUE"""),"")</f>
        <v/>
      </c>
      <c r="O2121" t="str">
        <f>IFERROR(__xludf.DUMMYFUNCTION("""COMPUTED_VALUE"""),"")</f>
        <v/>
      </c>
      <c r="P2121" t="str">
        <f>IFERROR(__xludf.DUMMYFUNCTION("""COMPUTED_VALUE"""),"ID ")</f>
        <v>ID </v>
      </c>
    </row>
    <row r="2122">
      <c r="A2122" s="6" t="str">
        <f>IFERROR(__xludf.DUMMYFUNCTION("""COMPUTED_VALUE"""),"")</f>
        <v/>
      </c>
      <c r="C2122" t="str">
        <f>IFERROR(__xludf.DUMMYFUNCTION("""COMPUTED_VALUE"""),"")</f>
        <v/>
      </c>
      <c r="D2122" t="str">
        <f>IFERROR(__xludf.DUMMYFUNCTION("""COMPUTED_VALUE"""),"")</f>
        <v/>
      </c>
      <c r="E2122" t="str">
        <f>IFERROR(__xludf.DUMMYFUNCTION("""COMPUTED_VALUE"""),"")</f>
        <v/>
      </c>
      <c r="F2122" t="str">
        <f>IFERROR(__xludf.DUMMYFUNCTION("""COMPUTED_VALUE"""),"")</f>
        <v/>
      </c>
      <c r="G2122" t="str">
        <f>IFERROR(__xludf.DUMMYFUNCTION("""COMPUTED_VALUE"""),"")</f>
        <v/>
      </c>
      <c r="H2122" s="2" t="str">
        <f>IFERROR(__xludf.DUMMYFUNCTION("""COMPUTED_VALUE"""),"")</f>
        <v/>
      </c>
      <c r="I2122" s="2" t="str">
        <f>IFERROR(__xludf.DUMMYFUNCTION("""COMPUTED_VALUE"""),"")</f>
        <v/>
      </c>
      <c r="J2122" s="2">
        <f>IFERROR(__xludf.DUMMYFUNCTION("""COMPUTED_VALUE"""),0.0)</f>
        <v>0</v>
      </c>
      <c r="K2122" s="5" t="str">
        <f>IFERROR(__xludf.DUMMYFUNCTION("""COMPUTED_VALUE"""),"")</f>
        <v/>
      </c>
      <c r="L2122" t="str">
        <f>IFERROR(__xludf.DUMMYFUNCTION("""COMPUTED_VALUE"""),"")</f>
        <v/>
      </c>
      <c r="M2122" t="str">
        <f>IFERROR(__xludf.DUMMYFUNCTION("""COMPUTED_VALUE"""),"")</f>
        <v/>
      </c>
      <c r="N2122" t="str">
        <f>IFERROR(__xludf.DUMMYFUNCTION("""COMPUTED_VALUE"""),"")</f>
        <v/>
      </c>
      <c r="O2122" t="str">
        <f>IFERROR(__xludf.DUMMYFUNCTION("""COMPUTED_VALUE"""),"")</f>
        <v/>
      </c>
      <c r="P2122" t="str">
        <f>IFERROR(__xludf.DUMMYFUNCTION("""COMPUTED_VALUE"""),"ID ")</f>
        <v>ID </v>
      </c>
    </row>
    <row r="2123">
      <c r="A2123" s="6" t="str">
        <f>IFERROR(__xludf.DUMMYFUNCTION("""COMPUTED_VALUE"""),"")</f>
        <v/>
      </c>
      <c r="C2123" t="str">
        <f>IFERROR(__xludf.DUMMYFUNCTION("""COMPUTED_VALUE"""),"")</f>
        <v/>
      </c>
      <c r="D2123" t="str">
        <f>IFERROR(__xludf.DUMMYFUNCTION("""COMPUTED_VALUE"""),"")</f>
        <v/>
      </c>
      <c r="E2123" t="str">
        <f>IFERROR(__xludf.DUMMYFUNCTION("""COMPUTED_VALUE"""),"")</f>
        <v/>
      </c>
      <c r="F2123" t="str">
        <f>IFERROR(__xludf.DUMMYFUNCTION("""COMPUTED_VALUE"""),"")</f>
        <v/>
      </c>
      <c r="G2123" t="str">
        <f>IFERROR(__xludf.DUMMYFUNCTION("""COMPUTED_VALUE"""),"")</f>
        <v/>
      </c>
      <c r="H2123" s="2" t="str">
        <f>IFERROR(__xludf.DUMMYFUNCTION("""COMPUTED_VALUE"""),"")</f>
        <v/>
      </c>
      <c r="I2123" s="2" t="str">
        <f>IFERROR(__xludf.DUMMYFUNCTION("""COMPUTED_VALUE"""),"")</f>
        <v/>
      </c>
      <c r="J2123" s="2">
        <f>IFERROR(__xludf.DUMMYFUNCTION("""COMPUTED_VALUE"""),0.0)</f>
        <v>0</v>
      </c>
      <c r="K2123" s="5" t="str">
        <f>IFERROR(__xludf.DUMMYFUNCTION("""COMPUTED_VALUE"""),"")</f>
        <v/>
      </c>
      <c r="L2123" t="str">
        <f>IFERROR(__xludf.DUMMYFUNCTION("""COMPUTED_VALUE"""),"")</f>
        <v/>
      </c>
      <c r="M2123" t="str">
        <f>IFERROR(__xludf.DUMMYFUNCTION("""COMPUTED_VALUE"""),"")</f>
        <v/>
      </c>
      <c r="N2123" t="str">
        <f>IFERROR(__xludf.DUMMYFUNCTION("""COMPUTED_VALUE"""),"")</f>
        <v/>
      </c>
      <c r="O2123" t="str">
        <f>IFERROR(__xludf.DUMMYFUNCTION("""COMPUTED_VALUE"""),"")</f>
        <v/>
      </c>
      <c r="P2123" t="str">
        <f>IFERROR(__xludf.DUMMYFUNCTION("""COMPUTED_VALUE"""),"ID ")</f>
        <v>ID </v>
      </c>
    </row>
    <row r="2124">
      <c r="A2124" s="6" t="str">
        <f>IFERROR(__xludf.DUMMYFUNCTION("""COMPUTED_VALUE"""),"")</f>
        <v/>
      </c>
      <c r="C2124" t="str">
        <f>IFERROR(__xludf.DUMMYFUNCTION("""COMPUTED_VALUE"""),"")</f>
        <v/>
      </c>
      <c r="D2124" t="str">
        <f>IFERROR(__xludf.DUMMYFUNCTION("""COMPUTED_VALUE"""),"")</f>
        <v/>
      </c>
      <c r="E2124" t="str">
        <f>IFERROR(__xludf.DUMMYFUNCTION("""COMPUTED_VALUE"""),"")</f>
        <v/>
      </c>
      <c r="F2124" t="str">
        <f>IFERROR(__xludf.DUMMYFUNCTION("""COMPUTED_VALUE"""),"")</f>
        <v/>
      </c>
      <c r="G2124" t="str">
        <f>IFERROR(__xludf.DUMMYFUNCTION("""COMPUTED_VALUE"""),"")</f>
        <v/>
      </c>
      <c r="H2124" s="2" t="str">
        <f>IFERROR(__xludf.DUMMYFUNCTION("""COMPUTED_VALUE"""),"")</f>
        <v/>
      </c>
      <c r="I2124" s="2" t="str">
        <f>IFERROR(__xludf.DUMMYFUNCTION("""COMPUTED_VALUE"""),"")</f>
        <v/>
      </c>
      <c r="J2124" s="2">
        <f>IFERROR(__xludf.DUMMYFUNCTION("""COMPUTED_VALUE"""),0.0)</f>
        <v>0</v>
      </c>
      <c r="K2124" s="5" t="str">
        <f>IFERROR(__xludf.DUMMYFUNCTION("""COMPUTED_VALUE"""),"")</f>
        <v/>
      </c>
      <c r="L2124" t="str">
        <f>IFERROR(__xludf.DUMMYFUNCTION("""COMPUTED_VALUE"""),"")</f>
        <v/>
      </c>
      <c r="M2124" t="str">
        <f>IFERROR(__xludf.DUMMYFUNCTION("""COMPUTED_VALUE"""),"")</f>
        <v/>
      </c>
      <c r="N2124" t="str">
        <f>IFERROR(__xludf.DUMMYFUNCTION("""COMPUTED_VALUE"""),"")</f>
        <v/>
      </c>
      <c r="O2124" t="str">
        <f>IFERROR(__xludf.DUMMYFUNCTION("""COMPUTED_VALUE"""),"")</f>
        <v/>
      </c>
      <c r="P2124" t="str">
        <f>IFERROR(__xludf.DUMMYFUNCTION("""COMPUTED_VALUE"""),"ID ")</f>
        <v>ID </v>
      </c>
    </row>
    <row r="2125">
      <c r="A2125" s="6" t="str">
        <f>IFERROR(__xludf.DUMMYFUNCTION("""COMPUTED_VALUE"""),"")</f>
        <v/>
      </c>
      <c r="C2125" t="str">
        <f>IFERROR(__xludf.DUMMYFUNCTION("""COMPUTED_VALUE"""),"")</f>
        <v/>
      </c>
      <c r="D2125" t="str">
        <f>IFERROR(__xludf.DUMMYFUNCTION("""COMPUTED_VALUE"""),"")</f>
        <v/>
      </c>
      <c r="E2125" t="str">
        <f>IFERROR(__xludf.DUMMYFUNCTION("""COMPUTED_VALUE"""),"")</f>
        <v/>
      </c>
      <c r="F2125" t="str">
        <f>IFERROR(__xludf.DUMMYFUNCTION("""COMPUTED_VALUE"""),"")</f>
        <v/>
      </c>
      <c r="G2125" t="str">
        <f>IFERROR(__xludf.DUMMYFUNCTION("""COMPUTED_VALUE"""),"")</f>
        <v/>
      </c>
      <c r="H2125" s="2" t="str">
        <f>IFERROR(__xludf.DUMMYFUNCTION("""COMPUTED_VALUE"""),"")</f>
        <v/>
      </c>
      <c r="I2125" s="2" t="str">
        <f>IFERROR(__xludf.DUMMYFUNCTION("""COMPUTED_VALUE"""),"")</f>
        <v/>
      </c>
      <c r="J2125" s="2">
        <f>IFERROR(__xludf.DUMMYFUNCTION("""COMPUTED_VALUE"""),0.0)</f>
        <v>0</v>
      </c>
      <c r="K2125" s="5" t="str">
        <f>IFERROR(__xludf.DUMMYFUNCTION("""COMPUTED_VALUE"""),"")</f>
        <v/>
      </c>
      <c r="L2125" t="str">
        <f>IFERROR(__xludf.DUMMYFUNCTION("""COMPUTED_VALUE"""),"")</f>
        <v/>
      </c>
      <c r="M2125" t="str">
        <f>IFERROR(__xludf.DUMMYFUNCTION("""COMPUTED_VALUE"""),"")</f>
        <v/>
      </c>
      <c r="N2125" t="str">
        <f>IFERROR(__xludf.DUMMYFUNCTION("""COMPUTED_VALUE"""),"")</f>
        <v/>
      </c>
      <c r="O2125" t="str">
        <f>IFERROR(__xludf.DUMMYFUNCTION("""COMPUTED_VALUE"""),"")</f>
        <v/>
      </c>
      <c r="P2125" t="str">
        <f>IFERROR(__xludf.DUMMYFUNCTION("""COMPUTED_VALUE"""),"ID ")</f>
        <v>ID </v>
      </c>
    </row>
    <row r="2126">
      <c r="A2126" s="6" t="str">
        <f>IFERROR(__xludf.DUMMYFUNCTION("""COMPUTED_VALUE"""),"")</f>
        <v/>
      </c>
      <c r="C2126" t="str">
        <f>IFERROR(__xludf.DUMMYFUNCTION("""COMPUTED_VALUE"""),"")</f>
        <v/>
      </c>
      <c r="D2126" t="str">
        <f>IFERROR(__xludf.DUMMYFUNCTION("""COMPUTED_VALUE"""),"")</f>
        <v/>
      </c>
      <c r="E2126" t="str">
        <f>IFERROR(__xludf.DUMMYFUNCTION("""COMPUTED_VALUE"""),"")</f>
        <v/>
      </c>
      <c r="F2126" t="str">
        <f>IFERROR(__xludf.DUMMYFUNCTION("""COMPUTED_VALUE"""),"")</f>
        <v/>
      </c>
      <c r="G2126" t="str">
        <f>IFERROR(__xludf.DUMMYFUNCTION("""COMPUTED_VALUE"""),"")</f>
        <v/>
      </c>
      <c r="H2126" s="2" t="str">
        <f>IFERROR(__xludf.DUMMYFUNCTION("""COMPUTED_VALUE"""),"")</f>
        <v/>
      </c>
      <c r="I2126" s="2" t="str">
        <f>IFERROR(__xludf.DUMMYFUNCTION("""COMPUTED_VALUE"""),"")</f>
        <v/>
      </c>
      <c r="J2126" s="2">
        <f>IFERROR(__xludf.DUMMYFUNCTION("""COMPUTED_VALUE"""),0.0)</f>
        <v>0</v>
      </c>
      <c r="K2126" s="5" t="str">
        <f>IFERROR(__xludf.DUMMYFUNCTION("""COMPUTED_VALUE"""),"")</f>
        <v/>
      </c>
      <c r="L2126" t="str">
        <f>IFERROR(__xludf.DUMMYFUNCTION("""COMPUTED_VALUE"""),"")</f>
        <v/>
      </c>
      <c r="M2126" t="str">
        <f>IFERROR(__xludf.DUMMYFUNCTION("""COMPUTED_VALUE"""),"")</f>
        <v/>
      </c>
      <c r="N2126" t="str">
        <f>IFERROR(__xludf.DUMMYFUNCTION("""COMPUTED_VALUE"""),"")</f>
        <v/>
      </c>
      <c r="O2126" t="str">
        <f>IFERROR(__xludf.DUMMYFUNCTION("""COMPUTED_VALUE"""),"")</f>
        <v/>
      </c>
      <c r="P2126" t="str">
        <f>IFERROR(__xludf.DUMMYFUNCTION("""COMPUTED_VALUE"""),"ID ")</f>
        <v>ID </v>
      </c>
    </row>
    <row r="2127">
      <c r="A2127" s="6" t="str">
        <f>IFERROR(__xludf.DUMMYFUNCTION("""COMPUTED_VALUE"""),"")</f>
        <v/>
      </c>
      <c r="C2127" t="str">
        <f>IFERROR(__xludf.DUMMYFUNCTION("""COMPUTED_VALUE"""),"")</f>
        <v/>
      </c>
      <c r="D2127" t="str">
        <f>IFERROR(__xludf.DUMMYFUNCTION("""COMPUTED_VALUE"""),"")</f>
        <v/>
      </c>
      <c r="E2127" t="str">
        <f>IFERROR(__xludf.DUMMYFUNCTION("""COMPUTED_VALUE"""),"")</f>
        <v/>
      </c>
      <c r="F2127" t="str">
        <f>IFERROR(__xludf.DUMMYFUNCTION("""COMPUTED_VALUE"""),"")</f>
        <v/>
      </c>
      <c r="G2127" t="str">
        <f>IFERROR(__xludf.DUMMYFUNCTION("""COMPUTED_VALUE"""),"")</f>
        <v/>
      </c>
      <c r="H2127" s="2" t="str">
        <f>IFERROR(__xludf.DUMMYFUNCTION("""COMPUTED_VALUE"""),"")</f>
        <v/>
      </c>
      <c r="I2127" s="2" t="str">
        <f>IFERROR(__xludf.DUMMYFUNCTION("""COMPUTED_VALUE"""),"")</f>
        <v/>
      </c>
      <c r="J2127" s="2">
        <f>IFERROR(__xludf.DUMMYFUNCTION("""COMPUTED_VALUE"""),0.0)</f>
        <v>0</v>
      </c>
      <c r="K2127" s="5" t="str">
        <f>IFERROR(__xludf.DUMMYFUNCTION("""COMPUTED_VALUE"""),"")</f>
        <v/>
      </c>
      <c r="L2127" t="str">
        <f>IFERROR(__xludf.DUMMYFUNCTION("""COMPUTED_VALUE"""),"")</f>
        <v/>
      </c>
      <c r="M2127" t="str">
        <f>IFERROR(__xludf.DUMMYFUNCTION("""COMPUTED_VALUE"""),"")</f>
        <v/>
      </c>
      <c r="N2127" t="str">
        <f>IFERROR(__xludf.DUMMYFUNCTION("""COMPUTED_VALUE"""),"")</f>
        <v/>
      </c>
      <c r="O2127" t="str">
        <f>IFERROR(__xludf.DUMMYFUNCTION("""COMPUTED_VALUE"""),"")</f>
        <v/>
      </c>
      <c r="P2127" t="str">
        <f>IFERROR(__xludf.DUMMYFUNCTION("""COMPUTED_VALUE"""),"ID ")</f>
        <v>ID </v>
      </c>
    </row>
    <row r="2128">
      <c r="A2128" s="6" t="str">
        <f>IFERROR(__xludf.DUMMYFUNCTION("""COMPUTED_VALUE"""),"")</f>
        <v/>
      </c>
      <c r="C2128" t="str">
        <f>IFERROR(__xludf.DUMMYFUNCTION("""COMPUTED_VALUE"""),"")</f>
        <v/>
      </c>
      <c r="D2128" t="str">
        <f>IFERROR(__xludf.DUMMYFUNCTION("""COMPUTED_VALUE"""),"")</f>
        <v/>
      </c>
      <c r="E2128" t="str">
        <f>IFERROR(__xludf.DUMMYFUNCTION("""COMPUTED_VALUE"""),"")</f>
        <v/>
      </c>
      <c r="F2128" t="str">
        <f>IFERROR(__xludf.DUMMYFUNCTION("""COMPUTED_VALUE"""),"")</f>
        <v/>
      </c>
      <c r="G2128" t="str">
        <f>IFERROR(__xludf.DUMMYFUNCTION("""COMPUTED_VALUE"""),"")</f>
        <v/>
      </c>
      <c r="H2128" s="2" t="str">
        <f>IFERROR(__xludf.DUMMYFUNCTION("""COMPUTED_VALUE"""),"")</f>
        <v/>
      </c>
      <c r="I2128" s="2" t="str">
        <f>IFERROR(__xludf.DUMMYFUNCTION("""COMPUTED_VALUE"""),"")</f>
        <v/>
      </c>
      <c r="J2128" s="2">
        <f>IFERROR(__xludf.DUMMYFUNCTION("""COMPUTED_VALUE"""),0.0)</f>
        <v>0</v>
      </c>
      <c r="K2128" s="5" t="str">
        <f>IFERROR(__xludf.DUMMYFUNCTION("""COMPUTED_VALUE"""),"")</f>
        <v/>
      </c>
      <c r="L2128" t="str">
        <f>IFERROR(__xludf.DUMMYFUNCTION("""COMPUTED_VALUE"""),"")</f>
        <v/>
      </c>
      <c r="M2128" t="str">
        <f>IFERROR(__xludf.DUMMYFUNCTION("""COMPUTED_VALUE"""),"")</f>
        <v/>
      </c>
      <c r="N2128" t="str">
        <f>IFERROR(__xludf.DUMMYFUNCTION("""COMPUTED_VALUE"""),"")</f>
        <v/>
      </c>
      <c r="O2128" t="str">
        <f>IFERROR(__xludf.DUMMYFUNCTION("""COMPUTED_VALUE"""),"")</f>
        <v/>
      </c>
      <c r="P2128" t="str">
        <f>IFERROR(__xludf.DUMMYFUNCTION("""COMPUTED_VALUE"""),"ID ")</f>
        <v>ID </v>
      </c>
    </row>
    <row r="2129">
      <c r="A2129" s="6" t="str">
        <f>IFERROR(__xludf.DUMMYFUNCTION("""COMPUTED_VALUE"""),"")</f>
        <v/>
      </c>
      <c r="C2129" t="str">
        <f>IFERROR(__xludf.DUMMYFUNCTION("""COMPUTED_VALUE"""),"")</f>
        <v/>
      </c>
      <c r="D2129" t="str">
        <f>IFERROR(__xludf.DUMMYFUNCTION("""COMPUTED_VALUE"""),"")</f>
        <v/>
      </c>
      <c r="E2129" t="str">
        <f>IFERROR(__xludf.DUMMYFUNCTION("""COMPUTED_VALUE"""),"")</f>
        <v/>
      </c>
      <c r="F2129" t="str">
        <f>IFERROR(__xludf.DUMMYFUNCTION("""COMPUTED_VALUE"""),"")</f>
        <v/>
      </c>
      <c r="G2129" t="str">
        <f>IFERROR(__xludf.DUMMYFUNCTION("""COMPUTED_VALUE"""),"")</f>
        <v/>
      </c>
      <c r="H2129" s="2" t="str">
        <f>IFERROR(__xludf.DUMMYFUNCTION("""COMPUTED_VALUE"""),"")</f>
        <v/>
      </c>
      <c r="I2129" s="2" t="str">
        <f>IFERROR(__xludf.DUMMYFUNCTION("""COMPUTED_VALUE"""),"")</f>
        <v/>
      </c>
      <c r="J2129" s="2">
        <f>IFERROR(__xludf.DUMMYFUNCTION("""COMPUTED_VALUE"""),0.0)</f>
        <v>0</v>
      </c>
      <c r="K2129" s="5" t="str">
        <f>IFERROR(__xludf.DUMMYFUNCTION("""COMPUTED_VALUE"""),"")</f>
        <v/>
      </c>
      <c r="L2129" t="str">
        <f>IFERROR(__xludf.DUMMYFUNCTION("""COMPUTED_VALUE"""),"")</f>
        <v/>
      </c>
      <c r="M2129" t="str">
        <f>IFERROR(__xludf.DUMMYFUNCTION("""COMPUTED_VALUE"""),"")</f>
        <v/>
      </c>
      <c r="N2129" t="str">
        <f>IFERROR(__xludf.DUMMYFUNCTION("""COMPUTED_VALUE"""),"")</f>
        <v/>
      </c>
      <c r="O2129" t="str">
        <f>IFERROR(__xludf.DUMMYFUNCTION("""COMPUTED_VALUE"""),"")</f>
        <v/>
      </c>
      <c r="P2129" t="str">
        <f>IFERROR(__xludf.DUMMYFUNCTION("""COMPUTED_VALUE"""),"ID ")</f>
        <v>ID </v>
      </c>
    </row>
    <row r="2130">
      <c r="A2130" s="6" t="str">
        <f>IFERROR(__xludf.DUMMYFUNCTION("""COMPUTED_VALUE"""),"")</f>
        <v/>
      </c>
      <c r="C2130" t="str">
        <f>IFERROR(__xludf.DUMMYFUNCTION("""COMPUTED_VALUE"""),"")</f>
        <v/>
      </c>
      <c r="D2130" t="str">
        <f>IFERROR(__xludf.DUMMYFUNCTION("""COMPUTED_VALUE"""),"")</f>
        <v/>
      </c>
      <c r="E2130" t="str">
        <f>IFERROR(__xludf.DUMMYFUNCTION("""COMPUTED_VALUE"""),"")</f>
        <v/>
      </c>
      <c r="F2130" t="str">
        <f>IFERROR(__xludf.DUMMYFUNCTION("""COMPUTED_VALUE"""),"")</f>
        <v/>
      </c>
      <c r="G2130" t="str">
        <f>IFERROR(__xludf.DUMMYFUNCTION("""COMPUTED_VALUE"""),"")</f>
        <v/>
      </c>
      <c r="H2130" s="2" t="str">
        <f>IFERROR(__xludf.DUMMYFUNCTION("""COMPUTED_VALUE"""),"")</f>
        <v/>
      </c>
      <c r="I2130" s="2" t="str">
        <f>IFERROR(__xludf.DUMMYFUNCTION("""COMPUTED_VALUE"""),"")</f>
        <v/>
      </c>
      <c r="J2130" s="2">
        <f>IFERROR(__xludf.DUMMYFUNCTION("""COMPUTED_VALUE"""),0.0)</f>
        <v>0</v>
      </c>
      <c r="K2130" s="5" t="str">
        <f>IFERROR(__xludf.DUMMYFUNCTION("""COMPUTED_VALUE"""),"")</f>
        <v/>
      </c>
      <c r="L2130" t="str">
        <f>IFERROR(__xludf.DUMMYFUNCTION("""COMPUTED_VALUE"""),"")</f>
        <v/>
      </c>
      <c r="M2130" t="str">
        <f>IFERROR(__xludf.DUMMYFUNCTION("""COMPUTED_VALUE"""),"")</f>
        <v/>
      </c>
      <c r="N2130" t="str">
        <f>IFERROR(__xludf.DUMMYFUNCTION("""COMPUTED_VALUE"""),"")</f>
        <v/>
      </c>
      <c r="O2130" t="str">
        <f>IFERROR(__xludf.DUMMYFUNCTION("""COMPUTED_VALUE"""),"")</f>
        <v/>
      </c>
      <c r="P2130" t="str">
        <f>IFERROR(__xludf.DUMMYFUNCTION("""COMPUTED_VALUE"""),"ID ")</f>
        <v>ID </v>
      </c>
    </row>
    <row r="2131">
      <c r="A2131" s="6" t="str">
        <f>IFERROR(__xludf.DUMMYFUNCTION("""COMPUTED_VALUE"""),"")</f>
        <v/>
      </c>
      <c r="C2131" t="str">
        <f>IFERROR(__xludf.DUMMYFUNCTION("""COMPUTED_VALUE"""),"")</f>
        <v/>
      </c>
      <c r="D2131" t="str">
        <f>IFERROR(__xludf.DUMMYFUNCTION("""COMPUTED_VALUE"""),"")</f>
        <v/>
      </c>
      <c r="E2131" t="str">
        <f>IFERROR(__xludf.DUMMYFUNCTION("""COMPUTED_VALUE"""),"")</f>
        <v/>
      </c>
      <c r="F2131" t="str">
        <f>IFERROR(__xludf.DUMMYFUNCTION("""COMPUTED_VALUE"""),"")</f>
        <v/>
      </c>
      <c r="G2131" t="str">
        <f>IFERROR(__xludf.DUMMYFUNCTION("""COMPUTED_VALUE"""),"")</f>
        <v/>
      </c>
      <c r="H2131" s="2" t="str">
        <f>IFERROR(__xludf.DUMMYFUNCTION("""COMPUTED_VALUE"""),"")</f>
        <v/>
      </c>
      <c r="I2131" s="2" t="str">
        <f>IFERROR(__xludf.DUMMYFUNCTION("""COMPUTED_VALUE"""),"")</f>
        <v/>
      </c>
      <c r="J2131" s="2">
        <f>IFERROR(__xludf.DUMMYFUNCTION("""COMPUTED_VALUE"""),0.0)</f>
        <v>0</v>
      </c>
      <c r="K2131" s="5" t="str">
        <f>IFERROR(__xludf.DUMMYFUNCTION("""COMPUTED_VALUE"""),"")</f>
        <v/>
      </c>
      <c r="L2131" t="str">
        <f>IFERROR(__xludf.DUMMYFUNCTION("""COMPUTED_VALUE"""),"")</f>
        <v/>
      </c>
      <c r="M2131" t="str">
        <f>IFERROR(__xludf.DUMMYFUNCTION("""COMPUTED_VALUE"""),"")</f>
        <v/>
      </c>
      <c r="N2131" t="str">
        <f>IFERROR(__xludf.DUMMYFUNCTION("""COMPUTED_VALUE"""),"")</f>
        <v/>
      </c>
      <c r="O2131" t="str">
        <f>IFERROR(__xludf.DUMMYFUNCTION("""COMPUTED_VALUE"""),"")</f>
        <v/>
      </c>
      <c r="P2131" t="str">
        <f>IFERROR(__xludf.DUMMYFUNCTION("""COMPUTED_VALUE"""),"ID ")</f>
        <v>ID </v>
      </c>
    </row>
    <row r="2132">
      <c r="A2132" s="6" t="str">
        <f>IFERROR(__xludf.DUMMYFUNCTION("""COMPUTED_VALUE"""),"")</f>
        <v/>
      </c>
      <c r="C2132" t="str">
        <f>IFERROR(__xludf.DUMMYFUNCTION("""COMPUTED_VALUE"""),"")</f>
        <v/>
      </c>
      <c r="D2132" t="str">
        <f>IFERROR(__xludf.DUMMYFUNCTION("""COMPUTED_VALUE"""),"")</f>
        <v/>
      </c>
      <c r="E2132" t="str">
        <f>IFERROR(__xludf.DUMMYFUNCTION("""COMPUTED_VALUE"""),"")</f>
        <v/>
      </c>
      <c r="F2132" t="str">
        <f>IFERROR(__xludf.DUMMYFUNCTION("""COMPUTED_VALUE"""),"")</f>
        <v/>
      </c>
      <c r="G2132" t="str">
        <f>IFERROR(__xludf.DUMMYFUNCTION("""COMPUTED_VALUE"""),"")</f>
        <v/>
      </c>
      <c r="H2132" s="2" t="str">
        <f>IFERROR(__xludf.DUMMYFUNCTION("""COMPUTED_VALUE"""),"")</f>
        <v/>
      </c>
      <c r="I2132" s="2" t="str">
        <f>IFERROR(__xludf.DUMMYFUNCTION("""COMPUTED_VALUE"""),"")</f>
        <v/>
      </c>
      <c r="J2132" s="2">
        <f>IFERROR(__xludf.DUMMYFUNCTION("""COMPUTED_VALUE"""),0.0)</f>
        <v>0</v>
      </c>
      <c r="K2132" s="5" t="str">
        <f>IFERROR(__xludf.DUMMYFUNCTION("""COMPUTED_VALUE"""),"")</f>
        <v/>
      </c>
      <c r="L2132" t="str">
        <f>IFERROR(__xludf.DUMMYFUNCTION("""COMPUTED_VALUE"""),"")</f>
        <v/>
      </c>
      <c r="M2132" t="str">
        <f>IFERROR(__xludf.DUMMYFUNCTION("""COMPUTED_VALUE"""),"")</f>
        <v/>
      </c>
      <c r="N2132" t="str">
        <f>IFERROR(__xludf.DUMMYFUNCTION("""COMPUTED_VALUE"""),"")</f>
        <v/>
      </c>
      <c r="O2132" t="str">
        <f>IFERROR(__xludf.DUMMYFUNCTION("""COMPUTED_VALUE"""),"")</f>
        <v/>
      </c>
      <c r="P2132" t="str">
        <f>IFERROR(__xludf.DUMMYFUNCTION("""COMPUTED_VALUE"""),"ID ")</f>
        <v>ID </v>
      </c>
    </row>
    <row r="2133">
      <c r="A2133" s="6" t="str">
        <f>IFERROR(__xludf.DUMMYFUNCTION("""COMPUTED_VALUE"""),"")</f>
        <v/>
      </c>
      <c r="C2133" t="str">
        <f>IFERROR(__xludf.DUMMYFUNCTION("""COMPUTED_VALUE"""),"")</f>
        <v/>
      </c>
      <c r="D2133" t="str">
        <f>IFERROR(__xludf.DUMMYFUNCTION("""COMPUTED_VALUE"""),"")</f>
        <v/>
      </c>
      <c r="E2133" t="str">
        <f>IFERROR(__xludf.DUMMYFUNCTION("""COMPUTED_VALUE"""),"")</f>
        <v/>
      </c>
      <c r="F2133" t="str">
        <f>IFERROR(__xludf.DUMMYFUNCTION("""COMPUTED_VALUE"""),"")</f>
        <v/>
      </c>
      <c r="G2133" t="str">
        <f>IFERROR(__xludf.DUMMYFUNCTION("""COMPUTED_VALUE"""),"")</f>
        <v/>
      </c>
      <c r="H2133" s="2" t="str">
        <f>IFERROR(__xludf.DUMMYFUNCTION("""COMPUTED_VALUE"""),"")</f>
        <v/>
      </c>
      <c r="I2133" s="2" t="str">
        <f>IFERROR(__xludf.DUMMYFUNCTION("""COMPUTED_VALUE"""),"")</f>
        <v/>
      </c>
      <c r="J2133" s="2">
        <f>IFERROR(__xludf.DUMMYFUNCTION("""COMPUTED_VALUE"""),0.0)</f>
        <v>0</v>
      </c>
      <c r="K2133" s="5" t="str">
        <f>IFERROR(__xludf.DUMMYFUNCTION("""COMPUTED_VALUE"""),"")</f>
        <v/>
      </c>
      <c r="L2133" t="str">
        <f>IFERROR(__xludf.DUMMYFUNCTION("""COMPUTED_VALUE"""),"")</f>
        <v/>
      </c>
      <c r="M2133" t="str">
        <f>IFERROR(__xludf.DUMMYFUNCTION("""COMPUTED_VALUE"""),"")</f>
        <v/>
      </c>
      <c r="N2133" t="str">
        <f>IFERROR(__xludf.DUMMYFUNCTION("""COMPUTED_VALUE"""),"")</f>
        <v/>
      </c>
      <c r="O2133" t="str">
        <f>IFERROR(__xludf.DUMMYFUNCTION("""COMPUTED_VALUE"""),"")</f>
        <v/>
      </c>
      <c r="P2133" t="str">
        <f>IFERROR(__xludf.DUMMYFUNCTION("""COMPUTED_VALUE"""),"ID ")</f>
        <v>ID </v>
      </c>
    </row>
    <row r="2134">
      <c r="A2134" s="6" t="str">
        <f>IFERROR(__xludf.DUMMYFUNCTION("""COMPUTED_VALUE"""),"")</f>
        <v/>
      </c>
      <c r="C2134" t="str">
        <f>IFERROR(__xludf.DUMMYFUNCTION("""COMPUTED_VALUE"""),"")</f>
        <v/>
      </c>
      <c r="D2134" t="str">
        <f>IFERROR(__xludf.DUMMYFUNCTION("""COMPUTED_VALUE"""),"")</f>
        <v/>
      </c>
      <c r="E2134" t="str">
        <f>IFERROR(__xludf.DUMMYFUNCTION("""COMPUTED_VALUE"""),"")</f>
        <v/>
      </c>
      <c r="F2134" t="str">
        <f>IFERROR(__xludf.DUMMYFUNCTION("""COMPUTED_VALUE"""),"")</f>
        <v/>
      </c>
      <c r="G2134" t="str">
        <f>IFERROR(__xludf.DUMMYFUNCTION("""COMPUTED_VALUE"""),"")</f>
        <v/>
      </c>
      <c r="H2134" s="2" t="str">
        <f>IFERROR(__xludf.DUMMYFUNCTION("""COMPUTED_VALUE"""),"")</f>
        <v/>
      </c>
      <c r="I2134" s="2" t="str">
        <f>IFERROR(__xludf.DUMMYFUNCTION("""COMPUTED_VALUE"""),"")</f>
        <v/>
      </c>
      <c r="J2134" s="2">
        <f>IFERROR(__xludf.DUMMYFUNCTION("""COMPUTED_VALUE"""),0.0)</f>
        <v>0</v>
      </c>
      <c r="K2134" s="5" t="str">
        <f>IFERROR(__xludf.DUMMYFUNCTION("""COMPUTED_VALUE"""),"")</f>
        <v/>
      </c>
      <c r="L2134" t="str">
        <f>IFERROR(__xludf.DUMMYFUNCTION("""COMPUTED_VALUE"""),"")</f>
        <v/>
      </c>
      <c r="M2134" t="str">
        <f>IFERROR(__xludf.DUMMYFUNCTION("""COMPUTED_VALUE"""),"")</f>
        <v/>
      </c>
      <c r="N2134" t="str">
        <f>IFERROR(__xludf.DUMMYFUNCTION("""COMPUTED_VALUE"""),"")</f>
        <v/>
      </c>
      <c r="O2134" t="str">
        <f>IFERROR(__xludf.DUMMYFUNCTION("""COMPUTED_VALUE"""),"")</f>
        <v/>
      </c>
      <c r="P2134" t="str">
        <f>IFERROR(__xludf.DUMMYFUNCTION("""COMPUTED_VALUE"""),"ID ")</f>
        <v>ID </v>
      </c>
    </row>
    <row r="2135">
      <c r="A2135" s="6" t="str">
        <f>IFERROR(__xludf.DUMMYFUNCTION("""COMPUTED_VALUE"""),"")</f>
        <v/>
      </c>
      <c r="C2135" t="str">
        <f>IFERROR(__xludf.DUMMYFUNCTION("""COMPUTED_VALUE"""),"")</f>
        <v/>
      </c>
      <c r="D2135" t="str">
        <f>IFERROR(__xludf.DUMMYFUNCTION("""COMPUTED_VALUE"""),"")</f>
        <v/>
      </c>
      <c r="E2135" t="str">
        <f>IFERROR(__xludf.DUMMYFUNCTION("""COMPUTED_VALUE"""),"")</f>
        <v/>
      </c>
      <c r="F2135" t="str">
        <f>IFERROR(__xludf.DUMMYFUNCTION("""COMPUTED_VALUE"""),"")</f>
        <v/>
      </c>
      <c r="G2135" t="str">
        <f>IFERROR(__xludf.DUMMYFUNCTION("""COMPUTED_VALUE"""),"")</f>
        <v/>
      </c>
      <c r="H2135" s="2" t="str">
        <f>IFERROR(__xludf.DUMMYFUNCTION("""COMPUTED_VALUE"""),"")</f>
        <v/>
      </c>
      <c r="I2135" s="2" t="str">
        <f>IFERROR(__xludf.DUMMYFUNCTION("""COMPUTED_VALUE"""),"")</f>
        <v/>
      </c>
      <c r="J2135" s="2">
        <f>IFERROR(__xludf.DUMMYFUNCTION("""COMPUTED_VALUE"""),0.0)</f>
        <v>0</v>
      </c>
      <c r="K2135" s="5" t="str">
        <f>IFERROR(__xludf.DUMMYFUNCTION("""COMPUTED_VALUE"""),"")</f>
        <v/>
      </c>
      <c r="L2135" t="str">
        <f>IFERROR(__xludf.DUMMYFUNCTION("""COMPUTED_VALUE"""),"")</f>
        <v/>
      </c>
      <c r="M2135" t="str">
        <f>IFERROR(__xludf.DUMMYFUNCTION("""COMPUTED_VALUE"""),"")</f>
        <v/>
      </c>
      <c r="N2135" t="str">
        <f>IFERROR(__xludf.DUMMYFUNCTION("""COMPUTED_VALUE"""),"")</f>
        <v/>
      </c>
      <c r="O2135" t="str">
        <f>IFERROR(__xludf.DUMMYFUNCTION("""COMPUTED_VALUE"""),"")</f>
        <v/>
      </c>
      <c r="P2135" t="str">
        <f>IFERROR(__xludf.DUMMYFUNCTION("""COMPUTED_VALUE"""),"ID ")</f>
        <v>ID </v>
      </c>
    </row>
    <row r="2136">
      <c r="A2136" s="6" t="str">
        <f>IFERROR(__xludf.DUMMYFUNCTION("""COMPUTED_VALUE"""),"")</f>
        <v/>
      </c>
      <c r="C2136" t="str">
        <f>IFERROR(__xludf.DUMMYFUNCTION("""COMPUTED_VALUE"""),"")</f>
        <v/>
      </c>
      <c r="D2136" t="str">
        <f>IFERROR(__xludf.DUMMYFUNCTION("""COMPUTED_VALUE"""),"")</f>
        <v/>
      </c>
      <c r="E2136" t="str">
        <f>IFERROR(__xludf.DUMMYFUNCTION("""COMPUTED_VALUE"""),"")</f>
        <v/>
      </c>
      <c r="F2136" t="str">
        <f>IFERROR(__xludf.DUMMYFUNCTION("""COMPUTED_VALUE"""),"")</f>
        <v/>
      </c>
      <c r="G2136" t="str">
        <f>IFERROR(__xludf.DUMMYFUNCTION("""COMPUTED_VALUE"""),"")</f>
        <v/>
      </c>
      <c r="H2136" s="2" t="str">
        <f>IFERROR(__xludf.DUMMYFUNCTION("""COMPUTED_VALUE"""),"")</f>
        <v/>
      </c>
      <c r="I2136" s="2" t="str">
        <f>IFERROR(__xludf.DUMMYFUNCTION("""COMPUTED_VALUE"""),"")</f>
        <v/>
      </c>
      <c r="J2136" s="2">
        <f>IFERROR(__xludf.DUMMYFUNCTION("""COMPUTED_VALUE"""),0.0)</f>
        <v>0</v>
      </c>
      <c r="K2136" s="5" t="str">
        <f>IFERROR(__xludf.DUMMYFUNCTION("""COMPUTED_VALUE"""),"")</f>
        <v/>
      </c>
      <c r="L2136" t="str">
        <f>IFERROR(__xludf.DUMMYFUNCTION("""COMPUTED_VALUE"""),"")</f>
        <v/>
      </c>
      <c r="M2136" t="str">
        <f>IFERROR(__xludf.DUMMYFUNCTION("""COMPUTED_VALUE"""),"")</f>
        <v/>
      </c>
      <c r="N2136" t="str">
        <f>IFERROR(__xludf.DUMMYFUNCTION("""COMPUTED_VALUE"""),"")</f>
        <v/>
      </c>
      <c r="O2136" t="str">
        <f>IFERROR(__xludf.DUMMYFUNCTION("""COMPUTED_VALUE"""),"")</f>
        <v/>
      </c>
      <c r="P2136" t="str">
        <f>IFERROR(__xludf.DUMMYFUNCTION("""COMPUTED_VALUE"""),"ID ")</f>
        <v>ID </v>
      </c>
    </row>
    <row r="2137">
      <c r="A2137" s="6" t="str">
        <f>IFERROR(__xludf.DUMMYFUNCTION("""COMPUTED_VALUE"""),"")</f>
        <v/>
      </c>
      <c r="C2137" t="str">
        <f>IFERROR(__xludf.DUMMYFUNCTION("""COMPUTED_VALUE"""),"")</f>
        <v/>
      </c>
      <c r="D2137" t="str">
        <f>IFERROR(__xludf.DUMMYFUNCTION("""COMPUTED_VALUE"""),"")</f>
        <v/>
      </c>
      <c r="E2137" t="str">
        <f>IFERROR(__xludf.DUMMYFUNCTION("""COMPUTED_VALUE"""),"")</f>
        <v/>
      </c>
      <c r="F2137" t="str">
        <f>IFERROR(__xludf.DUMMYFUNCTION("""COMPUTED_VALUE"""),"")</f>
        <v/>
      </c>
      <c r="G2137" t="str">
        <f>IFERROR(__xludf.DUMMYFUNCTION("""COMPUTED_VALUE"""),"")</f>
        <v/>
      </c>
      <c r="H2137" s="2" t="str">
        <f>IFERROR(__xludf.DUMMYFUNCTION("""COMPUTED_VALUE"""),"")</f>
        <v/>
      </c>
      <c r="I2137" s="2" t="str">
        <f>IFERROR(__xludf.DUMMYFUNCTION("""COMPUTED_VALUE"""),"")</f>
        <v/>
      </c>
      <c r="J2137" s="2">
        <f>IFERROR(__xludf.DUMMYFUNCTION("""COMPUTED_VALUE"""),0.0)</f>
        <v>0</v>
      </c>
      <c r="K2137" s="5" t="str">
        <f>IFERROR(__xludf.DUMMYFUNCTION("""COMPUTED_VALUE"""),"")</f>
        <v/>
      </c>
      <c r="L2137" t="str">
        <f>IFERROR(__xludf.DUMMYFUNCTION("""COMPUTED_VALUE"""),"")</f>
        <v/>
      </c>
      <c r="M2137" t="str">
        <f>IFERROR(__xludf.DUMMYFUNCTION("""COMPUTED_VALUE"""),"")</f>
        <v/>
      </c>
      <c r="N2137" t="str">
        <f>IFERROR(__xludf.DUMMYFUNCTION("""COMPUTED_VALUE"""),"")</f>
        <v/>
      </c>
      <c r="O2137" t="str">
        <f>IFERROR(__xludf.DUMMYFUNCTION("""COMPUTED_VALUE"""),"")</f>
        <v/>
      </c>
      <c r="P2137" t="str">
        <f>IFERROR(__xludf.DUMMYFUNCTION("""COMPUTED_VALUE"""),"ID ")</f>
        <v>ID </v>
      </c>
    </row>
    <row r="2138">
      <c r="A2138" s="6" t="str">
        <f>IFERROR(__xludf.DUMMYFUNCTION("""COMPUTED_VALUE"""),"")</f>
        <v/>
      </c>
      <c r="C2138" t="str">
        <f>IFERROR(__xludf.DUMMYFUNCTION("""COMPUTED_VALUE"""),"")</f>
        <v/>
      </c>
      <c r="D2138" t="str">
        <f>IFERROR(__xludf.DUMMYFUNCTION("""COMPUTED_VALUE"""),"")</f>
        <v/>
      </c>
      <c r="E2138" t="str">
        <f>IFERROR(__xludf.DUMMYFUNCTION("""COMPUTED_VALUE"""),"")</f>
        <v/>
      </c>
      <c r="F2138" t="str">
        <f>IFERROR(__xludf.DUMMYFUNCTION("""COMPUTED_VALUE"""),"")</f>
        <v/>
      </c>
      <c r="G2138" t="str">
        <f>IFERROR(__xludf.DUMMYFUNCTION("""COMPUTED_VALUE"""),"")</f>
        <v/>
      </c>
      <c r="H2138" s="2" t="str">
        <f>IFERROR(__xludf.DUMMYFUNCTION("""COMPUTED_VALUE"""),"")</f>
        <v/>
      </c>
      <c r="I2138" s="2" t="str">
        <f>IFERROR(__xludf.DUMMYFUNCTION("""COMPUTED_VALUE"""),"")</f>
        <v/>
      </c>
      <c r="J2138" s="2">
        <f>IFERROR(__xludf.DUMMYFUNCTION("""COMPUTED_VALUE"""),0.0)</f>
        <v>0</v>
      </c>
      <c r="K2138" s="5" t="str">
        <f>IFERROR(__xludf.DUMMYFUNCTION("""COMPUTED_VALUE"""),"")</f>
        <v/>
      </c>
      <c r="L2138" t="str">
        <f>IFERROR(__xludf.DUMMYFUNCTION("""COMPUTED_VALUE"""),"")</f>
        <v/>
      </c>
      <c r="M2138" t="str">
        <f>IFERROR(__xludf.DUMMYFUNCTION("""COMPUTED_VALUE"""),"")</f>
        <v/>
      </c>
      <c r="N2138" t="str">
        <f>IFERROR(__xludf.DUMMYFUNCTION("""COMPUTED_VALUE"""),"")</f>
        <v/>
      </c>
      <c r="O2138" t="str">
        <f>IFERROR(__xludf.DUMMYFUNCTION("""COMPUTED_VALUE"""),"")</f>
        <v/>
      </c>
      <c r="P2138" t="str">
        <f>IFERROR(__xludf.DUMMYFUNCTION("""COMPUTED_VALUE"""),"ID ")</f>
        <v>ID </v>
      </c>
    </row>
    <row r="2139">
      <c r="A2139" s="6" t="str">
        <f>IFERROR(__xludf.DUMMYFUNCTION("""COMPUTED_VALUE"""),"")</f>
        <v/>
      </c>
      <c r="C2139" t="str">
        <f>IFERROR(__xludf.DUMMYFUNCTION("""COMPUTED_VALUE"""),"")</f>
        <v/>
      </c>
      <c r="D2139" t="str">
        <f>IFERROR(__xludf.DUMMYFUNCTION("""COMPUTED_VALUE"""),"")</f>
        <v/>
      </c>
      <c r="E2139" t="str">
        <f>IFERROR(__xludf.DUMMYFUNCTION("""COMPUTED_VALUE"""),"")</f>
        <v/>
      </c>
      <c r="F2139" t="str">
        <f>IFERROR(__xludf.DUMMYFUNCTION("""COMPUTED_VALUE"""),"")</f>
        <v/>
      </c>
      <c r="G2139" t="str">
        <f>IFERROR(__xludf.DUMMYFUNCTION("""COMPUTED_VALUE"""),"")</f>
        <v/>
      </c>
      <c r="H2139" s="2" t="str">
        <f>IFERROR(__xludf.DUMMYFUNCTION("""COMPUTED_VALUE"""),"")</f>
        <v/>
      </c>
      <c r="I2139" s="2" t="str">
        <f>IFERROR(__xludf.DUMMYFUNCTION("""COMPUTED_VALUE"""),"")</f>
        <v/>
      </c>
      <c r="J2139" s="2">
        <f>IFERROR(__xludf.DUMMYFUNCTION("""COMPUTED_VALUE"""),0.0)</f>
        <v>0</v>
      </c>
      <c r="K2139" s="5" t="str">
        <f>IFERROR(__xludf.DUMMYFUNCTION("""COMPUTED_VALUE"""),"")</f>
        <v/>
      </c>
      <c r="L2139" t="str">
        <f>IFERROR(__xludf.DUMMYFUNCTION("""COMPUTED_VALUE"""),"")</f>
        <v/>
      </c>
      <c r="M2139" t="str">
        <f>IFERROR(__xludf.DUMMYFUNCTION("""COMPUTED_VALUE"""),"")</f>
        <v/>
      </c>
      <c r="N2139" t="str">
        <f>IFERROR(__xludf.DUMMYFUNCTION("""COMPUTED_VALUE"""),"")</f>
        <v/>
      </c>
      <c r="O2139" t="str">
        <f>IFERROR(__xludf.DUMMYFUNCTION("""COMPUTED_VALUE"""),"")</f>
        <v/>
      </c>
      <c r="P2139" t="str">
        <f>IFERROR(__xludf.DUMMYFUNCTION("""COMPUTED_VALUE"""),"ID ")</f>
        <v>ID </v>
      </c>
    </row>
    <row r="2140">
      <c r="A2140" s="6" t="str">
        <f>IFERROR(__xludf.DUMMYFUNCTION("""COMPUTED_VALUE"""),"")</f>
        <v/>
      </c>
      <c r="C2140" t="str">
        <f>IFERROR(__xludf.DUMMYFUNCTION("""COMPUTED_VALUE"""),"")</f>
        <v/>
      </c>
      <c r="D2140" t="str">
        <f>IFERROR(__xludf.DUMMYFUNCTION("""COMPUTED_VALUE"""),"")</f>
        <v/>
      </c>
      <c r="E2140" t="str">
        <f>IFERROR(__xludf.DUMMYFUNCTION("""COMPUTED_VALUE"""),"")</f>
        <v/>
      </c>
      <c r="F2140" t="str">
        <f>IFERROR(__xludf.DUMMYFUNCTION("""COMPUTED_VALUE"""),"")</f>
        <v/>
      </c>
      <c r="G2140" t="str">
        <f>IFERROR(__xludf.DUMMYFUNCTION("""COMPUTED_VALUE"""),"")</f>
        <v/>
      </c>
      <c r="H2140" s="2" t="str">
        <f>IFERROR(__xludf.DUMMYFUNCTION("""COMPUTED_VALUE"""),"")</f>
        <v/>
      </c>
      <c r="I2140" s="2" t="str">
        <f>IFERROR(__xludf.DUMMYFUNCTION("""COMPUTED_VALUE"""),"")</f>
        <v/>
      </c>
      <c r="J2140" s="2">
        <f>IFERROR(__xludf.DUMMYFUNCTION("""COMPUTED_VALUE"""),0.0)</f>
        <v>0</v>
      </c>
      <c r="K2140" s="5" t="str">
        <f>IFERROR(__xludf.DUMMYFUNCTION("""COMPUTED_VALUE"""),"")</f>
        <v/>
      </c>
      <c r="L2140" t="str">
        <f>IFERROR(__xludf.DUMMYFUNCTION("""COMPUTED_VALUE"""),"")</f>
        <v/>
      </c>
      <c r="M2140" t="str">
        <f>IFERROR(__xludf.DUMMYFUNCTION("""COMPUTED_VALUE"""),"")</f>
        <v/>
      </c>
      <c r="N2140" t="str">
        <f>IFERROR(__xludf.DUMMYFUNCTION("""COMPUTED_VALUE"""),"")</f>
        <v/>
      </c>
      <c r="O2140" t="str">
        <f>IFERROR(__xludf.DUMMYFUNCTION("""COMPUTED_VALUE"""),"")</f>
        <v/>
      </c>
      <c r="P2140" t="str">
        <f>IFERROR(__xludf.DUMMYFUNCTION("""COMPUTED_VALUE"""),"ID ")</f>
        <v>ID </v>
      </c>
    </row>
    <row r="2141">
      <c r="A2141" s="6" t="str">
        <f>IFERROR(__xludf.DUMMYFUNCTION("""COMPUTED_VALUE"""),"")</f>
        <v/>
      </c>
      <c r="C2141" t="str">
        <f>IFERROR(__xludf.DUMMYFUNCTION("""COMPUTED_VALUE"""),"")</f>
        <v/>
      </c>
      <c r="D2141" t="str">
        <f>IFERROR(__xludf.DUMMYFUNCTION("""COMPUTED_VALUE"""),"")</f>
        <v/>
      </c>
      <c r="E2141" t="str">
        <f>IFERROR(__xludf.DUMMYFUNCTION("""COMPUTED_VALUE"""),"")</f>
        <v/>
      </c>
      <c r="F2141" t="str">
        <f>IFERROR(__xludf.DUMMYFUNCTION("""COMPUTED_VALUE"""),"")</f>
        <v/>
      </c>
      <c r="G2141" t="str">
        <f>IFERROR(__xludf.DUMMYFUNCTION("""COMPUTED_VALUE"""),"")</f>
        <v/>
      </c>
      <c r="H2141" s="2" t="str">
        <f>IFERROR(__xludf.DUMMYFUNCTION("""COMPUTED_VALUE"""),"")</f>
        <v/>
      </c>
      <c r="I2141" s="2" t="str">
        <f>IFERROR(__xludf.DUMMYFUNCTION("""COMPUTED_VALUE"""),"")</f>
        <v/>
      </c>
      <c r="J2141" s="2">
        <f>IFERROR(__xludf.DUMMYFUNCTION("""COMPUTED_VALUE"""),0.0)</f>
        <v>0</v>
      </c>
      <c r="K2141" s="5" t="str">
        <f>IFERROR(__xludf.DUMMYFUNCTION("""COMPUTED_VALUE"""),"")</f>
        <v/>
      </c>
      <c r="L2141" t="str">
        <f>IFERROR(__xludf.DUMMYFUNCTION("""COMPUTED_VALUE"""),"")</f>
        <v/>
      </c>
      <c r="M2141" t="str">
        <f>IFERROR(__xludf.DUMMYFUNCTION("""COMPUTED_VALUE"""),"")</f>
        <v/>
      </c>
      <c r="N2141" t="str">
        <f>IFERROR(__xludf.DUMMYFUNCTION("""COMPUTED_VALUE"""),"")</f>
        <v/>
      </c>
      <c r="O2141" t="str">
        <f>IFERROR(__xludf.DUMMYFUNCTION("""COMPUTED_VALUE"""),"")</f>
        <v/>
      </c>
      <c r="P2141" t="str">
        <f>IFERROR(__xludf.DUMMYFUNCTION("""COMPUTED_VALUE"""),"ID ")</f>
        <v>ID </v>
      </c>
    </row>
    <row r="2142">
      <c r="A2142" s="6" t="str">
        <f>IFERROR(__xludf.DUMMYFUNCTION("""COMPUTED_VALUE"""),"")</f>
        <v/>
      </c>
      <c r="C2142" t="str">
        <f>IFERROR(__xludf.DUMMYFUNCTION("""COMPUTED_VALUE"""),"")</f>
        <v/>
      </c>
      <c r="D2142" t="str">
        <f>IFERROR(__xludf.DUMMYFUNCTION("""COMPUTED_VALUE"""),"")</f>
        <v/>
      </c>
      <c r="E2142" t="str">
        <f>IFERROR(__xludf.DUMMYFUNCTION("""COMPUTED_VALUE"""),"")</f>
        <v/>
      </c>
      <c r="F2142" t="str">
        <f>IFERROR(__xludf.DUMMYFUNCTION("""COMPUTED_VALUE"""),"")</f>
        <v/>
      </c>
      <c r="G2142" t="str">
        <f>IFERROR(__xludf.DUMMYFUNCTION("""COMPUTED_VALUE"""),"")</f>
        <v/>
      </c>
      <c r="H2142" s="2" t="str">
        <f>IFERROR(__xludf.DUMMYFUNCTION("""COMPUTED_VALUE"""),"")</f>
        <v/>
      </c>
      <c r="I2142" s="2" t="str">
        <f>IFERROR(__xludf.DUMMYFUNCTION("""COMPUTED_VALUE"""),"")</f>
        <v/>
      </c>
      <c r="J2142" s="2">
        <f>IFERROR(__xludf.DUMMYFUNCTION("""COMPUTED_VALUE"""),0.0)</f>
        <v>0</v>
      </c>
      <c r="K2142" s="5" t="str">
        <f>IFERROR(__xludf.DUMMYFUNCTION("""COMPUTED_VALUE"""),"")</f>
        <v/>
      </c>
      <c r="L2142" t="str">
        <f>IFERROR(__xludf.DUMMYFUNCTION("""COMPUTED_VALUE"""),"")</f>
        <v/>
      </c>
      <c r="M2142" t="str">
        <f>IFERROR(__xludf.DUMMYFUNCTION("""COMPUTED_VALUE"""),"")</f>
        <v/>
      </c>
      <c r="N2142" t="str">
        <f>IFERROR(__xludf.DUMMYFUNCTION("""COMPUTED_VALUE"""),"")</f>
        <v/>
      </c>
      <c r="O2142" t="str">
        <f>IFERROR(__xludf.DUMMYFUNCTION("""COMPUTED_VALUE"""),"")</f>
        <v/>
      </c>
      <c r="P2142" t="str">
        <f>IFERROR(__xludf.DUMMYFUNCTION("""COMPUTED_VALUE"""),"ID ")</f>
        <v>ID </v>
      </c>
    </row>
    <row r="2143">
      <c r="A2143" s="6" t="str">
        <f>IFERROR(__xludf.DUMMYFUNCTION("""COMPUTED_VALUE"""),"")</f>
        <v/>
      </c>
      <c r="C2143" t="str">
        <f>IFERROR(__xludf.DUMMYFUNCTION("""COMPUTED_VALUE"""),"")</f>
        <v/>
      </c>
      <c r="D2143" t="str">
        <f>IFERROR(__xludf.DUMMYFUNCTION("""COMPUTED_VALUE"""),"")</f>
        <v/>
      </c>
      <c r="E2143" t="str">
        <f>IFERROR(__xludf.DUMMYFUNCTION("""COMPUTED_VALUE"""),"")</f>
        <v/>
      </c>
      <c r="F2143" t="str">
        <f>IFERROR(__xludf.DUMMYFUNCTION("""COMPUTED_VALUE"""),"")</f>
        <v/>
      </c>
      <c r="G2143" t="str">
        <f>IFERROR(__xludf.DUMMYFUNCTION("""COMPUTED_VALUE"""),"")</f>
        <v/>
      </c>
      <c r="H2143" s="2" t="str">
        <f>IFERROR(__xludf.DUMMYFUNCTION("""COMPUTED_VALUE"""),"")</f>
        <v/>
      </c>
      <c r="I2143" s="2" t="str">
        <f>IFERROR(__xludf.DUMMYFUNCTION("""COMPUTED_VALUE"""),"")</f>
        <v/>
      </c>
      <c r="J2143" s="2">
        <f>IFERROR(__xludf.DUMMYFUNCTION("""COMPUTED_VALUE"""),0.0)</f>
        <v>0</v>
      </c>
      <c r="K2143" s="5" t="str">
        <f>IFERROR(__xludf.DUMMYFUNCTION("""COMPUTED_VALUE"""),"")</f>
        <v/>
      </c>
      <c r="L2143" t="str">
        <f>IFERROR(__xludf.DUMMYFUNCTION("""COMPUTED_VALUE"""),"")</f>
        <v/>
      </c>
      <c r="M2143" t="str">
        <f>IFERROR(__xludf.DUMMYFUNCTION("""COMPUTED_VALUE"""),"")</f>
        <v/>
      </c>
      <c r="N2143" t="str">
        <f>IFERROR(__xludf.DUMMYFUNCTION("""COMPUTED_VALUE"""),"")</f>
        <v/>
      </c>
      <c r="O2143" t="str">
        <f>IFERROR(__xludf.DUMMYFUNCTION("""COMPUTED_VALUE"""),"")</f>
        <v/>
      </c>
      <c r="P2143" t="str">
        <f>IFERROR(__xludf.DUMMYFUNCTION("""COMPUTED_VALUE"""),"ID ")</f>
        <v>ID </v>
      </c>
    </row>
    <row r="2144">
      <c r="A2144" s="6" t="str">
        <f>IFERROR(__xludf.DUMMYFUNCTION("""COMPUTED_VALUE"""),"")</f>
        <v/>
      </c>
      <c r="C2144" t="str">
        <f>IFERROR(__xludf.DUMMYFUNCTION("""COMPUTED_VALUE"""),"")</f>
        <v/>
      </c>
      <c r="D2144" t="str">
        <f>IFERROR(__xludf.DUMMYFUNCTION("""COMPUTED_VALUE"""),"")</f>
        <v/>
      </c>
      <c r="E2144" t="str">
        <f>IFERROR(__xludf.DUMMYFUNCTION("""COMPUTED_VALUE"""),"")</f>
        <v/>
      </c>
      <c r="F2144" t="str">
        <f>IFERROR(__xludf.DUMMYFUNCTION("""COMPUTED_VALUE"""),"")</f>
        <v/>
      </c>
      <c r="G2144" t="str">
        <f>IFERROR(__xludf.DUMMYFUNCTION("""COMPUTED_VALUE"""),"")</f>
        <v/>
      </c>
      <c r="H2144" s="2" t="str">
        <f>IFERROR(__xludf.DUMMYFUNCTION("""COMPUTED_VALUE"""),"")</f>
        <v/>
      </c>
      <c r="I2144" s="2" t="str">
        <f>IFERROR(__xludf.DUMMYFUNCTION("""COMPUTED_VALUE"""),"")</f>
        <v/>
      </c>
      <c r="J2144" s="2">
        <f>IFERROR(__xludf.DUMMYFUNCTION("""COMPUTED_VALUE"""),0.0)</f>
        <v>0</v>
      </c>
      <c r="K2144" s="5" t="str">
        <f>IFERROR(__xludf.DUMMYFUNCTION("""COMPUTED_VALUE"""),"")</f>
        <v/>
      </c>
      <c r="L2144" t="str">
        <f>IFERROR(__xludf.DUMMYFUNCTION("""COMPUTED_VALUE"""),"")</f>
        <v/>
      </c>
      <c r="M2144" t="str">
        <f>IFERROR(__xludf.DUMMYFUNCTION("""COMPUTED_VALUE"""),"")</f>
        <v/>
      </c>
      <c r="N2144" t="str">
        <f>IFERROR(__xludf.DUMMYFUNCTION("""COMPUTED_VALUE"""),"")</f>
        <v/>
      </c>
      <c r="O2144" t="str">
        <f>IFERROR(__xludf.DUMMYFUNCTION("""COMPUTED_VALUE"""),"")</f>
        <v/>
      </c>
      <c r="P2144" t="str">
        <f>IFERROR(__xludf.DUMMYFUNCTION("""COMPUTED_VALUE"""),"ID ")</f>
        <v>ID </v>
      </c>
    </row>
    <row r="2145">
      <c r="A2145" s="6" t="str">
        <f>IFERROR(__xludf.DUMMYFUNCTION("""COMPUTED_VALUE"""),"")</f>
        <v/>
      </c>
      <c r="C2145" t="str">
        <f>IFERROR(__xludf.DUMMYFUNCTION("""COMPUTED_VALUE"""),"")</f>
        <v/>
      </c>
      <c r="D2145" t="str">
        <f>IFERROR(__xludf.DUMMYFUNCTION("""COMPUTED_VALUE"""),"")</f>
        <v/>
      </c>
      <c r="E2145" t="str">
        <f>IFERROR(__xludf.DUMMYFUNCTION("""COMPUTED_VALUE"""),"")</f>
        <v/>
      </c>
      <c r="F2145" t="str">
        <f>IFERROR(__xludf.DUMMYFUNCTION("""COMPUTED_VALUE"""),"")</f>
        <v/>
      </c>
      <c r="G2145" t="str">
        <f>IFERROR(__xludf.DUMMYFUNCTION("""COMPUTED_VALUE"""),"")</f>
        <v/>
      </c>
      <c r="H2145" s="2" t="str">
        <f>IFERROR(__xludf.DUMMYFUNCTION("""COMPUTED_VALUE"""),"")</f>
        <v/>
      </c>
      <c r="I2145" s="2" t="str">
        <f>IFERROR(__xludf.DUMMYFUNCTION("""COMPUTED_VALUE"""),"")</f>
        <v/>
      </c>
      <c r="J2145" s="2">
        <f>IFERROR(__xludf.DUMMYFUNCTION("""COMPUTED_VALUE"""),0.0)</f>
        <v>0</v>
      </c>
      <c r="K2145" s="5" t="str">
        <f>IFERROR(__xludf.DUMMYFUNCTION("""COMPUTED_VALUE"""),"")</f>
        <v/>
      </c>
      <c r="L2145" t="str">
        <f>IFERROR(__xludf.DUMMYFUNCTION("""COMPUTED_VALUE"""),"")</f>
        <v/>
      </c>
      <c r="M2145" t="str">
        <f>IFERROR(__xludf.DUMMYFUNCTION("""COMPUTED_VALUE"""),"")</f>
        <v/>
      </c>
      <c r="N2145" t="str">
        <f>IFERROR(__xludf.DUMMYFUNCTION("""COMPUTED_VALUE"""),"")</f>
        <v/>
      </c>
      <c r="O2145" t="str">
        <f>IFERROR(__xludf.DUMMYFUNCTION("""COMPUTED_VALUE"""),"")</f>
        <v/>
      </c>
      <c r="P2145" t="str">
        <f>IFERROR(__xludf.DUMMYFUNCTION("""COMPUTED_VALUE"""),"ID ")</f>
        <v>ID </v>
      </c>
    </row>
    <row r="2146">
      <c r="A2146" s="6" t="str">
        <f>IFERROR(__xludf.DUMMYFUNCTION("""COMPUTED_VALUE"""),"")</f>
        <v/>
      </c>
      <c r="C2146" t="str">
        <f>IFERROR(__xludf.DUMMYFUNCTION("""COMPUTED_VALUE"""),"")</f>
        <v/>
      </c>
      <c r="D2146" t="str">
        <f>IFERROR(__xludf.DUMMYFUNCTION("""COMPUTED_VALUE"""),"")</f>
        <v/>
      </c>
      <c r="E2146" t="str">
        <f>IFERROR(__xludf.DUMMYFUNCTION("""COMPUTED_VALUE"""),"")</f>
        <v/>
      </c>
      <c r="F2146" t="str">
        <f>IFERROR(__xludf.DUMMYFUNCTION("""COMPUTED_VALUE"""),"")</f>
        <v/>
      </c>
      <c r="G2146" t="str">
        <f>IFERROR(__xludf.DUMMYFUNCTION("""COMPUTED_VALUE"""),"")</f>
        <v/>
      </c>
      <c r="H2146" s="2" t="str">
        <f>IFERROR(__xludf.DUMMYFUNCTION("""COMPUTED_VALUE"""),"")</f>
        <v/>
      </c>
      <c r="I2146" s="2" t="str">
        <f>IFERROR(__xludf.DUMMYFUNCTION("""COMPUTED_VALUE"""),"")</f>
        <v/>
      </c>
      <c r="J2146" s="2">
        <f>IFERROR(__xludf.DUMMYFUNCTION("""COMPUTED_VALUE"""),0.0)</f>
        <v>0</v>
      </c>
      <c r="K2146" s="5" t="str">
        <f>IFERROR(__xludf.DUMMYFUNCTION("""COMPUTED_VALUE"""),"")</f>
        <v/>
      </c>
      <c r="L2146" t="str">
        <f>IFERROR(__xludf.DUMMYFUNCTION("""COMPUTED_VALUE"""),"")</f>
        <v/>
      </c>
      <c r="M2146" t="str">
        <f>IFERROR(__xludf.DUMMYFUNCTION("""COMPUTED_VALUE"""),"")</f>
        <v/>
      </c>
      <c r="N2146" t="str">
        <f>IFERROR(__xludf.DUMMYFUNCTION("""COMPUTED_VALUE"""),"")</f>
        <v/>
      </c>
      <c r="O2146" t="str">
        <f>IFERROR(__xludf.DUMMYFUNCTION("""COMPUTED_VALUE"""),"")</f>
        <v/>
      </c>
      <c r="P2146" t="str">
        <f>IFERROR(__xludf.DUMMYFUNCTION("""COMPUTED_VALUE"""),"ID ")</f>
        <v>ID </v>
      </c>
    </row>
    <row r="2147">
      <c r="A2147" s="6" t="str">
        <f>IFERROR(__xludf.DUMMYFUNCTION("""COMPUTED_VALUE"""),"")</f>
        <v/>
      </c>
      <c r="C2147" t="str">
        <f>IFERROR(__xludf.DUMMYFUNCTION("""COMPUTED_VALUE"""),"")</f>
        <v/>
      </c>
      <c r="D2147" t="str">
        <f>IFERROR(__xludf.DUMMYFUNCTION("""COMPUTED_VALUE"""),"")</f>
        <v/>
      </c>
      <c r="E2147" t="str">
        <f>IFERROR(__xludf.DUMMYFUNCTION("""COMPUTED_VALUE"""),"")</f>
        <v/>
      </c>
      <c r="F2147" t="str">
        <f>IFERROR(__xludf.DUMMYFUNCTION("""COMPUTED_VALUE"""),"")</f>
        <v/>
      </c>
      <c r="G2147" t="str">
        <f>IFERROR(__xludf.DUMMYFUNCTION("""COMPUTED_VALUE"""),"")</f>
        <v/>
      </c>
      <c r="H2147" s="2" t="str">
        <f>IFERROR(__xludf.DUMMYFUNCTION("""COMPUTED_VALUE"""),"")</f>
        <v/>
      </c>
      <c r="I2147" s="2" t="str">
        <f>IFERROR(__xludf.DUMMYFUNCTION("""COMPUTED_VALUE"""),"")</f>
        <v/>
      </c>
      <c r="J2147" s="2">
        <f>IFERROR(__xludf.DUMMYFUNCTION("""COMPUTED_VALUE"""),0.0)</f>
        <v>0</v>
      </c>
      <c r="K2147" s="5" t="str">
        <f>IFERROR(__xludf.DUMMYFUNCTION("""COMPUTED_VALUE"""),"")</f>
        <v/>
      </c>
      <c r="L2147" t="str">
        <f>IFERROR(__xludf.DUMMYFUNCTION("""COMPUTED_VALUE"""),"")</f>
        <v/>
      </c>
      <c r="M2147" t="str">
        <f>IFERROR(__xludf.DUMMYFUNCTION("""COMPUTED_VALUE"""),"")</f>
        <v/>
      </c>
      <c r="N2147" t="str">
        <f>IFERROR(__xludf.DUMMYFUNCTION("""COMPUTED_VALUE"""),"")</f>
        <v/>
      </c>
      <c r="O2147" t="str">
        <f>IFERROR(__xludf.DUMMYFUNCTION("""COMPUTED_VALUE"""),"")</f>
        <v/>
      </c>
      <c r="P2147" t="str">
        <f>IFERROR(__xludf.DUMMYFUNCTION("""COMPUTED_VALUE"""),"ID ")</f>
        <v>ID </v>
      </c>
    </row>
    <row r="2148">
      <c r="A2148" s="6" t="str">
        <f>IFERROR(__xludf.DUMMYFUNCTION("""COMPUTED_VALUE"""),"")</f>
        <v/>
      </c>
      <c r="C2148" t="str">
        <f>IFERROR(__xludf.DUMMYFUNCTION("""COMPUTED_VALUE"""),"")</f>
        <v/>
      </c>
      <c r="D2148" t="str">
        <f>IFERROR(__xludf.DUMMYFUNCTION("""COMPUTED_VALUE"""),"")</f>
        <v/>
      </c>
      <c r="E2148" t="str">
        <f>IFERROR(__xludf.DUMMYFUNCTION("""COMPUTED_VALUE"""),"")</f>
        <v/>
      </c>
      <c r="F2148" t="str">
        <f>IFERROR(__xludf.DUMMYFUNCTION("""COMPUTED_VALUE"""),"")</f>
        <v/>
      </c>
      <c r="G2148" t="str">
        <f>IFERROR(__xludf.DUMMYFUNCTION("""COMPUTED_VALUE"""),"")</f>
        <v/>
      </c>
      <c r="H2148" s="2" t="str">
        <f>IFERROR(__xludf.DUMMYFUNCTION("""COMPUTED_VALUE"""),"")</f>
        <v/>
      </c>
      <c r="I2148" s="2" t="str">
        <f>IFERROR(__xludf.DUMMYFUNCTION("""COMPUTED_VALUE"""),"")</f>
        <v/>
      </c>
      <c r="J2148" s="2">
        <f>IFERROR(__xludf.DUMMYFUNCTION("""COMPUTED_VALUE"""),0.0)</f>
        <v>0</v>
      </c>
      <c r="K2148" s="5" t="str">
        <f>IFERROR(__xludf.DUMMYFUNCTION("""COMPUTED_VALUE"""),"")</f>
        <v/>
      </c>
      <c r="L2148" t="str">
        <f>IFERROR(__xludf.DUMMYFUNCTION("""COMPUTED_VALUE"""),"")</f>
        <v/>
      </c>
      <c r="M2148" t="str">
        <f>IFERROR(__xludf.DUMMYFUNCTION("""COMPUTED_VALUE"""),"")</f>
        <v/>
      </c>
      <c r="N2148" t="str">
        <f>IFERROR(__xludf.DUMMYFUNCTION("""COMPUTED_VALUE"""),"")</f>
        <v/>
      </c>
      <c r="O2148" t="str">
        <f>IFERROR(__xludf.DUMMYFUNCTION("""COMPUTED_VALUE"""),"")</f>
        <v/>
      </c>
      <c r="P2148" t="str">
        <f>IFERROR(__xludf.DUMMYFUNCTION("""COMPUTED_VALUE"""),"ID ")</f>
        <v>ID </v>
      </c>
    </row>
    <row r="2149">
      <c r="A2149" s="6" t="str">
        <f>IFERROR(__xludf.DUMMYFUNCTION("""COMPUTED_VALUE"""),"")</f>
        <v/>
      </c>
      <c r="C2149" t="str">
        <f>IFERROR(__xludf.DUMMYFUNCTION("""COMPUTED_VALUE"""),"")</f>
        <v/>
      </c>
      <c r="D2149" t="str">
        <f>IFERROR(__xludf.DUMMYFUNCTION("""COMPUTED_VALUE"""),"")</f>
        <v/>
      </c>
      <c r="E2149" t="str">
        <f>IFERROR(__xludf.DUMMYFUNCTION("""COMPUTED_VALUE"""),"")</f>
        <v/>
      </c>
      <c r="F2149" t="str">
        <f>IFERROR(__xludf.DUMMYFUNCTION("""COMPUTED_VALUE"""),"")</f>
        <v/>
      </c>
      <c r="G2149" t="str">
        <f>IFERROR(__xludf.DUMMYFUNCTION("""COMPUTED_VALUE"""),"")</f>
        <v/>
      </c>
      <c r="H2149" s="2" t="str">
        <f>IFERROR(__xludf.DUMMYFUNCTION("""COMPUTED_VALUE"""),"")</f>
        <v/>
      </c>
      <c r="I2149" s="2" t="str">
        <f>IFERROR(__xludf.DUMMYFUNCTION("""COMPUTED_VALUE"""),"")</f>
        <v/>
      </c>
      <c r="J2149" s="2">
        <f>IFERROR(__xludf.DUMMYFUNCTION("""COMPUTED_VALUE"""),0.0)</f>
        <v>0</v>
      </c>
      <c r="K2149" s="5" t="str">
        <f>IFERROR(__xludf.DUMMYFUNCTION("""COMPUTED_VALUE"""),"")</f>
        <v/>
      </c>
      <c r="L2149" t="str">
        <f>IFERROR(__xludf.DUMMYFUNCTION("""COMPUTED_VALUE"""),"")</f>
        <v/>
      </c>
      <c r="M2149" t="str">
        <f>IFERROR(__xludf.DUMMYFUNCTION("""COMPUTED_VALUE"""),"")</f>
        <v/>
      </c>
      <c r="N2149" t="str">
        <f>IFERROR(__xludf.DUMMYFUNCTION("""COMPUTED_VALUE"""),"")</f>
        <v/>
      </c>
      <c r="O2149" t="str">
        <f>IFERROR(__xludf.DUMMYFUNCTION("""COMPUTED_VALUE"""),"")</f>
        <v/>
      </c>
      <c r="P2149" t="str">
        <f>IFERROR(__xludf.DUMMYFUNCTION("""COMPUTED_VALUE"""),"ID ")</f>
        <v>ID </v>
      </c>
    </row>
    <row r="2150">
      <c r="A2150" s="6" t="str">
        <f>IFERROR(__xludf.DUMMYFUNCTION("""COMPUTED_VALUE"""),"")</f>
        <v/>
      </c>
      <c r="C2150" t="str">
        <f>IFERROR(__xludf.DUMMYFUNCTION("""COMPUTED_VALUE"""),"")</f>
        <v/>
      </c>
      <c r="D2150" t="str">
        <f>IFERROR(__xludf.DUMMYFUNCTION("""COMPUTED_VALUE"""),"")</f>
        <v/>
      </c>
      <c r="E2150" t="str">
        <f>IFERROR(__xludf.DUMMYFUNCTION("""COMPUTED_VALUE"""),"")</f>
        <v/>
      </c>
      <c r="F2150" t="str">
        <f>IFERROR(__xludf.DUMMYFUNCTION("""COMPUTED_VALUE"""),"")</f>
        <v/>
      </c>
      <c r="G2150" t="str">
        <f>IFERROR(__xludf.DUMMYFUNCTION("""COMPUTED_VALUE"""),"")</f>
        <v/>
      </c>
      <c r="H2150" s="2" t="str">
        <f>IFERROR(__xludf.DUMMYFUNCTION("""COMPUTED_VALUE"""),"")</f>
        <v/>
      </c>
      <c r="I2150" s="2" t="str">
        <f>IFERROR(__xludf.DUMMYFUNCTION("""COMPUTED_VALUE"""),"")</f>
        <v/>
      </c>
      <c r="J2150" s="2">
        <f>IFERROR(__xludf.DUMMYFUNCTION("""COMPUTED_VALUE"""),0.0)</f>
        <v>0</v>
      </c>
      <c r="K2150" s="5" t="str">
        <f>IFERROR(__xludf.DUMMYFUNCTION("""COMPUTED_VALUE"""),"")</f>
        <v/>
      </c>
      <c r="L2150" t="str">
        <f>IFERROR(__xludf.DUMMYFUNCTION("""COMPUTED_VALUE"""),"")</f>
        <v/>
      </c>
      <c r="M2150" t="str">
        <f>IFERROR(__xludf.DUMMYFUNCTION("""COMPUTED_VALUE"""),"")</f>
        <v/>
      </c>
      <c r="N2150" t="str">
        <f>IFERROR(__xludf.DUMMYFUNCTION("""COMPUTED_VALUE"""),"")</f>
        <v/>
      </c>
      <c r="O2150" t="str">
        <f>IFERROR(__xludf.DUMMYFUNCTION("""COMPUTED_VALUE"""),"")</f>
        <v/>
      </c>
      <c r="P2150" t="str">
        <f>IFERROR(__xludf.DUMMYFUNCTION("""COMPUTED_VALUE"""),"ID ")</f>
        <v>ID </v>
      </c>
    </row>
    <row r="2151">
      <c r="A2151" s="6" t="str">
        <f>IFERROR(__xludf.DUMMYFUNCTION("""COMPUTED_VALUE"""),"")</f>
        <v/>
      </c>
      <c r="C2151" t="str">
        <f>IFERROR(__xludf.DUMMYFUNCTION("""COMPUTED_VALUE"""),"")</f>
        <v/>
      </c>
      <c r="D2151" t="str">
        <f>IFERROR(__xludf.DUMMYFUNCTION("""COMPUTED_VALUE"""),"")</f>
        <v/>
      </c>
      <c r="E2151" t="str">
        <f>IFERROR(__xludf.DUMMYFUNCTION("""COMPUTED_VALUE"""),"")</f>
        <v/>
      </c>
      <c r="F2151" t="str">
        <f>IFERROR(__xludf.DUMMYFUNCTION("""COMPUTED_VALUE"""),"")</f>
        <v/>
      </c>
      <c r="G2151" t="str">
        <f>IFERROR(__xludf.DUMMYFUNCTION("""COMPUTED_VALUE"""),"")</f>
        <v/>
      </c>
      <c r="H2151" s="2" t="str">
        <f>IFERROR(__xludf.DUMMYFUNCTION("""COMPUTED_VALUE"""),"")</f>
        <v/>
      </c>
      <c r="I2151" s="2" t="str">
        <f>IFERROR(__xludf.DUMMYFUNCTION("""COMPUTED_VALUE"""),"")</f>
        <v/>
      </c>
      <c r="J2151" s="2">
        <f>IFERROR(__xludf.DUMMYFUNCTION("""COMPUTED_VALUE"""),0.0)</f>
        <v>0</v>
      </c>
      <c r="K2151" s="5" t="str">
        <f>IFERROR(__xludf.DUMMYFUNCTION("""COMPUTED_VALUE"""),"")</f>
        <v/>
      </c>
      <c r="L2151" t="str">
        <f>IFERROR(__xludf.DUMMYFUNCTION("""COMPUTED_VALUE"""),"")</f>
        <v/>
      </c>
      <c r="M2151" t="str">
        <f>IFERROR(__xludf.DUMMYFUNCTION("""COMPUTED_VALUE"""),"")</f>
        <v/>
      </c>
      <c r="N2151" t="str">
        <f>IFERROR(__xludf.DUMMYFUNCTION("""COMPUTED_VALUE"""),"")</f>
        <v/>
      </c>
      <c r="O2151" t="str">
        <f>IFERROR(__xludf.DUMMYFUNCTION("""COMPUTED_VALUE"""),"")</f>
        <v/>
      </c>
      <c r="P2151" t="str">
        <f>IFERROR(__xludf.DUMMYFUNCTION("""COMPUTED_VALUE"""),"ID ")</f>
        <v>ID </v>
      </c>
    </row>
    <row r="2152">
      <c r="A2152" s="6" t="str">
        <f>IFERROR(__xludf.DUMMYFUNCTION("""COMPUTED_VALUE"""),"")</f>
        <v/>
      </c>
      <c r="C2152" t="str">
        <f>IFERROR(__xludf.DUMMYFUNCTION("""COMPUTED_VALUE"""),"")</f>
        <v/>
      </c>
      <c r="D2152" t="str">
        <f>IFERROR(__xludf.DUMMYFUNCTION("""COMPUTED_VALUE"""),"")</f>
        <v/>
      </c>
      <c r="E2152" t="str">
        <f>IFERROR(__xludf.DUMMYFUNCTION("""COMPUTED_VALUE"""),"")</f>
        <v/>
      </c>
      <c r="F2152" t="str">
        <f>IFERROR(__xludf.DUMMYFUNCTION("""COMPUTED_VALUE"""),"")</f>
        <v/>
      </c>
      <c r="G2152" t="str">
        <f>IFERROR(__xludf.DUMMYFUNCTION("""COMPUTED_VALUE"""),"")</f>
        <v/>
      </c>
      <c r="H2152" s="2" t="str">
        <f>IFERROR(__xludf.DUMMYFUNCTION("""COMPUTED_VALUE"""),"")</f>
        <v/>
      </c>
      <c r="I2152" s="2" t="str">
        <f>IFERROR(__xludf.DUMMYFUNCTION("""COMPUTED_VALUE"""),"")</f>
        <v/>
      </c>
      <c r="J2152" s="2">
        <f>IFERROR(__xludf.DUMMYFUNCTION("""COMPUTED_VALUE"""),0.0)</f>
        <v>0</v>
      </c>
      <c r="K2152" s="5" t="str">
        <f>IFERROR(__xludf.DUMMYFUNCTION("""COMPUTED_VALUE"""),"")</f>
        <v/>
      </c>
      <c r="L2152" t="str">
        <f>IFERROR(__xludf.DUMMYFUNCTION("""COMPUTED_VALUE"""),"")</f>
        <v/>
      </c>
      <c r="M2152" t="str">
        <f>IFERROR(__xludf.DUMMYFUNCTION("""COMPUTED_VALUE"""),"")</f>
        <v/>
      </c>
      <c r="N2152" t="str">
        <f>IFERROR(__xludf.DUMMYFUNCTION("""COMPUTED_VALUE"""),"")</f>
        <v/>
      </c>
      <c r="O2152" t="str">
        <f>IFERROR(__xludf.DUMMYFUNCTION("""COMPUTED_VALUE"""),"")</f>
        <v/>
      </c>
      <c r="P2152" t="str">
        <f>IFERROR(__xludf.DUMMYFUNCTION("""COMPUTED_VALUE"""),"ID ")</f>
        <v>ID </v>
      </c>
    </row>
    <row r="2153">
      <c r="A2153" s="6" t="str">
        <f>IFERROR(__xludf.DUMMYFUNCTION("""COMPUTED_VALUE"""),"")</f>
        <v/>
      </c>
      <c r="C2153" t="str">
        <f>IFERROR(__xludf.DUMMYFUNCTION("""COMPUTED_VALUE"""),"")</f>
        <v/>
      </c>
      <c r="D2153" t="str">
        <f>IFERROR(__xludf.DUMMYFUNCTION("""COMPUTED_VALUE"""),"")</f>
        <v/>
      </c>
      <c r="E2153" t="str">
        <f>IFERROR(__xludf.DUMMYFUNCTION("""COMPUTED_VALUE"""),"")</f>
        <v/>
      </c>
      <c r="F2153" t="str">
        <f>IFERROR(__xludf.DUMMYFUNCTION("""COMPUTED_VALUE"""),"")</f>
        <v/>
      </c>
      <c r="G2153" t="str">
        <f>IFERROR(__xludf.DUMMYFUNCTION("""COMPUTED_VALUE"""),"")</f>
        <v/>
      </c>
      <c r="H2153" s="2" t="str">
        <f>IFERROR(__xludf.DUMMYFUNCTION("""COMPUTED_VALUE"""),"")</f>
        <v/>
      </c>
      <c r="I2153" s="2" t="str">
        <f>IFERROR(__xludf.DUMMYFUNCTION("""COMPUTED_VALUE"""),"")</f>
        <v/>
      </c>
      <c r="J2153" s="2">
        <f>IFERROR(__xludf.DUMMYFUNCTION("""COMPUTED_VALUE"""),0.0)</f>
        <v>0</v>
      </c>
      <c r="K2153" s="5" t="str">
        <f>IFERROR(__xludf.DUMMYFUNCTION("""COMPUTED_VALUE"""),"")</f>
        <v/>
      </c>
      <c r="L2153" t="str">
        <f>IFERROR(__xludf.DUMMYFUNCTION("""COMPUTED_VALUE"""),"")</f>
        <v/>
      </c>
      <c r="M2153" t="str">
        <f>IFERROR(__xludf.DUMMYFUNCTION("""COMPUTED_VALUE"""),"")</f>
        <v/>
      </c>
      <c r="N2153" t="str">
        <f>IFERROR(__xludf.DUMMYFUNCTION("""COMPUTED_VALUE"""),"")</f>
        <v/>
      </c>
      <c r="O2153" t="str">
        <f>IFERROR(__xludf.DUMMYFUNCTION("""COMPUTED_VALUE"""),"")</f>
        <v/>
      </c>
      <c r="P2153" t="str">
        <f>IFERROR(__xludf.DUMMYFUNCTION("""COMPUTED_VALUE"""),"ID ")</f>
        <v>ID </v>
      </c>
    </row>
    <row r="2154">
      <c r="A2154" s="6" t="str">
        <f>IFERROR(__xludf.DUMMYFUNCTION("""COMPUTED_VALUE"""),"")</f>
        <v/>
      </c>
      <c r="C2154" t="str">
        <f>IFERROR(__xludf.DUMMYFUNCTION("""COMPUTED_VALUE"""),"")</f>
        <v/>
      </c>
      <c r="D2154" t="str">
        <f>IFERROR(__xludf.DUMMYFUNCTION("""COMPUTED_VALUE"""),"")</f>
        <v/>
      </c>
      <c r="E2154" t="str">
        <f>IFERROR(__xludf.DUMMYFUNCTION("""COMPUTED_VALUE"""),"")</f>
        <v/>
      </c>
      <c r="F2154" t="str">
        <f>IFERROR(__xludf.DUMMYFUNCTION("""COMPUTED_VALUE"""),"")</f>
        <v/>
      </c>
      <c r="G2154" t="str">
        <f>IFERROR(__xludf.DUMMYFUNCTION("""COMPUTED_VALUE"""),"")</f>
        <v/>
      </c>
      <c r="H2154" s="2" t="str">
        <f>IFERROR(__xludf.DUMMYFUNCTION("""COMPUTED_VALUE"""),"")</f>
        <v/>
      </c>
      <c r="I2154" s="2" t="str">
        <f>IFERROR(__xludf.DUMMYFUNCTION("""COMPUTED_VALUE"""),"")</f>
        <v/>
      </c>
      <c r="J2154" s="2">
        <f>IFERROR(__xludf.DUMMYFUNCTION("""COMPUTED_VALUE"""),0.0)</f>
        <v>0</v>
      </c>
      <c r="K2154" s="5" t="str">
        <f>IFERROR(__xludf.DUMMYFUNCTION("""COMPUTED_VALUE"""),"")</f>
        <v/>
      </c>
      <c r="L2154" t="str">
        <f>IFERROR(__xludf.DUMMYFUNCTION("""COMPUTED_VALUE"""),"")</f>
        <v/>
      </c>
      <c r="M2154" t="str">
        <f>IFERROR(__xludf.DUMMYFUNCTION("""COMPUTED_VALUE"""),"")</f>
        <v/>
      </c>
      <c r="N2154" t="str">
        <f>IFERROR(__xludf.DUMMYFUNCTION("""COMPUTED_VALUE"""),"")</f>
        <v/>
      </c>
      <c r="O2154" t="str">
        <f>IFERROR(__xludf.DUMMYFUNCTION("""COMPUTED_VALUE"""),"")</f>
        <v/>
      </c>
      <c r="P2154" t="str">
        <f>IFERROR(__xludf.DUMMYFUNCTION("""COMPUTED_VALUE"""),"ID ")</f>
        <v>ID </v>
      </c>
    </row>
    <row r="2155">
      <c r="A2155" s="6" t="str">
        <f>IFERROR(__xludf.DUMMYFUNCTION("""COMPUTED_VALUE"""),"")</f>
        <v/>
      </c>
      <c r="C2155" t="str">
        <f>IFERROR(__xludf.DUMMYFUNCTION("""COMPUTED_VALUE"""),"")</f>
        <v/>
      </c>
      <c r="D2155" t="str">
        <f>IFERROR(__xludf.DUMMYFUNCTION("""COMPUTED_VALUE"""),"")</f>
        <v/>
      </c>
      <c r="E2155" t="str">
        <f>IFERROR(__xludf.DUMMYFUNCTION("""COMPUTED_VALUE"""),"")</f>
        <v/>
      </c>
      <c r="F2155" t="str">
        <f>IFERROR(__xludf.DUMMYFUNCTION("""COMPUTED_VALUE"""),"")</f>
        <v/>
      </c>
      <c r="G2155" t="str">
        <f>IFERROR(__xludf.DUMMYFUNCTION("""COMPUTED_VALUE"""),"")</f>
        <v/>
      </c>
      <c r="H2155" s="2" t="str">
        <f>IFERROR(__xludf.DUMMYFUNCTION("""COMPUTED_VALUE"""),"")</f>
        <v/>
      </c>
      <c r="I2155" s="2" t="str">
        <f>IFERROR(__xludf.DUMMYFUNCTION("""COMPUTED_VALUE"""),"")</f>
        <v/>
      </c>
      <c r="J2155" s="2">
        <f>IFERROR(__xludf.DUMMYFUNCTION("""COMPUTED_VALUE"""),0.0)</f>
        <v>0</v>
      </c>
      <c r="K2155" s="5" t="str">
        <f>IFERROR(__xludf.DUMMYFUNCTION("""COMPUTED_VALUE"""),"")</f>
        <v/>
      </c>
      <c r="L2155" t="str">
        <f>IFERROR(__xludf.DUMMYFUNCTION("""COMPUTED_VALUE"""),"")</f>
        <v/>
      </c>
      <c r="M2155" t="str">
        <f>IFERROR(__xludf.DUMMYFUNCTION("""COMPUTED_VALUE"""),"")</f>
        <v/>
      </c>
      <c r="N2155" t="str">
        <f>IFERROR(__xludf.DUMMYFUNCTION("""COMPUTED_VALUE"""),"")</f>
        <v/>
      </c>
      <c r="O2155" t="str">
        <f>IFERROR(__xludf.DUMMYFUNCTION("""COMPUTED_VALUE"""),"")</f>
        <v/>
      </c>
      <c r="P2155" t="str">
        <f>IFERROR(__xludf.DUMMYFUNCTION("""COMPUTED_VALUE"""),"ID ")</f>
        <v>ID </v>
      </c>
    </row>
    <row r="2156">
      <c r="A2156" s="6" t="str">
        <f>IFERROR(__xludf.DUMMYFUNCTION("""COMPUTED_VALUE"""),"")</f>
        <v/>
      </c>
      <c r="C2156" t="str">
        <f>IFERROR(__xludf.DUMMYFUNCTION("""COMPUTED_VALUE"""),"")</f>
        <v/>
      </c>
      <c r="D2156" t="str">
        <f>IFERROR(__xludf.DUMMYFUNCTION("""COMPUTED_VALUE"""),"")</f>
        <v/>
      </c>
      <c r="E2156" t="str">
        <f>IFERROR(__xludf.DUMMYFUNCTION("""COMPUTED_VALUE"""),"")</f>
        <v/>
      </c>
      <c r="F2156" t="str">
        <f>IFERROR(__xludf.DUMMYFUNCTION("""COMPUTED_VALUE"""),"")</f>
        <v/>
      </c>
      <c r="G2156" t="str">
        <f>IFERROR(__xludf.DUMMYFUNCTION("""COMPUTED_VALUE"""),"")</f>
        <v/>
      </c>
      <c r="H2156" s="2" t="str">
        <f>IFERROR(__xludf.DUMMYFUNCTION("""COMPUTED_VALUE"""),"")</f>
        <v/>
      </c>
      <c r="I2156" s="2" t="str">
        <f>IFERROR(__xludf.DUMMYFUNCTION("""COMPUTED_VALUE"""),"")</f>
        <v/>
      </c>
      <c r="J2156" s="2">
        <f>IFERROR(__xludf.DUMMYFUNCTION("""COMPUTED_VALUE"""),0.0)</f>
        <v>0</v>
      </c>
      <c r="K2156" s="5" t="str">
        <f>IFERROR(__xludf.DUMMYFUNCTION("""COMPUTED_VALUE"""),"")</f>
        <v/>
      </c>
      <c r="L2156" t="str">
        <f>IFERROR(__xludf.DUMMYFUNCTION("""COMPUTED_VALUE"""),"")</f>
        <v/>
      </c>
      <c r="M2156" t="str">
        <f>IFERROR(__xludf.DUMMYFUNCTION("""COMPUTED_VALUE"""),"")</f>
        <v/>
      </c>
      <c r="N2156" t="str">
        <f>IFERROR(__xludf.DUMMYFUNCTION("""COMPUTED_VALUE"""),"")</f>
        <v/>
      </c>
      <c r="O2156" t="str">
        <f>IFERROR(__xludf.DUMMYFUNCTION("""COMPUTED_VALUE"""),"")</f>
        <v/>
      </c>
      <c r="P2156" t="str">
        <f>IFERROR(__xludf.DUMMYFUNCTION("""COMPUTED_VALUE"""),"ID ")</f>
        <v>ID </v>
      </c>
    </row>
    <row r="2157">
      <c r="A2157" s="6" t="str">
        <f>IFERROR(__xludf.DUMMYFUNCTION("""COMPUTED_VALUE"""),"")</f>
        <v/>
      </c>
      <c r="C2157" t="str">
        <f>IFERROR(__xludf.DUMMYFUNCTION("""COMPUTED_VALUE"""),"")</f>
        <v/>
      </c>
      <c r="D2157" t="str">
        <f>IFERROR(__xludf.DUMMYFUNCTION("""COMPUTED_VALUE"""),"")</f>
        <v/>
      </c>
      <c r="E2157" t="str">
        <f>IFERROR(__xludf.DUMMYFUNCTION("""COMPUTED_VALUE"""),"")</f>
        <v/>
      </c>
      <c r="F2157" t="str">
        <f>IFERROR(__xludf.DUMMYFUNCTION("""COMPUTED_VALUE"""),"")</f>
        <v/>
      </c>
      <c r="G2157" t="str">
        <f>IFERROR(__xludf.DUMMYFUNCTION("""COMPUTED_VALUE"""),"")</f>
        <v/>
      </c>
      <c r="H2157" s="2" t="str">
        <f>IFERROR(__xludf.DUMMYFUNCTION("""COMPUTED_VALUE"""),"")</f>
        <v/>
      </c>
      <c r="I2157" s="2" t="str">
        <f>IFERROR(__xludf.DUMMYFUNCTION("""COMPUTED_VALUE"""),"")</f>
        <v/>
      </c>
      <c r="J2157" s="2">
        <f>IFERROR(__xludf.DUMMYFUNCTION("""COMPUTED_VALUE"""),0.0)</f>
        <v>0</v>
      </c>
      <c r="K2157" s="5" t="str">
        <f>IFERROR(__xludf.DUMMYFUNCTION("""COMPUTED_VALUE"""),"")</f>
        <v/>
      </c>
      <c r="L2157" t="str">
        <f>IFERROR(__xludf.DUMMYFUNCTION("""COMPUTED_VALUE"""),"")</f>
        <v/>
      </c>
      <c r="M2157" t="str">
        <f>IFERROR(__xludf.DUMMYFUNCTION("""COMPUTED_VALUE"""),"")</f>
        <v/>
      </c>
      <c r="N2157" t="str">
        <f>IFERROR(__xludf.DUMMYFUNCTION("""COMPUTED_VALUE"""),"")</f>
        <v/>
      </c>
      <c r="O2157" t="str">
        <f>IFERROR(__xludf.DUMMYFUNCTION("""COMPUTED_VALUE"""),"")</f>
        <v/>
      </c>
      <c r="P2157" t="str">
        <f>IFERROR(__xludf.DUMMYFUNCTION("""COMPUTED_VALUE"""),"ID ")</f>
        <v>ID </v>
      </c>
    </row>
    <row r="2158">
      <c r="A2158" s="6" t="str">
        <f>IFERROR(__xludf.DUMMYFUNCTION("""COMPUTED_VALUE"""),"")</f>
        <v/>
      </c>
      <c r="C2158" t="str">
        <f>IFERROR(__xludf.DUMMYFUNCTION("""COMPUTED_VALUE"""),"")</f>
        <v/>
      </c>
      <c r="D2158" t="str">
        <f>IFERROR(__xludf.DUMMYFUNCTION("""COMPUTED_VALUE"""),"")</f>
        <v/>
      </c>
      <c r="E2158" t="str">
        <f>IFERROR(__xludf.DUMMYFUNCTION("""COMPUTED_VALUE"""),"")</f>
        <v/>
      </c>
      <c r="F2158" t="str">
        <f>IFERROR(__xludf.DUMMYFUNCTION("""COMPUTED_VALUE"""),"")</f>
        <v/>
      </c>
      <c r="G2158" t="str">
        <f>IFERROR(__xludf.DUMMYFUNCTION("""COMPUTED_VALUE"""),"")</f>
        <v/>
      </c>
      <c r="H2158" s="2" t="str">
        <f>IFERROR(__xludf.DUMMYFUNCTION("""COMPUTED_VALUE"""),"")</f>
        <v/>
      </c>
      <c r="I2158" s="2" t="str">
        <f>IFERROR(__xludf.DUMMYFUNCTION("""COMPUTED_VALUE"""),"")</f>
        <v/>
      </c>
      <c r="J2158" s="2">
        <f>IFERROR(__xludf.DUMMYFUNCTION("""COMPUTED_VALUE"""),0.0)</f>
        <v>0</v>
      </c>
      <c r="K2158" s="5" t="str">
        <f>IFERROR(__xludf.DUMMYFUNCTION("""COMPUTED_VALUE"""),"")</f>
        <v/>
      </c>
      <c r="L2158" t="str">
        <f>IFERROR(__xludf.DUMMYFUNCTION("""COMPUTED_VALUE"""),"")</f>
        <v/>
      </c>
      <c r="M2158" t="str">
        <f>IFERROR(__xludf.DUMMYFUNCTION("""COMPUTED_VALUE"""),"")</f>
        <v/>
      </c>
      <c r="N2158" t="str">
        <f>IFERROR(__xludf.DUMMYFUNCTION("""COMPUTED_VALUE"""),"")</f>
        <v/>
      </c>
      <c r="O2158" t="str">
        <f>IFERROR(__xludf.DUMMYFUNCTION("""COMPUTED_VALUE"""),"")</f>
        <v/>
      </c>
      <c r="P2158" t="str">
        <f>IFERROR(__xludf.DUMMYFUNCTION("""COMPUTED_VALUE"""),"ID ")</f>
        <v>ID </v>
      </c>
    </row>
    <row r="2159">
      <c r="A2159" s="6" t="str">
        <f>IFERROR(__xludf.DUMMYFUNCTION("""COMPUTED_VALUE"""),"")</f>
        <v/>
      </c>
      <c r="C2159" t="str">
        <f>IFERROR(__xludf.DUMMYFUNCTION("""COMPUTED_VALUE"""),"")</f>
        <v/>
      </c>
      <c r="D2159" t="str">
        <f>IFERROR(__xludf.DUMMYFUNCTION("""COMPUTED_VALUE"""),"")</f>
        <v/>
      </c>
      <c r="E2159" t="str">
        <f>IFERROR(__xludf.DUMMYFUNCTION("""COMPUTED_VALUE"""),"")</f>
        <v/>
      </c>
      <c r="F2159" t="str">
        <f>IFERROR(__xludf.DUMMYFUNCTION("""COMPUTED_VALUE"""),"")</f>
        <v/>
      </c>
      <c r="G2159" t="str">
        <f>IFERROR(__xludf.DUMMYFUNCTION("""COMPUTED_VALUE"""),"")</f>
        <v/>
      </c>
      <c r="H2159" s="2" t="str">
        <f>IFERROR(__xludf.DUMMYFUNCTION("""COMPUTED_VALUE"""),"")</f>
        <v/>
      </c>
      <c r="I2159" s="2" t="str">
        <f>IFERROR(__xludf.DUMMYFUNCTION("""COMPUTED_VALUE"""),"")</f>
        <v/>
      </c>
      <c r="J2159" s="2">
        <f>IFERROR(__xludf.DUMMYFUNCTION("""COMPUTED_VALUE"""),0.0)</f>
        <v>0</v>
      </c>
      <c r="K2159" s="5" t="str">
        <f>IFERROR(__xludf.DUMMYFUNCTION("""COMPUTED_VALUE"""),"")</f>
        <v/>
      </c>
      <c r="L2159" t="str">
        <f>IFERROR(__xludf.DUMMYFUNCTION("""COMPUTED_VALUE"""),"")</f>
        <v/>
      </c>
      <c r="M2159" t="str">
        <f>IFERROR(__xludf.DUMMYFUNCTION("""COMPUTED_VALUE"""),"")</f>
        <v/>
      </c>
      <c r="N2159" t="str">
        <f>IFERROR(__xludf.DUMMYFUNCTION("""COMPUTED_VALUE"""),"")</f>
        <v/>
      </c>
      <c r="O2159" t="str">
        <f>IFERROR(__xludf.DUMMYFUNCTION("""COMPUTED_VALUE"""),"")</f>
        <v/>
      </c>
      <c r="P2159" t="str">
        <f>IFERROR(__xludf.DUMMYFUNCTION("""COMPUTED_VALUE"""),"ID ")</f>
        <v>ID </v>
      </c>
    </row>
    <row r="2160">
      <c r="A2160" s="6" t="str">
        <f>IFERROR(__xludf.DUMMYFUNCTION("""COMPUTED_VALUE"""),"")</f>
        <v/>
      </c>
      <c r="C2160" t="str">
        <f>IFERROR(__xludf.DUMMYFUNCTION("""COMPUTED_VALUE"""),"")</f>
        <v/>
      </c>
      <c r="D2160" t="str">
        <f>IFERROR(__xludf.DUMMYFUNCTION("""COMPUTED_VALUE"""),"")</f>
        <v/>
      </c>
      <c r="E2160" t="str">
        <f>IFERROR(__xludf.DUMMYFUNCTION("""COMPUTED_VALUE"""),"")</f>
        <v/>
      </c>
      <c r="F2160" t="str">
        <f>IFERROR(__xludf.DUMMYFUNCTION("""COMPUTED_VALUE"""),"")</f>
        <v/>
      </c>
      <c r="G2160" t="str">
        <f>IFERROR(__xludf.DUMMYFUNCTION("""COMPUTED_VALUE"""),"")</f>
        <v/>
      </c>
      <c r="H2160" s="2" t="str">
        <f>IFERROR(__xludf.DUMMYFUNCTION("""COMPUTED_VALUE"""),"")</f>
        <v/>
      </c>
      <c r="I2160" s="2" t="str">
        <f>IFERROR(__xludf.DUMMYFUNCTION("""COMPUTED_VALUE"""),"")</f>
        <v/>
      </c>
      <c r="J2160" s="2">
        <f>IFERROR(__xludf.DUMMYFUNCTION("""COMPUTED_VALUE"""),0.0)</f>
        <v>0</v>
      </c>
      <c r="K2160" s="5" t="str">
        <f>IFERROR(__xludf.DUMMYFUNCTION("""COMPUTED_VALUE"""),"")</f>
        <v/>
      </c>
      <c r="L2160" t="str">
        <f>IFERROR(__xludf.DUMMYFUNCTION("""COMPUTED_VALUE"""),"")</f>
        <v/>
      </c>
      <c r="M2160" t="str">
        <f>IFERROR(__xludf.DUMMYFUNCTION("""COMPUTED_VALUE"""),"")</f>
        <v/>
      </c>
      <c r="N2160" t="str">
        <f>IFERROR(__xludf.DUMMYFUNCTION("""COMPUTED_VALUE"""),"")</f>
        <v/>
      </c>
      <c r="O2160" t="str">
        <f>IFERROR(__xludf.DUMMYFUNCTION("""COMPUTED_VALUE"""),"")</f>
        <v/>
      </c>
      <c r="P2160" t="str">
        <f>IFERROR(__xludf.DUMMYFUNCTION("""COMPUTED_VALUE"""),"ID ")</f>
        <v>ID </v>
      </c>
    </row>
    <row r="2161">
      <c r="A2161" s="6" t="str">
        <f>IFERROR(__xludf.DUMMYFUNCTION("""COMPUTED_VALUE"""),"")</f>
        <v/>
      </c>
      <c r="C2161" t="str">
        <f>IFERROR(__xludf.DUMMYFUNCTION("""COMPUTED_VALUE"""),"")</f>
        <v/>
      </c>
      <c r="D2161" t="str">
        <f>IFERROR(__xludf.DUMMYFUNCTION("""COMPUTED_VALUE"""),"")</f>
        <v/>
      </c>
      <c r="E2161" t="str">
        <f>IFERROR(__xludf.DUMMYFUNCTION("""COMPUTED_VALUE"""),"")</f>
        <v/>
      </c>
      <c r="F2161" t="str">
        <f>IFERROR(__xludf.DUMMYFUNCTION("""COMPUTED_VALUE"""),"")</f>
        <v/>
      </c>
      <c r="G2161" t="str">
        <f>IFERROR(__xludf.DUMMYFUNCTION("""COMPUTED_VALUE"""),"")</f>
        <v/>
      </c>
      <c r="H2161" s="2" t="str">
        <f>IFERROR(__xludf.DUMMYFUNCTION("""COMPUTED_VALUE"""),"")</f>
        <v/>
      </c>
      <c r="I2161" s="2" t="str">
        <f>IFERROR(__xludf.DUMMYFUNCTION("""COMPUTED_VALUE"""),"")</f>
        <v/>
      </c>
      <c r="J2161" s="2">
        <f>IFERROR(__xludf.DUMMYFUNCTION("""COMPUTED_VALUE"""),0.0)</f>
        <v>0</v>
      </c>
      <c r="K2161" s="5" t="str">
        <f>IFERROR(__xludf.DUMMYFUNCTION("""COMPUTED_VALUE"""),"")</f>
        <v/>
      </c>
      <c r="L2161" t="str">
        <f>IFERROR(__xludf.DUMMYFUNCTION("""COMPUTED_VALUE"""),"")</f>
        <v/>
      </c>
      <c r="M2161" t="str">
        <f>IFERROR(__xludf.DUMMYFUNCTION("""COMPUTED_VALUE"""),"")</f>
        <v/>
      </c>
      <c r="N2161" t="str">
        <f>IFERROR(__xludf.DUMMYFUNCTION("""COMPUTED_VALUE"""),"")</f>
        <v/>
      </c>
      <c r="O2161" t="str">
        <f>IFERROR(__xludf.DUMMYFUNCTION("""COMPUTED_VALUE"""),"")</f>
        <v/>
      </c>
      <c r="P2161" t="str">
        <f>IFERROR(__xludf.DUMMYFUNCTION("""COMPUTED_VALUE"""),"ID ")</f>
        <v>ID </v>
      </c>
    </row>
    <row r="2162">
      <c r="A2162" s="6" t="str">
        <f>IFERROR(__xludf.DUMMYFUNCTION("""COMPUTED_VALUE"""),"")</f>
        <v/>
      </c>
      <c r="C2162" t="str">
        <f>IFERROR(__xludf.DUMMYFUNCTION("""COMPUTED_VALUE"""),"")</f>
        <v/>
      </c>
      <c r="D2162" t="str">
        <f>IFERROR(__xludf.DUMMYFUNCTION("""COMPUTED_VALUE"""),"")</f>
        <v/>
      </c>
      <c r="E2162" t="str">
        <f>IFERROR(__xludf.DUMMYFUNCTION("""COMPUTED_VALUE"""),"")</f>
        <v/>
      </c>
      <c r="F2162" t="str">
        <f>IFERROR(__xludf.DUMMYFUNCTION("""COMPUTED_VALUE"""),"")</f>
        <v/>
      </c>
      <c r="G2162" t="str">
        <f>IFERROR(__xludf.DUMMYFUNCTION("""COMPUTED_VALUE"""),"")</f>
        <v/>
      </c>
      <c r="H2162" s="2" t="str">
        <f>IFERROR(__xludf.DUMMYFUNCTION("""COMPUTED_VALUE"""),"")</f>
        <v/>
      </c>
      <c r="I2162" s="2" t="str">
        <f>IFERROR(__xludf.DUMMYFUNCTION("""COMPUTED_VALUE"""),"")</f>
        <v/>
      </c>
      <c r="J2162" s="2">
        <f>IFERROR(__xludf.DUMMYFUNCTION("""COMPUTED_VALUE"""),0.0)</f>
        <v>0</v>
      </c>
      <c r="K2162" s="5" t="str">
        <f>IFERROR(__xludf.DUMMYFUNCTION("""COMPUTED_VALUE"""),"")</f>
        <v/>
      </c>
      <c r="L2162" t="str">
        <f>IFERROR(__xludf.DUMMYFUNCTION("""COMPUTED_VALUE"""),"")</f>
        <v/>
      </c>
      <c r="M2162" t="str">
        <f>IFERROR(__xludf.DUMMYFUNCTION("""COMPUTED_VALUE"""),"")</f>
        <v/>
      </c>
      <c r="N2162" t="str">
        <f>IFERROR(__xludf.DUMMYFUNCTION("""COMPUTED_VALUE"""),"")</f>
        <v/>
      </c>
      <c r="O2162" t="str">
        <f>IFERROR(__xludf.DUMMYFUNCTION("""COMPUTED_VALUE"""),"")</f>
        <v/>
      </c>
      <c r="P2162" t="str">
        <f>IFERROR(__xludf.DUMMYFUNCTION("""COMPUTED_VALUE"""),"ID ")</f>
        <v>ID </v>
      </c>
    </row>
    <row r="2163">
      <c r="A2163" s="6" t="str">
        <f>IFERROR(__xludf.DUMMYFUNCTION("""COMPUTED_VALUE"""),"")</f>
        <v/>
      </c>
      <c r="C2163" t="str">
        <f>IFERROR(__xludf.DUMMYFUNCTION("""COMPUTED_VALUE"""),"")</f>
        <v/>
      </c>
      <c r="D2163" t="str">
        <f>IFERROR(__xludf.DUMMYFUNCTION("""COMPUTED_VALUE"""),"")</f>
        <v/>
      </c>
      <c r="E2163" t="str">
        <f>IFERROR(__xludf.DUMMYFUNCTION("""COMPUTED_VALUE"""),"")</f>
        <v/>
      </c>
      <c r="F2163" t="str">
        <f>IFERROR(__xludf.DUMMYFUNCTION("""COMPUTED_VALUE"""),"")</f>
        <v/>
      </c>
      <c r="G2163" t="str">
        <f>IFERROR(__xludf.DUMMYFUNCTION("""COMPUTED_VALUE"""),"")</f>
        <v/>
      </c>
      <c r="H2163" s="2" t="str">
        <f>IFERROR(__xludf.DUMMYFUNCTION("""COMPUTED_VALUE"""),"")</f>
        <v/>
      </c>
      <c r="I2163" s="2" t="str">
        <f>IFERROR(__xludf.DUMMYFUNCTION("""COMPUTED_VALUE"""),"")</f>
        <v/>
      </c>
      <c r="J2163" s="2">
        <f>IFERROR(__xludf.DUMMYFUNCTION("""COMPUTED_VALUE"""),0.0)</f>
        <v>0</v>
      </c>
      <c r="K2163" s="5" t="str">
        <f>IFERROR(__xludf.DUMMYFUNCTION("""COMPUTED_VALUE"""),"")</f>
        <v/>
      </c>
      <c r="L2163" t="str">
        <f>IFERROR(__xludf.DUMMYFUNCTION("""COMPUTED_VALUE"""),"")</f>
        <v/>
      </c>
      <c r="M2163" t="str">
        <f>IFERROR(__xludf.DUMMYFUNCTION("""COMPUTED_VALUE"""),"")</f>
        <v/>
      </c>
      <c r="N2163" t="str">
        <f>IFERROR(__xludf.DUMMYFUNCTION("""COMPUTED_VALUE"""),"")</f>
        <v/>
      </c>
      <c r="O2163" t="str">
        <f>IFERROR(__xludf.DUMMYFUNCTION("""COMPUTED_VALUE"""),"")</f>
        <v/>
      </c>
      <c r="P2163" t="str">
        <f>IFERROR(__xludf.DUMMYFUNCTION("""COMPUTED_VALUE"""),"ID ")</f>
        <v>ID </v>
      </c>
    </row>
    <row r="2164">
      <c r="A2164" s="6" t="str">
        <f>IFERROR(__xludf.DUMMYFUNCTION("""COMPUTED_VALUE"""),"")</f>
        <v/>
      </c>
      <c r="C2164" t="str">
        <f>IFERROR(__xludf.DUMMYFUNCTION("""COMPUTED_VALUE"""),"")</f>
        <v/>
      </c>
      <c r="D2164" t="str">
        <f>IFERROR(__xludf.DUMMYFUNCTION("""COMPUTED_VALUE"""),"")</f>
        <v/>
      </c>
      <c r="E2164" t="str">
        <f>IFERROR(__xludf.DUMMYFUNCTION("""COMPUTED_VALUE"""),"")</f>
        <v/>
      </c>
      <c r="F2164" t="str">
        <f>IFERROR(__xludf.DUMMYFUNCTION("""COMPUTED_VALUE"""),"")</f>
        <v/>
      </c>
      <c r="G2164" t="str">
        <f>IFERROR(__xludf.DUMMYFUNCTION("""COMPUTED_VALUE"""),"")</f>
        <v/>
      </c>
      <c r="H2164" s="2" t="str">
        <f>IFERROR(__xludf.DUMMYFUNCTION("""COMPUTED_VALUE"""),"")</f>
        <v/>
      </c>
      <c r="I2164" s="2" t="str">
        <f>IFERROR(__xludf.DUMMYFUNCTION("""COMPUTED_VALUE"""),"")</f>
        <v/>
      </c>
      <c r="J2164" s="2">
        <f>IFERROR(__xludf.DUMMYFUNCTION("""COMPUTED_VALUE"""),0.0)</f>
        <v>0</v>
      </c>
      <c r="K2164" s="5" t="str">
        <f>IFERROR(__xludf.DUMMYFUNCTION("""COMPUTED_VALUE"""),"")</f>
        <v/>
      </c>
      <c r="L2164" t="str">
        <f>IFERROR(__xludf.DUMMYFUNCTION("""COMPUTED_VALUE"""),"")</f>
        <v/>
      </c>
      <c r="M2164" t="str">
        <f>IFERROR(__xludf.DUMMYFUNCTION("""COMPUTED_VALUE"""),"")</f>
        <v/>
      </c>
      <c r="N2164" t="str">
        <f>IFERROR(__xludf.DUMMYFUNCTION("""COMPUTED_VALUE"""),"")</f>
        <v/>
      </c>
      <c r="O2164" t="str">
        <f>IFERROR(__xludf.DUMMYFUNCTION("""COMPUTED_VALUE"""),"")</f>
        <v/>
      </c>
      <c r="P2164" t="str">
        <f>IFERROR(__xludf.DUMMYFUNCTION("""COMPUTED_VALUE"""),"ID ")</f>
        <v>ID </v>
      </c>
    </row>
    <row r="2165">
      <c r="A2165" s="6" t="str">
        <f>IFERROR(__xludf.DUMMYFUNCTION("""COMPUTED_VALUE"""),"")</f>
        <v/>
      </c>
      <c r="C2165" t="str">
        <f>IFERROR(__xludf.DUMMYFUNCTION("""COMPUTED_VALUE"""),"")</f>
        <v/>
      </c>
      <c r="D2165" t="str">
        <f>IFERROR(__xludf.DUMMYFUNCTION("""COMPUTED_VALUE"""),"")</f>
        <v/>
      </c>
      <c r="E2165" t="str">
        <f>IFERROR(__xludf.DUMMYFUNCTION("""COMPUTED_VALUE"""),"")</f>
        <v/>
      </c>
      <c r="F2165" t="str">
        <f>IFERROR(__xludf.DUMMYFUNCTION("""COMPUTED_VALUE"""),"")</f>
        <v/>
      </c>
      <c r="G2165" t="str">
        <f>IFERROR(__xludf.DUMMYFUNCTION("""COMPUTED_VALUE"""),"")</f>
        <v/>
      </c>
      <c r="H2165" s="2" t="str">
        <f>IFERROR(__xludf.DUMMYFUNCTION("""COMPUTED_VALUE"""),"")</f>
        <v/>
      </c>
      <c r="I2165" s="2" t="str">
        <f>IFERROR(__xludf.DUMMYFUNCTION("""COMPUTED_VALUE"""),"")</f>
        <v/>
      </c>
      <c r="J2165" s="2">
        <f>IFERROR(__xludf.DUMMYFUNCTION("""COMPUTED_VALUE"""),0.0)</f>
        <v>0</v>
      </c>
      <c r="K2165" s="5" t="str">
        <f>IFERROR(__xludf.DUMMYFUNCTION("""COMPUTED_VALUE"""),"")</f>
        <v/>
      </c>
      <c r="L2165" t="str">
        <f>IFERROR(__xludf.DUMMYFUNCTION("""COMPUTED_VALUE"""),"")</f>
        <v/>
      </c>
      <c r="M2165" t="str">
        <f>IFERROR(__xludf.DUMMYFUNCTION("""COMPUTED_VALUE"""),"")</f>
        <v/>
      </c>
      <c r="N2165" t="str">
        <f>IFERROR(__xludf.DUMMYFUNCTION("""COMPUTED_VALUE"""),"")</f>
        <v/>
      </c>
      <c r="O2165" t="str">
        <f>IFERROR(__xludf.DUMMYFUNCTION("""COMPUTED_VALUE"""),"")</f>
        <v/>
      </c>
      <c r="P2165" t="str">
        <f>IFERROR(__xludf.DUMMYFUNCTION("""COMPUTED_VALUE"""),"ID ")</f>
        <v>ID </v>
      </c>
    </row>
    <row r="2166">
      <c r="A2166" s="6" t="str">
        <f>IFERROR(__xludf.DUMMYFUNCTION("""COMPUTED_VALUE"""),"")</f>
        <v/>
      </c>
      <c r="C2166" t="str">
        <f>IFERROR(__xludf.DUMMYFUNCTION("""COMPUTED_VALUE"""),"")</f>
        <v/>
      </c>
      <c r="D2166" t="str">
        <f>IFERROR(__xludf.DUMMYFUNCTION("""COMPUTED_VALUE"""),"")</f>
        <v/>
      </c>
      <c r="E2166" t="str">
        <f>IFERROR(__xludf.DUMMYFUNCTION("""COMPUTED_VALUE"""),"")</f>
        <v/>
      </c>
      <c r="F2166" t="str">
        <f>IFERROR(__xludf.DUMMYFUNCTION("""COMPUTED_VALUE"""),"")</f>
        <v/>
      </c>
      <c r="G2166" t="str">
        <f>IFERROR(__xludf.DUMMYFUNCTION("""COMPUTED_VALUE"""),"")</f>
        <v/>
      </c>
      <c r="H2166" s="2" t="str">
        <f>IFERROR(__xludf.DUMMYFUNCTION("""COMPUTED_VALUE"""),"")</f>
        <v/>
      </c>
      <c r="I2166" s="2" t="str">
        <f>IFERROR(__xludf.DUMMYFUNCTION("""COMPUTED_VALUE"""),"")</f>
        <v/>
      </c>
      <c r="J2166" s="2">
        <f>IFERROR(__xludf.DUMMYFUNCTION("""COMPUTED_VALUE"""),0.0)</f>
        <v>0</v>
      </c>
      <c r="K2166" s="5" t="str">
        <f>IFERROR(__xludf.DUMMYFUNCTION("""COMPUTED_VALUE"""),"")</f>
        <v/>
      </c>
      <c r="L2166" t="str">
        <f>IFERROR(__xludf.DUMMYFUNCTION("""COMPUTED_VALUE"""),"")</f>
        <v/>
      </c>
      <c r="M2166" t="str">
        <f>IFERROR(__xludf.DUMMYFUNCTION("""COMPUTED_VALUE"""),"")</f>
        <v/>
      </c>
      <c r="N2166" t="str">
        <f>IFERROR(__xludf.DUMMYFUNCTION("""COMPUTED_VALUE"""),"")</f>
        <v/>
      </c>
      <c r="O2166" t="str">
        <f>IFERROR(__xludf.DUMMYFUNCTION("""COMPUTED_VALUE"""),"")</f>
        <v/>
      </c>
      <c r="P2166" t="str">
        <f>IFERROR(__xludf.DUMMYFUNCTION("""COMPUTED_VALUE"""),"ID ")</f>
        <v>ID </v>
      </c>
    </row>
    <row r="2167">
      <c r="A2167" s="6" t="str">
        <f>IFERROR(__xludf.DUMMYFUNCTION("""COMPUTED_VALUE"""),"")</f>
        <v/>
      </c>
      <c r="C2167" t="str">
        <f>IFERROR(__xludf.DUMMYFUNCTION("""COMPUTED_VALUE"""),"")</f>
        <v/>
      </c>
      <c r="D2167" t="str">
        <f>IFERROR(__xludf.DUMMYFUNCTION("""COMPUTED_VALUE"""),"")</f>
        <v/>
      </c>
      <c r="E2167" t="str">
        <f>IFERROR(__xludf.DUMMYFUNCTION("""COMPUTED_VALUE"""),"")</f>
        <v/>
      </c>
      <c r="F2167" t="str">
        <f>IFERROR(__xludf.DUMMYFUNCTION("""COMPUTED_VALUE"""),"")</f>
        <v/>
      </c>
      <c r="G2167" t="str">
        <f>IFERROR(__xludf.DUMMYFUNCTION("""COMPUTED_VALUE"""),"")</f>
        <v/>
      </c>
      <c r="H2167" s="2" t="str">
        <f>IFERROR(__xludf.DUMMYFUNCTION("""COMPUTED_VALUE"""),"")</f>
        <v/>
      </c>
      <c r="I2167" s="2" t="str">
        <f>IFERROR(__xludf.DUMMYFUNCTION("""COMPUTED_VALUE"""),"")</f>
        <v/>
      </c>
      <c r="J2167" s="2">
        <f>IFERROR(__xludf.DUMMYFUNCTION("""COMPUTED_VALUE"""),0.0)</f>
        <v>0</v>
      </c>
      <c r="K2167" s="5" t="str">
        <f>IFERROR(__xludf.DUMMYFUNCTION("""COMPUTED_VALUE"""),"")</f>
        <v/>
      </c>
      <c r="L2167" t="str">
        <f>IFERROR(__xludf.DUMMYFUNCTION("""COMPUTED_VALUE"""),"")</f>
        <v/>
      </c>
      <c r="M2167" t="str">
        <f>IFERROR(__xludf.DUMMYFUNCTION("""COMPUTED_VALUE"""),"")</f>
        <v/>
      </c>
      <c r="N2167" t="str">
        <f>IFERROR(__xludf.DUMMYFUNCTION("""COMPUTED_VALUE"""),"")</f>
        <v/>
      </c>
      <c r="O2167" t="str">
        <f>IFERROR(__xludf.DUMMYFUNCTION("""COMPUTED_VALUE"""),"")</f>
        <v/>
      </c>
      <c r="P2167" t="str">
        <f>IFERROR(__xludf.DUMMYFUNCTION("""COMPUTED_VALUE"""),"ID ")</f>
        <v>ID </v>
      </c>
    </row>
    <row r="2168">
      <c r="A2168" s="6" t="str">
        <f>IFERROR(__xludf.DUMMYFUNCTION("""COMPUTED_VALUE"""),"")</f>
        <v/>
      </c>
      <c r="C2168" t="str">
        <f>IFERROR(__xludf.DUMMYFUNCTION("""COMPUTED_VALUE"""),"")</f>
        <v/>
      </c>
      <c r="D2168" t="str">
        <f>IFERROR(__xludf.DUMMYFUNCTION("""COMPUTED_VALUE"""),"")</f>
        <v/>
      </c>
      <c r="E2168" t="str">
        <f>IFERROR(__xludf.DUMMYFUNCTION("""COMPUTED_VALUE"""),"")</f>
        <v/>
      </c>
      <c r="F2168" t="str">
        <f>IFERROR(__xludf.DUMMYFUNCTION("""COMPUTED_VALUE"""),"")</f>
        <v/>
      </c>
      <c r="G2168" t="str">
        <f>IFERROR(__xludf.DUMMYFUNCTION("""COMPUTED_VALUE"""),"")</f>
        <v/>
      </c>
      <c r="H2168" s="2" t="str">
        <f>IFERROR(__xludf.DUMMYFUNCTION("""COMPUTED_VALUE"""),"")</f>
        <v/>
      </c>
      <c r="I2168" s="2" t="str">
        <f>IFERROR(__xludf.DUMMYFUNCTION("""COMPUTED_VALUE"""),"")</f>
        <v/>
      </c>
      <c r="J2168" s="2">
        <f>IFERROR(__xludf.DUMMYFUNCTION("""COMPUTED_VALUE"""),0.0)</f>
        <v>0</v>
      </c>
      <c r="K2168" s="5" t="str">
        <f>IFERROR(__xludf.DUMMYFUNCTION("""COMPUTED_VALUE"""),"")</f>
        <v/>
      </c>
      <c r="L2168" t="str">
        <f>IFERROR(__xludf.DUMMYFUNCTION("""COMPUTED_VALUE"""),"")</f>
        <v/>
      </c>
      <c r="M2168" t="str">
        <f>IFERROR(__xludf.DUMMYFUNCTION("""COMPUTED_VALUE"""),"")</f>
        <v/>
      </c>
      <c r="N2168" t="str">
        <f>IFERROR(__xludf.DUMMYFUNCTION("""COMPUTED_VALUE"""),"")</f>
        <v/>
      </c>
      <c r="O2168" t="str">
        <f>IFERROR(__xludf.DUMMYFUNCTION("""COMPUTED_VALUE"""),"")</f>
        <v/>
      </c>
      <c r="P2168" t="str">
        <f>IFERROR(__xludf.DUMMYFUNCTION("""COMPUTED_VALUE"""),"ID ")</f>
        <v>ID </v>
      </c>
    </row>
    <row r="2169">
      <c r="A2169" s="6" t="str">
        <f>IFERROR(__xludf.DUMMYFUNCTION("""COMPUTED_VALUE"""),"")</f>
        <v/>
      </c>
      <c r="C2169" t="str">
        <f>IFERROR(__xludf.DUMMYFUNCTION("""COMPUTED_VALUE"""),"")</f>
        <v/>
      </c>
      <c r="D2169" t="str">
        <f>IFERROR(__xludf.DUMMYFUNCTION("""COMPUTED_VALUE"""),"")</f>
        <v/>
      </c>
      <c r="E2169" t="str">
        <f>IFERROR(__xludf.DUMMYFUNCTION("""COMPUTED_VALUE"""),"")</f>
        <v/>
      </c>
      <c r="F2169" t="str">
        <f>IFERROR(__xludf.DUMMYFUNCTION("""COMPUTED_VALUE"""),"")</f>
        <v/>
      </c>
      <c r="G2169" t="str">
        <f>IFERROR(__xludf.DUMMYFUNCTION("""COMPUTED_VALUE"""),"")</f>
        <v/>
      </c>
      <c r="H2169" s="2" t="str">
        <f>IFERROR(__xludf.DUMMYFUNCTION("""COMPUTED_VALUE"""),"")</f>
        <v/>
      </c>
      <c r="I2169" s="2" t="str">
        <f>IFERROR(__xludf.DUMMYFUNCTION("""COMPUTED_VALUE"""),"")</f>
        <v/>
      </c>
      <c r="J2169" s="2">
        <f>IFERROR(__xludf.DUMMYFUNCTION("""COMPUTED_VALUE"""),0.0)</f>
        <v>0</v>
      </c>
      <c r="K2169" s="5" t="str">
        <f>IFERROR(__xludf.DUMMYFUNCTION("""COMPUTED_VALUE"""),"")</f>
        <v/>
      </c>
      <c r="L2169" t="str">
        <f>IFERROR(__xludf.DUMMYFUNCTION("""COMPUTED_VALUE"""),"")</f>
        <v/>
      </c>
      <c r="M2169" t="str">
        <f>IFERROR(__xludf.DUMMYFUNCTION("""COMPUTED_VALUE"""),"")</f>
        <v/>
      </c>
      <c r="N2169" t="str">
        <f>IFERROR(__xludf.DUMMYFUNCTION("""COMPUTED_VALUE"""),"")</f>
        <v/>
      </c>
      <c r="O2169" t="str">
        <f>IFERROR(__xludf.DUMMYFUNCTION("""COMPUTED_VALUE"""),"")</f>
        <v/>
      </c>
      <c r="P2169" t="str">
        <f>IFERROR(__xludf.DUMMYFUNCTION("""COMPUTED_VALUE"""),"ID ")</f>
        <v>ID </v>
      </c>
    </row>
    <row r="2170">
      <c r="A2170" s="6" t="str">
        <f>IFERROR(__xludf.DUMMYFUNCTION("""COMPUTED_VALUE"""),"")</f>
        <v/>
      </c>
      <c r="C2170" t="str">
        <f>IFERROR(__xludf.DUMMYFUNCTION("""COMPUTED_VALUE"""),"")</f>
        <v/>
      </c>
      <c r="D2170" t="str">
        <f>IFERROR(__xludf.DUMMYFUNCTION("""COMPUTED_VALUE"""),"")</f>
        <v/>
      </c>
      <c r="E2170" t="str">
        <f>IFERROR(__xludf.DUMMYFUNCTION("""COMPUTED_VALUE"""),"")</f>
        <v/>
      </c>
      <c r="F2170" t="str">
        <f>IFERROR(__xludf.DUMMYFUNCTION("""COMPUTED_VALUE"""),"")</f>
        <v/>
      </c>
      <c r="G2170" t="str">
        <f>IFERROR(__xludf.DUMMYFUNCTION("""COMPUTED_VALUE"""),"")</f>
        <v/>
      </c>
      <c r="H2170" s="2" t="str">
        <f>IFERROR(__xludf.DUMMYFUNCTION("""COMPUTED_VALUE"""),"")</f>
        <v/>
      </c>
      <c r="I2170" s="2" t="str">
        <f>IFERROR(__xludf.DUMMYFUNCTION("""COMPUTED_VALUE"""),"")</f>
        <v/>
      </c>
      <c r="J2170" s="2">
        <f>IFERROR(__xludf.DUMMYFUNCTION("""COMPUTED_VALUE"""),0.0)</f>
        <v>0</v>
      </c>
      <c r="K2170" s="5" t="str">
        <f>IFERROR(__xludf.DUMMYFUNCTION("""COMPUTED_VALUE"""),"")</f>
        <v/>
      </c>
      <c r="L2170" t="str">
        <f>IFERROR(__xludf.DUMMYFUNCTION("""COMPUTED_VALUE"""),"")</f>
        <v/>
      </c>
      <c r="M2170" t="str">
        <f>IFERROR(__xludf.DUMMYFUNCTION("""COMPUTED_VALUE"""),"")</f>
        <v/>
      </c>
      <c r="N2170" t="str">
        <f>IFERROR(__xludf.DUMMYFUNCTION("""COMPUTED_VALUE"""),"")</f>
        <v/>
      </c>
      <c r="O2170" t="str">
        <f>IFERROR(__xludf.DUMMYFUNCTION("""COMPUTED_VALUE"""),"")</f>
        <v/>
      </c>
      <c r="P2170" t="str">
        <f>IFERROR(__xludf.DUMMYFUNCTION("""COMPUTED_VALUE"""),"ID ")</f>
        <v>ID </v>
      </c>
    </row>
    <row r="2171">
      <c r="A2171" s="6" t="str">
        <f>IFERROR(__xludf.DUMMYFUNCTION("""COMPUTED_VALUE"""),"")</f>
        <v/>
      </c>
      <c r="C2171" t="str">
        <f>IFERROR(__xludf.DUMMYFUNCTION("""COMPUTED_VALUE"""),"")</f>
        <v/>
      </c>
      <c r="D2171" t="str">
        <f>IFERROR(__xludf.DUMMYFUNCTION("""COMPUTED_VALUE"""),"")</f>
        <v/>
      </c>
      <c r="E2171" t="str">
        <f>IFERROR(__xludf.DUMMYFUNCTION("""COMPUTED_VALUE"""),"")</f>
        <v/>
      </c>
      <c r="F2171" t="str">
        <f>IFERROR(__xludf.DUMMYFUNCTION("""COMPUTED_VALUE"""),"")</f>
        <v/>
      </c>
      <c r="G2171" t="str">
        <f>IFERROR(__xludf.DUMMYFUNCTION("""COMPUTED_VALUE"""),"")</f>
        <v/>
      </c>
      <c r="H2171" s="2" t="str">
        <f>IFERROR(__xludf.DUMMYFUNCTION("""COMPUTED_VALUE"""),"")</f>
        <v/>
      </c>
      <c r="I2171" s="2" t="str">
        <f>IFERROR(__xludf.DUMMYFUNCTION("""COMPUTED_VALUE"""),"")</f>
        <v/>
      </c>
      <c r="J2171" s="2">
        <f>IFERROR(__xludf.DUMMYFUNCTION("""COMPUTED_VALUE"""),0.0)</f>
        <v>0</v>
      </c>
      <c r="K2171" s="5" t="str">
        <f>IFERROR(__xludf.DUMMYFUNCTION("""COMPUTED_VALUE"""),"")</f>
        <v/>
      </c>
      <c r="L2171" t="str">
        <f>IFERROR(__xludf.DUMMYFUNCTION("""COMPUTED_VALUE"""),"")</f>
        <v/>
      </c>
      <c r="M2171" t="str">
        <f>IFERROR(__xludf.DUMMYFUNCTION("""COMPUTED_VALUE"""),"")</f>
        <v/>
      </c>
      <c r="N2171" t="str">
        <f>IFERROR(__xludf.DUMMYFUNCTION("""COMPUTED_VALUE"""),"")</f>
        <v/>
      </c>
      <c r="O2171" t="str">
        <f>IFERROR(__xludf.DUMMYFUNCTION("""COMPUTED_VALUE"""),"")</f>
        <v/>
      </c>
      <c r="P2171" t="str">
        <f>IFERROR(__xludf.DUMMYFUNCTION("""COMPUTED_VALUE"""),"ID ")</f>
        <v>ID </v>
      </c>
    </row>
    <row r="2172">
      <c r="A2172" s="6" t="str">
        <f>IFERROR(__xludf.DUMMYFUNCTION("""COMPUTED_VALUE"""),"")</f>
        <v/>
      </c>
      <c r="C2172" t="str">
        <f>IFERROR(__xludf.DUMMYFUNCTION("""COMPUTED_VALUE"""),"")</f>
        <v/>
      </c>
      <c r="D2172" t="str">
        <f>IFERROR(__xludf.DUMMYFUNCTION("""COMPUTED_VALUE"""),"")</f>
        <v/>
      </c>
      <c r="E2172" t="str">
        <f>IFERROR(__xludf.DUMMYFUNCTION("""COMPUTED_VALUE"""),"")</f>
        <v/>
      </c>
      <c r="F2172" t="str">
        <f>IFERROR(__xludf.DUMMYFUNCTION("""COMPUTED_VALUE"""),"")</f>
        <v/>
      </c>
      <c r="G2172" t="str">
        <f>IFERROR(__xludf.DUMMYFUNCTION("""COMPUTED_VALUE"""),"")</f>
        <v/>
      </c>
      <c r="H2172" s="2" t="str">
        <f>IFERROR(__xludf.DUMMYFUNCTION("""COMPUTED_VALUE"""),"")</f>
        <v/>
      </c>
      <c r="I2172" s="2" t="str">
        <f>IFERROR(__xludf.DUMMYFUNCTION("""COMPUTED_VALUE"""),"")</f>
        <v/>
      </c>
      <c r="J2172" s="2">
        <f>IFERROR(__xludf.DUMMYFUNCTION("""COMPUTED_VALUE"""),0.0)</f>
        <v>0</v>
      </c>
      <c r="K2172" s="5" t="str">
        <f>IFERROR(__xludf.DUMMYFUNCTION("""COMPUTED_VALUE"""),"")</f>
        <v/>
      </c>
      <c r="L2172" t="str">
        <f>IFERROR(__xludf.DUMMYFUNCTION("""COMPUTED_VALUE"""),"")</f>
        <v/>
      </c>
      <c r="M2172" t="str">
        <f>IFERROR(__xludf.DUMMYFUNCTION("""COMPUTED_VALUE"""),"")</f>
        <v/>
      </c>
      <c r="N2172" t="str">
        <f>IFERROR(__xludf.DUMMYFUNCTION("""COMPUTED_VALUE"""),"")</f>
        <v/>
      </c>
      <c r="O2172" t="str">
        <f>IFERROR(__xludf.DUMMYFUNCTION("""COMPUTED_VALUE"""),"")</f>
        <v/>
      </c>
      <c r="P2172" t="str">
        <f>IFERROR(__xludf.DUMMYFUNCTION("""COMPUTED_VALUE"""),"ID ")</f>
        <v>ID </v>
      </c>
    </row>
    <row r="2173">
      <c r="A2173" s="6" t="str">
        <f>IFERROR(__xludf.DUMMYFUNCTION("""COMPUTED_VALUE"""),"")</f>
        <v/>
      </c>
      <c r="C2173" t="str">
        <f>IFERROR(__xludf.DUMMYFUNCTION("""COMPUTED_VALUE"""),"")</f>
        <v/>
      </c>
      <c r="D2173" t="str">
        <f>IFERROR(__xludf.DUMMYFUNCTION("""COMPUTED_VALUE"""),"")</f>
        <v/>
      </c>
      <c r="E2173" t="str">
        <f>IFERROR(__xludf.DUMMYFUNCTION("""COMPUTED_VALUE"""),"")</f>
        <v/>
      </c>
      <c r="F2173" t="str">
        <f>IFERROR(__xludf.DUMMYFUNCTION("""COMPUTED_VALUE"""),"")</f>
        <v/>
      </c>
      <c r="G2173" t="str">
        <f>IFERROR(__xludf.DUMMYFUNCTION("""COMPUTED_VALUE"""),"")</f>
        <v/>
      </c>
      <c r="H2173" s="2" t="str">
        <f>IFERROR(__xludf.DUMMYFUNCTION("""COMPUTED_VALUE"""),"")</f>
        <v/>
      </c>
      <c r="I2173" s="2" t="str">
        <f>IFERROR(__xludf.DUMMYFUNCTION("""COMPUTED_VALUE"""),"")</f>
        <v/>
      </c>
      <c r="J2173" s="2">
        <f>IFERROR(__xludf.DUMMYFUNCTION("""COMPUTED_VALUE"""),0.0)</f>
        <v>0</v>
      </c>
      <c r="K2173" s="5" t="str">
        <f>IFERROR(__xludf.DUMMYFUNCTION("""COMPUTED_VALUE"""),"")</f>
        <v/>
      </c>
      <c r="L2173" t="str">
        <f>IFERROR(__xludf.DUMMYFUNCTION("""COMPUTED_VALUE"""),"")</f>
        <v/>
      </c>
      <c r="M2173" t="str">
        <f>IFERROR(__xludf.DUMMYFUNCTION("""COMPUTED_VALUE"""),"")</f>
        <v/>
      </c>
      <c r="N2173" t="str">
        <f>IFERROR(__xludf.DUMMYFUNCTION("""COMPUTED_VALUE"""),"")</f>
        <v/>
      </c>
      <c r="O2173" t="str">
        <f>IFERROR(__xludf.DUMMYFUNCTION("""COMPUTED_VALUE"""),"")</f>
        <v/>
      </c>
      <c r="P2173" t="str">
        <f>IFERROR(__xludf.DUMMYFUNCTION("""COMPUTED_VALUE"""),"ID ")</f>
        <v>ID </v>
      </c>
    </row>
    <row r="2174">
      <c r="A2174" s="6" t="str">
        <f>IFERROR(__xludf.DUMMYFUNCTION("""COMPUTED_VALUE"""),"")</f>
        <v/>
      </c>
      <c r="C2174" t="str">
        <f>IFERROR(__xludf.DUMMYFUNCTION("""COMPUTED_VALUE"""),"")</f>
        <v/>
      </c>
      <c r="D2174" t="str">
        <f>IFERROR(__xludf.DUMMYFUNCTION("""COMPUTED_VALUE"""),"")</f>
        <v/>
      </c>
      <c r="E2174" t="str">
        <f>IFERROR(__xludf.DUMMYFUNCTION("""COMPUTED_VALUE"""),"")</f>
        <v/>
      </c>
      <c r="F2174" t="str">
        <f>IFERROR(__xludf.DUMMYFUNCTION("""COMPUTED_VALUE"""),"")</f>
        <v/>
      </c>
      <c r="G2174" t="str">
        <f>IFERROR(__xludf.DUMMYFUNCTION("""COMPUTED_VALUE"""),"")</f>
        <v/>
      </c>
      <c r="H2174" s="2" t="str">
        <f>IFERROR(__xludf.DUMMYFUNCTION("""COMPUTED_VALUE"""),"")</f>
        <v/>
      </c>
      <c r="I2174" s="2" t="str">
        <f>IFERROR(__xludf.DUMMYFUNCTION("""COMPUTED_VALUE"""),"")</f>
        <v/>
      </c>
      <c r="J2174" s="2">
        <f>IFERROR(__xludf.DUMMYFUNCTION("""COMPUTED_VALUE"""),0.0)</f>
        <v>0</v>
      </c>
      <c r="K2174" s="5" t="str">
        <f>IFERROR(__xludf.DUMMYFUNCTION("""COMPUTED_VALUE"""),"")</f>
        <v/>
      </c>
      <c r="L2174" t="str">
        <f>IFERROR(__xludf.DUMMYFUNCTION("""COMPUTED_VALUE"""),"")</f>
        <v/>
      </c>
      <c r="M2174" t="str">
        <f>IFERROR(__xludf.DUMMYFUNCTION("""COMPUTED_VALUE"""),"")</f>
        <v/>
      </c>
      <c r="N2174" t="str">
        <f>IFERROR(__xludf.DUMMYFUNCTION("""COMPUTED_VALUE"""),"")</f>
        <v/>
      </c>
      <c r="O2174" t="str">
        <f>IFERROR(__xludf.DUMMYFUNCTION("""COMPUTED_VALUE"""),"")</f>
        <v/>
      </c>
      <c r="P2174" t="str">
        <f>IFERROR(__xludf.DUMMYFUNCTION("""COMPUTED_VALUE"""),"ID ")</f>
        <v>ID </v>
      </c>
    </row>
    <row r="2175">
      <c r="A2175" s="6" t="str">
        <f>IFERROR(__xludf.DUMMYFUNCTION("""COMPUTED_VALUE"""),"")</f>
        <v/>
      </c>
      <c r="C2175" t="str">
        <f>IFERROR(__xludf.DUMMYFUNCTION("""COMPUTED_VALUE"""),"")</f>
        <v/>
      </c>
      <c r="D2175" t="str">
        <f>IFERROR(__xludf.DUMMYFUNCTION("""COMPUTED_VALUE"""),"")</f>
        <v/>
      </c>
      <c r="E2175" t="str">
        <f>IFERROR(__xludf.DUMMYFUNCTION("""COMPUTED_VALUE"""),"")</f>
        <v/>
      </c>
      <c r="F2175" t="str">
        <f>IFERROR(__xludf.DUMMYFUNCTION("""COMPUTED_VALUE"""),"")</f>
        <v/>
      </c>
      <c r="G2175" t="str">
        <f>IFERROR(__xludf.DUMMYFUNCTION("""COMPUTED_VALUE"""),"")</f>
        <v/>
      </c>
      <c r="H2175" s="2" t="str">
        <f>IFERROR(__xludf.DUMMYFUNCTION("""COMPUTED_VALUE"""),"")</f>
        <v/>
      </c>
      <c r="I2175" s="2" t="str">
        <f>IFERROR(__xludf.DUMMYFUNCTION("""COMPUTED_VALUE"""),"")</f>
        <v/>
      </c>
      <c r="J2175" s="2">
        <f>IFERROR(__xludf.DUMMYFUNCTION("""COMPUTED_VALUE"""),0.0)</f>
        <v>0</v>
      </c>
      <c r="K2175" s="5" t="str">
        <f>IFERROR(__xludf.DUMMYFUNCTION("""COMPUTED_VALUE"""),"")</f>
        <v/>
      </c>
      <c r="L2175" t="str">
        <f>IFERROR(__xludf.DUMMYFUNCTION("""COMPUTED_VALUE"""),"")</f>
        <v/>
      </c>
      <c r="M2175" t="str">
        <f>IFERROR(__xludf.DUMMYFUNCTION("""COMPUTED_VALUE"""),"")</f>
        <v/>
      </c>
      <c r="N2175" t="str">
        <f>IFERROR(__xludf.DUMMYFUNCTION("""COMPUTED_VALUE"""),"")</f>
        <v/>
      </c>
      <c r="O2175" t="str">
        <f>IFERROR(__xludf.DUMMYFUNCTION("""COMPUTED_VALUE"""),"")</f>
        <v/>
      </c>
      <c r="P2175" t="str">
        <f>IFERROR(__xludf.DUMMYFUNCTION("""COMPUTED_VALUE"""),"ID ")</f>
        <v>ID </v>
      </c>
    </row>
    <row r="2176">
      <c r="A2176" s="6" t="str">
        <f>IFERROR(__xludf.DUMMYFUNCTION("""COMPUTED_VALUE"""),"")</f>
        <v/>
      </c>
      <c r="C2176" t="str">
        <f>IFERROR(__xludf.DUMMYFUNCTION("""COMPUTED_VALUE"""),"")</f>
        <v/>
      </c>
      <c r="D2176" t="str">
        <f>IFERROR(__xludf.DUMMYFUNCTION("""COMPUTED_VALUE"""),"")</f>
        <v/>
      </c>
      <c r="E2176" t="str">
        <f>IFERROR(__xludf.DUMMYFUNCTION("""COMPUTED_VALUE"""),"")</f>
        <v/>
      </c>
      <c r="F2176" t="str">
        <f>IFERROR(__xludf.DUMMYFUNCTION("""COMPUTED_VALUE"""),"")</f>
        <v/>
      </c>
      <c r="G2176" t="str">
        <f>IFERROR(__xludf.DUMMYFUNCTION("""COMPUTED_VALUE"""),"")</f>
        <v/>
      </c>
      <c r="H2176" s="2" t="str">
        <f>IFERROR(__xludf.DUMMYFUNCTION("""COMPUTED_VALUE"""),"")</f>
        <v/>
      </c>
      <c r="I2176" s="2" t="str">
        <f>IFERROR(__xludf.DUMMYFUNCTION("""COMPUTED_VALUE"""),"")</f>
        <v/>
      </c>
      <c r="J2176" s="2">
        <f>IFERROR(__xludf.DUMMYFUNCTION("""COMPUTED_VALUE"""),0.0)</f>
        <v>0</v>
      </c>
      <c r="K2176" s="5" t="str">
        <f>IFERROR(__xludf.DUMMYFUNCTION("""COMPUTED_VALUE"""),"")</f>
        <v/>
      </c>
      <c r="L2176" t="str">
        <f>IFERROR(__xludf.DUMMYFUNCTION("""COMPUTED_VALUE"""),"")</f>
        <v/>
      </c>
      <c r="M2176" t="str">
        <f>IFERROR(__xludf.DUMMYFUNCTION("""COMPUTED_VALUE"""),"")</f>
        <v/>
      </c>
      <c r="N2176" t="str">
        <f>IFERROR(__xludf.DUMMYFUNCTION("""COMPUTED_VALUE"""),"")</f>
        <v/>
      </c>
      <c r="O2176" t="str">
        <f>IFERROR(__xludf.DUMMYFUNCTION("""COMPUTED_VALUE"""),"")</f>
        <v/>
      </c>
      <c r="P2176" t="str">
        <f>IFERROR(__xludf.DUMMYFUNCTION("""COMPUTED_VALUE"""),"ID ")</f>
        <v>ID </v>
      </c>
    </row>
    <row r="2177">
      <c r="A2177" s="6" t="str">
        <f>IFERROR(__xludf.DUMMYFUNCTION("""COMPUTED_VALUE"""),"")</f>
        <v/>
      </c>
      <c r="C2177" t="str">
        <f>IFERROR(__xludf.DUMMYFUNCTION("""COMPUTED_VALUE"""),"")</f>
        <v/>
      </c>
      <c r="D2177" t="str">
        <f>IFERROR(__xludf.DUMMYFUNCTION("""COMPUTED_VALUE"""),"")</f>
        <v/>
      </c>
      <c r="E2177" t="str">
        <f>IFERROR(__xludf.DUMMYFUNCTION("""COMPUTED_VALUE"""),"")</f>
        <v/>
      </c>
      <c r="F2177" t="str">
        <f>IFERROR(__xludf.DUMMYFUNCTION("""COMPUTED_VALUE"""),"")</f>
        <v/>
      </c>
      <c r="G2177" t="str">
        <f>IFERROR(__xludf.DUMMYFUNCTION("""COMPUTED_VALUE"""),"")</f>
        <v/>
      </c>
      <c r="H2177" s="2" t="str">
        <f>IFERROR(__xludf.DUMMYFUNCTION("""COMPUTED_VALUE"""),"")</f>
        <v/>
      </c>
      <c r="I2177" s="2" t="str">
        <f>IFERROR(__xludf.DUMMYFUNCTION("""COMPUTED_VALUE"""),"")</f>
        <v/>
      </c>
      <c r="J2177" s="2">
        <f>IFERROR(__xludf.DUMMYFUNCTION("""COMPUTED_VALUE"""),0.0)</f>
        <v>0</v>
      </c>
      <c r="K2177" s="5" t="str">
        <f>IFERROR(__xludf.DUMMYFUNCTION("""COMPUTED_VALUE"""),"")</f>
        <v/>
      </c>
      <c r="L2177" t="str">
        <f>IFERROR(__xludf.DUMMYFUNCTION("""COMPUTED_VALUE"""),"")</f>
        <v/>
      </c>
      <c r="M2177" t="str">
        <f>IFERROR(__xludf.DUMMYFUNCTION("""COMPUTED_VALUE"""),"")</f>
        <v/>
      </c>
      <c r="N2177" t="str">
        <f>IFERROR(__xludf.DUMMYFUNCTION("""COMPUTED_VALUE"""),"")</f>
        <v/>
      </c>
      <c r="O2177" t="str">
        <f>IFERROR(__xludf.DUMMYFUNCTION("""COMPUTED_VALUE"""),"")</f>
        <v/>
      </c>
      <c r="P2177" t="str">
        <f>IFERROR(__xludf.DUMMYFUNCTION("""COMPUTED_VALUE"""),"ID ")</f>
        <v>ID </v>
      </c>
    </row>
    <row r="2178">
      <c r="A2178" s="6" t="str">
        <f>IFERROR(__xludf.DUMMYFUNCTION("""COMPUTED_VALUE"""),"")</f>
        <v/>
      </c>
      <c r="C2178" t="str">
        <f>IFERROR(__xludf.DUMMYFUNCTION("""COMPUTED_VALUE"""),"")</f>
        <v/>
      </c>
      <c r="D2178" t="str">
        <f>IFERROR(__xludf.DUMMYFUNCTION("""COMPUTED_VALUE"""),"")</f>
        <v/>
      </c>
      <c r="E2178" t="str">
        <f>IFERROR(__xludf.DUMMYFUNCTION("""COMPUTED_VALUE"""),"")</f>
        <v/>
      </c>
      <c r="F2178" t="str">
        <f>IFERROR(__xludf.DUMMYFUNCTION("""COMPUTED_VALUE"""),"")</f>
        <v/>
      </c>
      <c r="G2178" t="str">
        <f>IFERROR(__xludf.DUMMYFUNCTION("""COMPUTED_VALUE"""),"")</f>
        <v/>
      </c>
      <c r="H2178" s="2" t="str">
        <f>IFERROR(__xludf.DUMMYFUNCTION("""COMPUTED_VALUE"""),"")</f>
        <v/>
      </c>
      <c r="I2178" s="2" t="str">
        <f>IFERROR(__xludf.DUMMYFUNCTION("""COMPUTED_VALUE"""),"")</f>
        <v/>
      </c>
      <c r="J2178" s="2">
        <f>IFERROR(__xludf.DUMMYFUNCTION("""COMPUTED_VALUE"""),0.0)</f>
        <v>0</v>
      </c>
      <c r="K2178" s="5" t="str">
        <f>IFERROR(__xludf.DUMMYFUNCTION("""COMPUTED_VALUE"""),"")</f>
        <v/>
      </c>
      <c r="L2178" t="str">
        <f>IFERROR(__xludf.DUMMYFUNCTION("""COMPUTED_VALUE"""),"")</f>
        <v/>
      </c>
      <c r="M2178" t="str">
        <f>IFERROR(__xludf.DUMMYFUNCTION("""COMPUTED_VALUE"""),"")</f>
        <v/>
      </c>
      <c r="N2178" t="str">
        <f>IFERROR(__xludf.DUMMYFUNCTION("""COMPUTED_VALUE"""),"")</f>
        <v/>
      </c>
      <c r="O2178" t="str">
        <f>IFERROR(__xludf.DUMMYFUNCTION("""COMPUTED_VALUE"""),"")</f>
        <v/>
      </c>
      <c r="P2178" t="str">
        <f>IFERROR(__xludf.DUMMYFUNCTION("""COMPUTED_VALUE"""),"ID ")</f>
        <v>ID </v>
      </c>
    </row>
    <row r="2179">
      <c r="A2179" s="6" t="str">
        <f>IFERROR(__xludf.DUMMYFUNCTION("""COMPUTED_VALUE"""),"")</f>
        <v/>
      </c>
      <c r="C2179" t="str">
        <f>IFERROR(__xludf.DUMMYFUNCTION("""COMPUTED_VALUE"""),"")</f>
        <v/>
      </c>
      <c r="D2179" t="str">
        <f>IFERROR(__xludf.DUMMYFUNCTION("""COMPUTED_VALUE"""),"")</f>
        <v/>
      </c>
      <c r="E2179" t="str">
        <f>IFERROR(__xludf.DUMMYFUNCTION("""COMPUTED_VALUE"""),"")</f>
        <v/>
      </c>
      <c r="F2179" t="str">
        <f>IFERROR(__xludf.DUMMYFUNCTION("""COMPUTED_VALUE"""),"")</f>
        <v/>
      </c>
      <c r="G2179" t="str">
        <f>IFERROR(__xludf.DUMMYFUNCTION("""COMPUTED_VALUE"""),"")</f>
        <v/>
      </c>
      <c r="H2179" s="2" t="str">
        <f>IFERROR(__xludf.DUMMYFUNCTION("""COMPUTED_VALUE"""),"")</f>
        <v/>
      </c>
      <c r="I2179" s="2" t="str">
        <f>IFERROR(__xludf.DUMMYFUNCTION("""COMPUTED_VALUE"""),"")</f>
        <v/>
      </c>
      <c r="J2179" s="2">
        <f>IFERROR(__xludf.DUMMYFUNCTION("""COMPUTED_VALUE"""),0.0)</f>
        <v>0</v>
      </c>
      <c r="K2179" s="5" t="str">
        <f>IFERROR(__xludf.DUMMYFUNCTION("""COMPUTED_VALUE"""),"")</f>
        <v/>
      </c>
      <c r="L2179" t="str">
        <f>IFERROR(__xludf.DUMMYFUNCTION("""COMPUTED_VALUE"""),"")</f>
        <v/>
      </c>
      <c r="M2179" t="str">
        <f>IFERROR(__xludf.DUMMYFUNCTION("""COMPUTED_VALUE"""),"")</f>
        <v/>
      </c>
      <c r="N2179" t="str">
        <f>IFERROR(__xludf.DUMMYFUNCTION("""COMPUTED_VALUE"""),"")</f>
        <v/>
      </c>
      <c r="O2179" t="str">
        <f>IFERROR(__xludf.DUMMYFUNCTION("""COMPUTED_VALUE"""),"")</f>
        <v/>
      </c>
      <c r="P2179" t="str">
        <f>IFERROR(__xludf.DUMMYFUNCTION("""COMPUTED_VALUE"""),"ID ")</f>
        <v>ID </v>
      </c>
    </row>
    <row r="2180">
      <c r="A2180" s="6" t="str">
        <f>IFERROR(__xludf.DUMMYFUNCTION("""COMPUTED_VALUE"""),"")</f>
        <v/>
      </c>
      <c r="C2180" t="str">
        <f>IFERROR(__xludf.DUMMYFUNCTION("""COMPUTED_VALUE"""),"")</f>
        <v/>
      </c>
      <c r="D2180" t="str">
        <f>IFERROR(__xludf.DUMMYFUNCTION("""COMPUTED_VALUE"""),"")</f>
        <v/>
      </c>
      <c r="E2180" t="str">
        <f>IFERROR(__xludf.DUMMYFUNCTION("""COMPUTED_VALUE"""),"")</f>
        <v/>
      </c>
      <c r="F2180" t="str">
        <f>IFERROR(__xludf.DUMMYFUNCTION("""COMPUTED_VALUE"""),"")</f>
        <v/>
      </c>
      <c r="G2180" t="str">
        <f>IFERROR(__xludf.DUMMYFUNCTION("""COMPUTED_VALUE"""),"")</f>
        <v/>
      </c>
      <c r="H2180" s="2" t="str">
        <f>IFERROR(__xludf.DUMMYFUNCTION("""COMPUTED_VALUE"""),"")</f>
        <v/>
      </c>
      <c r="I2180" s="2" t="str">
        <f>IFERROR(__xludf.DUMMYFUNCTION("""COMPUTED_VALUE"""),"")</f>
        <v/>
      </c>
      <c r="J2180" s="2">
        <f>IFERROR(__xludf.DUMMYFUNCTION("""COMPUTED_VALUE"""),0.0)</f>
        <v>0</v>
      </c>
      <c r="K2180" s="5" t="str">
        <f>IFERROR(__xludf.DUMMYFUNCTION("""COMPUTED_VALUE"""),"")</f>
        <v/>
      </c>
      <c r="L2180" t="str">
        <f>IFERROR(__xludf.DUMMYFUNCTION("""COMPUTED_VALUE"""),"")</f>
        <v/>
      </c>
      <c r="M2180" t="str">
        <f>IFERROR(__xludf.DUMMYFUNCTION("""COMPUTED_VALUE"""),"")</f>
        <v/>
      </c>
      <c r="N2180" t="str">
        <f>IFERROR(__xludf.DUMMYFUNCTION("""COMPUTED_VALUE"""),"")</f>
        <v/>
      </c>
      <c r="O2180" t="str">
        <f>IFERROR(__xludf.DUMMYFUNCTION("""COMPUTED_VALUE"""),"")</f>
        <v/>
      </c>
      <c r="P2180" t="str">
        <f>IFERROR(__xludf.DUMMYFUNCTION("""COMPUTED_VALUE"""),"ID ")</f>
        <v>ID </v>
      </c>
    </row>
    <row r="2181">
      <c r="A2181" s="6" t="str">
        <f>IFERROR(__xludf.DUMMYFUNCTION("""COMPUTED_VALUE"""),"")</f>
        <v/>
      </c>
      <c r="C2181" t="str">
        <f>IFERROR(__xludf.DUMMYFUNCTION("""COMPUTED_VALUE"""),"")</f>
        <v/>
      </c>
      <c r="D2181" t="str">
        <f>IFERROR(__xludf.DUMMYFUNCTION("""COMPUTED_VALUE"""),"")</f>
        <v/>
      </c>
      <c r="E2181" t="str">
        <f>IFERROR(__xludf.DUMMYFUNCTION("""COMPUTED_VALUE"""),"")</f>
        <v/>
      </c>
      <c r="F2181" t="str">
        <f>IFERROR(__xludf.DUMMYFUNCTION("""COMPUTED_VALUE"""),"")</f>
        <v/>
      </c>
      <c r="G2181" t="str">
        <f>IFERROR(__xludf.DUMMYFUNCTION("""COMPUTED_VALUE"""),"")</f>
        <v/>
      </c>
      <c r="H2181" s="2" t="str">
        <f>IFERROR(__xludf.DUMMYFUNCTION("""COMPUTED_VALUE"""),"")</f>
        <v/>
      </c>
      <c r="I2181" s="2" t="str">
        <f>IFERROR(__xludf.DUMMYFUNCTION("""COMPUTED_VALUE"""),"")</f>
        <v/>
      </c>
      <c r="J2181" s="2">
        <f>IFERROR(__xludf.DUMMYFUNCTION("""COMPUTED_VALUE"""),0.0)</f>
        <v>0</v>
      </c>
      <c r="K2181" s="5" t="str">
        <f>IFERROR(__xludf.DUMMYFUNCTION("""COMPUTED_VALUE"""),"")</f>
        <v/>
      </c>
      <c r="L2181" t="str">
        <f>IFERROR(__xludf.DUMMYFUNCTION("""COMPUTED_VALUE"""),"")</f>
        <v/>
      </c>
      <c r="M2181" t="str">
        <f>IFERROR(__xludf.DUMMYFUNCTION("""COMPUTED_VALUE"""),"")</f>
        <v/>
      </c>
      <c r="N2181" t="str">
        <f>IFERROR(__xludf.DUMMYFUNCTION("""COMPUTED_VALUE"""),"")</f>
        <v/>
      </c>
      <c r="O2181" t="str">
        <f>IFERROR(__xludf.DUMMYFUNCTION("""COMPUTED_VALUE"""),"")</f>
        <v/>
      </c>
      <c r="P2181" t="str">
        <f>IFERROR(__xludf.DUMMYFUNCTION("""COMPUTED_VALUE"""),"ID ")</f>
        <v>ID </v>
      </c>
    </row>
    <row r="2182">
      <c r="A2182" s="6" t="str">
        <f>IFERROR(__xludf.DUMMYFUNCTION("""COMPUTED_VALUE"""),"")</f>
        <v/>
      </c>
      <c r="C2182" t="str">
        <f>IFERROR(__xludf.DUMMYFUNCTION("""COMPUTED_VALUE"""),"")</f>
        <v/>
      </c>
      <c r="D2182" t="str">
        <f>IFERROR(__xludf.DUMMYFUNCTION("""COMPUTED_VALUE"""),"")</f>
        <v/>
      </c>
      <c r="E2182" t="str">
        <f>IFERROR(__xludf.DUMMYFUNCTION("""COMPUTED_VALUE"""),"")</f>
        <v/>
      </c>
      <c r="F2182" t="str">
        <f>IFERROR(__xludf.DUMMYFUNCTION("""COMPUTED_VALUE"""),"")</f>
        <v/>
      </c>
      <c r="G2182" t="str">
        <f>IFERROR(__xludf.DUMMYFUNCTION("""COMPUTED_VALUE"""),"")</f>
        <v/>
      </c>
      <c r="H2182" s="2" t="str">
        <f>IFERROR(__xludf.DUMMYFUNCTION("""COMPUTED_VALUE"""),"")</f>
        <v/>
      </c>
      <c r="I2182" s="2" t="str">
        <f>IFERROR(__xludf.DUMMYFUNCTION("""COMPUTED_VALUE"""),"")</f>
        <v/>
      </c>
      <c r="J2182" s="2">
        <f>IFERROR(__xludf.DUMMYFUNCTION("""COMPUTED_VALUE"""),0.0)</f>
        <v>0</v>
      </c>
      <c r="K2182" s="5" t="str">
        <f>IFERROR(__xludf.DUMMYFUNCTION("""COMPUTED_VALUE"""),"")</f>
        <v/>
      </c>
      <c r="L2182" t="str">
        <f>IFERROR(__xludf.DUMMYFUNCTION("""COMPUTED_VALUE"""),"")</f>
        <v/>
      </c>
      <c r="M2182" t="str">
        <f>IFERROR(__xludf.DUMMYFUNCTION("""COMPUTED_VALUE"""),"")</f>
        <v/>
      </c>
      <c r="N2182" t="str">
        <f>IFERROR(__xludf.DUMMYFUNCTION("""COMPUTED_VALUE"""),"")</f>
        <v/>
      </c>
      <c r="O2182" t="str">
        <f>IFERROR(__xludf.DUMMYFUNCTION("""COMPUTED_VALUE"""),"")</f>
        <v/>
      </c>
      <c r="P2182" t="str">
        <f>IFERROR(__xludf.DUMMYFUNCTION("""COMPUTED_VALUE"""),"ID ")</f>
        <v>ID </v>
      </c>
    </row>
    <row r="2183">
      <c r="A2183" s="6" t="str">
        <f>IFERROR(__xludf.DUMMYFUNCTION("""COMPUTED_VALUE"""),"")</f>
        <v/>
      </c>
      <c r="C2183" t="str">
        <f>IFERROR(__xludf.DUMMYFUNCTION("""COMPUTED_VALUE"""),"")</f>
        <v/>
      </c>
      <c r="D2183" t="str">
        <f>IFERROR(__xludf.DUMMYFUNCTION("""COMPUTED_VALUE"""),"")</f>
        <v/>
      </c>
      <c r="E2183" t="str">
        <f>IFERROR(__xludf.DUMMYFUNCTION("""COMPUTED_VALUE"""),"")</f>
        <v/>
      </c>
      <c r="F2183" t="str">
        <f>IFERROR(__xludf.DUMMYFUNCTION("""COMPUTED_VALUE"""),"")</f>
        <v/>
      </c>
      <c r="G2183" t="str">
        <f>IFERROR(__xludf.DUMMYFUNCTION("""COMPUTED_VALUE"""),"")</f>
        <v/>
      </c>
      <c r="H2183" s="2" t="str">
        <f>IFERROR(__xludf.DUMMYFUNCTION("""COMPUTED_VALUE"""),"")</f>
        <v/>
      </c>
      <c r="I2183" s="2" t="str">
        <f>IFERROR(__xludf.DUMMYFUNCTION("""COMPUTED_VALUE"""),"")</f>
        <v/>
      </c>
      <c r="J2183" s="2">
        <f>IFERROR(__xludf.DUMMYFUNCTION("""COMPUTED_VALUE"""),0.0)</f>
        <v>0</v>
      </c>
      <c r="K2183" s="5" t="str">
        <f>IFERROR(__xludf.DUMMYFUNCTION("""COMPUTED_VALUE"""),"")</f>
        <v/>
      </c>
      <c r="L2183" t="str">
        <f>IFERROR(__xludf.DUMMYFUNCTION("""COMPUTED_VALUE"""),"")</f>
        <v/>
      </c>
      <c r="M2183" t="str">
        <f>IFERROR(__xludf.DUMMYFUNCTION("""COMPUTED_VALUE"""),"")</f>
        <v/>
      </c>
      <c r="N2183" t="str">
        <f>IFERROR(__xludf.DUMMYFUNCTION("""COMPUTED_VALUE"""),"")</f>
        <v/>
      </c>
      <c r="O2183" t="str">
        <f>IFERROR(__xludf.DUMMYFUNCTION("""COMPUTED_VALUE"""),"")</f>
        <v/>
      </c>
      <c r="P2183" t="str">
        <f>IFERROR(__xludf.DUMMYFUNCTION("""COMPUTED_VALUE"""),"ID ")</f>
        <v>ID </v>
      </c>
    </row>
    <row r="2184">
      <c r="A2184" s="6" t="str">
        <f>IFERROR(__xludf.DUMMYFUNCTION("""COMPUTED_VALUE"""),"")</f>
        <v/>
      </c>
      <c r="C2184" t="str">
        <f>IFERROR(__xludf.DUMMYFUNCTION("""COMPUTED_VALUE"""),"")</f>
        <v/>
      </c>
      <c r="D2184" t="str">
        <f>IFERROR(__xludf.DUMMYFUNCTION("""COMPUTED_VALUE"""),"")</f>
        <v/>
      </c>
      <c r="E2184" t="str">
        <f>IFERROR(__xludf.DUMMYFUNCTION("""COMPUTED_VALUE"""),"")</f>
        <v/>
      </c>
      <c r="F2184" t="str">
        <f>IFERROR(__xludf.DUMMYFUNCTION("""COMPUTED_VALUE"""),"")</f>
        <v/>
      </c>
      <c r="G2184" t="str">
        <f>IFERROR(__xludf.DUMMYFUNCTION("""COMPUTED_VALUE"""),"")</f>
        <v/>
      </c>
      <c r="H2184" s="2" t="str">
        <f>IFERROR(__xludf.DUMMYFUNCTION("""COMPUTED_VALUE"""),"")</f>
        <v/>
      </c>
      <c r="I2184" s="2" t="str">
        <f>IFERROR(__xludf.DUMMYFUNCTION("""COMPUTED_VALUE"""),"")</f>
        <v/>
      </c>
      <c r="J2184" s="2">
        <f>IFERROR(__xludf.DUMMYFUNCTION("""COMPUTED_VALUE"""),0.0)</f>
        <v>0</v>
      </c>
      <c r="K2184" s="5" t="str">
        <f>IFERROR(__xludf.DUMMYFUNCTION("""COMPUTED_VALUE"""),"")</f>
        <v/>
      </c>
      <c r="L2184" t="str">
        <f>IFERROR(__xludf.DUMMYFUNCTION("""COMPUTED_VALUE"""),"")</f>
        <v/>
      </c>
      <c r="M2184" t="str">
        <f>IFERROR(__xludf.DUMMYFUNCTION("""COMPUTED_VALUE"""),"")</f>
        <v/>
      </c>
      <c r="N2184" t="str">
        <f>IFERROR(__xludf.DUMMYFUNCTION("""COMPUTED_VALUE"""),"")</f>
        <v/>
      </c>
      <c r="O2184" t="str">
        <f>IFERROR(__xludf.DUMMYFUNCTION("""COMPUTED_VALUE"""),"")</f>
        <v/>
      </c>
      <c r="P2184" t="str">
        <f>IFERROR(__xludf.DUMMYFUNCTION("""COMPUTED_VALUE"""),"ID ")</f>
        <v>ID </v>
      </c>
    </row>
    <row r="2185">
      <c r="A2185" s="6" t="str">
        <f>IFERROR(__xludf.DUMMYFUNCTION("""COMPUTED_VALUE"""),"")</f>
        <v/>
      </c>
      <c r="C2185" t="str">
        <f>IFERROR(__xludf.DUMMYFUNCTION("""COMPUTED_VALUE"""),"")</f>
        <v/>
      </c>
      <c r="D2185" t="str">
        <f>IFERROR(__xludf.DUMMYFUNCTION("""COMPUTED_VALUE"""),"")</f>
        <v/>
      </c>
      <c r="E2185" t="str">
        <f>IFERROR(__xludf.DUMMYFUNCTION("""COMPUTED_VALUE"""),"")</f>
        <v/>
      </c>
      <c r="F2185" t="str">
        <f>IFERROR(__xludf.DUMMYFUNCTION("""COMPUTED_VALUE"""),"")</f>
        <v/>
      </c>
      <c r="G2185" t="str">
        <f>IFERROR(__xludf.DUMMYFUNCTION("""COMPUTED_VALUE"""),"")</f>
        <v/>
      </c>
      <c r="H2185" s="2" t="str">
        <f>IFERROR(__xludf.DUMMYFUNCTION("""COMPUTED_VALUE"""),"")</f>
        <v/>
      </c>
      <c r="I2185" s="2" t="str">
        <f>IFERROR(__xludf.DUMMYFUNCTION("""COMPUTED_VALUE"""),"")</f>
        <v/>
      </c>
      <c r="J2185" s="2">
        <f>IFERROR(__xludf.DUMMYFUNCTION("""COMPUTED_VALUE"""),0.0)</f>
        <v>0</v>
      </c>
      <c r="K2185" s="5" t="str">
        <f>IFERROR(__xludf.DUMMYFUNCTION("""COMPUTED_VALUE"""),"")</f>
        <v/>
      </c>
      <c r="L2185" t="str">
        <f>IFERROR(__xludf.DUMMYFUNCTION("""COMPUTED_VALUE"""),"")</f>
        <v/>
      </c>
      <c r="M2185" t="str">
        <f>IFERROR(__xludf.DUMMYFUNCTION("""COMPUTED_VALUE"""),"")</f>
        <v/>
      </c>
      <c r="N2185" t="str">
        <f>IFERROR(__xludf.DUMMYFUNCTION("""COMPUTED_VALUE"""),"")</f>
        <v/>
      </c>
      <c r="O2185" t="str">
        <f>IFERROR(__xludf.DUMMYFUNCTION("""COMPUTED_VALUE"""),"")</f>
        <v/>
      </c>
      <c r="P2185" t="str">
        <f>IFERROR(__xludf.DUMMYFUNCTION("""COMPUTED_VALUE"""),"ID ")</f>
        <v>ID </v>
      </c>
    </row>
    <row r="2186">
      <c r="A2186" s="6" t="str">
        <f>IFERROR(__xludf.DUMMYFUNCTION("""COMPUTED_VALUE"""),"")</f>
        <v/>
      </c>
      <c r="C2186" t="str">
        <f>IFERROR(__xludf.DUMMYFUNCTION("""COMPUTED_VALUE"""),"")</f>
        <v/>
      </c>
      <c r="D2186" t="str">
        <f>IFERROR(__xludf.DUMMYFUNCTION("""COMPUTED_VALUE"""),"")</f>
        <v/>
      </c>
      <c r="E2186" t="str">
        <f>IFERROR(__xludf.DUMMYFUNCTION("""COMPUTED_VALUE"""),"")</f>
        <v/>
      </c>
      <c r="F2186" t="str">
        <f>IFERROR(__xludf.DUMMYFUNCTION("""COMPUTED_VALUE"""),"")</f>
        <v/>
      </c>
      <c r="G2186" t="str">
        <f>IFERROR(__xludf.DUMMYFUNCTION("""COMPUTED_VALUE"""),"")</f>
        <v/>
      </c>
      <c r="H2186" s="2" t="str">
        <f>IFERROR(__xludf.DUMMYFUNCTION("""COMPUTED_VALUE"""),"")</f>
        <v/>
      </c>
      <c r="I2186" s="2" t="str">
        <f>IFERROR(__xludf.DUMMYFUNCTION("""COMPUTED_VALUE"""),"")</f>
        <v/>
      </c>
      <c r="J2186" s="2">
        <f>IFERROR(__xludf.DUMMYFUNCTION("""COMPUTED_VALUE"""),0.0)</f>
        <v>0</v>
      </c>
      <c r="K2186" s="5" t="str">
        <f>IFERROR(__xludf.DUMMYFUNCTION("""COMPUTED_VALUE"""),"")</f>
        <v/>
      </c>
      <c r="L2186" t="str">
        <f>IFERROR(__xludf.DUMMYFUNCTION("""COMPUTED_VALUE"""),"")</f>
        <v/>
      </c>
      <c r="M2186" t="str">
        <f>IFERROR(__xludf.DUMMYFUNCTION("""COMPUTED_VALUE"""),"")</f>
        <v/>
      </c>
      <c r="N2186" t="str">
        <f>IFERROR(__xludf.DUMMYFUNCTION("""COMPUTED_VALUE"""),"")</f>
        <v/>
      </c>
      <c r="O2186" t="str">
        <f>IFERROR(__xludf.DUMMYFUNCTION("""COMPUTED_VALUE"""),"")</f>
        <v/>
      </c>
      <c r="P2186" t="str">
        <f>IFERROR(__xludf.DUMMYFUNCTION("""COMPUTED_VALUE"""),"ID ")</f>
        <v>ID </v>
      </c>
    </row>
    <row r="2187">
      <c r="A2187" s="6" t="str">
        <f>IFERROR(__xludf.DUMMYFUNCTION("""COMPUTED_VALUE"""),"")</f>
        <v/>
      </c>
      <c r="C2187" t="str">
        <f>IFERROR(__xludf.DUMMYFUNCTION("""COMPUTED_VALUE"""),"")</f>
        <v/>
      </c>
      <c r="D2187" t="str">
        <f>IFERROR(__xludf.DUMMYFUNCTION("""COMPUTED_VALUE"""),"")</f>
        <v/>
      </c>
      <c r="E2187" t="str">
        <f>IFERROR(__xludf.DUMMYFUNCTION("""COMPUTED_VALUE"""),"")</f>
        <v/>
      </c>
      <c r="F2187" t="str">
        <f>IFERROR(__xludf.DUMMYFUNCTION("""COMPUTED_VALUE"""),"")</f>
        <v/>
      </c>
      <c r="G2187" t="str">
        <f>IFERROR(__xludf.DUMMYFUNCTION("""COMPUTED_VALUE"""),"")</f>
        <v/>
      </c>
      <c r="H2187" s="2" t="str">
        <f>IFERROR(__xludf.DUMMYFUNCTION("""COMPUTED_VALUE"""),"")</f>
        <v/>
      </c>
      <c r="I2187" s="2" t="str">
        <f>IFERROR(__xludf.DUMMYFUNCTION("""COMPUTED_VALUE"""),"")</f>
        <v/>
      </c>
      <c r="J2187" s="2">
        <f>IFERROR(__xludf.DUMMYFUNCTION("""COMPUTED_VALUE"""),0.0)</f>
        <v>0</v>
      </c>
      <c r="K2187" s="5" t="str">
        <f>IFERROR(__xludf.DUMMYFUNCTION("""COMPUTED_VALUE"""),"")</f>
        <v/>
      </c>
      <c r="L2187" t="str">
        <f>IFERROR(__xludf.DUMMYFUNCTION("""COMPUTED_VALUE"""),"")</f>
        <v/>
      </c>
      <c r="M2187" t="str">
        <f>IFERROR(__xludf.DUMMYFUNCTION("""COMPUTED_VALUE"""),"")</f>
        <v/>
      </c>
      <c r="N2187" t="str">
        <f>IFERROR(__xludf.DUMMYFUNCTION("""COMPUTED_VALUE"""),"")</f>
        <v/>
      </c>
      <c r="O2187" t="str">
        <f>IFERROR(__xludf.DUMMYFUNCTION("""COMPUTED_VALUE"""),"")</f>
        <v/>
      </c>
      <c r="P2187" t="str">
        <f>IFERROR(__xludf.DUMMYFUNCTION("""COMPUTED_VALUE"""),"ID ")</f>
        <v>ID </v>
      </c>
    </row>
    <row r="2188">
      <c r="A2188" s="6" t="str">
        <f>IFERROR(__xludf.DUMMYFUNCTION("""COMPUTED_VALUE"""),"")</f>
        <v/>
      </c>
      <c r="C2188" t="str">
        <f>IFERROR(__xludf.DUMMYFUNCTION("""COMPUTED_VALUE"""),"")</f>
        <v/>
      </c>
      <c r="D2188" t="str">
        <f>IFERROR(__xludf.DUMMYFUNCTION("""COMPUTED_VALUE"""),"")</f>
        <v/>
      </c>
      <c r="E2188" t="str">
        <f>IFERROR(__xludf.DUMMYFUNCTION("""COMPUTED_VALUE"""),"")</f>
        <v/>
      </c>
      <c r="F2188" t="str">
        <f>IFERROR(__xludf.DUMMYFUNCTION("""COMPUTED_VALUE"""),"")</f>
        <v/>
      </c>
      <c r="G2188" t="str">
        <f>IFERROR(__xludf.DUMMYFUNCTION("""COMPUTED_VALUE"""),"")</f>
        <v/>
      </c>
      <c r="H2188" s="2" t="str">
        <f>IFERROR(__xludf.DUMMYFUNCTION("""COMPUTED_VALUE"""),"")</f>
        <v/>
      </c>
      <c r="I2188" s="2" t="str">
        <f>IFERROR(__xludf.DUMMYFUNCTION("""COMPUTED_VALUE"""),"")</f>
        <v/>
      </c>
      <c r="J2188" s="2">
        <f>IFERROR(__xludf.DUMMYFUNCTION("""COMPUTED_VALUE"""),0.0)</f>
        <v>0</v>
      </c>
      <c r="K2188" s="5" t="str">
        <f>IFERROR(__xludf.DUMMYFUNCTION("""COMPUTED_VALUE"""),"")</f>
        <v/>
      </c>
      <c r="L2188" t="str">
        <f>IFERROR(__xludf.DUMMYFUNCTION("""COMPUTED_VALUE"""),"")</f>
        <v/>
      </c>
      <c r="M2188" t="str">
        <f>IFERROR(__xludf.DUMMYFUNCTION("""COMPUTED_VALUE"""),"")</f>
        <v/>
      </c>
      <c r="N2188" t="str">
        <f>IFERROR(__xludf.DUMMYFUNCTION("""COMPUTED_VALUE"""),"")</f>
        <v/>
      </c>
      <c r="O2188" t="str">
        <f>IFERROR(__xludf.DUMMYFUNCTION("""COMPUTED_VALUE"""),"")</f>
        <v/>
      </c>
      <c r="P2188" t="str">
        <f>IFERROR(__xludf.DUMMYFUNCTION("""COMPUTED_VALUE"""),"ID ")</f>
        <v>ID </v>
      </c>
    </row>
    <row r="2189">
      <c r="A2189" s="6" t="str">
        <f>IFERROR(__xludf.DUMMYFUNCTION("""COMPUTED_VALUE"""),"")</f>
        <v/>
      </c>
      <c r="C2189" t="str">
        <f>IFERROR(__xludf.DUMMYFUNCTION("""COMPUTED_VALUE"""),"")</f>
        <v/>
      </c>
      <c r="D2189" t="str">
        <f>IFERROR(__xludf.DUMMYFUNCTION("""COMPUTED_VALUE"""),"")</f>
        <v/>
      </c>
      <c r="E2189" t="str">
        <f>IFERROR(__xludf.DUMMYFUNCTION("""COMPUTED_VALUE"""),"")</f>
        <v/>
      </c>
      <c r="F2189" t="str">
        <f>IFERROR(__xludf.DUMMYFUNCTION("""COMPUTED_VALUE"""),"")</f>
        <v/>
      </c>
      <c r="G2189" t="str">
        <f>IFERROR(__xludf.DUMMYFUNCTION("""COMPUTED_VALUE"""),"")</f>
        <v/>
      </c>
      <c r="H2189" s="2" t="str">
        <f>IFERROR(__xludf.DUMMYFUNCTION("""COMPUTED_VALUE"""),"")</f>
        <v/>
      </c>
      <c r="I2189" s="2" t="str">
        <f>IFERROR(__xludf.DUMMYFUNCTION("""COMPUTED_VALUE"""),"")</f>
        <v/>
      </c>
      <c r="J2189" s="2">
        <f>IFERROR(__xludf.DUMMYFUNCTION("""COMPUTED_VALUE"""),0.0)</f>
        <v>0</v>
      </c>
      <c r="K2189" s="5" t="str">
        <f>IFERROR(__xludf.DUMMYFUNCTION("""COMPUTED_VALUE"""),"")</f>
        <v/>
      </c>
      <c r="L2189" t="str">
        <f>IFERROR(__xludf.DUMMYFUNCTION("""COMPUTED_VALUE"""),"")</f>
        <v/>
      </c>
      <c r="M2189" t="str">
        <f>IFERROR(__xludf.DUMMYFUNCTION("""COMPUTED_VALUE"""),"")</f>
        <v/>
      </c>
      <c r="N2189" t="str">
        <f>IFERROR(__xludf.DUMMYFUNCTION("""COMPUTED_VALUE"""),"")</f>
        <v/>
      </c>
      <c r="O2189" t="str">
        <f>IFERROR(__xludf.DUMMYFUNCTION("""COMPUTED_VALUE"""),"")</f>
        <v/>
      </c>
      <c r="P2189" t="str">
        <f>IFERROR(__xludf.DUMMYFUNCTION("""COMPUTED_VALUE"""),"ID ")</f>
        <v>ID </v>
      </c>
    </row>
    <row r="2190">
      <c r="A2190" s="6" t="str">
        <f>IFERROR(__xludf.DUMMYFUNCTION("""COMPUTED_VALUE"""),"")</f>
        <v/>
      </c>
      <c r="C2190" t="str">
        <f>IFERROR(__xludf.DUMMYFUNCTION("""COMPUTED_VALUE"""),"")</f>
        <v/>
      </c>
      <c r="D2190" t="str">
        <f>IFERROR(__xludf.DUMMYFUNCTION("""COMPUTED_VALUE"""),"")</f>
        <v/>
      </c>
      <c r="E2190" t="str">
        <f>IFERROR(__xludf.DUMMYFUNCTION("""COMPUTED_VALUE"""),"")</f>
        <v/>
      </c>
      <c r="F2190" t="str">
        <f>IFERROR(__xludf.DUMMYFUNCTION("""COMPUTED_VALUE"""),"")</f>
        <v/>
      </c>
      <c r="G2190" t="str">
        <f>IFERROR(__xludf.DUMMYFUNCTION("""COMPUTED_VALUE"""),"")</f>
        <v/>
      </c>
      <c r="H2190" s="2" t="str">
        <f>IFERROR(__xludf.DUMMYFUNCTION("""COMPUTED_VALUE"""),"")</f>
        <v/>
      </c>
      <c r="I2190" s="2" t="str">
        <f>IFERROR(__xludf.DUMMYFUNCTION("""COMPUTED_VALUE"""),"")</f>
        <v/>
      </c>
      <c r="J2190" s="2">
        <f>IFERROR(__xludf.DUMMYFUNCTION("""COMPUTED_VALUE"""),0.0)</f>
        <v>0</v>
      </c>
      <c r="K2190" s="5" t="str">
        <f>IFERROR(__xludf.DUMMYFUNCTION("""COMPUTED_VALUE"""),"")</f>
        <v/>
      </c>
      <c r="L2190" t="str">
        <f>IFERROR(__xludf.DUMMYFUNCTION("""COMPUTED_VALUE"""),"")</f>
        <v/>
      </c>
      <c r="M2190" t="str">
        <f>IFERROR(__xludf.DUMMYFUNCTION("""COMPUTED_VALUE"""),"")</f>
        <v/>
      </c>
      <c r="N2190" t="str">
        <f>IFERROR(__xludf.DUMMYFUNCTION("""COMPUTED_VALUE"""),"")</f>
        <v/>
      </c>
      <c r="O2190" t="str">
        <f>IFERROR(__xludf.DUMMYFUNCTION("""COMPUTED_VALUE"""),"")</f>
        <v/>
      </c>
      <c r="P2190" t="str">
        <f>IFERROR(__xludf.DUMMYFUNCTION("""COMPUTED_VALUE"""),"ID ")</f>
        <v>ID </v>
      </c>
    </row>
    <row r="2191">
      <c r="A2191" s="6" t="str">
        <f>IFERROR(__xludf.DUMMYFUNCTION("""COMPUTED_VALUE"""),"")</f>
        <v/>
      </c>
      <c r="C2191" t="str">
        <f>IFERROR(__xludf.DUMMYFUNCTION("""COMPUTED_VALUE"""),"")</f>
        <v/>
      </c>
      <c r="D2191" t="str">
        <f>IFERROR(__xludf.DUMMYFUNCTION("""COMPUTED_VALUE"""),"")</f>
        <v/>
      </c>
      <c r="E2191" t="str">
        <f>IFERROR(__xludf.DUMMYFUNCTION("""COMPUTED_VALUE"""),"")</f>
        <v/>
      </c>
      <c r="F2191" t="str">
        <f>IFERROR(__xludf.DUMMYFUNCTION("""COMPUTED_VALUE"""),"")</f>
        <v/>
      </c>
      <c r="G2191" t="str">
        <f>IFERROR(__xludf.DUMMYFUNCTION("""COMPUTED_VALUE"""),"")</f>
        <v/>
      </c>
      <c r="H2191" s="2" t="str">
        <f>IFERROR(__xludf.DUMMYFUNCTION("""COMPUTED_VALUE"""),"")</f>
        <v/>
      </c>
      <c r="I2191" s="2" t="str">
        <f>IFERROR(__xludf.DUMMYFUNCTION("""COMPUTED_VALUE"""),"")</f>
        <v/>
      </c>
      <c r="J2191" s="2">
        <f>IFERROR(__xludf.DUMMYFUNCTION("""COMPUTED_VALUE"""),0.0)</f>
        <v>0</v>
      </c>
      <c r="K2191" s="5" t="str">
        <f>IFERROR(__xludf.DUMMYFUNCTION("""COMPUTED_VALUE"""),"")</f>
        <v/>
      </c>
      <c r="L2191" t="str">
        <f>IFERROR(__xludf.DUMMYFUNCTION("""COMPUTED_VALUE"""),"")</f>
        <v/>
      </c>
      <c r="M2191" t="str">
        <f>IFERROR(__xludf.DUMMYFUNCTION("""COMPUTED_VALUE"""),"")</f>
        <v/>
      </c>
      <c r="N2191" t="str">
        <f>IFERROR(__xludf.DUMMYFUNCTION("""COMPUTED_VALUE"""),"")</f>
        <v/>
      </c>
      <c r="O2191" t="str">
        <f>IFERROR(__xludf.DUMMYFUNCTION("""COMPUTED_VALUE"""),"")</f>
        <v/>
      </c>
      <c r="P2191" t="str">
        <f>IFERROR(__xludf.DUMMYFUNCTION("""COMPUTED_VALUE"""),"ID ")</f>
        <v>ID </v>
      </c>
    </row>
    <row r="2192">
      <c r="A2192" s="6" t="str">
        <f>IFERROR(__xludf.DUMMYFUNCTION("""COMPUTED_VALUE"""),"")</f>
        <v/>
      </c>
      <c r="C2192" t="str">
        <f>IFERROR(__xludf.DUMMYFUNCTION("""COMPUTED_VALUE"""),"")</f>
        <v/>
      </c>
      <c r="D2192" t="str">
        <f>IFERROR(__xludf.DUMMYFUNCTION("""COMPUTED_VALUE"""),"")</f>
        <v/>
      </c>
      <c r="E2192" t="str">
        <f>IFERROR(__xludf.DUMMYFUNCTION("""COMPUTED_VALUE"""),"")</f>
        <v/>
      </c>
      <c r="F2192" t="str">
        <f>IFERROR(__xludf.DUMMYFUNCTION("""COMPUTED_VALUE"""),"")</f>
        <v/>
      </c>
      <c r="G2192" t="str">
        <f>IFERROR(__xludf.DUMMYFUNCTION("""COMPUTED_VALUE"""),"")</f>
        <v/>
      </c>
      <c r="H2192" s="2" t="str">
        <f>IFERROR(__xludf.DUMMYFUNCTION("""COMPUTED_VALUE"""),"")</f>
        <v/>
      </c>
      <c r="I2192" s="2" t="str">
        <f>IFERROR(__xludf.DUMMYFUNCTION("""COMPUTED_VALUE"""),"")</f>
        <v/>
      </c>
      <c r="J2192" s="2">
        <f>IFERROR(__xludf.DUMMYFUNCTION("""COMPUTED_VALUE"""),0.0)</f>
        <v>0</v>
      </c>
      <c r="K2192" s="5" t="str">
        <f>IFERROR(__xludf.DUMMYFUNCTION("""COMPUTED_VALUE"""),"")</f>
        <v/>
      </c>
      <c r="L2192" t="str">
        <f>IFERROR(__xludf.DUMMYFUNCTION("""COMPUTED_VALUE"""),"")</f>
        <v/>
      </c>
      <c r="M2192" t="str">
        <f>IFERROR(__xludf.DUMMYFUNCTION("""COMPUTED_VALUE"""),"")</f>
        <v/>
      </c>
      <c r="N2192" t="str">
        <f>IFERROR(__xludf.DUMMYFUNCTION("""COMPUTED_VALUE"""),"")</f>
        <v/>
      </c>
      <c r="O2192" t="str">
        <f>IFERROR(__xludf.DUMMYFUNCTION("""COMPUTED_VALUE"""),"")</f>
        <v/>
      </c>
      <c r="P2192" t="str">
        <f>IFERROR(__xludf.DUMMYFUNCTION("""COMPUTED_VALUE"""),"ID ")</f>
        <v>ID </v>
      </c>
    </row>
    <row r="2193">
      <c r="A2193" s="6" t="str">
        <f>IFERROR(__xludf.DUMMYFUNCTION("""COMPUTED_VALUE"""),"")</f>
        <v/>
      </c>
      <c r="C2193" t="str">
        <f>IFERROR(__xludf.DUMMYFUNCTION("""COMPUTED_VALUE"""),"")</f>
        <v/>
      </c>
      <c r="D2193" t="str">
        <f>IFERROR(__xludf.DUMMYFUNCTION("""COMPUTED_VALUE"""),"")</f>
        <v/>
      </c>
      <c r="E2193" t="str">
        <f>IFERROR(__xludf.DUMMYFUNCTION("""COMPUTED_VALUE"""),"")</f>
        <v/>
      </c>
      <c r="F2193" t="str">
        <f>IFERROR(__xludf.DUMMYFUNCTION("""COMPUTED_VALUE"""),"")</f>
        <v/>
      </c>
      <c r="G2193" t="str">
        <f>IFERROR(__xludf.DUMMYFUNCTION("""COMPUTED_VALUE"""),"")</f>
        <v/>
      </c>
      <c r="H2193" s="2" t="str">
        <f>IFERROR(__xludf.DUMMYFUNCTION("""COMPUTED_VALUE"""),"")</f>
        <v/>
      </c>
      <c r="I2193" s="2" t="str">
        <f>IFERROR(__xludf.DUMMYFUNCTION("""COMPUTED_VALUE"""),"")</f>
        <v/>
      </c>
      <c r="J2193" s="2">
        <f>IFERROR(__xludf.DUMMYFUNCTION("""COMPUTED_VALUE"""),0.0)</f>
        <v>0</v>
      </c>
      <c r="K2193" s="5" t="str">
        <f>IFERROR(__xludf.DUMMYFUNCTION("""COMPUTED_VALUE"""),"")</f>
        <v/>
      </c>
      <c r="L2193" t="str">
        <f>IFERROR(__xludf.DUMMYFUNCTION("""COMPUTED_VALUE"""),"")</f>
        <v/>
      </c>
      <c r="M2193" t="str">
        <f>IFERROR(__xludf.DUMMYFUNCTION("""COMPUTED_VALUE"""),"")</f>
        <v/>
      </c>
      <c r="N2193" t="str">
        <f>IFERROR(__xludf.DUMMYFUNCTION("""COMPUTED_VALUE"""),"")</f>
        <v/>
      </c>
      <c r="O2193" t="str">
        <f>IFERROR(__xludf.DUMMYFUNCTION("""COMPUTED_VALUE"""),"")</f>
        <v/>
      </c>
      <c r="P2193" t="str">
        <f>IFERROR(__xludf.DUMMYFUNCTION("""COMPUTED_VALUE"""),"ID ")</f>
        <v>ID </v>
      </c>
    </row>
    <row r="2194">
      <c r="A2194" s="6" t="str">
        <f>IFERROR(__xludf.DUMMYFUNCTION("""COMPUTED_VALUE"""),"")</f>
        <v/>
      </c>
      <c r="C2194" t="str">
        <f>IFERROR(__xludf.DUMMYFUNCTION("""COMPUTED_VALUE"""),"")</f>
        <v/>
      </c>
      <c r="D2194" t="str">
        <f>IFERROR(__xludf.DUMMYFUNCTION("""COMPUTED_VALUE"""),"")</f>
        <v/>
      </c>
      <c r="E2194" t="str">
        <f>IFERROR(__xludf.DUMMYFUNCTION("""COMPUTED_VALUE"""),"")</f>
        <v/>
      </c>
      <c r="F2194" t="str">
        <f>IFERROR(__xludf.DUMMYFUNCTION("""COMPUTED_VALUE"""),"")</f>
        <v/>
      </c>
      <c r="G2194" t="str">
        <f>IFERROR(__xludf.DUMMYFUNCTION("""COMPUTED_VALUE"""),"")</f>
        <v/>
      </c>
      <c r="H2194" s="2" t="str">
        <f>IFERROR(__xludf.DUMMYFUNCTION("""COMPUTED_VALUE"""),"")</f>
        <v/>
      </c>
      <c r="I2194" s="2" t="str">
        <f>IFERROR(__xludf.DUMMYFUNCTION("""COMPUTED_VALUE"""),"")</f>
        <v/>
      </c>
      <c r="J2194" s="2">
        <f>IFERROR(__xludf.DUMMYFUNCTION("""COMPUTED_VALUE"""),0.0)</f>
        <v>0</v>
      </c>
      <c r="K2194" s="5" t="str">
        <f>IFERROR(__xludf.DUMMYFUNCTION("""COMPUTED_VALUE"""),"")</f>
        <v/>
      </c>
      <c r="L2194" t="str">
        <f>IFERROR(__xludf.DUMMYFUNCTION("""COMPUTED_VALUE"""),"")</f>
        <v/>
      </c>
      <c r="M2194" t="str">
        <f>IFERROR(__xludf.DUMMYFUNCTION("""COMPUTED_VALUE"""),"")</f>
        <v/>
      </c>
      <c r="N2194" t="str">
        <f>IFERROR(__xludf.DUMMYFUNCTION("""COMPUTED_VALUE"""),"")</f>
        <v/>
      </c>
      <c r="O2194" t="str">
        <f>IFERROR(__xludf.DUMMYFUNCTION("""COMPUTED_VALUE"""),"")</f>
        <v/>
      </c>
      <c r="P2194" t="str">
        <f>IFERROR(__xludf.DUMMYFUNCTION("""COMPUTED_VALUE"""),"ID ")</f>
        <v>ID </v>
      </c>
    </row>
    <row r="2195">
      <c r="A2195" s="6" t="str">
        <f>IFERROR(__xludf.DUMMYFUNCTION("""COMPUTED_VALUE"""),"")</f>
        <v/>
      </c>
      <c r="C2195" t="str">
        <f>IFERROR(__xludf.DUMMYFUNCTION("""COMPUTED_VALUE"""),"")</f>
        <v/>
      </c>
      <c r="D2195" t="str">
        <f>IFERROR(__xludf.DUMMYFUNCTION("""COMPUTED_VALUE"""),"")</f>
        <v/>
      </c>
      <c r="E2195" t="str">
        <f>IFERROR(__xludf.DUMMYFUNCTION("""COMPUTED_VALUE"""),"")</f>
        <v/>
      </c>
      <c r="F2195" t="str">
        <f>IFERROR(__xludf.DUMMYFUNCTION("""COMPUTED_VALUE"""),"")</f>
        <v/>
      </c>
      <c r="G2195" t="str">
        <f>IFERROR(__xludf.DUMMYFUNCTION("""COMPUTED_VALUE"""),"")</f>
        <v/>
      </c>
      <c r="H2195" s="2" t="str">
        <f>IFERROR(__xludf.DUMMYFUNCTION("""COMPUTED_VALUE"""),"")</f>
        <v/>
      </c>
      <c r="I2195" s="2" t="str">
        <f>IFERROR(__xludf.DUMMYFUNCTION("""COMPUTED_VALUE"""),"")</f>
        <v/>
      </c>
      <c r="J2195" s="2">
        <f>IFERROR(__xludf.DUMMYFUNCTION("""COMPUTED_VALUE"""),0.0)</f>
        <v>0</v>
      </c>
      <c r="K2195" s="5" t="str">
        <f>IFERROR(__xludf.DUMMYFUNCTION("""COMPUTED_VALUE"""),"")</f>
        <v/>
      </c>
      <c r="L2195" t="str">
        <f>IFERROR(__xludf.DUMMYFUNCTION("""COMPUTED_VALUE"""),"")</f>
        <v/>
      </c>
      <c r="M2195" t="str">
        <f>IFERROR(__xludf.DUMMYFUNCTION("""COMPUTED_VALUE"""),"")</f>
        <v/>
      </c>
      <c r="N2195" t="str">
        <f>IFERROR(__xludf.DUMMYFUNCTION("""COMPUTED_VALUE"""),"")</f>
        <v/>
      </c>
      <c r="O2195" t="str">
        <f>IFERROR(__xludf.DUMMYFUNCTION("""COMPUTED_VALUE"""),"")</f>
        <v/>
      </c>
      <c r="P2195" t="str">
        <f>IFERROR(__xludf.DUMMYFUNCTION("""COMPUTED_VALUE"""),"ID ")</f>
        <v>ID </v>
      </c>
    </row>
    <row r="2196">
      <c r="A2196" s="6" t="str">
        <f>IFERROR(__xludf.DUMMYFUNCTION("""COMPUTED_VALUE"""),"")</f>
        <v/>
      </c>
      <c r="C2196" t="str">
        <f>IFERROR(__xludf.DUMMYFUNCTION("""COMPUTED_VALUE"""),"")</f>
        <v/>
      </c>
      <c r="D2196" t="str">
        <f>IFERROR(__xludf.DUMMYFUNCTION("""COMPUTED_VALUE"""),"")</f>
        <v/>
      </c>
      <c r="E2196" t="str">
        <f>IFERROR(__xludf.DUMMYFUNCTION("""COMPUTED_VALUE"""),"")</f>
        <v/>
      </c>
      <c r="F2196" t="str">
        <f>IFERROR(__xludf.DUMMYFUNCTION("""COMPUTED_VALUE"""),"")</f>
        <v/>
      </c>
      <c r="G2196" t="str">
        <f>IFERROR(__xludf.DUMMYFUNCTION("""COMPUTED_VALUE"""),"")</f>
        <v/>
      </c>
      <c r="H2196" s="2" t="str">
        <f>IFERROR(__xludf.DUMMYFUNCTION("""COMPUTED_VALUE"""),"")</f>
        <v/>
      </c>
      <c r="I2196" s="2" t="str">
        <f>IFERROR(__xludf.DUMMYFUNCTION("""COMPUTED_VALUE"""),"")</f>
        <v/>
      </c>
      <c r="J2196" s="2">
        <f>IFERROR(__xludf.DUMMYFUNCTION("""COMPUTED_VALUE"""),0.0)</f>
        <v>0</v>
      </c>
      <c r="K2196" s="5" t="str">
        <f>IFERROR(__xludf.DUMMYFUNCTION("""COMPUTED_VALUE"""),"")</f>
        <v/>
      </c>
      <c r="L2196" t="str">
        <f>IFERROR(__xludf.DUMMYFUNCTION("""COMPUTED_VALUE"""),"")</f>
        <v/>
      </c>
      <c r="M2196" t="str">
        <f>IFERROR(__xludf.DUMMYFUNCTION("""COMPUTED_VALUE"""),"")</f>
        <v/>
      </c>
      <c r="N2196" t="str">
        <f>IFERROR(__xludf.DUMMYFUNCTION("""COMPUTED_VALUE"""),"")</f>
        <v/>
      </c>
      <c r="O2196" t="str">
        <f>IFERROR(__xludf.DUMMYFUNCTION("""COMPUTED_VALUE"""),"")</f>
        <v/>
      </c>
      <c r="P2196" t="str">
        <f>IFERROR(__xludf.DUMMYFUNCTION("""COMPUTED_VALUE"""),"ID ")</f>
        <v>ID </v>
      </c>
    </row>
    <row r="2197">
      <c r="A2197" s="6" t="str">
        <f>IFERROR(__xludf.DUMMYFUNCTION("""COMPUTED_VALUE"""),"")</f>
        <v/>
      </c>
      <c r="C2197" t="str">
        <f>IFERROR(__xludf.DUMMYFUNCTION("""COMPUTED_VALUE"""),"")</f>
        <v/>
      </c>
      <c r="D2197" t="str">
        <f>IFERROR(__xludf.DUMMYFUNCTION("""COMPUTED_VALUE"""),"")</f>
        <v/>
      </c>
      <c r="E2197" t="str">
        <f>IFERROR(__xludf.DUMMYFUNCTION("""COMPUTED_VALUE"""),"")</f>
        <v/>
      </c>
      <c r="F2197" t="str">
        <f>IFERROR(__xludf.DUMMYFUNCTION("""COMPUTED_VALUE"""),"")</f>
        <v/>
      </c>
      <c r="G2197" t="str">
        <f>IFERROR(__xludf.DUMMYFUNCTION("""COMPUTED_VALUE"""),"")</f>
        <v/>
      </c>
      <c r="H2197" s="2" t="str">
        <f>IFERROR(__xludf.DUMMYFUNCTION("""COMPUTED_VALUE"""),"")</f>
        <v/>
      </c>
      <c r="I2197" s="2" t="str">
        <f>IFERROR(__xludf.DUMMYFUNCTION("""COMPUTED_VALUE"""),"")</f>
        <v/>
      </c>
      <c r="J2197" s="2">
        <f>IFERROR(__xludf.DUMMYFUNCTION("""COMPUTED_VALUE"""),0.0)</f>
        <v>0</v>
      </c>
      <c r="K2197" s="5" t="str">
        <f>IFERROR(__xludf.DUMMYFUNCTION("""COMPUTED_VALUE"""),"")</f>
        <v/>
      </c>
      <c r="L2197" t="str">
        <f>IFERROR(__xludf.DUMMYFUNCTION("""COMPUTED_VALUE"""),"")</f>
        <v/>
      </c>
      <c r="M2197" t="str">
        <f>IFERROR(__xludf.DUMMYFUNCTION("""COMPUTED_VALUE"""),"")</f>
        <v/>
      </c>
      <c r="N2197" t="str">
        <f>IFERROR(__xludf.DUMMYFUNCTION("""COMPUTED_VALUE"""),"")</f>
        <v/>
      </c>
      <c r="O2197" t="str">
        <f>IFERROR(__xludf.DUMMYFUNCTION("""COMPUTED_VALUE"""),"")</f>
        <v/>
      </c>
      <c r="P2197" t="str">
        <f>IFERROR(__xludf.DUMMYFUNCTION("""COMPUTED_VALUE"""),"ID ")</f>
        <v>ID </v>
      </c>
    </row>
    <row r="2198">
      <c r="A2198" s="6" t="str">
        <f>IFERROR(__xludf.DUMMYFUNCTION("""COMPUTED_VALUE"""),"")</f>
        <v/>
      </c>
      <c r="C2198" t="str">
        <f>IFERROR(__xludf.DUMMYFUNCTION("""COMPUTED_VALUE"""),"")</f>
        <v/>
      </c>
      <c r="D2198" t="str">
        <f>IFERROR(__xludf.DUMMYFUNCTION("""COMPUTED_VALUE"""),"")</f>
        <v/>
      </c>
      <c r="E2198" t="str">
        <f>IFERROR(__xludf.DUMMYFUNCTION("""COMPUTED_VALUE"""),"")</f>
        <v/>
      </c>
      <c r="F2198" t="str">
        <f>IFERROR(__xludf.DUMMYFUNCTION("""COMPUTED_VALUE"""),"")</f>
        <v/>
      </c>
      <c r="G2198" t="str">
        <f>IFERROR(__xludf.DUMMYFUNCTION("""COMPUTED_VALUE"""),"")</f>
        <v/>
      </c>
      <c r="H2198" s="2" t="str">
        <f>IFERROR(__xludf.DUMMYFUNCTION("""COMPUTED_VALUE"""),"")</f>
        <v/>
      </c>
      <c r="I2198" s="2" t="str">
        <f>IFERROR(__xludf.DUMMYFUNCTION("""COMPUTED_VALUE"""),"")</f>
        <v/>
      </c>
      <c r="J2198" s="2">
        <f>IFERROR(__xludf.DUMMYFUNCTION("""COMPUTED_VALUE"""),0.0)</f>
        <v>0</v>
      </c>
      <c r="K2198" s="5" t="str">
        <f>IFERROR(__xludf.DUMMYFUNCTION("""COMPUTED_VALUE"""),"")</f>
        <v/>
      </c>
      <c r="L2198" t="str">
        <f>IFERROR(__xludf.DUMMYFUNCTION("""COMPUTED_VALUE"""),"")</f>
        <v/>
      </c>
      <c r="M2198" t="str">
        <f>IFERROR(__xludf.DUMMYFUNCTION("""COMPUTED_VALUE"""),"")</f>
        <v/>
      </c>
      <c r="N2198" t="str">
        <f>IFERROR(__xludf.DUMMYFUNCTION("""COMPUTED_VALUE"""),"")</f>
        <v/>
      </c>
      <c r="O2198" t="str">
        <f>IFERROR(__xludf.DUMMYFUNCTION("""COMPUTED_VALUE"""),"")</f>
        <v/>
      </c>
      <c r="P2198" t="str">
        <f>IFERROR(__xludf.DUMMYFUNCTION("""COMPUTED_VALUE"""),"ID ")</f>
        <v>ID </v>
      </c>
    </row>
    <row r="2199">
      <c r="A2199" s="6" t="str">
        <f>IFERROR(__xludf.DUMMYFUNCTION("""COMPUTED_VALUE"""),"")</f>
        <v/>
      </c>
      <c r="C2199" t="str">
        <f>IFERROR(__xludf.DUMMYFUNCTION("""COMPUTED_VALUE"""),"")</f>
        <v/>
      </c>
      <c r="D2199" t="str">
        <f>IFERROR(__xludf.DUMMYFUNCTION("""COMPUTED_VALUE"""),"")</f>
        <v/>
      </c>
      <c r="E2199" t="str">
        <f>IFERROR(__xludf.DUMMYFUNCTION("""COMPUTED_VALUE"""),"")</f>
        <v/>
      </c>
      <c r="F2199" t="str">
        <f>IFERROR(__xludf.DUMMYFUNCTION("""COMPUTED_VALUE"""),"")</f>
        <v/>
      </c>
      <c r="G2199" t="str">
        <f>IFERROR(__xludf.DUMMYFUNCTION("""COMPUTED_VALUE"""),"")</f>
        <v/>
      </c>
      <c r="H2199" s="2" t="str">
        <f>IFERROR(__xludf.DUMMYFUNCTION("""COMPUTED_VALUE"""),"")</f>
        <v/>
      </c>
      <c r="I2199" s="2" t="str">
        <f>IFERROR(__xludf.DUMMYFUNCTION("""COMPUTED_VALUE"""),"")</f>
        <v/>
      </c>
      <c r="J2199" s="2">
        <f>IFERROR(__xludf.DUMMYFUNCTION("""COMPUTED_VALUE"""),0.0)</f>
        <v>0</v>
      </c>
      <c r="K2199" s="5" t="str">
        <f>IFERROR(__xludf.DUMMYFUNCTION("""COMPUTED_VALUE"""),"")</f>
        <v/>
      </c>
      <c r="L2199" t="str">
        <f>IFERROR(__xludf.DUMMYFUNCTION("""COMPUTED_VALUE"""),"")</f>
        <v/>
      </c>
      <c r="M2199" t="str">
        <f>IFERROR(__xludf.DUMMYFUNCTION("""COMPUTED_VALUE"""),"")</f>
        <v/>
      </c>
      <c r="N2199" t="str">
        <f>IFERROR(__xludf.DUMMYFUNCTION("""COMPUTED_VALUE"""),"")</f>
        <v/>
      </c>
      <c r="O2199" t="str">
        <f>IFERROR(__xludf.DUMMYFUNCTION("""COMPUTED_VALUE"""),"")</f>
        <v/>
      </c>
      <c r="P2199" t="str">
        <f>IFERROR(__xludf.DUMMYFUNCTION("""COMPUTED_VALUE"""),"ID ")</f>
        <v>ID </v>
      </c>
    </row>
    <row r="2200">
      <c r="A2200" s="6" t="str">
        <f>IFERROR(__xludf.DUMMYFUNCTION("""COMPUTED_VALUE"""),"")</f>
        <v/>
      </c>
      <c r="C2200" t="str">
        <f>IFERROR(__xludf.DUMMYFUNCTION("""COMPUTED_VALUE"""),"")</f>
        <v/>
      </c>
      <c r="D2200" t="str">
        <f>IFERROR(__xludf.DUMMYFUNCTION("""COMPUTED_VALUE"""),"")</f>
        <v/>
      </c>
      <c r="E2200" t="str">
        <f>IFERROR(__xludf.DUMMYFUNCTION("""COMPUTED_VALUE"""),"")</f>
        <v/>
      </c>
      <c r="F2200" t="str">
        <f>IFERROR(__xludf.DUMMYFUNCTION("""COMPUTED_VALUE"""),"")</f>
        <v/>
      </c>
      <c r="G2200" t="str">
        <f>IFERROR(__xludf.DUMMYFUNCTION("""COMPUTED_VALUE"""),"")</f>
        <v/>
      </c>
      <c r="H2200" s="2" t="str">
        <f>IFERROR(__xludf.DUMMYFUNCTION("""COMPUTED_VALUE"""),"")</f>
        <v/>
      </c>
      <c r="I2200" s="2" t="str">
        <f>IFERROR(__xludf.DUMMYFUNCTION("""COMPUTED_VALUE"""),"")</f>
        <v/>
      </c>
      <c r="J2200" s="2">
        <f>IFERROR(__xludf.DUMMYFUNCTION("""COMPUTED_VALUE"""),0.0)</f>
        <v>0</v>
      </c>
      <c r="K2200" s="5" t="str">
        <f>IFERROR(__xludf.DUMMYFUNCTION("""COMPUTED_VALUE"""),"")</f>
        <v/>
      </c>
      <c r="L2200" t="str">
        <f>IFERROR(__xludf.DUMMYFUNCTION("""COMPUTED_VALUE"""),"")</f>
        <v/>
      </c>
      <c r="M2200" t="str">
        <f>IFERROR(__xludf.DUMMYFUNCTION("""COMPUTED_VALUE"""),"")</f>
        <v/>
      </c>
      <c r="N2200" t="str">
        <f>IFERROR(__xludf.DUMMYFUNCTION("""COMPUTED_VALUE"""),"")</f>
        <v/>
      </c>
      <c r="O2200" t="str">
        <f>IFERROR(__xludf.DUMMYFUNCTION("""COMPUTED_VALUE"""),"")</f>
        <v/>
      </c>
      <c r="P2200" t="str">
        <f>IFERROR(__xludf.DUMMYFUNCTION("""COMPUTED_VALUE"""),"ID ")</f>
        <v>ID </v>
      </c>
    </row>
    <row r="2201">
      <c r="A2201" s="6" t="str">
        <f>IFERROR(__xludf.DUMMYFUNCTION("""COMPUTED_VALUE"""),"")</f>
        <v/>
      </c>
      <c r="C2201" t="str">
        <f>IFERROR(__xludf.DUMMYFUNCTION("""COMPUTED_VALUE"""),"")</f>
        <v/>
      </c>
      <c r="D2201" t="str">
        <f>IFERROR(__xludf.DUMMYFUNCTION("""COMPUTED_VALUE"""),"")</f>
        <v/>
      </c>
      <c r="E2201" t="str">
        <f>IFERROR(__xludf.DUMMYFUNCTION("""COMPUTED_VALUE"""),"")</f>
        <v/>
      </c>
      <c r="F2201" t="str">
        <f>IFERROR(__xludf.DUMMYFUNCTION("""COMPUTED_VALUE"""),"")</f>
        <v/>
      </c>
      <c r="G2201" t="str">
        <f>IFERROR(__xludf.DUMMYFUNCTION("""COMPUTED_VALUE"""),"")</f>
        <v/>
      </c>
      <c r="H2201" s="2" t="str">
        <f>IFERROR(__xludf.DUMMYFUNCTION("""COMPUTED_VALUE"""),"")</f>
        <v/>
      </c>
      <c r="I2201" s="2" t="str">
        <f>IFERROR(__xludf.DUMMYFUNCTION("""COMPUTED_VALUE"""),"")</f>
        <v/>
      </c>
      <c r="J2201" s="2">
        <f>IFERROR(__xludf.DUMMYFUNCTION("""COMPUTED_VALUE"""),0.0)</f>
        <v>0</v>
      </c>
      <c r="K2201" s="5" t="str">
        <f>IFERROR(__xludf.DUMMYFUNCTION("""COMPUTED_VALUE"""),"")</f>
        <v/>
      </c>
      <c r="L2201" t="str">
        <f>IFERROR(__xludf.DUMMYFUNCTION("""COMPUTED_VALUE"""),"")</f>
        <v/>
      </c>
      <c r="M2201" t="str">
        <f>IFERROR(__xludf.DUMMYFUNCTION("""COMPUTED_VALUE"""),"")</f>
        <v/>
      </c>
      <c r="N2201" t="str">
        <f>IFERROR(__xludf.DUMMYFUNCTION("""COMPUTED_VALUE"""),"")</f>
        <v/>
      </c>
      <c r="O2201" t="str">
        <f>IFERROR(__xludf.DUMMYFUNCTION("""COMPUTED_VALUE"""),"")</f>
        <v/>
      </c>
      <c r="P2201" t="str">
        <f>IFERROR(__xludf.DUMMYFUNCTION("""COMPUTED_VALUE"""),"ID ")</f>
        <v>ID </v>
      </c>
    </row>
    <row r="2202">
      <c r="A2202" s="6" t="str">
        <f>IFERROR(__xludf.DUMMYFUNCTION("""COMPUTED_VALUE"""),"")</f>
        <v/>
      </c>
      <c r="C2202" t="str">
        <f>IFERROR(__xludf.DUMMYFUNCTION("""COMPUTED_VALUE"""),"")</f>
        <v/>
      </c>
      <c r="D2202" t="str">
        <f>IFERROR(__xludf.DUMMYFUNCTION("""COMPUTED_VALUE"""),"")</f>
        <v/>
      </c>
      <c r="E2202" t="str">
        <f>IFERROR(__xludf.DUMMYFUNCTION("""COMPUTED_VALUE"""),"")</f>
        <v/>
      </c>
      <c r="F2202" t="str">
        <f>IFERROR(__xludf.DUMMYFUNCTION("""COMPUTED_VALUE"""),"")</f>
        <v/>
      </c>
      <c r="G2202" t="str">
        <f>IFERROR(__xludf.DUMMYFUNCTION("""COMPUTED_VALUE"""),"")</f>
        <v/>
      </c>
      <c r="H2202" s="2" t="str">
        <f>IFERROR(__xludf.DUMMYFUNCTION("""COMPUTED_VALUE"""),"")</f>
        <v/>
      </c>
      <c r="I2202" s="2" t="str">
        <f>IFERROR(__xludf.DUMMYFUNCTION("""COMPUTED_VALUE"""),"")</f>
        <v/>
      </c>
      <c r="J2202" s="2">
        <f>IFERROR(__xludf.DUMMYFUNCTION("""COMPUTED_VALUE"""),0.0)</f>
        <v>0</v>
      </c>
      <c r="K2202" s="5" t="str">
        <f>IFERROR(__xludf.DUMMYFUNCTION("""COMPUTED_VALUE"""),"")</f>
        <v/>
      </c>
      <c r="L2202" t="str">
        <f>IFERROR(__xludf.DUMMYFUNCTION("""COMPUTED_VALUE"""),"")</f>
        <v/>
      </c>
      <c r="M2202" t="str">
        <f>IFERROR(__xludf.DUMMYFUNCTION("""COMPUTED_VALUE"""),"")</f>
        <v/>
      </c>
      <c r="N2202" t="str">
        <f>IFERROR(__xludf.DUMMYFUNCTION("""COMPUTED_VALUE"""),"")</f>
        <v/>
      </c>
      <c r="O2202" t="str">
        <f>IFERROR(__xludf.DUMMYFUNCTION("""COMPUTED_VALUE"""),"")</f>
        <v/>
      </c>
      <c r="P2202" t="str">
        <f>IFERROR(__xludf.DUMMYFUNCTION("""COMPUTED_VALUE"""),"ID ")</f>
        <v>ID </v>
      </c>
    </row>
    <row r="2203">
      <c r="A2203" s="6" t="str">
        <f>IFERROR(__xludf.DUMMYFUNCTION("""COMPUTED_VALUE"""),"")</f>
        <v/>
      </c>
      <c r="C2203" t="str">
        <f>IFERROR(__xludf.DUMMYFUNCTION("""COMPUTED_VALUE"""),"")</f>
        <v/>
      </c>
      <c r="D2203" t="str">
        <f>IFERROR(__xludf.DUMMYFUNCTION("""COMPUTED_VALUE"""),"")</f>
        <v/>
      </c>
      <c r="E2203" t="str">
        <f>IFERROR(__xludf.DUMMYFUNCTION("""COMPUTED_VALUE"""),"")</f>
        <v/>
      </c>
      <c r="F2203" t="str">
        <f>IFERROR(__xludf.DUMMYFUNCTION("""COMPUTED_VALUE"""),"")</f>
        <v/>
      </c>
      <c r="G2203" t="str">
        <f>IFERROR(__xludf.DUMMYFUNCTION("""COMPUTED_VALUE"""),"")</f>
        <v/>
      </c>
      <c r="H2203" s="2" t="str">
        <f>IFERROR(__xludf.DUMMYFUNCTION("""COMPUTED_VALUE"""),"")</f>
        <v/>
      </c>
      <c r="I2203" s="2" t="str">
        <f>IFERROR(__xludf.DUMMYFUNCTION("""COMPUTED_VALUE"""),"")</f>
        <v/>
      </c>
      <c r="J2203" s="2">
        <f>IFERROR(__xludf.DUMMYFUNCTION("""COMPUTED_VALUE"""),0.0)</f>
        <v>0</v>
      </c>
      <c r="K2203" s="5" t="str">
        <f>IFERROR(__xludf.DUMMYFUNCTION("""COMPUTED_VALUE"""),"")</f>
        <v/>
      </c>
      <c r="L2203" t="str">
        <f>IFERROR(__xludf.DUMMYFUNCTION("""COMPUTED_VALUE"""),"")</f>
        <v/>
      </c>
      <c r="M2203" t="str">
        <f>IFERROR(__xludf.DUMMYFUNCTION("""COMPUTED_VALUE"""),"")</f>
        <v/>
      </c>
      <c r="N2203" t="str">
        <f>IFERROR(__xludf.DUMMYFUNCTION("""COMPUTED_VALUE"""),"")</f>
        <v/>
      </c>
      <c r="O2203" t="str">
        <f>IFERROR(__xludf.DUMMYFUNCTION("""COMPUTED_VALUE"""),"")</f>
        <v/>
      </c>
      <c r="P2203" t="str">
        <f>IFERROR(__xludf.DUMMYFUNCTION("""COMPUTED_VALUE"""),"ID ")</f>
        <v>ID </v>
      </c>
    </row>
    <row r="2204">
      <c r="A2204" s="6" t="str">
        <f>IFERROR(__xludf.DUMMYFUNCTION("""COMPUTED_VALUE"""),"")</f>
        <v/>
      </c>
      <c r="C2204" t="str">
        <f>IFERROR(__xludf.DUMMYFUNCTION("""COMPUTED_VALUE"""),"")</f>
        <v/>
      </c>
      <c r="D2204" t="str">
        <f>IFERROR(__xludf.DUMMYFUNCTION("""COMPUTED_VALUE"""),"")</f>
        <v/>
      </c>
      <c r="E2204" t="str">
        <f>IFERROR(__xludf.DUMMYFUNCTION("""COMPUTED_VALUE"""),"")</f>
        <v/>
      </c>
      <c r="F2204" t="str">
        <f>IFERROR(__xludf.DUMMYFUNCTION("""COMPUTED_VALUE"""),"")</f>
        <v/>
      </c>
      <c r="G2204" t="str">
        <f>IFERROR(__xludf.DUMMYFUNCTION("""COMPUTED_VALUE"""),"")</f>
        <v/>
      </c>
      <c r="H2204" s="2" t="str">
        <f>IFERROR(__xludf.DUMMYFUNCTION("""COMPUTED_VALUE"""),"")</f>
        <v/>
      </c>
      <c r="I2204" s="2" t="str">
        <f>IFERROR(__xludf.DUMMYFUNCTION("""COMPUTED_VALUE"""),"")</f>
        <v/>
      </c>
      <c r="J2204" s="2">
        <f>IFERROR(__xludf.DUMMYFUNCTION("""COMPUTED_VALUE"""),0.0)</f>
        <v>0</v>
      </c>
      <c r="K2204" s="5" t="str">
        <f>IFERROR(__xludf.DUMMYFUNCTION("""COMPUTED_VALUE"""),"")</f>
        <v/>
      </c>
      <c r="L2204" t="str">
        <f>IFERROR(__xludf.DUMMYFUNCTION("""COMPUTED_VALUE"""),"")</f>
        <v/>
      </c>
      <c r="M2204" t="str">
        <f>IFERROR(__xludf.DUMMYFUNCTION("""COMPUTED_VALUE"""),"")</f>
        <v/>
      </c>
      <c r="N2204" t="str">
        <f>IFERROR(__xludf.DUMMYFUNCTION("""COMPUTED_VALUE"""),"")</f>
        <v/>
      </c>
      <c r="O2204" t="str">
        <f>IFERROR(__xludf.DUMMYFUNCTION("""COMPUTED_VALUE"""),"")</f>
        <v/>
      </c>
      <c r="P2204" t="str">
        <f>IFERROR(__xludf.DUMMYFUNCTION("""COMPUTED_VALUE"""),"ID ")</f>
        <v>ID </v>
      </c>
    </row>
    <row r="2205">
      <c r="A2205" s="6" t="str">
        <f>IFERROR(__xludf.DUMMYFUNCTION("""COMPUTED_VALUE"""),"")</f>
        <v/>
      </c>
      <c r="C2205" t="str">
        <f>IFERROR(__xludf.DUMMYFUNCTION("""COMPUTED_VALUE"""),"")</f>
        <v/>
      </c>
      <c r="D2205" t="str">
        <f>IFERROR(__xludf.DUMMYFUNCTION("""COMPUTED_VALUE"""),"")</f>
        <v/>
      </c>
      <c r="E2205" t="str">
        <f>IFERROR(__xludf.DUMMYFUNCTION("""COMPUTED_VALUE"""),"")</f>
        <v/>
      </c>
      <c r="F2205" t="str">
        <f>IFERROR(__xludf.DUMMYFUNCTION("""COMPUTED_VALUE"""),"")</f>
        <v/>
      </c>
      <c r="G2205" t="str">
        <f>IFERROR(__xludf.DUMMYFUNCTION("""COMPUTED_VALUE"""),"")</f>
        <v/>
      </c>
      <c r="H2205" s="2" t="str">
        <f>IFERROR(__xludf.DUMMYFUNCTION("""COMPUTED_VALUE"""),"")</f>
        <v/>
      </c>
      <c r="I2205" s="2" t="str">
        <f>IFERROR(__xludf.DUMMYFUNCTION("""COMPUTED_VALUE"""),"")</f>
        <v/>
      </c>
      <c r="J2205" s="2">
        <f>IFERROR(__xludf.DUMMYFUNCTION("""COMPUTED_VALUE"""),0.0)</f>
        <v>0</v>
      </c>
      <c r="K2205" s="5" t="str">
        <f>IFERROR(__xludf.DUMMYFUNCTION("""COMPUTED_VALUE"""),"")</f>
        <v/>
      </c>
      <c r="L2205" t="str">
        <f>IFERROR(__xludf.DUMMYFUNCTION("""COMPUTED_VALUE"""),"")</f>
        <v/>
      </c>
      <c r="M2205" t="str">
        <f>IFERROR(__xludf.DUMMYFUNCTION("""COMPUTED_VALUE"""),"")</f>
        <v/>
      </c>
      <c r="N2205" t="str">
        <f>IFERROR(__xludf.DUMMYFUNCTION("""COMPUTED_VALUE"""),"")</f>
        <v/>
      </c>
      <c r="O2205" t="str">
        <f>IFERROR(__xludf.DUMMYFUNCTION("""COMPUTED_VALUE"""),"")</f>
        <v/>
      </c>
      <c r="P2205" t="str">
        <f>IFERROR(__xludf.DUMMYFUNCTION("""COMPUTED_VALUE"""),"ID ")</f>
        <v>ID </v>
      </c>
    </row>
    <row r="2206">
      <c r="A2206" s="6" t="str">
        <f>IFERROR(__xludf.DUMMYFUNCTION("""COMPUTED_VALUE"""),"")</f>
        <v/>
      </c>
      <c r="C2206" t="str">
        <f>IFERROR(__xludf.DUMMYFUNCTION("""COMPUTED_VALUE"""),"")</f>
        <v/>
      </c>
      <c r="D2206" t="str">
        <f>IFERROR(__xludf.DUMMYFUNCTION("""COMPUTED_VALUE"""),"")</f>
        <v/>
      </c>
      <c r="E2206" t="str">
        <f>IFERROR(__xludf.DUMMYFUNCTION("""COMPUTED_VALUE"""),"")</f>
        <v/>
      </c>
      <c r="F2206" t="str">
        <f>IFERROR(__xludf.DUMMYFUNCTION("""COMPUTED_VALUE"""),"")</f>
        <v/>
      </c>
      <c r="G2206" t="str">
        <f>IFERROR(__xludf.DUMMYFUNCTION("""COMPUTED_VALUE"""),"")</f>
        <v/>
      </c>
      <c r="H2206" s="2" t="str">
        <f>IFERROR(__xludf.DUMMYFUNCTION("""COMPUTED_VALUE"""),"")</f>
        <v/>
      </c>
      <c r="I2206" s="2" t="str">
        <f>IFERROR(__xludf.DUMMYFUNCTION("""COMPUTED_VALUE"""),"")</f>
        <v/>
      </c>
      <c r="J2206" s="2">
        <f>IFERROR(__xludf.DUMMYFUNCTION("""COMPUTED_VALUE"""),0.0)</f>
        <v>0</v>
      </c>
      <c r="K2206" s="5" t="str">
        <f>IFERROR(__xludf.DUMMYFUNCTION("""COMPUTED_VALUE"""),"")</f>
        <v/>
      </c>
      <c r="L2206" t="str">
        <f>IFERROR(__xludf.DUMMYFUNCTION("""COMPUTED_VALUE"""),"")</f>
        <v/>
      </c>
      <c r="M2206" t="str">
        <f>IFERROR(__xludf.DUMMYFUNCTION("""COMPUTED_VALUE"""),"")</f>
        <v/>
      </c>
      <c r="N2206" t="str">
        <f>IFERROR(__xludf.DUMMYFUNCTION("""COMPUTED_VALUE"""),"")</f>
        <v/>
      </c>
      <c r="O2206" t="str">
        <f>IFERROR(__xludf.DUMMYFUNCTION("""COMPUTED_VALUE"""),"")</f>
        <v/>
      </c>
      <c r="P2206" t="str">
        <f>IFERROR(__xludf.DUMMYFUNCTION("""COMPUTED_VALUE"""),"ID ")</f>
        <v>ID </v>
      </c>
    </row>
    <row r="2207">
      <c r="A2207" s="6" t="str">
        <f>IFERROR(__xludf.DUMMYFUNCTION("""COMPUTED_VALUE"""),"")</f>
        <v/>
      </c>
      <c r="C2207" t="str">
        <f>IFERROR(__xludf.DUMMYFUNCTION("""COMPUTED_VALUE"""),"")</f>
        <v/>
      </c>
      <c r="D2207" t="str">
        <f>IFERROR(__xludf.DUMMYFUNCTION("""COMPUTED_VALUE"""),"")</f>
        <v/>
      </c>
      <c r="E2207" t="str">
        <f>IFERROR(__xludf.DUMMYFUNCTION("""COMPUTED_VALUE"""),"")</f>
        <v/>
      </c>
      <c r="F2207" t="str">
        <f>IFERROR(__xludf.DUMMYFUNCTION("""COMPUTED_VALUE"""),"")</f>
        <v/>
      </c>
      <c r="G2207" t="str">
        <f>IFERROR(__xludf.DUMMYFUNCTION("""COMPUTED_VALUE"""),"")</f>
        <v/>
      </c>
      <c r="H2207" s="2" t="str">
        <f>IFERROR(__xludf.DUMMYFUNCTION("""COMPUTED_VALUE"""),"")</f>
        <v/>
      </c>
      <c r="I2207" s="2" t="str">
        <f>IFERROR(__xludf.DUMMYFUNCTION("""COMPUTED_VALUE"""),"")</f>
        <v/>
      </c>
      <c r="J2207" s="2">
        <f>IFERROR(__xludf.DUMMYFUNCTION("""COMPUTED_VALUE"""),0.0)</f>
        <v>0</v>
      </c>
      <c r="K2207" s="5" t="str">
        <f>IFERROR(__xludf.DUMMYFUNCTION("""COMPUTED_VALUE"""),"")</f>
        <v/>
      </c>
      <c r="L2207" t="str">
        <f>IFERROR(__xludf.DUMMYFUNCTION("""COMPUTED_VALUE"""),"")</f>
        <v/>
      </c>
      <c r="M2207" t="str">
        <f>IFERROR(__xludf.DUMMYFUNCTION("""COMPUTED_VALUE"""),"")</f>
        <v/>
      </c>
      <c r="N2207" t="str">
        <f>IFERROR(__xludf.DUMMYFUNCTION("""COMPUTED_VALUE"""),"")</f>
        <v/>
      </c>
      <c r="O2207" t="str">
        <f>IFERROR(__xludf.DUMMYFUNCTION("""COMPUTED_VALUE"""),"")</f>
        <v/>
      </c>
      <c r="P2207" t="str">
        <f>IFERROR(__xludf.DUMMYFUNCTION("""COMPUTED_VALUE"""),"ID ")</f>
        <v>ID </v>
      </c>
    </row>
    <row r="2208">
      <c r="A2208" s="6" t="str">
        <f>IFERROR(__xludf.DUMMYFUNCTION("""COMPUTED_VALUE"""),"")</f>
        <v/>
      </c>
      <c r="C2208" t="str">
        <f>IFERROR(__xludf.DUMMYFUNCTION("""COMPUTED_VALUE"""),"")</f>
        <v/>
      </c>
      <c r="D2208" t="str">
        <f>IFERROR(__xludf.DUMMYFUNCTION("""COMPUTED_VALUE"""),"")</f>
        <v/>
      </c>
      <c r="E2208" t="str">
        <f>IFERROR(__xludf.DUMMYFUNCTION("""COMPUTED_VALUE"""),"")</f>
        <v/>
      </c>
      <c r="F2208" t="str">
        <f>IFERROR(__xludf.DUMMYFUNCTION("""COMPUTED_VALUE"""),"")</f>
        <v/>
      </c>
      <c r="G2208" t="str">
        <f>IFERROR(__xludf.DUMMYFUNCTION("""COMPUTED_VALUE"""),"")</f>
        <v/>
      </c>
      <c r="H2208" s="2" t="str">
        <f>IFERROR(__xludf.DUMMYFUNCTION("""COMPUTED_VALUE"""),"")</f>
        <v/>
      </c>
      <c r="I2208" s="2" t="str">
        <f>IFERROR(__xludf.DUMMYFUNCTION("""COMPUTED_VALUE"""),"")</f>
        <v/>
      </c>
      <c r="J2208" s="2">
        <f>IFERROR(__xludf.DUMMYFUNCTION("""COMPUTED_VALUE"""),0.0)</f>
        <v>0</v>
      </c>
      <c r="K2208" s="5" t="str">
        <f>IFERROR(__xludf.DUMMYFUNCTION("""COMPUTED_VALUE"""),"")</f>
        <v/>
      </c>
      <c r="L2208" t="str">
        <f>IFERROR(__xludf.DUMMYFUNCTION("""COMPUTED_VALUE"""),"")</f>
        <v/>
      </c>
      <c r="M2208" t="str">
        <f>IFERROR(__xludf.DUMMYFUNCTION("""COMPUTED_VALUE"""),"")</f>
        <v/>
      </c>
      <c r="N2208" t="str">
        <f>IFERROR(__xludf.DUMMYFUNCTION("""COMPUTED_VALUE"""),"")</f>
        <v/>
      </c>
      <c r="O2208" t="str">
        <f>IFERROR(__xludf.DUMMYFUNCTION("""COMPUTED_VALUE"""),"")</f>
        <v/>
      </c>
      <c r="P2208" t="str">
        <f>IFERROR(__xludf.DUMMYFUNCTION("""COMPUTED_VALUE"""),"ID ")</f>
        <v>ID </v>
      </c>
    </row>
    <row r="2209">
      <c r="A2209" s="6" t="str">
        <f>IFERROR(__xludf.DUMMYFUNCTION("""COMPUTED_VALUE"""),"")</f>
        <v/>
      </c>
      <c r="C2209" t="str">
        <f>IFERROR(__xludf.DUMMYFUNCTION("""COMPUTED_VALUE"""),"")</f>
        <v/>
      </c>
      <c r="D2209" t="str">
        <f>IFERROR(__xludf.DUMMYFUNCTION("""COMPUTED_VALUE"""),"")</f>
        <v/>
      </c>
      <c r="E2209" t="str">
        <f>IFERROR(__xludf.DUMMYFUNCTION("""COMPUTED_VALUE"""),"")</f>
        <v/>
      </c>
      <c r="F2209" t="str">
        <f>IFERROR(__xludf.DUMMYFUNCTION("""COMPUTED_VALUE"""),"")</f>
        <v/>
      </c>
      <c r="G2209" t="str">
        <f>IFERROR(__xludf.DUMMYFUNCTION("""COMPUTED_VALUE"""),"")</f>
        <v/>
      </c>
      <c r="H2209" s="2" t="str">
        <f>IFERROR(__xludf.DUMMYFUNCTION("""COMPUTED_VALUE"""),"")</f>
        <v/>
      </c>
      <c r="I2209" s="2" t="str">
        <f>IFERROR(__xludf.DUMMYFUNCTION("""COMPUTED_VALUE"""),"")</f>
        <v/>
      </c>
      <c r="J2209" s="2">
        <f>IFERROR(__xludf.DUMMYFUNCTION("""COMPUTED_VALUE"""),0.0)</f>
        <v>0</v>
      </c>
      <c r="K2209" s="5" t="str">
        <f>IFERROR(__xludf.DUMMYFUNCTION("""COMPUTED_VALUE"""),"")</f>
        <v/>
      </c>
      <c r="L2209" t="str">
        <f>IFERROR(__xludf.DUMMYFUNCTION("""COMPUTED_VALUE"""),"")</f>
        <v/>
      </c>
      <c r="M2209" t="str">
        <f>IFERROR(__xludf.DUMMYFUNCTION("""COMPUTED_VALUE"""),"")</f>
        <v/>
      </c>
      <c r="N2209" t="str">
        <f>IFERROR(__xludf.DUMMYFUNCTION("""COMPUTED_VALUE"""),"")</f>
        <v/>
      </c>
      <c r="O2209" t="str">
        <f>IFERROR(__xludf.DUMMYFUNCTION("""COMPUTED_VALUE"""),"")</f>
        <v/>
      </c>
      <c r="P2209" t="str">
        <f>IFERROR(__xludf.DUMMYFUNCTION("""COMPUTED_VALUE"""),"ID ")</f>
        <v>ID </v>
      </c>
    </row>
    <row r="2210">
      <c r="A2210" s="6" t="str">
        <f>IFERROR(__xludf.DUMMYFUNCTION("""COMPUTED_VALUE"""),"")</f>
        <v/>
      </c>
      <c r="C2210" t="str">
        <f>IFERROR(__xludf.DUMMYFUNCTION("""COMPUTED_VALUE"""),"")</f>
        <v/>
      </c>
      <c r="D2210" t="str">
        <f>IFERROR(__xludf.DUMMYFUNCTION("""COMPUTED_VALUE"""),"")</f>
        <v/>
      </c>
      <c r="E2210" t="str">
        <f>IFERROR(__xludf.DUMMYFUNCTION("""COMPUTED_VALUE"""),"")</f>
        <v/>
      </c>
      <c r="F2210" t="str">
        <f>IFERROR(__xludf.DUMMYFUNCTION("""COMPUTED_VALUE"""),"")</f>
        <v/>
      </c>
      <c r="G2210" t="str">
        <f>IFERROR(__xludf.DUMMYFUNCTION("""COMPUTED_VALUE"""),"")</f>
        <v/>
      </c>
      <c r="H2210" s="2" t="str">
        <f>IFERROR(__xludf.DUMMYFUNCTION("""COMPUTED_VALUE"""),"")</f>
        <v/>
      </c>
      <c r="I2210" s="2" t="str">
        <f>IFERROR(__xludf.DUMMYFUNCTION("""COMPUTED_VALUE"""),"")</f>
        <v/>
      </c>
      <c r="J2210" s="2">
        <f>IFERROR(__xludf.DUMMYFUNCTION("""COMPUTED_VALUE"""),0.0)</f>
        <v>0</v>
      </c>
      <c r="K2210" s="5" t="str">
        <f>IFERROR(__xludf.DUMMYFUNCTION("""COMPUTED_VALUE"""),"")</f>
        <v/>
      </c>
      <c r="L2210" t="str">
        <f>IFERROR(__xludf.DUMMYFUNCTION("""COMPUTED_VALUE"""),"")</f>
        <v/>
      </c>
      <c r="M2210" t="str">
        <f>IFERROR(__xludf.DUMMYFUNCTION("""COMPUTED_VALUE"""),"")</f>
        <v/>
      </c>
      <c r="N2210" t="str">
        <f>IFERROR(__xludf.DUMMYFUNCTION("""COMPUTED_VALUE"""),"")</f>
        <v/>
      </c>
      <c r="O2210" t="str">
        <f>IFERROR(__xludf.DUMMYFUNCTION("""COMPUTED_VALUE"""),"")</f>
        <v/>
      </c>
      <c r="P2210" t="str">
        <f>IFERROR(__xludf.DUMMYFUNCTION("""COMPUTED_VALUE"""),"ID ")</f>
        <v>ID </v>
      </c>
    </row>
    <row r="2211">
      <c r="A2211" s="6" t="str">
        <f>IFERROR(__xludf.DUMMYFUNCTION("""COMPUTED_VALUE"""),"")</f>
        <v/>
      </c>
      <c r="C2211" t="str">
        <f>IFERROR(__xludf.DUMMYFUNCTION("""COMPUTED_VALUE"""),"")</f>
        <v/>
      </c>
      <c r="D2211" t="str">
        <f>IFERROR(__xludf.DUMMYFUNCTION("""COMPUTED_VALUE"""),"")</f>
        <v/>
      </c>
      <c r="E2211" t="str">
        <f>IFERROR(__xludf.DUMMYFUNCTION("""COMPUTED_VALUE"""),"")</f>
        <v/>
      </c>
      <c r="F2211" t="str">
        <f>IFERROR(__xludf.DUMMYFUNCTION("""COMPUTED_VALUE"""),"")</f>
        <v/>
      </c>
      <c r="G2211" t="str">
        <f>IFERROR(__xludf.DUMMYFUNCTION("""COMPUTED_VALUE"""),"")</f>
        <v/>
      </c>
      <c r="H2211" s="2" t="str">
        <f>IFERROR(__xludf.DUMMYFUNCTION("""COMPUTED_VALUE"""),"")</f>
        <v/>
      </c>
      <c r="I2211" s="2" t="str">
        <f>IFERROR(__xludf.DUMMYFUNCTION("""COMPUTED_VALUE"""),"")</f>
        <v/>
      </c>
      <c r="J2211" s="2">
        <f>IFERROR(__xludf.DUMMYFUNCTION("""COMPUTED_VALUE"""),0.0)</f>
        <v>0</v>
      </c>
      <c r="K2211" s="5" t="str">
        <f>IFERROR(__xludf.DUMMYFUNCTION("""COMPUTED_VALUE"""),"")</f>
        <v/>
      </c>
      <c r="L2211" t="str">
        <f>IFERROR(__xludf.DUMMYFUNCTION("""COMPUTED_VALUE"""),"")</f>
        <v/>
      </c>
      <c r="M2211" t="str">
        <f>IFERROR(__xludf.DUMMYFUNCTION("""COMPUTED_VALUE"""),"")</f>
        <v/>
      </c>
      <c r="N2211" t="str">
        <f>IFERROR(__xludf.DUMMYFUNCTION("""COMPUTED_VALUE"""),"")</f>
        <v/>
      </c>
      <c r="O2211" t="str">
        <f>IFERROR(__xludf.DUMMYFUNCTION("""COMPUTED_VALUE"""),"")</f>
        <v/>
      </c>
      <c r="P2211" t="str">
        <f>IFERROR(__xludf.DUMMYFUNCTION("""COMPUTED_VALUE"""),"ID ")</f>
        <v>ID </v>
      </c>
    </row>
    <row r="2212">
      <c r="A2212" s="6" t="str">
        <f>IFERROR(__xludf.DUMMYFUNCTION("""COMPUTED_VALUE"""),"")</f>
        <v/>
      </c>
      <c r="C2212" t="str">
        <f>IFERROR(__xludf.DUMMYFUNCTION("""COMPUTED_VALUE"""),"")</f>
        <v/>
      </c>
      <c r="D2212" t="str">
        <f>IFERROR(__xludf.DUMMYFUNCTION("""COMPUTED_VALUE"""),"")</f>
        <v/>
      </c>
      <c r="E2212" t="str">
        <f>IFERROR(__xludf.DUMMYFUNCTION("""COMPUTED_VALUE"""),"")</f>
        <v/>
      </c>
      <c r="F2212" t="str">
        <f>IFERROR(__xludf.DUMMYFUNCTION("""COMPUTED_VALUE"""),"")</f>
        <v/>
      </c>
      <c r="G2212" t="str">
        <f>IFERROR(__xludf.DUMMYFUNCTION("""COMPUTED_VALUE"""),"")</f>
        <v/>
      </c>
      <c r="H2212" s="2" t="str">
        <f>IFERROR(__xludf.DUMMYFUNCTION("""COMPUTED_VALUE"""),"")</f>
        <v/>
      </c>
      <c r="I2212" s="2" t="str">
        <f>IFERROR(__xludf.DUMMYFUNCTION("""COMPUTED_VALUE"""),"")</f>
        <v/>
      </c>
      <c r="J2212" s="2">
        <f>IFERROR(__xludf.DUMMYFUNCTION("""COMPUTED_VALUE"""),0.0)</f>
        <v>0</v>
      </c>
      <c r="K2212" s="5" t="str">
        <f>IFERROR(__xludf.DUMMYFUNCTION("""COMPUTED_VALUE"""),"")</f>
        <v/>
      </c>
      <c r="L2212" t="str">
        <f>IFERROR(__xludf.DUMMYFUNCTION("""COMPUTED_VALUE"""),"")</f>
        <v/>
      </c>
      <c r="M2212" t="str">
        <f>IFERROR(__xludf.DUMMYFUNCTION("""COMPUTED_VALUE"""),"")</f>
        <v/>
      </c>
      <c r="N2212" t="str">
        <f>IFERROR(__xludf.DUMMYFUNCTION("""COMPUTED_VALUE"""),"")</f>
        <v/>
      </c>
      <c r="O2212" t="str">
        <f>IFERROR(__xludf.DUMMYFUNCTION("""COMPUTED_VALUE"""),"")</f>
        <v/>
      </c>
      <c r="P2212" t="str">
        <f>IFERROR(__xludf.DUMMYFUNCTION("""COMPUTED_VALUE"""),"ID ")</f>
        <v>ID </v>
      </c>
    </row>
    <row r="2213">
      <c r="A2213" s="6" t="str">
        <f>IFERROR(__xludf.DUMMYFUNCTION("""COMPUTED_VALUE"""),"")</f>
        <v/>
      </c>
      <c r="C2213" t="str">
        <f>IFERROR(__xludf.DUMMYFUNCTION("""COMPUTED_VALUE"""),"")</f>
        <v/>
      </c>
      <c r="D2213" t="str">
        <f>IFERROR(__xludf.DUMMYFUNCTION("""COMPUTED_VALUE"""),"")</f>
        <v/>
      </c>
      <c r="E2213" t="str">
        <f>IFERROR(__xludf.DUMMYFUNCTION("""COMPUTED_VALUE"""),"")</f>
        <v/>
      </c>
      <c r="F2213" t="str">
        <f>IFERROR(__xludf.DUMMYFUNCTION("""COMPUTED_VALUE"""),"")</f>
        <v/>
      </c>
      <c r="G2213" t="str">
        <f>IFERROR(__xludf.DUMMYFUNCTION("""COMPUTED_VALUE"""),"")</f>
        <v/>
      </c>
      <c r="H2213" s="2" t="str">
        <f>IFERROR(__xludf.DUMMYFUNCTION("""COMPUTED_VALUE"""),"")</f>
        <v/>
      </c>
      <c r="I2213" s="2" t="str">
        <f>IFERROR(__xludf.DUMMYFUNCTION("""COMPUTED_VALUE"""),"")</f>
        <v/>
      </c>
      <c r="J2213" s="2">
        <f>IFERROR(__xludf.DUMMYFUNCTION("""COMPUTED_VALUE"""),0.0)</f>
        <v>0</v>
      </c>
      <c r="K2213" s="5" t="str">
        <f>IFERROR(__xludf.DUMMYFUNCTION("""COMPUTED_VALUE"""),"")</f>
        <v/>
      </c>
      <c r="L2213" t="str">
        <f>IFERROR(__xludf.DUMMYFUNCTION("""COMPUTED_VALUE"""),"")</f>
        <v/>
      </c>
      <c r="M2213" t="str">
        <f>IFERROR(__xludf.DUMMYFUNCTION("""COMPUTED_VALUE"""),"")</f>
        <v/>
      </c>
      <c r="N2213" t="str">
        <f>IFERROR(__xludf.DUMMYFUNCTION("""COMPUTED_VALUE"""),"")</f>
        <v/>
      </c>
      <c r="O2213" t="str">
        <f>IFERROR(__xludf.DUMMYFUNCTION("""COMPUTED_VALUE"""),"")</f>
        <v/>
      </c>
      <c r="P2213" t="str">
        <f>IFERROR(__xludf.DUMMYFUNCTION("""COMPUTED_VALUE"""),"ID ")</f>
        <v>ID </v>
      </c>
    </row>
    <row r="2214">
      <c r="A2214" s="6" t="str">
        <f>IFERROR(__xludf.DUMMYFUNCTION("""COMPUTED_VALUE"""),"")</f>
        <v/>
      </c>
      <c r="C2214" t="str">
        <f>IFERROR(__xludf.DUMMYFUNCTION("""COMPUTED_VALUE"""),"")</f>
        <v/>
      </c>
      <c r="D2214" t="str">
        <f>IFERROR(__xludf.DUMMYFUNCTION("""COMPUTED_VALUE"""),"")</f>
        <v/>
      </c>
      <c r="E2214" t="str">
        <f>IFERROR(__xludf.DUMMYFUNCTION("""COMPUTED_VALUE"""),"")</f>
        <v/>
      </c>
      <c r="F2214" t="str">
        <f>IFERROR(__xludf.DUMMYFUNCTION("""COMPUTED_VALUE"""),"")</f>
        <v/>
      </c>
      <c r="G2214" t="str">
        <f>IFERROR(__xludf.DUMMYFUNCTION("""COMPUTED_VALUE"""),"")</f>
        <v/>
      </c>
      <c r="H2214" s="2" t="str">
        <f>IFERROR(__xludf.DUMMYFUNCTION("""COMPUTED_VALUE"""),"")</f>
        <v/>
      </c>
      <c r="I2214" s="2" t="str">
        <f>IFERROR(__xludf.DUMMYFUNCTION("""COMPUTED_VALUE"""),"")</f>
        <v/>
      </c>
      <c r="J2214" s="2">
        <f>IFERROR(__xludf.DUMMYFUNCTION("""COMPUTED_VALUE"""),0.0)</f>
        <v>0</v>
      </c>
      <c r="K2214" s="5" t="str">
        <f>IFERROR(__xludf.DUMMYFUNCTION("""COMPUTED_VALUE"""),"")</f>
        <v/>
      </c>
      <c r="L2214" t="str">
        <f>IFERROR(__xludf.DUMMYFUNCTION("""COMPUTED_VALUE"""),"")</f>
        <v/>
      </c>
      <c r="M2214" t="str">
        <f>IFERROR(__xludf.DUMMYFUNCTION("""COMPUTED_VALUE"""),"")</f>
        <v/>
      </c>
      <c r="N2214" t="str">
        <f>IFERROR(__xludf.DUMMYFUNCTION("""COMPUTED_VALUE"""),"")</f>
        <v/>
      </c>
      <c r="O2214" t="str">
        <f>IFERROR(__xludf.DUMMYFUNCTION("""COMPUTED_VALUE"""),"")</f>
        <v/>
      </c>
      <c r="P2214" t="str">
        <f>IFERROR(__xludf.DUMMYFUNCTION("""COMPUTED_VALUE"""),"ID ")</f>
        <v>ID </v>
      </c>
    </row>
    <row r="2215">
      <c r="A2215" s="6" t="str">
        <f>IFERROR(__xludf.DUMMYFUNCTION("""COMPUTED_VALUE"""),"")</f>
        <v/>
      </c>
      <c r="C2215" t="str">
        <f>IFERROR(__xludf.DUMMYFUNCTION("""COMPUTED_VALUE"""),"")</f>
        <v/>
      </c>
      <c r="D2215" t="str">
        <f>IFERROR(__xludf.DUMMYFUNCTION("""COMPUTED_VALUE"""),"")</f>
        <v/>
      </c>
      <c r="E2215" t="str">
        <f>IFERROR(__xludf.DUMMYFUNCTION("""COMPUTED_VALUE"""),"")</f>
        <v/>
      </c>
      <c r="F2215" t="str">
        <f>IFERROR(__xludf.DUMMYFUNCTION("""COMPUTED_VALUE"""),"")</f>
        <v/>
      </c>
      <c r="G2215" t="str">
        <f>IFERROR(__xludf.DUMMYFUNCTION("""COMPUTED_VALUE"""),"")</f>
        <v/>
      </c>
      <c r="H2215" s="2" t="str">
        <f>IFERROR(__xludf.DUMMYFUNCTION("""COMPUTED_VALUE"""),"")</f>
        <v/>
      </c>
      <c r="I2215" s="2" t="str">
        <f>IFERROR(__xludf.DUMMYFUNCTION("""COMPUTED_VALUE"""),"")</f>
        <v/>
      </c>
      <c r="J2215" s="2">
        <f>IFERROR(__xludf.DUMMYFUNCTION("""COMPUTED_VALUE"""),0.0)</f>
        <v>0</v>
      </c>
      <c r="K2215" s="5" t="str">
        <f>IFERROR(__xludf.DUMMYFUNCTION("""COMPUTED_VALUE"""),"")</f>
        <v/>
      </c>
      <c r="L2215" t="str">
        <f>IFERROR(__xludf.DUMMYFUNCTION("""COMPUTED_VALUE"""),"")</f>
        <v/>
      </c>
      <c r="M2215" t="str">
        <f>IFERROR(__xludf.DUMMYFUNCTION("""COMPUTED_VALUE"""),"")</f>
        <v/>
      </c>
      <c r="N2215" t="str">
        <f>IFERROR(__xludf.DUMMYFUNCTION("""COMPUTED_VALUE"""),"")</f>
        <v/>
      </c>
      <c r="O2215" t="str">
        <f>IFERROR(__xludf.DUMMYFUNCTION("""COMPUTED_VALUE"""),"")</f>
        <v/>
      </c>
      <c r="P2215" t="str">
        <f>IFERROR(__xludf.DUMMYFUNCTION("""COMPUTED_VALUE"""),"ID ")</f>
        <v>ID </v>
      </c>
    </row>
    <row r="2216">
      <c r="A2216" s="6" t="str">
        <f>IFERROR(__xludf.DUMMYFUNCTION("""COMPUTED_VALUE"""),"")</f>
        <v/>
      </c>
      <c r="C2216" t="str">
        <f>IFERROR(__xludf.DUMMYFUNCTION("""COMPUTED_VALUE"""),"")</f>
        <v/>
      </c>
      <c r="D2216" t="str">
        <f>IFERROR(__xludf.DUMMYFUNCTION("""COMPUTED_VALUE"""),"")</f>
        <v/>
      </c>
      <c r="E2216" t="str">
        <f>IFERROR(__xludf.DUMMYFUNCTION("""COMPUTED_VALUE"""),"")</f>
        <v/>
      </c>
      <c r="F2216" t="str">
        <f>IFERROR(__xludf.DUMMYFUNCTION("""COMPUTED_VALUE"""),"")</f>
        <v/>
      </c>
      <c r="G2216" t="str">
        <f>IFERROR(__xludf.DUMMYFUNCTION("""COMPUTED_VALUE"""),"")</f>
        <v/>
      </c>
      <c r="H2216" s="2" t="str">
        <f>IFERROR(__xludf.DUMMYFUNCTION("""COMPUTED_VALUE"""),"")</f>
        <v/>
      </c>
      <c r="I2216" s="2" t="str">
        <f>IFERROR(__xludf.DUMMYFUNCTION("""COMPUTED_VALUE"""),"")</f>
        <v/>
      </c>
      <c r="J2216" s="2">
        <f>IFERROR(__xludf.DUMMYFUNCTION("""COMPUTED_VALUE"""),0.0)</f>
        <v>0</v>
      </c>
      <c r="K2216" s="5" t="str">
        <f>IFERROR(__xludf.DUMMYFUNCTION("""COMPUTED_VALUE"""),"")</f>
        <v/>
      </c>
      <c r="L2216" t="str">
        <f>IFERROR(__xludf.DUMMYFUNCTION("""COMPUTED_VALUE"""),"")</f>
        <v/>
      </c>
      <c r="M2216" t="str">
        <f>IFERROR(__xludf.DUMMYFUNCTION("""COMPUTED_VALUE"""),"")</f>
        <v/>
      </c>
      <c r="N2216" t="str">
        <f>IFERROR(__xludf.DUMMYFUNCTION("""COMPUTED_VALUE"""),"")</f>
        <v/>
      </c>
      <c r="O2216" t="str">
        <f>IFERROR(__xludf.DUMMYFUNCTION("""COMPUTED_VALUE"""),"")</f>
        <v/>
      </c>
      <c r="P2216" t="str">
        <f>IFERROR(__xludf.DUMMYFUNCTION("""COMPUTED_VALUE"""),"ID ")</f>
        <v>ID </v>
      </c>
    </row>
    <row r="2217">
      <c r="A2217" s="6" t="str">
        <f>IFERROR(__xludf.DUMMYFUNCTION("""COMPUTED_VALUE"""),"")</f>
        <v/>
      </c>
      <c r="C2217" t="str">
        <f>IFERROR(__xludf.DUMMYFUNCTION("""COMPUTED_VALUE"""),"")</f>
        <v/>
      </c>
      <c r="D2217" t="str">
        <f>IFERROR(__xludf.DUMMYFUNCTION("""COMPUTED_VALUE"""),"")</f>
        <v/>
      </c>
      <c r="E2217" t="str">
        <f>IFERROR(__xludf.DUMMYFUNCTION("""COMPUTED_VALUE"""),"")</f>
        <v/>
      </c>
      <c r="F2217" t="str">
        <f>IFERROR(__xludf.DUMMYFUNCTION("""COMPUTED_VALUE"""),"")</f>
        <v/>
      </c>
      <c r="G2217" t="str">
        <f>IFERROR(__xludf.DUMMYFUNCTION("""COMPUTED_VALUE"""),"")</f>
        <v/>
      </c>
      <c r="H2217" s="2" t="str">
        <f>IFERROR(__xludf.DUMMYFUNCTION("""COMPUTED_VALUE"""),"")</f>
        <v/>
      </c>
      <c r="I2217" s="2" t="str">
        <f>IFERROR(__xludf.DUMMYFUNCTION("""COMPUTED_VALUE"""),"")</f>
        <v/>
      </c>
      <c r="J2217" s="2">
        <f>IFERROR(__xludf.DUMMYFUNCTION("""COMPUTED_VALUE"""),0.0)</f>
        <v>0</v>
      </c>
      <c r="K2217" s="5" t="str">
        <f>IFERROR(__xludf.DUMMYFUNCTION("""COMPUTED_VALUE"""),"")</f>
        <v/>
      </c>
      <c r="L2217" t="str">
        <f>IFERROR(__xludf.DUMMYFUNCTION("""COMPUTED_VALUE"""),"")</f>
        <v/>
      </c>
      <c r="M2217" t="str">
        <f>IFERROR(__xludf.DUMMYFUNCTION("""COMPUTED_VALUE"""),"")</f>
        <v/>
      </c>
      <c r="N2217" t="str">
        <f>IFERROR(__xludf.DUMMYFUNCTION("""COMPUTED_VALUE"""),"")</f>
        <v/>
      </c>
      <c r="O2217" t="str">
        <f>IFERROR(__xludf.DUMMYFUNCTION("""COMPUTED_VALUE"""),"")</f>
        <v/>
      </c>
      <c r="P2217" t="str">
        <f>IFERROR(__xludf.DUMMYFUNCTION("""COMPUTED_VALUE"""),"ID ")</f>
        <v>ID </v>
      </c>
    </row>
    <row r="2218">
      <c r="A2218" s="6" t="str">
        <f>IFERROR(__xludf.DUMMYFUNCTION("""COMPUTED_VALUE"""),"")</f>
        <v/>
      </c>
      <c r="C2218" t="str">
        <f>IFERROR(__xludf.DUMMYFUNCTION("""COMPUTED_VALUE"""),"")</f>
        <v/>
      </c>
      <c r="D2218" t="str">
        <f>IFERROR(__xludf.DUMMYFUNCTION("""COMPUTED_VALUE"""),"")</f>
        <v/>
      </c>
      <c r="E2218" t="str">
        <f>IFERROR(__xludf.DUMMYFUNCTION("""COMPUTED_VALUE"""),"")</f>
        <v/>
      </c>
      <c r="F2218" t="str">
        <f>IFERROR(__xludf.DUMMYFUNCTION("""COMPUTED_VALUE"""),"")</f>
        <v/>
      </c>
      <c r="G2218" t="str">
        <f>IFERROR(__xludf.DUMMYFUNCTION("""COMPUTED_VALUE"""),"")</f>
        <v/>
      </c>
      <c r="H2218" s="2" t="str">
        <f>IFERROR(__xludf.DUMMYFUNCTION("""COMPUTED_VALUE"""),"")</f>
        <v/>
      </c>
      <c r="I2218" s="2" t="str">
        <f>IFERROR(__xludf.DUMMYFUNCTION("""COMPUTED_VALUE"""),"")</f>
        <v/>
      </c>
      <c r="J2218" s="2">
        <f>IFERROR(__xludf.DUMMYFUNCTION("""COMPUTED_VALUE"""),0.0)</f>
        <v>0</v>
      </c>
      <c r="K2218" s="5" t="str">
        <f>IFERROR(__xludf.DUMMYFUNCTION("""COMPUTED_VALUE"""),"")</f>
        <v/>
      </c>
      <c r="L2218" t="str">
        <f>IFERROR(__xludf.DUMMYFUNCTION("""COMPUTED_VALUE"""),"")</f>
        <v/>
      </c>
      <c r="M2218" t="str">
        <f>IFERROR(__xludf.DUMMYFUNCTION("""COMPUTED_VALUE"""),"")</f>
        <v/>
      </c>
      <c r="N2218" t="str">
        <f>IFERROR(__xludf.DUMMYFUNCTION("""COMPUTED_VALUE"""),"")</f>
        <v/>
      </c>
      <c r="O2218" t="str">
        <f>IFERROR(__xludf.DUMMYFUNCTION("""COMPUTED_VALUE"""),"")</f>
        <v/>
      </c>
      <c r="P2218" t="str">
        <f>IFERROR(__xludf.DUMMYFUNCTION("""COMPUTED_VALUE"""),"ID ")</f>
        <v>ID </v>
      </c>
    </row>
    <row r="2219">
      <c r="A2219" s="6" t="str">
        <f>IFERROR(__xludf.DUMMYFUNCTION("""COMPUTED_VALUE"""),"")</f>
        <v/>
      </c>
      <c r="C2219" t="str">
        <f>IFERROR(__xludf.DUMMYFUNCTION("""COMPUTED_VALUE"""),"")</f>
        <v/>
      </c>
      <c r="D2219" t="str">
        <f>IFERROR(__xludf.DUMMYFUNCTION("""COMPUTED_VALUE"""),"")</f>
        <v/>
      </c>
      <c r="E2219" t="str">
        <f>IFERROR(__xludf.DUMMYFUNCTION("""COMPUTED_VALUE"""),"")</f>
        <v/>
      </c>
      <c r="F2219" t="str">
        <f>IFERROR(__xludf.DUMMYFUNCTION("""COMPUTED_VALUE"""),"")</f>
        <v/>
      </c>
      <c r="G2219" t="str">
        <f>IFERROR(__xludf.DUMMYFUNCTION("""COMPUTED_VALUE"""),"")</f>
        <v/>
      </c>
      <c r="H2219" s="2" t="str">
        <f>IFERROR(__xludf.DUMMYFUNCTION("""COMPUTED_VALUE"""),"")</f>
        <v/>
      </c>
      <c r="I2219" s="2" t="str">
        <f>IFERROR(__xludf.DUMMYFUNCTION("""COMPUTED_VALUE"""),"")</f>
        <v/>
      </c>
      <c r="J2219" s="2">
        <f>IFERROR(__xludf.DUMMYFUNCTION("""COMPUTED_VALUE"""),0.0)</f>
        <v>0</v>
      </c>
      <c r="K2219" s="5" t="str">
        <f>IFERROR(__xludf.DUMMYFUNCTION("""COMPUTED_VALUE"""),"")</f>
        <v/>
      </c>
      <c r="L2219" t="str">
        <f>IFERROR(__xludf.DUMMYFUNCTION("""COMPUTED_VALUE"""),"")</f>
        <v/>
      </c>
      <c r="M2219" t="str">
        <f>IFERROR(__xludf.DUMMYFUNCTION("""COMPUTED_VALUE"""),"")</f>
        <v/>
      </c>
      <c r="N2219" t="str">
        <f>IFERROR(__xludf.DUMMYFUNCTION("""COMPUTED_VALUE"""),"")</f>
        <v/>
      </c>
      <c r="O2219" t="str">
        <f>IFERROR(__xludf.DUMMYFUNCTION("""COMPUTED_VALUE"""),"")</f>
        <v/>
      </c>
      <c r="P2219" t="str">
        <f>IFERROR(__xludf.DUMMYFUNCTION("""COMPUTED_VALUE"""),"ID ")</f>
        <v>ID </v>
      </c>
    </row>
    <row r="2220">
      <c r="A2220" s="6" t="str">
        <f>IFERROR(__xludf.DUMMYFUNCTION("""COMPUTED_VALUE"""),"")</f>
        <v/>
      </c>
      <c r="C2220" t="str">
        <f>IFERROR(__xludf.DUMMYFUNCTION("""COMPUTED_VALUE"""),"")</f>
        <v/>
      </c>
      <c r="D2220" t="str">
        <f>IFERROR(__xludf.DUMMYFUNCTION("""COMPUTED_VALUE"""),"")</f>
        <v/>
      </c>
      <c r="E2220" t="str">
        <f>IFERROR(__xludf.DUMMYFUNCTION("""COMPUTED_VALUE"""),"")</f>
        <v/>
      </c>
      <c r="F2220" t="str">
        <f>IFERROR(__xludf.DUMMYFUNCTION("""COMPUTED_VALUE"""),"")</f>
        <v/>
      </c>
      <c r="G2220" t="str">
        <f>IFERROR(__xludf.DUMMYFUNCTION("""COMPUTED_VALUE"""),"")</f>
        <v/>
      </c>
      <c r="H2220" s="2" t="str">
        <f>IFERROR(__xludf.DUMMYFUNCTION("""COMPUTED_VALUE"""),"")</f>
        <v/>
      </c>
      <c r="I2220" s="2" t="str">
        <f>IFERROR(__xludf.DUMMYFUNCTION("""COMPUTED_VALUE"""),"")</f>
        <v/>
      </c>
      <c r="J2220" s="2">
        <f>IFERROR(__xludf.DUMMYFUNCTION("""COMPUTED_VALUE"""),0.0)</f>
        <v>0</v>
      </c>
      <c r="K2220" s="5" t="str">
        <f>IFERROR(__xludf.DUMMYFUNCTION("""COMPUTED_VALUE"""),"")</f>
        <v/>
      </c>
      <c r="L2220" t="str">
        <f>IFERROR(__xludf.DUMMYFUNCTION("""COMPUTED_VALUE"""),"")</f>
        <v/>
      </c>
      <c r="M2220" t="str">
        <f>IFERROR(__xludf.DUMMYFUNCTION("""COMPUTED_VALUE"""),"")</f>
        <v/>
      </c>
      <c r="N2220" t="str">
        <f>IFERROR(__xludf.DUMMYFUNCTION("""COMPUTED_VALUE"""),"")</f>
        <v/>
      </c>
      <c r="O2220" t="str">
        <f>IFERROR(__xludf.DUMMYFUNCTION("""COMPUTED_VALUE"""),"")</f>
        <v/>
      </c>
      <c r="P2220" t="str">
        <f>IFERROR(__xludf.DUMMYFUNCTION("""COMPUTED_VALUE"""),"ID ")</f>
        <v>ID </v>
      </c>
    </row>
    <row r="2221">
      <c r="A2221" s="6" t="str">
        <f>IFERROR(__xludf.DUMMYFUNCTION("""COMPUTED_VALUE"""),"")</f>
        <v/>
      </c>
      <c r="C2221" t="str">
        <f>IFERROR(__xludf.DUMMYFUNCTION("""COMPUTED_VALUE"""),"")</f>
        <v/>
      </c>
      <c r="D2221" t="str">
        <f>IFERROR(__xludf.DUMMYFUNCTION("""COMPUTED_VALUE"""),"")</f>
        <v/>
      </c>
      <c r="E2221" t="str">
        <f>IFERROR(__xludf.DUMMYFUNCTION("""COMPUTED_VALUE"""),"")</f>
        <v/>
      </c>
      <c r="F2221" t="str">
        <f>IFERROR(__xludf.DUMMYFUNCTION("""COMPUTED_VALUE"""),"")</f>
        <v/>
      </c>
      <c r="G2221" t="str">
        <f>IFERROR(__xludf.DUMMYFUNCTION("""COMPUTED_VALUE"""),"")</f>
        <v/>
      </c>
      <c r="H2221" s="2" t="str">
        <f>IFERROR(__xludf.DUMMYFUNCTION("""COMPUTED_VALUE"""),"")</f>
        <v/>
      </c>
      <c r="I2221" s="2" t="str">
        <f>IFERROR(__xludf.DUMMYFUNCTION("""COMPUTED_VALUE"""),"")</f>
        <v/>
      </c>
      <c r="J2221" s="2">
        <f>IFERROR(__xludf.DUMMYFUNCTION("""COMPUTED_VALUE"""),0.0)</f>
        <v>0</v>
      </c>
      <c r="K2221" s="5" t="str">
        <f>IFERROR(__xludf.DUMMYFUNCTION("""COMPUTED_VALUE"""),"")</f>
        <v/>
      </c>
      <c r="L2221" t="str">
        <f>IFERROR(__xludf.DUMMYFUNCTION("""COMPUTED_VALUE"""),"")</f>
        <v/>
      </c>
      <c r="M2221" t="str">
        <f>IFERROR(__xludf.DUMMYFUNCTION("""COMPUTED_VALUE"""),"")</f>
        <v/>
      </c>
      <c r="N2221" t="str">
        <f>IFERROR(__xludf.DUMMYFUNCTION("""COMPUTED_VALUE"""),"")</f>
        <v/>
      </c>
      <c r="O2221" t="str">
        <f>IFERROR(__xludf.DUMMYFUNCTION("""COMPUTED_VALUE"""),"")</f>
        <v/>
      </c>
      <c r="P2221" t="str">
        <f>IFERROR(__xludf.DUMMYFUNCTION("""COMPUTED_VALUE"""),"ID ")</f>
        <v>ID </v>
      </c>
    </row>
    <row r="2222">
      <c r="A2222" s="6" t="str">
        <f>IFERROR(__xludf.DUMMYFUNCTION("""COMPUTED_VALUE"""),"")</f>
        <v/>
      </c>
      <c r="C2222" t="str">
        <f>IFERROR(__xludf.DUMMYFUNCTION("""COMPUTED_VALUE"""),"")</f>
        <v/>
      </c>
      <c r="D2222" t="str">
        <f>IFERROR(__xludf.DUMMYFUNCTION("""COMPUTED_VALUE"""),"")</f>
        <v/>
      </c>
      <c r="E2222" t="str">
        <f>IFERROR(__xludf.DUMMYFUNCTION("""COMPUTED_VALUE"""),"")</f>
        <v/>
      </c>
      <c r="F2222" t="str">
        <f>IFERROR(__xludf.DUMMYFUNCTION("""COMPUTED_VALUE"""),"")</f>
        <v/>
      </c>
      <c r="G2222" t="str">
        <f>IFERROR(__xludf.DUMMYFUNCTION("""COMPUTED_VALUE"""),"")</f>
        <v/>
      </c>
      <c r="H2222" s="2" t="str">
        <f>IFERROR(__xludf.DUMMYFUNCTION("""COMPUTED_VALUE"""),"")</f>
        <v/>
      </c>
      <c r="I2222" s="2" t="str">
        <f>IFERROR(__xludf.DUMMYFUNCTION("""COMPUTED_VALUE"""),"")</f>
        <v/>
      </c>
      <c r="J2222" s="2">
        <f>IFERROR(__xludf.DUMMYFUNCTION("""COMPUTED_VALUE"""),0.0)</f>
        <v>0</v>
      </c>
      <c r="K2222" s="5" t="str">
        <f>IFERROR(__xludf.DUMMYFUNCTION("""COMPUTED_VALUE"""),"")</f>
        <v/>
      </c>
      <c r="L2222" t="str">
        <f>IFERROR(__xludf.DUMMYFUNCTION("""COMPUTED_VALUE"""),"")</f>
        <v/>
      </c>
      <c r="M2222" t="str">
        <f>IFERROR(__xludf.DUMMYFUNCTION("""COMPUTED_VALUE"""),"")</f>
        <v/>
      </c>
      <c r="N2222" t="str">
        <f>IFERROR(__xludf.DUMMYFUNCTION("""COMPUTED_VALUE"""),"")</f>
        <v/>
      </c>
      <c r="O2222" t="str">
        <f>IFERROR(__xludf.DUMMYFUNCTION("""COMPUTED_VALUE"""),"")</f>
        <v/>
      </c>
      <c r="P2222" t="str">
        <f>IFERROR(__xludf.DUMMYFUNCTION("""COMPUTED_VALUE"""),"ID ")</f>
        <v>ID </v>
      </c>
    </row>
    <row r="2223">
      <c r="A2223" s="6" t="str">
        <f>IFERROR(__xludf.DUMMYFUNCTION("""COMPUTED_VALUE"""),"")</f>
        <v/>
      </c>
      <c r="C2223" t="str">
        <f>IFERROR(__xludf.DUMMYFUNCTION("""COMPUTED_VALUE"""),"")</f>
        <v/>
      </c>
      <c r="D2223" t="str">
        <f>IFERROR(__xludf.DUMMYFUNCTION("""COMPUTED_VALUE"""),"")</f>
        <v/>
      </c>
      <c r="E2223" t="str">
        <f>IFERROR(__xludf.DUMMYFUNCTION("""COMPUTED_VALUE"""),"")</f>
        <v/>
      </c>
      <c r="F2223" t="str">
        <f>IFERROR(__xludf.DUMMYFUNCTION("""COMPUTED_VALUE"""),"")</f>
        <v/>
      </c>
      <c r="G2223" t="str">
        <f>IFERROR(__xludf.DUMMYFUNCTION("""COMPUTED_VALUE"""),"")</f>
        <v/>
      </c>
      <c r="H2223" s="2" t="str">
        <f>IFERROR(__xludf.DUMMYFUNCTION("""COMPUTED_VALUE"""),"")</f>
        <v/>
      </c>
      <c r="I2223" s="2" t="str">
        <f>IFERROR(__xludf.DUMMYFUNCTION("""COMPUTED_VALUE"""),"")</f>
        <v/>
      </c>
      <c r="J2223" s="2">
        <f>IFERROR(__xludf.DUMMYFUNCTION("""COMPUTED_VALUE"""),0.0)</f>
        <v>0</v>
      </c>
      <c r="K2223" s="5" t="str">
        <f>IFERROR(__xludf.DUMMYFUNCTION("""COMPUTED_VALUE"""),"")</f>
        <v/>
      </c>
      <c r="L2223" t="str">
        <f>IFERROR(__xludf.DUMMYFUNCTION("""COMPUTED_VALUE"""),"")</f>
        <v/>
      </c>
      <c r="M2223" t="str">
        <f>IFERROR(__xludf.DUMMYFUNCTION("""COMPUTED_VALUE"""),"")</f>
        <v/>
      </c>
      <c r="N2223" t="str">
        <f>IFERROR(__xludf.DUMMYFUNCTION("""COMPUTED_VALUE"""),"")</f>
        <v/>
      </c>
      <c r="O2223" t="str">
        <f>IFERROR(__xludf.DUMMYFUNCTION("""COMPUTED_VALUE"""),"")</f>
        <v/>
      </c>
      <c r="P2223" t="str">
        <f>IFERROR(__xludf.DUMMYFUNCTION("""COMPUTED_VALUE"""),"ID ")</f>
        <v>ID </v>
      </c>
    </row>
    <row r="2224">
      <c r="A2224" s="6" t="str">
        <f>IFERROR(__xludf.DUMMYFUNCTION("""COMPUTED_VALUE"""),"")</f>
        <v/>
      </c>
      <c r="C2224" t="str">
        <f>IFERROR(__xludf.DUMMYFUNCTION("""COMPUTED_VALUE"""),"")</f>
        <v/>
      </c>
      <c r="D2224" t="str">
        <f>IFERROR(__xludf.DUMMYFUNCTION("""COMPUTED_VALUE"""),"")</f>
        <v/>
      </c>
      <c r="E2224" t="str">
        <f>IFERROR(__xludf.DUMMYFUNCTION("""COMPUTED_VALUE"""),"")</f>
        <v/>
      </c>
      <c r="F2224" t="str">
        <f>IFERROR(__xludf.DUMMYFUNCTION("""COMPUTED_VALUE"""),"")</f>
        <v/>
      </c>
      <c r="G2224" t="str">
        <f>IFERROR(__xludf.DUMMYFUNCTION("""COMPUTED_VALUE"""),"")</f>
        <v/>
      </c>
      <c r="H2224" s="2" t="str">
        <f>IFERROR(__xludf.DUMMYFUNCTION("""COMPUTED_VALUE"""),"")</f>
        <v/>
      </c>
      <c r="I2224" s="2" t="str">
        <f>IFERROR(__xludf.DUMMYFUNCTION("""COMPUTED_VALUE"""),"")</f>
        <v/>
      </c>
      <c r="J2224" s="2">
        <f>IFERROR(__xludf.DUMMYFUNCTION("""COMPUTED_VALUE"""),0.0)</f>
        <v>0</v>
      </c>
      <c r="K2224" s="5" t="str">
        <f>IFERROR(__xludf.DUMMYFUNCTION("""COMPUTED_VALUE"""),"")</f>
        <v/>
      </c>
      <c r="L2224" t="str">
        <f>IFERROR(__xludf.DUMMYFUNCTION("""COMPUTED_VALUE"""),"")</f>
        <v/>
      </c>
      <c r="M2224" t="str">
        <f>IFERROR(__xludf.DUMMYFUNCTION("""COMPUTED_VALUE"""),"")</f>
        <v/>
      </c>
      <c r="N2224" t="str">
        <f>IFERROR(__xludf.DUMMYFUNCTION("""COMPUTED_VALUE"""),"")</f>
        <v/>
      </c>
      <c r="O2224" t="str">
        <f>IFERROR(__xludf.DUMMYFUNCTION("""COMPUTED_VALUE"""),"")</f>
        <v/>
      </c>
      <c r="P2224" t="str">
        <f>IFERROR(__xludf.DUMMYFUNCTION("""COMPUTED_VALUE"""),"ID ")</f>
        <v>ID </v>
      </c>
    </row>
    <row r="2225">
      <c r="A2225" s="6" t="str">
        <f>IFERROR(__xludf.DUMMYFUNCTION("""COMPUTED_VALUE"""),"")</f>
        <v/>
      </c>
      <c r="C2225" t="str">
        <f>IFERROR(__xludf.DUMMYFUNCTION("""COMPUTED_VALUE"""),"")</f>
        <v/>
      </c>
      <c r="D2225" t="str">
        <f>IFERROR(__xludf.DUMMYFUNCTION("""COMPUTED_VALUE"""),"")</f>
        <v/>
      </c>
      <c r="E2225" t="str">
        <f>IFERROR(__xludf.DUMMYFUNCTION("""COMPUTED_VALUE"""),"")</f>
        <v/>
      </c>
      <c r="F2225" t="str">
        <f>IFERROR(__xludf.DUMMYFUNCTION("""COMPUTED_VALUE"""),"")</f>
        <v/>
      </c>
      <c r="G2225" t="str">
        <f>IFERROR(__xludf.DUMMYFUNCTION("""COMPUTED_VALUE"""),"")</f>
        <v/>
      </c>
      <c r="H2225" s="2" t="str">
        <f>IFERROR(__xludf.DUMMYFUNCTION("""COMPUTED_VALUE"""),"")</f>
        <v/>
      </c>
      <c r="I2225" s="2" t="str">
        <f>IFERROR(__xludf.DUMMYFUNCTION("""COMPUTED_VALUE"""),"")</f>
        <v/>
      </c>
      <c r="J2225" s="2">
        <f>IFERROR(__xludf.DUMMYFUNCTION("""COMPUTED_VALUE"""),0.0)</f>
        <v>0</v>
      </c>
      <c r="K2225" s="5" t="str">
        <f>IFERROR(__xludf.DUMMYFUNCTION("""COMPUTED_VALUE"""),"")</f>
        <v/>
      </c>
      <c r="L2225" t="str">
        <f>IFERROR(__xludf.DUMMYFUNCTION("""COMPUTED_VALUE"""),"")</f>
        <v/>
      </c>
      <c r="M2225" t="str">
        <f>IFERROR(__xludf.DUMMYFUNCTION("""COMPUTED_VALUE"""),"")</f>
        <v/>
      </c>
      <c r="N2225" t="str">
        <f>IFERROR(__xludf.DUMMYFUNCTION("""COMPUTED_VALUE"""),"")</f>
        <v/>
      </c>
      <c r="O2225" t="str">
        <f>IFERROR(__xludf.DUMMYFUNCTION("""COMPUTED_VALUE"""),"")</f>
        <v/>
      </c>
      <c r="P2225" t="str">
        <f>IFERROR(__xludf.DUMMYFUNCTION("""COMPUTED_VALUE"""),"ID ")</f>
        <v>ID </v>
      </c>
    </row>
    <row r="2226">
      <c r="A2226" s="6" t="str">
        <f>IFERROR(__xludf.DUMMYFUNCTION("""COMPUTED_VALUE"""),"")</f>
        <v/>
      </c>
      <c r="C2226" t="str">
        <f>IFERROR(__xludf.DUMMYFUNCTION("""COMPUTED_VALUE"""),"")</f>
        <v/>
      </c>
      <c r="D2226" t="str">
        <f>IFERROR(__xludf.DUMMYFUNCTION("""COMPUTED_VALUE"""),"")</f>
        <v/>
      </c>
      <c r="E2226" t="str">
        <f>IFERROR(__xludf.DUMMYFUNCTION("""COMPUTED_VALUE"""),"")</f>
        <v/>
      </c>
      <c r="F2226" t="str">
        <f>IFERROR(__xludf.DUMMYFUNCTION("""COMPUTED_VALUE"""),"")</f>
        <v/>
      </c>
      <c r="G2226" t="str">
        <f>IFERROR(__xludf.DUMMYFUNCTION("""COMPUTED_VALUE"""),"")</f>
        <v/>
      </c>
      <c r="H2226" s="2" t="str">
        <f>IFERROR(__xludf.DUMMYFUNCTION("""COMPUTED_VALUE"""),"")</f>
        <v/>
      </c>
      <c r="I2226" s="2" t="str">
        <f>IFERROR(__xludf.DUMMYFUNCTION("""COMPUTED_VALUE"""),"")</f>
        <v/>
      </c>
      <c r="J2226" s="2">
        <f>IFERROR(__xludf.DUMMYFUNCTION("""COMPUTED_VALUE"""),0.0)</f>
        <v>0</v>
      </c>
      <c r="K2226" s="5" t="str">
        <f>IFERROR(__xludf.DUMMYFUNCTION("""COMPUTED_VALUE"""),"")</f>
        <v/>
      </c>
      <c r="L2226" t="str">
        <f>IFERROR(__xludf.DUMMYFUNCTION("""COMPUTED_VALUE"""),"")</f>
        <v/>
      </c>
      <c r="M2226" t="str">
        <f>IFERROR(__xludf.DUMMYFUNCTION("""COMPUTED_VALUE"""),"")</f>
        <v/>
      </c>
      <c r="N2226" t="str">
        <f>IFERROR(__xludf.DUMMYFUNCTION("""COMPUTED_VALUE"""),"")</f>
        <v/>
      </c>
      <c r="O2226" t="str">
        <f>IFERROR(__xludf.DUMMYFUNCTION("""COMPUTED_VALUE"""),"")</f>
        <v/>
      </c>
      <c r="P2226" t="str">
        <f>IFERROR(__xludf.DUMMYFUNCTION("""COMPUTED_VALUE"""),"ID ")</f>
        <v>ID </v>
      </c>
    </row>
    <row r="2227">
      <c r="A2227" s="6" t="str">
        <f>IFERROR(__xludf.DUMMYFUNCTION("""COMPUTED_VALUE"""),"")</f>
        <v/>
      </c>
      <c r="C2227" t="str">
        <f>IFERROR(__xludf.DUMMYFUNCTION("""COMPUTED_VALUE"""),"")</f>
        <v/>
      </c>
      <c r="D2227" t="str">
        <f>IFERROR(__xludf.DUMMYFUNCTION("""COMPUTED_VALUE"""),"")</f>
        <v/>
      </c>
      <c r="E2227" t="str">
        <f>IFERROR(__xludf.DUMMYFUNCTION("""COMPUTED_VALUE"""),"")</f>
        <v/>
      </c>
      <c r="F2227" t="str">
        <f>IFERROR(__xludf.DUMMYFUNCTION("""COMPUTED_VALUE"""),"")</f>
        <v/>
      </c>
      <c r="G2227" t="str">
        <f>IFERROR(__xludf.DUMMYFUNCTION("""COMPUTED_VALUE"""),"")</f>
        <v/>
      </c>
      <c r="H2227" s="2" t="str">
        <f>IFERROR(__xludf.DUMMYFUNCTION("""COMPUTED_VALUE"""),"")</f>
        <v/>
      </c>
      <c r="I2227" s="2" t="str">
        <f>IFERROR(__xludf.DUMMYFUNCTION("""COMPUTED_VALUE"""),"")</f>
        <v/>
      </c>
      <c r="J2227" s="2">
        <f>IFERROR(__xludf.DUMMYFUNCTION("""COMPUTED_VALUE"""),0.0)</f>
        <v>0</v>
      </c>
      <c r="K2227" s="5" t="str">
        <f>IFERROR(__xludf.DUMMYFUNCTION("""COMPUTED_VALUE"""),"")</f>
        <v/>
      </c>
      <c r="L2227" t="str">
        <f>IFERROR(__xludf.DUMMYFUNCTION("""COMPUTED_VALUE"""),"")</f>
        <v/>
      </c>
      <c r="M2227" t="str">
        <f>IFERROR(__xludf.DUMMYFUNCTION("""COMPUTED_VALUE"""),"")</f>
        <v/>
      </c>
      <c r="N2227" t="str">
        <f>IFERROR(__xludf.DUMMYFUNCTION("""COMPUTED_VALUE"""),"")</f>
        <v/>
      </c>
      <c r="O2227" t="str">
        <f>IFERROR(__xludf.DUMMYFUNCTION("""COMPUTED_VALUE"""),"")</f>
        <v/>
      </c>
      <c r="P2227" t="str">
        <f>IFERROR(__xludf.DUMMYFUNCTION("""COMPUTED_VALUE"""),"ID ")</f>
        <v>ID </v>
      </c>
    </row>
    <row r="2228">
      <c r="A2228" s="6" t="str">
        <f>IFERROR(__xludf.DUMMYFUNCTION("""COMPUTED_VALUE"""),"")</f>
        <v/>
      </c>
      <c r="C2228" t="str">
        <f>IFERROR(__xludf.DUMMYFUNCTION("""COMPUTED_VALUE"""),"")</f>
        <v/>
      </c>
      <c r="D2228" t="str">
        <f>IFERROR(__xludf.DUMMYFUNCTION("""COMPUTED_VALUE"""),"")</f>
        <v/>
      </c>
      <c r="E2228" t="str">
        <f>IFERROR(__xludf.DUMMYFUNCTION("""COMPUTED_VALUE"""),"")</f>
        <v/>
      </c>
      <c r="F2228" t="str">
        <f>IFERROR(__xludf.DUMMYFUNCTION("""COMPUTED_VALUE"""),"")</f>
        <v/>
      </c>
      <c r="G2228" t="str">
        <f>IFERROR(__xludf.DUMMYFUNCTION("""COMPUTED_VALUE"""),"")</f>
        <v/>
      </c>
      <c r="H2228" s="2" t="str">
        <f>IFERROR(__xludf.DUMMYFUNCTION("""COMPUTED_VALUE"""),"")</f>
        <v/>
      </c>
      <c r="I2228" s="2" t="str">
        <f>IFERROR(__xludf.DUMMYFUNCTION("""COMPUTED_VALUE"""),"")</f>
        <v/>
      </c>
      <c r="J2228" s="2">
        <f>IFERROR(__xludf.DUMMYFUNCTION("""COMPUTED_VALUE"""),0.0)</f>
        <v>0</v>
      </c>
      <c r="K2228" s="5" t="str">
        <f>IFERROR(__xludf.DUMMYFUNCTION("""COMPUTED_VALUE"""),"")</f>
        <v/>
      </c>
      <c r="L2228" t="str">
        <f>IFERROR(__xludf.DUMMYFUNCTION("""COMPUTED_VALUE"""),"")</f>
        <v/>
      </c>
      <c r="M2228" t="str">
        <f>IFERROR(__xludf.DUMMYFUNCTION("""COMPUTED_VALUE"""),"")</f>
        <v/>
      </c>
      <c r="N2228" t="str">
        <f>IFERROR(__xludf.DUMMYFUNCTION("""COMPUTED_VALUE"""),"")</f>
        <v/>
      </c>
      <c r="O2228" t="str">
        <f>IFERROR(__xludf.DUMMYFUNCTION("""COMPUTED_VALUE"""),"")</f>
        <v/>
      </c>
      <c r="P2228" t="str">
        <f>IFERROR(__xludf.DUMMYFUNCTION("""COMPUTED_VALUE"""),"ID ")</f>
        <v>ID </v>
      </c>
    </row>
    <row r="2229">
      <c r="A2229" s="6" t="str">
        <f>IFERROR(__xludf.DUMMYFUNCTION("""COMPUTED_VALUE"""),"")</f>
        <v/>
      </c>
      <c r="C2229" t="str">
        <f>IFERROR(__xludf.DUMMYFUNCTION("""COMPUTED_VALUE"""),"")</f>
        <v/>
      </c>
      <c r="D2229" t="str">
        <f>IFERROR(__xludf.DUMMYFUNCTION("""COMPUTED_VALUE"""),"")</f>
        <v/>
      </c>
      <c r="E2229" t="str">
        <f>IFERROR(__xludf.DUMMYFUNCTION("""COMPUTED_VALUE"""),"")</f>
        <v/>
      </c>
      <c r="F2229" t="str">
        <f>IFERROR(__xludf.DUMMYFUNCTION("""COMPUTED_VALUE"""),"")</f>
        <v/>
      </c>
      <c r="G2229" t="str">
        <f>IFERROR(__xludf.DUMMYFUNCTION("""COMPUTED_VALUE"""),"")</f>
        <v/>
      </c>
      <c r="H2229" s="2" t="str">
        <f>IFERROR(__xludf.DUMMYFUNCTION("""COMPUTED_VALUE"""),"")</f>
        <v/>
      </c>
      <c r="I2229" s="2" t="str">
        <f>IFERROR(__xludf.DUMMYFUNCTION("""COMPUTED_VALUE"""),"")</f>
        <v/>
      </c>
      <c r="J2229" s="2">
        <f>IFERROR(__xludf.DUMMYFUNCTION("""COMPUTED_VALUE"""),0.0)</f>
        <v>0</v>
      </c>
      <c r="K2229" s="5" t="str">
        <f>IFERROR(__xludf.DUMMYFUNCTION("""COMPUTED_VALUE"""),"")</f>
        <v/>
      </c>
      <c r="L2229" t="str">
        <f>IFERROR(__xludf.DUMMYFUNCTION("""COMPUTED_VALUE"""),"")</f>
        <v/>
      </c>
      <c r="M2229" t="str">
        <f>IFERROR(__xludf.DUMMYFUNCTION("""COMPUTED_VALUE"""),"")</f>
        <v/>
      </c>
      <c r="N2229" t="str">
        <f>IFERROR(__xludf.DUMMYFUNCTION("""COMPUTED_VALUE"""),"")</f>
        <v/>
      </c>
      <c r="O2229" t="str">
        <f>IFERROR(__xludf.DUMMYFUNCTION("""COMPUTED_VALUE"""),"")</f>
        <v/>
      </c>
      <c r="P2229" t="str">
        <f>IFERROR(__xludf.DUMMYFUNCTION("""COMPUTED_VALUE"""),"ID ")</f>
        <v>ID </v>
      </c>
    </row>
    <row r="2230">
      <c r="A2230" s="6" t="str">
        <f>IFERROR(__xludf.DUMMYFUNCTION("""COMPUTED_VALUE"""),"")</f>
        <v/>
      </c>
      <c r="C2230" t="str">
        <f>IFERROR(__xludf.DUMMYFUNCTION("""COMPUTED_VALUE"""),"")</f>
        <v/>
      </c>
      <c r="D2230" t="str">
        <f>IFERROR(__xludf.DUMMYFUNCTION("""COMPUTED_VALUE"""),"")</f>
        <v/>
      </c>
      <c r="E2230" t="str">
        <f>IFERROR(__xludf.DUMMYFUNCTION("""COMPUTED_VALUE"""),"")</f>
        <v/>
      </c>
      <c r="F2230" t="str">
        <f>IFERROR(__xludf.DUMMYFUNCTION("""COMPUTED_VALUE"""),"")</f>
        <v/>
      </c>
      <c r="G2230" t="str">
        <f>IFERROR(__xludf.DUMMYFUNCTION("""COMPUTED_VALUE"""),"")</f>
        <v/>
      </c>
      <c r="H2230" s="2" t="str">
        <f>IFERROR(__xludf.DUMMYFUNCTION("""COMPUTED_VALUE"""),"")</f>
        <v/>
      </c>
      <c r="I2230" s="2" t="str">
        <f>IFERROR(__xludf.DUMMYFUNCTION("""COMPUTED_VALUE"""),"")</f>
        <v/>
      </c>
      <c r="J2230" s="2">
        <f>IFERROR(__xludf.DUMMYFUNCTION("""COMPUTED_VALUE"""),0.0)</f>
        <v>0</v>
      </c>
      <c r="K2230" s="5" t="str">
        <f>IFERROR(__xludf.DUMMYFUNCTION("""COMPUTED_VALUE"""),"")</f>
        <v/>
      </c>
      <c r="L2230" t="str">
        <f>IFERROR(__xludf.DUMMYFUNCTION("""COMPUTED_VALUE"""),"")</f>
        <v/>
      </c>
      <c r="M2230" t="str">
        <f>IFERROR(__xludf.DUMMYFUNCTION("""COMPUTED_VALUE"""),"")</f>
        <v/>
      </c>
      <c r="N2230" t="str">
        <f>IFERROR(__xludf.DUMMYFUNCTION("""COMPUTED_VALUE"""),"")</f>
        <v/>
      </c>
      <c r="O2230" t="str">
        <f>IFERROR(__xludf.DUMMYFUNCTION("""COMPUTED_VALUE"""),"")</f>
        <v/>
      </c>
      <c r="P2230" t="str">
        <f>IFERROR(__xludf.DUMMYFUNCTION("""COMPUTED_VALUE"""),"ID ")</f>
        <v>ID </v>
      </c>
    </row>
    <row r="2231">
      <c r="A2231" s="6" t="str">
        <f>IFERROR(__xludf.DUMMYFUNCTION("""COMPUTED_VALUE"""),"")</f>
        <v/>
      </c>
      <c r="C2231" t="str">
        <f>IFERROR(__xludf.DUMMYFUNCTION("""COMPUTED_VALUE"""),"")</f>
        <v/>
      </c>
      <c r="D2231" t="str">
        <f>IFERROR(__xludf.DUMMYFUNCTION("""COMPUTED_VALUE"""),"")</f>
        <v/>
      </c>
      <c r="E2231" t="str">
        <f>IFERROR(__xludf.DUMMYFUNCTION("""COMPUTED_VALUE"""),"")</f>
        <v/>
      </c>
      <c r="F2231" t="str">
        <f>IFERROR(__xludf.DUMMYFUNCTION("""COMPUTED_VALUE"""),"")</f>
        <v/>
      </c>
      <c r="G2231" t="str">
        <f>IFERROR(__xludf.DUMMYFUNCTION("""COMPUTED_VALUE"""),"")</f>
        <v/>
      </c>
      <c r="H2231" s="2" t="str">
        <f>IFERROR(__xludf.DUMMYFUNCTION("""COMPUTED_VALUE"""),"")</f>
        <v/>
      </c>
      <c r="I2231" s="2" t="str">
        <f>IFERROR(__xludf.DUMMYFUNCTION("""COMPUTED_VALUE"""),"")</f>
        <v/>
      </c>
      <c r="J2231" s="2">
        <f>IFERROR(__xludf.DUMMYFUNCTION("""COMPUTED_VALUE"""),0.0)</f>
        <v>0</v>
      </c>
      <c r="K2231" s="5" t="str">
        <f>IFERROR(__xludf.DUMMYFUNCTION("""COMPUTED_VALUE"""),"")</f>
        <v/>
      </c>
      <c r="L2231" t="str">
        <f>IFERROR(__xludf.DUMMYFUNCTION("""COMPUTED_VALUE"""),"")</f>
        <v/>
      </c>
      <c r="M2231" t="str">
        <f>IFERROR(__xludf.DUMMYFUNCTION("""COMPUTED_VALUE"""),"")</f>
        <v/>
      </c>
      <c r="N2231" t="str">
        <f>IFERROR(__xludf.DUMMYFUNCTION("""COMPUTED_VALUE"""),"")</f>
        <v/>
      </c>
      <c r="O2231" t="str">
        <f>IFERROR(__xludf.DUMMYFUNCTION("""COMPUTED_VALUE"""),"")</f>
        <v/>
      </c>
      <c r="P2231" t="str">
        <f>IFERROR(__xludf.DUMMYFUNCTION("""COMPUTED_VALUE"""),"ID ")</f>
        <v>ID </v>
      </c>
    </row>
    <row r="2232">
      <c r="A2232" s="6" t="str">
        <f>IFERROR(__xludf.DUMMYFUNCTION("""COMPUTED_VALUE"""),"")</f>
        <v/>
      </c>
      <c r="C2232" t="str">
        <f>IFERROR(__xludf.DUMMYFUNCTION("""COMPUTED_VALUE"""),"")</f>
        <v/>
      </c>
      <c r="D2232" t="str">
        <f>IFERROR(__xludf.DUMMYFUNCTION("""COMPUTED_VALUE"""),"")</f>
        <v/>
      </c>
      <c r="E2232" t="str">
        <f>IFERROR(__xludf.DUMMYFUNCTION("""COMPUTED_VALUE"""),"")</f>
        <v/>
      </c>
      <c r="F2232" t="str">
        <f>IFERROR(__xludf.DUMMYFUNCTION("""COMPUTED_VALUE"""),"")</f>
        <v/>
      </c>
      <c r="G2232" t="str">
        <f>IFERROR(__xludf.DUMMYFUNCTION("""COMPUTED_VALUE"""),"")</f>
        <v/>
      </c>
      <c r="H2232" s="2" t="str">
        <f>IFERROR(__xludf.DUMMYFUNCTION("""COMPUTED_VALUE"""),"")</f>
        <v/>
      </c>
      <c r="I2232" s="2" t="str">
        <f>IFERROR(__xludf.DUMMYFUNCTION("""COMPUTED_VALUE"""),"")</f>
        <v/>
      </c>
      <c r="J2232" s="2">
        <f>IFERROR(__xludf.DUMMYFUNCTION("""COMPUTED_VALUE"""),0.0)</f>
        <v>0</v>
      </c>
      <c r="K2232" s="5" t="str">
        <f>IFERROR(__xludf.DUMMYFUNCTION("""COMPUTED_VALUE"""),"")</f>
        <v/>
      </c>
      <c r="L2232" t="str">
        <f>IFERROR(__xludf.DUMMYFUNCTION("""COMPUTED_VALUE"""),"")</f>
        <v/>
      </c>
      <c r="M2232" t="str">
        <f>IFERROR(__xludf.DUMMYFUNCTION("""COMPUTED_VALUE"""),"")</f>
        <v/>
      </c>
      <c r="N2232" t="str">
        <f>IFERROR(__xludf.DUMMYFUNCTION("""COMPUTED_VALUE"""),"")</f>
        <v/>
      </c>
      <c r="O2232" t="str">
        <f>IFERROR(__xludf.DUMMYFUNCTION("""COMPUTED_VALUE"""),"")</f>
        <v/>
      </c>
      <c r="P2232" t="str">
        <f>IFERROR(__xludf.DUMMYFUNCTION("""COMPUTED_VALUE"""),"ID ")</f>
        <v>ID </v>
      </c>
    </row>
    <row r="2233">
      <c r="A2233" s="6" t="str">
        <f>IFERROR(__xludf.DUMMYFUNCTION("""COMPUTED_VALUE"""),"")</f>
        <v/>
      </c>
      <c r="C2233" t="str">
        <f>IFERROR(__xludf.DUMMYFUNCTION("""COMPUTED_VALUE"""),"")</f>
        <v/>
      </c>
      <c r="D2233" t="str">
        <f>IFERROR(__xludf.DUMMYFUNCTION("""COMPUTED_VALUE"""),"")</f>
        <v/>
      </c>
      <c r="E2233" t="str">
        <f>IFERROR(__xludf.DUMMYFUNCTION("""COMPUTED_VALUE"""),"")</f>
        <v/>
      </c>
      <c r="F2233" t="str">
        <f>IFERROR(__xludf.DUMMYFUNCTION("""COMPUTED_VALUE"""),"")</f>
        <v/>
      </c>
      <c r="G2233" t="str">
        <f>IFERROR(__xludf.DUMMYFUNCTION("""COMPUTED_VALUE"""),"")</f>
        <v/>
      </c>
      <c r="H2233" s="2" t="str">
        <f>IFERROR(__xludf.DUMMYFUNCTION("""COMPUTED_VALUE"""),"")</f>
        <v/>
      </c>
      <c r="I2233" s="2" t="str">
        <f>IFERROR(__xludf.DUMMYFUNCTION("""COMPUTED_VALUE"""),"")</f>
        <v/>
      </c>
      <c r="J2233" s="2">
        <f>IFERROR(__xludf.DUMMYFUNCTION("""COMPUTED_VALUE"""),0.0)</f>
        <v>0</v>
      </c>
      <c r="K2233" s="5" t="str">
        <f>IFERROR(__xludf.DUMMYFUNCTION("""COMPUTED_VALUE"""),"")</f>
        <v/>
      </c>
      <c r="L2233" t="str">
        <f>IFERROR(__xludf.DUMMYFUNCTION("""COMPUTED_VALUE"""),"")</f>
        <v/>
      </c>
      <c r="M2233" t="str">
        <f>IFERROR(__xludf.DUMMYFUNCTION("""COMPUTED_VALUE"""),"")</f>
        <v/>
      </c>
      <c r="N2233" t="str">
        <f>IFERROR(__xludf.DUMMYFUNCTION("""COMPUTED_VALUE"""),"")</f>
        <v/>
      </c>
      <c r="O2233" t="str">
        <f>IFERROR(__xludf.DUMMYFUNCTION("""COMPUTED_VALUE"""),"")</f>
        <v/>
      </c>
      <c r="P2233" t="str">
        <f>IFERROR(__xludf.DUMMYFUNCTION("""COMPUTED_VALUE"""),"ID ")</f>
        <v>ID </v>
      </c>
    </row>
    <row r="2234">
      <c r="A2234" s="6" t="str">
        <f>IFERROR(__xludf.DUMMYFUNCTION("""COMPUTED_VALUE"""),"")</f>
        <v/>
      </c>
      <c r="C2234" t="str">
        <f>IFERROR(__xludf.DUMMYFUNCTION("""COMPUTED_VALUE"""),"")</f>
        <v/>
      </c>
      <c r="D2234" t="str">
        <f>IFERROR(__xludf.DUMMYFUNCTION("""COMPUTED_VALUE"""),"")</f>
        <v/>
      </c>
      <c r="E2234" t="str">
        <f>IFERROR(__xludf.DUMMYFUNCTION("""COMPUTED_VALUE"""),"")</f>
        <v/>
      </c>
      <c r="F2234" t="str">
        <f>IFERROR(__xludf.DUMMYFUNCTION("""COMPUTED_VALUE"""),"")</f>
        <v/>
      </c>
      <c r="G2234" t="str">
        <f>IFERROR(__xludf.DUMMYFUNCTION("""COMPUTED_VALUE"""),"")</f>
        <v/>
      </c>
      <c r="H2234" s="2" t="str">
        <f>IFERROR(__xludf.DUMMYFUNCTION("""COMPUTED_VALUE"""),"")</f>
        <v/>
      </c>
      <c r="I2234" s="2" t="str">
        <f>IFERROR(__xludf.DUMMYFUNCTION("""COMPUTED_VALUE"""),"")</f>
        <v/>
      </c>
      <c r="J2234" s="2">
        <f>IFERROR(__xludf.DUMMYFUNCTION("""COMPUTED_VALUE"""),0.0)</f>
        <v>0</v>
      </c>
      <c r="K2234" s="5" t="str">
        <f>IFERROR(__xludf.DUMMYFUNCTION("""COMPUTED_VALUE"""),"")</f>
        <v/>
      </c>
      <c r="L2234" t="str">
        <f>IFERROR(__xludf.DUMMYFUNCTION("""COMPUTED_VALUE"""),"")</f>
        <v/>
      </c>
      <c r="M2234" t="str">
        <f>IFERROR(__xludf.DUMMYFUNCTION("""COMPUTED_VALUE"""),"")</f>
        <v/>
      </c>
      <c r="N2234" t="str">
        <f>IFERROR(__xludf.DUMMYFUNCTION("""COMPUTED_VALUE"""),"")</f>
        <v/>
      </c>
      <c r="O2234" t="str">
        <f>IFERROR(__xludf.DUMMYFUNCTION("""COMPUTED_VALUE"""),"")</f>
        <v/>
      </c>
      <c r="P2234" t="str">
        <f>IFERROR(__xludf.DUMMYFUNCTION("""COMPUTED_VALUE"""),"ID ")</f>
        <v>ID </v>
      </c>
    </row>
    <row r="2235">
      <c r="A2235" s="6" t="str">
        <f>IFERROR(__xludf.DUMMYFUNCTION("""COMPUTED_VALUE"""),"")</f>
        <v/>
      </c>
      <c r="C2235" t="str">
        <f>IFERROR(__xludf.DUMMYFUNCTION("""COMPUTED_VALUE"""),"")</f>
        <v/>
      </c>
      <c r="D2235" t="str">
        <f>IFERROR(__xludf.DUMMYFUNCTION("""COMPUTED_VALUE"""),"")</f>
        <v/>
      </c>
      <c r="E2235" t="str">
        <f>IFERROR(__xludf.DUMMYFUNCTION("""COMPUTED_VALUE"""),"")</f>
        <v/>
      </c>
      <c r="F2235" t="str">
        <f>IFERROR(__xludf.DUMMYFUNCTION("""COMPUTED_VALUE"""),"")</f>
        <v/>
      </c>
      <c r="G2235" t="str">
        <f>IFERROR(__xludf.DUMMYFUNCTION("""COMPUTED_VALUE"""),"")</f>
        <v/>
      </c>
      <c r="H2235" s="2" t="str">
        <f>IFERROR(__xludf.DUMMYFUNCTION("""COMPUTED_VALUE"""),"")</f>
        <v/>
      </c>
      <c r="I2235" s="2" t="str">
        <f>IFERROR(__xludf.DUMMYFUNCTION("""COMPUTED_VALUE"""),"")</f>
        <v/>
      </c>
      <c r="J2235" s="2">
        <f>IFERROR(__xludf.DUMMYFUNCTION("""COMPUTED_VALUE"""),0.0)</f>
        <v>0</v>
      </c>
      <c r="K2235" s="5" t="str">
        <f>IFERROR(__xludf.DUMMYFUNCTION("""COMPUTED_VALUE"""),"")</f>
        <v/>
      </c>
      <c r="L2235" t="str">
        <f>IFERROR(__xludf.DUMMYFUNCTION("""COMPUTED_VALUE"""),"")</f>
        <v/>
      </c>
      <c r="M2235" t="str">
        <f>IFERROR(__xludf.DUMMYFUNCTION("""COMPUTED_VALUE"""),"")</f>
        <v/>
      </c>
      <c r="N2235" t="str">
        <f>IFERROR(__xludf.DUMMYFUNCTION("""COMPUTED_VALUE"""),"")</f>
        <v/>
      </c>
      <c r="O2235" t="str">
        <f>IFERROR(__xludf.DUMMYFUNCTION("""COMPUTED_VALUE"""),"")</f>
        <v/>
      </c>
      <c r="P2235" t="str">
        <f>IFERROR(__xludf.DUMMYFUNCTION("""COMPUTED_VALUE"""),"ID ")</f>
        <v>ID </v>
      </c>
    </row>
    <row r="2236">
      <c r="A2236" s="6" t="str">
        <f>IFERROR(__xludf.DUMMYFUNCTION("""COMPUTED_VALUE"""),"")</f>
        <v/>
      </c>
      <c r="C2236" t="str">
        <f>IFERROR(__xludf.DUMMYFUNCTION("""COMPUTED_VALUE"""),"")</f>
        <v/>
      </c>
      <c r="D2236" t="str">
        <f>IFERROR(__xludf.DUMMYFUNCTION("""COMPUTED_VALUE"""),"")</f>
        <v/>
      </c>
      <c r="E2236" t="str">
        <f>IFERROR(__xludf.DUMMYFUNCTION("""COMPUTED_VALUE"""),"")</f>
        <v/>
      </c>
      <c r="F2236" t="str">
        <f>IFERROR(__xludf.DUMMYFUNCTION("""COMPUTED_VALUE"""),"")</f>
        <v/>
      </c>
      <c r="G2236" t="str">
        <f>IFERROR(__xludf.DUMMYFUNCTION("""COMPUTED_VALUE"""),"")</f>
        <v/>
      </c>
      <c r="H2236" s="2" t="str">
        <f>IFERROR(__xludf.DUMMYFUNCTION("""COMPUTED_VALUE"""),"")</f>
        <v/>
      </c>
      <c r="I2236" s="2" t="str">
        <f>IFERROR(__xludf.DUMMYFUNCTION("""COMPUTED_VALUE"""),"")</f>
        <v/>
      </c>
      <c r="J2236" s="2">
        <f>IFERROR(__xludf.DUMMYFUNCTION("""COMPUTED_VALUE"""),0.0)</f>
        <v>0</v>
      </c>
      <c r="K2236" s="5" t="str">
        <f>IFERROR(__xludf.DUMMYFUNCTION("""COMPUTED_VALUE"""),"")</f>
        <v/>
      </c>
      <c r="L2236" t="str">
        <f>IFERROR(__xludf.DUMMYFUNCTION("""COMPUTED_VALUE"""),"")</f>
        <v/>
      </c>
      <c r="M2236" t="str">
        <f>IFERROR(__xludf.DUMMYFUNCTION("""COMPUTED_VALUE"""),"")</f>
        <v/>
      </c>
      <c r="N2236" t="str">
        <f>IFERROR(__xludf.DUMMYFUNCTION("""COMPUTED_VALUE"""),"")</f>
        <v/>
      </c>
      <c r="O2236" t="str">
        <f>IFERROR(__xludf.DUMMYFUNCTION("""COMPUTED_VALUE"""),"")</f>
        <v/>
      </c>
      <c r="P2236" t="str">
        <f>IFERROR(__xludf.DUMMYFUNCTION("""COMPUTED_VALUE"""),"ID ")</f>
        <v>ID </v>
      </c>
    </row>
    <row r="2237">
      <c r="A2237" s="6" t="str">
        <f>IFERROR(__xludf.DUMMYFUNCTION("""COMPUTED_VALUE"""),"")</f>
        <v/>
      </c>
      <c r="C2237" t="str">
        <f>IFERROR(__xludf.DUMMYFUNCTION("""COMPUTED_VALUE"""),"")</f>
        <v/>
      </c>
      <c r="D2237" t="str">
        <f>IFERROR(__xludf.DUMMYFUNCTION("""COMPUTED_VALUE"""),"")</f>
        <v/>
      </c>
      <c r="E2237" t="str">
        <f>IFERROR(__xludf.DUMMYFUNCTION("""COMPUTED_VALUE"""),"")</f>
        <v/>
      </c>
      <c r="F2237" t="str">
        <f>IFERROR(__xludf.DUMMYFUNCTION("""COMPUTED_VALUE"""),"")</f>
        <v/>
      </c>
      <c r="G2237" t="str">
        <f>IFERROR(__xludf.DUMMYFUNCTION("""COMPUTED_VALUE"""),"")</f>
        <v/>
      </c>
      <c r="H2237" s="2" t="str">
        <f>IFERROR(__xludf.DUMMYFUNCTION("""COMPUTED_VALUE"""),"")</f>
        <v/>
      </c>
      <c r="I2237" s="2" t="str">
        <f>IFERROR(__xludf.DUMMYFUNCTION("""COMPUTED_VALUE"""),"")</f>
        <v/>
      </c>
      <c r="J2237" s="2">
        <f>IFERROR(__xludf.DUMMYFUNCTION("""COMPUTED_VALUE"""),0.0)</f>
        <v>0</v>
      </c>
      <c r="K2237" s="5" t="str">
        <f>IFERROR(__xludf.DUMMYFUNCTION("""COMPUTED_VALUE"""),"")</f>
        <v/>
      </c>
      <c r="L2237" t="str">
        <f>IFERROR(__xludf.DUMMYFUNCTION("""COMPUTED_VALUE"""),"")</f>
        <v/>
      </c>
      <c r="M2237" t="str">
        <f>IFERROR(__xludf.DUMMYFUNCTION("""COMPUTED_VALUE"""),"")</f>
        <v/>
      </c>
      <c r="N2237" t="str">
        <f>IFERROR(__xludf.DUMMYFUNCTION("""COMPUTED_VALUE"""),"")</f>
        <v/>
      </c>
      <c r="O2237" t="str">
        <f>IFERROR(__xludf.DUMMYFUNCTION("""COMPUTED_VALUE"""),"")</f>
        <v/>
      </c>
      <c r="P2237" t="str">
        <f>IFERROR(__xludf.DUMMYFUNCTION("""COMPUTED_VALUE"""),"ID ")</f>
        <v>ID </v>
      </c>
    </row>
    <row r="2238">
      <c r="A2238" s="6" t="str">
        <f>IFERROR(__xludf.DUMMYFUNCTION("""COMPUTED_VALUE"""),"")</f>
        <v/>
      </c>
      <c r="C2238" t="str">
        <f>IFERROR(__xludf.DUMMYFUNCTION("""COMPUTED_VALUE"""),"")</f>
        <v/>
      </c>
      <c r="D2238" t="str">
        <f>IFERROR(__xludf.DUMMYFUNCTION("""COMPUTED_VALUE"""),"")</f>
        <v/>
      </c>
      <c r="E2238" t="str">
        <f>IFERROR(__xludf.DUMMYFUNCTION("""COMPUTED_VALUE"""),"")</f>
        <v/>
      </c>
      <c r="F2238" t="str">
        <f>IFERROR(__xludf.DUMMYFUNCTION("""COMPUTED_VALUE"""),"")</f>
        <v/>
      </c>
      <c r="G2238" t="str">
        <f>IFERROR(__xludf.DUMMYFUNCTION("""COMPUTED_VALUE"""),"")</f>
        <v/>
      </c>
      <c r="H2238" s="2" t="str">
        <f>IFERROR(__xludf.DUMMYFUNCTION("""COMPUTED_VALUE"""),"")</f>
        <v/>
      </c>
      <c r="I2238" s="2" t="str">
        <f>IFERROR(__xludf.DUMMYFUNCTION("""COMPUTED_VALUE"""),"")</f>
        <v/>
      </c>
      <c r="J2238" s="2">
        <f>IFERROR(__xludf.DUMMYFUNCTION("""COMPUTED_VALUE"""),0.0)</f>
        <v>0</v>
      </c>
      <c r="K2238" s="5" t="str">
        <f>IFERROR(__xludf.DUMMYFUNCTION("""COMPUTED_VALUE"""),"")</f>
        <v/>
      </c>
      <c r="L2238" t="str">
        <f>IFERROR(__xludf.DUMMYFUNCTION("""COMPUTED_VALUE"""),"")</f>
        <v/>
      </c>
      <c r="M2238" t="str">
        <f>IFERROR(__xludf.DUMMYFUNCTION("""COMPUTED_VALUE"""),"")</f>
        <v/>
      </c>
      <c r="N2238" t="str">
        <f>IFERROR(__xludf.DUMMYFUNCTION("""COMPUTED_VALUE"""),"")</f>
        <v/>
      </c>
      <c r="O2238" t="str">
        <f>IFERROR(__xludf.DUMMYFUNCTION("""COMPUTED_VALUE"""),"")</f>
        <v/>
      </c>
      <c r="P2238" t="str">
        <f>IFERROR(__xludf.DUMMYFUNCTION("""COMPUTED_VALUE"""),"ID ")</f>
        <v>ID </v>
      </c>
    </row>
    <row r="2239">
      <c r="A2239" s="6" t="str">
        <f>IFERROR(__xludf.DUMMYFUNCTION("""COMPUTED_VALUE"""),"")</f>
        <v/>
      </c>
      <c r="C2239" t="str">
        <f>IFERROR(__xludf.DUMMYFUNCTION("""COMPUTED_VALUE"""),"")</f>
        <v/>
      </c>
      <c r="D2239" t="str">
        <f>IFERROR(__xludf.DUMMYFUNCTION("""COMPUTED_VALUE"""),"")</f>
        <v/>
      </c>
      <c r="E2239" t="str">
        <f>IFERROR(__xludf.DUMMYFUNCTION("""COMPUTED_VALUE"""),"")</f>
        <v/>
      </c>
      <c r="F2239" t="str">
        <f>IFERROR(__xludf.DUMMYFUNCTION("""COMPUTED_VALUE"""),"")</f>
        <v/>
      </c>
      <c r="G2239" t="str">
        <f>IFERROR(__xludf.DUMMYFUNCTION("""COMPUTED_VALUE"""),"")</f>
        <v/>
      </c>
      <c r="H2239" s="2" t="str">
        <f>IFERROR(__xludf.DUMMYFUNCTION("""COMPUTED_VALUE"""),"")</f>
        <v/>
      </c>
      <c r="I2239" s="2" t="str">
        <f>IFERROR(__xludf.DUMMYFUNCTION("""COMPUTED_VALUE"""),"")</f>
        <v/>
      </c>
      <c r="J2239" s="2">
        <f>IFERROR(__xludf.DUMMYFUNCTION("""COMPUTED_VALUE"""),0.0)</f>
        <v>0</v>
      </c>
      <c r="K2239" s="5" t="str">
        <f>IFERROR(__xludf.DUMMYFUNCTION("""COMPUTED_VALUE"""),"")</f>
        <v/>
      </c>
      <c r="L2239" t="str">
        <f>IFERROR(__xludf.DUMMYFUNCTION("""COMPUTED_VALUE"""),"")</f>
        <v/>
      </c>
      <c r="M2239" t="str">
        <f>IFERROR(__xludf.DUMMYFUNCTION("""COMPUTED_VALUE"""),"")</f>
        <v/>
      </c>
      <c r="N2239" t="str">
        <f>IFERROR(__xludf.DUMMYFUNCTION("""COMPUTED_VALUE"""),"")</f>
        <v/>
      </c>
      <c r="O2239" t="str">
        <f>IFERROR(__xludf.DUMMYFUNCTION("""COMPUTED_VALUE"""),"")</f>
        <v/>
      </c>
      <c r="P2239" t="str">
        <f>IFERROR(__xludf.DUMMYFUNCTION("""COMPUTED_VALUE"""),"ID ")</f>
        <v>ID </v>
      </c>
    </row>
    <row r="2240">
      <c r="A2240" s="6" t="str">
        <f>IFERROR(__xludf.DUMMYFUNCTION("""COMPUTED_VALUE"""),"")</f>
        <v/>
      </c>
      <c r="C2240" t="str">
        <f>IFERROR(__xludf.DUMMYFUNCTION("""COMPUTED_VALUE"""),"")</f>
        <v/>
      </c>
      <c r="D2240" t="str">
        <f>IFERROR(__xludf.DUMMYFUNCTION("""COMPUTED_VALUE"""),"")</f>
        <v/>
      </c>
      <c r="E2240" t="str">
        <f>IFERROR(__xludf.DUMMYFUNCTION("""COMPUTED_VALUE"""),"")</f>
        <v/>
      </c>
      <c r="F2240" t="str">
        <f>IFERROR(__xludf.DUMMYFUNCTION("""COMPUTED_VALUE"""),"")</f>
        <v/>
      </c>
      <c r="G2240" t="str">
        <f>IFERROR(__xludf.DUMMYFUNCTION("""COMPUTED_VALUE"""),"")</f>
        <v/>
      </c>
      <c r="H2240" s="2" t="str">
        <f>IFERROR(__xludf.DUMMYFUNCTION("""COMPUTED_VALUE"""),"")</f>
        <v/>
      </c>
      <c r="I2240" s="2" t="str">
        <f>IFERROR(__xludf.DUMMYFUNCTION("""COMPUTED_VALUE"""),"")</f>
        <v/>
      </c>
      <c r="J2240" s="2">
        <f>IFERROR(__xludf.DUMMYFUNCTION("""COMPUTED_VALUE"""),0.0)</f>
        <v>0</v>
      </c>
      <c r="K2240" s="5" t="str">
        <f>IFERROR(__xludf.DUMMYFUNCTION("""COMPUTED_VALUE"""),"")</f>
        <v/>
      </c>
      <c r="L2240" t="str">
        <f>IFERROR(__xludf.DUMMYFUNCTION("""COMPUTED_VALUE"""),"")</f>
        <v/>
      </c>
      <c r="M2240" t="str">
        <f>IFERROR(__xludf.DUMMYFUNCTION("""COMPUTED_VALUE"""),"")</f>
        <v/>
      </c>
      <c r="N2240" t="str">
        <f>IFERROR(__xludf.DUMMYFUNCTION("""COMPUTED_VALUE"""),"")</f>
        <v/>
      </c>
      <c r="O2240" t="str">
        <f>IFERROR(__xludf.DUMMYFUNCTION("""COMPUTED_VALUE"""),"")</f>
        <v/>
      </c>
      <c r="P2240" t="str">
        <f>IFERROR(__xludf.DUMMYFUNCTION("""COMPUTED_VALUE"""),"ID ")</f>
        <v>ID </v>
      </c>
    </row>
    <row r="2241">
      <c r="A2241" s="6" t="str">
        <f>IFERROR(__xludf.DUMMYFUNCTION("""COMPUTED_VALUE"""),"")</f>
        <v/>
      </c>
      <c r="C2241" t="str">
        <f>IFERROR(__xludf.DUMMYFUNCTION("""COMPUTED_VALUE"""),"")</f>
        <v/>
      </c>
      <c r="D2241" t="str">
        <f>IFERROR(__xludf.DUMMYFUNCTION("""COMPUTED_VALUE"""),"")</f>
        <v/>
      </c>
      <c r="E2241" t="str">
        <f>IFERROR(__xludf.DUMMYFUNCTION("""COMPUTED_VALUE"""),"")</f>
        <v/>
      </c>
      <c r="F2241" t="str">
        <f>IFERROR(__xludf.DUMMYFUNCTION("""COMPUTED_VALUE"""),"")</f>
        <v/>
      </c>
      <c r="G2241" t="str">
        <f>IFERROR(__xludf.DUMMYFUNCTION("""COMPUTED_VALUE"""),"")</f>
        <v/>
      </c>
      <c r="H2241" s="2" t="str">
        <f>IFERROR(__xludf.DUMMYFUNCTION("""COMPUTED_VALUE"""),"")</f>
        <v/>
      </c>
      <c r="I2241" s="2" t="str">
        <f>IFERROR(__xludf.DUMMYFUNCTION("""COMPUTED_VALUE"""),"")</f>
        <v/>
      </c>
      <c r="J2241" s="2">
        <f>IFERROR(__xludf.DUMMYFUNCTION("""COMPUTED_VALUE"""),0.0)</f>
        <v>0</v>
      </c>
      <c r="K2241" s="5" t="str">
        <f>IFERROR(__xludf.DUMMYFUNCTION("""COMPUTED_VALUE"""),"")</f>
        <v/>
      </c>
      <c r="L2241" t="str">
        <f>IFERROR(__xludf.DUMMYFUNCTION("""COMPUTED_VALUE"""),"")</f>
        <v/>
      </c>
      <c r="M2241" t="str">
        <f>IFERROR(__xludf.DUMMYFUNCTION("""COMPUTED_VALUE"""),"")</f>
        <v/>
      </c>
      <c r="N2241" t="str">
        <f>IFERROR(__xludf.DUMMYFUNCTION("""COMPUTED_VALUE"""),"")</f>
        <v/>
      </c>
      <c r="O2241" t="str">
        <f>IFERROR(__xludf.DUMMYFUNCTION("""COMPUTED_VALUE"""),"")</f>
        <v/>
      </c>
      <c r="P2241" t="str">
        <f>IFERROR(__xludf.DUMMYFUNCTION("""COMPUTED_VALUE"""),"ID ")</f>
        <v>ID </v>
      </c>
    </row>
    <row r="2242">
      <c r="A2242" s="6" t="str">
        <f>IFERROR(__xludf.DUMMYFUNCTION("""COMPUTED_VALUE"""),"")</f>
        <v/>
      </c>
      <c r="C2242" t="str">
        <f>IFERROR(__xludf.DUMMYFUNCTION("""COMPUTED_VALUE"""),"")</f>
        <v/>
      </c>
      <c r="D2242" t="str">
        <f>IFERROR(__xludf.DUMMYFUNCTION("""COMPUTED_VALUE"""),"")</f>
        <v/>
      </c>
      <c r="E2242" t="str">
        <f>IFERROR(__xludf.DUMMYFUNCTION("""COMPUTED_VALUE"""),"")</f>
        <v/>
      </c>
      <c r="F2242" t="str">
        <f>IFERROR(__xludf.DUMMYFUNCTION("""COMPUTED_VALUE"""),"")</f>
        <v/>
      </c>
      <c r="G2242" t="str">
        <f>IFERROR(__xludf.DUMMYFUNCTION("""COMPUTED_VALUE"""),"")</f>
        <v/>
      </c>
      <c r="H2242" s="2" t="str">
        <f>IFERROR(__xludf.DUMMYFUNCTION("""COMPUTED_VALUE"""),"")</f>
        <v/>
      </c>
      <c r="I2242" s="2" t="str">
        <f>IFERROR(__xludf.DUMMYFUNCTION("""COMPUTED_VALUE"""),"")</f>
        <v/>
      </c>
      <c r="J2242" s="2">
        <f>IFERROR(__xludf.DUMMYFUNCTION("""COMPUTED_VALUE"""),0.0)</f>
        <v>0</v>
      </c>
      <c r="K2242" s="5" t="str">
        <f>IFERROR(__xludf.DUMMYFUNCTION("""COMPUTED_VALUE"""),"")</f>
        <v/>
      </c>
      <c r="L2242" t="str">
        <f>IFERROR(__xludf.DUMMYFUNCTION("""COMPUTED_VALUE"""),"")</f>
        <v/>
      </c>
      <c r="M2242" t="str">
        <f>IFERROR(__xludf.DUMMYFUNCTION("""COMPUTED_VALUE"""),"")</f>
        <v/>
      </c>
      <c r="N2242" t="str">
        <f>IFERROR(__xludf.DUMMYFUNCTION("""COMPUTED_VALUE"""),"")</f>
        <v/>
      </c>
      <c r="O2242" t="str">
        <f>IFERROR(__xludf.DUMMYFUNCTION("""COMPUTED_VALUE"""),"")</f>
        <v/>
      </c>
      <c r="P2242" t="str">
        <f>IFERROR(__xludf.DUMMYFUNCTION("""COMPUTED_VALUE"""),"ID ")</f>
        <v>ID </v>
      </c>
    </row>
    <row r="2243">
      <c r="A2243" s="6" t="str">
        <f>IFERROR(__xludf.DUMMYFUNCTION("""COMPUTED_VALUE"""),"")</f>
        <v/>
      </c>
      <c r="C2243" t="str">
        <f>IFERROR(__xludf.DUMMYFUNCTION("""COMPUTED_VALUE"""),"")</f>
        <v/>
      </c>
      <c r="D2243" t="str">
        <f>IFERROR(__xludf.DUMMYFUNCTION("""COMPUTED_VALUE"""),"")</f>
        <v/>
      </c>
      <c r="E2243" t="str">
        <f>IFERROR(__xludf.DUMMYFUNCTION("""COMPUTED_VALUE"""),"")</f>
        <v/>
      </c>
      <c r="F2243" t="str">
        <f>IFERROR(__xludf.DUMMYFUNCTION("""COMPUTED_VALUE"""),"")</f>
        <v/>
      </c>
      <c r="G2243" t="str">
        <f>IFERROR(__xludf.DUMMYFUNCTION("""COMPUTED_VALUE"""),"")</f>
        <v/>
      </c>
      <c r="H2243" s="2" t="str">
        <f>IFERROR(__xludf.DUMMYFUNCTION("""COMPUTED_VALUE"""),"")</f>
        <v/>
      </c>
      <c r="I2243" s="2" t="str">
        <f>IFERROR(__xludf.DUMMYFUNCTION("""COMPUTED_VALUE"""),"")</f>
        <v/>
      </c>
      <c r="J2243" s="2">
        <f>IFERROR(__xludf.DUMMYFUNCTION("""COMPUTED_VALUE"""),0.0)</f>
        <v>0</v>
      </c>
      <c r="K2243" s="5" t="str">
        <f>IFERROR(__xludf.DUMMYFUNCTION("""COMPUTED_VALUE"""),"")</f>
        <v/>
      </c>
      <c r="L2243" t="str">
        <f>IFERROR(__xludf.DUMMYFUNCTION("""COMPUTED_VALUE"""),"")</f>
        <v/>
      </c>
      <c r="M2243" t="str">
        <f>IFERROR(__xludf.DUMMYFUNCTION("""COMPUTED_VALUE"""),"")</f>
        <v/>
      </c>
      <c r="N2243" t="str">
        <f>IFERROR(__xludf.DUMMYFUNCTION("""COMPUTED_VALUE"""),"")</f>
        <v/>
      </c>
      <c r="O2243" t="str">
        <f>IFERROR(__xludf.DUMMYFUNCTION("""COMPUTED_VALUE"""),"")</f>
        <v/>
      </c>
      <c r="P2243" t="str">
        <f>IFERROR(__xludf.DUMMYFUNCTION("""COMPUTED_VALUE"""),"ID ")</f>
        <v>ID </v>
      </c>
    </row>
    <row r="2244">
      <c r="A2244" s="6" t="str">
        <f>IFERROR(__xludf.DUMMYFUNCTION("""COMPUTED_VALUE"""),"")</f>
        <v/>
      </c>
      <c r="C2244" t="str">
        <f>IFERROR(__xludf.DUMMYFUNCTION("""COMPUTED_VALUE"""),"")</f>
        <v/>
      </c>
      <c r="D2244" t="str">
        <f>IFERROR(__xludf.DUMMYFUNCTION("""COMPUTED_VALUE"""),"")</f>
        <v/>
      </c>
      <c r="E2244" t="str">
        <f>IFERROR(__xludf.DUMMYFUNCTION("""COMPUTED_VALUE"""),"")</f>
        <v/>
      </c>
      <c r="F2244" t="str">
        <f>IFERROR(__xludf.DUMMYFUNCTION("""COMPUTED_VALUE"""),"")</f>
        <v/>
      </c>
      <c r="G2244" t="str">
        <f>IFERROR(__xludf.DUMMYFUNCTION("""COMPUTED_VALUE"""),"")</f>
        <v/>
      </c>
      <c r="H2244" s="2" t="str">
        <f>IFERROR(__xludf.DUMMYFUNCTION("""COMPUTED_VALUE"""),"")</f>
        <v/>
      </c>
      <c r="I2244" s="2" t="str">
        <f>IFERROR(__xludf.DUMMYFUNCTION("""COMPUTED_VALUE"""),"")</f>
        <v/>
      </c>
      <c r="J2244" s="2">
        <f>IFERROR(__xludf.DUMMYFUNCTION("""COMPUTED_VALUE"""),0.0)</f>
        <v>0</v>
      </c>
      <c r="K2244" s="5" t="str">
        <f>IFERROR(__xludf.DUMMYFUNCTION("""COMPUTED_VALUE"""),"")</f>
        <v/>
      </c>
      <c r="L2244" t="str">
        <f>IFERROR(__xludf.DUMMYFUNCTION("""COMPUTED_VALUE"""),"")</f>
        <v/>
      </c>
      <c r="M2244" t="str">
        <f>IFERROR(__xludf.DUMMYFUNCTION("""COMPUTED_VALUE"""),"")</f>
        <v/>
      </c>
      <c r="N2244" t="str">
        <f>IFERROR(__xludf.DUMMYFUNCTION("""COMPUTED_VALUE"""),"")</f>
        <v/>
      </c>
      <c r="O2244" t="str">
        <f>IFERROR(__xludf.DUMMYFUNCTION("""COMPUTED_VALUE"""),"")</f>
        <v/>
      </c>
      <c r="P2244" t="str">
        <f>IFERROR(__xludf.DUMMYFUNCTION("""COMPUTED_VALUE"""),"ID ")</f>
        <v>ID </v>
      </c>
    </row>
    <row r="2245">
      <c r="A2245" s="6" t="str">
        <f>IFERROR(__xludf.DUMMYFUNCTION("""COMPUTED_VALUE"""),"")</f>
        <v/>
      </c>
      <c r="C2245" t="str">
        <f>IFERROR(__xludf.DUMMYFUNCTION("""COMPUTED_VALUE"""),"")</f>
        <v/>
      </c>
      <c r="D2245" t="str">
        <f>IFERROR(__xludf.DUMMYFUNCTION("""COMPUTED_VALUE"""),"")</f>
        <v/>
      </c>
      <c r="E2245" t="str">
        <f>IFERROR(__xludf.DUMMYFUNCTION("""COMPUTED_VALUE"""),"")</f>
        <v/>
      </c>
      <c r="F2245" t="str">
        <f>IFERROR(__xludf.DUMMYFUNCTION("""COMPUTED_VALUE"""),"")</f>
        <v/>
      </c>
      <c r="G2245" t="str">
        <f>IFERROR(__xludf.DUMMYFUNCTION("""COMPUTED_VALUE"""),"")</f>
        <v/>
      </c>
      <c r="H2245" s="2" t="str">
        <f>IFERROR(__xludf.DUMMYFUNCTION("""COMPUTED_VALUE"""),"")</f>
        <v/>
      </c>
      <c r="I2245" s="2" t="str">
        <f>IFERROR(__xludf.DUMMYFUNCTION("""COMPUTED_VALUE"""),"")</f>
        <v/>
      </c>
      <c r="J2245" s="2">
        <f>IFERROR(__xludf.DUMMYFUNCTION("""COMPUTED_VALUE"""),0.0)</f>
        <v>0</v>
      </c>
      <c r="K2245" s="5" t="str">
        <f>IFERROR(__xludf.DUMMYFUNCTION("""COMPUTED_VALUE"""),"")</f>
        <v/>
      </c>
      <c r="L2245" t="str">
        <f>IFERROR(__xludf.DUMMYFUNCTION("""COMPUTED_VALUE"""),"")</f>
        <v/>
      </c>
      <c r="M2245" t="str">
        <f>IFERROR(__xludf.DUMMYFUNCTION("""COMPUTED_VALUE"""),"")</f>
        <v/>
      </c>
      <c r="N2245" t="str">
        <f>IFERROR(__xludf.DUMMYFUNCTION("""COMPUTED_VALUE"""),"")</f>
        <v/>
      </c>
      <c r="O2245" t="str">
        <f>IFERROR(__xludf.DUMMYFUNCTION("""COMPUTED_VALUE"""),"")</f>
        <v/>
      </c>
      <c r="P2245" t="str">
        <f>IFERROR(__xludf.DUMMYFUNCTION("""COMPUTED_VALUE"""),"ID ")</f>
        <v>ID </v>
      </c>
    </row>
    <row r="2246">
      <c r="A2246" s="6" t="str">
        <f>IFERROR(__xludf.DUMMYFUNCTION("""COMPUTED_VALUE"""),"")</f>
        <v/>
      </c>
      <c r="C2246" t="str">
        <f>IFERROR(__xludf.DUMMYFUNCTION("""COMPUTED_VALUE"""),"")</f>
        <v/>
      </c>
      <c r="D2246" t="str">
        <f>IFERROR(__xludf.DUMMYFUNCTION("""COMPUTED_VALUE"""),"")</f>
        <v/>
      </c>
      <c r="E2246" t="str">
        <f>IFERROR(__xludf.DUMMYFUNCTION("""COMPUTED_VALUE"""),"")</f>
        <v/>
      </c>
      <c r="F2246" t="str">
        <f>IFERROR(__xludf.DUMMYFUNCTION("""COMPUTED_VALUE"""),"")</f>
        <v/>
      </c>
      <c r="G2246" t="str">
        <f>IFERROR(__xludf.DUMMYFUNCTION("""COMPUTED_VALUE"""),"")</f>
        <v/>
      </c>
      <c r="H2246" s="2" t="str">
        <f>IFERROR(__xludf.DUMMYFUNCTION("""COMPUTED_VALUE"""),"")</f>
        <v/>
      </c>
      <c r="I2246" s="2" t="str">
        <f>IFERROR(__xludf.DUMMYFUNCTION("""COMPUTED_VALUE"""),"")</f>
        <v/>
      </c>
      <c r="J2246" s="2">
        <f>IFERROR(__xludf.DUMMYFUNCTION("""COMPUTED_VALUE"""),0.0)</f>
        <v>0</v>
      </c>
      <c r="K2246" s="5" t="str">
        <f>IFERROR(__xludf.DUMMYFUNCTION("""COMPUTED_VALUE"""),"")</f>
        <v/>
      </c>
      <c r="L2246" t="str">
        <f>IFERROR(__xludf.DUMMYFUNCTION("""COMPUTED_VALUE"""),"")</f>
        <v/>
      </c>
      <c r="M2246" t="str">
        <f>IFERROR(__xludf.DUMMYFUNCTION("""COMPUTED_VALUE"""),"")</f>
        <v/>
      </c>
      <c r="N2246" t="str">
        <f>IFERROR(__xludf.DUMMYFUNCTION("""COMPUTED_VALUE"""),"")</f>
        <v/>
      </c>
      <c r="O2246" t="str">
        <f>IFERROR(__xludf.DUMMYFUNCTION("""COMPUTED_VALUE"""),"")</f>
        <v/>
      </c>
      <c r="P2246" t="str">
        <f>IFERROR(__xludf.DUMMYFUNCTION("""COMPUTED_VALUE"""),"ID ")</f>
        <v>ID </v>
      </c>
    </row>
    <row r="2247">
      <c r="A2247" s="6" t="str">
        <f>IFERROR(__xludf.DUMMYFUNCTION("""COMPUTED_VALUE"""),"")</f>
        <v/>
      </c>
      <c r="C2247" t="str">
        <f>IFERROR(__xludf.DUMMYFUNCTION("""COMPUTED_VALUE"""),"")</f>
        <v/>
      </c>
      <c r="D2247" t="str">
        <f>IFERROR(__xludf.DUMMYFUNCTION("""COMPUTED_VALUE"""),"")</f>
        <v/>
      </c>
      <c r="E2247" t="str">
        <f>IFERROR(__xludf.DUMMYFUNCTION("""COMPUTED_VALUE"""),"")</f>
        <v/>
      </c>
      <c r="F2247" t="str">
        <f>IFERROR(__xludf.DUMMYFUNCTION("""COMPUTED_VALUE"""),"")</f>
        <v/>
      </c>
      <c r="G2247" t="str">
        <f>IFERROR(__xludf.DUMMYFUNCTION("""COMPUTED_VALUE"""),"")</f>
        <v/>
      </c>
      <c r="H2247" s="2" t="str">
        <f>IFERROR(__xludf.DUMMYFUNCTION("""COMPUTED_VALUE"""),"")</f>
        <v/>
      </c>
      <c r="I2247" s="2" t="str">
        <f>IFERROR(__xludf.DUMMYFUNCTION("""COMPUTED_VALUE"""),"")</f>
        <v/>
      </c>
      <c r="J2247" s="2">
        <f>IFERROR(__xludf.DUMMYFUNCTION("""COMPUTED_VALUE"""),0.0)</f>
        <v>0</v>
      </c>
      <c r="K2247" s="5" t="str">
        <f>IFERROR(__xludf.DUMMYFUNCTION("""COMPUTED_VALUE"""),"")</f>
        <v/>
      </c>
      <c r="L2247" t="str">
        <f>IFERROR(__xludf.DUMMYFUNCTION("""COMPUTED_VALUE"""),"")</f>
        <v/>
      </c>
      <c r="M2247" t="str">
        <f>IFERROR(__xludf.DUMMYFUNCTION("""COMPUTED_VALUE"""),"")</f>
        <v/>
      </c>
      <c r="N2247" t="str">
        <f>IFERROR(__xludf.DUMMYFUNCTION("""COMPUTED_VALUE"""),"")</f>
        <v/>
      </c>
      <c r="O2247" t="str">
        <f>IFERROR(__xludf.DUMMYFUNCTION("""COMPUTED_VALUE"""),"")</f>
        <v/>
      </c>
      <c r="P2247" t="str">
        <f>IFERROR(__xludf.DUMMYFUNCTION("""COMPUTED_VALUE"""),"ID ")</f>
        <v>ID </v>
      </c>
    </row>
    <row r="2248">
      <c r="A2248" s="6" t="str">
        <f>IFERROR(__xludf.DUMMYFUNCTION("""COMPUTED_VALUE"""),"")</f>
        <v/>
      </c>
      <c r="C2248" t="str">
        <f>IFERROR(__xludf.DUMMYFUNCTION("""COMPUTED_VALUE"""),"")</f>
        <v/>
      </c>
      <c r="D2248" t="str">
        <f>IFERROR(__xludf.DUMMYFUNCTION("""COMPUTED_VALUE"""),"")</f>
        <v/>
      </c>
      <c r="E2248" t="str">
        <f>IFERROR(__xludf.DUMMYFUNCTION("""COMPUTED_VALUE"""),"")</f>
        <v/>
      </c>
      <c r="F2248" t="str">
        <f>IFERROR(__xludf.DUMMYFUNCTION("""COMPUTED_VALUE"""),"")</f>
        <v/>
      </c>
      <c r="G2248" t="str">
        <f>IFERROR(__xludf.DUMMYFUNCTION("""COMPUTED_VALUE"""),"")</f>
        <v/>
      </c>
      <c r="H2248" s="2" t="str">
        <f>IFERROR(__xludf.DUMMYFUNCTION("""COMPUTED_VALUE"""),"")</f>
        <v/>
      </c>
      <c r="I2248" s="2" t="str">
        <f>IFERROR(__xludf.DUMMYFUNCTION("""COMPUTED_VALUE"""),"")</f>
        <v/>
      </c>
      <c r="J2248" s="2">
        <f>IFERROR(__xludf.DUMMYFUNCTION("""COMPUTED_VALUE"""),0.0)</f>
        <v>0</v>
      </c>
      <c r="K2248" s="5" t="str">
        <f>IFERROR(__xludf.DUMMYFUNCTION("""COMPUTED_VALUE"""),"")</f>
        <v/>
      </c>
      <c r="L2248" t="str">
        <f>IFERROR(__xludf.DUMMYFUNCTION("""COMPUTED_VALUE"""),"")</f>
        <v/>
      </c>
      <c r="M2248" t="str">
        <f>IFERROR(__xludf.DUMMYFUNCTION("""COMPUTED_VALUE"""),"")</f>
        <v/>
      </c>
      <c r="N2248" t="str">
        <f>IFERROR(__xludf.DUMMYFUNCTION("""COMPUTED_VALUE"""),"")</f>
        <v/>
      </c>
      <c r="O2248" t="str">
        <f>IFERROR(__xludf.DUMMYFUNCTION("""COMPUTED_VALUE"""),"")</f>
        <v/>
      </c>
      <c r="P2248" t="str">
        <f>IFERROR(__xludf.DUMMYFUNCTION("""COMPUTED_VALUE"""),"ID ")</f>
        <v>ID </v>
      </c>
    </row>
    <row r="2249">
      <c r="A2249" s="6" t="str">
        <f>IFERROR(__xludf.DUMMYFUNCTION("""COMPUTED_VALUE"""),"")</f>
        <v/>
      </c>
      <c r="C2249" t="str">
        <f>IFERROR(__xludf.DUMMYFUNCTION("""COMPUTED_VALUE"""),"")</f>
        <v/>
      </c>
      <c r="D2249" t="str">
        <f>IFERROR(__xludf.DUMMYFUNCTION("""COMPUTED_VALUE"""),"")</f>
        <v/>
      </c>
      <c r="E2249" t="str">
        <f>IFERROR(__xludf.DUMMYFUNCTION("""COMPUTED_VALUE"""),"")</f>
        <v/>
      </c>
      <c r="F2249" t="str">
        <f>IFERROR(__xludf.DUMMYFUNCTION("""COMPUTED_VALUE"""),"")</f>
        <v/>
      </c>
      <c r="G2249" t="str">
        <f>IFERROR(__xludf.DUMMYFUNCTION("""COMPUTED_VALUE"""),"")</f>
        <v/>
      </c>
      <c r="H2249" s="2" t="str">
        <f>IFERROR(__xludf.DUMMYFUNCTION("""COMPUTED_VALUE"""),"")</f>
        <v/>
      </c>
      <c r="I2249" s="2" t="str">
        <f>IFERROR(__xludf.DUMMYFUNCTION("""COMPUTED_VALUE"""),"")</f>
        <v/>
      </c>
      <c r="J2249" s="2">
        <f>IFERROR(__xludf.DUMMYFUNCTION("""COMPUTED_VALUE"""),0.0)</f>
        <v>0</v>
      </c>
      <c r="K2249" s="5" t="str">
        <f>IFERROR(__xludf.DUMMYFUNCTION("""COMPUTED_VALUE"""),"")</f>
        <v/>
      </c>
      <c r="L2249" t="str">
        <f>IFERROR(__xludf.DUMMYFUNCTION("""COMPUTED_VALUE"""),"")</f>
        <v/>
      </c>
      <c r="M2249" t="str">
        <f>IFERROR(__xludf.DUMMYFUNCTION("""COMPUTED_VALUE"""),"")</f>
        <v/>
      </c>
      <c r="N2249" t="str">
        <f>IFERROR(__xludf.DUMMYFUNCTION("""COMPUTED_VALUE"""),"")</f>
        <v/>
      </c>
      <c r="O2249" t="str">
        <f>IFERROR(__xludf.DUMMYFUNCTION("""COMPUTED_VALUE"""),"")</f>
        <v/>
      </c>
      <c r="P2249" t="str">
        <f>IFERROR(__xludf.DUMMYFUNCTION("""COMPUTED_VALUE"""),"ID ")</f>
        <v>ID </v>
      </c>
    </row>
    <row r="2250">
      <c r="A2250" s="6" t="str">
        <f>IFERROR(__xludf.DUMMYFUNCTION("""COMPUTED_VALUE"""),"")</f>
        <v/>
      </c>
      <c r="C2250" t="str">
        <f>IFERROR(__xludf.DUMMYFUNCTION("""COMPUTED_VALUE"""),"")</f>
        <v/>
      </c>
      <c r="D2250" t="str">
        <f>IFERROR(__xludf.DUMMYFUNCTION("""COMPUTED_VALUE"""),"")</f>
        <v/>
      </c>
      <c r="E2250" t="str">
        <f>IFERROR(__xludf.DUMMYFUNCTION("""COMPUTED_VALUE"""),"")</f>
        <v/>
      </c>
      <c r="F2250" t="str">
        <f>IFERROR(__xludf.DUMMYFUNCTION("""COMPUTED_VALUE"""),"")</f>
        <v/>
      </c>
      <c r="G2250" t="str">
        <f>IFERROR(__xludf.DUMMYFUNCTION("""COMPUTED_VALUE"""),"")</f>
        <v/>
      </c>
      <c r="H2250" s="2" t="str">
        <f>IFERROR(__xludf.DUMMYFUNCTION("""COMPUTED_VALUE"""),"")</f>
        <v/>
      </c>
      <c r="I2250" s="2" t="str">
        <f>IFERROR(__xludf.DUMMYFUNCTION("""COMPUTED_VALUE"""),"")</f>
        <v/>
      </c>
      <c r="J2250" s="2">
        <f>IFERROR(__xludf.DUMMYFUNCTION("""COMPUTED_VALUE"""),0.0)</f>
        <v>0</v>
      </c>
      <c r="K2250" s="5" t="str">
        <f>IFERROR(__xludf.DUMMYFUNCTION("""COMPUTED_VALUE"""),"")</f>
        <v/>
      </c>
      <c r="L2250" t="str">
        <f>IFERROR(__xludf.DUMMYFUNCTION("""COMPUTED_VALUE"""),"")</f>
        <v/>
      </c>
      <c r="M2250" t="str">
        <f>IFERROR(__xludf.DUMMYFUNCTION("""COMPUTED_VALUE"""),"")</f>
        <v/>
      </c>
      <c r="N2250" t="str">
        <f>IFERROR(__xludf.DUMMYFUNCTION("""COMPUTED_VALUE"""),"")</f>
        <v/>
      </c>
      <c r="O2250" t="str">
        <f>IFERROR(__xludf.DUMMYFUNCTION("""COMPUTED_VALUE"""),"")</f>
        <v/>
      </c>
      <c r="P2250" t="str">
        <f>IFERROR(__xludf.DUMMYFUNCTION("""COMPUTED_VALUE"""),"ID ")</f>
        <v>ID </v>
      </c>
    </row>
    <row r="2251">
      <c r="A2251" s="6" t="str">
        <f>IFERROR(__xludf.DUMMYFUNCTION("""COMPUTED_VALUE"""),"")</f>
        <v/>
      </c>
      <c r="C2251" t="str">
        <f>IFERROR(__xludf.DUMMYFUNCTION("""COMPUTED_VALUE"""),"")</f>
        <v/>
      </c>
      <c r="D2251" t="str">
        <f>IFERROR(__xludf.DUMMYFUNCTION("""COMPUTED_VALUE"""),"")</f>
        <v/>
      </c>
      <c r="E2251" t="str">
        <f>IFERROR(__xludf.DUMMYFUNCTION("""COMPUTED_VALUE"""),"")</f>
        <v/>
      </c>
      <c r="F2251" t="str">
        <f>IFERROR(__xludf.DUMMYFUNCTION("""COMPUTED_VALUE"""),"")</f>
        <v/>
      </c>
      <c r="G2251" t="str">
        <f>IFERROR(__xludf.DUMMYFUNCTION("""COMPUTED_VALUE"""),"")</f>
        <v/>
      </c>
      <c r="H2251" s="2" t="str">
        <f>IFERROR(__xludf.DUMMYFUNCTION("""COMPUTED_VALUE"""),"")</f>
        <v/>
      </c>
      <c r="I2251" s="2" t="str">
        <f>IFERROR(__xludf.DUMMYFUNCTION("""COMPUTED_VALUE"""),"")</f>
        <v/>
      </c>
      <c r="J2251" s="2">
        <f>IFERROR(__xludf.DUMMYFUNCTION("""COMPUTED_VALUE"""),0.0)</f>
        <v>0</v>
      </c>
      <c r="K2251" s="5" t="str">
        <f>IFERROR(__xludf.DUMMYFUNCTION("""COMPUTED_VALUE"""),"")</f>
        <v/>
      </c>
      <c r="L2251" t="str">
        <f>IFERROR(__xludf.DUMMYFUNCTION("""COMPUTED_VALUE"""),"")</f>
        <v/>
      </c>
      <c r="M2251" t="str">
        <f>IFERROR(__xludf.DUMMYFUNCTION("""COMPUTED_VALUE"""),"")</f>
        <v/>
      </c>
      <c r="N2251" t="str">
        <f>IFERROR(__xludf.DUMMYFUNCTION("""COMPUTED_VALUE"""),"")</f>
        <v/>
      </c>
      <c r="O2251" t="str">
        <f>IFERROR(__xludf.DUMMYFUNCTION("""COMPUTED_VALUE"""),"")</f>
        <v/>
      </c>
      <c r="P2251" t="str">
        <f>IFERROR(__xludf.DUMMYFUNCTION("""COMPUTED_VALUE"""),"ID ")</f>
        <v>ID </v>
      </c>
    </row>
    <row r="2252">
      <c r="A2252" s="6" t="str">
        <f>IFERROR(__xludf.DUMMYFUNCTION("""COMPUTED_VALUE"""),"")</f>
        <v/>
      </c>
      <c r="C2252" t="str">
        <f>IFERROR(__xludf.DUMMYFUNCTION("""COMPUTED_VALUE"""),"")</f>
        <v/>
      </c>
      <c r="D2252" t="str">
        <f>IFERROR(__xludf.DUMMYFUNCTION("""COMPUTED_VALUE"""),"")</f>
        <v/>
      </c>
      <c r="E2252" t="str">
        <f>IFERROR(__xludf.DUMMYFUNCTION("""COMPUTED_VALUE"""),"")</f>
        <v/>
      </c>
      <c r="F2252" t="str">
        <f>IFERROR(__xludf.DUMMYFUNCTION("""COMPUTED_VALUE"""),"")</f>
        <v/>
      </c>
      <c r="G2252" t="str">
        <f>IFERROR(__xludf.DUMMYFUNCTION("""COMPUTED_VALUE"""),"")</f>
        <v/>
      </c>
      <c r="H2252" s="2" t="str">
        <f>IFERROR(__xludf.DUMMYFUNCTION("""COMPUTED_VALUE"""),"")</f>
        <v/>
      </c>
      <c r="I2252" s="2" t="str">
        <f>IFERROR(__xludf.DUMMYFUNCTION("""COMPUTED_VALUE"""),"")</f>
        <v/>
      </c>
      <c r="J2252" s="2">
        <f>IFERROR(__xludf.DUMMYFUNCTION("""COMPUTED_VALUE"""),0.0)</f>
        <v>0</v>
      </c>
      <c r="K2252" s="5" t="str">
        <f>IFERROR(__xludf.DUMMYFUNCTION("""COMPUTED_VALUE"""),"")</f>
        <v/>
      </c>
      <c r="L2252" t="str">
        <f>IFERROR(__xludf.DUMMYFUNCTION("""COMPUTED_VALUE"""),"")</f>
        <v/>
      </c>
      <c r="M2252" t="str">
        <f>IFERROR(__xludf.DUMMYFUNCTION("""COMPUTED_VALUE"""),"")</f>
        <v/>
      </c>
      <c r="N2252" t="str">
        <f>IFERROR(__xludf.DUMMYFUNCTION("""COMPUTED_VALUE"""),"")</f>
        <v/>
      </c>
      <c r="O2252" t="str">
        <f>IFERROR(__xludf.DUMMYFUNCTION("""COMPUTED_VALUE"""),"")</f>
        <v/>
      </c>
      <c r="P2252" t="str">
        <f>IFERROR(__xludf.DUMMYFUNCTION("""COMPUTED_VALUE"""),"ID ")</f>
        <v>ID </v>
      </c>
    </row>
    <row r="2253">
      <c r="A2253" s="6" t="str">
        <f>IFERROR(__xludf.DUMMYFUNCTION("""COMPUTED_VALUE"""),"")</f>
        <v/>
      </c>
      <c r="C2253" t="str">
        <f>IFERROR(__xludf.DUMMYFUNCTION("""COMPUTED_VALUE"""),"")</f>
        <v/>
      </c>
      <c r="D2253" t="str">
        <f>IFERROR(__xludf.DUMMYFUNCTION("""COMPUTED_VALUE"""),"")</f>
        <v/>
      </c>
      <c r="E2253" t="str">
        <f>IFERROR(__xludf.DUMMYFUNCTION("""COMPUTED_VALUE"""),"")</f>
        <v/>
      </c>
      <c r="F2253" t="str">
        <f>IFERROR(__xludf.DUMMYFUNCTION("""COMPUTED_VALUE"""),"")</f>
        <v/>
      </c>
      <c r="G2253" t="str">
        <f>IFERROR(__xludf.DUMMYFUNCTION("""COMPUTED_VALUE"""),"")</f>
        <v/>
      </c>
      <c r="H2253" s="2" t="str">
        <f>IFERROR(__xludf.DUMMYFUNCTION("""COMPUTED_VALUE"""),"")</f>
        <v/>
      </c>
      <c r="I2253" s="2" t="str">
        <f>IFERROR(__xludf.DUMMYFUNCTION("""COMPUTED_VALUE"""),"")</f>
        <v/>
      </c>
      <c r="J2253" s="2">
        <f>IFERROR(__xludf.DUMMYFUNCTION("""COMPUTED_VALUE"""),0.0)</f>
        <v>0</v>
      </c>
      <c r="K2253" s="5" t="str">
        <f>IFERROR(__xludf.DUMMYFUNCTION("""COMPUTED_VALUE"""),"")</f>
        <v/>
      </c>
      <c r="L2253" t="str">
        <f>IFERROR(__xludf.DUMMYFUNCTION("""COMPUTED_VALUE"""),"")</f>
        <v/>
      </c>
      <c r="M2253" t="str">
        <f>IFERROR(__xludf.DUMMYFUNCTION("""COMPUTED_VALUE"""),"")</f>
        <v/>
      </c>
      <c r="N2253" t="str">
        <f>IFERROR(__xludf.DUMMYFUNCTION("""COMPUTED_VALUE"""),"")</f>
        <v/>
      </c>
      <c r="O2253" t="str">
        <f>IFERROR(__xludf.DUMMYFUNCTION("""COMPUTED_VALUE"""),"")</f>
        <v/>
      </c>
      <c r="P2253" t="str">
        <f>IFERROR(__xludf.DUMMYFUNCTION("""COMPUTED_VALUE"""),"ID ")</f>
        <v>ID </v>
      </c>
    </row>
    <row r="2254">
      <c r="A2254" s="6" t="str">
        <f>IFERROR(__xludf.DUMMYFUNCTION("""COMPUTED_VALUE"""),"")</f>
        <v/>
      </c>
      <c r="C2254" t="str">
        <f>IFERROR(__xludf.DUMMYFUNCTION("""COMPUTED_VALUE"""),"")</f>
        <v/>
      </c>
      <c r="D2254" t="str">
        <f>IFERROR(__xludf.DUMMYFUNCTION("""COMPUTED_VALUE"""),"")</f>
        <v/>
      </c>
      <c r="E2254" t="str">
        <f>IFERROR(__xludf.DUMMYFUNCTION("""COMPUTED_VALUE"""),"")</f>
        <v/>
      </c>
      <c r="F2254" t="str">
        <f>IFERROR(__xludf.DUMMYFUNCTION("""COMPUTED_VALUE"""),"")</f>
        <v/>
      </c>
      <c r="G2254" t="str">
        <f>IFERROR(__xludf.DUMMYFUNCTION("""COMPUTED_VALUE"""),"")</f>
        <v/>
      </c>
      <c r="H2254" s="2" t="str">
        <f>IFERROR(__xludf.DUMMYFUNCTION("""COMPUTED_VALUE"""),"")</f>
        <v/>
      </c>
      <c r="I2254" s="2" t="str">
        <f>IFERROR(__xludf.DUMMYFUNCTION("""COMPUTED_VALUE"""),"")</f>
        <v/>
      </c>
      <c r="J2254" s="2">
        <f>IFERROR(__xludf.DUMMYFUNCTION("""COMPUTED_VALUE"""),0.0)</f>
        <v>0</v>
      </c>
      <c r="K2254" s="5" t="str">
        <f>IFERROR(__xludf.DUMMYFUNCTION("""COMPUTED_VALUE"""),"")</f>
        <v/>
      </c>
      <c r="L2254" t="str">
        <f>IFERROR(__xludf.DUMMYFUNCTION("""COMPUTED_VALUE"""),"")</f>
        <v/>
      </c>
      <c r="M2254" t="str">
        <f>IFERROR(__xludf.DUMMYFUNCTION("""COMPUTED_VALUE"""),"")</f>
        <v/>
      </c>
      <c r="N2254" t="str">
        <f>IFERROR(__xludf.DUMMYFUNCTION("""COMPUTED_VALUE"""),"")</f>
        <v/>
      </c>
      <c r="O2254" t="str">
        <f>IFERROR(__xludf.DUMMYFUNCTION("""COMPUTED_VALUE"""),"")</f>
        <v/>
      </c>
      <c r="P2254" t="str">
        <f>IFERROR(__xludf.DUMMYFUNCTION("""COMPUTED_VALUE"""),"ID ")</f>
        <v>ID </v>
      </c>
    </row>
    <row r="2255">
      <c r="A2255" s="6" t="str">
        <f>IFERROR(__xludf.DUMMYFUNCTION("""COMPUTED_VALUE"""),"")</f>
        <v/>
      </c>
      <c r="C2255" t="str">
        <f>IFERROR(__xludf.DUMMYFUNCTION("""COMPUTED_VALUE"""),"")</f>
        <v/>
      </c>
      <c r="D2255" t="str">
        <f>IFERROR(__xludf.DUMMYFUNCTION("""COMPUTED_VALUE"""),"")</f>
        <v/>
      </c>
      <c r="E2255" t="str">
        <f>IFERROR(__xludf.DUMMYFUNCTION("""COMPUTED_VALUE"""),"")</f>
        <v/>
      </c>
      <c r="F2255" t="str">
        <f>IFERROR(__xludf.DUMMYFUNCTION("""COMPUTED_VALUE"""),"")</f>
        <v/>
      </c>
      <c r="G2255" t="str">
        <f>IFERROR(__xludf.DUMMYFUNCTION("""COMPUTED_VALUE"""),"")</f>
        <v/>
      </c>
      <c r="H2255" s="2" t="str">
        <f>IFERROR(__xludf.DUMMYFUNCTION("""COMPUTED_VALUE"""),"")</f>
        <v/>
      </c>
      <c r="I2255" s="2" t="str">
        <f>IFERROR(__xludf.DUMMYFUNCTION("""COMPUTED_VALUE"""),"")</f>
        <v/>
      </c>
      <c r="J2255" s="2">
        <f>IFERROR(__xludf.DUMMYFUNCTION("""COMPUTED_VALUE"""),0.0)</f>
        <v>0</v>
      </c>
      <c r="K2255" s="5" t="str">
        <f>IFERROR(__xludf.DUMMYFUNCTION("""COMPUTED_VALUE"""),"")</f>
        <v/>
      </c>
      <c r="L2255" t="str">
        <f>IFERROR(__xludf.DUMMYFUNCTION("""COMPUTED_VALUE"""),"")</f>
        <v/>
      </c>
      <c r="M2255" t="str">
        <f>IFERROR(__xludf.DUMMYFUNCTION("""COMPUTED_VALUE"""),"")</f>
        <v/>
      </c>
      <c r="N2255" t="str">
        <f>IFERROR(__xludf.DUMMYFUNCTION("""COMPUTED_VALUE"""),"")</f>
        <v/>
      </c>
      <c r="O2255" t="str">
        <f>IFERROR(__xludf.DUMMYFUNCTION("""COMPUTED_VALUE"""),"")</f>
        <v/>
      </c>
      <c r="P2255" t="str">
        <f>IFERROR(__xludf.DUMMYFUNCTION("""COMPUTED_VALUE"""),"ID ")</f>
        <v>ID </v>
      </c>
    </row>
    <row r="2256">
      <c r="A2256" s="6" t="str">
        <f>IFERROR(__xludf.DUMMYFUNCTION("""COMPUTED_VALUE"""),"")</f>
        <v/>
      </c>
      <c r="C2256" t="str">
        <f>IFERROR(__xludf.DUMMYFUNCTION("""COMPUTED_VALUE"""),"")</f>
        <v/>
      </c>
      <c r="D2256" t="str">
        <f>IFERROR(__xludf.DUMMYFUNCTION("""COMPUTED_VALUE"""),"")</f>
        <v/>
      </c>
      <c r="E2256" t="str">
        <f>IFERROR(__xludf.DUMMYFUNCTION("""COMPUTED_VALUE"""),"")</f>
        <v/>
      </c>
      <c r="F2256" t="str">
        <f>IFERROR(__xludf.DUMMYFUNCTION("""COMPUTED_VALUE"""),"")</f>
        <v/>
      </c>
      <c r="G2256" t="str">
        <f>IFERROR(__xludf.DUMMYFUNCTION("""COMPUTED_VALUE"""),"")</f>
        <v/>
      </c>
      <c r="H2256" s="2" t="str">
        <f>IFERROR(__xludf.DUMMYFUNCTION("""COMPUTED_VALUE"""),"")</f>
        <v/>
      </c>
      <c r="I2256" s="2" t="str">
        <f>IFERROR(__xludf.DUMMYFUNCTION("""COMPUTED_VALUE"""),"")</f>
        <v/>
      </c>
      <c r="J2256" s="2">
        <f>IFERROR(__xludf.DUMMYFUNCTION("""COMPUTED_VALUE"""),0.0)</f>
        <v>0</v>
      </c>
      <c r="K2256" s="5" t="str">
        <f>IFERROR(__xludf.DUMMYFUNCTION("""COMPUTED_VALUE"""),"")</f>
        <v/>
      </c>
      <c r="L2256" t="str">
        <f>IFERROR(__xludf.DUMMYFUNCTION("""COMPUTED_VALUE"""),"")</f>
        <v/>
      </c>
      <c r="M2256" t="str">
        <f>IFERROR(__xludf.DUMMYFUNCTION("""COMPUTED_VALUE"""),"")</f>
        <v/>
      </c>
      <c r="N2256" t="str">
        <f>IFERROR(__xludf.DUMMYFUNCTION("""COMPUTED_VALUE"""),"")</f>
        <v/>
      </c>
      <c r="O2256" t="str">
        <f>IFERROR(__xludf.DUMMYFUNCTION("""COMPUTED_VALUE"""),"")</f>
        <v/>
      </c>
      <c r="P2256" t="str">
        <f>IFERROR(__xludf.DUMMYFUNCTION("""COMPUTED_VALUE"""),"ID ")</f>
        <v>ID </v>
      </c>
    </row>
    <row r="2257">
      <c r="A2257" s="6" t="str">
        <f>IFERROR(__xludf.DUMMYFUNCTION("""COMPUTED_VALUE"""),"")</f>
        <v/>
      </c>
      <c r="C2257" t="str">
        <f>IFERROR(__xludf.DUMMYFUNCTION("""COMPUTED_VALUE"""),"")</f>
        <v/>
      </c>
      <c r="D2257" t="str">
        <f>IFERROR(__xludf.DUMMYFUNCTION("""COMPUTED_VALUE"""),"")</f>
        <v/>
      </c>
      <c r="E2257" t="str">
        <f>IFERROR(__xludf.DUMMYFUNCTION("""COMPUTED_VALUE"""),"")</f>
        <v/>
      </c>
      <c r="F2257" t="str">
        <f>IFERROR(__xludf.DUMMYFUNCTION("""COMPUTED_VALUE"""),"")</f>
        <v/>
      </c>
      <c r="G2257" t="str">
        <f>IFERROR(__xludf.DUMMYFUNCTION("""COMPUTED_VALUE"""),"")</f>
        <v/>
      </c>
      <c r="H2257" s="2" t="str">
        <f>IFERROR(__xludf.DUMMYFUNCTION("""COMPUTED_VALUE"""),"")</f>
        <v/>
      </c>
      <c r="I2257" s="2" t="str">
        <f>IFERROR(__xludf.DUMMYFUNCTION("""COMPUTED_VALUE"""),"")</f>
        <v/>
      </c>
      <c r="J2257" s="2">
        <f>IFERROR(__xludf.DUMMYFUNCTION("""COMPUTED_VALUE"""),0.0)</f>
        <v>0</v>
      </c>
      <c r="K2257" s="5" t="str">
        <f>IFERROR(__xludf.DUMMYFUNCTION("""COMPUTED_VALUE"""),"")</f>
        <v/>
      </c>
      <c r="L2257" t="str">
        <f>IFERROR(__xludf.DUMMYFUNCTION("""COMPUTED_VALUE"""),"")</f>
        <v/>
      </c>
      <c r="M2257" t="str">
        <f>IFERROR(__xludf.DUMMYFUNCTION("""COMPUTED_VALUE"""),"")</f>
        <v/>
      </c>
      <c r="N2257" t="str">
        <f>IFERROR(__xludf.DUMMYFUNCTION("""COMPUTED_VALUE"""),"")</f>
        <v/>
      </c>
      <c r="O2257" t="str">
        <f>IFERROR(__xludf.DUMMYFUNCTION("""COMPUTED_VALUE"""),"")</f>
        <v/>
      </c>
      <c r="P2257" t="str">
        <f>IFERROR(__xludf.DUMMYFUNCTION("""COMPUTED_VALUE"""),"ID ")</f>
        <v>ID </v>
      </c>
    </row>
    <row r="2258">
      <c r="A2258" s="6" t="str">
        <f>IFERROR(__xludf.DUMMYFUNCTION("""COMPUTED_VALUE"""),"")</f>
        <v/>
      </c>
      <c r="C2258" t="str">
        <f>IFERROR(__xludf.DUMMYFUNCTION("""COMPUTED_VALUE"""),"")</f>
        <v/>
      </c>
      <c r="D2258" t="str">
        <f>IFERROR(__xludf.DUMMYFUNCTION("""COMPUTED_VALUE"""),"")</f>
        <v/>
      </c>
      <c r="E2258" t="str">
        <f>IFERROR(__xludf.DUMMYFUNCTION("""COMPUTED_VALUE"""),"")</f>
        <v/>
      </c>
      <c r="F2258" t="str">
        <f>IFERROR(__xludf.DUMMYFUNCTION("""COMPUTED_VALUE"""),"")</f>
        <v/>
      </c>
      <c r="G2258" t="str">
        <f>IFERROR(__xludf.DUMMYFUNCTION("""COMPUTED_VALUE"""),"")</f>
        <v/>
      </c>
      <c r="H2258" s="2" t="str">
        <f>IFERROR(__xludf.DUMMYFUNCTION("""COMPUTED_VALUE"""),"")</f>
        <v/>
      </c>
      <c r="I2258" s="2" t="str">
        <f>IFERROR(__xludf.DUMMYFUNCTION("""COMPUTED_VALUE"""),"")</f>
        <v/>
      </c>
      <c r="J2258" s="2">
        <f>IFERROR(__xludf.DUMMYFUNCTION("""COMPUTED_VALUE"""),0.0)</f>
        <v>0</v>
      </c>
      <c r="K2258" s="5" t="str">
        <f>IFERROR(__xludf.DUMMYFUNCTION("""COMPUTED_VALUE"""),"")</f>
        <v/>
      </c>
      <c r="L2258" t="str">
        <f>IFERROR(__xludf.DUMMYFUNCTION("""COMPUTED_VALUE"""),"")</f>
        <v/>
      </c>
      <c r="M2258" t="str">
        <f>IFERROR(__xludf.DUMMYFUNCTION("""COMPUTED_VALUE"""),"")</f>
        <v/>
      </c>
      <c r="N2258" t="str">
        <f>IFERROR(__xludf.DUMMYFUNCTION("""COMPUTED_VALUE"""),"")</f>
        <v/>
      </c>
      <c r="O2258" t="str">
        <f>IFERROR(__xludf.DUMMYFUNCTION("""COMPUTED_VALUE"""),"")</f>
        <v/>
      </c>
      <c r="P2258" t="str">
        <f>IFERROR(__xludf.DUMMYFUNCTION("""COMPUTED_VALUE"""),"ID ")</f>
        <v>ID </v>
      </c>
    </row>
    <row r="2259">
      <c r="A2259" s="6" t="str">
        <f>IFERROR(__xludf.DUMMYFUNCTION("""COMPUTED_VALUE"""),"")</f>
        <v/>
      </c>
      <c r="C2259" t="str">
        <f>IFERROR(__xludf.DUMMYFUNCTION("""COMPUTED_VALUE"""),"")</f>
        <v/>
      </c>
      <c r="D2259" t="str">
        <f>IFERROR(__xludf.DUMMYFUNCTION("""COMPUTED_VALUE"""),"")</f>
        <v/>
      </c>
      <c r="E2259" t="str">
        <f>IFERROR(__xludf.DUMMYFUNCTION("""COMPUTED_VALUE"""),"")</f>
        <v/>
      </c>
      <c r="F2259" t="str">
        <f>IFERROR(__xludf.DUMMYFUNCTION("""COMPUTED_VALUE"""),"")</f>
        <v/>
      </c>
      <c r="G2259" t="str">
        <f>IFERROR(__xludf.DUMMYFUNCTION("""COMPUTED_VALUE"""),"")</f>
        <v/>
      </c>
      <c r="H2259" s="2" t="str">
        <f>IFERROR(__xludf.DUMMYFUNCTION("""COMPUTED_VALUE"""),"")</f>
        <v/>
      </c>
      <c r="I2259" s="2" t="str">
        <f>IFERROR(__xludf.DUMMYFUNCTION("""COMPUTED_VALUE"""),"")</f>
        <v/>
      </c>
      <c r="J2259" s="2">
        <f>IFERROR(__xludf.DUMMYFUNCTION("""COMPUTED_VALUE"""),0.0)</f>
        <v>0</v>
      </c>
      <c r="K2259" s="5" t="str">
        <f>IFERROR(__xludf.DUMMYFUNCTION("""COMPUTED_VALUE"""),"")</f>
        <v/>
      </c>
      <c r="L2259" t="str">
        <f>IFERROR(__xludf.DUMMYFUNCTION("""COMPUTED_VALUE"""),"")</f>
        <v/>
      </c>
      <c r="M2259" t="str">
        <f>IFERROR(__xludf.DUMMYFUNCTION("""COMPUTED_VALUE"""),"")</f>
        <v/>
      </c>
      <c r="N2259" t="str">
        <f>IFERROR(__xludf.DUMMYFUNCTION("""COMPUTED_VALUE"""),"")</f>
        <v/>
      </c>
      <c r="O2259" t="str">
        <f>IFERROR(__xludf.DUMMYFUNCTION("""COMPUTED_VALUE"""),"")</f>
        <v/>
      </c>
      <c r="P2259" t="str">
        <f>IFERROR(__xludf.DUMMYFUNCTION("""COMPUTED_VALUE"""),"ID ")</f>
        <v>ID </v>
      </c>
    </row>
    <row r="2260">
      <c r="A2260" s="6" t="str">
        <f>IFERROR(__xludf.DUMMYFUNCTION("""COMPUTED_VALUE"""),"")</f>
        <v/>
      </c>
      <c r="C2260" t="str">
        <f>IFERROR(__xludf.DUMMYFUNCTION("""COMPUTED_VALUE"""),"")</f>
        <v/>
      </c>
      <c r="D2260" t="str">
        <f>IFERROR(__xludf.DUMMYFUNCTION("""COMPUTED_VALUE"""),"")</f>
        <v/>
      </c>
      <c r="E2260" t="str">
        <f>IFERROR(__xludf.DUMMYFUNCTION("""COMPUTED_VALUE"""),"")</f>
        <v/>
      </c>
      <c r="F2260" t="str">
        <f>IFERROR(__xludf.DUMMYFUNCTION("""COMPUTED_VALUE"""),"")</f>
        <v/>
      </c>
      <c r="G2260" t="str">
        <f>IFERROR(__xludf.DUMMYFUNCTION("""COMPUTED_VALUE"""),"")</f>
        <v/>
      </c>
      <c r="H2260" s="2" t="str">
        <f>IFERROR(__xludf.DUMMYFUNCTION("""COMPUTED_VALUE"""),"")</f>
        <v/>
      </c>
      <c r="I2260" s="2" t="str">
        <f>IFERROR(__xludf.DUMMYFUNCTION("""COMPUTED_VALUE"""),"")</f>
        <v/>
      </c>
      <c r="J2260" s="2">
        <f>IFERROR(__xludf.DUMMYFUNCTION("""COMPUTED_VALUE"""),0.0)</f>
        <v>0</v>
      </c>
      <c r="K2260" s="5" t="str">
        <f>IFERROR(__xludf.DUMMYFUNCTION("""COMPUTED_VALUE"""),"")</f>
        <v/>
      </c>
      <c r="L2260" t="str">
        <f>IFERROR(__xludf.DUMMYFUNCTION("""COMPUTED_VALUE"""),"")</f>
        <v/>
      </c>
      <c r="M2260" t="str">
        <f>IFERROR(__xludf.DUMMYFUNCTION("""COMPUTED_VALUE"""),"")</f>
        <v/>
      </c>
      <c r="N2260" t="str">
        <f>IFERROR(__xludf.DUMMYFUNCTION("""COMPUTED_VALUE"""),"")</f>
        <v/>
      </c>
      <c r="O2260" t="str">
        <f>IFERROR(__xludf.DUMMYFUNCTION("""COMPUTED_VALUE"""),"")</f>
        <v/>
      </c>
      <c r="P2260" t="str">
        <f>IFERROR(__xludf.DUMMYFUNCTION("""COMPUTED_VALUE"""),"ID ")</f>
        <v>ID </v>
      </c>
    </row>
    <row r="2261">
      <c r="A2261" s="6" t="str">
        <f>IFERROR(__xludf.DUMMYFUNCTION("""COMPUTED_VALUE"""),"")</f>
        <v/>
      </c>
      <c r="C2261" t="str">
        <f>IFERROR(__xludf.DUMMYFUNCTION("""COMPUTED_VALUE"""),"")</f>
        <v/>
      </c>
      <c r="D2261" t="str">
        <f>IFERROR(__xludf.DUMMYFUNCTION("""COMPUTED_VALUE"""),"")</f>
        <v/>
      </c>
      <c r="E2261" t="str">
        <f>IFERROR(__xludf.DUMMYFUNCTION("""COMPUTED_VALUE"""),"")</f>
        <v/>
      </c>
      <c r="F2261" t="str">
        <f>IFERROR(__xludf.DUMMYFUNCTION("""COMPUTED_VALUE"""),"")</f>
        <v/>
      </c>
      <c r="G2261" t="str">
        <f>IFERROR(__xludf.DUMMYFUNCTION("""COMPUTED_VALUE"""),"")</f>
        <v/>
      </c>
      <c r="H2261" s="2" t="str">
        <f>IFERROR(__xludf.DUMMYFUNCTION("""COMPUTED_VALUE"""),"")</f>
        <v/>
      </c>
      <c r="I2261" s="2" t="str">
        <f>IFERROR(__xludf.DUMMYFUNCTION("""COMPUTED_VALUE"""),"")</f>
        <v/>
      </c>
      <c r="J2261" s="2">
        <f>IFERROR(__xludf.DUMMYFUNCTION("""COMPUTED_VALUE"""),0.0)</f>
        <v>0</v>
      </c>
      <c r="K2261" s="5" t="str">
        <f>IFERROR(__xludf.DUMMYFUNCTION("""COMPUTED_VALUE"""),"")</f>
        <v/>
      </c>
      <c r="L2261" t="str">
        <f>IFERROR(__xludf.DUMMYFUNCTION("""COMPUTED_VALUE"""),"")</f>
        <v/>
      </c>
      <c r="M2261" t="str">
        <f>IFERROR(__xludf.DUMMYFUNCTION("""COMPUTED_VALUE"""),"")</f>
        <v/>
      </c>
      <c r="N2261" t="str">
        <f>IFERROR(__xludf.DUMMYFUNCTION("""COMPUTED_VALUE"""),"")</f>
        <v/>
      </c>
      <c r="O2261" t="str">
        <f>IFERROR(__xludf.DUMMYFUNCTION("""COMPUTED_VALUE"""),"")</f>
        <v/>
      </c>
      <c r="P2261" t="str">
        <f>IFERROR(__xludf.DUMMYFUNCTION("""COMPUTED_VALUE"""),"ID ")</f>
        <v>ID </v>
      </c>
    </row>
    <row r="2262">
      <c r="A2262" s="6" t="str">
        <f>IFERROR(__xludf.DUMMYFUNCTION("""COMPUTED_VALUE"""),"")</f>
        <v/>
      </c>
      <c r="C2262" t="str">
        <f>IFERROR(__xludf.DUMMYFUNCTION("""COMPUTED_VALUE"""),"")</f>
        <v/>
      </c>
      <c r="D2262" t="str">
        <f>IFERROR(__xludf.DUMMYFUNCTION("""COMPUTED_VALUE"""),"")</f>
        <v/>
      </c>
      <c r="E2262" t="str">
        <f>IFERROR(__xludf.DUMMYFUNCTION("""COMPUTED_VALUE"""),"")</f>
        <v/>
      </c>
      <c r="F2262" t="str">
        <f>IFERROR(__xludf.DUMMYFUNCTION("""COMPUTED_VALUE"""),"")</f>
        <v/>
      </c>
      <c r="G2262" t="str">
        <f>IFERROR(__xludf.DUMMYFUNCTION("""COMPUTED_VALUE"""),"")</f>
        <v/>
      </c>
      <c r="H2262" s="2" t="str">
        <f>IFERROR(__xludf.DUMMYFUNCTION("""COMPUTED_VALUE"""),"")</f>
        <v/>
      </c>
      <c r="I2262" s="2" t="str">
        <f>IFERROR(__xludf.DUMMYFUNCTION("""COMPUTED_VALUE"""),"")</f>
        <v/>
      </c>
      <c r="J2262" s="2">
        <f>IFERROR(__xludf.DUMMYFUNCTION("""COMPUTED_VALUE"""),0.0)</f>
        <v>0</v>
      </c>
      <c r="K2262" s="5" t="str">
        <f>IFERROR(__xludf.DUMMYFUNCTION("""COMPUTED_VALUE"""),"")</f>
        <v/>
      </c>
      <c r="L2262" t="str">
        <f>IFERROR(__xludf.DUMMYFUNCTION("""COMPUTED_VALUE"""),"")</f>
        <v/>
      </c>
      <c r="M2262" t="str">
        <f>IFERROR(__xludf.DUMMYFUNCTION("""COMPUTED_VALUE"""),"")</f>
        <v/>
      </c>
      <c r="N2262" t="str">
        <f>IFERROR(__xludf.DUMMYFUNCTION("""COMPUTED_VALUE"""),"")</f>
        <v/>
      </c>
      <c r="O2262" t="str">
        <f>IFERROR(__xludf.DUMMYFUNCTION("""COMPUTED_VALUE"""),"")</f>
        <v/>
      </c>
      <c r="P2262" t="str">
        <f>IFERROR(__xludf.DUMMYFUNCTION("""COMPUTED_VALUE"""),"ID ")</f>
        <v>ID </v>
      </c>
    </row>
    <row r="2263">
      <c r="A2263" s="6" t="str">
        <f>IFERROR(__xludf.DUMMYFUNCTION("""COMPUTED_VALUE"""),"")</f>
        <v/>
      </c>
      <c r="C2263" t="str">
        <f>IFERROR(__xludf.DUMMYFUNCTION("""COMPUTED_VALUE"""),"")</f>
        <v/>
      </c>
      <c r="D2263" t="str">
        <f>IFERROR(__xludf.DUMMYFUNCTION("""COMPUTED_VALUE"""),"")</f>
        <v/>
      </c>
      <c r="E2263" t="str">
        <f>IFERROR(__xludf.DUMMYFUNCTION("""COMPUTED_VALUE"""),"")</f>
        <v/>
      </c>
      <c r="F2263" t="str">
        <f>IFERROR(__xludf.DUMMYFUNCTION("""COMPUTED_VALUE"""),"")</f>
        <v/>
      </c>
      <c r="G2263" t="str">
        <f>IFERROR(__xludf.DUMMYFUNCTION("""COMPUTED_VALUE"""),"")</f>
        <v/>
      </c>
      <c r="H2263" s="2" t="str">
        <f>IFERROR(__xludf.DUMMYFUNCTION("""COMPUTED_VALUE"""),"")</f>
        <v/>
      </c>
      <c r="I2263" s="2" t="str">
        <f>IFERROR(__xludf.DUMMYFUNCTION("""COMPUTED_VALUE"""),"")</f>
        <v/>
      </c>
      <c r="J2263" s="2">
        <f>IFERROR(__xludf.DUMMYFUNCTION("""COMPUTED_VALUE"""),0.0)</f>
        <v>0</v>
      </c>
      <c r="K2263" s="5" t="str">
        <f>IFERROR(__xludf.DUMMYFUNCTION("""COMPUTED_VALUE"""),"")</f>
        <v/>
      </c>
      <c r="L2263" t="str">
        <f>IFERROR(__xludf.DUMMYFUNCTION("""COMPUTED_VALUE"""),"")</f>
        <v/>
      </c>
      <c r="M2263" t="str">
        <f>IFERROR(__xludf.DUMMYFUNCTION("""COMPUTED_VALUE"""),"")</f>
        <v/>
      </c>
      <c r="N2263" t="str">
        <f>IFERROR(__xludf.DUMMYFUNCTION("""COMPUTED_VALUE"""),"")</f>
        <v/>
      </c>
      <c r="O2263" t="str">
        <f>IFERROR(__xludf.DUMMYFUNCTION("""COMPUTED_VALUE"""),"")</f>
        <v/>
      </c>
      <c r="P2263" t="str">
        <f>IFERROR(__xludf.DUMMYFUNCTION("""COMPUTED_VALUE"""),"ID ")</f>
        <v>ID </v>
      </c>
    </row>
    <row r="2264">
      <c r="A2264" s="6" t="str">
        <f>IFERROR(__xludf.DUMMYFUNCTION("""COMPUTED_VALUE"""),"")</f>
        <v/>
      </c>
      <c r="C2264" t="str">
        <f>IFERROR(__xludf.DUMMYFUNCTION("""COMPUTED_VALUE"""),"")</f>
        <v/>
      </c>
      <c r="D2264" t="str">
        <f>IFERROR(__xludf.DUMMYFUNCTION("""COMPUTED_VALUE"""),"")</f>
        <v/>
      </c>
      <c r="E2264" t="str">
        <f>IFERROR(__xludf.DUMMYFUNCTION("""COMPUTED_VALUE"""),"")</f>
        <v/>
      </c>
      <c r="F2264" t="str">
        <f>IFERROR(__xludf.DUMMYFUNCTION("""COMPUTED_VALUE"""),"")</f>
        <v/>
      </c>
      <c r="G2264" t="str">
        <f>IFERROR(__xludf.DUMMYFUNCTION("""COMPUTED_VALUE"""),"")</f>
        <v/>
      </c>
      <c r="H2264" s="2" t="str">
        <f>IFERROR(__xludf.DUMMYFUNCTION("""COMPUTED_VALUE"""),"")</f>
        <v/>
      </c>
      <c r="I2264" s="2" t="str">
        <f>IFERROR(__xludf.DUMMYFUNCTION("""COMPUTED_VALUE"""),"")</f>
        <v/>
      </c>
      <c r="J2264" s="2">
        <f>IFERROR(__xludf.DUMMYFUNCTION("""COMPUTED_VALUE"""),0.0)</f>
        <v>0</v>
      </c>
      <c r="K2264" s="5" t="str">
        <f>IFERROR(__xludf.DUMMYFUNCTION("""COMPUTED_VALUE"""),"")</f>
        <v/>
      </c>
      <c r="L2264" t="str">
        <f>IFERROR(__xludf.DUMMYFUNCTION("""COMPUTED_VALUE"""),"")</f>
        <v/>
      </c>
      <c r="M2264" t="str">
        <f>IFERROR(__xludf.DUMMYFUNCTION("""COMPUTED_VALUE"""),"")</f>
        <v/>
      </c>
      <c r="N2264" t="str">
        <f>IFERROR(__xludf.DUMMYFUNCTION("""COMPUTED_VALUE"""),"")</f>
        <v/>
      </c>
      <c r="O2264" t="str">
        <f>IFERROR(__xludf.DUMMYFUNCTION("""COMPUTED_VALUE"""),"")</f>
        <v/>
      </c>
      <c r="P2264" t="str">
        <f>IFERROR(__xludf.DUMMYFUNCTION("""COMPUTED_VALUE"""),"ID ")</f>
        <v>ID </v>
      </c>
    </row>
    <row r="2265">
      <c r="A2265" s="6" t="str">
        <f>IFERROR(__xludf.DUMMYFUNCTION("""COMPUTED_VALUE"""),"")</f>
        <v/>
      </c>
      <c r="C2265" t="str">
        <f>IFERROR(__xludf.DUMMYFUNCTION("""COMPUTED_VALUE"""),"")</f>
        <v/>
      </c>
      <c r="D2265" t="str">
        <f>IFERROR(__xludf.DUMMYFUNCTION("""COMPUTED_VALUE"""),"")</f>
        <v/>
      </c>
      <c r="E2265" t="str">
        <f>IFERROR(__xludf.DUMMYFUNCTION("""COMPUTED_VALUE"""),"")</f>
        <v/>
      </c>
      <c r="F2265" t="str">
        <f>IFERROR(__xludf.DUMMYFUNCTION("""COMPUTED_VALUE"""),"")</f>
        <v/>
      </c>
      <c r="G2265" t="str">
        <f>IFERROR(__xludf.DUMMYFUNCTION("""COMPUTED_VALUE"""),"")</f>
        <v/>
      </c>
      <c r="H2265" s="2" t="str">
        <f>IFERROR(__xludf.DUMMYFUNCTION("""COMPUTED_VALUE"""),"")</f>
        <v/>
      </c>
      <c r="I2265" s="2" t="str">
        <f>IFERROR(__xludf.DUMMYFUNCTION("""COMPUTED_VALUE"""),"")</f>
        <v/>
      </c>
      <c r="J2265" s="2">
        <f>IFERROR(__xludf.DUMMYFUNCTION("""COMPUTED_VALUE"""),0.0)</f>
        <v>0</v>
      </c>
      <c r="K2265" s="5" t="str">
        <f>IFERROR(__xludf.DUMMYFUNCTION("""COMPUTED_VALUE"""),"")</f>
        <v/>
      </c>
      <c r="L2265" t="str">
        <f>IFERROR(__xludf.DUMMYFUNCTION("""COMPUTED_VALUE"""),"")</f>
        <v/>
      </c>
      <c r="M2265" t="str">
        <f>IFERROR(__xludf.DUMMYFUNCTION("""COMPUTED_VALUE"""),"")</f>
        <v/>
      </c>
      <c r="N2265" t="str">
        <f>IFERROR(__xludf.DUMMYFUNCTION("""COMPUTED_VALUE"""),"")</f>
        <v/>
      </c>
      <c r="O2265" t="str">
        <f>IFERROR(__xludf.DUMMYFUNCTION("""COMPUTED_VALUE"""),"")</f>
        <v/>
      </c>
      <c r="P2265" t="str">
        <f>IFERROR(__xludf.DUMMYFUNCTION("""COMPUTED_VALUE"""),"ID ")</f>
        <v>ID </v>
      </c>
    </row>
    <row r="2266">
      <c r="A2266" s="6" t="str">
        <f>IFERROR(__xludf.DUMMYFUNCTION("""COMPUTED_VALUE"""),"")</f>
        <v/>
      </c>
      <c r="C2266" t="str">
        <f>IFERROR(__xludf.DUMMYFUNCTION("""COMPUTED_VALUE"""),"")</f>
        <v/>
      </c>
      <c r="D2266" t="str">
        <f>IFERROR(__xludf.DUMMYFUNCTION("""COMPUTED_VALUE"""),"")</f>
        <v/>
      </c>
      <c r="E2266" t="str">
        <f>IFERROR(__xludf.DUMMYFUNCTION("""COMPUTED_VALUE"""),"")</f>
        <v/>
      </c>
      <c r="F2266" t="str">
        <f>IFERROR(__xludf.DUMMYFUNCTION("""COMPUTED_VALUE"""),"")</f>
        <v/>
      </c>
      <c r="G2266" t="str">
        <f>IFERROR(__xludf.DUMMYFUNCTION("""COMPUTED_VALUE"""),"")</f>
        <v/>
      </c>
      <c r="H2266" s="2" t="str">
        <f>IFERROR(__xludf.DUMMYFUNCTION("""COMPUTED_VALUE"""),"")</f>
        <v/>
      </c>
      <c r="I2266" s="2" t="str">
        <f>IFERROR(__xludf.DUMMYFUNCTION("""COMPUTED_VALUE"""),"")</f>
        <v/>
      </c>
      <c r="J2266" s="2">
        <f>IFERROR(__xludf.DUMMYFUNCTION("""COMPUTED_VALUE"""),0.0)</f>
        <v>0</v>
      </c>
      <c r="K2266" s="5" t="str">
        <f>IFERROR(__xludf.DUMMYFUNCTION("""COMPUTED_VALUE"""),"")</f>
        <v/>
      </c>
      <c r="L2266" t="str">
        <f>IFERROR(__xludf.DUMMYFUNCTION("""COMPUTED_VALUE"""),"")</f>
        <v/>
      </c>
      <c r="M2266" t="str">
        <f>IFERROR(__xludf.DUMMYFUNCTION("""COMPUTED_VALUE"""),"")</f>
        <v/>
      </c>
      <c r="N2266" t="str">
        <f>IFERROR(__xludf.DUMMYFUNCTION("""COMPUTED_VALUE"""),"")</f>
        <v/>
      </c>
      <c r="O2266" t="str">
        <f>IFERROR(__xludf.DUMMYFUNCTION("""COMPUTED_VALUE"""),"")</f>
        <v/>
      </c>
      <c r="P2266" t="str">
        <f>IFERROR(__xludf.DUMMYFUNCTION("""COMPUTED_VALUE"""),"ID ")</f>
        <v>ID </v>
      </c>
    </row>
    <row r="2267">
      <c r="A2267" s="6" t="str">
        <f>IFERROR(__xludf.DUMMYFUNCTION("""COMPUTED_VALUE"""),"")</f>
        <v/>
      </c>
      <c r="C2267" t="str">
        <f>IFERROR(__xludf.DUMMYFUNCTION("""COMPUTED_VALUE"""),"")</f>
        <v/>
      </c>
      <c r="D2267" t="str">
        <f>IFERROR(__xludf.DUMMYFUNCTION("""COMPUTED_VALUE"""),"")</f>
        <v/>
      </c>
      <c r="E2267" t="str">
        <f>IFERROR(__xludf.DUMMYFUNCTION("""COMPUTED_VALUE"""),"")</f>
        <v/>
      </c>
      <c r="F2267" t="str">
        <f>IFERROR(__xludf.DUMMYFUNCTION("""COMPUTED_VALUE"""),"")</f>
        <v/>
      </c>
      <c r="G2267" t="str">
        <f>IFERROR(__xludf.DUMMYFUNCTION("""COMPUTED_VALUE"""),"")</f>
        <v/>
      </c>
      <c r="H2267" s="2" t="str">
        <f>IFERROR(__xludf.DUMMYFUNCTION("""COMPUTED_VALUE"""),"")</f>
        <v/>
      </c>
      <c r="I2267" s="2" t="str">
        <f>IFERROR(__xludf.DUMMYFUNCTION("""COMPUTED_VALUE"""),"")</f>
        <v/>
      </c>
      <c r="J2267" s="2">
        <f>IFERROR(__xludf.DUMMYFUNCTION("""COMPUTED_VALUE"""),0.0)</f>
        <v>0</v>
      </c>
      <c r="K2267" s="5" t="str">
        <f>IFERROR(__xludf.DUMMYFUNCTION("""COMPUTED_VALUE"""),"")</f>
        <v/>
      </c>
      <c r="L2267" t="str">
        <f>IFERROR(__xludf.DUMMYFUNCTION("""COMPUTED_VALUE"""),"")</f>
        <v/>
      </c>
      <c r="M2267" t="str">
        <f>IFERROR(__xludf.DUMMYFUNCTION("""COMPUTED_VALUE"""),"")</f>
        <v/>
      </c>
      <c r="N2267" t="str">
        <f>IFERROR(__xludf.DUMMYFUNCTION("""COMPUTED_VALUE"""),"")</f>
        <v/>
      </c>
      <c r="O2267" t="str">
        <f>IFERROR(__xludf.DUMMYFUNCTION("""COMPUTED_VALUE"""),"")</f>
        <v/>
      </c>
      <c r="P2267" t="str">
        <f>IFERROR(__xludf.DUMMYFUNCTION("""COMPUTED_VALUE"""),"ID ")</f>
        <v>ID </v>
      </c>
    </row>
    <row r="2268">
      <c r="A2268" s="6" t="str">
        <f>IFERROR(__xludf.DUMMYFUNCTION("""COMPUTED_VALUE"""),"")</f>
        <v/>
      </c>
      <c r="C2268" t="str">
        <f>IFERROR(__xludf.DUMMYFUNCTION("""COMPUTED_VALUE"""),"")</f>
        <v/>
      </c>
      <c r="D2268" t="str">
        <f>IFERROR(__xludf.DUMMYFUNCTION("""COMPUTED_VALUE"""),"")</f>
        <v/>
      </c>
      <c r="E2268" t="str">
        <f>IFERROR(__xludf.DUMMYFUNCTION("""COMPUTED_VALUE"""),"")</f>
        <v/>
      </c>
      <c r="F2268" t="str">
        <f>IFERROR(__xludf.DUMMYFUNCTION("""COMPUTED_VALUE"""),"")</f>
        <v/>
      </c>
      <c r="G2268" t="str">
        <f>IFERROR(__xludf.DUMMYFUNCTION("""COMPUTED_VALUE"""),"")</f>
        <v/>
      </c>
      <c r="H2268" s="2" t="str">
        <f>IFERROR(__xludf.DUMMYFUNCTION("""COMPUTED_VALUE"""),"")</f>
        <v/>
      </c>
      <c r="I2268" s="2" t="str">
        <f>IFERROR(__xludf.DUMMYFUNCTION("""COMPUTED_VALUE"""),"")</f>
        <v/>
      </c>
      <c r="J2268" s="2">
        <f>IFERROR(__xludf.DUMMYFUNCTION("""COMPUTED_VALUE"""),0.0)</f>
        <v>0</v>
      </c>
      <c r="K2268" s="5" t="str">
        <f>IFERROR(__xludf.DUMMYFUNCTION("""COMPUTED_VALUE"""),"")</f>
        <v/>
      </c>
      <c r="L2268" t="str">
        <f>IFERROR(__xludf.DUMMYFUNCTION("""COMPUTED_VALUE"""),"")</f>
        <v/>
      </c>
      <c r="M2268" t="str">
        <f>IFERROR(__xludf.DUMMYFUNCTION("""COMPUTED_VALUE"""),"")</f>
        <v/>
      </c>
      <c r="N2268" t="str">
        <f>IFERROR(__xludf.DUMMYFUNCTION("""COMPUTED_VALUE"""),"")</f>
        <v/>
      </c>
      <c r="O2268" t="str">
        <f>IFERROR(__xludf.DUMMYFUNCTION("""COMPUTED_VALUE"""),"")</f>
        <v/>
      </c>
      <c r="P2268" t="str">
        <f>IFERROR(__xludf.DUMMYFUNCTION("""COMPUTED_VALUE"""),"ID ")</f>
        <v>ID </v>
      </c>
    </row>
    <row r="2269">
      <c r="A2269" s="6" t="str">
        <f>IFERROR(__xludf.DUMMYFUNCTION("""COMPUTED_VALUE"""),"")</f>
        <v/>
      </c>
      <c r="C2269" t="str">
        <f>IFERROR(__xludf.DUMMYFUNCTION("""COMPUTED_VALUE"""),"")</f>
        <v/>
      </c>
      <c r="D2269" t="str">
        <f>IFERROR(__xludf.DUMMYFUNCTION("""COMPUTED_VALUE"""),"")</f>
        <v/>
      </c>
      <c r="E2269" t="str">
        <f>IFERROR(__xludf.DUMMYFUNCTION("""COMPUTED_VALUE"""),"")</f>
        <v/>
      </c>
      <c r="F2269" t="str">
        <f>IFERROR(__xludf.DUMMYFUNCTION("""COMPUTED_VALUE"""),"")</f>
        <v/>
      </c>
      <c r="G2269" t="str">
        <f>IFERROR(__xludf.DUMMYFUNCTION("""COMPUTED_VALUE"""),"")</f>
        <v/>
      </c>
      <c r="H2269" s="2" t="str">
        <f>IFERROR(__xludf.DUMMYFUNCTION("""COMPUTED_VALUE"""),"")</f>
        <v/>
      </c>
      <c r="I2269" s="2" t="str">
        <f>IFERROR(__xludf.DUMMYFUNCTION("""COMPUTED_VALUE"""),"")</f>
        <v/>
      </c>
      <c r="J2269" s="2">
        <f>IFERROR(__xludf.DUMMYFUNCTION("""COMPUTED_VALUE"""),0.0)</f>
        <v>0</v>
      </c>
      <c r="K2269" s="5" t="str">
        <f>IFERROR(__xludf.DUMMYFUNCTION("""COMPUTED_VALUE"""),"")</f>
        <v/>
      </c>
      <c r="L2269" t="str">
        <f>IFERROR(__xludf.DUMMYFUNCTION("""COMPUTED_VALUE"""),"")</f>
        <v/>
      </c>
      <c r="M2269" t="str">
        <f>IFERROR(__xludf.DUMMYFUNCTION("""COMPUTED_VALUE"""),"")</f>
        <v/>
      </c>
      <c r="N2269" t="str">
        <f>IFERROR(__xludf.DUMMYFUNCTION("""COMPUTED_VALUE"""),"")</f>
        <v/>
      </c>
      <c r="O2269" t="str">
        <f>IFERROR(__xludf.DUMMYFUNCTION("""COMPUTED_VALUE"""),"")</f>
        <v/>
      </c>
      <c r="P2269" t="str">
        <f>IFERROR(__xludf.DUMMYFUNCTION("""COMPUTED_VALUE"""),"ID ")</f>
        <v>ID </v>
      </c>
    </row>
    <row r="2270">
      <c r="A2270" s="6" t="str">
        <f>IFERROR(__xludf.DUMMYFUNCTION("""COMPUTED_VALUE"""),"")</f>
        <v/>
      </c>
      <c r="C2270" t="str">
        <f>IFERROR(__xludf.DUMMYFUNCTION("""COMPUTED_VALUE"""),"")</f>
        <v/>
      </c>
      <c r="D2270" t="str">
        <f>IFERROR(__xludf.DUMMYFUNCTION("""COMPUTED_VALUE"""),"")</f>
        <v/>
      </c>
      <c r="E2270" t="str">
        <f>IFERROR(__xludf.DUMMYFUNCTION("""COMPUTED_VALUE"""),"")</f>
        <v/>
      </c>
      <c r="F2270" t="str">
        <f>IFERROR(__xludf.DUMMYFUNCTION("""COMPUTED_VALUE"""),"")</f>
        <v/>
      </c>
      <c r="G2270" t="str">
        <f>IFERROR(__xludf.DUMMYFUNCTION("""COMPUTED_VALUE"""),"")</f>
        <v/>
      </c>
      <c r="H2270" s="2" t="str">
        <f>IFERROR(__xludf.DUMMYFUNCTION("""COMPUTED_VALUE"""),"")</f>
        <v/>
      </c>
      <c r="I2270" s="2" t="str">
        <f>IFERROR(__xludf.DUMMYFUNCTION("""COMPUTED_VALUE"""),"")</f>
        <v/>
      </c>
      <c r="J2270" s="2">
        <f>IFERROR(__xludf.DUMMYFUNCTION("""COMPUTED_VALUE"""),0.0)</f>
        <v>0</v>
      </c>
      <c r="K2270" s="5" t="str">
        <f>IFERROR(__xludf.DUMMYFUNCTION("""COMPUTED_VALUE"""),"")</f>
        <v/>
      </c>
      <c r="L2270" t="str">
        <f>IFERROR(__xludf.DUMMYFUNCTION("""COMPUTED_VALUE"""),"")</f>
        <v/>
      </c>
      <c r="M2270" t="str">
        <f>IFERROR(__xludf.DUMMYFUNCTION("""COMPUTED_VALUE"""),"")</f>
        <v/>
      </c>
      <c r="N2270" t="str">
        <f>IFERROR(__xludf.DUMMYFUNCTION("""COMPUTED_VALUE"""),"")</f>
        <v/>
      </c>
      <c r="O2270" t="str">
        <f>IFERROR(__xludf.DUMMYFUNCTION("""COMPUTED_VALUE"""),"")</f>
        <v/>
      </c>
      <c r="P2270" t="str">
        <f>IFERROR(__xludf.DUMMYFUNCTION("""COMPUTED_VALUE"""),"ID ")</f>
        <v>ID </v>
      </c>
    </row>
    <row r="2271">
      <c r="A2271" s="6" t="str">
        <f>IFERROR(__xludf.DUMMYFUNCTION("""COMPUTED_VALUE"""),"")</f>
        <v/>
      </c>
      <c r="C2271" t="str">
        <f>IFERROR(__xludf.DUMMYFUNCTION("""COMPUTED_VALUE"""),"")</f>
        <v/>
      </c>
      <c r="D2271" t="str">
        <f>IFERROR(__xludf.DUMMYFUNCTION("""COMPUTED_VALUE"""),"")</f>
        <v/>
      </c>
      <c r="E2271" t="str">
        <f>IFERROR(__xludf.DUMMYFUNCTION("""COMPUTED_VALUE"""),"")</f>
        <v/>
      </c>
      <c r="F2271" t="str">
        <f>IFERROR(__xludf.DUMMYFUNCTION("""COMPUTED_VALUE"""),"")</f>
        <v/>
      </c>
      <c r="G2271" t="str">
        <f>IFERROR(__xludf.DUMMYFUNCTION("""COMPUTED_VALUE"""),"")</f>
        <v/>
      </c>
      <c r="H2271" s="2" t="str">
        <f>IFERROR(__xludf.DUMMYFUNCTION("""COMPUTED_VALUE"""),"")</f>
        <v/>
      </c>
      <c r="I2271" s="2" t="str">
        <f>IFERROR(__xludf.DUMMYFUNCTION("""COMPUTED_VALUE"""),"")</f>
        <v/>
      </c>
      <c r="J2271" s="2">
        <f>IFERROR(__xludf.DUMMYFUNCTION("""COMPUTED_VALUE"""),0.0)</f>
        <v>0</v>
      </c>
      <c r="K2271" s="5" t="str">
        <f>IFERROR(__xludf.DUMMYFUNCTION("""COMPUTED_VALUE"""),"")</f>
        <v/>
      </c>
      <c r="L2271" t="str">
        <f>IFERROR(__xludf.DUMMYFUNCTION("""COMPUTED_VALUE"""),"")</f>
        <v/>
      </c>
      <c r="M2271" t="str">
        <f>IFERROR(__xludf.DUMMYFUNCTION("""COMPUTED_VALUE"""),"")</f>
        <v/>
      </c>
      <c r="N2271" t="str">
        <f>IFERROR(__xludf.DUMMYFUNCTION("""COMPUTED_VALUE"""),"")</f>
        <v/>
      </c>
      <c r="O2271" t="str">
        <f>IFERROR(__xludf.DUMMYFUNCTION("""COMPUTED_VALUE"""),"")</f>
        <v/>
      </c>
      <c r="P2271" t="str">
        <f>IFERROR(__xludf.DUMMYFUNCTION("""COMPUTED_VALUE"""),"ID ")</f>
        <v>ID </v>
      </c>
    </row>
    <row r="2272">
      <c r="A2272" s="6" t="str">
        <f>IFERROR(__xludf.DUMMYFUNCTION("""COMPUTED_VALUE"""),"")</f>
        <v/>
      </c>
      <c r="C2272" t="str">
        <f>IFERROR(__xludf.DUMMYFUNCTION("""COMPUTED_VALUE"""),"")</f>
        <v/>
      </c>
      <c r="D2272" t="str">
        <f>IFERROR(__xludf.DUMMYFUNCTION("""COMPUTED_VALUE"""),"")</f>
        <v/>
      </c>
      <c r="E2272" t="str">
        <f>IFERROR(__xludf.DUMMYFUNCTION("""COMPUTED_VALUE"""),"")</f>
        <v/>
      </c>
      <c r="F2272" t="str">
        <f>IFERROR(__xludf.DUMMYFUNCTION("""COMPUTED_VALUE"""),"")</f>
        <v/>
      </c>
      <c r="G2272" t="str">
        <f>IFERROR(__xludf.DUMMYFUNCTION("""COMPUTED_VALUE"""),"")</f>
        <v/>
      </c>
      <c r="H2272" s="2" t="str">
        <f>IFERROR(__xludf.DUMMYFUNCTION("""COMPUTED_VALUE"""),"")</f>
        <v/>
      </c>
      <c r="I2272" s="2" t="str">
        <f>IFERROR(__xludf.DUMMYFUNCTION("""COMPUTED_VALUE"""),"")</f>
        <v/>
      </c>
      <c r="J2272" s="2">
        <f>IFERROR(__xludf.DUMMYFUNCTION("""COMPUTED_VALUE"""),0.0)</f>
        <v>0</v>
      </c>
      <c r="K2272" s="5" t="str">
        <f>IFERROR(__xludf.DUMMYFUNCTION("""COMPUTED_VALUE"""),"")</f>
        <v/>
      </c>
      <c r="L2272" t="str">
        <f>IFERROR(__xludf.DUMMYFUNCTION("""COMPUTED_VALUE"""),"")</f>
        <v/>
      </c>
      <c r="M2272" t="str">
        <f>IFERROR(__xludf.DUMMYFUNCTION("""COMPUTED_VALUE"""),"")</f>
        <v/>
      </c>
      <c r="N2272" t="str">
        <f>IFERROR(__xludf.DUMMYFUNCTION("""COMPUTED_VALUE"""),"")</f>
        <v/>
      </c>
      <c r="O2272" t="str">
        <f>IFERROR(__xludf.DUMMYFUNCTION("""COMPUTED_VALUE"""),"")</f>
        <v/>
      </c>
      <c r="P2272" t="str">
        <f>IFERROR(__xludf.DUMMYFUNCTION("""COMPUTED_VALUE"""),"ID ")</f>
        <v>ID </v>
      </c>
    </row>
    <row r="2273">
      <c r="A2273" s="6" t="str">
        <f>IFERROR(__xludf.DUMMYFUNCTION("""COMPUTED_VALUE"""),"")</f>
        <v/>
      </c>
      <c r="C2273" t="str">
        <f>IFERROR(__xludf.DUMMYFUNCTION("""COMPUTED_VALUE"""),"")</f>
        <v/>
      </c>
      <c r="D2273" t="str">
        <f>IFERROR(__xludf.DUMMYFUNCTION("""COMPUTED_VALUE"""),"")</f>
        <v/>
      </c>
      <c r="E2273" t="str">
        <f>IFERROR(__xludf.DUMMYFUNCTION("""COMPUTED_VALUE"""),"")</f>
        <v/>
      </c>
      <c r="F2273" t="str">
        <f>IFERROR(__xludf.DUMMYFUNCTION("""COMPUTED_VALUE"""),"")</f>
        <v/>
      </c>
      <c r="G2273" t="str">
        <f>IFERROR(__xludf.DUMMYFUNCTION("""COMPUTED_VALUE"""),"")</f>
        <v/>
      </c>
      <c r="H2273" s="2" t="str">
        <f>IFERROR(__xludf.DUMMYFUNCTION("""COMPUTED_VALUE"""),"")</f>
        <v/>
      </c>
      <c r="I2273" s="2" t="str">
        <f>IFERROR(__xludf.DUMMYFUNCTION("""COMPUTED_VALUE"""),"")</f>
        <v/>
      </c>
      <c r="J2273" s="2">
        <f>IFERROR(__xludf.DUMMYFUNCTION("""COMPUTED_VALUE"""),0.0)</f>
        <v>0</v>
      </c>
      <c r="K2273" s="5" t="str">
        <f>IFERROR(__xludf.DUMMYFUNCTION("""COMPUTED_VALUE"""),"")</f>
        <v/>
      </c>
      <c r="L2273" t="str">
        <f>IFERROR(__xludf.DUMMYFUNCTION("""COMPUTED_VALUE"""),"")</f>
        <v/>
      </c>
      <c r="M2273" t="str">
        <f>IFERROR(__xludf.DUMMYFUNCTION("""COMPUTED_VALUE"""),"")</f>
        <v/>
      </c>
      <c r="N2273" t="str">
        <f>IFERROR(__xludf.DUMMYFUNCTION("""COMPUTED_VALUE"""),"")</f>
        <v/>
      </c>
      <c r="O2273" t="str">
        <f>IFERROR(__xludf.DUMMYFUNCTION("""COMPUTED_VALUE"""),"")</f>
        <v/>
      </c>
      <c r="P2273" t="str">
        <f>IFERROR(__xludf.DUMMYFUNCTION("""COMPUTED_VALUE"""),"ID ")</f>
        <v>ID </v>
      </c>
    </row>
    <row r="2274">
      <c r="A2274" s="6" t="str">
        <f>IFERROR(__xludf.DUMMYFUNCTION("""COMPUTED_VALUE"""),"")</f>
        <v/>
      </c>
      <c r="C2274" t="str">
        <f>IFERROR(__xludf.DUMMYFUNCTION("""COMPUTED_VALUE"""),"")</f>
        <v/>
      </c>
      <c r="D2274" t="str">
        <f>IFERROR(__xludf.DUMMYFUNCTION("""COMPUTED_VALUE"""),"")</f>
        <v/>
      </c>
      <c r="E2274" t="str">
        <f>IFERROR(__xludf.DUMMYFUNCTION("""COMPUTED_VALUE"""),"")</f>
        <v/>
      </c>
      <c r="F2274" t="str">
        <f>IFERROR(__xludf.DUMMYFUNCTION("""COMPUTED_VALUE"""),"")</f>
        <v/>
      </c>
      <c r="G2274" t="str">
        <f>IFERROR(__xludf.DUMMYFUNCTION("""COMPUTED_VALUE"""),"")</f>
        <v/>
      </c>
      <c r="H2274" s="2" t="str">
        <f>IFERROR(__xludf.DUMMYFUNCTION("""COMPUTED_VALUE"""),"")</f>
        <v/>
      </c>
      <c r="I2274" s="2" t="str">
        <f>IFERROR(__xludf.DUMMYFUNCTION("""COMPUTED_VALUE"""),"")</f>
        <v/>
      </c>
      <c r="J2274" s="2">
        <f>IFERROR(__xludf.DUMMYFUNCTION("""COMPUTED_VALUE"""),0.0)</f>
        <v>0</v>
      </c>
      <c r="K2274" s="5" t="str">
        <f>IFERROR(__xludf.DUMMYFUNCTION("""COMPUTED_VALUE"""),"")</f>
        <v/>
      </c>
      <c r="L2274" t="str">
        <f>IFERROR(__xludf.DUMMYFUNCTION("""COMPUTED_VALUE"""),"")</f>
        <v/>
      </c>
      <c r="M2274" t="str">
        <f>IFERROR(__xludf.DUMMYFUNCTION("""COMPUTED_VALUE"""),"")</f>
        <v/>
      </c>
      <c r="N2274" t="str">
        <f>IFERROR(__xludf.DUMMYFUNCTION("""COMPUTED_VALUE"""),"")</f>
        <v/>
      </c>
      <c r="O2274" t="str">
        <f>IFERROR(__xludf.DUMMYFUNCTION("""COMPUTED_VALUE"""),"")</f>
        <v/>
      </c>
      <c r="P2274" t="str">
        <f>IFERROR(__xludf.DUMMYFUNCTION("""COMPUTED_VALUE"""),"ID ")</f>
        <v>ID </v>
      </c>
    </row>
    <row r="2275">
      <c r="A2275" s="6" t="str">
        <f>IFERROR(__xludf.DUMMYFUNCTION("""COMPUTED_VALUE"""),"")</f>
        <v/>
      </c>
      <c r="C2275" t="str">
        <f>IFERROR(__xludf.DUMMYFUNCTION("""COMPUTED_VALUE"""),"")</f>
        <v/>
      </c>
      <c r="D2275" t="str">
        <f>IFERROR(__xludf.DUMMYFUNCTION("""COMPUTED_VALUE"""),"")</f>
        <v/>
      </c>
      <c r="E2275" t="str">
        <f>IFERROR(__xludf.DUMMYFUNCTION("""COMPUTED_VALUE"""),"")</f>
        <v/>
      </c>
      <c r="F2275" t="str">
        <f>IFERROR(__xludf.DUMMYFUNCTION("""COMPUTED_VALUE"""),"")</f>
        <v/>
      </c>
      <c r="G2275" t="str">
        <f>IFERROR(__xludf.DUMMYFUNCTION("""COMPUTED_VALUE"""),"")</f>
        <v/>
      </c>
      <c r="H2275" s="2" t="str">
        <f>IFERROR(__xludf.DUMMYFUNCTION("""COMPUTED_VALUE"""),"")</f>
        <v/>
      </c>
      <c r="I2275" s="2" t="str">
        <f>IFERROR(__xludf.DUMMYFUNCTION("""COMPUTED_VALUE"""),"")</f>
        <v/>
      </c>
      <c r="J2275" s="2">
        <f>IFERROR(__xludf.DUMMYFUNCTION("""COMPUTED_VALUE"""),0.0)</f>
        <v>0</v>
      </c>
      <c r="K2275" s="5" t="str">
        <f>IFERROR(__xludf.DUMMYFUNCTION("""COMPUTED_VALUE"""),"")</f>
        <v/>
      </c>
      <c r="L2275" t="str">
        <f>IFERROR(__xludf.DUMMYFUNCTION("""COMPUTED_VALUE"""),"")</f>
        <v/>
      </c>
      <c r="M2275" t="str">
        <f>IFERROR(__xludf.DUMMYFUNCTION("""COMPUTED_VALUE"""),"")</f>
        <v/>
      </c>
      <c r="N2275" t="str">
        <f>IFERROR(__xludf.DUMMYFUNCTION("""COMPUTED_VALUE"""),"")</f>
        <v/>
      </c>
      <c r="O2275" t="str">
        <f>IFERROR(__xludf.DUMMYFUNCTION("""COMPUTED_VALUE"""),"")</f>
        <v/>
      </c>
      <c r="P2275" t="str">
        <f>IFERROR(__xludf.DUMMYFUNCTION("""COMPUTED_VALUE"""),"ID ")</f>
        <v>ID </v>
      </c>
    </row>
    <row r="2276">
      <c r="A2276" s="6" t="str">
        <f>IFERROR(__xludf.DUMMYFUNCTION("""COMPUTED_VALUE"""),"")</f>
        <v/>
      </c>
      <c r="C2276" t="str">
        <f>IFERROR(__xludf.DUMMYFUNCTION("""COMPUTED_VALUE"""),"")</f>
        <v/>
      </c>
      <c r="D2276" t="str">
        <f>IFERROR(__xludf.DUMMYFUNCTION("""COMPUTED_VALUE"""),"")</f>
        <v/>
      </c>
      <c r="E2276" t="str">
        <f>IFERROR(__xludf.DUMMYFUNCTION("""COMPUTED_VALUE"""),"")</f>
        <v/>
      </c>
      <c r="F2276" t="str">
        <f>IFERROR(__xludf.DUMMYFUNCTION("""COMPUTED_VALUE"""),"")</f>
        <v/>
      </c>
      <c r="G2276" t="str">
        <f>IFERROR(__xludf.DUMMYFUNCTION("""COMPUTED_VALUE"""),"")</f>
        <v/>
      </c>
      <c r="H2276" s="2" t="str">
        <f>IFERROR(__xludf.DUMMYFUNCTION("""COMPUTED_VALUE"""),"")</f>
        <v/>
      </c>
      <c r="I2276" s="2" t="str">
        <f>IFERROR(__xludf.DUMMYFUNCTION("""COMPUTED_VALUE"""),"")</f>
        <v/>
      </c>
      <c r="J2276" s="2">
        <f>IFERROR(__xludf.DUMMYFUNCTION("""COMPUTED_VALUE"""),0.0)</f>
        <v>0</v>
      </c>
      <c r="K2276" s="5" t="str">
        <f>IFERROR(__xludf.DUMMYFUNCTION("""COMPUTED_VALUE"""),"")</f>
        <v/>
      </c>
      <c r="L2276" t="str">
        <f>IFERROR(__xludf.DUMMYFUNCTION("""COMPUTED_VALUE"""),"")</f>
        <v/>
      </c>
      <c r="M2276" t="str">
        <f>IFERROR(__xludf.DUMMYFUNCTION("""COMPUTED_VALUE"""),"")</f>
        <v/>
      </c>
      <c r="N2276" t="str">
        <f>IFERROR(__xludf.DUMMYFUNCTION("""COMPUTED_VALUE"""),"")</f>
        <v/>
      </c>
      <c r="O2276" t="str">
        <f>IFERROR(__xludf.DUMMYFUNCTION("""COMPUTED_VALUE"""),"")</f>
        <v/>
      </c>
      <c r="P2276" t="str">
        <f>IFERROR(__xludf.DUMMYFUNCTION("""COMPUTED_VALUE"""),"ID ")</f>
        <v>ID </v>
      </c>
    </row>
    <row r="2277">
      <c r="A2277" s="6" t="str">
        <f>IFERROR(__xludf.DUMMYFUNCTION("""COMPUTED_VALUE"""),"")</f>
        <v/>
      </c>
      <c r="C2277" t="str">
        <f>IFERROR(__xludf.DUMMYFUNCTION("""COMPUTED_VALUE"""),"")</f>
        <v/>
      </c>
      <c r="D2277" t="str">
        <f>IFERROR(__xludf.DUMMYFUNCTION("""COMPUTED_VALUE"""),"")</f>
        <v/>
      </c>
      <c r="E2277" t="str">
        <f>IFERROR(__xludf.DUMMYFUNCTION("""COMPUTED_VALUE"""),"")</f>
        <v/>
      </c>
      <c r="F2277" t="str">
        <f>IFERROR(__xludf.DUMMYFUNCTION("""COMPUTED_VALUE"""),"")</f>
        <v/>
      </c>
      <c r="G2277" t="str">
        <f>IFERROR(__xludf.DUMMYFUNCTION("""COMPUTED_VALUE"""),"")</f>
        <v/>
      </c>
      <c r="H2277" s="2" t="str">
        <f>IFERROR(__xludf.DUMMYFUNCTION("""COMPUTED_VALUE"""),"")</f>
        <v/>
      </c>
      <c r="I2277" s="2" t="str">
        <f>IFERROR(__xludf.DUMMYFUNCTION("""COMPUTED_VALUE"""),"")</f>
        <v/>
      </c>
      <c r="J2277" s="2">
        <f>IFERROR(__xludf.DUMMYFUNCTION("""COMPUTED_VALUE"""),0.0)</f>
        <v>0</v>
      </c>
      <c r="K2277" s="5" t="str">
        <f>IFERROR(__xludf.DUMMYFUNCTION("""COMPUTED_VALUE"""),"")</f>
        <v/>
      </c>
      <c r="L2277" t="str">
        <f>IFERROR(__xludf.DUMMYFUNCTION("""COMPUTED_VALUE"""),"")</f>
        <v/>
      </c>
      <c r="M2277" t="str">
        <f>IFERROR(__xludf.DUMMYFUNCTION("""COMPUTED_VALUE"""),"")</f>
        <v/>
      </c>
      <c r="N2277" t="str">
        <f>IFERROR(__xludf.DUMMYFUNCTION("""COMPUTED_VALUE"""),"")</f>
        <v/>
      </c>
      <c r="O2277" t="str">
        <f>IFERROR(__xludf.DUMMYFUNCTION("""COMPUTED_VALUE"""),"")</f>
        <v/>
      </c>
      <c r="P2277" t="str">
        <f>IFERROR(__xludf.DUMMYFUNCTION("""COMPUTED_VALUE"""),"ID ")</f>
        <v>ID </v>
      </c>
    </row>
    <row r="2278">
      <c r="A2278" s="6" t="str">
        <f>IFERROR(__xludf.DUMMYFUNCTION("""COMPUTED_VALUE"""),"")</f>
        <v/>
      </c>
      <c r="C2278" t="str">
        <f>IFERROR(__xludf.DUMMYFUNCTION("""COMPUTED_VALUE"""),"")</f>
        <v/>
      </c>
      <c r="D2278" t="str">
        <f>IFERROR(__xludf.DUMMYFUNCTION("""COMPUTED_VALUE"""),"")</f>
        <v/>
      </c>
      <c r="E2278" t="str">
        <f>IFERROR(__xludf.DUMMYFUNCTION("""COMPUTED_VALUE"""),"")</f>
        <v/>
      </c>
      <c r="F2278" t="str">
        <f>IFERROR(__xludf.DUMMYFUNCTION("""COMPUTED_VALUE"""),"")</f>
        <v/>
      </c>
      <c r="G2278" t="str">
        <f>IFERROR(__xludf.DUMMYFUNCTION("""COMPUTED_VALUE"""),"")</f>
        <v/>
      </c>
      <c r="H2278" s="2" t="str">
        <f>IFERROR(__xludf.DUMMYFUNCTION("""COMPUTED_VALUE"""),"")</f>
        <v/>
      </c>
      <c r="I2278" s="2" t="str">
        <f>IFERROR(__xludf.DUMMYFUNCTION("""COMPUTED_VALUE"""),"")</f>
        <v/>
      </c>
      <c r="J2278" s="2">
        <f>IFERROR(__xludf.DUMMYFUNCTION("""COMPUTED_VALUE"""),0.0)</f>
        <v>0</v>
      </c>
      <c r="K2278" s="5" t="str">
        <f>IFERROR(__xludf.DUMMYFUNCTION("""COMPUTED_VALUE"""),"")</f>
        <v/>
      </c>
      <c r="L2278" t="str">
        <f>IFERROR(__xludf.DUMMYFUNCTION("""COMPUTED_VALUE"""),"")</f>
        <v/>
      </c>
      <c r="M2278" t="str">
        <f>IFERROR(__xludf.DUMMYFUNCTION("""COMPUTED_VALUE"""),"")</f>
        <v/>
      </c>
      <c r="N2278" t="str">
        <f>IFERROR(__xludf.DUMMYFUNCTION("""COMPUTED_VALUE"""),"")</f>
        <v/>
      </c>
      <c r="O2278" t="str">
        <f>IFERROR(__xludf.DUMMYFUNCTION("""COMPUTED_VALUE"""),"")</f>
        <v/>
      </c>
      <c r="P2278" t="str">
        <f>IFERROR(__xludf.DUMMYFUNCTION("""COMPUTED_VALUE"""),"ID ")</f>
        <v>ID </v>
      </c>
    </row>
    <row r="2279">
      <c r="A2279" s="6" t="str">
        <f>IFERROR(__xludf.DUMMYFUNCTION("""COMPUTED_VALUE"""),"")</f>
        <v/>
      </c>
      <c r="C2279" t="str">
        <f>IFERROR(__xludf.DUMMYFUNCTION("""COMPUTED_VALUE"""),"")</f>
        <v/>
      </c>
      <c r="D2279" t="str">
        <f>IFERROR(__xludf.DUMMYFUNCTION("""COMPUTED_VALUE"""),"")</f>
        <v/>
      </c>
      <c r="E2279" t="str">
        <f>IFERROR(__xludf.DUMMYFUNCTION("""COMPUTED_VALUE"""),"")</f>
        <v/>
      </c>
      <c r="F2279" t="str">
        <f>IFERROR(__xludf.DUMMYFUNCTION("""COMPUTED_VALUE"""),"")</f>
        <v/>
      </c>
      <c r="G2279" t="str">
        <f>IFERROR(__xludf.DUMMYFUNCTION("""COMPUTED_VALUE"""),"")</f>
        <v/>
      </c>
      <c r="H2279" s="2" t="str">
        <f>IFERROR(__xludf.DUMMYFUNCTION("""COMPUTED_VALUE"""),"")</f>
        <v/>
      </c>
      <c r="I2279" s="2" t="str">
        <f>IFERROR(__xludf.DUMMYFUNCTION("""COMPUTED_VALUE"""),"")</f>
        <v/>
      </c>
      <c r="J2279" s="2">
        <f>IFERROR(__xludf.DUMMYFUNCTION("""COMPUTED_VALUE"""),0.0)</f>
        <v>0</v>
      </c>
      <c r="K2279" s="5" t="str">
        <f>IFERROR(__xludf.DUMMYFUNCTION("""COMPUTED_VALUE"""),"")</f>
        <v/>
      </c>
      <c r="L2279" t="str">
        <f>IFERROR(__xludf.DUMMYFUNCTION("""COMPUTED_VALUE"""),"")</f>
        <v/>
      </c>
      <c r="M2279" t="str">
        <f>IFERROR(__xludf.DUMMYFUNCTION("""COMPUTED_VALUE"""),"")</f>
        <v/>
      </c>
      <c r="N2279" t="str">
        <f>IFERROR(__xludf.DUMMYFUNCTION("""COMPUTED_VALUE"""),"")</f>
        <v/>
      </c>
      <c r="O2279" t="str">
        <f>IFERROR(__xludf.DUMMYFUNCTION("""COMPUTED_VALUE"""),"")</f>
        <v/>
      </c>
      <c r="P2279" t="str">
        <f>IFERROR(__xludf.DUMMYFUNCTION("""COMPUTED_VALUE"""),"ID ")</f>
        <v>ID </v>
      </c>
    </row>
    <row r="2280">
      <c r="A2280" s="6" t="str">
        <f>IFERROR(__xludf.DUMMYFUNCTION("""COMPUTED_VALUE"""),"")</f>
        <v/>
      </c>
      <c r="C2280" t="str">
        <f>IFERROR(__xludf.DUMMYFUNCTION("""COMPUTED_VALUE"""),"")</f>
        <v/>
      </c>
      <c r="D2280" t="str">
        <f>IFERROR(__xludf.DUMMYFUNCTION("""COMPUTED_VALUE"""),"")</f>
        <v/>
      </c>
      <c r="E2280" t="str">
        <f>IFERROR(__xludf.DUMMYFUNCTION("""COMPUTED_VALUE"""),"")</f>
        <v/>
      </c>
      <c r="F2280" t="str">
        <f>IFERROR(__xludf.DUMMYFUNCTION("""COMPUTED_VALUE"""),"")</f>
        <v/>
      </c>
      <c r="G2280" t="str">
        <f>IFERROR(__xludf.DUMMYFUNCTION("""COMPUTED_VALUE"""),"")</f>
        <v/>
      </c>
      <c r="H2280" s="2" t="str">
        <f>IFERROR(__xludf.DUMMYFUNCTION("""COMPUTED_VALUE"""),"")</f>
        <v/>
      </c>
      <c r="I2280" s="2" t="str">
        <f>IFERROR(__xludf.DUMMYFUNCTION("""COMPUTED_VALUE"""),"")</f>
        <v/>
      </c>
      <c r="J2280" s="2">
        <f>IFERROR(__xludf.DUMMYFUNCTION("""COMPUTED_VALUE"""),0.0)</f>
        <v>0</v>
      </c>
      <c r="K2280" s="5" t="str">
        <f>IFERROR(__xludf.DUMMYFUNCTION("""COMPUTED_VALUE"""),"")</f>
        <v/>
      </c>
      <c r="L2280" t="str">
        <f>IFERROR(__xludf.DUMMYFUNCTION("""COMPUTED_VALUE"""),"")</f>
        <v/>
      </c>
      <c r="M2280" t="str">
        <f>IFERROR(__xludf.DUMMYFUNCTION("""COMPUTED_VALUE"""),"")</f>
        <v/>
      </c>
      <c r="N2280" t="str">
        <f>IFERROR(__xludf.DUMMYFUNCTION("""COMPUTED_VALUE"""),"")</f>
        <v/>
      </c>
      <c r="O2280" t="str">
        <f>IFERROR(__xludf.DUMMYFUNCTION("""COMPUTED_VALUE"""),"")</f>
        <v/>
      </c>
      <c r="P2280" t="str">
        <f>IFERROR(__xludf.DUMMYFUNCTION("""COMPUTED_VALUE"""),"ID ")</f>
        <v>ID </v>
      </c>
    </row>
    <row r="2281">
      <c r="A2281" s="6" t="str">
        <f>IFERROR(__xludf.DUMMYFUNCTION("""COMPUTED_VALUE"""),"")</f>
        <v/>
      </c>
      <c r="C2281" t="str">
        <f>IFERROR(__xludf.DUMMYFUNCTION("""COMPUTED_VALUE"""),"")</f>
        <v/>
      </c>
      <c r="D2281" t="str">
        <f>IFERROR(__xludf.DUMMYFUNCTION("""COMPUTED_VALUE"""),"")</f>
        <v/>
      </c>
      <c r="E2281" t="str">
        <f>IFERROR(__xludf.DUMMYFUNCTION("""COMPUTED_VALUE"""),"")</f>
        <v/>
      </c>
      <c r="F2281" t="str">
        <f>IFERROR(__xludf.DUMMYFUNCTION("""COMPUTED_VALUE"""),"")</f>
        <v/>
      </c>
      <c r="G2281" t="str">
        <f>IFERROR(__xludf.DUMMYFUNCTION("""COMPUTED_VALUE"""),"")</f>
        <v/>
      </c>
      <c r="H2281" s="2" t="str">
        <f>IFERROR(__xludf.DUMMYFUNCTION("""COMPUTED_VALUE"""),"")</f>
        <v/>
      </c>
      <c r="I2281" s="2" t="str">
        <f>IFERROR(__xludf.DUMMYFUNCTION("""COMPUTED_VALUE"""),"")</f>
        <v/>
      </c>
      <c r="J2281" s="2">
        <f>IFERROR(__xludf.DUMMYFUNCTION("""COMPUTED_VALUE"""),0.0)</f>
        <v>0</v>
      </c>
      <c r="K2281" s="5" t="str">
        <f>IFERROR(__xludf.DUMMYFUNCTION("""COMPUTED_VALUE"""),"")</f>
        <v/>
      </c>
      <c r="L2281" t="str">
        <f>IFERROR(__xludf.DUMMYFUNCTION("""COMPUTED_VALUE"""),"")</f>
        <v/>
      </c>
      <c r="M2281" t="str">
        <f>IFERROR(__xludf.DUMMYFUNCTION("""COMPUTED_VALUE"""),"")</f>
        <v/>
      </c>
      <c r="N2281" t="str">
        <f>IFERROR(__xludf.DUMMYFUNCTION("""COMPUTED_VALUE"""),"")</f>
        <v/>
      </c>
      <c r="O2281" t="str">
        <f>IFERROR(__xludf.DUMMYFUNCTION("""COMPUTED_VALUE"""),"")</f>
        <v/>
      </c>
      <c r="P2281" t="str">
        <f>IFERROR(__xludf.DUMMYFUNCTION("""COMPUTED_VALUE"""),"ID ")</f>
        <v>ID </v>
      </c>
    </row>
    <row r="2282">
      <c r="A2282" s="6" t="str">
        <f>IFERROR(__xludf.DUMMYFUNCTION("""COMPUTED_VALUE"""),"")</f>
        <v/>
      </c>
      <c r="C2282" t="str">
        <f>IFERROR(__xludf.DUMMYFUNCTION("""COMPUTED_VALUE"""),"")</f>
        <v/>
      </c>
      <c r="D2282" t="str">
        <f>IFERROR(__xludf.DUMMYFUNCTION("""COMPUTED_VALUE"""),"")</f>
        <v/>
      </c>
      <c r="E2282" t="str">
        <f>IFERROR(__xludf.DUMMYFUNCTION("""COMPUTED_VALUE"""),"")</f>
        <v/>
      </c>
      <c r="F2282" t="str">
        <f>IFERROR(__xludf.DUMMYFUNCTION("""COMPUTED_VALUE"""),"")</f>
        <v/>
      </c>
      <c r="G2282" t="str">
        <f>IFERROR(__xludf.DUMMYFUNCTION("""COMPUTED_VALUE"""),"")</f>
        <v/>
      </c>
      <c r="H2282" s="2" t="str">
        <f>IFERROR(__xludf.DUMMYFUNCTION("""COMPUTED_VALUE"""),"")</f>
        <v/>
      </c>
      <c r="I2282" s="2" t="str">
        <f>IFERROR(__xludf.DUMMYFUNCTION("""COMPUTED_VALUE"""),"")</f>
        <v/>
      </c>
      <c r="J2282" s="2">
        <f>IFERROR(__xludf.DUMMYFUNCTION("""COMPUTED_VALUE"""),0.0)</f>
        <v>0</v>
      </c>
      <c r="K2282" s="5" t="str">
        <f>IFERROR(__xludf.DUMMYFUNCTION("""COMPUTED_VALUE"""),"")</f>
        <v/>
      </c>
      <c r="L2282" t="str">
        <f>IFERROR(__xludf.DUMMYFUNCTION("""COMPUTED_VALUE"""),"")</f>
        <v/>
      </c>
      <c r="M2282" t="str">
        <f>IFERROR(__xludf.DUMMYFUNCTION("""COMPUTED_VALUE"""),"")</f>
        <v/>
      </c>
      <c r="N2282" t="str">
        <f>IFERROR(__xludf.DUMMYFUNCTION("""COMPUTED_VALUE"""),"")</f>
        <v/>
      </c>
      <c r="O2282" t="str">
        <f>IFERROR(__xludf.DUMMYFUNCTION("""COMPUTED_VALUE"""),"")</f>
        <v/>
      </c>
      <c r="P2282" t="str">
        <f>IFERROR(__xludf.DUMMYFUNCTION("""COMPUTED_VALUE"""),"ID ")</f>
        <v>ID </v>
      </c>
    </row>
    <row r="2283">
      <c r="A2283" s="6" t="str">
        <f>IFERROR(__xludf.DUMMYFUNCTION("""COMPUTED_VALUE"""),"")</f>
        <v/>
      </c>
      <c r="C2283" t="str">
        <f>IFERROR(__xludf.DUMMYFUNCTION("""COMPUTED_VALUE"""),"")</f>
        <v/>
      </c>
      <c r="D2283" t="str">
        <f>IFERROR(__xludf.DUMMYFUNCTION("""COMPUTED_VALUE"""),"")</f>
        <v/>
      </c>
      <c r="E2283" t="str">
        <f>IFERROR(__xludf.DUMMYFUNCTION("""COMPUTED_VALUE"""),"")</f>
        <v/>
      </c>
      <c r="F2283" t="str">
        <f>IFERROR(__xludf.DUMMYFUNCTION("""COMPUTED_VALUE"""),"")</f>
        <v/>
      </c>
      <c r="G2283" t="str">
        <f>IFERROR(__xludf.DUMMYFUNCTION("""COMPUTED_VALUE"""),"")</f>
        <v/>
      </c>
      <c r="H2283" s="2" t="str">
        <f>IFERROR(__xludf.DUMMYFUNCTION("""COMPUTED_VALUE"""),"")</f>
        <v/>
      </c>
      <c r="I2283" s="2" t="str">
        <f>IFERROR(__xludf.DUMMYFUNCTION("""COMPUTED_VALUE"""),"")</f>
        <v/>
      </c>
      <c r="J2283" s="2">
        <f>IFERROR(__xludf.DUMMYFUNCTION("""COMPUTED_VALUE"""),0.0)</f>
        <v>0</v>
      </c>
      <c r="K2283" s="5" t="str">
        <f>IFERROR(__xludf.DUMMYFUNCTION("""COMPUTED_VALUE"""),"")</f>
        <v/>
      </c>
      <c r="L2283" t="str">
        <f>IFERROR(__xludf.DUMMYFUNCTION("""COMPUTED_VALUE"""),"")</f>
        <v/>
      </c>
      <c r="M2283" t="str">
        <f>IFERROR(__xludf.DUMMYFUNCTION("""COMPUTED_VALUE"""),"")</f>
        <v/>
      </c>
      <c r="N2283" t="str">
        <f>IFERROR(__xludf.DUMMYFUNCTION("""COMPUTED_VALUE"""),"")</f>
        <v/>
      </c>
      <c r="O2283" t="str">
        <f>IFERROR(__xludf.DUMMYFUNCTION("""COMPUTED_VALUE"""),"")</f>
        <v/>
      </c>
      <c r="P2283" t="str">
        <f>IFERROR(__xludf.DUMMYFUNCTION("""COMPUTED_VALUE"""),"ID ")</f>
        <v>ID </v>
      </c>
    </row>
    <row r="2284">
      <c r="A2284" s="6" t="str">
        <f>IFERROR(__xludf.DUMMYFUNCTION("""COMPUTED_VALUE"""),"")</f>
        <v/>
      </c>
      <c r="C2284" t="str">
        <f>IFERROR(__xludf.DUMMYFUNCTION("""COMPUTED_VALUE"""),"")</f>
        <v/>
      </c>
      <c r="D2284" t="str">
        <f>IFERROR(__xludf.DUMMYFUNCTION("""COMPUTED_VALUE"""),"")</f>
        <v/>
      </c>
      <c r="E2284" t="str">
        <f>IFERROR(__xludf.DUMMYFUNCTION("""COMPUTED_VALUE"""),"")</f>
        <v/>
      </c>
      <c r="F2284" t="str">
        <f>IFERROR(__xludf.DUMMYFUNCTION("""COMPUTED_VALUE"""),"")</f>
        <v/>
      </c>
      <c r="G2284" t="str">
        <f>IFERROR(__xludf.DUMMYFUNCTION("""COMPUTED_VALUE"""),"")</f>
        <v/>
      </c>
      <c r="H2284" s="2" t="str">
        <f>IFERROR(__xludf.DUMMYFUNCTION("""COMPUTED_VALUE"""),"")</f>
        <v/>
      </c>
      <c r="I2284" s="2" t="str">
        <f>IFERROR(__xludf.DUMMYFUNCTION("""COMPUTED_VALUE"""),"")</f>
        <v/>
      </c>
      <c r="J2284" s="2">
        <f>IFERROR(__xludf.DUMMYFUNCTION("""COMPUTED_VALUE"""),0.0)</f>
        <v>0</v>
      </c>
      <c r="K2284" s="5" t="str">
        <f>IFERROR(__xludf.DUMMYFUNCTION("""COMPUTED_VALUE"""),"")</f>
        <v/>
      </c>
      <c r="L2284" t="str">
        <f>IFERROR(__xludf.DUMMYFUNCTION("""COMPUTED_VALUE"""),"")</f>
        <v/>
      </c>
      <c r="M2284" t="str">
        <f>IFERROR(__xludf.DUMMYFUNCTION("""COMPUTED_VALUE"""),"")</f>
        <v/>
      </c>
      <c r="N2284" t="str">
        <f>IFERROR(__xludf.DUMMYFUNCTION("""COMPUTED_VALUE"""),"")</f>
        <v/>
      </c>
      <c r="O2284" t="str">
        <f>IFERROR(__xludf.DUMMYFUNCTION("""COMPUTED_VALUE"""),"")</f>
        <v/>
      </c>
      <c r="P2284" t="str">
        <f>IFERROR(__xludf.DUMMYFUNCTION("""COMPUTED_VALUE"""),"ID ")</f>
        <v>ID </v>
      </c>
    </row>
    <row r="2285">
      <c r="A2285" s="6" t="str">
        <f>IFERROR(__xludf.DUMMYFUNCTION("""COMPUTED_VALUE"""),"")</f>
        <v/>
      </c>
      <c r="C2285" t="str">
        <f>IFERROR(__xludf.DUMMYFUNCTION("""COMPUTED_VALUE"""),"")</f>
        <v/>
      </c>
      <c r="D2285" t="str">
        <f>IFERROR(__xludf.DUMMYFUNCTION("""COMPUTED_VALUE"""),"")</f>
        <v/>
      </c>
      <c r="E2285" t="str">
        <f>IFERROR(__xludf.DUMMYFUNCTION("""COMPUTED_VALUE"""),"")</f>
        <v/>
      </c>
      <c r="F2285" t="str">
        <f>IFERROR(__xludf.DUMMYFUNCTION("""COMPUTED_VALUE"""),"")</f>
        <v/>
      </c>
      <c r="G2285" t="str">
        <f>IFERROR(__xludf.DUMMYFUNCTION("""COMPUTED_VALUE"""),"")</f>
        <v/>
      </c>
      <c r="H2285" s="2" t="str">
        <f>IFERROR(__xludf.DUMMYFUNCTION("""COMPUTED_VALUE"""),"")</f>
        <v/>
      </c>
      <c r="I2285" s="2" t="str">
        <f>IFERROR(__xludf.DUMMYFUNCTION("""COMPUTED_VALUE"""),"")</f>
        <v/>
      </c>
      <c r="J2285" s="2">
        <f>IFERROR(__xludf.DUMMYFUNCTION("""COMPUTED_VALUE"""),0.0)</f>
        <v>0</v>
      </c>
      <c r="K2285" s="5" t="str">
        <f>IFERROR(__xludf.DUMMYFUNCTION("""COMPUTED_VALUE"""),"")</f>
        <v/>
      </c>
      <c r="L2285" t="str">
        <f>IFERROR(__xludf.DUMMYFUNCTION("""COMPUTED_VALUE"""),"")</f>
        <v/>
      </c>
      <c r="M2285" t="str">
        <f>IFERROR(__xludf.DUMMYFUNCTION("""COMPUTED_VALUE"""),"")</f>
        <v/>
      </c>
      <c r="N2285" t="str">
        <f>IFERROR(__xludf.DUMMYFUNCTION("""COMPUTED_VALUE"""),"")</f>
        <v/>
      </c>
      <c r="O2285" t="str">
        <f>IFERROR(__xludf.DUMMYFUNCTION("""COMPUTED_VALUE"""),"")</f>
        <v/>
      </c>
      <c r="P2285" t="str">
        <f>IFERROR(__xludf.DUMMYFUNCTION("""COMPUTED_VALUE"""),"ID ")</f>
        <v>ID </v>
      </c>
    </row>
    <row r="2286">
      <c r="A2286" s="6" t="str">
        <f>IFERROR(__xludf.DUMMYFUNCTION("""COMPUTED_VALUE"""),"")</f>
        <v/>
      </c>
      <c r="C2286" t="str">
        <f>IFERROR(__xludf.DUMMYFUNCTION("""COMPUTED_VALUE"""),"")</f>
        <v/>
      </c>
      <c r="D2286" t="str">
        <f>IFERROR(__xludf.DUMMYFUNCTION("""COMPUTED_VALUE"""),"")</f>
        <v/>
      </c>
      <c r="E2286" t="str">
        <f>IFERROR(__xludf.DUMMYFUNCTION("""COMPUTED_VALUE"""),"")</f>
        <v/>
      </c>
      <c r="F2286" t="str">
        <f>IFERROR(__xludf.DUMMYFUNCTION("""COMPUTED_VALUE"""),"")</f>
        <v/>
      </c>
      <c r="G2286" t="str">
        <f>IFERROR(__xludf.DUMMYFUNCTION("""COMPUTED_VALUE"""),"")</f>
        <v/>
      </c>
      <c r="H2286" s="2" t="str">
        <f>IFERROR(__xludf.DUMMYFUNCTION("""COMPUTED_VALUE"""),"")</f>
        <v/>
      </c>
      <c r="I2286" s="2" t="str">
        <f>IFERROR(__xludf.DUMMYFUNCTION("""COMPUTED_VALUE"""),"")</f>
        <v/>
      </c>
      <c r="J2286" s="2">
        <f>IFERROR(__xludf.DUMMYFUNCTION("""COMPUTED_VALUE"""),0.0)</f>
        <v>0</v>
      </c>
      <c r="K2286" s="5" t="str">
        <f>IFERROR(__xludf.DUMMYFUNCTION("""COMPUTED_VALUE"""),"")</f>
        <v/>
      </c>
      <c r="L2286" t="str">
        <f>IFERROR(__xludf.DUMMYFUNCTION("""COMPUTED_VALUE"""),"")</f>
        <v/>
      </c>
      <c r="M2286" t="str">
        <f>IFERROR(__xludf.DUMMYFUNCTION("""COMPUTED_VALUE"""),"")</f>
        <v/>
      </c>
      <c r="N2286" t="str">
        <f>IFERROR(__xludf.DUMMYFUNCTION("""COMPUTED_VALUE"""),"")</f>
        <v/>
      </c>
      <c r="O2286" t="str">
        <f>IFERROR(__xludf.DUMMYFUNCTION("""COMPUTED_VALUE"""),"")</f>
        <v/>
      </c>
      <c r="P2286" t="str">
        <f>IFERROR(__xludf.DUMMYFUNCTION("""COMPUTED_VALUE"""),"ID ")</f>
        <v>ID </v>
      </c>
    </row>
    <row r="2287">
      <c r="A2287" s="6" t="str">
        <f>IFERROR(__xludf.DUMMYFUNCTION("""COMPUTED_VALUE"""),"")</f>
        <v/>
      </c>
      <c r="C2287" t="str">
        <f>IFERROR(__xludf.DUMMYFUNCTION("""COMPUTED_VALUE"""),"")</f>
        <v/>
      </c>
      <c r="D2287" t="str">
        <f>IFERROR(__xludf.DUMMYFUNCTION("""COMPUTED_VALUE"""),"")</f>
        <v/>
      </c>
      <c r="E2287" t="str">
        <f>IFERROR(__xludf.DUMMYFUNCTION("""COMPUTED_VALUE"""),"")</f>
        <v/>
      </c>
      <c r="F2287" t="str">
        <f>IFERROR(__xludf.DUMMYFUNCTION("""COMPUTED_VALUE"""),"")</f>
        <v/>
      </c>
      <c r="G2287" t="str">
        <f>IFERROR(__xludf.DUMMYFUNCTION("""COMPUTED_VALUE"""),"")</f>
        <v/>
      </c>
      <c r="H2287" s="2" t="str">
        <f>IFERROR(__xludf.DUMMYFUNCTION("""COMPUTED_VALUE"""),"")</f>
        <v/>
      </c>
      <c r="I2287" s="2" t="str">
        <f>IFERROR(__xludf.DUMMYFUNCTION("""COMPUTED_VALUE"""),"")</f>
        <v/>
      </c>
      <c r="J2287" s="2">
        <f>IFERROR(__xludf.DUMMYFUNCTION("""COMPUTED_VALUE"""),0.0)</f>
        <v>0</v>
      </c>
      <c r="K2287" s="5" t="str">
        <f>IFERROR(__xludf.DUMMYFUNCTION("""COMPUTED_VALUE"""),"")</f>
        <v/>
      </c>
      <c r="L2287" t="str">
        <f>IFERROR(__xludf.DUMMYFUNCTION("""COMPUTED_VALUE"""),"")</f>
        <v/>
      </c>
      <c r="M2287" t="str">
        <f>IFERROR(__xludf.DUMMYFUNCTION("""COMPUTED_VALUE"""),"")</f>
        <v/>
      </c>
      <c r="N2287" t="str">
        <f>IFERROR(__xludf.DUMMYFUNCTION("""COMPUTED_VALUE"""),"")</f>
        <v/>
      </c>
      <c r="O2287" t="str">
        <f>IFERROR(__xludf.DUMMYFUNCTION("""COMPUTED_VALUE"""),"")</f>
        <v/>
      </c>
      <c r="P2287" t="str">
        <f>IFERROR(__xludf.DUMMYFUNCTION("""COMPUTED_VALUE"""),"ID ")</f>
        <v>ID </v>
      </c>
    </row>
    <row r="2288">
      <c r="A2288" s="6" t="str">
        <f>IFERROR(__xludf.DUMMYFUNCTION("""COMPUTED_VALUE"""),"")</f>
        <v/>
      </c>
      <c r="C2288" t="str">
        <f>IFERROR(__xludf.DUMMYFUNCTION("""COMPUTED_VALUE"""),"")</f>
        <v/>
      </c>
      <c r="D2288" t="str">
        <f>IFERROR(__xludf.DUMMYFUNCTION("""COMPUTED_VALUE"""),"")</f>
        <v/>
      </c>
      <c r="E2288" t="str">
        <f>IFERROR(__xludf.DUMMYFUNCTION("""COMPUTED_VALUE"""),"")</f>
        <v/>
      </c>
      <c r="F2288" t="str">
        <f>IFERROR(__xludf.DUMMYFUNCTION("""COMPUTED_VALUE"""),"")</f>
        <v/>
      </c>
      <c r="G2288" t="str">
        <f>IFERROR(__xludf.DUMMYFUNCTION("""COMPUTED_VALUE"""),"")</f>
        <v/>
      </c>
      <c r="H2288" s="2" t="str">
        <f>IFERROR(__xludf.DUMMYFUNCTION("""COMPUTED_VALUE"""),"")</f>
        <v/>
      </c>
      <c r="I2288" s="2" t="str">
        <f>IFERROR(__xludf.DUMMYFUNCTION("""COMPUTED_VALUE"""),"")</f>
        <v/>
      </c>
      <c r="J2288" s="2">
        <f>IFERROR(__xludf.DUMMYFUNCTION("""COMPUTED_VALUE"""),0.0)</f>
        <v>0</v>
      </c>
      <c r="K2288" s="5" t="str">
        <f>IFERROR(__xludf.DUMMYFUNCTION("""COMPUTED_VALUE"""),"")</f>
        <v/>
      </c>
      <c r="L2288" t="str">
        <f>IFERROR(__xludf.DUMMYFUNCTION("""COMPUTED_VALUE"""),"")</f>
        <v/>
      </c>
      <c r="M2288" t="str">
        <f>IFERROR(__xludf.DUMMYFUNCTION("""COMPUTED_VALUE"""),"")</f>
        <v/>
      </c>
      <c r="N2288" t="str">
        <f>IFERROR(__xludf.DUMMYFUNCTION("""COMPUTED_VALUE"""),"")</f>
        <v/>
      </c>
      <c r="O2288" t="str">
        <f>IFERROR(__xludf.DUMMYFUNCTION("""COMPUTED_VALUE"""),"")</f>
        <v/>
      </c>
      <c r="P2288" t="str">
        <f>IFERROR(__xludf.DUMMYFUNCTION("""COMPUTED_VALUE"""),"ID ")</f>
        <v>ID </v>
      </c>
    </row>
    <row r="2289">
      <c r="A2289" s="6" t="str">
        <f>IFERROR(__xludf.DUMMYFUNCTION("""COMPUTED_VALUE"""),"")</f>
        <v/>
      </c>
      <c r="C2289" t="str">
        <f>IFERROR(__xludf.DUMMYFUNCTION("""COMPUTED_VALUE"""),"")</f>
        <v/>
      </c>
      <c r="D2289" t="str">
        <f>IFERROR(__xludf.DUMMYFUNCTION("""COMPUTED_VALUE"""),"")</f>
        <v/>
      </c>
      <c r="E2289" t="str">
        <f>IFERROR(__xludf.DUMMYFUNCTION("""COMPUTED_VALUE"""),"")</f>
        <v/>
      </c>
      <c r="F2289" t="str">
        <f>IFERROR(__xludf.DUMMYFUNCTION("""COMPUTED_VALUE"""),"")</f>
        <v/>
      </c>
      <c r="G2289" t="str">
        <f>IFERROR(__xludf.DUMMYFUNCTION("""COMPUTED_VALUE"""),"")</f>
        <v/>
      </c>
      <c r="H2289" s="2" t="str">
        <f>IFERROR(__xludf.DUMMYFUNCTION("""COMPUTED_VALUE"""),"")</f>
        <v/>
      </c>
      <c r="I2289" s="2" t="str">
        <f>IFERROR(__xludf.DUMMYFUNCTION("""COMPUTED_VALUE"""),"")</f>
        <v/>
      </c>
      <c r="J2289" s="2">
        <f>IFERROR(__xludf.DUMMYFUNCTION("""COMPUTED_VALUE"""),0.0)</f>
        <v>0</v>
      </c>
      <c r="K2289" s="5" t="str">
        <f>IFERROR(__xludf.DUMMYFUNCTION("""COMPUTED_VALUE"""),"")</f>
        <v/>
      </c>
      <c r="L2289" t="str">
        <f>IFERROR(__xludf.DUMMYFUNCTION("""COMPUTED_VALUE"""),"")</f>
        <v/>
      </c>
      <c r="M2289" t="str">
        <f>IFERROR(__xludf.DUMMYFUNCTION("""COMPUTED_VALUE"""),"")</f>
        <v/>
      </c>
      <c r="N2289" t="str">
        <f>IFERROR(__xludf.DUMMYFUNCTION("""COMPUTED_VALUE"""),"")</f>
        <v/>
      </c>
      <c r="O2289" t="str">
        <f>IFERROR(__xludf.DUMMYFUNCTION("""COMPUTED_VALUE"""),"")</f>
        <v/>
      </c>
      <c r="P2289" t="str">
        <f>IFERROR(__xludf.DUMMYFUNCTION("""COMPUTED_VALUE"""),"ID ")</f>
        <v>ID </v>
      </c>
    </row>
    <row r="2290">
      <c r="A2290" s="6" t="str">
        <f>IFERROR(__xludf.DUMMYFUNCTION("""COMPUTED_VALUE"""),"")</f>
        <v/>
      </c>
      <c r="C2290" t="str">
        <f>IFERROR(__xludf.DUMMYFUNCTION("""COMPUTED_VALUE"""),"")</f>
        <v/>
      </c>
      <c r="D2290" t="str">
        <f>IFERROR(__xludf.DUMMYFUNCTION("""COMPUTED_VALUE"""),"")</f>
        <v/>
      </c>
      <c r="E2290" t="str">
        <f>IFERROR(__xludf.DUMMYFUNCTION("""COMPUTED_VALUE"""),"")</f>
        <v/>
      </c>
      <c r="F2290" t="str">
        <f>IFERROR(__xludf.DUMMYFUNCTION("""COMPUTED_VALUE"""),"")</f>
        <v/>
      </c>
      <c r="G2290" t="str">
        <f>IFERROR(__xludf.DUMMYFUNCTION("""COMPUTED_VALUE"""),"")</f>
        <v/>
      </c>
      <c r="H2290" s="2" t="str">
        <f>IFERROR(__xludf.DUMMYFUNCTION("""COMPUTED_VALUE"""),"")</f>
        <v/>
      </c>
      <c r="I2290" s="2" t="str">
        <f>IFERROR(__xludf.DUMMYFUNCTION("""COMPUTED_VALUE"""),"")</f>
        <v/>
      </c>
      <c r="J2290" s="2">
        <f>IFERROR(__xludf.DUMMYFUNCTION("""COMPUTED_VALUE"""),0.0)</f>
        <v>0</v>
      </c>
      <c r="K2290" s="5" t="str">
        <f>IFERROR(__xludf.DUMMYFUNCTION("""COMPUTED_VALUE"""),"")</f>
        <v/>
      </c>
      <c r="L2290" t="str">
        <f>IFERROR(__xludf.DUMMYFUNCTION("""COMPUTED_VALUE"""),"")</f>
        <v/>
      </c>
      <c r="M2290" t="str">
        <f>IFERROR(__xludf.DUMMYFUNCTION("""COMPUTED_VALUE"""),"")</f>
        <v/>
      </c>
      <c r="N2290" t="str">
        <f>IFERROR(__xludf.DUMMYFUNCTION("""COMPUTED_VALUE"""),"")</f>
        <v/>
      </c>
      <c r="O2290" t="str">
        <f>IFERROR(__xludf.DUMMYFUNCTION("""COMPUTED_VALUE"""),"")</f>
        <v/>
      </c>
      <c r="P2290" t="str">
        <f>IFERROR(__xludf.DUMMYFUNCTION("""COMPUTED_VALUE"""),"ID ")</f>
        <v>ID </v>
      </c>
    </row>
    <row r="2291">
      <c r="A2291" s="6" t="str">
        <f>IFERROR(__xludf.DUMMYFUNCTION("""COMPUTED_VALUE"""),"")</f>
        <v/>
      </c>
      <c r="C2291" t="str">
        <f>IFERROR(__xludf.DUMMYFUNCTION("""COMPUTED_VALUE"""),"")</f>
        <v/>
      </c>
      <c r="D2291" t="str">
        <f>IFERROR(__xludf.DUMMYFUNCTION("""COMPUTED_VALUE"""),"")</f>
        <v/>
      </c>
      <c r="E2291" t="str">
        <f>IFERROR(__xludf.DUMMYFUNCTION("""COMPUTED_VALUE"""),"")</f>
        <v/>
      </c>
      <c r="F2291" t="str">
        <f>IFERROR(__xludf.DUMMYFUNCTION("""COMPUTED_VALUE"""),"")</f>
        <v/>
      </c>
      <c r="G2291" t="str">
        <f>IFERROR(__xludf.DUMMYFUNCTION("""COMPUTED_VALUE"""),"")</f>
        <v/>
      </c>
      <c r="H2291" s="2" t="str">
        <f>IFERROR(__xludf.DUMMYFUNCTION("""COMPUTED_VALUE"""),"")</f>
        <v/>
      </c>
      <c r="I2291" s="2" t="str">
        <f>IFERROR(__xludf.DUMMYFUNCTION("""COMPUTED_VALUE"""),"")</f>
        <v/>
      </c>
      <c r="J2291" s="2">
        <f>IFERROR(__xludf.DUMMYFUNCTION("""COMPUTED_VALUE"""),0.0)</f>
        <v>0</v>
      </c>
      <c r="K2291" s="5" t="str">
        <f>IFERROR(__xludf.DUMMYFUNCTION("""COMPUTED_VALUE"""),"")</f>
        <v/>
      </c>
      <c r="L2291" t="str">
        <f>IFERROR(__xludf.DUMMYFUNCTION("""COMPUTED_VALUE"""),"")</f>
        <v/>
      </c>
      <c r="M2291" t="str">
        <f>IFERROR(__xludf.DUMMYFUNCTION("""COMPUTED_VALUE"""),"")</f>
        <v/>
      </c>
      <c r="N2291" t="str">
        <f>IFERROR(__xludf.DUMMYFUNCTION("""COMPUTED_VALUE"""),"")</f>
        <v/>
      </c>
      <c r="O2291" t="str">
        <f>IFERROR(__xludf.DUMMYFUNCTION("""COMPUTED_VALUE"""),"")</f>
        <v/>
      </c>
      <c r="P2291" t="str">
        <f>IFERROR(__xludf.DUMMYFUNCTION("""COMPUTED_VALUE"""),"ID ")</f>
        <v>ID </v>
      </c>
    </row>
    <row r="2292">
      <c r="A2292" s="6" t="str">
        <f>IFERROR(__xludf.DUMMYFUNCTION("""COMPUTED_VALUE"""),"")</f>
        <v/>
      </c>
      <c r="C2292" t="str">
        <f>IFERROR(__xludf.DUMMYFUNCTION("""COMPUTED_VALUE"""),"")</f>
        <v/>
      </c>
      <c r="D2292" t="str">
        <f>IFERROR(__xludf.DUMMYFUNCTION("""COMPUTED_VALUE"""),"")</f>
        <v/>
      </c>
      <c r="E2292" t="str">
        <f>IFERROR(__xludf.DUMMYFUNCTION("""COMPUTED_VALUE"""),"")</f>
        <v/>
      </c>
      <c r="F2292" t="str">
        <f>IFERROR(__xludf.DUMMYFUNCTION("""COMPUTED_VALUE"""),"")</f>
        <v/>
      </c>
      <c r="G2292" t="str">
        <f>IFERROR(__xludf.DUMMYFUNCTION("""COMPUTED_VALUE"""),"")</f>
        <v/>
      </c>
      <c r="H2292" s="2" t="str">
        <f>IFERROR(__xludf.DUMMYFUNCTION("""COMPUTED_VALUE"""),"")</f>
        <v/>
      </c>
      <c r="I2292" s="2" t="str">
        <f>IFERROR(__xludf.DUMMYFUNCTION("""COMPUTED_VALUE"""),"")</f>
        <v/>
      </c>
      <c r="J2292" s="2">
        <f>IFERROR(__xludf.DUMMYFUNCTION("""COMPUTED_VALUE"""),0.0)</f>
        <v>0</v>
      </c>
      <c r="K2292" s="5" t="str">
        <f>IFERROR(__xludf.DUMMYFUNCTION("""COMPUTED_VALUE"""),"")</f>
        <v/>
      </c>
      <c r="L2292" t="str">
        <f>IFERROR(__xludf.DUMMYFUNCTION("""COMPUTED_VALUE"""),"")</f>
        <v/>
      </c>
      <c r="M2292" t="str">
        <f>IFERROR(__xludf.DUMMYFUNCTION("""COMPUTED_VALUE"""),"")</f>
        <v/>
      </c>
      <c r="N2292" t="str">
        <f>IFERROR(__xludf.DUMMYFUNCTION("""COMPUTED_VALUE"""),"")</f>
        <v/>
      </c>
      <c r="O2292" t="str">
        <f>IFERROR(__xludf.DUMMYFUNCTION("""COMPUTED_VALUE"""),"")</f>
        <v/>
      </c>
      <c r="P2292" t="str">
        <f>IFERROR(__xludf.DUMMYFUNCTION("""COMPUTED_VALUE"""),"ID ")</f>
        <v>ID </v>
      </c>
    </row>
    <row r="2293">
      <c r="A2293" s="6" t="str">
        <f>IFERROR(__xludf.DUMMYFUNCTION("""COMPUTED_VALUE"""),"")</f>
        <v/>
      </c>
      <c r="C2293" t="str">
        <f>IFERROR(__xludf.DUMMYFUNCTION("""COMPUTED_VALUE"""),"")</f>
        <v/>
      </c>
      <c r="D2293" t="str">
        <f>IFERROR(__xludf.DUMMYFUNCTION("""COMPUTED_VALUE"""),"")</f>
        <v/>
      </c>
      <c r="E2293" t="str">
        <f>IFERROR(__xludf.DUMMYFUNCTION("""COMPUTED_VALUE"""),"")</f>
        <v/>
      </c>
      <c r="F2293" t="str">
        <f>IFERROR(__xludf.DUMMYFUNCTION("""COMPUTED_VALUE"""),"")</f>
        <v/>
      </c>
      <c r="G2293" t="str">
        <f>IFERROR(__xludf.DUMMYFUNCTION("""COMPUTED_VALUE"""),"")</f>
        <v/>
      </c>
      <c r="H2293" s="2" t="str">
        <f>IFERROR(__xludf.DUMMYFUNCTION("""COMPUTED_VALUE"""),"")</f>
        <v/>
      </c>
      <c r="I2293" s="2" t="str">
        <f>IFERROR(__xludf.DUMMYFUNCTION("""COMPUTED_VALUE"""),"")</f>
        <v/>
      </c>
      <c r="J2293" s="2">
        <f>IFERROR(__xludf.DUMMYFUNCTION("""COMPUTED_VALUE"""),0.0)</f>
        <v>0</v>
      </c>
      <c r="K2293" s="5" t="str">
        <f>IFERROR(__xludf.DUMMYFUNCTION("""COMPUTED_VALUE"""),"")</f>
        <v/>
      </c>
      <c r="L2293" t="str">
        <f>IFERROR(__xludf.DUMMYFUNCTION("""COMPUTED_VALUE"""),"")</f>
        <v/>
      </c>
      <c r="M2293" t="str">
        <f>IFERROR(__xludf.DUMMYFUNCTION("""COMPUTED_VALUE"""),"")</f>
        <v/>
      </c>
      <c r="N2293" t="str">
        <f>IFERROR(__xludf.DUMMYFUNCTION("""COMPUTED_VALUE"""),"")</f>
        <v/>
      </c>
      <c r="O2293" t="str">
        <f>IFERROR(__xludf.DUMMYFUNCTION("""COMPUTED_VALUE"""),"")</f>
        <v/>
      </c>
      <c r="P2293" t="str">
        <f>IFERROR(__xludf.DUMMYFUNCTION("""COMPUTED_VALUE"""),"ID ")</f>
        <v>ID </v>
      </c>
    </row>
    <row r="2294">
      <c r="A2294" s="6" t="str">
        <f>IFERROR(__xludf.DUMMYFUNCTION("""COMPUTED_VALUE"""),"")</f>
        <v/>
      </c>
      <c r="C2294" t="str">
        <f>IFERROR(__xludf.DUMMYFUNCTION("""COMPUTED_VALUE"""),"")</f>
        <v/>
      </c>
      <c r="D2294" t="str">
        <f>IFERROR(__xludf.DUMMYFUNCTION("""COMPUTED_VALUE"""),"")</f>
        <v/>
      </c>
      <c r="E2294" t="str">
        <f>IFERROR(__xludf.DUMMYFUNCTION("""COMPUTED_VALUE"""),"")</f>
        <v/>
      </c>
      <c r="F2294" t="str">
        <f>IFERROR(__xludf.DUMMYFUNCTION("""COMPUTED_VALUE"""),"")</f>
        <v/>
      </c>
      <c r="G2294" t="str">
        <f>IFERROR(__xludf.DUMMYFUNCTION("""COMPUTED_VALUE"""),"")</f>
        <v/>
      </c>
      <c r="H2294" s="2" t="str">
        <f>IFERROR(__xludf.DUMMYFUNCTION("""COMPUTED_VALUE"""),"")</f>
        <v/>
      </c>
      <c r="I2294" s="2" t="str">
        <f>IFERROR(__xludf.DUMMYFUNCTION("""COMPUTED_VALUE"""),"")</f>
        <v/>
      </c>
      <c r="J2294" s="2">
        <f>IFERROR(__xludf.DUMMYFUNCTION("""COMPUTED_VALUE"""),0.0)</f>
        <v>0</v>
      </c>
      <c r="K2294" s="5" t="str">
        <f>IFERROR(__xludf.DUMMYFUNCTION("""COMPUTED_VALUE"""),"")</f>
        <v/>
      </c>
      <c r="L2294" t="str">
        <f>IFERROR(__xludf.DUMMYFUNCTION("""COMPUTED_VALUE"""),"")</f>
        <v/>
      </c>
      <c r="M2294" t="str">
        <f>IFERROR(__xludf.DUMMYFUNCTION("""COMPUTED_VALUE"""),"")</f>
        <v/>
      </c>
      <c r="N2294" t="str">
        <f>IFERROR(__xludf.DUMMYFUNCTION("""COMPUTED_VALUE"""),"")</f>
        <v/>
      </c>
      <c r="O2294" t="str">
        <f>IFERROR(__xludf.DUMMYFUNCTION("""COMPUTED_VALUE"""),"")</f>
        <v/>
      </c>
      <c r="P2294" t="str">
        <f>IFERROR(__xludf.DUMMYFUNCTION("""COMPUTED_VALUE"""),"ID ")</f>
        <v>ID </v>
      </c>
    </row>
    <row r="2295">
      <c r="A2295" s="6" t="str">
        <f>IFERROR(__xludf.DUMMYFUNCTION("""COMPUTED_VALUE"""),"")</f>
        <v/>
      </c>
      <c r="C2295" t="str">
        <f>IFERROR(__xludf.DUMMYFUNCTION("""COMPUTED_VALUE"""),"")</f>
        <v/>
      </c>
      <c r="D2295" t="str">
        <f>IFERROR(__xludf.DUMMYFUNCTION("""COMPUTED_VALUE"""),"")</f>
        <v/>
      </c>
      <c r="E2295" t="str">
        <f>IFERROR(__xludf.DUMMYFUNCTION("""COMPUTED_VALUE"""),"")</f>
        <v/>
      </c>
      <c r="F2295" t="str">
        <f>IFERROR(__xludf.DUMMYFUNCTION("""COMPUTED_VALUE"""),"")</f>
        <v/>
      </c>
      <c r="G2295" t="str">
        <f>IFERROR(__xludf.DUMMYFUNCTION("""COMPUTED_VALUE"""),"")</f>
        <v/>
      </c>
      <c r="H2295" s="2" t="str">
        <f>IFERROR(__xludf.DUMMYFUNCTION("""COMPUTED_VALUE"""),"")</f>
        <v/>
      </c>
      <c r="I2295" s="2" t="str">
        <f>IFERROR(__xludf.DUMMYFUNCTION("""COMPUTED_VALUE"""),"")</f>
        <v/>
      </c>
      <c r="J2295" s="2">
        <f>IFERROR(__xludf.DUMMYFUNCTION("""COMPUTED_VALUE"""),0.0)</f>
        <v>0</v>
      </c>
      <c r="K2295" s="5" t="str">
        <f>IFERROR(__xludf.DUMMYFUNCTION("""COMPUTED_VALUE"""),"")</f>
        <v/>
      </c>
      <c r="L2295" t="str">
        <f>IFERROR(__xludf.DUMMYFUNCTION("""COMPUTED_VALUE"""),"")</f>
        <v/>
      </c>
      <c r="M2295" t="str">
        <f>IFERROR(__xludf.DUMMYFUNCTION("""COMPUTED_VALUE"""),"")</f>
        <v/>
      </c>
      <c r="N2295" t="str">
        <f>IFERROR(__xludf.DUMMYFUNCTION("""COMPUTED_VALUE"""),"")</f>
        <v/>
      </c>
      <c r="O2295" t="str">
        <f>IFERROR(__xludf.DUMMYFUNCTION("""COMPUTED_VALUE"""),"")</f>
        <v/>
      </c>
      <c r="P2295" t="str">
        <f>IFERROR(__xludf.DUMMYFUNCTION("""COMPUTED_VALUE"""),"ID ")</f>
        <v>ID </v>
      </c>
    </row>
    <row r="2296">
      <c r="A2296" s="6" t="str">
        <f>IFERROR(__xludf.DUMMYFUNCTION("""COMPUTED_VALUE"""),"")</f>
        <v/>
      </c>
      <c r="C2296" t="str">
        <f>IFERROR(__xludf.DUMMYFUNCTION("""COMPUTED_VALUE"""),"")</f>
        <v/>
      </c>
      <c r="D2296" t="str">
        <f>IFERROR(__xludf.DUMMYFUNCTION("""COMPUTED_VALUE"""),"")</f>
        <v/>
      </c>
      <c r="E2296" t="str">
        <f>IFERROR(__xludf.DUMMYFUNCTION("""COMPUTED_VALUE"""),"")</f>
        <v/>
      </c>
      <c r="F2296" t="str">
        <f>IFERROR(__xludf.DUMMYFUNCTION("""COMPUTED_VALUE"""),"")</f>
        <v/>
      </c>
      <c r="G2296" t="str">
        <f>IFERROR(__xludf.DUMMYFUNCTION("""COMPUTED_VALUE"""),"")</f>
        <v/>
      </c>
      <c r="H2296" s="2" t="str">
        <f>IFERROR(__xludf.DUMMYFUNCTION("""COMPUTED_VALUE"""),"")</f>
        <v/>
      </c>
      <c r="I2296" s="2" t="str">
        <f>IFERROR(__xludf.DUMMYFUNCTION("""COMPUTED_VALUE"""),"")</f>
        <v/>
      </c>
      <c r="J2296" s="2">
        <f>IFERROR(__xludf.DUMMYFUNCTION("""COMPUTED_VALUE"""),0.0)</f>
        <v>0</v>
      </c>
      <c r="K2296" s="5" t="str">
        <f>IFERROR(__xludf.DUMMYFUNCTION("""COMPUTED_VALUE"""),"")</f>
        <v/>
      </c>
      <c r="L2296" t="str">
        <f>IFERROR(__xludf.DUMMYFUNCTION("""COMPUTED_VALUE"""),"")</f>
        <v/>
      </c>
      <c r="M2296" t="str">
        <f>IFERROR(__xludf.DUMMYFUNCTION("""COMPUTED_VALUE"""),"")</f>
        <v/>
      </c>
      <c r="N2296" t="str">
        <f>IFERROR(__xludf.DUMMYFUNCTION("""COMPUTED_VALUE"""),"")</f>
        <v/>
      </c>
      <c r="O2296" t="str">
        <f>IFERROR(__xludf.DUMMYFUNCTION("""COMPUTED_VALUE"""),"")</f>
        <v/>
      </c>
      <c r="P2296" t="str">
        <f>IFERROR(__xludf.DUMMYFUNCTION("""COMPUTED_VALUE"""),"ID ")</f>
        <v>ID </v>
      </c>
    </row>
    <row r="2297">
      <c r="A2297" s="6" t="str">
        <f>IFERROR(__xludf.DUMMYFUNCTION("""COMPUTED_VALUE"""),"")</f>
        <v/>
      </c>
      <c r="C2297" t="str">
        <f>IFERROR(__xludf.DUMMYFUNCTION("""COMPUTED_VALUE"""),"")</f>
        <v/>
      </c>
      <c r="D2297" t="str">
        <f>IFERROR(__xludf.DUMMYFUNCTION("""COMPUTED_VALUE"""),"")</f>
        <v/>
      </c>
      <c r="E2297" t="str">
        <f>IFERROR(__xludf.DUMMYFUNCTION("""COMPUTED_VALUE"""),"")</f>
        <v/>
      </c>
      <c r="F2297" t="str">
        <f>IFERROR(__xludf.DUMMYFUNCTION("""COMPUTED_VALUE"""),"")</f>
        <v/>
      </c>
      <c r="G2297" t="str">
        <f>IFERROR(__xludf.DUMMYFUNCTION("""COMPUTED_VALUE"""),"")</f>
        <v/>
      </c>
      <c r="H2297" s="2" t="str">
        <f>IFERROR(__xludf.DUMMYFUNCTION("""COMPUTED_VALUE"""),"")</f>
        <v/>
      </c>
      <c r="I2297" s="2" t="str">
        <f>IFERROR(__xludf.DUMMYFUNCTION("""COMPUTED_VALUE"""),"")</f>
        <v/>
      </c>
      <c r="J2297" s="2">
        <f>IFERROR(__xludf.DUMMYFUNCTION("""COMPUTED_VALUE"""),0.0)</f>
        <v>0</v>
      </c>
      <c r="K2297" s="5" t="str">
        <f>IFERROR(__xludf.DUMMYFUNCTION("""COMPUTED_VALUE"""),"")</f>
        <v/>
      </c>
      <c r="L2297" t="str">
        <f>IFERROR(__xludf.DUMMYFUNCTION("""COMPUTED_VALUE"""),"")</f>
        <v/>
      </c>
      <c r="M2297" t="str">
        <f>IFERROR(__xludf.DUMMYFUNCTION("""COMPUTED_VALUE"""),"")</f>
        <v/>
      </c>
      <c r="N2297" t="str">
        <f>IFERROR(__xludf.DUMMYFUNCTION("""COMPUTED_VALUE"""),"")</f>
        <v/>
      </c>
      <c r="O2297" t="str">
        <f>IFERROR(__xludf.DUMMYFUNCTION("""COMPUTED_VALUE"""),"")</f>
        <v/>
      </c>
      <c r="P2297" t="str">
        <f>IFERROR(__xludf.DUMMYFUNCTION("""COMPUTED_VALUE"""),"ID ")</f>
        <v>ID </v>
      </c>
    </row>
    <row r="2298">
      <c r="A2298" s="6" t="str">
        <f>IFERROR(__xludf.DUMMYFUNCTION("""COMPUTED_VALUE"""),"")</f>
        <v/>
      </c>
      <c r="C2298" t="str">
        <f>IFERROR(__xludf.DUMMYFUNCTION("""COMPUTED_VALUE"""),"")</f>
        <v/>
      </c>
      <c r="D2298" t="str">
        <f>IFERROR(__xludf.DUMMYFUNCTION("""COMPUTED_VALUE"""),"")</f>
        <v/>
      </c>
      <c r="E2298" t="str">
        <f>IFERROR(__xludf.DUMMYFUNCTION("""COMPUTED_VALUE"""),"")</f>
        <v/>
      </c>
      <c r="F2298" t="str">
        <f>IFERROR(__xludf.DUMMYFUNCTION("""COMPUTED_VALUE"""),"")</f>
        <v/>
      </c>
      <c r="G2298" t="str">
        <f>IFERROR(__xludf.DUMMYFUNCTION("""COMPUTED_VALUE"""),"")</f>
        <v/>
      </c>
      <c r="H2298" s="2" t="str">
        <f>IFERROR(__xludf.DUMMYFUNCTION("""COMPUTED_VALUE"""),"")</f>
        <v/>
      </c>
      <c r="I2298" s="2" t="str">
        <f>IFERROR(__xludf.DUMMYFUNCTION("""COMPUTED_VALUE"""),"")</f>
        <v/>
      </c>
      <c r="J2298" s="2">
        <f>IFERROR(__xludf.DUMMYFUNCTION("""COMPUTED_VALUE"""),0.0)</f>
        <v>0</v>
      </c>
      <c r="K2298" s="5" t="str">
        <f>IFERROR(__xludf.DUMMYFUNCTION("""COMPUTED_VALUE"""),"")</f>
        <v/>
      </c>
      <c r="L2298" t="str">
        <f>IFERROR(__xludf.DUMMYFUNCTION("""COMPUTED_VALUE"""),"")</f>
        <v/>
      </c>
      <c r="M2298" t="str">
        <f>IFERROR(__xludf.DUMMYFUNCTION("""COMPUTED_VALUE"""),"")</f>
        <v/>
      </c>
      <c r="N2298" t="str">
        <f>IFERROR(__xludf.DUMMYFUNCTION("""COMPUTED_VALUE"""),"")</f>
        <v/>
      </c>
      <c r="O2298" t="str">
        <f>IFERROR(__xludf.DUMMYFUNCTION("""COMPUTED_VALUE"""),"")</f>
        <v/>
      </c>
      <c r="P2298" t="str">
        <f>IFERROR(__xludf.DUMMYFUNCTION("""COMPUTED_VALUE"""),"ID ")</f>
        <v>ID </v>
      </c>
    </row>
    <row r="2299">
      <c r="A2299" s="6" t="str">
        <f>IFERROR(__xludf.DUMMYFUNCTION("""COMPUTED_VALUE"""),"")</f>
        <v/>
      </c>
      <c r="C2299" t="str">
        <f>IFERROR(__xludf.DUMMYFUNCTION("""COMPUTED_VALUE"""),"")</f>
        <v/>
      </c>
      <c r="D2299" t="str">
        <f>IFERROR(__xludf.DUMMYFUNCTION("""COMPUTED_VALUE"""),"")</f>
        <v/>
      </c>
      <c r="E2299" t="str">
        <f>IFERROR(__xludf.DUMMYFUNCTION("""COMPUTED_VALUE"""),"")</f>
        <v/>
      </c>
      <c r="F2299" t="str">
        <f>IFERROR(__xludf.DUMMYFUNCTION("""COMPUTED_VALUE"""),"")</f>
        <v/>
      </c>
      <c r="G2299" t="str">
        <f>IFERROR(__xludf.DUMMYFUNCTION("""COMPUTED_VALUE"""),"")</f>
        <v/>
      </c>
      <c r="H2299" s="2" t="str">
        <f>IFERROR(__xludf.DUMMYFUNCTION("""COMPUTED_VALUE"""),"")</f>
        <v/>
      </c>
      <c r="I2299" s="2" t="str">
        <f>IFERROR(__xludf.DUMMYFUNCTION("""COMPUTED_VALUE"""),"")</f>
        <v/>
      </c>
      <c r="J2299" s="2">
        <f>IFERROR(__xludf.DUMMYFUNCTION("""COMPUTED_VALUE"""),0.0)</f>
        <v>0</v>
      </c>
      <c r="K2299" s="5" t="str">
        <f>IFERROR(__xludf.DUMMYFUNCTION("""COMPUTED_VALUE"""),"")</f>
        <v/>
      </c>
      <c r="L2299" t="str">
        <f>IFERROR(__xludf.DUMMYFUNCTION("""COMPUTED_VALUE"""),"")</f>
        <v/>
      </c>
      <c r="M2299" t="str">
        <f>IFERROR(__xludf.DUMMYFUNCTION("""COMPUTED_VALUE"""),"")</f>
        <v/>
      </c>
      <c r="N2299" t="str">
        <f>IFERROR(__xludf.DUMMYFUNCTION("""COMPUTED_VALUE"""),"")</f>
        <v/>
      </c>
      <c r="O2299" t="str">
        <f>IFERROR(__xludf.DUMMYFUNCTION("""COMPUTED_VALUE"""),"")</f>
        <v/>
      </c>
      <c r="P2299" t="str">
        <f>IFERROR(__xludf.DUMMYFUNCTION("""COMPUTED_VALUE"""),"ID ")</f>
        <v>ID </v>
      </c>
    </row>
    <row r="2300">
      <c r="A2300" s="6" t="str">
        <f>IFERROR(__xludf.DUMMYFUNCTION("""COMPUTED_VALUE"""),"")</f>
        <v/>
      </c>
      <c r="C2300" t="str">
        <f>IFERROR(__xludf.DUMMYFUNCTION("""COMPUTED_VALUE"""),"")</f>
        <v/>
      </c>
      <c r="D2300" t="str">
        <f>IFERROR(__xludf.DUMMYFUNCTION("""COMPUTED_VALUE"""),"")</f>
        <v/>
      </c>
      <c r="E2300" t="str">
        <f>IFERROR(__xludf.DUMMYFUNCTION("""COMPUTED_VALUE"""),"")</f>
        <v/>
      </c>
      <c r="F2300" t="str">
        <f>IFERROR(__xludf.DUMMYFUNCTION("""COMPUTED_VALUE"""),"")</f>
        <v/>
      </c>
      <c r="G2300" t="str">
        <f>IFERROR(__xludf.DUMMYFUNCTION("""COMPUTED_VALUE"""),"")</f>
        <v/>
      </c>
      <c r="H2300" s="2" t="str">
        <f>IFERROR(__xludf.DUMMYFUNCTION("""COMPUTED_VALUE"""),"")</f>
        <v/>
      </c>
      <c r="I2300" s="2" t="str">
        <f>IFERROR(__xludf.DUMMYFUNCTION("""COMPUTED_VALUE"""),"")</f>
        <v/>
      </c>
      <c r="J2300" s="2">
        <f>IFERROR(__xludf.DUMMYFUNCTION("""COMPUTED_VALUE"""),0.0)</f>
        <v>0</v>
      </c>
      <c r="K2300" s="5" t="str">
        <f>IFERROR(__xludf.DUMMYFUNCTION("""COMPUTED_VALUE"""),"")</f>
        <v/>
      </c>
      <c r="L2300" t="str">
        <f>IFERROR(__xludf.DUMMYFUNCTION("""COMPUTED_VALUE"""),"")</f>
        <v/>
      </c>
      <c r="M2300" t="str">
        <f>IFERROR(__xludf.DUMMYFUNCTION("""COMPUTED_VALUE"""),"")</f>
        <v/>
      </c>
      <c r="N2300" t="str">
        <f>IFERROR(__xludf.DUMMYFUNCTION("""COMPUTED_VALUE"""),"")</f>
        <v/>
      </c>
      <c r="O2300" t="str">
        <f>IFERROR(__xludf.DUMMYFUNCTION("""COMPUTED_VALUE"""),"")</f>
        <v/>
      </c>
      <c r="P2300" t="str">
        <f>IFERROR(__xludf.DUMMYFUNCTION("""COMPUTED_VALUE"""),"ID ")</f>
        <v>ID </v>
      </c>
    </row>
    <row r="2301">
      <c r="A2301" s="6" t="str">
        <f>IFERROR(__xludf.DUMMYFUNCTION("""COMPUTED_VALUE"""),"")</f>
        <v/>
      </c>
      <c r="C2301" t="str">
        <f>IFERROR(__xludf.DUMMYFUNCTION("""COMPUTED_VALUE"""),"")</f>
        <v/>
      </c>
      <c r="D2301" t="str">
        <f>IFERROR(__xludf.DUMMYFUNCTION("""COMPUTED_VALUE"""),"")</f>
        <v/>
      </c>
      <c r="E2301" t="str">
        <f>IFERROR(__xludf.DUMMYFUNCTION("""COMPUTED_VALUE"""),"")</f>
        <v/>
      </c>
      <c r="F2301" t="str">
        <f>IFERROR(__xludf.DUMMYFUNCTION("""COMPUTED_VALUE"""),"")</f>
        <v/>
      </c>
      <c r="G2301" t="str">
        <f>IFERROR(__xludf.DUMMYFUNCTION("""COMPUTED_VALUE"""),"")</f>
        <v/>
      </c>
      <c r="H2301" s="2" t="str">
        <f>IFERROR(__xludf.DUMMYFUNCTION("""COMPUTED_VALUE"""),"")</f>
        <v/>
      </c>
      <c r="I2301" s="2" t="str">
        <f>IFERROR(__xludf.DUMMYFUNCTION("""COMPUTED_VALUE"""),"")</f>
        <v/>
      </c>
      <c r="J2301" s="2">
        <f>IFERROR(__xludf.DUMMYFUNCTION("""COMPUTED_VALUE"""),0.0)</f>
        <v>0</v>
      </c>
      <c r="K2301" s="5" t="str">
        <f>IFERROR(__xludf.DUMMYFUNCTION("""COMPUTED_VALUE"""),"")</f>
        <v/>
      </c>
      <c r="L2301" t="str">
        <f>IFERROR(__xludf.DUMMYFUNCTION("""COMPUTED_VALUE"""),"")</f>
        <v/>
      </c>
      <c r="M2301" t="str">
        <f>IFERROR(__xludf.DUMMYFUNCTION("""COMPUTED_VALUE"""),"")</f>
        <v/>
      </c>
      <c r="N2301" t="str">
        <f>IFERROR(__xludf.DUMMYFUNCTION("""COMPUTED_VALUE"""),"")</f>
        <v/>
      </c>
      <c r="O2301" t="str">
        <f>IFERROR(__xludf.DUMMYFUNCTION("""COMPUTED_VALUE"""),"")</f>
        <v/>
      </c>
      <c r="P2301" t="str">
        <f>IFERROR(__xludf.DUMMYFUNCTION("""COMPUTED_VALUE"""),"ID ")</f>
        <v>ID </v>
      </c>
    </row>
    <row r="2302">
      <c r="A2302" s="6" t="str">
        <f>IFERROR(__xludf.DUMMYFUNCTION("""COMPUTED_VALUE"""),"")</f>
        <v/>
      </c>
      <c r="C2302" t="str">
        <f>IFERROR(__xludf.DUMMYFUNCTION("""COMPUTED_VALUE"""),"")</f>
        <v/>
      </c>
      <c r="D2302" t="str">
        <f>IFERROR(__xludf.DUMMYFUNCTION("""COMPUTED_VALUE"""),"")</f>
        <v/>
      </c>
      <c r="E2302" t="str">
        <f>IFERROR(__xludf.DUMMYFUNCTION("""COMPUTED_VALUE"""),"")</f>
        <v/>
      </c>
      <c r="F2302" t="str">
        <f>IFERROR(__xludf.DUMMYFUNCTION("""COMPUTED_VALUE"""),"")</f>
        <v/>
      </c>
      <c r="G2302" t="str">
        <f>IFERROR(__xludf.DUMMYFUNCTION("""COMPUTED_VALUE"""),"")</f>
        <v/>
      </c>
      <c r="H2302" s="2" t="str">
        <f>IFERROR(__xludf.DUMMYFUNCTION("""COMPUTED_VALUE"""),"")</f>
        <v/>
      </c>
      <c r="I2302" s="2" t="str">
        <f>IFERROR(__xludf.DUMMYFUNCTION("""COMPUTED_VALUE"""),"")</f>
        <v/>
      </c>
      <c r="J2302" s="2">
        <f>IFERROR(__xludf.DUMMYFUNCTION("""COMPUTED_VALUE"""),0.0)</f>
        <v>0</v>
      </c>
      <c r="K2302" s="5" t="str">
        <f>IFERROR(__xludf.DUMMYFUNCTION("""COMPUTED_VALUE"""),"")</f>
        <v/>
      </c>
      <c r="L2302" t="str">
        <f>IFERROR(__xludf.DUMMYFUNCTION("""COMPUTED_VALUE"""),"")</f>
        <v/>
      </c>
      <c r="M2302" t="str">
        <f>IFERROR(__xludf.DUMMYFUNCTION("""COMPUTED_VALUE"""),"")</f>
        <v/>
      </c>
      <c r="N2302" t="str">
        <f>IFERROR(__xludf.DUMMYFUNCTION("""COMPUTED_VALUE"""),"")</f>
        <v/>
      </c>
      <c r="O2302" t="str">
        <f>IFERROR(__xludf.DUMMYFUNCTION("""COMPUTED_VALUE"""),"")</f>
        <v/>
      </c>
      <c r="P2302" t="str">
        <f>IFERROR(__xludf.DUMMYFUNCTION("""COMPUTED_VALUE"""),"ID ")</f>
        <v>ID </v>
      </c>
    </row>
    <row r="2303">
      <c r="A2303" s="6" t="str">
        <f>IFERROR(__xludf.DUMMYFUNCTION("""COMPUTED_VALUE"""),"")</f>
        <v/>
      </c>
      <c r="C2303" t="str">
        <f>IFERROR(__xludf.DUMMYFUNCTION("""COMPUTED_VALUE"""),"")</f>
        <v/>
      </c>
      <c r="D2303" t="str">
        <f>IFERROR(__xludf.DUMMYFUNCTION("""COMPUTED_VALUE"""),"")</f>
        <v/>
      </c>
      <c r="E2303" t="str">
        <f>IFERROR(__xludf.DUMMYFUNCTION("""COMPUTED_VALUE"""),"")</f>
        <v/>
      </c>
      <c r="F2303" t="str">
        <f>IFERROR(__xludf.DUMMYFUNCTION("""COMPUTED_VALUE"""),"")</f>
        <v/>
      </c>
      <c r="G2303" t="str">
        <f>IFERROR(__xludf.DUMMYFUNCTION("""COMPUTED_VALUE"""),"")</f>
        <v/>
      </c>
      <c r="H2303" s="2" t="str">
        <f>IFERROR(__xludf.DUMMYFUNCTION("""COMPUTED_VALUE"""),"")</f>
        <v/>
      </c>
      <c r="I2303" s="2" t="str">
        <f>IFERROR(__xludf.DUMMYFUNCTION("""COMPUTED_VALUE"""),"")</f>
        <v/>
      </c>
      <c r="J2303" s="2">
        <f>IFERROR(__xludf.DUMMYFUNCTION("""COMPUTED_VALUE"""),0.0)</f>
        <v>0</v>
      </c>
      <c r="K2303" s="5" t="str">
        <f>IFERROR(__xludf.DUMMYFUNCTION("""COMPUTED_VALUE"""),"")</f>
        <v/>
      </c>
      <c r="L2303" t="str">
        <f>IFERROR(__xludf.DUMMYFUNCTION("""COMPUTED_VALUE"""),"")</f>
        <v/>
      </c>
      <c r="M2303" t="str">
        <f>IFERROR(__xludf.DUMMYFUNCTION("""COMPUTED_VALUE"""),"")</f>
        <v/>
      </c>
      <c r="N2303" t="str">
        <f>IFERROR(__xludf.DUMMYFUNCTION("""COMPUTED_VALUE"""),"")</f>
        <v/>
      </c>
      <c r="O2303" t="str">
        <f>IFERROR(__xludf.DUMMYFUNCTION("""COMPUTED_VALUE"""),"")</f>
        <v/>
      </c>
      <c r="P2303" t="str">
        <f>IFERROR(__xludf.DUMMYFUNCTION("""COMPUTED_VALUE"""),"ID ")</f>
        <v>ID </v>
      </c>
    </row>
    <row r="2304">
      <c r="A2304" s="6" t="str">
        <f>IFERROR(__xludf.DUMMYFUNCTION("""COMPUTED_VALUE"""),"")</f>
        <v/>
      </c>
      <c r="C2304" t="str">
        <f>IFERROR(__xludf.DUMMYFUNCTION("""COMPUTED_VALUE"""),"")</f>
        <v/>
      </c>
      <c r="D2304" t="str">
        <f>IFERROR(__xludf.DUMMYFUNCTION("""COMPUTED_VALUE"""),"")</f>
        <v/>
      </c>
      <c r="E2304" t="str">
        <f>IFERROR(__xludf.DUMMYFUNCTION("""COMPUTED_VALUE"""),"")</f>
        <v/>
      </c>
      <c r="F2304" t="str">
        <f>IFERROR(__xludf.DUMMYFUNCTION("""COMPUTED_VALUE"""),"")</f>
        <v/>
      </c>
      <c r="G2304" t="str">
        <f>IFERROR(__xludf.DUMMYFUNCTION("""COMPUTED_VALUE"""),"")</f>
        <v/>
      </c>
      <c r="H2304" s="2" t="str">
        <f>IFERROR(__xludf.DUMMYFUNCTION("""COMPUTED_VALUE"""),"")</f>
        <v/>
      </c>
      <c r="I2304" s="2" t="str">
        <f>IFERROR(__xludf.DUMMYFUNCTION("""COMPUTED_VALUE"""),"")</f>
        <v/>
      </c>
      <c r="J2304" s="2">
        <f>IFERROR(__xludf.DUMMYFUNCTION("""COMPUTED_VALUE"""),0.0)</f>
        <v>0</v>
      </c>
      <c r="K2304" s="5" t="str">
        <f>IFERROR(__xludf.DUMMYFUNCTION("""COMPUTED_VALUE"""),"")</f>
        <v/>
      </c>
      <c r="L2304" t="str">
        <f>IFERROR(__xludf.DUMMYFUNCTION("""COMPUTED_VALUE"""),"")</f>
        <v/>
      </c>
      <c r="M2304" t="str">
        <f>IFERROR(__xludf.DUMMYFUNCTION("""COMPUTED_VALUE"""),"")</f>
        <v/>
      </c>
      <c r="N2304" t="str">
        <f>IFERROR(__xludf.DUMMYFUNCTION("""COMPUTED_VALUE"""),"")</f>
        <v/>
      </c>
      <c r="O2304" t="str">
        <f>IFERROR(__xludf.DUMMYFUNCTION("""COMPUTED_VALUE"""),"")</f>
        <v/>
      </c>
      <c r="P2304" t="str">
        <f>IFERROR(__xludf.DUMMYFUNCTION("""COMPUTED_VALUE"""),"ID ")</f>
        <v>ID </v>
      </c>
    </row>
    <row r="2305">
      <c r="A2305" s="6" t="str">
        <f>IFERROR(__xludf.DUMMYFUNCTION("""COMPUTED_VALUE"""),"")</f>
        <v/>
      </c>
      <c r="C2305" t="str">
        <f>IFERROR(__xludf.DUMMYFUNCTION("""COMPUTED_VALUE"""),"")</f>
        <v/>
      </c>
      <c r="D2305" t="str">
        <f>IFERROR(__xludf.DUMMYFUNCTION("""COMPUTED_VALUE"""),"")</f>
        <v/>
      </c>
      <c r="E2305" t="str">
        <f>IFERROR(__xludf.DUMMYFUNCTION("""COMPUTED_VALUE"""),"")</f>
        <v/>
      </c>
      <c r="F2305" t="str">
        <f>IFERROR(__xludf.DUMMYFUNCTION("""COMPUTED_VALUE"""),"")</f>
        <v/>
      </c>
      <c r="G2305" t="str">
        <f>IFERROR(__xludf.DUMMYFUNCTION("""COMPUTED_VALUE"""),"")</f>
        <v/>
      </c>
      <c r="H2305" s="2" t="str">
        <f>IFERROR(__xludf.DUMMYFUNCTION("""COMPUTED_VALUE"""),"")</f>
        <v/>
      </c>
      <c r="I2305" s="2" t="str">
        <f>IFERROR(__xludf.DUMMYFUNCTION("""COMPUTED_VALUE"""),"")</f>
        <v/>
      </c>
      <c r="J2305" s="2">
        <f>IFERROR(__xludf.DUMMYFUNCTION("""COMPUTED_VALUE"""),0.0)</f>
        <v>0</v>
      </c>
      <c r="K2305" s="5" t="str">
        <f>IFERROR(__xludf.DUMMYFUNCTION("""COMPUTED_VALUE"""),"")</f>
        <v/>
      </c>
      <c r="L2305" t="str">
        <f>IFERROR(__xludf.DUMMYFUNCTION("""COMPUTED_VALUE"""),"")</f>
        <v/>
      </c>
      <c r="M2305" t="str">
        <f>IFERROR(__xludf.DUMMYFUNCTION("""COMPUTED_VALUE"""),"")</f>
        <v/>
      </c>
      <c r="N2305" t="str">
        <f>IFERROR(__xludf.DUMMYFUNCTION("""COMPUTED_VALUE"""),"")</f>
        <v/>
      </c>
      <c r="O2305" t="str">
        <f>IFERROR(__xludf.DUMMYFUNCTION("""COMPUTED_VALUE"""),"")</f>
        <v/>
      </c>
      <c r="P2305" t="str">
        <f>IFERROR(__xludf.DUMMYFUNCTION("""COMPUTED_VALUE"""),"ID ")</f>
        <v>ID </v>
      </c>
    </row>
    <row r="2306">
      <c r="A2306" s="6" t="str">
        <f>IFERROR(__xludf.DUMMYFUNCTION("""COMPUTED_VALUE"""),"")</f>
        <v/>
      </c>
      <c r="C2306" t="str">
        <f>IFERROR(__xludf.DUMMYFUNCTION("""COMPUTED_VALUE"""),"")</f>
        <v/>
      </c>
      <c r="D2306" t="str">
        <f>IFERROR(__xludf.DUMMYFUNCTION("""COMPUTED_VALUE"""),"")</f>
        <v/>
      </c>
      <c r="E2306" t="str">
        <f>IFERROR(__xludf.DUMMYFUNCTION("""COMPUTED_VALUE"""),"")</f>
        <v/>
      </c>
      <c r="F2306" t="str">
        <f>IFERROR(__xludf.DUMMYFUNCTION("""COMPUTED_VALUE"""),"")</f>
        <v/>
      </c>
      <c r="G2306" t="str">
        <f>IFERROR(__xludf.DUMMYFUNCTION("""COMPUTED_VALUE"""),"")</f>
        <v/>
      </c>
      <c r="H2306" s="2" t="str">
        <f>IFERROR(__xludf.DUMMYFUNCTION("""COMPUTED_VALUE"""),"")</f>
        <v/>
      </c>
      <c r="I2306" s="2" t="str">
        <f>IFERROR(__xludf.DUMMYFUNCTION("""COMPUTED_VALUE"""),"")</f>
        <v/>
      </c>
      <c r="J2306" s="2">
        <f>IFERROR(__xludf.DUMMYFUNCTION("""COMPUTED_VALUE"""),0.0)</f>
        <v>0</v>
      </c>
      <c r="K2306" s="5" t="str">
        <f>IFERROR(__xludf.DUMMYFUNCTION("""COMPUTED_VALUE"""),"")</f>
        <v/>
      </c>
      <c r="L2306" t="str">
        <f>IFERROR(__xludf.DUMMYFUNCTION("""COMPUTED_VALUE"""),"")</f>
        <v/>
      </c>
      <c r="M2306" t="str">
        <f>IFERROR(__xludf.DUMMYFUNCTION("""COMPUTED_VALUE"""),"")</f>
        <v/>
      </c>
      <c r="N2306" t="str">
        <f>IFERROR(__xludf.DUMMYFUNCTION("""COMPUTED_VALUE"""),"")</f>
        <v/>
      </c>
      <c r="O2306" t="str">
        <f>IFERROR(__xludf.DUMMYFUNCTION("""COMPUTED_VALUE"""),"")</f>
        <v/>
      </c>
      <c r="P2306" t="str">
        <f>IFERROR(__xludf.DUMMYFUNCTION("""COMPUTED_VALUE"""),"ID ")</f>
        <v>ID </v>
      </c>
    </row>
    <row r="2307">
      <c r="A2307" s="6" t="str">
        <f>IFERROR(__xludf.DUMMYFUNCTION("""COMPUTED_VALUE"""),"")</f>
        <v/>
      </c>
      <c r="C2307" t="str">
        <f>IFERROR(__xludf.DUMMYFUNCTION("""COMPUTED_VALUE"""),"")</f>
        <v/>
      </c>
      <c r="D2307" t="str">
        <f>IFERROR(__xludf.DUMMYFUNCTION("""COMPUTED_VALUE"""),"")</f>
        <v/>
      </c>
      <c r="E2307" t="str">
        <f>IFERROR(__xludf.DUMMYFUNCTION("""COMPUTED_VALUE"""),"")</f>
        <v/>
      </c>
      <c r="F2307" t="str">
        <f>IFERROR(__xludf.DUMMYFUNCTION("""COMPUTED_VALUE"""),"")</f>
        <v/>
      </c>
      <c r="G2307" t="str">
        <f>IFERROR(__xludf.DUMMYFUNCTION("""COMPUTED_VALUE"""),"")</f>
        <v/>
      </c>
      <c r="H2307" s="2" t="str">
        <f>IFERROR(__xludf.DUMMYFUNCTION("""COMPUTED_VALUE"""),"")</f>
        <v/>
      </c>
      <c r="I2307" s="2" t="str">
        <f>IFERROR(__xludf.DUMMYFUNCTION("""COMPUTED_VALUE"""),"")</f>
        <v/>
      </c>
      <c r="J2307" s="2">
        <f>IFERROR(__xludf.DUMMYFUNCTION("""COMPUTED_VALUE"""),0.0)</f>
        <v>0</v>
      </c>
      <c r="K2307" s="5" t="str">
        <f>IFERROR(__xludf.DUMMYFUNCTION("""COMPUTED_VALUE"""),"")</f>
        <v/>
      </c>
      <c r="L2307" t="str">
        <f>IFERROR(__xludf.DUMMYFUNCTION("""COMPUTED_VALUE"""),"")</f>
        <v/>
      </c>
      <c r="M2307" t="str">
        <f>IFERROR(__xludf.DUMMYFUNCTION("""COMPUTED_VALUE"""),"")</f>
        <v/>
      </c>
      <c r="N2307" t="str">
        <f>IFERROR(__xludf.DUMMYFUNCTION("""COMPUTED_VALUE"""),"")</f>
        <v/>
      </c>
      <c r="O2307" t="str">
        <f>IFERROR(__xludf.DUMMYFUNCTION("""COMPUTED_VALUE"""),"")</f>
        <v/>
      </c>
      <c r="P2307" t="str">
        <f>IFERROR(__xludf.DUMMYFUNCTION("""COMPUTED_VALUE"""),"ID ")</f>
        <v>ID </v>
      </c>
    </row>
    <row r="2308">
      <c r="A2308" s="6" t="str">
        <f>IFERROR(__xludf.DUMMYFUNCTION("""COMPUTED_VALUE"""),"")</f>
        <v/>
      </c>
      <c r="C2308" t="str">
        <f>IFERROR(__xludf.DUMMYFUNCTION("""COMPUTED_VALUE"""),"")</f>
        <v/>
      </c>
      <c r="D2308" t="str">
        <f>IFERROR(__xludf.DUMMYFUNCTION("""COMPUTED_VALUE"""),"")</f>
        <v/>
      </c>
      <c r="E2308" t="str">
        <f>IFERROR(__xludf.DUMMYFUNCTION("""COMPUTED_VALUE"""),"")</f>
        <v/>
      </c>
      <c r="F2308" t="str">
        <f>IFERROR(__xludf.DUMMYFUNCTION("""COMPUTED_VALUE"""),"")</f>
        <v/>
      </c>
      <c r="G2308" t="str">
        <f>IFERROR(__xludf.DUMMYFUNCTION("""COMPUTED_VALUE"""),"")</f>
        <v/>
      </c>
      <c r="H2308" s="2" t="str">
        <f>IFERROR(__xludf.DUMMYFUNCTION("""COMPUTED_VALUE"""),"")</f>
        <v/>
      </c>
      <c r="I2308" s="2" t="str">
        <f>IFERROR(__xludf.DUMMYFUNCTION("""COMPUTED_VALUE"""),"")</f>
        <v/>
      </c>
      <c r="J2308" s="2">
        <f>IFERROR(__xludf.DUMMYFUNCTION("""COMPUTED_VALUE"""),0.0)</f>
        <v>0</v>
      </c>
      <c r="K2308" s="5" t="str">
        <f>IFERROR(__xludf.DUMMYFUNCTION("""COMPUTED_VALUE"""),"")</f>
        <v/>
      </c>
      <c r="L2308" t="str">
        <f>IFERROR(__xludf.DUMMYFUNCTION("""COMPUTED_VALUE"""),"")</f>
        <v/>
      </c>
      <c r="M2308" t="str">
        <f>IFERROR(__xludf.DUMMYFUNCTION("""COMPUTED_VALUE"""),"")</f>
        <v/>
      </c>
      <c r="N2308" t="str">
        <f>IFERROR(__xludf.DUMMYFUNCTION("""COMPUTED_VALUE"""),"")</f>
        <v/>
      </c>
      <c r="O2308" t="str">
        <f>IFERROR(__xludf.DUMMYFUNCTION("""COMPUTED_VALUE"""),"")</f>
        <v/>
      </c>
      <c r="P2308" t="str">
        <f>IFERROR(__xludf.DUMMYFUNCTION("""COMPUTED_VALUE"""),"ID ")</f>
        <v>ID </v>
      </c>
    </row>
    <row r="2309">
      <c r="A2309" s="6" t="str">
        <f>IFERROR(__xludf.DUMMYFUNCTION("""COMPUTED_VALUE"""),"")</f>
        <v/>
      </c>
      <c r="C2309" t="str">
        <f>IFERROR(__xludf.DUMMYFUNCTION("""COMPUTED_VALUE"""),"")</f>
        <v/>
      </c>
      <c r="D2309" t="str">
        <f>IFERROR(__xludf.DUMMYFUNCTION("""COMPUTED_VALUE"""),"")</f>
        <v/>
      </c>
      <c r="E2309" t="str">
        <f>IFERROR(__xludf.DUMMYFUNCTION("""COMPUTED_VALUE"""),"")</f>
        <v/>
      </c>
      <c r="F2309" t="str">
        <f>IFERROR(__xludf.DUMMYFUNCTION("""COMPUTED_VALUE"""),"")</f>
        <v/>
      </c>
      <c r="G2309" t="str">
        <f>IFERROR(__xludf.DUMMYFUNCTION("""COMPUTED_VALUE"""),"")</f>
        <v/>
      </c>
      <c r="H2309" s="2" t="str">
        <f>IFERROR(__xludf.DUMMYFUNCTION("""COMPUTED_VALUE"""),"")</f>
        <v/>
      </c>
      <c r="I2309" s="2" t="str">
        <f>IFERROR(__xludf.DUMMYFUNCTION("""COMPUTED_VALUE"""),"")</f>
        <v/>
      </c>
      <c r="J2309" s="2">
        <f>IFERROR(__xludf.DUMMYFUNCTION("""COMPUTED_VALUE"""),0.0)</f>
        <v>0</v>
      </c>
      <c r="K2309" s="5" t="str">
        <f>IFERROR(__xludf.DUMMYFUNCTION("""COMPUTED_VALUE"""),"")</f>
        <v/>
      </c>
      <c r="L2309" t="str">
        <f>IFERROR(__xludf.DUMMYFUNCTION("""COMPUTED_VALUE"""),"")</f>
        <v/>
      </c>
      <c r="M2309" t="str">
        <f>IFERROR(__xludf.DUMMYFUNCTION("""COMPUTED_VALUE"""),"")</f>
        <v/>
      </c>
      <c r="N2309" t="str">
        <f>IFERROR(__xludf.DUMMYFUNCTION("""COMPUTED_VALUE"""),"")</f>
        <v/>
      </c>
      <c r="O2309" t="str">
        <f>IFERROR(__xludf.DUMMYFUNCTION("""COMPUTED_VALUE"""),"")</f>
        <v/>
      </c>
      <c r="P2309" t="str">
        <f>IFERROR(__xludf.DUMMYFUNCTION("""COMPUTED_VALUE"""),"ID ")</f>
        <v>ID </v>
      </c>
    </row>
    <row r="2310">
      <c r="A2310" s="6" t="str">
        <f>IFERROR(__xludf.DUMMYFUNCTION("""COMPUTED_VALUE"""),"")</f>
        <v/>
      </c>
      <c r="C2310" t="str">
        <f>IFERROR(__xludf.DUMMYFUNCTION("""COMPUTED_VALUE"""),"")</f>
        <v/>
      </c>
      <c r="D2310" t="str">
        <f>IFERROR(__xludf.DUMMYFUNCTION("""COMPUTED_VALUE"""),"")</f>
        <v/>
      </c>
      <c r="E2310" t="str">
        <f>IFERROR(__xludf.DUMMYFUNCTION("""COMPUTED_VALUE"""),"")</f>
        <v/>
      </c>
      <c r="F2310" t="str">
        <f>IFERROR(__xludf.DUMMYFUNCTION("""COMPUTED_VALUE"""),"")</f>
        <v/>
      </c>
      <c r="G2310" t="str">
        <f>IFERROR(__xludf.DUMMYFUNCTION("""COMPUTED_VALUE"""),"")</f>
        <v/>
      </c>
      <c r="H2310" s="2" t="str">
        <f>IFERROR(__xludf.DUMMYFUNCTION("""COMPUTED_VALUE"""),"")</f>
        <v/>
      </c>
      <c r="I2310" s="2" t="str">
        <f>IFERROR(__xludf.DUMMYFUNCTION("""COMPUTED_VALUE"""),"")</f>
        <v/>
      </c>
      <c r="J2310" s="2">
        <f>IFERROR(__xludf.DUMMYFUNCTION("""COMPUTED_VALUE"""),0.0)</f>
        <v>0</v>
      </c>
      <c r="K2310" s="5" t="str">
        <f>IFERROR(__xludf.DUMMYFUNCTION("""COMPUTED_VALUE"""),"")</f>
        <v/>
      </c>
      <c r="L2310" t="str">
        <f>IFERROR(__xludf.DUMMYFUNCTION("""COMPUTED_VALUE"""),"")</f>
        <v/>
      </c>
      <c r="M2310" t="str">
        <f>IFERROR(__xludf.DUMMYFUNCTION("""COMPUTED_VALUE"""),"")</f>
        <v/>
      </c>
      <c r="N2310" t="str">
        <f>IFERROR(__xludf.DUMMYFUNCTION("""COMPUTED_VALUE"""),"")</f>
        <v/>
      </c>
      <c r="O2310" t="str">
        <f>IFERROR(__xludf.DUMMYFUNCTION("""COMPUTED_VALUE"""),"")</f>
        <v/>
      </c>
      <c r="P2310" t="str">
        <f>IFERROR(__xludf.DUMMYFUNCTION("""COMPUTED_VALUE"""),"ID ")</f>
        <v>ID </v>
      </c>
    </row>
    <row r="2311">
      <c r="A2311" s="6" t="str">
        <f>IFERROR(__xludf.DUMMYFUNCTION("""COMPUTED_VALUE"""),"")</f>
        <v/>
      </c>
      <c r="C2311" t="str">
        <f>IFERROR(__xludf.DUMMYFUNCTION("""COMPUTED_VALUE"""),"")</f>
        <v/>
      </c>
      <c r="D2311" t="str">
        <f>IFERROR(__xludf.DUMMYFUNCTION("""COMPUTED_VALUE"""),"")</f>
        <v/>
      </c>
      <c r="E2311" t="str">
        <f>IFERROR(__xludf.DUMMYFUNCTION("""COMPUTED_VALUE"""),"")</f>
        <v/>
      </c>
      <c r="F2311" t="str">
        <f>IFERROR(__xludf.DUMMYFUNCTION("""COMPUTED_VALUE"""),"")</f>
        <v/>
      </c>
      <c r="G2311" t="str">
        <f>IFERROR(__xludf.DUMMYFUNCTION("""COMPUTED_VALUE"""),"")</f>
        <v/>
      </c>
      <c r="H2311" s="2" t="str">
        <f>IFERROR(__xludf.DUMMYFUNCTION("""COMPUTED_VALUE"""),"")</f>
        <v/>
      </c>
      <c r="I2311" s="2" t="str">
        <f>IFERROR(__xludf.DUMMYFUNCTION("""COMPUTED_VALUE"""),"")</f>
        <v/>
      </c>
      <c r="J2311" s="2">
        <f>IFERROR(__xludf.DUMMYFUNCTION("""COMPUTED_VALUE"""),0.0)</f>
        <v>0</v>
      </c>
      <c r="K2311" s="5" t="str">
        <f>IFERROR(__xludf.DUMMYFUNCTION("""COMPUTED_VALUE"""),"")</f>
        <v/>
      </c>
      <c r="L2311" t="str">
        <f>IFERROR(__xludf.DUMMYFUNCTION("""COMPUTED_VALUE"""),"")</f>
        <v/>
      </c>
      <c r="M2311" t="str">
        <f>IFERROR(__xludf.DUMMYFUNCTION("""COMPUTED_VALUE"""),"")</f>
        <v/>
      </c>
      <c r="N2311" t="str">
        <f>IFERROR(__xludf.DUMMYFUNCTION("""COMPUTED_VALUE"""),"")</f>
        <v/>
      </c>
      <c r="O2311" t="str">
        <f>IFERROR(__xludf.DUMMYFUNCTION("""COMPUTED_VALUE"""),"")</f>
        <v/>
      </c>
      <c r="P2311" t="str">
        <f>IFERROR(__xludf.DUMMYFUNCTION("""COMPUTED_VALUE"""),"ID ")</f>
        <v>ID </v>
      </c>
    </row>
    <row r="2312">
      <c r="A2312" s="6" t="str">
        <f>IFERROR(__xludf.DUMMYFUNCTION("""COMPUTED_VALUE"""),"")</f>
        <v/>
      </c>
      <c r="C2312" t="str">
        <f>IFERROR(__xludf.DUMMYFUNCTION("""COMPUTED_VALUE"""),"")</f>
        <v/>
      </c>
      <c r="D2312" t="str">
        <f>IFERROR(__xludf.DUMMYFUNCTION("""COMPUTED_VALUE"""),"")</f>
        <v/>
      </c>
      <c r="E2312" t="str">
        <f>IFERROR(__xludf.DUMMYFUNCTION("""COMPUTED_VALUE"""),"")</f>
        <v/>
      </c>
      <c r="F2312" t="str">
        <f>IFERROR(__xludf.DUMMYFUNCTION("""COMPUTED_VALUE"""),"")</f>
        <v/>
      </c>
      <c r="G2312" t="str">
        <f>IFERROR(__xludf.DUMMYFUNCTION("""COMPUTED_VALUE"""),"")</f>
        <v/>
      </c>
      <c r="H2312" s="2" t="str">
        <f>IFERROR(__xludf.DUMMYFUNCTION("""COMPUTED_VALUE"""),"")</f>
        <v/>
      </c>
      <c r="I2312" s="2" t="str">
        <f>IFERROR(__xludf.DUMMYFUNCTION("""COMPUTED_VALUE"""),"")</f>
        <v/>
      </c>
      <c r="J2312" s="2">
        <f>IFERROR(__xludf.DUMMYFUNCTION("""COMPUTED_VALUE"""),0.0)</f>
        <v>0</v>
      </c>
      <c r="K2312" s="5" t="str">
        <f>IFERROR(__xludf.DUMMYFUNCTION("""COMPUTED_VALUE"""),"")</f>
        <v/>
      </c>
      <c r="L2312" t="str">
        <f>IFERROR(__xludf.DUMMYFUNCTION("""COMPUTED_VALUE"""),"")</f>
        <v/>
      </c>
      <c r="M2312" t="str">
        <f>IFERROR(__xludf.DUMMYFUNCTION("""COMPUTED_VALUE"""),"")</f>
        <v/>
      </c>
      <c r="N2312" t="str">
        <f>IFERROR(__xludf.DUMMYFUNCTION("""COMPUTED_VALUE"""),"")</f>
        <v/>
      </c>
      <c r="O2312" t="str">
        <f>IFERROR(__xludf.DUMMYFUNCTION("""COMPUTED_VALUE"""),"")</f>
        <v/>
      </c>
      <c r="P2312" t="str">
        <f>IFERROR(__xludf.DUMMYFUNCTION("""COMPUTED_VALUE"""),"ID ")</f>
        <v>ID </v>
      </c>
    </row>
    <row r="2313">
      <c r="A2313" s="6" t="str">
        <f>IFERROR(__xludf.DUMMYFUNCTION("""COMPUTED_VALUE"""),"")</f>
        <v/>
      </c>
      <c r="C2313" t="str">
        <f>IFERROR(__xludf.DUMMYFUNCTION("""COMPUTED_VALUE"""),"")</f>
        <v/>
      </c>
      <c r="D2313" t="str">
        <f>IFERROR(__xludf.DUMMYFUNCTION("""COMPUTED_VALUE"""),"")</f>
        <v/>
      </c>
      <c r="E2313" t="str">
        <f>IFERROR(__xludf.DUMMYFUNCTION("""COMPUTED_VALUE"""),"")</f>
        <v/>
      </c>
      <c r="F2313" t="str">
        <f>IFERROR(__xludf.DUMMYFUNCTION("""COMPUTED_VALUE"""),"")</f>
        <v/>
      </c>
      <c r="G2313" t="str">
        <f>IFERROR(__xludf.DUMMYFUNCTION("""COMPUTED_VALUE"""),"")</f>
        <v/>
      </c>
      <c r="H2313" s="2" t="str">
        <f>IFERROR(__xludf.DUMMYFUNCTION("""COMPUTED_VALUE"""),"")</f>
        <v/>
      </c>
      <c r="I2313" s="2" t="str">
        <f>IFERROR(__xludf.DUMMYFUNCTION("""COMPUTED_VALUE"""),"")</f>
        <v/>
      </c>
      <c r="J2313" s="2">
        <f>IFERROR(__xludf.DUMMYFUNCTION("""COMPUTED_VALUE"""),0.0)</f>
        <v>0</v>
      </c>
      <c r="K2313" s="5" t="str">
        <f>IFERROR(__xludf.DUMMYFUNCTION("""COMPUTED_VALUE"""),"")</f>
        <v/>
      </c>
      <c r="L2313" t="str">
        <f>IFERROR(__xludf.DUMMYFUNCTION("""COMPUTED_VALUE"""),"")</f>
        <v/>
      </c>
      <c r="M2313" t="str">
        <f>IFERROR(__xludf.DUMMYFUNCTION("""COMPUTED_VALUE"""),"")</f>
        <v/>
      </c>
      <c r="N2313" t="str">
        <f>IFERROR(__xludf.DUMMYFUNCTION("""COMPUTED_VALUE"""),"")</f>
        <v/>
      </c>
      <c r="O2313" t="str">
        <f>IFERROR(__xludf.DUMMYFUNCTION("""COMPUTED_VALUE"""),"")</f>
        <v/>
      </c>
      <c r="P2313" t="str">
        <f>IFERROR(__xludf.DUMMYFUNCTION("""COMPUTED_VALUE"""),"ID ")</f>
        <v>ID </v>
      </c>
    </row>
    <row r="2314">
      <c r="A2314" s="6" t="str">
        <f>IFERROR(__xludf.DUMMYFUNCTION("""COMPUTED_VALUE"""),"")</f>
        <v/>
      </c>
      <c r="C2314" t="str">
        <f>IFERROR(__xludf.DUMMYFUNCTION("""COMPUTED_VALUE"""),"")</f>
        <v/>
      </c>
      <c r="D2314" t="str">
        <f>IFERROR(__xludf.DUMMYFUNCTION("""COMPUTED_VALUE"""),"")</f>
        <v/>
      </c>
      <c r="E2314" t="str">
        <f>IFERROR(__xludf.DUMMYFUNCTION("""COMPUTED_VALUE"""),"")</f>
        <v/>
      </c>
      <c r="F2314" t="str">
        <f>IFERROR(__xludf.DUMMYFUNCTION("""COMPUTED_VALUE"""),"")</f>
        <v/>
      </c>
      <c r="G2314" t="str">
        <f>IFERROR(__xludf.DUMMYFUNCTION("""COMPUTED_VALUE"""),"")</f>
        <v/>
      </c>
      <c r="H2314" s="2" t="str">
        <f>IFERROR(__xludf.DUMMYFUNCTION("""COMPUTED_VALUE"""),"")</f>
        <v/>
      </c>
      <c r="I2314" s="2" t="str">
        <f>IFERROR(__xludf.DUMMYFUNCTION("""COMPUTED_VALUE"""),"")</f>
        <v/>
      </c>
      <c r="J2314" s="2">
        <f>IFERROR(__xludf.DUMMYFUNCTION("""COMPUTED_VALUE"""),0.0)</f>
        <v>0</v>
      </c>
      <c r="K2314" s="5" t="str">
        <f>IFERROR(__xludf.DUMMYFUNCTION("""COMPUTED_VALUE"""),"")</f>
        <v/>
      </c>
      <c r="L2314" t="str">
        <f>IFERROR(__xludf.DUMMYFUNCTION("""COMPUTED_VALUE"""),"")</f>
        <v/>
      </c>
      <c r="M2314" t="str">
        <f>IFERROR(__xludf.DUMMYFUNCTION("""COMPUTED_VALUE"""),"")</f>
        <v/>
      </c>
      <c r="N2314" t="str">
        <f>IFERROR(__xludf.DUMMYFUNCTION("""COMPUTED_VALUE"""),"")</f>
        <v/>
      </c>
      <c r="O2314" t="str">
        <f>IFERROR(__xludf.DUMMYFUNCTION("""COMPUTED_VALUE"""),"")</f>
        <v/>
      </c>
      <c r="P2314" t="str">
        <f>IFERROR(__xludf.DUMMYFUNCTION("""COMPUTED_VALUE"""),"ID ")</f>
        <v>ID </v>
      </c>
    </row>
    <row r="2315">
      <c r="A2315" s="6" t="str">
        <f>IFERROR(__xludf.DUMMYFUNCTION("""COMPUTED_VALUE"""),"")</f>
        <v/>
      </c>
      <c r="C2315" t="str">
        <f>IFERROR(__xludf.DUMMYFUNCTION("""COMPUTED_VALUE"""),"")</f>
        <v/>
      </c>
      <c r="D2315" t="str">
        <f>IFERROR(__xludf.DUMMYFUNCTION("""COMPUTED_VALUE"""),"")</f>
        <v/>
      </c>
      <c r="E2315" t="str">
        <f>IFERROR(__xludf.DUMMYFUNCTION("""COMPUTED_VALUE"""),"")</f>
        <v/>
      </c>
      <c r="F2315" t="str">
        <f>IFERROR(__xludf.DUMMYFUNCTION("""COMPUTED_VALUE"""),"")</f>
        <v/>
      </c>
      <c r="G2315" t="str">
        <f>IFERROR(__xludf.DUMMYFUNCTION("""COMPUTED_VALUE"""),"")</f>
        <v/>
      </c>
      <c r="H2315" s="2" t="str">
        <f>IFERROR(__xludf.DUMMYFUNCTION("""COMPUTED_VALUE"""),"")</f>
        <v/>
      </c>
      <c r="I2315" s="2" t="str">
        <f>IFERROR(__xludf.DUMMYFUNCTION("""COMPUTED_VALUE"""),"")</f>
        <v/>
      </c>
      <c r="J2315" s="2">
        <f>IFERROR(__xludf.DUMMYFUNCTION("""COMPUTED_VALUE"""),0.0)</f>
        <v>0</v>
      </c>
      <c r="K2315" s="5" t="str">
        <f>IFERROR(__xludf.DUMMYFUNCTION("""COMPUTED_VALUE"""),"")</f>
        <v/>
      </c>
      <c r="L2315" t="str">
        <f>IFERROR(__xludf.DUMMYFUNCTION("""COMPUTED_VALUE"""),"")</f>
        <v/>
      </c>
      <c r="M2315" t="str">
        <f>IFERROR(__xludf.DUMMYFUNCTION("""COMPUTED_VALUE"""),"")</f>
        <v/>
      </c>
      <c r="N2315" t="str">
        <f>IFERROR(__xludf.DUMMYFUNCTION("""COMPUTED_VALUE"""),"")</f>
        <v/>
      </c>
      <c r="O2315" t="str">
        <f>IFERROR(__xludf.DUMMYFUNCTION("""COMPUTED_VALUE"""),"")</f>
        <v/>
      </c>
      <c r="P2315" t="str">
        <f>IFERROR(__xludf.DUMMYFUNCTION("""COMPUTED_VALUE"""),"ID ")</f>
        <v>ID </v>
      </c>
    </row>
    <row r="2316">
      <c r="A2316" s="6" t="str">
        <f>IFERROR(__xludf.DUMMYFUNCTION("""COMPUTED_VALUE"""),"")</f>
        <v/>
      </c>
      <c r="C2316" t="str">
        <f>IFERROR(__xludf.DUMMYFUNCTION("""COMPUTED_VALUE"""),"")</f>
        <v/>
      </c>
      <c r="D2316" t="str">
        <f>IFERROR(__xludf.DUMMYFUNCTION("""COMPUTED_VALUE"""),"")</f>
        <v/>
      </c>
      <c r="E2316" t="str">
        <f>IFERROR(__xludf.DUMMYFUNCTION("""COMPUTED_VALUE"""),"")</f>
        <v/>
      </c>
      <c r="F2316" t="str">
        <f>IFERROR(__xludf.DUMMYFUNCTION("""COMPUTED_VALUE"""),"")</f>
        <v/>
      </c>
      <c r="G2316" t="str">
        <f>IFERROR(__xludf.DUMMYFUNCTION("""COMPUTED_VALUE"""),"")</f>
        <v/>
      </c>
      <c r="H2316" s="2" t="str">
        <f>IFERROR(__xludf.DUMMYFUNCTION("""COMPUTED_VALUE"""),"")</f>
        <v/>
      </c>
      <c r="I2316" s="2" t="str">
        <f>IFERROR(__xludf.DUMMYFUNCTION("""COMPUTED_VALUE"""),"")</f>
        <v/>
      </c>
      <c r="J2316" s="2">
        <f>IFERROR(__xludf.DUMMYFUNCTION("""COMPUTED_VALUE"""),0.0)</f>
        <v>0</v>
      </c>
      <c r="K2316" s="5" t="str">
        <f>IFERROR(__xludf.DUMMYFUNCTION("""COMPUTED_VALUE"""),"")</f>
        <v/>
      </c>
      <c r="L2316" t="str">
        <f>IFERROR(__xludf.DUMMYFUNCTION("""COMPUTED_VALUE"""),"")</f>
        <v/>
      </c>
      <c r="M2316" t="str">
        <f>IFERROR(__xludf.DUMMYFUNCTION("""COMPUTED_VALUE"""),"")</f>
        <v/>
      </c>
      <c r="N2316" t="str">
        <f>IFERROR(__xludf.DUMMYFUNCTION("""COMPUTED_VALUE"""),"")</f>
        <v/>
      </c>
      <c r="O2316" t="str">
        <f>IFERROR(__xludf.DUMMYFUNCTION("""COMPUTED_VALUE"""),"")</f>
        <v/>
      </c>
      <c r="P2316" t="str">
        <f>IFERROR(__xludf.DUMMYFUNCTION("""COMPUTED_VALUE"""),"ID ")</f>
        <v>ID </v>
      </c>
    </row>
    <row r="2317">
      <c r="A2317" s="6" t="str">
        <f>IFERROR(__xludf.DUMMYFUNCTION("""COMPUTED_VALUE"""),"")</f>
        <v/>
      </c>
      <c r="C2317" t="str">
        <f>IFERROR(__xludf.DUMMYFUNCTION("""COMPUTED_VALUE"""),"")</f>
        <v/>
      </c>
      <c r="D2317" t="str">
        <f>IFERROR(__xludf.DUMMYFUNCTION("""COMPUTED_VALUE"""),"")</f>
        <v/>
      </c>
      <c r="E2317" t="str">
        <f>IFERROR(__xludf.DUMMYFUNCTION("""COMPUTED_VALUE"""),"")</f>
        <v/>
      </c>
      <c r="F2317" t="str">
        <f>IFERROR(__xludf.DUMMYFUNCTION("""COMPUTED_VALUE"""),"")</f>
        <v/>
      </c>
      <c r="G2317" t="str">
        <f>IFERROR(__xludf.DUMMYFUNCTION("""COMPUTED_VALUE"""),"")</f>
        <v/>
      </c>
      <c r="H2317" s="2" t="str">
        <f>IFERROR(__xludf.DUMMYFUNCTION("""COMPUTED_VALUE"""),"")</f>
        <v/>
      </c>
      <c r="I2317" s="2" t="str">
        <f>IFERROR(__xludf.DUMMYFUNCTION("""COMPUTED_VALUE"""),"")</f>
        <v/>
      </c>
      <c r="J2317" s="2">
        <f>IFERROR(__xludf.DUMMYFUNCTION("""COMPUTED_VALUE"""),0.0)</f>
        <v>0</v>
      </c>
      <c r="K2317" s="5" t="str">
        <f>IFERROR(__xludf.DUMMYFUNCTION("""COMPUTED_VALUE"""),"")</f>
        <v/>
      </c>
      <c r="L2317" t="str">
        <f>IFERROR(__xludf.DUMMYFUNCTION("""COMPUTED_VALUE"""),"")</f>
        <v/>
      </c>
      <c r="M2317" t="str">
        <f>IFERROR(__xludf.DUMMYFUNCTION("""COMPUTED_VALUE"""),"")</f>
        <v/>
      </c>
      <c r="N2317" t="str">
        <f>IFERROR(__xludf.DUMMYFUNCTION("""COMPUTED_VALUE"""),"")</f>
        <v/>
      </c>
      <c r="O2317" t="str">
        <f>IFERROR(__xludf.DUMMYFUNCTION("""COMPUTED_VALUE"""),"")</f>
        <v/>
      </c>
      <c r="P2317" t="str">
        <f>IFERROR(__xludf.DUMMYFUNCTION("""COMPUTED_VALUE"""),"ID ")</f>
        <v>ID </v>
      </c>
    </row>
    <row r="2318">
      <c r="A2318" s="6" t="str">
        <f>IFERROR(__xludf.DUMMYFUNCTION("""COMPUTED_VALUE"""),"")</f>
        <v/>
      </c>
      <c r="C2318" t="str">
        <f>IFERROR(__xludf.DUMMYFUNCTION("""COMPUTED_VALUE"""),"")</f>
        <v/>
      </c>
      <c r="D2318" t="str">
        <f>IFERROR(__xludf.DUMMYFUNCTION("""COMPUTED_VALUE"""),"")</f>
        <v/>
      </c>
      <c r="E2318" t="str">
        <f>IFERROR(__xludf.DUMMYFUNCTION("""COMPUTED_VALUE"""),"")</f>
        <v/>
      </c>
      <c r="F2318" t="str">
        <f>IFERROR(__xludf.DUMMYFUNCTION("""COMPUTED_VALUE"""),"")</f>
        <v/>
      </c>
      <c r="G2318" t="str">
        <f>IFERROR(__xludf.DUMMYFUNCTION("""COMPUTED_VALUE"""),"")</f>
        <v/>
      </c>
      <c r="H2318" s="2" t="str">
        <f>IFERROR(__xludf.DUMMYFUNCTION("""COMPUTED_VALUE"""),"")</f>
        <v/>
      </c>
      <c r="I2318" s="2" t="str">
        <f>IFERROR(__xludf.DUMMYFUNCTION("""COMPUTED_VALUE"""),"")</f>
        <v/>
      </c>
      <c r="J2318" s="2">
        <f>IFERROR(__xludf.DUMMYFUNCTION("""COMPUTED_VALUE"""),0.0)</f>
        <v>0</v>
      </c>
      <c r="K2318" s="5" t="str">
        <f>IFERROR(__xludf.DUMMYFUNCTION("""COMPUTED_VALUE"""),"")</f>
        <v/>
      </c>
      <c r="L2318" t="str">
        <f>IFERROR(__xludf.DUMMYFUNCTION("""COMPUTED_VALUE"""),"")</f>
        <v/>
      </c>
      <c r="M2318" t="str">
        <f>IFERROR(__xludf.DUMMYFUNCTION("""COMPUTED_VALUE"""),"")</f>
        <v/>
      </c>
      <c r="N2318" t="str">
        <f>IFERROR(__xludf.DUMMYFUNCTION("""COMPUTED_VALUE"""),"")</f>
        <v/>
      </c>
      <c r="O2318" t="str">
        <f>IFERROR(__xludf.DUMMYFUNCTION("""COMPUTED_VALUE"""),"")</f>
        <v/>
      </c>
      <c r="P2318" t="str">
        <f>IFERROR(__xludf.DUMMYFUNCTION("""COMPUTED_VALUE"""),"ID ")</f>
        <v>ID </v>
      </c>
    </row>
    <row r="2319">
      <c r="A2319" s="6" t="str">
        <f>IFERROR(__xludf.DUMMYFUNCTION("""COMPUTED_VALUE"""),"")</f>
        <v/>
      </c>
      <c r="C2319" t="str">
        <f>IFERROR(__xludf.DUMMYFUNCTION("""COMPUTED_VALUE"""),"")</f>
        <v/>
      </c>
      <c r="D2319" t="str">
        <f>IFERROR(__xludf.DUMMYFUNCTION("""COMPUTED_VALUE"""),"")</f>
        <v/>
      </c>
      <c r="E2319" t="str">
        <f>IFERROR(__xludf.DUMMYFUNCTION("""COMPUTED_VALUE"""),"")</f>
        <v/>
      </c>
      <c r="F2319" t="str">
        <f>IFERROR(__xludf.DUMMYFUNCTION("""COMPUTED_VALUE"""),"")</f>
        <v/>
      </c>
      <c r="G2319" t="str">
        <f>IFERROR(__xludf.DUMMYFUNCTION("""COMPUTED_VALUE"""),"")</f>
        <v/>
      </c>
      <c r="H2319" s="2" t="str">
        <f>IFERROR(__xludf.DUMMYFUNCTION("""COMPUTED_VALUE"""),"")</f>
        <v/>
      </c>
      <c r="I2319" s="2" t="str">
        <f>IFERROR(__xludf.DUMMYFUNCTION("""COMPUTED_VALUE"""),"")</f>
        <v/>
      </c>
      <c r="J2319" s="2">
        <f>IFERROR(__xludf.DUMMYFUNCTION("""COMPUTED_VALUE"""),0.0)</f>
        <v>0</v>
      </c>
      <c r="K2319" s="5" t="str">
        <f>IFERROR(__xludf.DUMMYFUNCTION("""COMPUTED_VALUE"""),"")</f>
        <v/>
      </c>
      <c r="L2319" t="str">
        <f>IFERROR(__xludf.DUMMYFUNCTION("""COMPUTED_VALUE"""),"")</f>
        <v/>
      </c>
      <c r="M2319" t="str">
        <f>IFERROR(__xludf.DUMMYFUNCTION("""COMPUTED_VALUE"""),"")</f>
        <v/>
      </c>
      <c r="N2319" t="str">
        <f>IFERROR(__xludf.DUMMYFUNCTION("""COMPUTED_VALUE"""),"")</f>
        <v/>
      </c>
      <c r="O2319" t="str">
        <f>IFERROR(__xludf.DUMMYFUNCTION("""COMPUTED_VALUE"""),"")</f>
        <v/>
      </c>
      <c r="P2319" t="str">
        <f>IFERROR(__xludf.DUMMYFUNCTION("""COMPUTED_VALUE"""),"ID ")</f>
        <v>ID </v>
      </c>
    </row>
    <row r="2320">
      <c r="A2320" s="6" t="str">
        <f>IFERROR(__xludf.DUMMYFUNCTION("""COMPUTED_VALUE"""),"")</f>
        <v/>
      </c>
      <c r="C2320" t="str">
        <f>IFERROR(__xludf.DUMMYFUNCTION("""COMPUTED_VALUE"""),"")</f>
        <v/>
      </c>
      <c r="D2320" t="str">
        <f>IFERROR(__xludf.DUMMYFUNCTION("""COMPUTED_VALUE"""),"")</f>
        <v/>
      </c>
      <c r="E2320" t="str">
        <f>IFERROR(__xludf.DUMMYFUNCTION("""COMPUTED_VALUE"""),"")</f>
        <v/>
      </c>
      <c r="F2320" t="str">
        <f>IFERROR(__xludf.DUMMYFUNCTION("""COMPUTED_VALUE"""),"")</f>
        <v/>
      </c>
      <c r="G2320" t="str">
        <f>IFERROR(__xludf.DUMMYFUNCTION("""COMPUTED_VALUE"""),"")</f>
        <v/>
      </c>
      <c r="H2320" s="2" t="str">
        <f>IFERROR(__xludf.DUMMYFUNCTION("""COMPUTED_VALUE"""),"")</f>
        <v/>
      </c>
      <c r="I2320" s="2" t="str">
        <f>IFERROR(__xludf.DUMMYFUNCTION("""COMPUTED_VALUE"""),"")</f>
        <v/>
      </c>
      <c r="J2320" s="2">
        <f>IFERROR(__xludf.DUMMYFUNCTION("""COMPUTED_VALUE"""),0.0)</f>
        <v>0</v>
      </c>
      <c r="K2320" s="5" t="str">
        <f>IFERROR(__xludf.DUMMYFUNCTION("""COMPUTED_VALUE"""),"")</f>
        <v/>
      </c>
      <c r="L2320" t="str">
        <f>IFERROR(__xludf.DUMMYFUNCTION("""COMPUTED_VALUE"""),"")</f>
        <v/>
      </c>
      <c r="M2320" t="str">
        <f>IFERROR(__xludf.DUMMYFUNCTION("""COMPUTED_VALUE"""),"")</f>
        <v/>
      </c>
      <c r="N2320" t="str">
        <f>IFERROR(__xludf.DUMMYFUNCTION("""COMPUTED_VALUE"""),"")</f>
        <v/>
      </c>
      <c r="O2320" t="str">
        <f>IFERROR(__xludf.DUMMYFUNCTION("""COMPUTED_VALUE"""),"")</f>
        <v/>
      </c>
      <c r="P2320" t="str">
        <f>IFERROR(__xludf.DUMMYFUNCTION("""COMPUTED_VALUE"""),"ID ")</f>
        <v>ID </v>
      </c>
    </row>
    <row r="2321">
      <c r="A2321" s="6" t="str">
        <f>IFERROR(__xludf.DUMMYFUNCTION("""COMPUTED_VALUE"""),"")</f>
        <v/>
      </c>
      <c r="C2321" t="str">
        <f>IFERROR(__xludf.DUMMYFUNCTION("""COMPUTED_VALUE"""),"")</f>
        <v/>
      </c>
      <c r="D2321" t="str">
        <f>IFERROR(__xludf.DUMMYFUNCTION("""COMPUTED_VALUE"""),"")</f>
        <v/>
      </c>
      <c r="E2321" t="str">
        <f>IFERROR(__xludf.DUMMYFUNCTION("""COMPUTED_VALUE"""),"")</f>
        <v/>
      </c>
      <c r="F2321" t="str">
        <f>IFERROR(__xludf.DUMMYFUNCTION("""COMPUTED_VALUE"""),"")</f>
        <v/>
      </c>
      <c r="G2321" t="str">
        <f>IFERROR(__xludf.DUMMYFUNCTION("""COMPUTED_VALUE"""),"")</f>
        <v/>
      </c>
      <c r="H2321" s="2" t="str">
        <f>IFERROR(__xludf.DUMMYFUNCTION("""COMPUTED_VALUE"""),"")</f>
        <v/>
      </c>
      <c r="I2321" s="2" t="str">
        <f>IFERROR(__xludf.DUMMYFUNCTION("""COMPUTED_VALUE"""),"")</f>
        <v/>
      </c>
      <c r="J2321" s="2">
        <f>IFERROR(__xludf.DUMMYFUNCTION("""COMPUTED_VALUE"""),0.0)</f>
        <v>0</v>
      </c>
      <c r="K2321" s="5" t="str">
        <f>IFERROR(__xludf.DUMMYFUNCTION("""COMPUTED_VALUE"""),"")</f>
        <v/>
      </c>
      <c r="L2321" t="str">
        <f>IFERROR(__xludf.DUMMYFUNCTION("""COMPUTED_VALUE"""),"")</f>
        <v/>
      </c>
      <c r="M2321" t="str">
        <f>IFERROR(__xludf.DUMMYFUNCTION("""COMPUTED_VALUE"""),"")</f>
        <v/>
      </c>
      <c r="N2321" t="str">
        <f>IFERROR(__xludf.DUMMYFUNCTION("""COMPUTED_VALUE"""),"")</f>
        <v/>
      </c>
      <c r="O2321" t="str">
        <f>IFERROR(__xludf.DUMMYFUNCTION("""COMPUTED_VALUE"""),"")</f>
        <v/>
      </c>
      <c r="P2321" t="str">
        <f>IFERROR(__xludf.DUMMYFUNCTION("""COMPUTED_VALUE"""),"ID ")</f>
        <v>ID </v>
      </c>
    </row>
    <row r="2322">
      <c r="A2322" s="6" t="str">
        <f>IFERROR(__xludf.DUMMYFUNCTION("""COMPUTED_VALUE"""),"")</f>
        <v/>
      </c>
      <c r="C2322" t="str">
        <f>IFERROR(__xludf.DUMMYFUNCTION("""COMPUTED_VALUE"""),"")</f>
        <v/>
      </c>
      <c r="D2322" t="str">
        <f>IFERROR(__xludf.DUMMYFUNCTION("""COMPUTED_VALUE"""),"")</f>
        <v/>
      </c>
      <c r="E2322" t="str">
        <f>IFERROR(__xludf.DUMMYFUNCTION("""COMPUTED_VALUE"""),"")</f>
        <v/>
      </c>
      <c r="F2322" t="str">
        <f>IFERROR(__xludf.DUMMYFUNCTION("""COMPUTED_VALUE"""),"")</f>
        <v/>
      </c>
      <c r="G2322" t="str">
        <f>IFERROR(__xludf.DUMMYFUNCTION("""COMPUTED_VALUE"""),"")</f>
        <v/>
      </c>
      <c r="H2322" s="2" t="str">
        <f>IFERROR(__xludf.DUMMYFUNCTION("""COMPUTED_VALUE"""),"")</f>
        <v/>
      </c>
      <c r="I2322" s="2" t="str">
        <f>IFERROR(__xludf.DUMMYFUNCTION("""COMPUTED_VALUE"""),"")</f>
        <v/>
      </c>
      <c r="J2322" s="2">
        <f>IFERROR(__xludf.DUMMYFUNCTION("""COMPUTED_VALUE"""),0.0)</f>
        <v>0</v>
      </c>
      <c r="K2322" s="5" t="str">
        <f>IFERROR(__xludf.DUMMYFUNCTION("""COMPUTED_VALUE"""),"")</f>
        <v/>
      </c>
      <c r="L2322" t="str">
        <f>IFERROR(__xludf.DUMMYFUNCTION("""COMPUTED_VALUE"""),"")</f>
        <v/>
      </c>
      <c r="M2322" t="str">
        <f>IFERROR(__xludf.DUMMYFUNCTION("""COMPUTED_VALUE"""),"")</f>
        <v/>
      </c>
      <c r="N2322" t="str">
        <f>IFERROR(__xludf.DUMMYFUNCTION("""COMPUTED_VALUE"""),"")</f>
        <v/>
      </c>
      <c r="O2322" t="str">
        <f>IFERROR(__xludf.DUMMYFUNCTION("""COMPUTED_VALUE"""),"")</f>
        <v/>
      </c>
      <c r="P2322" t="str">
        <f>IFERROR(__xludf.DUMMYFUNCTION("""COMPUTED_VALUE"""),"ID ")</f>
        <v>ID </v>
      </c>
    </row>
    <row r="2323">
      <c r="A2323" s="6" t="str">
        <f>IFERROR(__xludf.DUMMYFUNCTION("""COMPUTED_VALUE"""),"")</f>
        <v/>
      </c>
      <c r="C2323" t="str">
        <f>IFERROR(__xludf.DUMMYFUNCTION("""COMPUTED_VALUE"""),"")</f>
        <v/>
      </c>
      <c r="D2323" t="str">
        <f>IFERROR(__xludf.DUMMYFUNCTION("""COMPUTED_VALUE"""),"")</f>
        <v/>
      </c>
      <c r="E2323" t="str">
        <f>IFERROR(__xludf.DUMMYFUNCTION("""COMPUTED_VALUE"""),"")</f>
        <v/>
      </c>
      <c r="F2323" t="str">
        <f>IFERROR(__xludf.DUMMYFUNCTION("""COMPUTED_VALUE"""),"")</f>
        <v/>
      </c>
      <c r="G2323" t="str">
        <f>IFERROR(__xludf.DUMMYFUNCTION("""COMPUTED_VALUE"""),"")</f>
        <v/>
      </c>
      <c r="H2323" s="2" t="str">
        <f>IFERROR(__xludf.DUMMYFUNCTION("""COMPUTED_VALUE"""),"")</f>
        <v/>
      </c>
      <c r="I2323" s="2" t="str">
        <f>IFERROR(__xludf.DUMMYFUNCTION("""COMPUTED_VALUE"""),"")</f>
        <v/>
      </c>
      <c r="J2323" s="2">
        <f>IFERROR(__xludf.DUMMYFUNCTION("""COMPUTED_VALUE"""),0.0)</f>
        <v>0</v>
      </c>
      <c r="K2323" s="5" t="str">
        <f>IFERROR(__xludf.DUMMYFUNCTION("""COMPUTED_VALUE"""),"")</f>
        <v/>
      </c>
      <c r="L2323" t="str">
        <f>IFERROR(__xludf.DUMMYFUNCTION("""COMPUTED_VALUE"""),"")</f>
        <v/>
      </c>
      <c r="M2323" t="str">
        <f>IFERROR(__xludf.DUMMYFUNCTION("""COMPUTED_VALUE"""),"")</f>
        <v/>
      </c>
      <c r="N2323" t="str">
        <f>IFERROR(__xludf.DUMMYFUNCTION("""COMPUTED_VALUE"""),"")</f>
        <v/>
      </c>
      <c r="O2323" t="str">
        <f>IFERROR(__xludf.DUMMYFUNCTION("""COMPUTED_VALUE"""),"")</f>
        <v/>
      </c>
      <c r="P2323" t="str">
        <f>IFERROR(__xludf.DUMMYFUNCTION("""COMPUTED_VALUE"""),"ID ")</f>
        <v>ID </v>
      </c>
    </row>
    <row r="2324">
      <c r="A2324" s="6" t="str">
        <f>IFERROR(__xludf.DUMMYFUNCTION("""COMPUTED_VALUE"""),"")</f>
        <v/>
      </c>
      <c r="C2324" t="str">
        <f>IFERROR(__xludf.DUMMYFUNCTION("""COMPUTED_VALUE"""),"")</f>
        <v/>
      </c>
      <c r="D2324" t="str">
        <f>IFERROR(__xludf.DUMMYFUNCTION("""COMPUTED_VALUE"""),"")</f>
        <v/>
      </c>
      <c r="E2324" t="str">
        <f>IFERROR(__xludf.DUMMYFUNCTION("""COMPUTED_VALUE"""),"")</f>
        <v/>
      </c>
      <c r="F2324" t="str">
        <f>IFERROR(__xludf.DUMMYFUNCTION("""COMPUTED_VALUE"""),"")</f>
        <v/>
      </c>
      <c r="G2324" t="str">
        <f>IFERROR(__xludf.DUMMYFUNCTION("""COMPUTED_VALUE"""),"")</f>
        <v/>
      </c>
      <c r="H2324" s="2" t="str">
        <f>IFERROR(__xludf.DUMMYFUNCTION("""COMPUTED_VALUE"""),"")</f>
        <v/>
      </c>
      <c r="I2324" s="2" t="str">
        <f>IFERROR(__xludf.DUMMYFUNCTION("""COMPUTED_VALUE"""),"")</f>
        <v/>
      </c>
      <c r="J2324" s="2">
        <f>IFERROR(__xludf.DUMMYFUNCTION("""COMPUTED_VALUE"""),0.0)</f>
        <v>0</v>
      </c>
      <c r="K2324" s="5" t="str">
        <f>IFERROR(__xludf.DUMMYFUNCTION("""COMPUTED_VALUE"""),"")</f>
        <v/>
      </c>
      <c r="L2324" t="str">
        <f>IFERROR(__xludf.DUMMYFUNCTION("""COMPUTED_VALUE"""),"")</f>
        <v/>
      </c>
      <c r="M2324" t="str">
        <f>IFERROR(__xludf.DUMMYFUNCTION("""COMPUTED_VALUE"""),"")</f>
        <v/>
      </c>
      <c r="N2324" t="str">
        <f>IFERROR(__xludf.DUMMYFUNCTION("""COMPUTED_VALUE"""),"")</f>
        <v/>
      </c>
      <c r="O2324" t="str">
        <f>IFERROR(__xludf.DUMMYFUNCTION("""COMPUTED_VALUE"""),"")</f>
        <v/>
      </c>
      <c r="P2324" t="str">
        <f>IFERROR(__xludf.DUMMYFUNCTION("""COMPUTED_VALUE"""),"ID ")</f>
        <v>ID </v>
      </c>
    </row>
    <row r="2325">
      <c r="A2325" s="6" t="str">
        <f>IFERROR(__xludf.DUMMYFUNCTION("""COMPUTED_VALUE"""),"")</f>
        <v/>
      </c>
      <c r="C2325" t="str">
        <f>IFERROR(__xludf.DUMMYFUNCTION("""COMPUTED_VALUE"""),"")</f>
        <v/>
      </c>
      <c r="D2325" t="str">
        <f>IFERROR(__xludf.DUMMYFUNCTION("""COMPUTED_VALUE"""),"")</f>
        <v/>
      </c>
      <c r="E2325" t="str">
        <f>IFERROR(__xludf.DUMMYFUNCTION("""COMPUTED_VALUE"""),"")</f>
        <v/>
      </c>
      <c r="F2325" t="str">
        <f>IFERROR(__xludf.DUMMYFUNCTION("""COMPUTED_VALUE"""),"")</f>
        <v/>
      </c>
      <c r="G2325" t="str">
        <f>IFERROR(__xludf.DUMMYFUNCTION("""COMPUTED_VALUE"""),"")</f>
        <v/>
      </c>
      <c r="H2325" s="2" t="str">
        <f>IFERROR(__xludf.DUMMYFUNCTION("""COMPUTED_VALUE"""),"")</f>
        <v/>
      </c>
      <c r="I2325" s="2" t="str">
        <f>IFERROR(__xludf.DUMMYFUNCTION("""COMPUTED_VALUE"""),"")</f>
        <v/>
      </c>
      <c r="J2325" s="2">
        <f>IFERROR(__xludf.DUMMYFUNCTION("""COMPUTED_VALUE"""),0.0)</f>
        <v>0</v>
      </c>
      <c r="K2325" s="5" t="str">
        <f>IFERROR(__xludf.DUMMYFUNCTION("""COMPUTED_VALUE"""),"")</f>
        <v/>
      </c>
      <c r="L2325" t="str">
        <f>IFERROR(__xludf.DUMMYFUNCTION("""COMPUTED_VALUE"""),"")</f>
        <v/>
      </c>
      <c r="M2325" t="str">
        <f>IFERROR(__xludf.DUMMYFUNCTION("""COMPUTED_VALUE"""),"")</f>
        <v/>
      </c>
      <c r="N2325" t="str">
        <f>IFERROR(__xludf.DUMMYFUNCTION("""COMPUTED_VALUE"""),"")</f>
        <v/>
      </c>
      <c r="O2325" t="str">
        <f>IFERROR(__xludf.DUMMYFUNCTION("""COMPUTED_VALUE"""),"")</f>
        <v/>
      </c>
      <c r="P2325" t="str">
        <f>IFERROR(__xludf.DUMMYFUNCTION("""COMPUTED_VALUE"""),"ID ")</f>
        <v>ID </v>
      </c>
    </row>
    <row r="2326">
      <c r="A2326" s="6" t="str">
        <f>IFERROR(__xludf.DUMMYFUNCTION("""COMPUTED_VALUE"""),"")</f>
        <v/>
      </c>
      <c r="C2326" t="str">
        <f>IFERROR(__xludf.DUMMYFUNCTION("""COMPUTED_VALUE"""),"")</f>
        <v/>
      </c>
      <c r="D2326" t="str">
        <f>IFERROR(__xludf.DUMMYFUNCTION("""COMPUTED_VALUE"""),"")</f>
        <v/>
      </c>
      <c r="E2326" t="str">
        <f>IFERROR(__xludf.DUMMYFUNCTION("""COMPUTED_VALUE"""),"")</f>
        <v/>
      </c>
      <c r="F2326" t="str">
        <f>IFERROR(__xludf.DUMMYFUNCTION("""COMPUTED_VALUE"""),"")</f>
        <v/>
      </c>
      <c r="G2326" t="str">
        <f>IFERROR(__xludf.DUMMYFUNCTION("""COMPUTED_VALUE"""),"")</f>
        <v/>
      </c>
      <c r="H2326" s="2" t="str">
        <f>IFERROR(__xludf.DUMMYFUNCTION("""COMPUTED_VALUE"""),"")</f>
        <v/>
      </c>
      <c r="I2326" s="2" t="str">
        <f>IFERROR(__xludf.DUMMYFUNCTION("""COMPUTED_VALUE"""),"")</f>
        <v/>
      </c>
      <c r="J2326" s="2">
        <f>IFERROR(__xludf.DUMMYFUNCTION("""COMPUTED_VALUE"""),0.0)</f>
        <v>0</v>
      </c>
      <c r="K2326" s="5" t="str">
        <f>IFERROR(__xludf.DUMMYFUNCTION("""COMPUTED_VALUE"""),"")</f>
        <v/>
      </c>
      <c r="L2326" t="str">
        <f>IFERROR(__xludf.DUMMYFUNCTION("""COMPUTED_VALUE"""),"")</f>
        <v/>
      </c>
      <c r="M2326" t="str">
        <f>IFERROR(__xludf.DUMMYFUNCTION("""COMPUTED_VALUE"""),"")</f>
        <v/>
      </c>
      <c r="N2326" t="str">
        <f>IFERROR(__xludf.DUMMYFUNCTION("""COMPUTED_VALUE"""),"")</f>
        <v/>
      </c>
      <c r="O2326" t="str">
        <f>IFERROR(__xludf.DUMMYFUNCTION("""COMPUTED_VALUE"""),"")</f>
        <v/>
      </c>
      <c r="P2326" t="str">
        <f>IFERROR(__xludf.DUMMYFUNCTION("""COMPUTED_VALUE"""),"ID ")</f>
        <v>ID </v>
      </c>
    </row>
    <row r="2327">
      <c r="A2327" s="6" t="str">
        <f>IFERROR(__xludf.DUMMYFUNCTION("""COMPUTED_VALUE"""),"")</f>
        <v/>
      </c>
      <c r="C2327" t="str">
        <f>IFERROR(__xludf.DUMMYFUNCTION("""COMPUTED_VALUE"""),"")</f>
        <v/>
      </c>
      <c r="D2327" t="str">
        <f>IFERROR(__xludf.DUMMYFUNCTION("""COMPUTED_VALUE"""),"")</f>
        <v/>
      </c>
      <c r="E2327" t="str">
        <f>IFERROR(__xludf.DUMMYFUNCTION("""COMPUTED_VALUE"""),"")</f>
        <v/>
      </c>
      <c r="F2327" t="str">
        <f>IFERROR(__xludf.DUMMYFUNCTION("""COMPUTED_VALUE"""),"")</f>
        <v/>
      </c>
      <c r="G2327" t="str">
        <f>IFERROR(__xludf.DUMMYFUNCTION("""COMPUTED_VALUE"""),"")</f>
        <v/>
      </c>
      <c r="H2327" s="2" t="str">
        <f>IFERROR(__xludf.DUMMYFUNCTION("""COMPUTED_VALUE"""),"")</f>
        <v/>
      </c>
      <c r="I2327" s="2" t="str">
        <f>IFERROR(__xludf.DUMMYFUNCTION("""COMPUTED_VALUE"""),"")</f>
        <v/>
      </c>
      <c r="J2327" s="2">
        <f>IFERROR(__xludf.DUMMYFUNCTION("""COMPUTED_VALUE"""),0.0)</f>
        <v>0</v>
      </c>
      <c r="K2327" s="5" t="str">
        <f>IFERROR(__xludf.DUMMYFUNCTION("""COMPUTED_VALUE"""),"")</f>
        <v/>
      </c>
      <c r="L2327" t="str">
        <f>IFERROR(__xludf.DUMMYFUNCTION("""COMPUTED_VALUE"""),"")</f>
        <v/>
      </c>
      <c r="M2327" t="str">
        <f>IFERROR(__xludf.DUMMYFUNCTION("""COMPUTED_VALUE"""),"")</f>
        <v/>
      </c>
      <c r="N2327" t="str">
        <f>IFERROR(__xludf.DUMMYFUNCTION("""COMPUTED_VALUE"""),"")</f>
        <v/>
      </c>
      <c r="O2327" t="str">
        <f>IFERROR(__xludf.DUMMYFUNCTION("""COMPUTED_VALUE"""),"")</f>
        <v/>
      </c>
      <c r="P2327" t="str">
        <f>IFERROR(__xludf.DUMMYFUNCTION("""COMPUTED_VALUE"""),"ID ")</f>
        <v>ID </v>
      </c>
    </row>
    <row r="2328">
      <c r="A2328" s="6" t="str">
        <f>IFERROR(__xludf.DUMMYFUNCTION("""COMPUTED_VALUE"""),"")</f>
        <v/>
      </c>
      <c r="C2328" t="str">
        <f>IFERROR(__xludf.DUMMYFUNCTION("""COMPUTED_VALUE"""),"")</f>
        <v/>
      </c>
      <c r="D2328" t="str">
        <f>IFERROR(__xludf.DUMMYFUNCTION("""COMPUTED_VALUE"""),"")</f>
        <v/>
      </c>
      <c r="E2328" t="str">
        <f>IFERROR(__xludf.DUMMYFUNCTION("""COMPUTED_VALUE"""),"")</f>
        <v/>
      </c>
      <c r="F2328" t="str">
        <f>IFERROR(__xludf.DUMMYFUNCTION("""COMPUTED_VALUE"""),"")</f>
        <v/>
      </c>
      <c r="G2328" t="str">
        <f>IFERROR(__xludf.DUMMYFUNCTION("""COMPUTED_VALUE"""),"")</f>
        <v/>
      </c>
      <c r="H2328" s="2" t="str">
        <f>IFERROR(__xludf.DUMMYFUNCTION("""COMPUTED_VALUE"""),"")</f>
        <v/>
      </c>
      <c r="I2328" s="2" t="str">
        <f>IFERROR(__xludf.DUMMYFUNCTION("""COMPUTED_VALUE"""),"")</f>
        <v/>
      </c>
      <c r="J2328" s="2">
        <f>IFERROR(__xludf.DUMMYFUNCTION("""COMPUTED_VALUE"""),0.0)</f>
        <v>0</v>
      </c>
      <c r="K2328" s="5" t="str">
        <f>IFERROR(__xludf.DUMMYFUNCTION("""COMPUTED_VALUE"""),"")</f>
        <v/>
      </c>
      <c r="L2328" t="str">
        <f>IFERROR(__xludf.DUMMYFUNCTION("""COMPUTED_VALUE"""),"")</f>
        <v/>
      </c>
      <c r="M2328" t="str">
        <f>IFERROR(__xludf.DUMMYFUNCTION("""COMPUTED_VALUE"""),"")</f>
        <v/>
      </c>
      <c r="N2328" t="str">
        <f>IFERROR(__xludf.DUMMYFUNCTION("""COMPUTED_VALUE"""),"")</f>
        <v/>
      </c>
      <c r="O2328" t="str">
        <f>IFERROR(__xludf.DUMMYFUNCTION("""COMPUTED_VALUE"""),"")</f>
        <v/>
      </c>
      <c r="P2328" t="str">
        <f>IFERROR(__xludf.DUMMYFUNCTION("""COMPUTED_VALUE"""),"ID ")</f>
        <v>ID </v>
      </c>
    </row>
    <row r="2329">
      <c r="A2329" s="6" t="str">
        <f>IFERROR(__xludf.DUMMYFUNCTION("""COMPUTED_VALUE"""),"")</f>
        <v/>
      </c>
      <c r="C2329" t="str">
        <f>IFERROR(__xludf.DUMMYFUNCTION("""COMPUTED_VALUE"""),"")</f>
        <v/>
      </c>
      <c r="D2329" t="str">
        <f>IFERROR(__xludf.DUMMYFUNCTION("""COMPUTED_VALUE"""),"")</f>
        <v/>
      </c>
      <c r="E2329" t="str">
        <f>IFERROR(__xludf.DUMMYFUNCTION("""COMPUTED_VALUE"""),"")</f>
        <v/>
      </c>
      <c r="F2329" t="str">
        <f>IFERROR(__xludf.DUMMYFUNCTION("""COMPUTED_VALUE"""),"")</f>
        <v/>
      </c>
      <c r="G2329" t="str">
        <f>IFERROR(__xludf.DUMMYFUNCTION("""COMPUTED_VALUE"""),"")</f>
        <v/>
      </c>
      <c r="H2329" s="2" t="str">
        <f>IFERROR(__xludf.DUMMYFUNCTION("""COMPUTED_VALUE"""),"")</f>
        <v/>
      </c>
      <c r="I2329" s="2" t="str">
        <f>IFERROR(__xludf.DUMMYFUNCTION("""COMPUTED_VALUE"""),"")</f>
        <v/>
      </c>
      <c r="J2329" s="2">
        <f>IFERROR(__xludf.DUMMYFUNCTION("""COMPUTED_VALUE"""),0.0)</f>
        <v>0</v>
      </c>
      <c r="K2329" s="5" t="str">
        <f>IFERROR(__xludf.DUMMYFUNCTION("""COMPUTED_VALUE"""),"")</f>
        <v/>
      </c>
      <c r="L2329" t="str">
        <f>IFERROR(__xludf.DUMMYFUNCTION("""COMPUTED_VALUE"""),"")</f>
        <v/>
      </c>
      <c r="M2329" t="str">
        <f>IFERROR(__xludf.DUMMYFUNCTION("""COMPUTED_VALUE"""),"")</f>
        <v/>
      </c>
      <c r="N2329" t="str">
        <f>IFERROR(__xludf.DUMMYFUNCTION("""COMPUTED_VALUE"""),"")</f>
        <v/>
      </c>
      <c r="O2329" t="str">
        <f>IFERROR(__xludf.DUMMYFUNCTION("""COMPUTED_VALUE"""),"")</f>
        <v/>
      </c>
      <c r="P2329" t="str">
        <f>IFERROR(__xludf.DUMMYFUNCTION("""COMPUTED_VALUE"""),"ID ")</f>
        <v>ID </v>
      </c>
    </row>
    <row r="2330">
      <c r="A2330" s="6" t="str">
        <f>IFERROR(__xludf.DUMMYFUNCTION("""COMPUTED_VALUE"""),"")</f>
        <v/>
      </c>
      <c r="C2330" t="str">
        <f>IFERROR(__xludf.DUMMYFUNCTION("""COMPUTED_VALUE"""),"")</f>
        <v/>
      </c>
      <c r="D2330" t="str">
        <f>IFERROR(__xludf.DUMMYFUNCTION("""COMPUTED_VALUE"""),"")</f>
        <v/>
      </c>
      <c r="E2330" t="str">
        <f>IFERROR(__xludf.DUMMYFUNCTION("""COMPUTED_VALUE"""),"")</f>
        <v/>
      </c>
      <c r="F2330" t="str">
        <f>IFERROR(__xludf.DUMMYFUNCTION("""COMPUTED_VALUE"""),"")</f>
        <v/>
      </c>
      <c r="G2330" t="str">
        <f>IFERROR(__xludf.DUMMYFUNCTION("""COMPUTED_VALUE"""),"")</f>
        <v/>
      </c>
      <c r="H2330" s="2" t="str">
        <f>IFERROR(__xludf.DUMMYFUNCTION("""COMPUTED_VALUE"""),"")</f>
        <v/>
      </c>
      <c r="I2330" s="2" t="str">
        <f>IFERROR(__xludf.DUMMYFUNCTION("""COMPUTED_VALUE"""),"")</f>
        <v/>
      </c>
      <c r="J2330" s="2">
        <f>IFERROR(__xludf.DUMMYFUNCTION("""COMPUTED_VALUE"""),0.0)</f>
        <v>0</v>
      </c>
      <c r="K2330" s="5" t="str">
        <f>IFERROR(__xludf.DUMMYFUNCTION("""COMPUTED_VALUE"""),"")</f>
        <v/>
      </c>
      <c r="L2330" t="str">
        <f>IFERROR(__xludf.DUMMYFUNCTION("""COMPUTED_VALUE"""),"")</f>
        <v/>
      </c>
      <c r="M2330" t="str">
        <f>IFERROR(__xludf.DUMMYFUNCTION("""COMPUTED_VALUE"""),"")</f>
        <v/>
      </c>
      <c r="N2330" t="str">
        <f>IFERROR(__xludf.DUMMYFUNCTION("""COMPUTED_VALUE"""),"")</f>
        <v/>
      </c>
      <c r="O2330" t="str">
        <f>IFERROR(__xludf.DUMMYFUNCTION("""COMPUTED_VALUE"""),"")</f>
        <v/>
      </c>
      <c r="P2330" t="str">
        <f>IFERROR(__xludf.DUMMYFUNCTION("""COMPUTED_VALUE"""),"ID ")</f>
        <v>ID </v>
      </c>
    </row>
    <row r="2331">
      <c r="A2331" s="6" t="str">
        <f>IFERROR(__xludf.DUMMYFUNCTION("""COMPUTED_VALUE"""),"")</f>
        <v/>
      </c>
      <c r="C2331" t="str">
        <f>IFERROR(__xludf.DUMMYFUNCTION("""COMPUTED_VALUE"""),"")</f>
        <v/>
      </c>
      <c r="D2331" t="str">
        <f>IFERROR(__xludf.DUMMYFUNCTION("""COMPUTED_VALUE"""),"")</f>
        <v/>
      </c>
      <c r="E2331" t="str">
        <f>IFERROR(__xludf.DUMMYFUNCTION("""COMPUTED_VALUE"""),"")</f>
        <v/>
      </c>
      <c r="F2331" t="str">
        <f>IFERROR(__xludf.DUMMYFUNCTION("""COMPUTED_VALUE"""),"")</f>
        <v/>
      </c>
      <c r="G2331" t="str">
        <f>IFERROR(__xludf.DUMMYFUNCTION("""COMPUTED_VALUE"""),"")</f>
        <v/>
      </c>
      <c r="H2331" s="2" t="str">
        <f>IFERROR(__xludf.DUMMYFUNCTION("""COMPUTED_VALUE"""),"")</f>
        <v/>
      </c>
      <c r="I2331" s="2" t="str">
        <f>IFERROR(__xludf.DUMMYFUNCTION("""COMPUTED_VALUE"""),"")</f>
        <v/>
      </c>
      <c r="J2331" s="2">
        <f>IFERROR(__xludf.DUMMYFUNCTION("""COMPUTED_VALUE"""),0.0)</f>
        <v>0</v>
      </c>
      <c r="K2331" s="5" t="str">
        <f>IFERROR(__xludf.DUMMYFUNCTION("""COMPUTED_VALUE"""),"")</f>
        <v/>
      </c>
      <c r="L2331" t="str">
        <f>IFERROR(__xludf.DUMMYFUNCTION("""COMPUTED_VALUE"""),"")</f>
        <v/>
      </c>
      <c r="M2331" t="str">
        <f>IFERROR(__xludf.DUMMYFUNCTION("""COMPUTED_VALUE"""),"")</f>
        <v/>
      </c>
      <c r="N2331" t="str">
        <f>IFERROR(__xludf.DUMMYFUNCTION("""COMPUTED_VALUE"""),"")</f>
        <v/>
      </c>
      <c r="O2331" t="str">
        <f>IFERROR(__xludf.DUMMYFUNCTION("""COMPUTED_VALUE"""),"")</f>
        <v/>
      </c>
      <c r="P2331" t="str">
        <f>IFERROR(__xludf.DUMMYFUNCTION("""COMPUTED_VALUE"""),"ID ")</f>
        <v>ID </v>
      </c>
    </row>
    <row r="2332">
      <c r="A2332" s="6" t="str">
        <f>IFERROR(__xludf.DUMMYFUNCTION("""COMPUTED_VALUE"""),"")</f>
        <v/>
      </c>
      <c r="C2332" t="str">
        <f>IFERROR(__xludf.DUMMYFUNCTION("""COMPUTED_VALUE"""),"")</f>
        <v/>
      </c>
      <c r="D2332" t="str">
        <f>IFERROR(__xludf.DUMMYFUNCTION("""COMPUTED_VALUE"""),"")</f>
        <v/>
      </c>
      <c r="E2332" t="str">
        <f>IFERROR(__xludf.DUMMYFUNCTION("""COMPUTED_VALUE"""),"")</f>
        <v/>
      </c>
      <c r="F2332" t="str">
        <f>IFERROR(__xludf.DUMMYFUNCTION("""COMPUTED_VALUE"""),"")</f>
        <v/>
      </c>
      <c r="G2332" t="str">
        <f>IFERROR(__xludf.DUMMYFUNCTION("""COMPUTED_VALUE"""),"")</f>
        <v/>
      </c>
      <c r="H2332" s="2" t="str">
        <f>IFERROR(__xludf.DUMMYFUNCTION("""COMPUTED_VALUE"""),"")</f>
        <v/>
      </c>
      <c r="I2332" s="2" t="str">
        <f>IFERROR(__xludf.DUMMYFUNCTION("""COMPUTED_VALUE"""),"")</f>
        <v/>
      </c>
      <c r="J2332" s="2">
        <f>IFERROR(__xludf.DUMMYFUNCTION("""COMPUTED_VALUE"""),0.0)</f>
        <v>0</v>
      </c>
      <c r="K2332" s="5" t="str">
        <f>IFERROR(__xludf.DUMMYFUNCTION("""COMPUTED_VALUE"""),"")</f>
        <v/>
      </c>
      <c r="L2332" t="str">
        <f>IFERROR(__xludf.DUMMYFUNCTION("""COMPUTED_VALUE"""),"")</f>
        <v/>
      </c>
      <c r="M2332" t="str">
        <f>IFERROR(__xludf.DUMMYFUNCTION("""COMPUTED_VALUE"""),"")</f>
        <v/>
      </c>
      <c r="N2332" t="str">
        <f>IFERROR(__xludf.DUMMYFUNCTION("""COMPUTED_VALUE"""),"")</f>
        <v/>
      </c>
      <c r="O2332" t="str">
        <f>IFERROR(__xludf.DUMMYFUNCTION("""COMPUTED_VALUE"""),"")</f>
        <v/>
      </c>
      <c r="P2332" t="str">
        <f>IFERROR(__xludf.DUMMYFUNCTION("""COMPUTED_VALUE"""),"ID ")</f>
        <v>ID </v>
      </c>
    </row>
    <row r="2333">
      <c r="A2333" s="6" t="str">
        <f>IFERROR(__xludf.DUMMYFUNCTION("""COMPUTED_VALUE"""),"")</f>
        <v/>
      </c>
      <c r="C2333" t="str">
        <f>IFERROR(__xludf.DUMMYFUNCTION("""COMPUTED_VALUE"""),"")</f>
        <v/>
      </c>
      <c r="D2333" t="str">
        <f>IFERROR(__xludf.DUMMYFUNCTION("""COMPUTED_VALUE"""),"")</f>
        <v/>
      </c>
      <c r="E2333" t="str">
        <f>IFERROR(__xludf.DUMMYFUNCTION("""COMPUTED_VALUE"""),"")</f>
        <v/>
      </c>
      <c r="F2333" t="str">
        <f>IFERROR(__xludf.DUMMYFUNCTION("""COMPUTED_VALUE"""),"")</f>
        <v/>
      </c>
      <c r="G2333" t="str">
        <f>IFERROR(__xludf.DUMMYFUNCTION("""COMPUTED_VALUE"""),"")</f>
        <v/>
      </c>
      <c r="H2333" s="2" t="str">
        <f>IFERROR(__xludf.DUMMYFUNCTION("""COMPUTED_VALUE"""),"")</f>
        <v/>
      </c>
      <c r="I2333" s="2" t="str">
        <f>IFERROR(__xludf.DUMMYFUNCTION("""COMPUTED_VALUE"""),"")</f>
        <v/>
      </c>
      <c r="J2333" s="2">
        <f>IFERROR(__xludf.DUMMYFUNCTION("""COMPUTED_VALUE"""),0.0)</f>
        <v>0</v>
      </c>
      <c r="K2333" s="5" t="str">
        <f>IFERROR(__xludf.DUMMYFUNCTION("""COMPUTED_VALUE"""),"")</f>
        <v/>
      </c>
      <c r="L2333" t="str">
        <f>IFERROR(__xludf.DUMMYFUNCTION("""COMPUTED_VALUE"""),"")</f>
        <v/>
      </c>
      <c r="M2333" t="str">
        <f>IFERROR(__xludf.DUMMYFUNCTION("""COMPUTED_VALUE"""),"")</f>
        <v/>
      </c>
      <c r="N2333" t="str">
        <f>IFERROR(__xludf.DUMMYFUNCTION("""COMPUTED_VALUE"""),"")</f>
        <v/>
      </c>
      <c r="O2333" t="str">
        <f>IFERROR(__xludf.DUMMYFUNCTION("""COMPUTED_VALUE"""),"")</f>
        <v/>
      </c>
      <c r="P2333" t="str">
        <f>IFERROR(__xludf.DUMMYFUNCTION("""COMPUTED_VALUE"""),"ID ")</f>
        <v>ID </v>
      </c>
    </row>
    <row r="2334">
      <c r="A2334" s="6" t="str">
        <f>IFERROR(__xludf.DUMMYFUNCTION("""COMPUTED_VALUE"""),"")</f>
        <v/>
      </c>
      <c r="C2334" t="str">
        <f>IFERROR(__xludf.DUMMYFUNCTION("""COMPUTED_VALUE"""),"")</f>
        <v/>
      </c>
      <c r="D2334" t="str">
        <f>IFERROR(__xludf.DUMMYFUNCTION("""COMPUTED_VALUE"""),"")</f>
        <v/>
      </c>
      <c r="E2334" t="str">
        <f>IFERROR(__xludf.DUMMYFUNCTION("""COMPUTED_VALUE"""),"")</f>
        <v/>
      </c>
      <c r="F2334" t="str">
        <f>IFERROR(__xludf.DUMMYFUNCTION("""COMPUTED_VALUE"""),"")</f>
        <v/>
      </c>
      <c r="G2334" t="str">
        <f>IFERROR(__xludf.DUMMYFUNCTION("""COMPUTED_VALUE"""),"")</f>
        <v/>
      </c>
      <c r="H2334" s="2" t="str">
        <f>IFERROR(__xludf.DUMMYFUNCTION("""COMPUTED_VALUE"""),"")</f>
        <v/>
      </c>
      <c r="I2334" s="2" t="str">
        <f>IFERROR(__xludf.DUMMYFUNCTION("""COMPUTED_VALUE"""),"")</f>
        <v/>
      </c>
      <c r="J2334" s="2">
        <f>IFERROR(__xludf.DUMMYFUNCTION("""COMPUTED_VALUE"""),0.0)</f>
        <v>0</v>
      </c>
      <c r="K2334" s="5" t="str">
        <f>IFERROR(__xludf.DUMMYFUNCTION("""COMPUTED_VALUE"""),"")</f>
        <v/>
      </c>
      <c r="L2334" t="str">
        <f>IFERROR(__xludf.DUMMYFUNCTION("""COMPUTED_VALUE"""),"")</f>
        <v/>
      </c>
      <c r="M2334" t="str">
        <f>IFERROR(__xludf.DUMMYFUNCTION("""COMPUTED_VALUE"""),"")</f>
        <v/>
      </c>
      <c r="N2334" t="str">
        <f>IFERROR(__xludf.DUMMYFUNCTION("""COMPUTED_VALUE"""),"")</f>
        <v/>
      </c>
      <c r="O2334" t="str">
        <f>IFERROR(__xludf.DUMMYFUNCTION("""COMPUTED_VALUE"""),"")</f>
        <v/>
      </c>
      <c r="P2334" t="str">
        <f>IFERROR(__xludf.DUMMYFUNCTION("""COMPUTED_VALUE"""),"ID ")</f>
        <v>ID </v>
      </c>
    </row>
    <row r="2335">
      <c r="A2335" s="6" t="str">
        <f>IFERROR(__xludf.DUMMYFUNCTION("""COMPUTED_VALUE"""),"")</f>
        <v/>
      </c>
      <c r="C2335" t="str">
        <f>IFERROR(__xludf.DUMMYFUNCTION("""COMPUTED_VALUE"""),"")</f>
        <v/>
      </c>
      <c r="D2335" t="str">
        <f>IFERROR(__xludf.DUMMYFUNCTION("""COMPUTED_VALUE"""),"")</f>
        <v/>
      </c>
      <c r="E2335" t="str">
        <f>IFERROR(__xludf.DUMMYFUNCTION("""COMPUTED_VALUE"""),"")</f>
        <v/>
      </c>
      <c r="F2335" t="str">
        <f>IFERROR(__xludf.DUMMYFUNCTION("""COMPUTED_VALUE"""),"")</f>
        <v/>
      </c>
      <c r="G2335" t="str">
        <f>IFERROR(__xludf.DUMMYFUNCTION("""COMPUTED_VALUE"""),"")</f>
        <v/>
      </c>
      <c r="H2335" s="2" t="str">
        <f>IFERROR(__xludf.DUMMYFUNCTION("""COMPUTED_VALUE"""),"")</f>
        <v/>
      </c>
      <c r="I2335" s="2" t="str">
        <f>IFERROR(__xludf.DUMMYFUNCTION("""COMPUTED_VALUE"""),"")</f>
        <v/>
      </c>
      <c r="J2335" s="2">
        <f>IFERROR(__xludf.DUMMYFUNCTION("""COMPUTED_VALUE"""),0.0)</f>
        <v>0</v>
      </c>
      <c r="K2335" s="5" t="str">
        <f>IFERROR(__xludf.DUMMYFUNCTION("""COMPUTED_VALUE"""),"")</f>
        <v/>
      </c>
      <c r="L2335" t="str">
        <f>IFERROR(__xludf.DUMMYFUNCTION("""COMPUTED_VALUE"""),"")</f>
        <v/>
      </c>
      <c r="M2335" t="str">
        <f>IFERROR(__xludf.DUMMYFUNCTION("""COMPUTED_VALUE"""),"")</f>
        <v/>
      </c>
      <c r="N2335" t="str">
        <f>IFERROR(__xludf.DUMMYFUNCTION("""COMPUTED_VALUE"""),"")</f>
        <v/>
      </c>
      <c r="O2335" t="str">
        <f>IFERROR(__xludf.DUMMYFUNCTION("""COMPUTED_VALUE"""),"")</f>
        <v/>
      </c>
      <c r="P2335" t="str">
        <f>IFERROR(__xludf.DUMMYFUNCTION("""COMPUTED_VALUE"""),"ID ")</f>
        <v>ID </v>
      </c>
    </row>
    <row r="2336">
      <c r="A2336" s="6" t="str">
        <f>IFERROR(__xludf.DUMMYFUNCTION("""COMPUTED_VALUE"""),"")</f>
        <v/>
      </c>
      <c r="C2336" t="str">
        <f>IFERROR(__xludf.DUMMYFUNCTION("""COMPUTED_VALUE"""),"")</f>
        <v/>
      </c>
      <c r="D2336" t="str">
        <f>IFERROR(__xludf.DUMMYFUNCTION("""COMPUTED_VALUE"""),"")</f>
        <v/>
      </c>
      <c r="E2336" t="str">
        <f>IFERROR(__xludf.DUMMYFUNCTION("""COMPUTED_VALUE"""),"")</f>
        <v/>
      </c>
      <c r="F2336" t="str">
        <f>IFERROR(__xludf.DUMMYFUNCTION("""COMPUTED_VALUE"""),"")</f>
        <v/>
      </c>
      <c r="G2336" t="str">
        <f>IFERROR(__xludf.DUMMYFUNCTION("""COMPUTED_VALUE"""),"")</f>
        <v/>
      </c>
      <c r="H2336" s="2" t="str">
        <f>IFERROR(__xludf.DUMMYFUNCTION("""COMPUTED_VALUE"""),"")</f>
        <v/>
      </c>
      <c r="I2336" s="2" t="str">
        <f>IFERROR(__xludf.DUMMYFUNCTION("""COMPUTED_VALUE"""),"")</f>
        <v/>
      </c>
      <c r="J2336" s="2">
        <f>IFERROR(__xludf.DUMMYFUNCTION("""COMPUTED_VALUE"""),0.0)</f>
        <v>0</v>
      </c>
      <c r="K2336" s="5" t="str">
        <f>IFERROR(__xludf.DUMMYFUNCTION("""COMPUTED_VALUE"""),"")</f>
        <v/>
      </c>
      <c r="L2336" t="str">
        <f>IFERROR(__xludf.DUMMYFUNCTION("""COMPUTED_VALUE"""),"")</f>
        <v/>
      </c>
      <c r="M2336" t="str">
        <f>IFERROR(__xludf.DUMMYFUNCTION("""COMPUTED_VALUE"""),"")</f>
        <v/>
      </c>
      <c r="N2336" t="str">
        <f>IFERROR(__xludf.DUMMYFUNCTION("""COMPUTED_VALUE"""),"")</f>
        <v/>
      </c>
      <c r="O2336" t="str">
        <f>IFERROR(__xludf.DUMMYFUNCTION("""COMPUTED_VALUE"""),"")</f>
        <v/>
      </c>
      <c r="P2336" t="str">
        <f>IFERROR(__xludf.DUMMYFUNCTION("""COMPUTED_VALUE"""),"ID ")</f>
        <v>ID </v>
      </c>
    </row>
    <row r="2337">
      <c r="A2337" s="6" t="str">
        <f>IFERROR(__xludf.DUMMYFUNCTION("""COMPUTED_VALUE"""),"")</f>
        <v/>
      </c>
      <c r="C2337" t="str">
        <f>IFERROR(__xludf.DUMMYFUNCTION("""COMPUTED_VALUE"""),"")</f>
        <v/>
      </c>
      <c r="D2337" t="str">
        <f>IFERROR(__xludf.DUMMYFUNCTION("""COMPUTED_VALUE"""),"")</f>
        <v/>
      </c>
      <c r="E2337" t="str">
        <f>IFERROR(__xludf.DUMMYFUNCTION("""COMPUTED_VALUE"""),"")</f>
        <v/>
      </c>
      <c r="F2337" t="str">
        <f>IFERROR(__xludf.DUMMYFUNCTION("""COMPUTED_VALUE"""),"")</f>
        <v/>
      </c>
      <c r="G2337" t="str">
        <f>IFERROR(__xludf.DUMMYFUNCTION("""COMPUTED_VALUE"""),"")</f>
        <v/>
      </c>
      <c r="H2337" s="2" t="str">
        <f>IFERROR(__xludf.DUMMYFUNCTION("""COMPUTED_VALUE"""),"")</f>
        <v/>
      </c>
      <c r="I2337" s="2" t="str">
        <f>IFERROR(__xludf.DUMMYFUNCTION("""COMPUTED_VALUE"""),"")</f>
        <v/>
      </c>
      <c r="J2337" s="2">
        <f>IFERROR(__xludf.DUMMYFUNCTION("""COMPUTED_VALUE"""),0.0)</f>
        <v>0</v>
      </c>
      <c r="K2337" s="5" t="str">
        <f>IFERROR(__xludf.DUMMYFUNCTION("""COMPUTED_VALUE"""),"")</f>
        <v/>
      </c>
      <c r="L2337" t="str">
        <f>IFERROR(__xludf.DUMMYFUNCTION("""COMPUTED_VALUE"""),"")</f>
        <v/>
      </c>
      <c r="M2337" t="str">
        <f>IFERROR(__xludf.DUMMYFUNCTION("""COMPUTED_VALUE"""),"")</f>
        <v/>
      </c>
      <c r="N2337" t="str">
        <f>IFERROR(__xludf.DUMMYFUNCTION("""COMPUTED_VALUE"""),"")</f>
        <v/>
      </c>
      <c r="O2337" t="str">
        <f>IFERROR(__xludf.DUMMYFUNCTION("""COMPUTED_VALUE"""),"")</f>
        <v/>
      </c>
      <c r="P2337" t="str">
        <f>IFERROR(__xludf.DUMMYFUNCTION("""COMPUTED_VALUE"""),"ID ")</f>
        <v>ID </v>
      </c>
    </row>
    <row r="2338">
      <c r="A2338" s="6" t="str">
        <f>IFERROR(__xludf.DUMMYFUNCTION("""COMPUTED_VALUE"""),"")</f>
        <v/>
      </c>
      <c r="C2338" t="str">
        <f>IFERROR(__xludf.DUMMYFUNCTION("""COMPUTED_VALUE"""),"")</f>
        <v/>
      </c>
      <c r="D2338" t="str">
        <f>IFERROR(__xludf.DUMMYFUNCTION("""COMPUTED_VALUE"""),"")</f>
        <v/>
      </c>
      <c r="E2338" t="str">
        <f>IFERROR(__xludf.DUMMYFUNCTION("""COMPUTED_VALUE"""),"")</f>
        <v/>
      </c>
      <c r="F2338" t="str">
        <f>IFERROR(__xludf.DUMMYFUNCTION("""COMPUTED_VALUE"""),"")</f>
        <v/>
      </c>
      <c r="G2338" t="str">
        <f>IFERROR(__xludf.DUMMYFUNCTION("""COMPUTED_VALUE"""),"")</f>
        <v/>
      </c>
      <c r="H2338" s="2" t="str">
        <f>IFERROR(__xludf.DUMMYFUNCTION("""COMPUTED_VALUE"""),"")</f>
        <v/>
      </c>
      <c r="I2338" s="2" t="str">
        <f>IFERROR(__xludf.DUMMYFUNCTION("""COMPUTED_VALUE"""),"")</f>
        <v/>
      </c>
      <c r="J2338" s="2">
        <f>IFERROR(__xludf.DUMMYFUNCTION("""COMPUTED_VALUE"""),0.0)</f>
        <v>0</v>
      </c>
      <c r="K2338" s="5" t="str">
        <f>IFERROR(__xludf.DUMMYFUNCTION("""COMPUTED_VALUE"""),"")</f>
        <v/>
      </c>
      <c r="L2338" t="str">
        <f>IFERROR(__xludf.DUMMYFUNCTION("""COMPUTED_VALUE"""),"")</f>
        <v/>
      </c>
      <c r="M2338" t="str">
        <f>IFERROR(__xludf.DUMMYFUNCTION("""COMPUTED_VALUE"""),"")</f>
        <v/>
      </c>
      <c r="N2338" t="str">
        <f>IFERROR(__xludf.DUMMYFUNCTION("""COMPUTED_VALUE"""),"")</f>
        <v/>
      </c>
      <c r="O2338" t="str">
        <f>IFERROR(__xludf.DUMMYFUNCTION("""COMPUTED_VALUE"""),"")</f>
        <v/>
      </c>
      <c r="P2338" t="str">
        <f>IFERROR(__xludf.DUMMYFUNCTION("""COMPUTED_VALUE"""),"ID ")</f>
        <v>ID </v>
      </c>
    </row>
    <row r="2339">
      <c r="A2339" s="6" t="str">
        <f>IFERROR(__xludf.DUMMYFUNCTION("""COMPUTED_VALUE"""),"")</f>
        <v/>
      </c>
      <c r="C2339" t="str">
        <f>IFERROR(__xludf.DUMMYFUNCTION("""COMPUTED_VALUE"""),"")</f>
        <v/>
      </c>
      <c r="D2339" t="str">
        <f>IFERROR(__xludf.DUMMYFUNCTION("""COMPUTED_VALUE"""),"")</f>
        <v/>
      </c>
      <c r="E2339" t="str">
        <f>IFERROR(__xludf.DUMMYFUNCTION("""COMPUTED_VALUE"""),"")</f>
        <v/>
      </c>
      <c r="F2339" t="str">
        <f>IFERROR(__xludf.DUMMYFUNCTION("""COMPUTED_VALUE"""),"")</f>
        <v/>
      </c>
      <c r="G2339" t="str">
        <f>IFERROR(__xludf.DUMMYFUNCTION("""COMPUTED_VALUE"""),"")</f>
        <v/>
      </c>
      <c r="H2339" s="2" t="str">
        <f>IFERROR(__xludf.DUMMYFUNCTION("""COMPUTED_VALUE"""),"")</f>
        <v/>
      </c>
      <c r="I2339" s="2" t="str">
        <f>IFERROR(__xludf.DUMMYFUNCTION("""COMPUTED_VALUE"""),"")</f>
        <v/>
      </c>
      <c r="J2339" s="2">
        <f>IFERROR(__xludf.DUMMYFUNCTION("""COMPUTED_VALUE"""),0.0)</f>
        <v>0</v>
      </c>
      <c r="K2339" s="5" t="str">
        <f>IFERROR(__xludf.DUMMYFUNCTION("""COMPUTED_VALUE"""),"")</f>
        <v/>
      </c>
      <c r="L2339" t="str">
        <f>IFERROR(__xludf.DUMMYFUNCTION("""COMPUTED_VALUE"""),"")</f>
        <v/>
      </c>
      <c r="M2339" t="str">
        <f>IFERROR(__xludf.DUMMYFUNCTION("""COMPUTED_VALUE"""),"")</f>
        <v/>
      </c>
      <c r="N2339" t="str">
        <f>IFERROR(__xludf.DUMMYFUNCTION("""COMPUTED_VALUE"""),"")</f>
        <v/>
      </c>
      <c r="O2339" t="str">
        <f>IFERROR(__xludf.DUMMYFUNCTION("""COMPUTED_VALUE"""),"")</f>
        <v/>
      </c>
      <c r="P2339" t="str">
        <f>IFERROR(__xludf.DUMMYFUNCTION("""COMPUTED_VALUE"""),"ID ")</f>
        <v>ID </v>
      </c>
    </row>
    <row r="2340">
      <c r="A2340" s="6" t="str">
        <f>IFERROR(__xludf.DUMMYFUNCTION("""COMPUTED_VALUE"""),"")</f>
        <v/>
      </c>
      <c r="C2340" t="str">
        <f>IFERROR(__xludf.DUMMYFUNCTION("""COMPUTED_VALUE"""),"")</f>
        <v/>
      </c>
      <c r="D2340" t="str">
        <f>IFERROR(__xludf.DUMMYFUNCTION("""COMPUTED_VALUE"""),"")</f>
        <v/>
      </c>
      <c r="E2340" t="str">
        <f>IFERROR(__xludf.DUMMYFUNCTION("""COMPUTED_VALUE"""),"")</f>
        <v/>
      </c>
      <c r="F2340" t="str">
        <f>IFERROR(__xludf.DUMMYFUNCTION("""COMPUTED_VALUE"""),"")</f>
        <v/>
      </c>
      <c r="G2340" t="str">
        <f>IFERROR(__xludf.DUMMYFUNCTION("""COMPUTED_VALUE"""),"")</f>
        <v/>
      </c>
      <c r="H2340" s="2" t="str">
        <f>IFERROR(__xludf.DUMMYFUNCTION("""COMPUTED_VALUE"""),"")</f>
        <v/>
      </c>
      <c r="I2340" s="2" t="str">
        <f>IFERROR(__xludf.DUMMYFUNCTION("""COMPUTED_VALUE"""),"")</f>
        <v/>
      </c>
      <c r="J2340" s="2">
        <f>IFERROR(__xludf.DUMMYFUNCTION("""COMPUTED_VALUE"""),0.0)</f>
        <v>0</v>
      </c>
      <c r="K2340" s="5" t="str">
        <f>IFERROR(__xludf.DUMMYFUNCTION("""COMPUTED_VALUE"""),"")</f>
        <v/>
      </c>
      <c r="L2340" t="str">
        <f>IFERROR(__xludf.DUMMYFUNCTION("""COMPUTED_VALUE"""),"")</f>
        <v/>
      </c>
      <c r="M2340" t="str">
        <f>IFERROR(__xludf.DUMMYFUNCTION("""COMPUTED_VALUE"""),"")</f>
        <v/>
      </c>
      <c r="N2340" t="str">
        <f>IFERROR(__xludf.DUMMYFUNCTION("""COMPUTED_VALUE"""),"")</f>
        <v/>
      </c>
      <c r="O2340" t="str">
        <f>IFERROR(__xludf.DUMMYFUNCTION("""COMPUTED_VALUE"""),"")</f>
        <v/>
      </c>
      <c r="P2340" t="str">
        <f>IFERROR(__xludf.DUMMYFUNCTION("""COMPUTED_VALUE"""),"ID ")</f>
        <v>ID </v>
      </c>
    </row>
    <row r="2341">
      <c r="A2341" s="6" t="str">
        <f>IFERROR(__xludf.DUMMYFUNCTION("""COMPUTED_VALUE"""),"")</f>
        <v/>
      </c>
      <c r="C2341" t="str">
        <f>IFERROR(__xludf.DUMMYFUNCTION("""COMPUTED_VALUE"""),"")</f>
        <v/>
      </c>
      <c r="D2341" t="str">
        <f>IFERROR(__xludf.DUMMYFUNCTION("""COMPUTED_VALUE"""),"")</f>
        <v/>
      </c>
      <c r="E2341" t="str">
        <f>IFERROR(__xludf.DUMMYFUNCTION("""COMPUTED_VALUE"""),"")</f>
        <v/>
      </c>
      <c r="F2341" t="str">
        <f>IFERROR(__xludf.DUMMYFUNCTION("""COMPUTED_VALUE"""),"")</f>
        <v/>
      </c>
      <c r="G2341" t="str">
        <f>IFERROR(__xludf.DUMMYFUNCTION("""COMPUTED_VALUE"""),"")</f>
        <v/>
      </c>
      <c r="H2341" s="2" t="str">
        <f>IFERROR(__xludf.DUMMYFUNCTION("""COMPUTED_VALUE"""),"")</f>
        <v/>
      </c>
      <c r="I2341" s="2" t="str">
        <f>IFERROR(__xludf.DUMMYFUNCTION("""COMPUTED_VALUE"""),"")</f>
        <v/>
      </c>
      <c r="J2341" s="2">
        <f>IFERROR(__xludf.DUMMYFUNCTION("""COMPUTED_VALUE"""),0.0)</f>
        <v>0</v>
      </c>
      <c r="K2341" s="5" t="str">
        <f>IFERROR(__xludf.DUMMYFUNCTION("""COMPUTED_VALUE"""),"")</f>
        <v/>
      </c>
      <c r="L2341" t="str">
        <f>IFERROR(__xludf.DUMMYFUNCTION("""COMPUTED_VALUE"""),"")</f>
        <v/>
      </c>
      <c r="M2341" t="str">
        <f>IFERROR(__xludf.DUMMYFUNCTION("""COMPUTED_VALUE"""),"")</f>
        <v/>
      </c>
      <c r="N2341" t="str">
        <f>IFERROR(__xludf.DUMMYFUNCTION("""COMPUTED_VALUE"""),"")</f>
        <v/>
      </c>
      <c r="O2341" t="str">
        <f>IFERROR(__xludf.DUMMYFUNCTION("""COMPUTED_VALUE"""),"")</f>
        <v/>
      </c>
      <c r="P2341" t="str">
        <f>IFERROR(__xludf.DUMMYFUNCTION("""COMPUTED_VALUE"""),"ID ")</f>
        <v>ID </v>
      </c>
    </row>
    <row r="2342">
      <c r="A2342" s="6" t="str">
        <f>IFERROR(__xludf.DUMMYFUNCTION("""COMPUTED_VALUE"""),"")</f>
        <v/>
      </c>
      <c r="C2342" t="str">
        <f>IFERROR(__xludf.DUMMYFUNCTION("""COMPUTED_VALUE"""),"")</f>
        <v/>
      </c>
      <c r="D2342" t="str">
        <f>IFERROR(__xludf.DUMMYFUNCTION("""COMPUTED_VALUE"""),"")</f>
        <v/>
      </c>
      <c r="E2342" t="str">
        <f>IFERROR(__xludf.DUMMYFUNCTION("""COMPUTED_VALUE"""),"")</f>
        <v/>
      </c>
      <c r="F2342" t="str">
        <f>IFERROR(__xludf.DUMMYFUNCTION("""COMPUTED_VALUE"""),"")</f>
        <v/>
      </c>
      <c r="G2342" t="str">
        <f>IFERROR(__xludf.DUMMYFUNCTION("""COMPUTED_VALUE"""),"")</f>
        <v/>
      </c>
      <c r="H2342" s="2" t="str">
        <f>IFERROR(__xludf.DUMMYFUNCTION("""COMPUTED_VALUE"""),"")</f>
        <v/>
      </c>
      <c r="I2342" s="2" t="str">
        <f>IFERROR(__xludf.DUMMYFUNCTION("""COMPUTED_VALUE"""),"")</f>
        <v/>
      </c>
      <c r="J2342" s="2">
        <f>IFERROR(__xludf.DUMMYFUNCTION("""COMPUTED_VALUE"""),0.0)</f>
        <v>0</v>
      </c>
      <c r="K2342" s="5" t="str">
        <f>IFERROR(__xludf.DUMMYFUNCTION("""COMPUTED_VALUE"""),"")</f>
        <v/>
      </c>
      <c r="L2342" t="str">
        <f>IFERROR(__xludf.DUMMYFUNCTION("""COMPUTED_VALUE"""),"")</f>
        <v/>
      </c>
      <c r="M2342" t="str">
        <f>IFERROR(__xludf.DUMMYFUNCTION("""COMPUTED_VALUE"""),"")</f>
        <v/>
      </c>
      <c r="N2342" t="str">
        <f>IFERROR(__xludf.DUMMYFUNCTION("""COMPUTED_VALUE"""),"")</f>
        <v/>
      </c>
      <c r="O2342" t="str">
        <f>IFERROR(__xludf.DUMMYFUNCTION("""COMPUTED_VALUE"""),"")</f>
        <v/>
      </c>
      <c r="P2342" t="str">
        <f>IFERROR(__xludf.DUMMYFUNCTION("""COMPUTED_VALUE"""),"ID ")</f>
        <v>ID </v>
      </c>
    </row>
    <row r="2343">
      <c r="A2343" s="6" t="str">
        <f>IFERROR(__xludf.DUMMYFUNCTION("""COMPUTED_VALUE"""),"")</f>
        <v/>
      </c>
      <c r="C2343" t="str">
        <f>IFERROR(__xludf.DUMMYFUNCTION("""COMPUTED_VALUE"""),"")</f>
        <v/>
      </c>
      <c r="D2343" t="str">
        <f>IFERROR(__xludf.DUMMYFUNCTION("""COMPUTED_VALUE"""),"")</f>
        <v/>
      </c>
      <c r="E2343" t="str">
        <f>IFERROR(__xludf.DUMMYFUNCTION("""COMPUTED_VALUE"""),"")</f>
        <v/>
      </c>
      <c r="F2343" t="str">
        <f>IFERROR(__xludf.DUMMYFUNCTION("""COMPUTED_VALUE"""),"")</f>
        <v/>
      </c>
      <c r="G2343" t="str">
        <f>IFERROR(__xludf.DUMMYFUNCTION("""COMPUTED_VALUE"""),"")</f>
        <v/>
      </c>
      <c r="H2343" s="2" t="str">
        <f>IFERROR(__xludf.DUMMYFUNCTION("""COMPUTED_VALUE"""),"")</f>
        <v/>
      </c>
      <c r="I2343" s="2" t="str">
        <f>IFERROR(__xludf.DUMMYFUNCTION("""COMPUTED_VALUE"""),"")</f>
        <v/>
      </c>
      <c r="J2343" s="2">
        <f>IFERROR(__xludf.DUMMYFUNCTION("""COMPUTED_VALUE"""),0.0)</f>
        <v>0</v>
      </c>
      <c r="K2343" s="5" t="str">
        <f>IFERROR(__xludf.DUMMYFUNCTION("""COMPUTED_VALUE"""),"")</f>
        <v/>
      </c>
      <c r="L2343" t="str">
        <f>IFERROR(__xludf.DUMMYFUNCTION("""COMPUTED_VALUE"""),"")</f>
        <v/>
      </c>
      <c r="M2343" t="str">
        <f>IFERROR(__xludf.DUMMYFUNCTION("""COMPUTED_VALUE"""),"")</f>
        <v/>
      </c>
      <c r="N2343" t="str">
        <f>IFERROR(__xludf.DUMMYFUNCTION("""COMPUTED_VALUE"""),"")</f>
        <v/>
      </c>
      <c r="O2343" t="str">
        <f>IFERROR(__xludf.DUMMYFUNCTION("""COMPUTED_VALUE"""),"")</f>
        <v/>
      </c>
      <c r="P2343" t="str">
        <f>IFERROR(__xludf.DUMMYFUNCTION("""COMPUTED_VALUE"""),"ID ")</f>
        <v>ID </v>
      </c>
    </row>
    <row r="2344">
      <c r="A2344" s="6" t="str">
        <f>IFERROR(__xludf.DUMMYFUNCTION("""COMPUTED_VALUE"""),"")</f>
        <v/>
      </c>
      <c r="C2344" t="str">
        <f>IFERROR(__xludf.DUMMYFUNCTION("""COMPUTED_VALUE"""),"")</f>
        <v/>
      </c>
      <c r="D2344" t="str">
        <f>IFERROR(__xludf.DUMMYFUNCTION("""COMPUTED_VALUE"""),"")</f>
        <v/>
      </c>
      <c r="E2344" t="str">
        <f>IFERROR(__xludf.DUMMYFUNCTION("""COMPUTED_VALUE"""),"")</f>
        <v/>
      </c>
      <c r="F2344" t="str">
        <f>IFERROR(__xludf.DUMMYFUNCTION("""COMPUTED_VALUE"""),"")</f>
        <v/>
      </c>
      <c r="G2344" t="str">
        <f>IFERROR(__xludf.DUMMYFUNCTION("""COMPUTED_VALUE"""),"")</f>
        <v/>
      </c>
      <c r="H2344" s="2" t="str">
        <f>IFERROR(__xludf.DUMMYFUNCTION("""COMPUTED_VALUE"""),"")</f>
        <v/>
      </c>
      <c r="I2344" s="2" t="str">
        <f>IFERROR(__xludf.DUMMYFUNCTION("""COMPUTED_VALUE"""),"")</f>
        <v/>
      </c>
      <c r="J2344" s="2">
        <f>IFERROR(__xludf.DUMMYFUNCTION("""COMPUTED_VALUE"""),0.0)</f>
        <v>0</v>
      </c>
      <c r="K2344" s="5" t="str">
        <f>IFERROR(__xludf.DUMMYFUNCTION("""COMPUTED_VALUE"""),"")</f>
        <v/>
      </c>
      <c r="L2344" t="str">
        <f>IFERROR(__xludf.DUMMYFUNCTION("""COMPUTED_VALUE"""),"")</f>
        <v/>
      </c>
      <c r="M2344" t="str">
        <f>IFERROR(__xludf.DUMMYFUNCTION("""COMPUTED_VALUE"""),"")</f>
        <v/>
      </c>
      <c r="N2344" t="str">
        <f>IFERROR(__xludf.DUMMYFUNCTION("""COMPUTED_VALUE"""),"")</f>
        <v/>
      </c>
      <c r="O2344" t="str">
        <f>IFERROR(__xludf.DUMMYFUNCTION("""COMPUTED_VALUE"""),"")</f>
        <v/>
      </c>
      <c r="P2344" t="str">
        <f>IFERROR(__xludf.DUMMYFUNCTION("""COMPUTED_VALUE"""),"ID ")</f>
        <v>ID </v>
      </c>
    </row>
    <row r="2345">
      <c r="A2345" s="6" t="str">
        <f>IFERROR(__xludf.DUMMYFUNCTION("""COMPUTED_VALUE"""),"")</f>
        <v/>
      </c>
      <c r="C2345" t="str">
        <f>IFERROR(__xludf.DUMMYFUNCTION("""COMPUTED_VALUE"""),"")</f>
        <v/>
      </c>
      <c r="D2345" t="str">
        <f>IFERROR(__xludf.DUMMYFUNCTION("""COMPUTED_VALUE"""),"")</f>
        <v/>
      </c>
      <c r="E2345" t="str">
        <f>IFERROR(__xludf.DUMMYFUNCTION("""COMPUTED_VALUE"""),"")</f>
        <v/>
      </c>
      <c r="F2345" t="str">
        <f>IFERROR(__xludf.DUMMYFUNCTION("""COMPUTED_VALUE"""),"")</f>
        <v/>
      </c>
      <c r="G2345" t="str">
        <f>IFERROR(__xludf.DUMMYFUNCTION("""COMPUTED_VALUE"""),"")</f>
        <v/>
      </c>
      <c r="H2345" s="2" t="str">
        <f>IFERROR(__xludf.DUMMYFUNCTION("""COMPUTED_VALUE"""),"")</f>
        <v/>
      </c>
      <c r="I2345" s="2" t="str">
        <f>IFERROR(__xludf.DUMMYFUNCTION("""COMPUTED_VALUE"""),"")</f>
        <v/>
      </c>
      <c r="J2345" s="2">
        <f>IFERROR(__xludf.DUMMYFUNCTION("""COMPUTED_VALUE"""),0.0)</f>
        <v>0</v>
      </c>
      <c r="K2345" s="5" t="str">
        <f>IFERROR(__xludf.DUMMYFUNCTION("""COMPUTED_VALUE"""),"")</f>
        <v/>
      </c>
      <c r="L2345" t="str">
        <f>IFERROR(__xludf.DUMMYFUNCTION("""COMPUTED_VALUE"""),"")</f>
        <v/>
      </c>
      <c r="M2345" t="str">
        <f>IFERROR(__xludf.DUMMYFUNCTION("""COMPUTED_VALUE"""),"")</f>
        <v/>
      </c>
      <c r="N2345" t="str">
        <f>IFERROR(__xludf.DUMMYFUNCTION("""COMPUTED_VALUE"""),"")</f>
        <v/>
      </c>
      <c r="O2345" t="str">
        <f>IFERROR(__xludf.DUMMYFUNCTION("""COMPUTED_VALUE"""),"")</f>
        <v/>
      </c>
      <c r="P2345" t="str">
        <f>IFERROR(__xludf.DUMMYFUNCTION("""COMPUTED_VALUE"""),"ID ")</f>
        <v>ID </v>
      </c>
    </row>
    <row r="2346">
      <c r="A2346" s="6" t="str">
        <f>IFERROR(__xludf.DUMMYFUNCTION("""COMPUTED_VALUE"""),"")</f>
        <v/>
      </c>
      <c r="C2346" t="str">
        <f>IFERROR(__xludf.DUMMYFUNCTION("""COMPUTED_VALUE"""),"")</f>
        <v/>
      </c>
      <c r="D2346" t="str">
        <f>IFERROR(__xludf.DUMMYFUNCTION("""COMPUTED_VALUE"""),"")</f>
        <v/>
      </c>
      <c r="E2346" t="str">
        <f>IFERROR(__xludf.DUMMYFUNCTION("""COMPUTED_VALUE"""),"")</f>
        <v/>
      </c>
      <c r="F2346" t="str">
        <f>IFERROR(__xludf.DUMMYFUNCTION("""COMPUTED_VALUE"""),"")</f>
        <v/>
      </c>
      <c r="G2346" t="str">
        <f>IFERROR(__xludf.DUMMYFUNCTION("""COMPUTED_VALUE"""),"")</f>
        <v/>
      </c>
      <c r="H2346" s="2" t="str">
        <f>IFERROR(__xludf.DUMMYFUNCTION("""COMPUTED_VALUE"""),"")</f>
        <v/>
      </c>
      <c r="I2346" s="2" t="str">
        <f>IFERROR(__xludf.DUMMYFUNCTION("""COMPUTED_VALUE"""),"")</f>
        <v/>
      </c>
      <c r="J2346" s="2">
        <f>IFERROR(__xludf.DUMMYFUNCTION("""COMPUTED_VALUE"""),0.0)</f>
        <v>0</v>
      </c>
      <c r="K2346" s="5" t="str">
        <f>IFERROR(__xludf.DUMMYFUNCTION("""COMPUTED_VALUE"""),"")</f>
        <v/>
      </c>
      <c r="L2346" t="str">
        <f>IFERROR(__xludf.DUMMYFUNCTION("""COMPUTED_VALUE"""),"")</f>
        <v/>
      </c>
      <c r="M2346" t="str">
        <f>IFERROR(__xludf.DUMMYFUNCTION("""COMPUTED_VALUE"""),"")</f>
        <v/>
      </c>
      <c r="N2346" t="str">
        <f>IFERROR(__xludf.DUMMYFUNCTION("""COMPUTED_VALUE"""),"")</f>
        <v/>
      </c>
      <c r="O2346" t="str">
        <f>IFERROR(__xludf.DUMMYFUNCTION("""COMPUTED_VALUE"""),"")</f>
        <v/>
      </c>
      <c r="P2346" t="str">
        <f>IFERROR(__xludf.DUMMYFUNCTION("""COMPUTED_VALUE"""),"ID ")</f>
        <v>ID </v>
      </c>
    </row>
    <row r="2347">
      <c r="A2347" s="6" t="str">
        <f>IFERROR(__xludf.DUMMYFUNCTION("""COMPUTED_VALUE"""),"")</f>
        <v/>
      </c>
      <c r="C2347" t="str">
        <f>IFERROR(__xludf.DUMMYFUNCTION("""COMPUTED_VALUE"""),"")</f>
        <v/>
      </c>
      <c r="D2347" t="str">
        <f>IFERROR(__xludf.DUMMYFUNCTION("""COMPUTED_VALUE"""),"")</f>
        <v/>
      </c>
      <c r="E2347" t="str">
        <f>IFERROR(__xludf.DUMMYFUNCTION("""COMPUTED_VALUE"""),"")</f>
        <v/>
      </c>
      <c r="F2347" t="str">
        <f>IFERROR(__xludf.DUMMYFUNCTION("""COMPUTED_VALUE"""),"")</f>
        <v/>
      </c>
      <c r="G2347" t="str">
        <f>IFERROR(__xludf.DUMMYFUNCTION("""COMPUTED_VALUE"""),"")</f>
        <v/>
      </c>
      <c r="H2347" s="2" t="str">
        <f>IFERROR(__xludf.DUMMYFUNCTION("""COMPUTED_VALUE"""),"")</f>
        <v/>
      </c>
      <c r="I2347" s="2" t="str">
        <f>IFERROR(__xludf.DUMMYFUNCTION("""COMPUTED_VALUE"""),"")</f>
        <v/>
      </c>
      <c r="J2347" s="2">
        <f>IFERROR(__xludf.DUMMYFUNCTION("""COMPUTED_VALUE"""),0.0)</f>
        <v>0</v>
      </c>
      <c r="K2347" s="5" t="str">
        <f>IFERROR(__xludf.DUMMYFUNCTION("""COMPUTED_VALUE"""),"")</f>
        <v/>
      </c>
      <c r="L2347" t="str">
        <f>IFERROR(__xludf.DUMMYFUNCTION("""COMPUTED_VALUE"""),"")</f>
        <v/>
      </c>
      <c r="M2347" t="str">
        <f>IFERROR(__xludf.DUMMYFUNCTION("""COMPUTED_VALUE"""),"")</f>
        <v/>
      </c>
      <c r="N2347" t="str">
        <f>IFERROR(__xludf.DUMMYFUNCTION("""COMPUTED_VALUE"""),"")</f>
        <v/>
      </c>
      <c r="O2347" t="str">
        <f>IFERROR(__xludf.DUMMYFUNCTION("""COMPUTED_VALUE"""),"")</f>
        <v/>
      </c>
      <c r="P2347" t="str">
        <f>IFERROR(__xludf.DUMMYFUNCTION("""COMPUTED_VALUE"""),"ID ")</f>
        <v>ID </v>
      </c>
    </row>
    <row r="2348">
      <c r="A2348" s="6" t="str">
        <f>IFERROR(__xludf.DUMMYFUNCTION("""COMPUTED_VALUE"""),"")</f>
        <v/>
      </c>
      <c r="C2348" t="str">
        <f>IFERROR(__xludf.DUMMYFUNCTION("""COMPUTED_VALUE"""),"")</f>
        <v/>
      </c>
      <c r="D2348" t="str">
        <f>IFERROR(__xludf.DUMMYFUNCTION("""COMPUTED_VALUE"""),"")</f>
        <v/>
      </c>
      <c r="E2348" t="str">
        <f>IFERROR(__xludf.DUMMYFUNCTION("""COMPUTED_VALUE"""),"")</f>
        <v/>
      </c>
      <c r="F2348" t="str">
        <f>IFERROR(__xludf.DUMMYFUNCTION("""COMPUTED_VALUE"""),"")</f>
        <v/>
      </c>
      <c r="G2348" t="str">
        <f>IFERROR(__xludf.DUMMYFUNCTION("""COMPUTED_VALUE"""),"")</f>
        <v/>
      </c>
      <c r="H2348" s="2" t="str">
        <f>IFERROR(__xludf.DUMMYFUNCTION("""COMPUTED_VALUE"""),"")</f>
        <v/>
      </c>
      <c r="I2348" s="2" t="str">
        <f>IFERROR(__xludf.DUMMYFUNCTION("""COMPUTED_VALUE"""),"")</f>
        <v/>
      </c>
      <c r="J2348" s="2">
        <f>IFERROR(__xludf.DUMMYFUNCTION("""COMPUTED_VALUE"""),0.0)</f>
        <v>0</v>
      </c>
      <c r="K2348" s="5" t="str">
        <f>IFERROR(__xludf.DUMMYFUNCTION("""COMPUTED_VALUE"""),"")</f>
        <v/>
      </c>
      <c r="L2348" t="str">
        <f>IFERROR(__xludf.DUMMYFUNCTION("""COMPUTED_VALUE"""),"")</f>
        <v/>
      </c>
      <c r="M2348" t="str">
        <f>IFERROR(__xludf.DUMMYFUNCTION("""COMPUTED_VALUE"""),"")</f>
        <v/>
      </c>
      <c r="N2348" t="str">
        <f>IFERROR(__xludf.DUMMYFUNCTION("""COMPUTED_VALUE"""),"")</f>
        <v/>
      </c>
      <c r="O2348" t="str">
        <f>IFERROR(__xludf.DUMMYFUNCTION("""COMPUTED_VALUE"""),"")</f>
        <v/>
      </c>
      <c r="P2348" t="str">
        <f>IFERROR(__xludf.DUMMYFUNCTION("""COMPUTED_VALUE"""),"ID ")</f>
        <v>ID </v>
      </c>
    </row>
    <row r="2349">
      <c r="A2349" s="6" t="str">
        <f>IFERROR(__xludf.DUMMYFUNCTION("""COMPUTED_VALUE"""),"")</f>
        <v/>
      </c>
      <c r="C2349" t="str">
        <f>IFERROR(__xludf.DUMMYFUNCTION("""COMPUTED_VALUE"""),"")</f>
        <v/>
      </c>
      <c r="D2349" t="str">
        <f>IFERROR(__xludf.DUMMYFUNCTION("""COMPUTED_VALUE"""),"")</f>
        <v/>
      </c>
      <c r="E2349" t="str">
        <f>IFERROR(__xludf.DUMMYFUNCTION("""COMPUTED_VALUE"""),"")</f>
        <v/>
      </c>
      <c r="F2349" t="str">
        <f>IFERROR(__xludf.DUMMYFUNCTION("""COMPUTED_VALUE"""),"")</f>
        <v/>
      </c>
      <c r="G2349" t="str">
        <f>IFERROR(__xludf.DUMMYFUNCTION("""COMPUTED_VALUE"""),"")</f>
        <v/>
      </c>
      <c r="H2349" s="2" t="str">
        <f>IFERROR(__xludf.DUMMYFUNCTION("""COMPUTED_VALUE"""),"")</f>
        <v/>
      </c>
      <c r="I2349" s="2" t="str">
        <f>IFERROR(__xludf.DUMMYFUNCTION("""COMPUTED_VALUE"""),"")</f>
        <v/>
      </c>
      <c r="J2349" s="2">
        <f>IFERROR(__xludf.DUMMYFUNCTION("""COMPUTED_VALUE"""),0.0)</f>
        <v>0</v>
      </c>
      <c r="K2349" s="5" t="str">
        <f>IFERROR(__xludf.DUMMYFUNCTION("""COMPUTED_VALUE"""),"")</f>
        <v/>
      </c>
      <c r="L2349" t="str">
        <f>IFERROR(__xludf.DUMMYFUNCTION("""COMPUTED_VALUE"""),"")</f>
        <v/>
      </c>
      <c r="M2349" t="str">
        <f>IFERROR(__xludf.DUMMYFUNCTION("""COMPUTED_VALUE"""),"")</f>
        <v/>
      </c>
      <c r="N2349" t="str">
        <f>IFERROR(__xludf.DUMMYFUNCTION("""COMPUTED_VALUE"""),"")</f>
        <v/>
      </c>
      <c r="O2349" t="str">
        <f>IFERROR(__xludf.DUMMYFUNCTION("""COMPUTED_VALUE"""),"")</f>
        <v/>
      </c>
      <c r="P2349" t="str">
        <f>IFERROR(__xludf.DUMMYFUNCTION("""COMPUTED_VALUE"""),"ID ")</f>
        <v>ID </v>
      </c>
    </row>
    <row r="2350">
      <c r="A2350" s="6" t="str">
        <f>IFERROR(__xludf.DUMMYFUNCTION("""COMPUTED_VALUE"""),"")</f>
        <v/>
      </c>
      <c r="C2350" t="str">
        <f>IFERROR(__xludf.DUMMYFUNCTION("""COMPUTED_VALUE"""),"")</f>
        <v/>
      </c>
      <c r="D2350" t="str">
        <f>IFERROR(__xludf.DUMMYFUNCTION("""COMPUTED_VALUE"""),"")</f>
        <v/>
      </c>
      <c r="E2350" t="str">
        <f>IFERROR(__xludf.DUMMYFUNCTION("""COMPUTED_VALUE"""),"")</f>
        <v/>
      </c>
      <c r="F2350" t="str">
        <f>IFERROR(__xludf.DUMMYFUNCTION("""COMPUTED_VALUE"""),"")</f>
        <v/>
      </c>
      <c r="G2350" t="str">
        <f>IFERROR(__xludf.DUMMYFUNCTION("""COMPUTED_VALUE"""),"")</f>
        <v/>
      </c>
      <c r="H2350" s="2" t="str">
        <f>IFERROR(__xludf.DUMMYFUNCTION("""COMPUTED_VALUE"""),"")</f>
        <v/>
      </c>
      <c r="I2350" s="2" t="str">
        <f>IFERROR(__xludf.DUMMYFUNCTION("""COMPUTED_VALUE"""),"")</f>
        <v/>
      </c>
      <c r="J2350" s="2">
        <f>IFERROR(__xludf.DUMMYFUNCTION("""COMPUTED_VALUE"""),0.0)</f>
        <v>0</v>
      </c>
      <c r="K2350" s="5" t="str">
        <f>IFERROR(__xludf.DUMMYFUNCTION("""COMPUTED_VALUE"""),"")</f>
        <v/>
      </c>
      <c r="L2350" t="str">
        <f>IFERROR(__xludf.DUMMYFUNCTION("""COMPUTED_VALUE"""),"")</f>
        <v/>
      </c>
      <c r="M2350" t="str">
        <f>IFERROR(__xludf.DUMMYFUNCTION("""COMPUTED_VALUE"""),"")</f>
        <v/>
      </c>
      <c r="N2350" t="str">
        <f>IFERROR(__xludf.DUMMYFUNCTION("""COMPUTED_VALUE"""),"")</f>
        <v/>
      </c>
      <c r="O2350" t="str">
        <f>IFERROR(__xludf.DUMMYFUNCTION("""COMPUTED_VALUE"""),"")</f>
        <v/>
      </c>
      <c r="P2350" t="str">
        <f>IFERROR(__xludf.DUMMYFUNCTION("""COMPUTED_VALUE"""),"ID ")</f>
        <v>ID </v>
      </c>
    </row>
    <row r="2351">
      <c r="A2351" s="6" t="str">
        <f>IFERROR(__xludf.DUMMYFUNCTION("""COMPUTED_VALUE"""),"")</f>
        <v/>
      </c>
      <c r="C2351" t="str">
        <f>IFERROR(__xludf.DUMMYFUNCTION("""COMPUTED_VALUE"""),"")</f>
        <v/>
      </c>
      <c r="D2351" t="str">
        <f>IFERROR(__xludf.DUMMYFUNCTION("""COMPUTED_VALUE"""),"")</f>
        <v/>
      </c>
      <c r="E2351" t="str">
        <f>IFERROR(__xludf.DUMMYFUNCTION("""COMPUTED_VALUE"""),"")</f>
        <v/>
      </c>
      <c r="F2351" t="str">
        <f>IFERROR(__xludf.DUMMYFUNCTION("""COMPUTED_VALUE"""),"")</f>
        <v/>
      </c>
      <c r="G2351" t="str">
        <f>IFERROR(__xludf.DUMMYFUNCTION("""COMPUTED_VALUE"""),"")</f>
        <v/>
      </c>
      <c r="H2351" s="2" t="str">
        <f>IFERROR(__xludf.DUMMYFUNCTION("""COMPUTED_VALUE"""),"")</f>
        <v/>
      </c>
      <c r="I2351" s="2" t="str">
        <f>IFERROR(__xludf.DUMMYFUNCTION("""COMPUTED_VALUE"""),"")</f>
        <v/>
      </c>
      <c r="J2351" s="2">
        <f>IFERROR(__xludf.DUMMYFUNCTION("""COMPUTED_VALUE"""),0.0)</f>
        <v>0</v>
      </c>
      <c r="K2351" s="5" t="str">
        <f>IFERROR(__xludf.DUMMYFUNCTION("""COMPUTED_VALUE"""),"")</f>
        <v/>
      </c>
      <c r="L2351" t="str">
        <f>IFERROR(__xludf.DUMMYFUNCTION("""COMPUTED_VALUE"""),"")</f>
        <v/>
      </c>
      <c r="M2351" t="str">
        <f>IFERROR(__xludf.DUMMYFUNCTION("""COMPUTED_VALUE"""),"")</f>
        <v/>
      </c>
      <c r="N2351" t="str">
        <f>IFERROR(__xludf.DUMMYFUNCTION("""COMPUTED_VALUE"""),"")</f>
        <v/>
      </c>
      <c r="O2351" t="str">
        <f>IFERROR(__xludf.DUMMYFUNCTION("""COMPUTED_VALUE"""),"")</f>
        <v/>
      </c>
      <c r="P2351" t="str">
        <f>IFERROR(__xludf.DUMMYFUNCTION("""COMPUTED_VALUE"""),"ID ")</f>
        <v>ID </v>
      </c>
    </row>
    <row r="2352">
      <c r="A2352" s="6" t="str">
        <f>IFERROR(__xludf.DUMMYFUNCTION("""COMPUTED_VALUE"""),"")</f>
        <v/>
      </c>
      <c r="C2352" t="str">
        <f>IFERROR(__xludf.DUMMYFUNCTION("""COMPUTED_VALUE"""),"")</f>
        <v/>
      </c>
      <c r="D2352" t="str">
        <f>IFERROR(__xludf.DUMMYFUNCTION("""COMPUTED_VALUE"""),"")</f>
        <v/>
      </c>
      <c r="E2352" t="str">
        <f>IFERROR(__xludf.DUMMYFUNCTION("""COMPUTED_VALUE"""),"")</f>
        <v/>
      </c>
      <c r="F2352" t="str">
        <f>IFERROR(__xludf.DUMMYFUNCTION("""COMPUTED_VALUE"""),"")</f>
        <v/>
      </c>
      <c r="G2352" t="str">
        <f>IFERROR(__xludf.DUMMYFUNCTION("""COMPUTED_VALUE"""),"")</f>
        <v/>
      </c>
      <c r="H2352" s="2" t="str">
        <f>IFERROR(__xludf.DUMMYFUNCTION("""COMPUTED_VALUE"""),"")</f>
        <v/>
      </c>
      <c r="I2352" s="2" t="str">
        <f>IFERROR(__xludf.DUMMYFUNCTION("""COMPUTED_VALUE"""),"")</f>
        <v/>
      </c>
      <c r="J2352" s="2">
        <f>IFERROR(__xludf.DUMMYFUNCTION("""COMPUTED_VALUE"""),0.0)</f>
        <v>0</v>
      </c>
      <c r="K2352" s="5" t="str">
        <f>IFERROR(__xludf.DUMMYFUNCTION("""COMPUTED_VALUE"""),"")</f>
        <v/>
      </c>
      <c r="L2352" t="str">
        <f>IFERROR(__xludf.DUMMYFUNCTION("""COMPUTED_VALUE"""),"")</f>
        <v/>
      </c>
      <c r="M2352" t="str">
        <f>IFERROR(__xludf.DUMMYFUNCTION("""COMPUTED_VALUE"""),"")</f>
        <v/>
      </c>
      <c r="N2352" t="str">
        <f>IFERROR(__xludf.DUMMYFUNCTION("""COMPUTED_VALUE"""),"")</f>
        <v/>
      </c>
      <c r="O2352" t="str">
        <f>IFERROR(__xludf.DUMMYFUNCTION("""COMPUTED_VALUE"""),"")</f>
        <v/>
      </c>
      <c r="P2352" t="str">
        <f>IFERROR(__xludf.DUMMYFUNCTION("""COMPUTED_VALUE"""),"ID ")</f>
        <v>ID </v>
      </c>
    </row>
    <row r="2353">
      <c r="A2353" s="6" t="str">
        <f>IFERROR(__xludf.DUMMYFUNCTION("""COMPUTED_VALUE"""),"")</f>
        <v/>
      </c>
      <c r="C2353" t="str">
        <f>IFERROR(__xludf.DUMMYFUNCTION("""COMPUTED_VALUE"""),"")</f>
        <v/>
      </c>
      <c r="D2353" t="str">
        <f>IFERROR(__xludf.DUMMYFUNCTION("""COMPUTED_VALUE"""),"")</f>
        <v/>
      </c>
      <c r="E2353" t="str">
        <f>IFERROR(__xludf.DUMMYFUNCTION("""COMPUTED_VALUE"""),"")</f>
        <v/>
      </c>
      <c r="F2353" t="str">
        <f>IFERROR(__xludf.DUMMYFUNCTION("""COMPUTED_VALUE"""),"")</f>
        <v/>
      </c>
      <c r="G2353" t="str">
        <f>IFERROR(__xludf.DUMMYFUNCTION("""COMPUTED_VALUE"""),"")</f>
        <v/>
      </c>
      <c r="H2353" s="2" t="str">
        <f>IFERROR(__xludf.DUMMYFUNCTION("""COMPUTED_VALUE"""),"")</f>
        <v/>
      </c>
      <c r="I2353" s="2" t="str">
        <f>IFERROR(__xludf.DUMMYFUNCTION("""COMPUTED_VALUE"""),"")</f>
        <v/>
      </c>
      <c r="J2353" s="2">
        <f>IFERROR(__xludf.DUMMYFUNCTION("""COMPUTED_VALUE"""),0.0)</f>
        <v>0</v>
      </c>
      <c r="K2353" s="5" t="str">
        <f>IFERROR(__xludf.DUMMYFUNCTION("""COMPUTED_VALUE"""),"")</f>
        <v/>
      </c>
      <c r="L2353" t="str">
        <f>IFERROR(__xludf.DUMMYFUNCTION("""COMPUTED_VALUE"""),"")</f>
        <v/>
      </c>
      <c r="M2353" t="str">
        <f>IFERROR(__xludf.DUMMYFUNCTION("""COMPUTED_VALUE"""),"")</f>
        <v/>
      </c>
      <c r="N2353" t="str">
        <f>IFERROR(__xludf.DUMMYFUNCTION("""COMPUTED_VALUE"""),"")</f>
        <v/>
      </c>
      <c r="O2353" t="str">
        <f>IFERROR(__xludf.DUMMYFUNCTION("""COMPUTED_VALUE"""),"")</f>
        <v/>
      </c>
      <c r="P2353" t="str">
        <f>IFERROR(__xludf.DUMMYFUNCTION("""COMPUTED_VALUE"""),"ID ")</f>
        <v>ID </v>
      </c>
    </row>
    <row r="2354">
      <c r="A2354" s="6" t="str">
        <f>IFERROR(__xludf.DUMMYFUNCTION("""COMPUTED_VALUE"""),"")</f>
        <v/>
      </c>
      <c r="C2354" t="str">
        <f>IFERROR(__xludf.DUMMYFUNCTION("""COMPUTED_VALUE"""),"")</f>
        <v/>
      </c>
      <c r="D2354" t="str">
        <f>IFERROR(__xludf.DUMMYFUNCTION("""COMPUTED_VALUE"""),"")</f>
        <v/>
      </c>
      <c r="E2354" t="str">
        <f>IFERROR(__xludf.DUMMYFUNCTION("""COMPUTED_VALUE"""),"")</f>
        <v/>
      </c>
      <c r="F2354" t="str">
        <f>IFERROR(__xludf.DUMMYFUNCTION("""COMPUTED_VALUE"""),"")</f>
        <v/>
      </c>
      <c r="G2354" t="str">
        <f>IFERROR(__xludf.DUMMYFUNCTION("""COMPUTED_VALUE"""),"")</f>
        <v/>
      </c>
      <c r="H2354" s="2" t="str">
        <f>IFERROR(__xludf.DUMMYFUNCTION("""COMPUTED_VALUE"""),"")</f>
        <v/>
      </c>
      <c r="I2354" s="2" t="str">
        <f>IFERROR(__xludf.DUMMYFUNCTION("""COMPUTED_VALUE"""),"")</f>
        <v/>
      </c>
      <c r="J2354" s="2">
        <f>IFERROR(__xludf.DUMMYFUNCTION("""COMPUTED_VALUE"""),0.0)</f>
        <v>0</v>
      </c>
      <c r="K2354" s="5" t="str">
        <f>IFERROR(__xludf.DUMMYFUNCTION("""COMPUTED_VALUE"""),"")</f>
        <v/>
      </c>
      <c r="L2354" t="str">
        <f>IFERROR(__xludf.DUMMYFUNCTION("""COMPUTED_VALUE"""),"")</f>
        <v/>
      </c>
      <c r="M2354" t="str">
        <f>IFERROR(__xludf.DUMMYFUNCTION("""COMPUTED_VALUE"""),"")</f>
        <v/>
      </c>
      <c r="N2354" t="str">
        <f>IFERROR(__xludf.DUMMYFUNCTION("""COMPUTED_VALUE"""),"")</f>
        <v/>
      </c>
      <c r="O2354" t="str">
        <f>IFERROR(__xludf.DUMMYFUNCTION("""COMPUTED_VALUE"""),"")</f>
        <v/>
      </c>
      <c r="P2354" t="str">
        <f>IFERROR(__xludf.DUMMYFUNCTION("""COMPUTED_VALUE"""),"ID ")</f>
        <v>ID </v>
      </c>
    </row>
    <row r="2355">
      <c r="A2355" s="6" t="str">
        <f>IFERROR(__xludf.DUMMYFUNCTION("""COMPUTED_VALUE"""),"")</f>
        <v/>
      </c>
      <c r="C2355" t="str">
        <f>IFERROR(__xludf.DUMMYFUNCTION("""COMPUTED_VALUE"""),"")</f>
        <v/>
      </c>
      <c r="D2355" t="str">
        <f>IFERROR(__xludf.DUMMYFUNCTION("""COMPUTED_VALUE"""),"")</f>
        <v/>
      </c>
      <c r="E2355" t="str">
        <f>IFERROR(__xludf.DUMMYFUNCTION("""COMPUTED_VALUE"""),"")</f>
        <v/>
      </c>
      <c r="F2355" t="str">
        <f>IFERROR(__xludf.DUMMYFUNCTION("""COMPUTED_VALUE"""),"")</f>
        <v/>
      </c>
      <c r="G2355" t="str">
        <f>IFERROR(__xludf.DUMMYFUNCTION("""COMPUTED_VALUE"""),"")</f>
        <v/>
      </c>
      <c r="H2355" s="2" t="str">
        <f>IFERROR(__xludf.DUMMYFUNCTION("""COMPUTED_VALUE"""),"")</f>
        <v/>
      </c>
      <c r="I2355" s="2" t="str">
        <f>IFERROR(__xludf.DUMMYFUNCTION("""COMPUTED_VALUE"""),"")</f>
        <v/>
      </c>
      <c r="J2355" s="2">
        <f>IFERROR(__xludf.DUMMYFUNCTION("""COMPUTED_VALUE"""),0.0)</f>
        <v>0</v>
      </c>
      <c r="K2355" s="5" t="str">
        <f>IFERROR(__xludf.DUMMYFUNCTION("""COMPUTED_VALUE"""),"")</f>
        <v/>
      </c>
      <c r="L2355" t="str">
        <f>IFERROR(__xludf.DUMMYFUNCTION("""COMPUTED_VALUE"""),"")</f>
        <v/>
      </c>
      <c r="M2355" t="str">
        <f>IFERROR(__xludf.DUMMYFUNCTION("""COMPUTED_VALUE"""),"")</f>
        <v/>
      </c>
      <c r="N2355" t="str">
        <f>IFERROR(__xludf.DUMMYFUNCTION("""COMPUTED_VALUE"""),"")</f>
        <v/>
      </c>
      <c r="O2355" t="str">
        <f>IFERROR(__xludf.DUMMYFUNCTION("""COMPUTED_VALUE"""),"")</f>
        <v/>
      </c>
      <c r="P2355" t="str">
        <f>IFERROR(__xludf.DUMMYFUNCTION("""COMPUTED_VALUE"""),"ID ")</f>
        <v>ID </v>
      </c>
    </row>
    <row r="2356">
      <c r="A2356" s="6" t="str">
        <f>IFERROR(__xludf.DUMMYFUNCTION("""COMPUTED_VALUE"""),"")</f>
        <v/>
      </c>
      <c r="C2356" t="str">
        <f>IFERROR(__xludf.DUMMYFUNCTION("""COMPUTED_VALUE"""),"")</f>
        <v/>
      </c>
      <c r="D2356" t="str">
        <f>IFERROR(__xludf.DUMMYFUNCTION("""COMPUTED_VALUE"""),"")</f>
        <v/>
      </c>
      <c r="E2356" t="str">
        <f>IFERROR(__xludf.DUMMYFUNCTION("""COMPUTED_VALUE"""),"")</f>
        <v/>
      </c>
      <c r="F2356" t="str">
        <f>IFERROR(__xludf.DUMMYFUNCTION("""COMPUTED_VALUE"""),"")</f>
        <v/>
      </c>
      <c r="G2356" t="str">
        <f>IFERROR(__xludf.DUMMYFUNCTION("""COMPUTED_VALUE"""),"")</f>
        <v/>
      </c>
      <c r="H2356" s="2" t="str">
        <f>IFERROR(__xludf.DUMMYFUNCTION("""COMPUTED_VALUE"""),"")</f>
        <v/>
      </c>
      <c r="I2356" s="2" t="str">
        <f>IFERROR(__xludf.DUMMYFUNCTION("""COMPUTED_VALUE"""),"")</f>
        <v/>
      </c>
      <c r="J2356" s="2">
        <f>IFERROR(__xludf.DUMMYFUNCTION("""COMPUTED_VALUE"""),0.0)</f>
        <v>0</v>
      </c>
      <c r="K2356" s="5" t="str">
        <f>IFERROR(__xludf.DUMMYFUNCTION("""COMPUTED_VALUE"""),"")</f>
        <v/>
      </c>
      <c r="L2356" t="str">
        <f>IFERROR(__xludf.DUMMYFUNCTION("""COMPUTED_VALUE"""),"")</f>
        <v/>
      </c>
      <c r="M2356" t="str">
        <f>IFERROR(__xludf.DUMMYFUNCTION("""COMPUTED_VALUE"""),"")</f>
        <v/>
      </c>
      <c r="N2356" t="str">
        <f>IFERROR(__xludf.DUMMYFUNCTION("""COMPUTED_VALUE"""),"")</f>
        <v/>
      </c>
      <c r="O2356" t="str">
        <f>IFERROR(__xludf.DUMMYFUNCTION("""COMPUTED_VALUE"""),"")</f>
        <v/>
      </c>
      <c r="P2356" t="str">
        <f>IFERROR(__xludf.DUMMYFUNCTION("""COMPUTED_VALUE"""),"ID ")</f>
        <v>ID </v>
      </c>
    </row>
    <row r="2357">
      <c r="A2357" s="6" t="str">
        <f>IFERROR(__xludf.DUMMYFUNCTION("""COMPUTED_VALUE"""),"")</f>
        <v/>
      </c>
      <c r="C2357" t="str">
        <f>IFERROR(__xludf.DUMMYFUNCTION("""COMPUTED_VALUE"""),"")</f>
        <v/>
      </c>
      <c r="D2357" t="str">
        <f>IFERROR(__xludf.DUMMYFUNCTION("""COMPUTED_VALUE"""),"")</f>
        <v/>
      </c>
      <c r="E2357" t="str">
        <f>IFERROR(__xludf.DUMMYFUNCTION("""COMPUTED_VALUE"""),"")</f>
        <v/>
      </c>
      <c r="F2357" t="str">
        <f>IFERROR(__xludf.DUMMYFUNCTION("""COMPUTED_VALUE"""),"")</f>
        <v/>
      </c>
      <c r="G2357" t="str">
        <f>IFERROR(__xludf.DUMMYFUNCTION("""COMPUTED_VALUE"""),"")</f>
        <v/>
      </c>
      <c r="H2357" s="2" t="str">
        <f>IFERROR(__xludf.DUMMYFUNCTION("""COMPUTED_VALUE"""),"")</f>
        <v/>
      </c>
      <c r="I2357" s="2" t="str">
        <f>IFERROR(__xludf.DUMMYFUNCTION("""COMPUTED_VALUE"""),"")</f>
        <v/>
      </c>
      <c r="J2357" s="2">
        <f>IFERROR(__xludf.DUMMYFUNCTION("""COMPUTED_VALUE"""),0.0)</f>
        <v>0</v>
      </c>
      <c r="K2357" s="5" t="str">
        <f>IFERROR(__xludf.DUMMYFUNCTION("""COMPUTED_VALUE"""),"")</f>
        <v/>
      </c>
      <c r="L2357" t="str">
        <f>IFERROR(__xludf.DUMMYFUNCTION("""COMPUTED_VALUE"""),"")</f>
        <v/>
      </c>
      <c r="M2357" t="str">
        <f>IFERROR(__xludf.DUMMYFUNCTION("""COMPUTED_VALUE"""),"")</f>
        <v/>
      </c>
      <c r="N2357" t="str">
        <f>IFERROR(__xludf.DUMMYFUNCTION("""COMPUTED_VALUE"""),"")</f>
        <v/>
      </c>
      <c r="O2357" t="str">
        <f>IFERROR(__xludf.DUMMYFUNCTION("""COMPUTED_VALUE"""),"")</f>
        <v/>
      </c>
      <c r="P2357" t="str">
        <f>IFERROR(__xludf.DUMMYFUNCTION("""COMPUTED_VALUE"""),"ID ")</f>
        <v>ID </v>
      </c>
    </row>
    <row r="2358">
      <c r="A2358" s="6" t="str">
        <f>IFERROR(__xludf.DUMMYFUNCTION("""COMPUTED_VALUE"""),"")</f>
        <v/>
      </c>
      <c r="C2358" t="str">
        <f>IFERROR(__xludf.DUMMYFUNCTION("""COMPUTED_VALUE"""),"")</f>
        <v/>
      </c>
      <c r="D2358" t="str">
        <f>IFERROR(__xludf.DUMMYFUNCTION("""COMPUTED_VALUE"""),"")</f>
        <v/>
      </c>
      <c r="E2358" t="str">
        <f>IFERROR(__xludf.DUMMYFUNCTION("""COMPUTED_VALUE"""),"")</f>
        <v/>
      </c>
      <c r="F2358" t="str">
        <f>IFERROR(__xludf.DUMMYFUNCTION("""COMPUTED_VALUE"""),"")</f>
        <v/>
      </c>
      <c r="G2358" t="str">
        <f>IFERROR(__xludf.DUMMYFUNCTION("""COMPUTED_VALUE"""),"")</f>
        <v/>
      </c>
      <c r="H2358" s="2" t="str">
        <f>IFERROR(__xludf.DUMMYFUNCTION("""COMPUTED_VALUE"""),"")</f>
        <v/>
      </c>
      <c r="I2358" s="2" t="str">
        <f>IFERROR(__xludf.DUMMYFUNCTION("""COMPUTED_VALUE"""),"")</f>
        <v/>
      </c>
      <c r="J2358" s="2">
        <f>IFERROR(__xludf.DUMMYFUNCTION("""COMPUTED_VALUE"""),0.0)</f>
        <v>0</v>
      </c>
      <c r="K2358" s="5" t="str">
        <f>IFERROR(__xludf.DUMMYFUNCTION("""COMPUTED_VALUE"""),"")</f>
        <v/>
      </c>
      <c r="L2358" t="str">
        <f>IFERROR(__xludf.DUMMYFUNCTION("""COMPUTED_VALUE"""),"")</f>
        <v/>
      </c>
      <c r="M2358" t="str">
        <f>IFERROR(__xludf.DUMMYFUNCTION("""COMPUTED_VALUE"""),"")</f>
        <v/>
      </c>
      <c r="N2358" t="str">
        <f>IFERROR(__xludf.DUMMYFUNCTION("""COMPUTED_VALUE"""),"")</f>
        <v/>
      </c>
      <c r="O2358" t="str">
        <f>IFERROR(__xludf.DUMMYFUNCTION("""COMPUTED_VALUE"""),"")</f>
        <v/>
      </c>
      <c r="P2358" t="str">
        <f>IFERROR(__xludf.DUMMYFUNCTION("""COMPUTED_VALUE"""),"ID ")</f>
        <v>ID </v>
      </c>
    </row>
    <row r="2359">
      <c r="A2359" s="6" t="str">
        <f>IFERROR(__xludf.DUMMYFUNCTION("""COMPUTED_VALUE"""),"")</f>
        <v/>
      </c>
      <c r="C2359" t="str">
        <f>IFERROR(__xludf.DUMMYFUNCTION("""COMPUTED_VALUE"""),"")</f>
        <v/>
      </c>
      <c r="D2359" t="str">
        <f>IFERROR(__xludf.DUMMYFUNCTION("""COMPUTED_VALUE"""),"")</f>
        <v/>
      </c>
      <c r="E2359" t="str">
        <f>IFERROR(__xludf.DUMMYFUNCTION("""COMPUTED_VALUE"""),"")</f>
        <v/>
      </c>
      <c r="F2359" t="str">
        <f>IFERROR(__xludf.DUMMYFUNCTION("""COMPUTED_VALUE"""),"")</f>
        <v/>
      </c>
      <c r="G2359" t="str">
        <f>IFERROR(__xludf.DUMMYFUNCTION("""COMPUTED_VALUE"""),"")</f>
        <v/>
      </c>
      <c r="H2359" s="2" t="str">
        <f>IFERROR(__xludf.DUMMYFUNCTION("""COMPUTED_VALUE"""),"")</f>
        <v/>
      </c>
      <c r="I2359" s="2" t="str">
        <f>IFERROR(__xludf.DUMMYFUNCTION("""COMPUTED_VALUE"""),"")</f>
        <v/>
      </c>
      <c r="J2359" s="2">
        <f>IFERROR(__xludf.DUMMYFUNCTION("""COMPUTED_VALUE"""),0.0)</f>
        <v>0</v>
      </c>
      <c r="K2359" s="5" t="str">
        <f>IFERROR(__xludf.DUMMYFUNCTION("""COMPUTED_VALUE"""),"")</f>
        <v/>
      </c>
      <c r="L2359" t="str">
        <f>IFERROR(__xludf.DUMMYFUNCTION("""COMPUTED_VALUE"""),"")</f>
        <v/>
      </c>
      <c r="M2359" t="str">
        <f>IFERROR(__xludf.DUMMYFUNCTION("""COMPUTED_VALUE"""),"")</f>
        <v/>
      </c>
      <c r="N2359" t="str">
        <f>IFERROR(__xludf.DUMMYFUNCTION("""COMPUTED_VALUE"""),"")</f>
        <v/>
      </c>
      <c r="O2359" t="str">
        <f>IFERROR(__xludf.DUMMYFUNCTION("""COMPUTED_VALUE"""),"")</f>
        <v/>
      </c>
      <c r="P2359" t="str">
        <f>IFERROR(__xludf.DUMMYFUNCTION("""COMPUTED_VALUE"""),"ID ")</f>
        <v>ID </v>
      </c>
    </row>
    <row r="2360">
      <c r="A2360" s="6" t="str">
        <f>IFERROR(__xludf.DUMMYFUNCTION("""COMPUTED_VALUE"""),"")</f>
        <v/>
      </c>
      <c r="C2360" t="str">
        <f>IFERROR(__xludf.DUMMYFUNCTION("""COMPUTED_VALUE"""),"")</f>
        <v/>
      </c>
      <c r="D2360" t="str">
        <f>IFERROR(__xludf.DUMMYFUNCTION("""COMPUTED_VALUE"""),"")</f>
        <v/>
      </c>
      <c r="E2360" t="str">
        <f>IFERROR(__xludf.DUMMYFUNCTION("""COMPUTED_VALUE"""),"")</f>
        <v/>
      </c>
      <c r="F2360" t="str">
        <f>IFERROR(__xludf.DUMMYFUNCTION("""COMPUTED_VALUE"""),"")</f>
        <v/>
      </c>
      <c r="G2360" t="str">
        <f>IFERROR(__xludf.DUMMYFUNCTION("""COMPUTED_VALUE"""),"")</f>
        <v/>
      </c>
      <c r="H2360" s="2" t="str">
        <f>IFERROR(__xludf.DUMMYFUNCTION("""COMPUTED_VALUE"""),"")</f>
        <v/>
      </c>
      <c r="I2360" s="2" t="str">
        <f>IFERROR(__xludf.DUMMYFUNCTION("""COMPUTED_VALUE"""),"")</f>
        <v/>
      </c>
      <c r="J2360" s="2">
        <f>IFERROR(__xludf.DUMMYFUNCTION("""COMPUTED_VALUE"""),0.0)</f>
        <v>0</v>
      </c>
      <c r="K2360" s="5" t="str">
        <f>IFERROR(__xludf.DUMMYFUNCTION("""COMPUTED_VALUE"""),"")</f>
        <v/>
      </c>
      <c r="L2360" t="str">
        <f>IFERROR(__xludf.DUMMYFUNCTION("""COMPUTED_VALUE"""),"")</f>
        <v/>
      </c>
      <c r="M2360" t="str">
        <f>IFERROR(__xludf.DUMMYFUNCTION("""COMPUTED_VALUE"""),"")</f>
        <v/>
      </c>
      <c r="N2360" t="str">
        <f>IFERROR(__xludf.DUMMYFUNCTION("""COMPUTED_VALUE"""),"")</f>
        <v/>
      </c>
      <c r="O2360" t="str">
        <f>IFERROR(__xludf.DUMMYFUNCTION("""COMPUTED_VALUE"""),"")</f>
        <v/>
      </c>
      <c r="P2360" t="str">
        <f>IFERROR(__xludf.DUMMYFUNCTION("""COMPUTED_VALUE"""),"ID ")</f>
        <v>ID </v>
      </c>
    </row>
    <row r="2361">
      <c r="A2361" s="6" t="str">
        <f>IFERROR(__xludf.DUMMYFUNCTION("""COMPUTED_VALUE"""),"")</f>
        <v/>
      </c>
      <c r="C2361" t="str">
        <f>IFERROR(__xludf.DUMMYFUNCTION("""COMPUTED_VALUE"""),"")</f>
        <v/>
      </c>
      <c r="D2361" t="str">
        <f>IFERROR(__xludf.DUMMYFUNCTION("""COMPUTED_VALUE"""),"")</f>
        <v/>
      </c>
      <c r="E2361" t="str">
        <f>IFERROR(__xludf.DUMMYFUNCTION("""COMPUTED_VALUE"""),"")</f>
        <v/>
      </c>
      <c r="F2361" t="str">
        <f>IFERROR(__xludf.DUMMYFUNCTION("""COMPUTED_VALUE"""),"")</f>
        <v/>
      </c>
      <c r="G2361" t="str">
        <f>IFERROR(__xludf.DUMMYFUNCTION("""COMPUTED_VALUE"""),"")</f>
        <v/>
      </c>
      <c r="H2361" s="2" t="str">
        <f>IFERROR(__xludf.DUMMYFUNCTION("""COMPUTED_VALUE"""),"")</f>
        <v/>
      </c>
      <c r="I2361" s="2" t="str">
        <f>IFERROR(__xludf.DUMMYFUNCTION("""COMPUTED_VALUE"""),"")</f>
        <v/>
      </c>
      <c r="J2361" s="2">
        <f>IFERROR(__xludf.DUMMYFUNCTION("""COMPUTED_VALUE"""),0.0)</f>
        <v>0</v>
      </c>
      <c r="K2361" s="5" t="str">
        <f>IFERROR(__xludf.DUMMYFUNCTION("""COMPUTED_VALUE"""),"")</f>
        <v/>
      </c>
      <c r="L2361" t="str">
        <f>IFERROR(__xludf.DUMMYFUNCTION("""COMPUTED_VALUE"""),"")</f>
        <v/>
      </c>
      <c r="M2361" t="str">
        <f>IFERROR(__xludf.DUMMYFUNCTION("""COMPUTED_VALUE"""),"")</f>
        <v/>
      </c>
      <c r="N2361" t="str">
        <f>IFERROR(__xludf.DUMMYFUNCTION("""COMPUTED_VALUE"""),"")</f>
        <v/>
      </c>
      <c r="O2361" t="str">
        <f>IFERROR(__xludf.DUMMYFUNCTION("""COMPUTED_VALUE"""),"")</f>
        <v/>
      </c>
      <c r="P2361" t="str">
        <f>IFERROR(__xludf.DUMMYFUNCTION("""COMPUTED_VALUE"""),"ID ")</f>
        <v>ID </v>
      </c>
    </row>
    <row r="2362">
      <c r="A2362" s="6" t="str">
        <f>IFERROR(__xludf.DUMMYFUNCTION("""COMPUTED_VALUE"""),"")</f>
        <v/>
      </c>
      <c r="C2362" t="str">
        <f>IFERROR(__xludf.DUMMYFUNCTION("""COMPUTED_VALUE"""),"")</f>
        <v/>
      </c>
      <c r="D2362" t="str">
        <f>IFERROR(__xludf.DUMMYFUNCTION("""COMPUTED_VALUE"""),"")</f>
        <v/>
      </c>
      <c r="E2362" t="str">
        <f>IFERROR(__xludf.DUMMYFUNCTION("""COMPUTED_VALUE"""),"")</f>
        <v/>
      </c>
      <c r="F2362" t="str">
        <f>IFERROR(__xludf.DUMMYFUNCTION("""COMPUTED_VALUE"""),"")</f>
        <v/>
      </c>
      <c r="G2362" t="str">
        <f>IFERROR(__xludf.DUMMYFUNCTION("""COMPUTED_VALUE"""),"")</f>
        <v/>
      </c>
      <c r="H2362" s="2" t="str">
        <f>IFERROR(__xludf.DUMMYFUNCTION("""COMPUTED_VALUE"""),"")</f>
        <v/>
      </c>
      <c r="I2362" s="2" t="str">
        <f>IFERROR(__xludf.DUMMYFUNCTION("""COMPUTED_VALUE"""),"")</f>
        <v/>
      </c>
      <c r="J2362" s="2">
        <f>IFERROR(__xludf.DUMMYFUNCTION("""COMPUTED_VALUE"""),0.0)</f>
        <v>0</v>
      </c>
      <c r="K2362" s="5" t="str">
        <f>IFERROR(__xludf.DUMMYFUNCTION("""COMPUTED_VALUE"""),"")</f>
        <v/>
      </c>
      <c r="L2362" t="str">
        <f>IFERROR(__xludf.DUMMYFUNCTION("""COMPUTED_VALUE"""),"")</f>
        <v/>
      </c>
      <c r="M2362" t="str">
        <f>IFERROR(__xludf.DUMMYFUNCTION("""COMPUTED_VALUE"""),"")</f>
        <v/>
      </c>
      <c r="N2362" t="str">
        <f>IFERROR(__xludf.DUMMYFUNCTION("""COMPUTED_VALUE"""),"")</f>
        <v/>
      </c>
      <c r="O2362" t="str">
        <f>IFERROR(__xludf.DUMMYFUNCTION("""COMPUTED_VALUE"""),"")</f>
        <v/>
      </c>
      <c r="P2362" t="str">
        <f>IFERROR(__xludf.DUMMYFUNCTION("""COMPUTED_VALUE"""),"ID ")</f>
        <v>ID </v>
      </c>
    </row>
    <row r="2363">
      <c r="A2363" s="6" t="str">
        <f>IFERROR(__xludf.DUMMYFUNCTION("""COMPUTED_VALUE"""),"")</f>
        <v/>
      </c>
      <c r="C2363" t="str">
        <f>IFERROR(__xludf.DUMMYFUNCTION("""COMPUTED_VALUE"""),"")</f>
        <v/>
      </c>
      <c r="D2363" t="str">
        <f>IFERROR(__xludf.DUMMYFUNCTION("""COMPUTED_VALUE"""),"")</f>
        <v/>
      </c>
      <c r="E2363" t="str">
        <f>IFERROR(__xludf.DUMMYFUNCTION("""COMPUTED_VALUE"""),"")</f>
        <v/>
      </c>
      <c r="F2363" t="str">
        <f>IFERROR(__xludf.DUMMYFUNCTION("""COMPUTED_VALUE"""),"")</f>
        <v/>
      </c>
      <c r="G2363" t="str">
        <f>IFERROR(__xludf.DUMMYFUNCTION("""COMPUTED_VALUE"""),"")</f>
        <v/>
      </c>
      <c r="H2363" s="2" t="str">
        <f>IFERROR(__xludf.DUMMYFUNCTION("""COMPUTED_VALUE"""),"")</f>
        <v/>
      </c>
      <c r="I2363" s="2" t="str">
        <f>IFERROR(__xludf.DUMMYFUNCTION("""COMPUTED_VALUE"""),"")</f>
        <v/>
      </c>
      <c r="J2363" s="2">
        <f>IFERROR(__xludf.DUMMYFUNCTION("""COMPUTED_VALUE"""),0.0)</f>
        <v>0</v>
      </c>
      <c r="K2363" s="5" t="str">
        <f>IFERROR(__xludf.DUMMYFUNCTION("""COMPUTED_VALUE"""),"")</f>
        <v/>
      </c>
      <c r="L2363" t="str">
        <f>IFERROR(__xludf.DUMMYFUNCTION("""COMPUTED_VALUE"""),"")</f>
        <v/>
      </c>
      <c r="M2363" t="str">
        <f>IFERROR(__xludf.DUMMYFUNCTION("""COMPUTED_VALUE"""),"")</f>
        <v/>
      </c>
      <c r="N2363" t="str">
        <f>IFERROR(__xludf.DUMMYFUNCTION("""COMPUTED_VALUE"""),"")</f>
        <v/>
      </c>
      <c r="O2363" t="str">
        <f>IFERROR(__xludf.DUMMYFUNCTION("""COMPUTED_VALUE"""),"")</f>
        <v/>
      </c>
      <c r="P2363" t="str">
        <f>IFERROR(__xludf.DUMMYFUNCTION("""COMPUTED_VALUE"""),"ID ")</f>
        <v>ID </v>
      </c>
    </row>
    <row r="2364">
      <c r="A2364" s="6" t="str">
        <f>IFERROR(__xludf.DUMMYFUNCTION("""COMPUTED_VALUE"""),"")</f>
        <v/>
      </c>
      <c r="C2364" t="str">
        <f>IFERROR(__xludf.DUMMYFUNCTION("""COMPUTED_VALUE"""),"")</f>
        <v/>
      </c>
      <c r="D2364" t="str">
        <f>IFERROR(__xludf.DUMMYFUNCTION("""COMPUTED_VALUE"""),"")</f>
        <v/>
      </c>
      <c r="E2364" t="str">
        <f>IFERROR(__xludf.DUMMYFUNCTION("""COMPUTED_VALUE"""),"")</f>
        <v/>
      </c>
      <c r="F2364" t="str">
        <f>IFERROR(__xludf.DUMMYFUNCTION("""COMPUTED_VALUE"""),"")</f>
        <v/>
      </c>
      <c r="G2364" t="str">
        <f>IFERROR(__xludf.DUMMYFUNCTION("""COMPUTED_VALUE"""),"")</f>
        <v/>
      </c>
      <c r="H2364" s="2" t="str">
        <f>IFERROR(__xludf.DUMMYFUNCTION("""COMPUTED_VALUE"""),"")</f>
        <v/>
      </c>
      <c r="I2364" s="2" t="str">
        <f>IFERROR(__xludf.DUMMYFUNCTION("""COMPUTED_VALUE"""),"")</f>
        <v/>
      </c>
      <c r="J2364" s="2">
        <f>IFERROR(__xludf.DUMMYFUNCTION("""COMPUTED_VALUE"""),0.0)</f>
        <v>0</v>
      </c>
      <c r="K2364" s="5" t="str">
        <f>IFERROR(__xludf.DUMMYFUNCTION("""COMPUTED_VALUE"""),"")</f>
        <v/>
      </c>
      <c r="L2364" t="str">
        <f>IFERROR(__xludf.DUMMYFUNCTION("""COMPUTED_VALUE"""),"")</f>
        <v/>
      </c>
      <c r="M2364" t="str">
        <f>IFERROR(__xludf.DUMMYFUNCTION("""COMPUTED_VALUE"""),"")</f>
        <v/>
      </c>
      <c r="N2364" t="str">
        <f>IFERROR(__xludf.DUMMYFUNCTION("""COMPUTED_VALUE"""),"")</f>
        <v/>
      </c>
      <c r="O2364" t="str">
        <f>IFERROR(__xludf.DUMMYFUNCTION("""COMPUTED_VALUE"""),"")</f>
        <v/>
      </c>
      <c r="P2364" t="str">
        <f>IFERROR(__xludf.DUMMYFUNCTION("""COMPUTED_VALUE"""),"ID ")</f>
        <v>ID </v>
      </c>
    </row>
    <row r="2365">
      <c r="A2365" s="6" t="str">
        <f>IFERROR(__xludf.DUMMYFUNCTION("""COMPUTED_VALUE"""),"")</f>
        <v/>
      </c>
      <c r="C2365" t="str">
        <f>IFERROR(__xludf.DUMMYFUNCTION("""COMPUTED_VALUE"""),"")</f>
        <v/>
      </c>
      <c r="D2365" t="str">
        <f>IFERROR(__xludf.DUMMYFUNCTION("""COMPUTED_VALUE"""),"")</f>
        <v/>
      </c>
      <c r="E2365" t="str">
        <f>IFERROR(__xludf.DUMMYFUNCTION("""COMPUTED_VALUE"""),"")</f>
        <v/>
      </c>
      <c r="F2365" t="str">
        <f>IFERROR(__xludf.DUMMYFUNCTION("""COMPUTED_VALUE"""),"")</f>
        <v/>
      </c>
      <c r="G2365" t="str">
        <f>IFERROR(__xludf.DUMMYFUNCTION("""COMPUTED_VALUE"""),"")</f>
        <v/>
      </c>
      <c r="H2365" s="2" t="str">
        <f>IFERROR(__xludf.DUMMYFUNCTION("""COMPUTED_VALUE"""),"")</f>
        <v/>
      </c>
      <c r="I2365" s="2" t="str">
        <f>IFERROR(__xludf.DUMMYFUNCTION("""COMPUTED_VALUE"""),"")</f>
        <v/>
      </c>
      <c r="J2365" s="2">
        <f>IFERROR(__xludf.DUMMYFUNCTION("""COMPUTED_VALUE"""),0.0)</f>
        <v>0</v>
      </c>
      <c r="K2365" s="5" t="str">
        <f>IFERROR(__xludf.DUMMYFUNCTION("""COMPUTED_VALUE"""),"")</f>
        <v/>
      </c>
      <c r="L2365" t="str">
        <f>IFERROR(__xludf.DUMMYFUNCTION("""COMPUTED_VALUE"""),"")</f>
        <v/>
      </c>
      <c r="M2365" t="str">
        <f>IFERROR(__xludf.DUMMYFUNCTION("""COMPUTED_VALUE"""),"")</f>
        <v/>
      </c>
      <c r="N2365" t="str">
        <f>IFERROR(__xludf.DUMMYFUNCTION("""COMPUTED_VALUE"""),"")</f>
        <v/>
      </c>
      <c r="O2365" t="str">
        <f>IFERROR(__xludf.DUMMYFUNCTION("""COMPUTED_VALUE"""),"")</f>
        <v/>
      </c>
      <c r="P2365" t="str">
        <f>IFERROR(__xludf.DUMMYFUNCTION("""COMPUTED_VALUE"""),"ID ")</f>
        <v>ID </v>
      </c>
    </row>
    <row r="2366">
      <c r="A2366" s="6" t="str">
        <f>IFERROR(__xludf.DUMMYFUNCTION("""COMPUTED_VALUE"""),"")</f>
        <v/>
      </c>
      <c r="C2366" t="str">
        <f>IFERROR(__xludf.DUMMYFUNCTION("""COMPUTED_VALUE"""),"")</f>
        <v/>
      </c>
      <c r="D2366" t="str">
        <f>IFERROR(__xludf.DUMMYFUNCTION("""COMPUTED_VALUE"""),"")</f>
        <v/>
      </c>
      <c r="E2366" t="str">
        <f>IFERROR(__xludf.DUMMYFUNCTION("""COMPUTED_VALUE"""),"")</f>
        <v/>
      </c>
      <c r="F2366" t="str">
        <f>IFERROR(__xludf.DUMMYFUNCTION("""COMPUTED_VALUE"""),"")</f>
        <v/>
      </c>
      <c r="G2366" t="str">
        <f>IFERROR(__xludf.DUMMYFUNCTION("""COMPUTED_VALUE"""),"")</f>
        <v/>
      </c>
      <c r="H2366" s="2" t="str">
        <f>IFERROR(__xludf.DUMMYFUNCTION("""COMPUTED_VALUE"""),"")</f>
        <v/>
      </c>
      <c r="I2366" s="2" t="str">
        <f>IFERROR(__xludf.DUMMYFUNCTION("""COMPUTED_VALUE"""),"")</f>
        <v/>
      </c>
      <c r="J2366" s="2">
        <f>IFERROR(__xludf.DUMMYFUNCTION("""COMPUTED_VALUE"""),0.0)</f>
        <v>0</v>
      </c>
      <c r="K2366" s="5" t="str">
        <f>IFERROR(__xludf.DUMMYFUNCTION("""COMPUTED_VALUE"""),"")</f>
        <v/>
      </c>
      <c r="L2366" t="str">
        <f>IFERROR(__xludf.DUMMYFUNCTION("""COMPUTED_VALUE"""),"")</f>
        <v/>
      </c>
      <c r="M2366" t="str">
        <f>IFERROR(__xludf.DUMMYFUNCTION("""COMPUTED_VALUE"""),"")</f>
        <v/>
      </c>
      <c r="N2366" t="str">
        <f>IFERROR(__xludf.DUMMYFUNCTION("""COMPUTED_VALUE"""),"")</f>
        <v/>
      </c>
      <c r="O2366" t="str">
        <f>IFERROR(__xludf.DUMMYFUNCTION("""COMPUTED_VALUE"""),"")</f>
        <v/>
      </c>
      <c r="P2366" t="str">
        <f>IFERROR(__xludf.DUMMYFUNCTION("""COMPUTED_VALUE"""),"ID ")</f>
        <v>ID </v>
      </c>
    </row>
    <row r="2367">
      <c r="A2367" s="6" t="str">
        <f>IFERROR(__xludf.DUMMYFUNCTION("""COMPUTED_VALUE"""),"")</f>
        <v/>
      </c>
      <c r="C2367" t="str">
        <f>IFERROR(__xludf.DUMMYFUNCTION("""COMPUTED_VALUE"""),"")</f>
        <v/>
      </c>
      <c r="D2367" t="str">
        <f>IFERROR(__xludf.DUMMYFUNCTION("""COMPUTED_VALUE"""),"")</f>
        <v/>
      </c>
      <c r="E2367" t="str">
        <f>IFERROR(__xludf.DUMMYFUNCTION("""COMPUTED_VALUE"""),"")</f>
        <v/>
      </c>
      <c r="F2367" t="str">
        <f>IFERROR(__xludf.DUMMYFUNCTION("""COMPUTED_VALUE"""),"")</f>
        <v/>
      </c>
      <c r="G2367" t="str">
        <f>IFERROR(__xludf.DUMMYFUNCTION("""COMPUTED_VALUE"""),"")</f>
        <v/>
      </c>
      <c r="H2367" s="2" t="str">
        <f>IFERROR(__xludf.DUMMYFUNCTION("""COMPUTED_VALUE"""),"")</f>
        <v/>
      </c>
      <c r="I2367" s="2" t="str">
        <f>IFERROR(__xludf.DUMMYFUNCTION("""COMPUTED_VALUE"""),"")</f>
        <v/>
      </c>
      <c r="J2367" s="2">
        <f>IFERROR(__xludf.DUMMYFUNCTION("""COMPUTED_VALUE"""),0.0)</f>
        <v>0</v>
      </c>
      <c r="K2367" s="5" t="str">
        <f>IFERROR(__xludf.DUMMYFUNCTION("""COMPUTED_VALUE"""),"")</f>
        <v/>
      </c>
      <c r="L2367" t="str">
        <f>IFERROR(__xludf.DUMMYFUNCTION("""COMPUTED_VALUE"""),"")</f>
        <v/>
      </c>
      <c r="M2367" t="str">
        <f>IFERROR(__xludf.DUMMYFUNCTION("""COMPUTED_VALUE"""),"")</f>
        <v/>
      </c>
      <c r="N2367" t="str">
        <f>IFERROR(__xludf.DUMMYFUNCTION("""COMPUTED_VALUE"""),"")</f>
        <v/>
      </c>
      <c r="O2367" t="str">
        <f>IFERROR(__xludf.DUMMYFUNCTION("""COMPUTED_VALUE"""),"")</f>
        <v/>
      </c>
      <c r="P2367" t="str">
        <f>IFERROR(__xludf.DUMMYFUNCTION("""COMPUTED_VALUE"""),"ID ")</f>
        <v>ID </v>
      </c>
    </row>
    <row r="2368">
      <c r="A2368" s="6" t="str">
        <f>IFERROR(__xludf.DUMMYFUNCTION("""COMPUTED_VALUE"""),"")</f>
        <v/>
      </c>
      <c r="C2368" t="str">
        <f>IFERROR(__xludf.DUMMYFUNCTION("""COMPUTED_VALUE"""),"")</f>
        <v/>
      </c>
      <c r="D2368" t="str">
        <f>IFERROR(__xludf.DUMMYFUNCTION("""COMPUTED_VALUE"""),"")</f>
        <v/>
      </c>
      <c r="E2368" t="str">
        <f>IFERROR(__xludf.DUMMYFUNCTION("""COMPUTED_VALUE"""),"")</f>
        <v/>
      </c>
      <c r="F2368" t="str">
        <f>IFERROR(__xludf.DUMMYFUNCTION("""COMPUTED_VALUE"""),"")</f>
        <v/>
      </c>
      <c r="G2368" t="str">
        <f>IFERROR(__xludf.DUMMYFUNCTION("""COMPUTED_VALUE"""),"")</f>
        <v/>
      </c>
      <c r="H2368" s="2" t="str">
        <f>IFERROR(__xludf.DUMMYFUNCTION("""COMPUTED_VALUE"""),"")</f>
        <v/>
      </c>
      <c r="I2368" s="2" t="str">
        <f>IFERROR(__xludf.DUMMYFUNCTION("""COMPUTED_VALUE"""),"")</f>
        <v/>
      </c>
      <c r="J2368" s="2">
        <f>IFERROR(__xludf.DUMMYFUNCTION("""COMPUTED_VALUE"""),0.0)</f>
        <v>0</v>
      </c>
      <c r="K2368" s="5" t="str">
        <f>IFERROR(__xludf.DUMMYFUNCTION("""COMPUTED_VALUE"""),"")</f>
        <v/>
      </c>
      <c r="L2368" t="str">
        <f>IFERROR(__xludf.DUMMYFUNCTION("""COMPUTED_VALUE"""),"")</f>
        <v/>
      </c>
      <c r="M2368" t="str">
        <f>IFERROR(__xludf.DUMMYFUNCTION("""COMPUTED_VALUE"""),"")</f>
        <v/>
      </c>
      <c r="N2368" t="str">
        <f>IFERROR(__xludf.DUMMYFUNCTION("""COMPUTED_VALUE"""),"")</f>
        <v/>
      </c>
      <c r="O2368" t="str">
        <f>IFERROR(__xludf.DUMMYFUNCTION("""COMPUTED_VALUE"""),"")</f>
        <v/>
      </c>
      <c r="P2368" t="str">
        <f>IFERROR(__xludf.DUMMYFUNCTION("""COMPUTED_VALUE"""),"ID ")</f>
        <v>ID </v>
      </c>
    </row>
    <row r="2369">
      <c r="A2369" s="6" t="str">
        <f>IFERROR(__xludf.DUMMYFUNCTION("""COMPUTED_VALUE"""),"")</f>
        <v/>
      </c>
      <c r="C2369" t="str">
        <f>IFERROR(__xludf.DUMMYFUNCTION("""COMPUTED_VALUE"""),"")</f>
        <v/>
      </c>
      <c r="D2369" t="str">
        <f>IFERROR(__xludf.DUMMYFUNCTION("""COMPUTED_VALUE"""),"")</f>
        <v/>
      </c>
      <c r="E2369" t="str">
        <f>IFERROR(__xludf.DUMMYFUNCTION("""COMPUTED_VALUE"""),"")</f>
        <v/>
      </c>
      <c r="F2369" t="str">
        <f>IFERROR(__xludf.DUMMYFUNCTION("""COMPUTED_VALUE"""),"")</f>
        <v/>
      </c>
      <c r="G2369" t="str">
        <f>IFERROR(__xludf.DUMMYFUNCTION("""COMPUTED_VALUE"""),"")</f>
        <v/>
      </c>
      <c r="H2369" s="2" t="str">
        <f>IFERROR(__xludf.DUMMYFUNCTION("""COMPUTED_VALUE"""),"")</f>
        <v/>
      </c>
      <c r="I2369" s="2" t="str">
        <f>IFERROR(__xludf.DUMMYFUNCTION("""COMPUTED_VALUE"""),"")</f>
        <v/>
      </c>
      <c r="J2369" s="2">
        <f>IFERROR(__xludf.DUMMYFUNCTION("""COMPUTED_VALUE"""),0.0)</f>
        <v>0</v>
      </c>
      <c r="K2369" s="5" t="str">
        <f>IFERROR(__xludf.DUMMYFUNCTION("""COMPUTED_VALUE"""),"")</f>
        <v/>
      </c>
      <c r="L2369" t="str">
        <f>IFERROR(__xludf.DUMMYFUNCTION("""COMPUTED_VALUE"""),"")</f>
        <v/>
      </c>
      <c r="M2369" t="str">
        <f>IFERROR(__xludf.DUMMYFUNCTION("""COMPUTED_VALUE"""),"")</f>
        <v/>
      </c>
      <c r="N2369" t="str">
        <f>IFERROR(__xludf.DUMMYFUNCTION("""COMPUTED_VALUE"""),"")</f>
        <v/>
      </c>
      <c r="O2369" t="str">
        <f>IFERROR(__xludf.DUMMYFUNCTION("""COMPUTED_VALUE"""),"")</f>
        <v/>
      </c>
      <c r="P2369" t="str">
        <f>IFERROR(__xludf.DUMMYFUNCTION("""COMPUTED_VALUE"""),"ID ")</f>
        <v>ID </v>
      </c>
    </row>
    <row r="2370">
      <c r="A2370" s="6" t="str">
        <f>IFERROR(__xludf.DUMMYFUNCTION("""COMPUTED_VALUE"""),"")</f>
        <v/>
      </c>
      <c r="C2370" t="str">
        <f>IFERROR(__xludf.DUMMYFUNCTION("""COMPUTED_VALUE"""),"")</f>
        <v/>
      </c>
      <c r="D2370" t="str">
        <f>IFERROR(__xludf.DUMMYFUNCTION("""COMPUTED_VALUE"""),"")</f>
        <v/>
      </c>
      <c r="E2370" t="str">
        <f>IFERROR(__xludf.DUMMYFUNCTION("""COMPUTED_VALUE"""),"")</f>
        <v/>
      </c>
      <c r="F2370" t="str">
        <f>IFERROR(__xludf.DUMMYFUNCTION("""COMPUTED_VALUE"""),"")</f>
        <v/>
      </c>
      <c r="G2370" t="str">
        <f>IFERROR(__xludf.DUMMYFUNCTION("""COMPUTED_VALUE"""),"")</f>
        <v/>
      </c>
      <c r="H2370" s="2" t="str">
        <f>IFERROR(__xludf.DUMMYFUNCTION("""COMPUTED_VALUE"""),"")</f>
        <v/>
      </c>
      <c r="I2370" s="2" t="str">
        <f>IFERROR(__xludf.DUMMYFUNCTION("""COMPUTED_VALUE"""),"")</f>
        <v/>
      </c>
      <c r="J2370" s="2">
        <f>IFERROR(__xludf.DUMMYFUNCTION("""COMPUTED_VALUE"""),0.0)</f>
        <v>0</v>
      </c>
      <c r="K2370" s="5" t="str">
        <f>IFERROR(__xludf.DUMMYFUNCTION("""COMPUTED_VALUE"""),"")</f>
        <v/>
      </c>
      <c r="L2370" t="str">
        <f>IFERROR(__xludf.DUMMYFUNCTION("""COMPUTED_VALUE"""),"")</f>
        <v/>
      </c>
      <c r="M2370" t="str">
        <f>IFERROR(__xludf.DUMMYFUNCTION("""COMPUTED_VALUE"""),"")</f>
        <v/>
      </c>
      <c r="N2370" t="str">
        <f>IFERROR(__xludf.DUMMYFUNCTION("""COMPUTED_VALUE"""),"")</f>
        <v/>
      </c>
      <c r="O2370" t="str">
        <f>IFERROR(__xludf.DUMMYFUNCTION("""COMPUTED_VALUE"""),"")</f>
        <v/>
      </c>
      <c r="P2370" t="str">
        <f>IFERROR(__xludf.DUMMYFUNCTION("""COMPUTED_VALUE"""),"ID ")</f>
        <v>ID </v>
      </c>
    </row>
    <row r="2371">
      <c r="A2371" s="6" t="str">
        <f>IFERROR(__xludf.DUMMYFUNCTION("""COMPUTED_VALUE"""),"")</f>
        <v/>
      </c>
      <c r="C2371" t="str">
        <f>IFERROR(__xludf.DUMMYFUNCTION("""COMPUTED_VALUE"""),"")</f>
        <v/>
      </c>
      <c r="D2371" t="str">
        <f>IFERROR(__xludf.DUMMYFUNCTION("""COMPUTED_VALUE"""),"")</f>
        <v/>
      </c>
      <c r="E2371" t="str">
        <f>IFERROR(__xludf.DUMMYFUNCTION("""COMPUTED_VALUE"""),"")</f>
        <v/>
      </c>
      <c r="F2371" t="str">
        <f>IFERROR(__xludf.DUMMYFUNCTION("""COMPUTED_VALUE"""),"")</f>
        <v/>
      </c>
      <c r="G2371" t="str">
        <f>IFERROR(__xludf.DUMMYFUNCTION("""COMPUTED_VALUE"""),"")</f>
        <v/>
      </c>
      <c r="H2371" s="2" t="str">
        <f>IFERROR(__xludf.DUMMYFUNCTION("""COMPUTED_VALUE"""),"")</f>
        <v/>
      </c>
      <c r="I2371" s="2" t="str">
        <f>IFERROR(__xludf.DUMMYFUNCTION("""COMPUTED_VALUE"""),"")</f>
        <v/>
      </c>
      <c r="J2371" s="2">
        <f>IFERROR(__xludf.DUMMYFUNCTION("""COMPUTED_VALUE"""),0.0)</f>
        <v>0</v>
      </c>
      <c r="K2371" s="5" t="str">
        <f>IFERROR(__xludf.DUMMYFUNCTION("""COMPUTED_VALUE"""),"")</f>
        <v/>
      </c>
      <c r="L2371" t="str">
        <f>IFERROR(__xludf.DUMMYFUNCTION("""COMPUTED_VALUE"""),"")</f>
        <v/>
      </c>
      <c r="M2371" t="str">
        <f>IFERROR(__xludf.DUMMYFUNCTION("""COMPUTED_VALUE"""),"")</f>
        <v/>
      </c>
      <c r="N2371" t="str">
        <f>IFERROR(__xludf.DUMMYFUNCTION("""COMPUTED_VALUE"""),"")</f>
        <v/>
      </c>
      <c r="O2371" t="str">
        <f>IFERROR(__xludf.DUMMYFUNCTION("""COMPUTED_VALUE"""),"")</f>
        <v/>
      </c>
      <c r="P2371" t="str">
        <f>IFERROR(__xludf.DUMMYFUNCTION("""COMPUTED_VALUE"""),"ID ")</f>
        <v>ID </v>
      </c>
    </row>
    <row r="2372">
      <c r="A2372" s="6" t="str">
        <f>IFERROR(__xludf.DUMMYFUNCTION("""COMPUTED_VALUE"""),"")</f>
        <v/>
      </c>
      <c r="C2372" t="str">
        <f>IFERROR(__xludf.DUMMYFUNCTION("""COMPUTED_VALUE"""),"")</f>
        <v/>
      </c>
      <c r="D2372" t="str">
        <f>IFERROR(__xludf.DUMMYFUNCTION("""COMPUTED_VALUE"""),"")</f>
        <v/>
      </c>
      <c r="E2372" t="str">
        <f>IFERROR(__xludf.DUMMYFUNCTION("""COMPUTED_VALUE"""),"")</f>
        <v/>
      </c>
      <c r="F2372" t="str">
        <f>IFERROR(__xludf.DUMMYFUNCTION("""COMPUTED_VALUE"""),"")</f>
        <v/>
      </c>
      <c r="G2372" t="str">
        <f>IFERROR(__xludf.DUMMYFUNCTION("""COMPUTED_VALUE"""),"")</f>
        <v/>
      </c>
      <c r="H2372" s="2" t="str">
        <f>IFERROR(__xludf.DUMMYFUNCTION("""COMPUTED_VALUE"""),"")</f>
        <v/>
      </c>
      <c r="I2372" s="2" t="str">
        <f>IFERROR(__xludf.DUMMYFUNCTION("""COMPUTED_VALUE"""),"")</f>
        <v/>
      </c>
      <c r="J2372" s="2">
        <f>IFERROR(__xludf.DUMMYFUNCTION("""COMPUTED_VALUE"""),0.0)</f>
        <v>0</v>
      </c>
      <c r="K2372" s="5" t="str">
        <f>IFERROR(__xludf.DUMMYFUNCTION("""COMPUTED_VALUE"""),"")</f>
        <v/>
      </c>
      <c r="L2372" t="str">
        <f>IFERROR(__xludf.DUMMYFUNCTION("""COMPUTED_VALUE"""),"")</f>
        <v/>
      </c>
      <c r="M2372" t="str">
        <f>IFERROR(__xludf.DUMMYFUNCTION("""COMPUTED_VALUE"""),"")</f>
        <v/>
      </c>
      <c r="N2372" t="str">
        <f>IFERROR(__xludf.DUMMYFUNCTION("""COMPUTED_VALUE"""),"")</f>
        <v/>
      </c>
      <c r="O2372" t="str">
        <f>IFERROR(__xludf.DUMMYFUNCTION("""COMPUTED_VALUE"""),"")</f>
        <v/>
      </c>
      <c r="P2372" t="str">
        <f>IFERROR(__xludf.DUMMYFUNCTION("""COMPUTED_VALUE"""),"ID ")</f>
        <v>ID </v>
      </c>
    </row>
    <row r="2373">
      <c r="A2373" s="6" t="str">
        <f>IFERROR(__xludf.DUMMYFUNCTION("""COMPUTED_VALUE"""),"")</f>
        <v/>
      </c>
      <c r="C2373" t="str">
        <f>IFERROR(__xludf.DUMMYFUNCTION("""COMPUTED_VALUE"""),"")</f>
        <v/>
      </c>
      <c r="D2373" t="str">
        <f>IFERROR(__xludf.DUMMYFUNCTION("""COMPUTED_VALUE"""),"")</f>
        <v/>
      </c>
      <c r="E2373" t="str">
        <f>IFERROR(__xludf.DUMMYFUNCTION("""COMPUTED_VALUE"""),"")</f>
        <v/>
      </c>
      <c r="F2373" t="str">
        <f>IFERROR(__xludf.DUMMYFUNCTION("""COMPUTED_VALUE"""),"")</f>
        <v/>
      </c>
      <c r="G2373" t="str">
        <f>IFERROR(__xludf.DUMMYFUNCTION("""COMPUTED_VALUE"""),"")</f>
        <v/>
      </c>
      <c r="H2373" s="2" t="str">
        <f>IFERROR(__xludf.DUMMYFUNCTION("""COMPUTED_VALUE"""),"")</f>
        <v/>
      </c>
      <c r="I2373" s="2" t="str">
        <f>IFERROR(__xludf.DUMMYFUNCTION("""COMPUTED_VALUE"""),"")</f>
        <v/>
      </c>
      <c r="J2373" s="2">
        <f>IFERROR(__xludf.DUMMYFUNCTION("""COMPUTED_VALUE"""),0.0)</f>
        <v>0</v>
      </c>
      <c r="K2373" s="5" t="str">
        <f>IFERROR(__xludf.DUMMYFUNCTION("""COMPUTED_VALUE"""),"")</f>
        <v/>
      </c>
      <c r="L2373" t="str">
        <f>IFERROR(__xludf.DUMMYFUNCTION("""COMPUTED_VALUE"""),"")</f>
        <v/>
      </c>
      <c r="M2373" t="str">
        <f>IFERROR(__xludf.DUMMYFUNCTION("""COMPUTED_VALUE"""),"")</f>
        <v/>
      </c>
      <c r="N2373" t="str">
        <f>IFERROR(__xludf.DUMMYFUNCTION("""COMPUTED_VALUE"""),"")</f>
        <v/>
      </c>
      <c r="O2373" t="str">
        <f>IFERROR(__xludf.DUMMYFUNCTION("""COMPUTED_VALUE"""),"")</f>
        <v/>
      </c>
      <c r="P2373" t="str">
        <f>IFERROR(__xludf.DUMMYFUNCTION("""COMPUTED_VALUE"""),"ID ")</f>
        <v>ID </v>
      </c>
    </row>
    <row r="2374">
      <c r="A2374" s="6" t="str">
        <f>IFERROR(__xludf.DUMMYFUNCTION("""COMPUTED_VALUE"""),"")</f>
        <v/>
      </c>
      <c r="C2374" t="str">
        <f>IFERROR(__xludf.DUMMYFUNCTION("""COMPUTED_VALUE"""),"")</f>
        <v/>
      </c>
      <c r="D2374" t="str">
        <f>IFERROR(__xludf.DUMMYFUNCTION("""COMPUTED_VALUE"""),"")</f>
        <v/>
      </c>
      <c r="E2374" t="str">
        <f>IFERROR(__xludf.DUMMYFUNCTION("""COMPUTED_VALUE"""),"")</f>
        <v/>
      </c>
      <c r="F2374" t="str">
        <f>IFERROR(__xludf.DUMMYFUNCTION("""COMPUTED_VALUE"""),"")</f>
        <v/>
      </c>
      <c r="G2374" t="str">
        <f>IFERROR(__xludf.DUMMYFUNCTION("""COMPUTED_VALUE"""),"")</f>
        <v/>
      </c>
      <c r="H2374" s="2" t="str">
        <f>IFERROR(__xludf.DUMMYFUNCTION("""COMPUTED_VALUE"""),"")</f>
        <v/>
      </c>
      <c r="I2374" s="2" t="str">
        <f>IFERROR(__xludf.DUMMYFUNCTION("""COMPUTED_VALUE"""),"")</f>
        <v/>
      </c>
      <c r="J2374" s="2">
        <f>IFERROR(__xludf.DUMMYFUNCTION("""COMPUTED_VALUE"""),0.0)</f>
        <v>0</v>
      </c>
      <c r="K2374" s="5" t="str">
        <f>IFERROR(__xludf.DUMMYFUNCTION("""COMPUTED_VALUE"""),"")</f>
        <v/>
      </c>
      <c r="L2374" t="str">
        <f>IFERROR(__xludf.DUMMYFUNCTION("""COMPUTED_VALUE"""),"")</f>
        <v/>
      </c>
      <c r="M2374" t="str">
        <f>IFERROR(__xludf.DUMMYFUNCTION("""COMPUTED_VALUE"""),"")</f>
        <v/>
      </c>
      <c r="N2374" t="str">
        <f>IFERROR(__xludf.DUMMYFUNCTION("""COMPUTED_VALUE"""),"")</f>
        <v/>
      </c>
      <c r="O2374" t="str">
        <f>IFERROR(__xludf.DUMMYFUNCTION("""COMPUTED_VALUE"""),"")</f>
        <v/>
      </c>
      <c r="P2374" t="str">
        <f>IFERROR(__xludf.DUMMYFUNCTION("""COMPUTED_VALUE"""),"ID ")</f>
        <v>ID </v>
      </c>
    </row>
    <row r="2375">
      <c r="A2375" s="6" t="str">
        <f>IFERROR(__xludf.DUMMYFUNCTION("""COMPUTED_VALUE"""),"")</f>
        <v/>
      </c>
      <c r="C2375" t="str">
        <f>IFERROR(__xludf.DUMMYFUNCTION("""COMPUTED_VALUE"""),"")</f>
        <v/>
      </c>
      <c r="D2375" t="str">
        <f>IFERROR(__xludf.DUMMYFUNCTION("""COMPUTED_VALUE"""),"")</f>
        <v/>
      </c>
      <c r="E2375" t="str">
        <f>IFERROR(__xludf.DUMMYFUNCTION("""COMPUTED_VALUE"""),"")</f>
        <v/>
      </c>
      <c r="F2375" t="str">
        <f>IFERROR(__xludf.DUMMYFUNCTION("""COMPUTED_VALUE"""),"")</f>
        <v/>
      </c>
      <c r="G2375" t="str">
        <f>IFERROR(__xludf.DUMMYFUNCTION("""COMPUTED_VALUE"""),"")</f>
        <v/>
      </c>
      <c r="H2375" s="2" t="str">
        <f>IFERROR(__xludf.DUMMYFUNCTION("""COMPUTED_VALUE"""),"")</f>
        <v/>
      </c>
      <c r="I2375" s="2" t="str">
        <f>IFERROR(__xludf.DUMMYFUNCTION("""COMPUTED_VALUE"""),"")</f>
        <v/>
      </c>
      <c r="J2375" s="2">
        <f>IFERROR(__xludf.DUMMYFUNCTION("""COMPUTED_VALUE"""),0.0)</f>
        <v>0</v>
      </c>
      <c r="K2375" s="5" t="str">
        <f>IFERROR(__xludf.DUMMYFUNCTION("""COMPUTED_VALUE"""),"")</f>
        <v/>
      </c>
      <c r="L2375" t="str">
        <f>IFERROR(__xludf.DUMMYFUNCTION("""COMPUTED_VALUE"""),"")</f>
        <v/>
      </c>
      <c r="M2375" t="str">
        <f>IFERROR(__xludf.DUMMYFUNCTION("""COMPUTED_VALUE"""),"")</f>
        <v/>
      </c>
      <c r="N2375" t="str">
        <f>IFERROR(__xludf.DUMMYFUNCTION("""COMPUTED_VALUE"""),"")</f>
        <v/>
      </c>
      <c r="O2375" t="str">
        <f>IFERROR(__xludf.DUMMYFUNCTION("""COMPUTED_VALUE"""),"")</f>
        <v/>
      </c>
      <c r="P2375" t="str">
        <f>IFERROR(__xludf.DUMMYFUNCTION("""COMPUTED_VALUE"""),"ID ")</f>
        <v>ID </v>
      </c>
    </row>
    <row r="2376">
      <c r="A2376" s="6" t="str">
        <f>IFERROR(__xludf.DUMMYFUNCTION("""COMPUTED_VALUE"""),"")</f>
        <v/>
      </c>
      <c r="C2376" t="str">
        <f>IFERROR(__xludf.DUMMYFUNCTION("""COMPUTED_VALUE"""),"")</f>
        <v/>
      </c>
      <c r="D2376" t="str">
        <f>IFERROR(__xludf.DUMMYFUNCTION("""COMPUTED_VALUE"""),"")</f>
        <v/>
      </c>
      <c r="E2376" t="str">
        <f>IFERROR(__xludf.DUMMYFUNCTION("""COMPUTED_VALUE"""),"")</f>
        <v/>
      </c>
      <c r="F2376" t="str">
        <f>IFERROR(__xludf.DUMMYFUNCTION("""COMPUTED_VALUE"""),"")</f>
        <v/>
      </c>
      <c r="G2376" t="str">
        <f>IFERROR(__xludf.DUMMYFUNCTION("""COMPUTED_VALUE"""),"")</f>
        <v/>
      </c>
      <c r="H2376" s="2" t="str">
        <f>IFERROR(__xludf.DUMMYFUNCTION("""COMPUTED_VALUE"""),"")</f>
        <v/>
      </c>
      <c r="I2376" s="2" t="str">
        <f>IFERROR(__xludf.DUMMYFUNCTION("""COMPUTED_VALUE"""),"")</f>
        <v/>
      </c>
      <c r="J2376" s="2">
        <f>IFERROR(__xludf.DUMMYFUNCTION("""COMPUTED_VALUE"""),0.0)</f>
        <v>0</v>
      </c>
      <c r="K2376" s="5" t="str">
        <f>IFERROR(__xludf.DUMMYFUNCTION("""COMPUTED_VALUE"""),"")</f>
        <v/>
      </c>
      <c r="L2376" t="str">
        <f>IFERROR(__xludf.DUMMYFUNCTION("""COMPUTED_VALUE"""),"")</f>
        <v/>
      </c>
      <c r="M2376" t="str">
        <f>IFERROR(__xludf.DUMMYFUNCTION("""COMPUTED_VALUE"""),"")</f>
        <v/>
      </c>
      <c r="N2376" t="str">
        <f>IFERROR(__xludf.DUMMYFUNCTION("""COMPUTED_VALUE"""),"")</f>
        <v/>
      </c>
      <c r="O2376" t="str">
        <f>IFERROR(__xludf.DUMMYFUNCTION("""COMPUTED_VALUE"""),"")</f>
        <v/>
      </c>
      <c r="P2376" t="str">
        <f>IFERROR(__xludf.DUMMYFUNCTION("""COMPUTED_VALUE"""),"ID ")</f>
        <v>ID </v>
      </c>
    </row>
    <row r="2377">
      <c r="A2377" s="6" t="str">
        <f>IFERROR(__xludf.DUMMYFUNCTION("""COMPUTED_VALUE"""),"")</f>
        <v/>
      </c>
      <c r="C2377" t="str">
        <f>IFERROR(__xludf.DUMMYFUNCTION("""COMPUTED_VALUE"""),"")</f>
        <v/>
      </c>
      <c r="D2377" t="str">
        <f>IFERROR(__xludf.DUMMYFUNCTION("""COMPUTED_VALUE"""),"")</f>
        <v/>
      </c>
      <c r="E2377" t="str">
        <f>IFERROR(__xludf.DUMMYFUNCTION("""COMPUTED_VALUE"""),"")</f>
        <v/>
      </c>
      <c r="F2377" t="str">
        <f>IFERROR(__xludf.DUMMYFUNCTION("""COMPUTED_VALUE"""),"")</f>
        <v/>
      </c>
      <c r="G2377" t="str">
        <f>IFERROR(__xludf.DUMMYFUNCTION("""COMPUTED_VALUE"""),"")</f>
        <v/>
      </c>
      <c r="H2377" s="2" t="str">
        <f>IFERROR(__xludf.DUMMYFUNCTION("""COMPUTED_VALUE"""),"")</f>
        <v/>
      </c>
      <c r="I2377" s="2" t="str">
        <f>IFERROR(__xludf.DUMMYFUNCTION("""COMPUTED_VALUE"""),"")</f>
        <v/>
      </c>
      <c r="J2377" s="2">
        <f>IFERROR(__xludf.DUMMYFUNCTION("""COMPUTED_VALUE"""),0.0)</f>
        <v>0</v>
      </c>
      <c r="K2377" s="5" t="str">
        <f>IFERROR(__xludf.DUMMYFUNCTION("""COMPUTED_VALUE"""),"")</f>
        <v/>
      </c>
      <c r="L2377" t="str">
        <f>IFERROR(__xludf.DUMMYFUNCTION("""COMPUTED_VALUE"""),"")</f>
        <v/>
      </c>
      <c r="M2377" t="str">
        <f>IFERROR(__xludf.DUMMYFUNCTION("""COMPUTED_VALUE"""),"")</f>
        <v/>
      </c>
      <c r="N2377" t="str">
        <f>IFERROR(__xludf.DUMMYFUNCTION("""COMPUTED_VALUE"""),"")</f>
        <v/>
      </c>
      <c r="O2377" t="str">
        <f>IFERROR(__xludf.DUMMYFUNCTION("""COMPUTED_VALUE"""),"")</f>
        <v/>
      </c>
      <c r="P2377" t="str">
        <f>IFERROR(__xludf.DUMMYFUNCTION("""COMPUTED_VALUE"""),"ID ")</f>
        <v>ID </v>
      </c>
    </row>
    <row r="2378">
      <c r="A2378" s="6" t="str">
        <f>IFERROR(__xludf.DUMMYFUNCTION("""COMPUTED_VALUE"""),"")</f>
        <v/>
      </c>
      <c r="C2378" t="str">
        <f>IFERROR(__xludf.DUMMYFUNCTION("""COMPUTED_VALUE"""),"")</f>
        <v/>
      </c>
      <c r="D2378" t="str">
        <f>IFERROR(__xludf.DUMMYFUNCTION("""COMPUTED_VALUE"""),"")</f>
        <v/>
      </c>
      <c r="E2378" t="str">
        <f>IFERROR(__xludf.DUMMYFUNCTION("""COMPUTED_VALUE"""),"")</f>
        <v/>
      </c>
      <c r="F2378" t="str">
        <f>IFERROR(__xludf.DUMMYFUNCTION("""COMPUTED_VALUE"""),"")</f>
        <v/>
      </c>
      <c r="G2378" t="str">
        <f>IFERROR(__xludf.DUMMYFUNCTION("""COMPUTED_VALUE"""),"")</f>
        <v/>
      </c>
      <c r="H2378" s="2" t="str">
        <f>IFERROR(__xludf.DUMMYFUNCTION("""COMPUTED_VALUE"""),"")</f>
        <v/>
      </c>
      <c r="I2378" s="2" t="str">
        <f>IFERROR(__xludf.DUMMYFUNCTION("""COMPUTED_VALUE"""),"")</f>
        <v/>
      </c>
      <c r="J2378" s="2">
        <f>IFERROR(__xludf.DUMMYFUNCTION("""COMPUTED_VALUE"""),0.0)</f>
        <v>0</v>
      </c>
      <c r="K2378" s="5" t="str">
        <f>IFERROR(__xludf.DUMMYFUNCTION("""COMPUTED_VALUE"""),"")</f>
        <v/>
      </c>
      <c r="L2378" t="str">
        <f>IFERROR(__xludf.DUMMYFUNCTION("""COMPUTED_VALUE"""),"")</f>
        <v/>
      </c>
      <c r="M2378" t="str">
        <f>IFERROR(__xludf.DUMMYFUNCTION("""COMPUTED_VALUE"""),"")</f>
        <v/>
      </c>
      <c r="N2378" t="str">
        <f>IFERROR(__xludf.DUMMYFUNCTION("""COMPUTED_VALUE"""),"")</f>
        <v/>
      </c>
      <c r="O2378" t="str">
        <f>IFERROR(__xludf.DUMMYFUNCTION("""COMPUTED_VALUE"""),"")</f>
        <v/>
      </c>
      <c r="P2378" t="str">
        <f>IFERROR(__xludf.DUMMYFUNCTION("""COMPUTED_VALUE"""),"ID ")</f>
        <v>ID </v>
      </c>
    </row>
    <row r="2379">
      <c r="A2379" s="6" t="str">
        <f>IFERROR(__xludf.DUMMYFUNCTION("""COMPUTED_VALUE"""),"")</f>
        <v/>
      </c>
      <c r="C2379" t="str">
        <f>IFERROR(__xludf.DUMMYFUNCTION("""COMPUTED_VALUE"""),"")</f>
        <v/>
      </c>
      <c r="D2379" t="str">
        <f>IFERROR(__xludf.DUMMYFUNCTION("""COMPUTED_VALUE"""),"")</f>
        <v/>
      </c>
      <c r="E2379" t="str">
        <f>IFERROR(__xludf.DUMMYFUNCTION("""COMPUTED_VALUE"""),"")</f>
        <v/>
      </c>
      <c r="F2379" t="str">
        <f>IFERROR(__xludf.DUMMYFUNCTION("""COMPUTED_VALUE"""),"")</f>
        <v/>
      </c>
      <c r="G2379" t="str">
        <f>IFERROR(__xludf.DUMMYFUNCTION("""COMPUTED_VALUE"""),"")</f>
        <v/>
      </c>
      <c r="H2379" s="2" t="str">
        <f>IFERROR(__xludf.DUMMYFUNCTION("""COMPUTED_VALUE"""),"")</f>
        <v/>
      </c>
      <c r="I2379" s="2" t="str">
        <f>IFERROR(__xludf.DUMMYFUNCTION("""COMPUTED_VALUE"""),"")</f>
        <v/>
      </c>
      <c r="J2379" s="2">
        <f>IFERROR(__xludf.DUMMYFUNCTION("""COMPUTED_VALUE"""),0.0)</f>
        <v>0</v>
      </c>
      <c r="K2379" s="5" t="str">
        <f>IFERROR(__xludf.DUMMYFUNCTION("""COMPUTED_VALUE"""),"")</f>
        <v/>
      </c>
      <c r="L2379" t="str">
        <f>IFERROR(__xludf.DUMMYFUNCTION("""COMPUTED_VALUE"""),"")</f>
        <v/>
      </c>
      <c r="M2379" t="str">
        <f>IFERROR(__xludf.DUMMYFUNCTION("""COMPUTED_VALUE"""),"")</f>
        <v/>
      </c>
      <c r="N2379" t="str">
        <f>IFERROR(__xludf.DUMMYFUNCTION("""COMPUTED_VALUE"""),"")</f>
        <v/>
      </c>
      <c r="O2379" t="str">
        <f>IFERROR(__xludf.DUMMYFUNCTION("""COMPUTED_VALUE"""),"")</f>
        <v/>
      </c>
      <c r="P2379" t="str">
        <f>IFERROR(__xludf.DUMMYFUNCTION("""COMPUTED_VALUE"""),"ID ")</f>
        <v>ID </v>
      </c>
    </row>
    <row r="2380">
      <c r="A2380" s="6" t="str">
        <f>IFERROR(__xludf.DUMMYFUNCTION("""COMPUTED_VALUE"""),"")</f>
        <v/>
      </c>
      <c r="C2380" t="str">
        <f>IFERROR(__xludf.DUMMYFUNCTION("""COMPUTED_VALUE"""),"")</f>
        <v/>
      </c>
      <c r="D2380" t="str">
        <f>IFERROR(__xludf.DUMMYFUNCTION("""COMPUTED_VALUE"""),"")</f>
        <v/>
      </c>
      <c r="E2380" t="str">
        <f>IFERROR(__xludf.DUMMYFUNCTION("""COMPUTED_VALUE"""),"")</f>
        <v/>
      </c>
      <c r="F2380" t="str">
        <f>IFERROR(__xludf.DUMMYFUNCTION("""COMPUTED_VALUE"""),"")</f>
        <v/>
      </c>
      <c r="G2380" t="str">
        <f>IFERROR(__xludf.DUMMYFUNCTION("""COMPUTED_VALUE"""),"")</f>
        <v/>
      </c>
      <c r="H2380" s="2" t="str">
        <f>IFERROR(__xludf.DUMMYFUNCTION("""COMPUTED_VALUE"""),"")</f>
        <v/>
      </c>
      <c r="I2380" s="2" t="str">
        <f>IFERROR(__xludf.DUMMYFUNCTION("""COMPUTED_VALUE"""),"")</f>
        <v/>
      </c>
      <c r="J2380" s="2">
        <f>IFERROR(__xludf.DUMMYFUNCTION("""COMPUTED_VALUE"""),0.0)</f>
        <v>0</v>
      </c>
      <c r="K2380" s="5" t="str">
        <f>IFERROR(__xludf.DUMMYFUNCTION("""COMPUTED_VALUE"""),"")</f>
        <v/>
      </c>
      <c r="L2380" t="str">
        <f>IFERROR(__xludf.DUMMYFUNCTION("""COMPUTED_VALUE"""),"")</f>
        <v/>
      </c>
      <c r="M2380" t="str">
        <f>IFERROR(__xludf.DUMMYFUNCTION("""COMPUTED_VALUE"""),"")</f>
        <v/>
      </c>
      <c r="N2380" t="str">
        <f>IFERROR(__xludf.DUMMYFUNCTION("""COMPUTED_VALUE"""),"")</f>
        <v/>
      </c>
      <c r="O2380" t="str">
        <f>IFERROR(__xludf.DUMMYFUNCTION("""COMPUTED_VALUE"""),"")</f>
        <v/>
      </c>
      <c r="P2380" t="str">
        <f>IFERROR(__xludf.DUMMYFUNCTION("""COMPUTED_VALUE"""),"ID ")</f>
        <v>ID </v>
      </c>
    </row>
    <row r="2381">
      <c r="A2381" s="6" t="str">
        <f>IFERROR(__xludf.DUMMYFUNCTION("""COMPUTED_VALUE"""),"")</f>
        <v/>
      </c>
      <c r="C2381" t="str">
        <f>IFERROR(__xludf.DUMMYFUNCTION("""COMPUTED_VALUE"""),"")</f>
        <v/>
      </c>
      <c r="D2381" t="str">
        <f>IFERROR(__xludf.DUMMYFUNCTION("""COMPUTED_VALUE"""),"")</f>
        <v/>
      </c>
      <c r="E2381" t="str">
        <f>IFERROR(__xludf.DUMMYFUNCTION("""COMPUTED_VALUE"""),"")</f>
        <v/>
      </c>
      <c r="F2381" t="str">
        <f>IFERROR(__xludf.DUMMYFUNCTION("""COMPUTED_VALUE"""),"")</f>
        <v/>
      </c>
      <c r="G2381" t="str">
        <f>IFERROR(__xludf.DUMMYFUNCTION("""COMPUTED_VALUE"""),"")</f>
        <v/>
      </c>
      <c r="H2381" s="2" t="str">
        <f>IFERROR(__xludf.DUMMYFUNCTION("""COMPUTED_VALUE"""),"")</f>
        <v/>
      </c>
      <c r="I2381" s="2" t="str">
        <f>IFERROR(__xludf.DUMMYFUNCTION("""COMPUTED_VALUE"""),"")</f>
        <v/>
      </c>
      <c r="J2381" s="2">
        <f>IFERROR(__xludf.DUMMYFUNCTION("""COMPUTED_VALUE"""),0.0)</f>
        <v>0</v>
      </c>
      <c r="K2381" s="5" t="str">
        <f>IFERROR(__xludf.DUMMYFUNCTION("""COMPUTED_VALUE"""),"")</f>
        <v/>
      </c>
      <c r="L2381" t="str">
        <f>IFERROR(__xludf.DUMMYFUNCTION("""COMPUTED_VALUE"""),"")</f>
        <v/>
      </c>
      <c r="M2381" t="str">
        <f>IFERROR(__xludf.DUMMYFUNCTION("""COMPUTED_VALUE"""),"")</f>
        <v/>
      </c>
      <c r="N2381" t="str">
        <f>IFERROR(__xludf.DUMMYFUNCTION("""COMPUTED_VALUE"""),"")</f>
        <v/>
      </c>
      <c r="O2381" t="str">
        <f>IFERROR(__xludf.DUMMYFUNCTION("""COMPUTED_VALUE"""),"")</f>
        <v/>
      </c>
      <c r="P2381" t="str">
        <f>IFERROR(__xludf.DUMMYFUNCTION("""COMPUTED_VALUE"""),"ID ")</f>
        <v>ID </v>
      </c>
    </row>
    <row r="2382">
      <c r="A2382" s="6" t="str">
        <f>IFERROR(__xludf.DUMMYFUNCTION("""COMPUTED_VALUE"""),"")</f>
        <v/>
      </c>
      <c r="C2382" t="str">
        <f>IFERROR(__xludf.DUMMYFUNCTION("""COMPUTED_VALUE"""),"")</f>
        <v/>
      </c>
      <c r="D2382" t="str">
        <f>IFERROR(__xludf.DUMMYFUNCTION("""COMPUTED_VALUE"""),"")</f>
        <v/>
      </c>
      <c r="E2382" t="str">
        <f>IFERROR(__xludf.DUMMYFUNCTION("""COMPUTED_VALUE"""),"")</f>
        <v/>
      </c>
      <c r="F2382" t="str">
        <f>IFERROR(__xludf.DUMMYFUNCTION("""COMPUTED_VALUE"""),"")</f>
        <v/>
      </c>
      <c r="G2382" t="str">
        <f>IFERROR(__xludf.DUMMYFUNCTION("""COMPUTED_VALUE"""),"")</f>
        <v/>
      </c>
      <c r="H2382" s="2" t="str">
        <f>IFERROR(__xludf.DUMMYFUNCTION("""COMPUTED_VALUE"""),"")</f>
        <v/>
      </c>
      <c r="I2382" s="2" t="str">
        <f>IFERROR(__xludf.DUMMYFUNCTION("""COMPUTED_VALUE"""),"")</f>
        <v/>
      </c>
      <c r="J2382" s="2">
        <f>IFERROR(__xludf.DUMMYFUNCTION("""COMPUTED_VALUE"""),0.0)</f>
        <v>0</v>
      </c>
      <c r="K2382" s="5" t="str">
        <f>IFERROR(__xludf.DUMMYFUNCTION("""COMPUTED_VALUE"""),"")</f>
        <v/>
      </c>
      <c r="L2382" t="str">
        <f>IFERROR(__xludf.DUMMYFUNCTION("""COMPUTED_VALUE"""),"")</f>
        <v/>
      </c>
      <c r="M2382" t="str">
        <f>IFERROR(__xludf.DUMMYFUNCTION("""COMPUTED_VALUE"""),"")</f>
        <v/>
      </c>
      <c r="N2382" t="str">
        <f>IFERROR(__xludf.DUMMYFUNCTION("""COMPUTED_VALUE"""),"")</f>
        <v/>
      </c>
      <c r="O2382" t="str">
        <f>IFERROR(__xludf.DUMMYFUNCTION("""COMPUTED_VALUE"""),"")</f>
        <v/>
      </c>
      <c r="P2382" t="str">
        <f>IFERROR(__xludf.DUMMYFUNCTION("""COMPUTED_VALUE"""),"ID ")</f>
        <v>ID </v>
      </c>
    </row>
    <row r="2383">
      <c r="A2383" s="6" t="str">
        <f>IFERROR(__xludf.DUMMYFUNCTION("""COMPUTED_VALUE"""),"")</f>
        <v/>
      </c>
      <c r="C2383" t="str">
        <f>IFERROR(__xludf.DUMMYFUNCTION("""COMPUTED_VALUE"""),"")</f>
        <v/>
      </c>
      <c r="D2383" t="str">
        <f>IFERROR(__xludf.DUMMYFUNCTION("""COMPUTED_VALUE"""),"")</f>
        <v/>
      </c>
      <c r="E2383" t="str">
        <f>IFERROR(__xludf.DUMMYFUNCTION("""COMPUTED_VALUE"""),"")</f>
        <v/>
      </c>
      <c r="F2383" t="str">
        <f>IFERROR(__xludf.DUMMYFUNCTION("""COMPUTED_VALUE"""),"")</f>
        <v/>
      </c>
      <c r="G2383" t="str">
        <f>IFERROR(__xludf.DUMMYFUNCTION("""COMPUTED_VALUE"""),"")</f>
        <v/>
      </c>
      <c r="H2383" s="2" t="str">
        <f>IFERROR(__xludf.DUMMYFUNCTION("""COMPUTED_VALUE"""),"")</f>
        <v/>
      </c>
      <c r="I2383" s="2" t="str">
        <f>IFERROR(__xludf.DUMMYFUNCTION("""COMPUTED_VALUE"""),"")</f>
        <v/>
      </c>
      <c r="J2383" s="2">
        <f>IFERROR(__xludf.DUMMYFUNCTION("""COMPUTED_VALUE"""),0.0)</f>
        <v>0</v>
      </c>
      <c r="K2383" s="5" t="str">
        <f>IFERROR(__xludf.DUMMYFUNCTION("""COMPUTED_VALUE"""),"")</f>
        <v/>
      </c>
      <c r="L2383" t="str">
        <f>IFERROR(__xludf.DUMMYFUNCTION("""COMPUTED_VALUE"""),"")</f>
        <v/>
      </c>
      <c r="M2383" t="str">
        <f>IFERROR(__xludf.DUMMYFUNCTION("""COMPUTED_VALUE"""),"")</f>
        <v/>
      </c>
      <c r="N2383" t="str">
        <f>IFERROR(__xludf.DUMMYFUNCTION("""COMPUTED_VALUE"""),"")</f>
        <v/>
      </c>
      <c r="O2383" t="str">
        <f>IFERROR(__xludf.DUMMYFUNCTION("""COMPUTED_VALUE"""),"")</f>
        <v/>
      </c>
      <c r="P2383" t="str">
        <f>IFERROR(__xludf.DUMMYFUNCTION("""COMPUTED_VALUE"""),"ID ")</f>
        <v>ID </v>
      </c>
    </row>
    <row r="2384">
      <c r="A2384" s="6" t="str">
        <f>IFERROR(__xludf.DUMMYFUNCTION("""COMPUTED_VALUE"""),"")</f>
        <v/>
      </c>
      <c r="C2384" t="str">
        <f>IFERROR(__xludf.DUMMYFUNCTION("""COMPUTED_VALUE"""),"")</f>
        <v/>
      </c>
      <c r="D2384" t="str">
        <f>IFERROR(__xludf.DUMMYFUNCTION("""COMPUTED_VALUE"""),"")</f>
        <v/>
      </c>
      <c r="E2384" t="str">
        <f>IFERROR(__xludf.DUMMYFUNCTION("""COMPUTED_VALUE"""),"")</f>
        <v/>
      </c>
      <c r="F2384" t="str">
        <f>IFERROR(__xludf.DUMMYFUNCTION("""COMPUTED_VALUE"""),"")</f>
        <v/>
      </c>
      <c r="G2384" t="str">
        <f>IFERROR(__xludf.DUMMYFUNCTION("""COMPUTED_VALUE"""),"")</f>
        <v/>
      </c>
      <c r="H2384" s="2" t="str">
        <f>IFERROR(__xludf.DUMMYFUNCTION("""COMPUTED_VALUE"""),"")</f>
        <v/>
      </c>
      <c r="I2384" s="2" t="str">
        <f>IFERROR(__xludf.DUMMYFUNCTION("""COMPUTED_VALUE"""),"")</f>
        <v/>
      </c>
      <c r="J2384" s="2">
        <f>IFERROR(__xludf.DUMMYFUNCTION("""COMPUTED_VALUE"""),0.0)</f>
        <v>0</v>
      </c>
      <c r="K2384" s="5" t="str">
        <f>IFERROR(__xludf.DUMMYFUNCTION("""COMPUTED_VALUE"""),"")</f>
        <v/>
      </c>
      <c r="L2384" t="str">
        <f>IFERROR(__xludf.DUMMYFUNCTION("""COMPUTED_VALUE"""),"")</f>
        <v/>
      </c>
      <c r="M2384" t="str">
        <f>IFERROR(__xludf.DUMMYFUNCTION("""COMPUTED_VALUE"""),"")</f>
        <v/>
      </c>
      <c r="N2384" t="str">
        <f>IFERROR(__xludf.DUMMYFUNCTION("""COMPUTED_VALUE"""),"")</f>
        <v/>
      </c>
      <c r="O2384" t="str">
        <f>IFERROR(__xludf.DUMMYFUNCTION("""COMPUTED_VALUE"""),"")</f>
        <v/>
      </c>
      <c r="P2384" t="str">
        <f>IFERROR(__xludf.DUMMYFUNCTION("""COMPUTED_VALUE"""),"ID ")</f>
        <v>ID </v>
      </c>
    </row>
    <row r="2385">
      <c r="A2385" s="6" t="str">
        <f>IFERROR(__xludf.DUMMYFUNCTION("""COMPUTED_VALUE"""),"")</f>
        <v/>
      </c>
      <c r="C2385" t="str">
        <f>IFERROR(__xludf.DUMMYFUNCTION("""COMPUTED_VALUE"""),"")</f>
        <v/>
      </c>
      <c r="D2385" t="str">
        <f>IFERROR(__xludf.DUMMYFUNCTION("""COMPUTED_VALUE"""),"")</f>
        <v/>
      </c>
      <c r="E2385" t="str">
        <f>IFERROR(__xludf.DUMMYFUNCTION("""COMPUTED_VALUE"""),"")</f>
        <v/>
      </c>
      <c r="F2385" t="str">
        <f>IFERROR(__xludf.DUMMYFUNCTION("""COMPUTED_VALUE"""),"")</f>
        <v/>
      </c>
      <c r="G2385" t="str">
        <f>IFERROR(__xludf.DUMMYFUNCTION("""COMPUTED_VALUE"""),"")</f>
        <v/>
      </c>
      <c r="H2385" s="2" t="str">
        <f>IFERROR(__xludf.DUMMYFUNCTION("""COMPUTED_VALUE"""),"")</f>
        <v/>
      </c>
      <c r="I2385" s="2" t="str">
        <f>IFERROR(__xludf.DUMMYFUNCTION("""COMPUTED_VALUE"""),"")</f>
        <v/>
      </c>
      <c r="J2385" s="2">
        <f>IFERROR(__xludf.DUMMYFUNCTION("""COMPUTED_VALUE"""),0.0)</f>
        <v>0</v>
      </c>
      <c r="K2385" s="5" t="str">
        <f>IFERROR(__xludf.DUMMYFUNCTION("""COMPUTED_VALUE"""),"")</f>
        <v/>
      </c>
      <c r="L2385" t="str">
        <f>IFERROR(__xludf.DUMMYFUNCTION("""COMPUTED_VALUE"""),"")</f>
        <v/>
      </c>
      <c r="M2385" t="str">
        <f>IFERROR(__xludf.DUMMYFUNCTION("""COMPUTED_VALUE"""),"")</f>
        <v/>
      </c>
      <c r="N2385" t="str">
        <f>IFERROR(__xludf.DUMMYFUNCTION("""COMPUTED_VALUE"""),"")</f>
        <v/>
      </c>
      <c r="O2385" t="str">
        <f>IFERROR(__xludf.DUMMYFUNCTION("""COMPUTED_VALUE"""),"")</f>
        <v/>
      </c>
      <c r="P2385" t="str">
        <f>IFERROR(__xludf.DUMMYFUNCTION("""COMPUTED_VALUE"""),"ID ")</f>
        <v>ID </v>
      </c>
    </row>
    <row r="2386">
      <c r="A2386" s="6" t="str">
        <f>IFERROR(__xludf.DUMMYFUNCTION("""COMPUTED_VALUE"""),"")</f>
        <v/>
      </c>
      <c r="C2386" t="str">
        <f>IFERROR(__xludf.DUMMYFUNCTION("""COMPUTED_VALUE"""),"")</f>
        <v/>
      </c>
      <c r="D2386" t="str">
        <f>IFERROR(__xludf.DUMMYFUNCTION("""COMPUTED_VALUE"""),"")</f>
        <v/>
      </c>
      <c r="E2386" t="str">
        <f>IFERROR(__xludf.DUMMYFUNCTION("""COMPUTED_VALUE"""),"")</f>
        <v/>
      </c>
      <c r="F2386" t="str">
        <f>IFERROR(__xludf.DUMMYFUNCTION("""COMPUTED_VALUE"""),"")</f>
        <v/>
      </c>
      <c r="G2386" t="str">
        <f>IFERROR(__xludf.DUMMYFUNCTION("""COMPUTED_VALUE"""),"")</f>
        <v/>
      </c>
      <c r="H2386" s="2" t="str">
        <f>IFERROR(__xludf.DUMMYFUNCTION("""COMPUTED_VALUE"""),"")</f>
        <v/>
      </c>
      <c r="I2386" s="2" t="str">
        <f>IFERROR(__xludf.DUMMYFUNCTION("""COMPUTED_VALUE"""),"")</f>
        <v/>
      </c>
      <c r="J2386" s="2">
        <f>IFERROR(__xludf.DUMMYFUNCTION("""COMPUTED_VALUE"""),0.0)</f>
        <v>0</v>
      </c>
      <c r="K2386" s="5" t="str">
        <f>IFERROR(__xludf.DUMMYFUNCTION("""COMPUTED_VALUE"""),"")</f>
        <v/>
      </c>
      <c r="L2386" t="str">
        <f>IFERROR(__xludf.DUMMYFUNCTION("""COMPUTED_VALUE"""),"")</f>
        <v/>
      </c>
      <c r="M2386" t="str">
        <f>IFERROR(__xludf.DUMMYFUNCTION("""COMPUTED_VALUE"""),"")</f>
        <v/>
      </c>
      <c r="N2386" t="str">
        <f>IFERROR(__xludf.DUMMYFUNCTION("""COMPUTED_VALUE"""),"")</f>
        <v/>
      </c>
      <c r="O2386" t="str">
        <f>IFERROR(__xludf.DUMMYFUNCTION("""COMPUTED_VALUE"""),"")</f>
        <v/>
      </c>
      <c r="P2386" t="str">
        <f>IFERROR(__xludf.DUMMYFUNCTION("""COMPUTED_VALUE"""),"ID ")</f>
        <v>ID </v>
      </c>
    </row>
    <row r="2387">
      <c r="A2387" s="6" t="str">
        <f>IFERROR(__xludf.DUMMYFUNCTION("""COMPUTED_VALUE"""),"")</f>
        <v/>
      </c>
      <c r="C2387" t="str">
        <f>IFERROR(__xludf.DUMMYFUNCTION("""COMPUTED_VALUE"""),"")</f>
        <v/>
      </c>
      <c r="D2387" t="str">
        <f>IFERROR(__xludf.DUMMYFUNCTION("""COMPUTED_VALUE"""),"")</f>
        <v/>
      </c>
      <c r="E2387" t="str">
        <f>IFERROR(__xludf.DUMMYFUNCTION("""COMPUTED_VALUE"""),"")</f>
        <v/>
      </c>
      <c r="F2387" t="str">
        <f>IFERROR(__xludf.DUMMYFUNCTION("""COMPUTED_VALUE"""),"")</f>
        <v/>
      </c>
      <c r="G2387" t="str">
        <f>IFERROR(__xludf.DUMMYFUNCTION("""COMPUTED_VALUE"""),"")</f>
        <v/>
      </c>
      <c r="H2387" s="2" t="str">
        <f>IFERROR(__xludf.DUMMYFUNCTION("""COMPUTED_VALUE"""),"")</f>
        <v/>
      </c>
      <c r="I2387" s="2" t="str">
        <f>IFERROR(__xludf.DUMMYFUNCTION("""COMPUTED_VALUE"""),"")</f>
        <v/>
      </c>
      <c r="J2387" s="2">
        <f>IFERROR(__xludf.DUMMYFUNCTION("""COMPUTED_VALUE"""),0.0)</f>
        <v>0</v>
      </c>
      <c r="K2387" s="5" t="str">
        <f>IFERROR(__xludf.DUMMYFUNCTION("""COMPUTED_VALUE"""),"")</f>
        <v/>
      </c>
      <c r="L2387" t="str">
        <f>IFERROR(__xludf.DUMMYFUNCTION("""COMPUTED_VALUE"""),"")</f>
        <v/>
      </c>
      <c r="M2387" t="str">
        <f>IFERROR(__xludf.DUMMYFUNCTION("""COMPUTED_VALUE"""),"")</f>
        <v/>
      </c>
      <c r="N2387" t="str">
        <f>IFERROR(__xludf.DUMMYFUNCTION("""COMPUTED_VALUE"""),"")</f>
        <v/>
      </c>
      <c r="O2387" t="str">
        <f>IFERROR(__xludf.DUMMYFUNCTION("""COMPUTED_VALUE"""),"")</f>
        <v/>
      </c>
      <c r="P2387" t="str">
        <f>IFERROR(__xludf.DUMMYFUNCTION("""COMPUTED_VALUE"""),"ID ")</f>
        <v>ID </v>
      </c>
    </row>
    <row r="2388">
      <c r="A2388" s="6" t="str">
        <f>IFERROR(__xludf.DUMMYFUNCTION("""COMPUTED_VALUE"""),"")</f>
        <v/>
      </c>
      <c r="C2388" t="str">
        <f>IFERROR(__xludf.DUMMYFUNCTION("""COMPUTED_VALUE"""),"")</f>
        <v/>
      </c>
      <c r="D2388" t="str">
        <f>IFERROR(__xludf.DUMMYFUNCTION("""COMPUTED_VALUE"""),"")</f>
        <v/>
      </c>
      <c r="E2388" t="str">
        <f>IFERROR(__xludf.DUMMYFUNCTION("""COMPUTED_VALUE"""),"")</f>
        <v/>
      </c>
      <c r="F2388" t="str">
        <f>IFERROR(__xludf.DUMMYFUNCTION("""COMPUTED_VALUE"""),"")</f>
        <v/>
      </c>
      <c r="G2388" t="str">
        <f>IFERROR(__xludf.DUMMYFUNCTION("""COMPUTED_VALUE"""),"")</f>
        <v/>
      </c>
      <c r="H2388" s="2" t="str">
        <f>IFERROR(__xludf.DUMMYFUNCTION("""COMPUTED_VALUE"""),"")</f>
        <v/>
      </c>
      <c r="I2388" s="2" t="str">
        <f>IFERROR(__xludf.DUMMYFUNCTION("""COMPUTED_VALUE"""),"")</f>
        <v/>
      </c>
      <c r="J2388" s="2">
        <f>IFERROR(__xludf.DUMMYFUNCTION("""COMPUTED_VALUE"""),0.0)</f>
        <v>0</v>
      </c>
      <c r="K2388" s="5" t="str">
        <f>IFERROR(__xludf.DUMMYFUNCTION("""COMPUTED_VALUE"""),"")</f>
        <v/>
      </c>
      <c r="L2388" t="str">
        <f>IFERROR(__xludf.DUMMYFUNCTION("""COMPUTED_VALUE"""),"")</f>
        <v/>
      </c>
      <c r="M2388" t="str">
        <f>IFERROR(__xludf.DUMMYFUNCTION("""COMPUTED_VALUE"""),"")</f>
        <v/>
      </c>
      <c r="N2388" t="str">
        <f>IFERROR(__xludf.DUMMYFUNCTION("""COMPUTED_VALUE"""),"")</f>
        <v/>
      </c>
      <c r="O2388" t="str">
        <f>IFERROR(__xludf.DUMMYFUNCTION("""COMPUTED_VALUE"""),"")</f>
        <v/>
      </c>
      <c r="P2388" t="str">
        <f>IFERROR(__xludf.DUMMYFUNCTION("""COMPUTED_VALUE"""),"ID ")</f>
        <v>ID </v>
      </c>
    </row>
    <row r="2389">
      <c r="A2389" s="6" t="str">
        <f>IFERROR(__xludf.DUMMYFUNCTION("""COMPUTED_VALUE"""),"")</f>
        <v/>
      </c>
      <c r="C2389" t="str">
        <f>IFERROR(__xludf.DUMMYFUNCTION("""COMPUTED_VALUE"""),"")</f>
        <v/>
      </c>
      <c r="D2389" t="str">
        <f>IFERROR(__xludf.DUMMYFUNCTION("""COMPUTED_VALUE"""),"")</f>
        <v/>
      </c>
      <c r="E2389" t="str">
        <f>IFERROR(__xludf.DUMMYFUNCTION("""COMPUTED_VALUE"""),"")</f>
        <v/>
      </c>
      <c r="F2389" t="str">
        <f>IFERROR(__xludf.DUMMYFUNCTION("""COMPUTED_VALUE"""),"")</f>
        <v/>
      </c>
      <c r="G2389" t="str">
        <f>IFERROR(__xludf.DUMMYFUNCTION("""COMPUTED_VALUE"""),"")</f>
        <v/>
      </c>
      <c r="H2389" s="2" t="str">
        <f>IFERROR(__xludf.DUMMYFUNCTION("""COMPUTED_VALUE"""),"")</f>
        <v/>
      </c>
      <c r="I2389" s="2" t="str">
        <f>IFERROR(__xludf.DUMMYFUNCTION("""COMPUTED_VALUE"""),"")</f>
        <v/>
      </c>
      <c r="J2389" s="2">
        <f>IFERROR(__xludf.DUMMYFUNCTION("""COMPUTED_VALUE"""),0.0)</f>
        <v>0</v>
      </c>
      <c r="K2389" s="5" t="str">
        <f>IFERROR(__xludf.DUMMYFUNCTION("""COMPUTED_VALUE"""),"")</f>
        <v/>
      </c>
      <c r="L2389" t="str">
        <f>IFERROR(__xludf.DUMMYFUNCTION("""COMPUTED_VALUE"""),"")</f>
        <v/>
      </c>
      <c r="M2389" t="str">
        <f>IFERROR(__xludf.DUMMYFUNCTION("""COMPUTED_VALUE"""),"")</f>
        <v/>
      </c>
      <c r="N2389" t="str">
        <f>IFERROR(__xludf.DUMMYFUNCTION("""COMPUTED_VALUE"""),"")</f>
        <v/>
      </c>
      <c r="O2389" t="str">
        <f>IFERROR(__xludf.DUMMYFUNCTION("""COMPUTED_VALUE"""),"")</f>
        <v/>
      </c>
      <c r="P2389" t="str">
        <f>IFERROR(__xludf.DUMMYFUNCTION("""COMPUTED_VALUE"""),"ID ")</f>
        <v>ID </v>
      </c>
    </row>
    <row r="2390">
      <c r="A2390" s="6" t="str">
        <f>IFERROR(__xludf.DUMMYFUNCTION("""COMPUTED_VALUE"""),"")</f>
        <v/>
      </c>
      <c r="C2390" t="str">
        <f>IFERROR(__xludf.DUMMYFUNCTION("""COMPUTED_VALUE"""),"")</f>
        <v/>
      </c>
      <c r="D2390" t="str">
        <f>IFERROR(__xludf.DUMMYFUNCTION("""COMPUTED_VALUE"""),"")</f>
        <v/>
      </c>
      <c r="E2390" t="str">
        <f>IFERROR(__xludf.DUMMYFUNCTION("""COMPUTED_VALUE"""),"")</f>
        <v/>
      </c>
      <c r="F2390" t="str">
        <f>IFERROR(__xludf.DUMMYFUNCTION("""COMPUTED_VALUE"""),"")</f>
        <v/>
      </c>
      <c r="G2390" t="str">
        <f>IFERROR(__xludf.DUMMYFUNCTION("""COMPUTED_VALUE"""),"")</f>
        <v/>
      </c>
      <c r="H2390" s="2" t="str">
        <f>IFERROR(__xludf.DUMMYFUNCTION("""COMPUTED_VALUE"""),"")</f>
        <v/>
      </c>
      <c r="I2390" s="2" t="str">
        <f>IFERROR(__xludf.DUMMYFUNCTION("""COMPUTED_VALUE"""),"")</f>
        <v/>
      </c>
      <c r="J2390" s="2">
        <f>IFERROR(__xludf.DUMMYFUNCTION("""COMPUTED_VALUE"""),0.0)</f>
        <v>0</v>
      </c>
      <c r="K2390" s="5" t="str">
        <f>IFERROR(__xludf.DUMMYFUNCTION("""COMPUTED_VALUE"""),"")</f>
        <v/>
      </c>
      <c r="L2390" t="str">
        <f>IFERROR(__xludf.DUMMYFUNCTION("""COMPUTED_VALUE"""),"")</f>
        <v/>
      </c>
      <c r="M2390" t="str">
        <f>IFERROR(__xludf.DUMMYFUNCTION("""COMPUTED_VALUE"""),"")</f>
        <v/>
      </c>
      <c r="N2390" t="str">
        <f>IFERROR(__xludf.DUMMYFUNCTION("""COMPUTED_VALUE"""),"")</f>
        <v/>
      </c>
      <c r="O2390" t="str">
        <f>IFERROR(__xludf.DUMMYFUNCTION("""COMPUTED_VALUE"""),"")</f>
        <v/>
      </c>
      <c r="P2390" t="str">
        <f>IFERROR(__xludf.DUMMYFUNCTION("""COMPUTED_VALUE"""),"ID ")</f>
        <v>ID </v>
      </c>
    </row>
    <row r="2391">
      <c r="A2391" s="6" t="str">
        <f>IFERROR(__xludf.DUMMYFUNCTION("""COMPUTED_VALUE"""),"")</f>
        <v/>
      </c>
      <c r="C2391" t="str">
        <f>IFERROR(__xludf.DUMMYFUNCTION("""COMPUTED_VALUE"""),"")</f>
        <v/>
      </c>
      <c r="D2391" t="str">
        <f>IFERROR(__xludf.DUMMYFUNCTION("""COMPUTED_VALUE"""),"")</f>
        <v/>
      </c>
      <c r="E2391" t="str">
        <f>IFERROR(__xludf.DUMMYFUNCTION("""COMPUTED_VALUE"""),"")</f>
        <v/>
      </c>
      <c r="F2391" t="str">
        <f>IFERROR(__xludf.DUMMYFUNCTION("""COMPUTED_VALUE"""),"")</f>
        <v/>
      </c>
      <c r="G2391" t="str">
        <f>IFERROR(__xludf.DUMMYFUNCTION("""COMPUTED_VALUE"""),"")</f>
        <v/>
      </c>
      <c r="H2391" s="2" t="str">
        <f>IFERROR(__xludf.DUMMYFUNCTION("""COMPUTED_VALUE"""),"")</f>
        <v/>
      </c>
      <c r="I2391" s="2" t="str">
        <f>IFERROR(__xludf.DUMMYFUNCTION("""COMPUTED_VALUE"""),"")</f>
        <v/>
      </c>
      <c r="J2391" s="2">
        <f>IFERROR(__xludf.DUMMYFUNCTION("""COMPUTED_VALUE"""),0.0)</f>
        <v>0</v>
      </c>
      <c r="K2391" s="5" t="str">
        <f>IFERROR(__xludf.DUMMYFUNCTION("""COMPUTED_VALUE"""),"")</f>
        <v/>
      </c>
      <c r="L2391" t="str">
        <f>IFERROR(__xludf.DUMMYFUNCTION("""COMPUTED_VALUE"""),"")</f>
        <v/>
      </c>
      <c r="M2391" t="str">
        <f>IFERROR(__xludf.DUMMYFUNCTION("""COMPUTED_VALUE"""),"")</f>
        <v/>
      </c>
      <c r="N2391" t="str">
        <f>IFERROR(__xludf.DUMMYFUNCTION("""COMPUTED_VALUE"""),"")</f>
        <v/>
      </c>
      <c r="O2391" t="str">
        <f>IFERROR(__xludf.DUMMYFUNCTION("""COMPUTED_VALUE"""),"")</f>
        <v/>
      </c>
      <c r="P2391" t="str">
        <f>IFERROR(__xludf.DUMMYFUNCTION("""COMPUTED_VALUE"""),"ID ")</f>
        <v>ID </v>
      </c>
    </row>
    <row r="2392">
      <c r="A2392" s="6" t="str">
        <f>IFERROR(__xludf.DUMMYFUNCTION("""COMPUTED_VALUE"""),"")</f>
        <v/>
      </c>
      <c r="C2392" t="str">
        <f>IFERROR(__xludf.DUMMYFUNCTION("""COMPUTED_VALUE"""),"")</f>
        <v/>
      </c>
      <c r="D2392" t="str">
        <f>IFERROR(__xludf.DUMMYFUNCTION("""COMPUTED_VALUE"""),"")</f>
        <v/>
      </c>
      <c r="E2392" t="str">
        <f>IFERROR(__xludf.DUMMYFUNCTION("""COMPUTED_VALUE"""),"")</f>
        <v/>
      </c>
      <c r="F2392" t="str">
        <f>IFERROR(__xludf.DUMMYFUNCTION("""COMPUTED_VALUE"""),"")</f>
        <v/>
      </c>
      <c r="G2392" t="str">
        <f>IFERROR(__xludf.DUMMYFUNCTION("""COMPUTED_VALUE"""),"")</f>
        <v/>
      </c>
      <c r="H2392" s="2" t="str">
        <f>IFERROR(__xludf.DUMMYFUNCTION("""COMPUTED_VALUE"""),"")</f>
        <v/>
      </c>
      <c r="I2392" s="2" t="str">
        <f>IFERROR(__xludf.DUMMYFUNCTION("""COMPUTED_VALUE"""),"")</f>
        <v/>
      </c>
      <c r="J2392" s="2">
        <f>IFERROR(__xludf.DUMMYFUNCTION("""COMPUTED_VALUE"""),0.0)</f>
        <v>0</v>
      </c>
      <c r="K2392" s="5" t="str">
        <f>IFERROR(__xludf.DUMMYFUNCTION("""COMPUTED_VALUE"""),"")</f>
        <v/>
      </c>
      <c r="L2392" t="str">
        <f>IFERROR(__xludf.DUMMYFUNCTION("""COMPUTED_VALUE"""),"")</f>
        <v/>
      </c>
      <c r="M2392" t="str">
        <f>IFERROR(__xludf.DUMMYFUNCTION("""COMPUTED_VALUE"""),"")</f>
        <v/>
      </c>
      <c r="N2392" t="str">
        <f>IFERROR(__xludf.DUMMYFUNCTION("""COMPUTED_VALUE"""),"")</f>
        <v/>
      </c>
      <c r="O2392" t="str">
        <f>IFERROR(__xludf.DUMMYFUNCTION("""COMPUTED_VALUE"""),"")</f>
        <v/>
      </c>
      <c r="P2392" t="str">
        <f>IFERROR(__xludf.DUMMYFUNCTION("""COMPUTED_VALUE"""),"ID ")</f>
        <v>ID </v>
      </c>
    </row>
    <row r="2393">
      <c r="A2393" s="6" t="str">
        <f>IFERROR(__xludf.DUMMYFUNCTION("""COMPUTED_VALUE"""),"")</f>
        <v/>
      </c>
      <c r="C2393" t="str">
        <f>IFERROR(__xludf.DUMMYFUNCTION("""COMPUTED_VALUE"""),"")</f>
        <v/>
      </c>
      <c r="D2393" t="str">
        <f>IFERROR(__xludf.DUMMYFUNCTION("""COMPUTED_VALUE"""),"")</f>
        <v/>
      </c>
      <c r="E2393" t="str">
        <f>IFERROR(__xludf.DUMMYFUNCTION("""COMPUTED_VALUE"""),"")</f>
        <v/>
      </c>
      <c r="F2393" t="str">
        <f>IFERROR(__xludf.DUMMYFUNCTION("""COMPUTED_VALUE"""),"")</f>
        <v/>
      </c>
      <c r="G2393" t="str">
        <f>IFERROR(__xludf.DUMMYFUNCTION("""COMPUTED_VALUE"""),"")</f>
        <v/>
      </c>
      <c r="H2393" s="2" t="str">
        <f>IFERROR(__xludf.DUMMYFUNCTION("""COMPUTED_VALUE"""),"")</f>
        <v/>
      </c>
      <c r="I2393" s="2" t="str">
        <f>IFERROR(__xludf.DUMMYFUNCTION("""COMPUTED_VALUE"""),"")</f>
        <v/>
      </c>
      <c r="J2393" s="2">
        <f>IFERROR(__xludf.DUMMYFUNCTION("""COMPUTED_VALUE"""),0.0)</f>
        <v>0</v>
      </c>
      <c r="K2393" s="5" t="str">
        <f>IFERROR(__xludf.DUMMYFUNCTION("""COMPUTED_VALUE"""),"")</f>
        <v/>
      </c>
      <c r="L2393" t="str">
        <f>IFERROR(__xludf.DUMMYFUNCTION("""COMPUTED_VALUE"""),"")</f>
        <v/>
      </c>
      <c r="M2393" t="str">
        <f>IFERROR(__xludf.DUMMYFUNCTION("""COMPUTED_VALUE"""),"")</f>
        <v/>
      </c>
      <c r="N2393" t="str">
        <f>IFERROR(__xludf.DUMMYFUNCTION("""COMPUTED_VALUE"""),"")</f>
        <v/>
      </c>
      <c r="O2393" t="str">
        <f>IFERROR(__xludf.DUMMYFUNCTION("""COMPUTED_VALUE"""),"")</f>
        <v/>
      </c>
      <c r="P2393" t="str">
        <f>IFERROR(__xludf.DUMMYFUNCTION("""COMPUTED_VALUE"""),"ID ")</f>
        <v>ID </v>
      </c>
    </row>
    <row r="2394">
      <c r="A2394" s="6" t="str">
        <f>IFERROR(__xludf.DUMMYFUNCTION("""COMPUTED_VALUE"""),"")</f>
        <v/>
      </c>
      <c r="C2394" t="str">
        <f>IFERROR(__xludf.DUMMYFUNCTION("""COMPUTED_VALUE"""),"")</f>
        <v/>
      </c>
      <c r="D2394" t="str">
        <f>IFERROR(__xludf.DUMMYFUNCTION("""COMPUTED_VALUE"""),"")</f>
        <v/>
      </c>
      <c r="E2394" t="str">
        <f>IFERROR(__xludf.DUMMYFUNCTION("""COMPUTED_VALUE"""),"")</f>
        <v/>
      </c>
      <c r="F2394" t="str">
        <f>IFERROR(__xludf.DUMMYFUNCTION("""COMPUTED_VALUE"""),"")</f>
        <v/>
      </c>
      <c r="G2394" t="str">
        <f>IFERROR(__xludf.DUMMYFUNCTION("""COMPUTED_VALUE"""),"")</f>
        <v/>
      </c>
      <c r="H2394" s="2" t="str">
        <f>IFERROR(__xludf.DUMMYFUNCTION("""COMPUTED_VALUE"""),"")</f>
        <v/>
      </c>
      <c r="I2394" s="2" t="str">
        <f>IFERROR(__xludf.DUMMYFUNCTION("""COMPUTED_VALUE"""),"")</f>
        <v/>
      </c>
      <c r="J2394" s="2">
        <f>IFERROR(__xludf.DUMMYFUNCTION("""COMPUTED_VALUE"""),0.0)</f>
        <v>0</v>
      </c>
      <c r="K2394" s="5" t="str">
        <f>IFERROR(__xludf.DUMMYFUNCTION("""COMPUTED_VALUE"""),"")</f>
        <v/>
      </c>
      <c r="L2394" t="str">
        <f>IFERROR(__xludf.DUMMYFUNCTION("""COMPUTED_VALUE"""),"")</f>
        <v/>
      </c>
      <c r="M2394" t="str">
        <f>IFERROR(__xludf.DUMMYFUNCTION("""COMPUTED_VALUE"""),"")</f>
        <v/>
      </c>
      <c r="N2394" t="str">
        <f>IFERROR(__xludf.DUMMYFUNCTION("""COMPUTED_VALUE"""),"")</f>
        <v/>
      </c>
      <c r="O2394" t="str">
        <f>IFERROR(__xludf.DUMMYFUNCTION("""COMPUTED_VALUE"""),"")</f>
        <v/>
      </c>
      <c r="P2394" t="str">
        <f>IFERROR(__xludf.DUMMYFUNCTION("""COMPUTED_VALUE"""),"ID ")</f>
        <v>ID </v>
      </c>
    </row>
    <row r="2395">
      <c r="A2395" s="6" t="str">
        <f>IFERROR(__xludf.DUMMYFUNCTION("""COMPUTED_VALUE"""),"")</f>
        <v/>
      </c>
      <c r="C2395" t="str">
        <f>IFERROR(__xludf.DUMMYFUNCTION("""COMPUTED_VALUE"""),"")</f>
        <v/>
      </c>
      <c r="D2395" t="str">
        <f>IFERROR(__xludf.DUMMYFUNCTION("""COMPUTED_VALUE"""),"")</f>
        <v/>
      </c>
      <c r="E2395" t="str">
        <f>IFERROR(__xludf.DUMMYFUNCTION("""COMPUTED_VALUE"""),"")</f>
        <v/>
      </c>
      <c r="F2395" t="str">
        <f>IFERROR(__xludf.DUMMYFUNCTION("""COMPUTED_VALUE"""),"")</f>
        <v/>
      </c>
      <c r="G2395" t="str">
        <f>IFERROR(__xludf.DUMMYFUNCTION("""COMPUTED_VALUE"""),"")</f>
        <v/>
      </c>
      <c r="H2395" s="2" t="str">
        <f>IFERROR(__xludf.DUMMYFUNCTION("""COMPUTED_VALUE"""),"")</f>
        <v/>
      </c>
      <c r="I2395" s="2" t="str">
        <f>IFERROR(__xludf.DUMMYFUNCTION("""COMPUTED_VALUE"""),"")</f>
        <v/>
      </c>
      <c r="J2395" s="2">
        <f>IFERROR(__xludf.DUMMYFUNCTION("""COMPUTED_VALUE"""),0.0)</f>
        <v>0</v>
      </c>
      <c r="K2395" s="5" t="str">
        <f>IFERROR(__xludf.DUMMYFUNCTION("""COMPUTED_VALUE"""),"")</f>
        <v/>
      </c>
      <c r="L2395" t="str">
        <f>IFERROR(__xludf.DUMMYFUNCTION("""COMPUTED_VALUE"""),"")</f>
        <v/>
      </c>
      <c r="M2395" t="str">
        <f>IFERROR(__xludf.DUMMYFUNCTION("""COMPUTED_VALUE"""),"")</f>
        <v/>
      </c>
      <c r="N2395" t="str">
        <f>IFERROR(__xludf.DUMMYFUNCTION("""COMPUTED_VALUE"""),"")</f>
        <v/>
      </c>
      <c r="O2395" t="str">
        <f>IFERROR(__xludf.DUMMYFUNCTION("""COMPUTED_VALUE"""),"")</f>
        <v/>
      </c>
      <c r="P2395" t="str">
        <f>IFERROR(__xludf.DUMMYFUNCTION("""COMPUTED_VALUE"""),"ID ")</f>
        <v>ID </v>
      </c>
    </row>
    <row r="2396">
      <c r="A2396" s="6" t="str">
        <f>IFERROR(__xludf.DUMMYFUNCTION("""COMPUTED_VALUE"""),"")</f>
        <v/>
      </c>
      <c r="C2396" t="str">
        <f>IFERROR(__xludf.DUMMYFUNCTION("""COMPUTED_VALUE"""),"")</f>
        <v/>
      </c>
      <c r="D2396" t="str">
        <f>IFERROR(__xludf.DUMMYFUNCTION("""COMPUTED_VALUE"""),"")</f>
        <v/>
      </c>
      <c r="E2396" t="str">
        <f>IFERROR(__xludf.DUMMYFUNCTION("""COMPUTED_VALUE"""),"")</f>
        <v/>
      </c>
      <c r="F2396" t="str">
        <f>IFERROR(__xludf.DUMMYFUNCTION("""COMPUTED_VALUE"""),"")</f>
        <v/>
      </c>
      <c r="G2396" t="str">
        <f>IFERROR(__xludf.DUMMYFUNCTION("""COMPUTED_VALUE"""),"")</f>
        <v/>
      </c>
      <c r="H2396" s="2" t="str">
        <f>IFERROR(__xludf.DUMMYFUNCTION("""COMPUTED_VALUE"""),"")</f>
        <v/>
      </c>
      <c r="I2396" s="2" t="str">
        <f>IFERROR(__xludf.DUMMYFUNCTION("""COMPUTED_VALUE"""),"")</f>
        <v/>
      </c>
      <c r="J2396" s="2">
        <f>IFERROR(__xludf.DUMMYFUNCTION("""COMPUTED_VALUE"""),0.0)</f>
        <v>0</v>
      </c>
      <c r="K2396" s="5" t="str">
        <f>IFERROR(__xludf.DUMMYFUNCTION("""COMPUTED_VALUE"""),"")</f>
        <v/>
      </c>
      <c r="L2396" t="str">
        <f>IFERROR(__xludf.DUMMYFUNCTION("""COMPUTED_VALUE"""),"")</f>
        <v/>
      </c>
      <c r="M2396" t="str">
        <f>IFERROR(__xludf.DUMMYFUNCTION("""COMPUTED_VALUE"""),"")</f>
        <v/>
      </c>
      <c r="N2396" t="str">
        <f>IFERROR(__xludf.DUMMYFUNCTION("""COMPUTED_VALUE"""),"")</f>
        <v/>
      </c>
      <c r="O2396" t="str">
        <f>IFERROR(__xludf.DUMMYFUNCTION("""COMPUTED_VALUE"""),"")</f>
        <v/>
      </c>
      <c r="P2396" t="str">
        <f>IFERROR(__xludf.DUMMYFUNCTION("""COMPUTED_VALUE"""),"ID ")</f>
        <v>ID </v>
      </c>
    </row>
    <row r="2397">
      <c r="A2397" s="6" t="str">
        <f>IFERROR(__xludf.DUMMYFUNCTION("""COMPUTED_VALUE"""),"")</f>
        <v/>
      </c>
      <c r="C2397" t="str">
        <f>IFERROR(__xludf.DUMMYFUNCTION("""COMPUTED_VALUE"""),"")</f>
        <v/>
      </c>
      <c r="D2397" t="str">
        <f>IFERROR(__xludf.DUMMYFUNCTION("""COMPUTED_VALUE"""),"")</f>
        <v/>
      </c>
      <c r="E2397" t="str">
        <f>IFERROR(__xludf.DUMMYFUNCTION("""COMPUTED_VALUE"""),"")</f>
        <v/>
      </c>
      <c r="F2397" t="str">
        <f>IFERROR(__xludf.DUMMYFUNCTION("""COMPUTED_VALUE"""),"")</f>
        <v/>
      </c>
      <c r="G2397" t="str">
        <f>IFERROR(__xludf.DUMMYFUNCTION("""COMPUTED_VALUE"""),"")</f>
        <v/>
      </c>
      <c r="H2397" s="2" t="str">
        <f>IFERROR(__xludf.DUMMYFUNCTION("""COMPUTED_VALUE"""),"")</f>
        <v/>
      </c>
      <c r="I2397" s="2" t="str">
        <f>IFERROR(__xludf.DUMMYFUNCTION("""COMPUTED_VALUE"""),"")</f>
        <v/>
      </c>
      <c r="J2397" s="2">
        <f>IFERROR(__xludf.DUMMYFUNCTION("""COMPUTED_VALUE"""),0.0)</f>
        <v>0</v>
      </c>
      <c r="K2397" s="5" t="str">
        <f>IFERROR(__xludf.DUMMYFUNCTION("""COMPUTED_VALUE"""),"")</f>
        <v/>
      </c>
      <c r="L2397" t="str">
        <f>IFERROR(__xludf.DUMMYFUNCTION("""COMPUTED_VALUE"""),"")</f>
        <v/>
      </c>
      <c r="M2397" t="str">
        <f>IFERROR(__xludf.DUMMYFUNCTION("""COMPUTED_VALUE"""),"")</f>
        <v/>
      </c>
      <c r="N2397" t="str">
        <f>IFERROR(__xludf.DUMMYFUNCTION("""COMPUTED_VALUE"""),"")</f>
        <v/>
      </c>
      <c r="O2397" t="str">
        <f>IFERROR(__xludf.DUMMYFUNCTION("""COMPUTED_VALUE"""),"")</f>
        <v/>
      </c>
      <c r="P2397" t="str">
        <f>IFERROR(__xludf.DUMMYFUNCTION("""COMPUTED_VALUE"""),"ID ")</f>
        <v>ID </v>
      </c>
    </row>
    <row r="2398">
      <c r="A2398" s="6" t="str">
        <f>IFERROR(__xludf.DUMMYFUNCTION("""COMPUTED_VALUE"""),"")</f>
        <v/>
      </c>
      <c r="C2398" t="str">
        <f>IFERROR(__xludf.DUMMYFUNCTION("""COMPUTED_VALUE"""),"")</f>
        <v/>
      </c>
      <c r="D2398" t="str">
        <f>IFERROR(__xludf.DUMMYFUNCTION("""COMPUTED_VALUE"""),"")</f>
        <v/>
      </c>
      <c r="E2398" t="str">
        <f>IFERROR(__xludf.DUMMYFUNCTION("""COMPUTED_VALUE"""),"")</f>
        <v/>
      </c>
      <c r="F2398" t="str">
        <f>IFERROR(__xludf.DUMMYFUNCTION("""COMPUTED_VALUE"""),"")</f>
        <v/>
      </c>
      <c r="G2398" t="str">
        <f>IFERROR(__xludf.DUMMYFUNCTION("""COMPUTED_VALUE"""),"")</f>
        <v/>
      </c>
      <c r="H2398" s="2" t="str">
        <f>IFERROR(__xludf.DUMMYFUNCTION("""COMPUTED_VALUE"""),"")</f>
        <v/>
      </c>
      <c r="I2398" s="2" t="str">
        <f>IFERROR(__xludf.DUMMYFUNCTION("""COMPUTED_VALUE"""),"")</f>
        <v/>
      </c>
      <c r="J2398" s="2">
        <f>IFERROR(__xludf.DUMMYFUNCTION("""COMPUTED_VALUE"""),0.0)</f>
        <v>0</v>
      </c>
      <c r="K2398" s="5" t="str">
        <f>IFERROR(__xludf.DUMMYFUNCTION("""COMPUTED_VALUE"""),"")</f>
        <v/>
      </c>
      <c r="L2398" t="str">
        <f>IFERROR(__xludf.DUMMYFUNCTION("""COMPUTED_VALUE"""),"")</f>
        <v/>
      </c>
      <c r="M2398" t="str">
        <f>IFERROR(__xludf.DUMMYFUNCTION("""COMPUTED_VALUE"""),"")</f>
        <v/>
      </c>
      <c r="N2398" t="str">
        <f>IFERROR(__xludf.DUMMYFUNCTION("""COMPUTED_VALUE"""),"")</f>
        <v/>
      </c>
      <c r="O2398" t="str">
        <f>IFERROR(__xludf.DUMMYFUNCTION("""COMPUTED_VALUE"""),"")</f>
        <v/>
      </c>
      <c r="P2398" t="str">
        <f>IFERROR(__xludf.DUMMYFUNCTION("""COMPUTED_VALUE"""),"ID ")</f>
        <v>ID </v>
      </c>
    </row>
    <row r="2399">
      <c r="A2399" s="6" t="str">
        <f>IFERROR(__xludf.DUMMYFUNCTION("""COMPUTED_VALUE"""),"")</f>
        <v/>
      </c>
      <c r="C2399" t="str">
        <f>IFERROR(__xludf.DUMMYFUNCTION("""COMPUTED_VALUE"""),"")</f>
        <v/>
      </c>
      <c r="D2399" t="str">
        <f>IFERROR(__xludf.DUMMYFUNCTION("""COMPUTED_VALUE"""),"")</f>
        <v/>
      </c>
      <c r="E2399" t="str">
        <f>IFERROR(__xludf.DUMMYFUNCTION("""COMPUTED_VALUE"""),"")</f>
        <v/>
      </c>
      <c r="F2399" t="str">
        <f>IFERROR(__xludf.DUMMYFUNCTION("""COMPUTED_VALUE"""),"")</f>
        <v/>
      </c>
      <c r="G2399" t="str">
        <f>IFERROR(__xludf.DUMMYFUNCTION("""COMPUTED_VALUE"""),"")</f>
        <v/>
      </c>
      <c r="H2399" s="2" t="str">
        <f>IFERROR(__xludf.DUMMYFUNCTION("""COMPUTED_VALUE"""),"")</f>
        <v/>
      </c>
      <c r="I2399" s="2" t="str">
        <f>IFERROR(__xludf.DUMMYFUNCTION("""COMPUTED_VALUE"""),"")</f>
        <v/>
      </c>
      <c r="J2399" s="2">
        <f>IFERROR(__xludf.DUMMYFUNCTION("""COMPUTED_VALUE"""),0.0)</f>
        <v>0</v>
      </c>
      <c r="K2399" s="5" t="str">
        <f>IFERROR(__xludf.DUMMYFUNCTION("""COMPUTED_VALUE"""),"")</f>
        <v/>
      </c>
      <c r="L2399" t="str">
        <f>IFERROR(__xludf.DUMMYFUNCTION("""COMPUTED_VALUE"""),"")</f>
        <v/>
      </c>
      <c r="M2399" t="str">
        <f>IFERROR(__xludf.DUMMYFUNCTION("""COMPUTED_VALUE"""),"")</f>
        <v/>
      </c>
      <c r="N2399" t="str">
        <f>IFERROR(__xludf.DUMMYFUNCTION("""COMPUTED_VALUE"""),"")</f>
        <v/>
      </c>
      <c r="O2399" t="str">
        <f>IFERROR(__xludf.DUMMYFUNCTION("""COMPUTED_VALUE"""),"")</f>
        <v/>
      </c>
      <c r="P2399" t="str">
        <f>IFERROR(__xludf.DUMMYFUNCTION("""COMPUTED_VALUE"""),"ID ")</f>
        <v>ID </v>
      </c>
    </row>
    <row r="2400">
      <c r="A2400" s="6" t="str">
        <f>IFERROR(__xludf.DUMMYFUNCTION("""COMPUTED_VALUE"""),"")</f>
        <v/>
      </c>
      <c r="C2400" t="str">
        <f>IFERROR(__xludf.DUMMYFUNCTION("""COMPUTED_VALUE"""),"")</f>
        <v/>
      </c>
      <c r="D2400" t="str">
        <f>IFERROR(__xludf.DUMMYFUNCTION("""COMPUTED_VALUE"""),"")</f>
        <v/>
      </c>
      <c r="E2400" t="str">
        <f>IFERROR(__xludf.DUMMYFUNCTION("""COMPUTED_VALUE"""),"")</f>
        <v/>
      </c>
      <c r="F2400" t="str">
        <f>IFERROR(__xludf.DUMMYFUNCTION("""COMPUTED_VALUE"""),"")</f>
        <v/>
      </c>
      <c r="G2400" t="str">
        <f>IFERROR(__xludf.DUMMYFUNCTION("""COMPUTED_VALUE"""),"")</f>
        <v/>
      </c>
      <c r="H2400" s="2" t="str">
        <f>IFERROR(__xludf.DUMMYFUNCTION("""COMPUTED_VALUE"""),"")</f>
        <v/>
      </c>
      <c r="I2400" s="2" t="str">
        <f>IFERROR(__xludf.DUMMYFUNCTION("""COMPUTED_VALUE"""),"")</f>
        <v/>
      </c>
      <c r="J2400" s="2">
        <f>IFERROR(__xludf.DUMMYFUNCTION("""COMPUTED_VALUE"""),0.0)</f>
        <v>0</v>
      </c>
      <c r="K2400" s="5" t="str">
        <f>IFERROR(__xludf.DUMMYFUNCTION("""COMPUTED_VALUE"""),"")</f>
        <v/>
      </c>
      <c r="L2400" t="str">
        <f>IFERROR(__xludf.DUMMYFUNCTION("""COMPUTED_VALUE"""),"")</f>
        <v/>
      </c>
      <c r="M2400" t="str">
        <f>IFERROR(__xludf.DUMMYFUNCTION("""COMPUTED_VALUE"""),"")</f>
        <v/>
      </c>
      <c r="N2400" t="str">
        <f>IFERROR(__xludf.DUMMYFUNCTION("""COMPUTED_VALUE"""),"")</f>
        <v/>
      </c>
      <c r="O2400" t="str">
        <f>IFERROR(__xludf.DUMMYFUNCTION("""COMPUTED_VALUE"""),"")</f>
        <v/>
      </c>
      <c r="P2400" t="str">
        <f>IFERROR(__xludf.DUMMYFUNCTION("""COMPUTED_VALUE"""),"ID ")</f>
        <v>ID </v>
      </c>
    </row>
    <row r="2401">
      <c r="A2401" s="6" t="str">
        <f>IFERROR(__xludf.DUMMYFUNCTION("""COMPUTED_VALUE"""),"")</f>
        <v/>
      </c>
      <c r="C2401" t="str">
        <f>IFERROR(__xludf.DUMMYFUNCTION("""COMPUTED_VALUE"""),"")</f>
        <v/>
      </c>
      <c r="D2401" t="str">
        <f>IFERROR(__xludf.DUMMYFUNCTION("""COMPUTED_VALUE"""),"")</f>
        <v/>
      </c>
      <c r="E2401" t="str">
        <f>IFERROR(__xludf.DUMMYFUNCTION("""COMPUTED_VALUE"""),"")</f>
        <v/>
      </c>
      <c r="F2401" t="str">
        <f>IFERROR(__xludf.DUMMYFUNCTION("""COMPUTED_VALUE"""),"")</f>
        <v/>
      </c>
      <c r="G2401" t="str">
        <f>IFERROR(__xludf.DUMMYFUNCTION("""COMPUTED_VALUE"""),"")</f>
        <v/>
      </c>
      <c r="H2401" s="2" t="str">
        <f>IFERROR(__xludf.DUMMYFUNCTION("""COMPUTED_VALUE"""),"")</f>
        <v/>
      </c>
      <c r="I2401" s="2" t="str">
        <f>IFERROR(__xludf.DUMMYFUNCTION("""COMPUTED_VALUE"""),"")</f>
        <v/>
      </c>
      <c r="J2401" s="2">
        <f>IFERROR(__xludf.DUMMYFUNCTION("""COMPUTED_VALUE"""),0.0)</f>
        <v>0</v>
      </c>
      <c r="K2401" s="5" t="str">
        <f>IFERROR(__xludf.DUMMYFUNCTION("""COMPUTED_VALUE"""),"")</f>
        <v/>
      </c>
      <c r="L2401" t="str">
        <f>IFERROR(__xludf.DUMMYFUNCTION("""COMPUTED_VALUE"""),"")</f>
        <v/>
      </c>
      <c r="M2401" t="str">
        <f>IFERROR(__xludf.DUMMYFUNCTION("""COMPUTED_VALUE"""),"")</f>
        <v/>
      </c>
      <c r="N2401" t="str">
        <f>IFERROR(__xludf.DUMMYFUNCTION("""COMPUTED_VALUE"""),"")</f>
        <v/>
      </c>
      <c r="O2401" t="str">
        <f>IFERROR(__xludf.DUMMYFUNCTION("""COMPUTED_VALUE"""),"")</f>
        <v/>
      </c>
      <c r="P2401" t="str">
        <f>IFERROR(__xludf.DUMMYFUNCTION("""COMPUTED_VALUE"""),"ID ")</f>
        <v>ID </v>
      </c>
    </row>
    <row r="2402">
      <c r="A2402" s="6" t="str">
        <f>IFERROR(__xludf.DUMMYFUNCTION("""COMPUTED_VALUE"""),"")</f>
        <v/>
      </c>
      <c r="C2402" t="str">
        <f>IFERROR(__xludf.DUMMYFUNCTION("""COMPUTED_VALUE"""),"")</f>
        <v/>
      </c>
      <c r="D2402" t="str">
        <f>IFERROR(__xludf.DUMMYFUNCTION("""COMPUTED_VALUE"""),"")</f>
        <v/>
      </c>
      <c r="E2402" t="str">
        <f>IFERROR(__xludf.DUMMYFUNCTION("""COMPUTED_VALUE"""),"")</f>
        <v/>
      </c>
      <c r="F2402" t="str">
        <f>IFERROR(__xludf.DUMMYFUNCTION("""COMPUTED_VALUE"""),"")</f>
        <v/>
      </c>
      <c r="G2402" t="str">
        <f>IFERROR(__xludf.DUMMYFUNCTION("""COMPUTED_VALUE"""),"")</f>
        <v/>
      </c>
      <c r="H2402" s="2" t="str">
        <f>IFERROR(__xludf.DUMMYFUNCTION("""COMPUTED_VALUE"""),"")</f>
        <v/>
      </c>
      <c r="I2402" s="2" t="str">
        <f>IFERROR(__xludf.DUMMYFUNCTION("""COMPUTED_VALUE"""),"")</f>
        <v/>
      </c>
      <c r="J2402" s="2">
        <f>IFERROR(__xludf.DUMMYFUNCTION("""COMPUTED_VALUE"""),0.0)</f>
        <v>0</v>
      </c>
      <c r="K2402" s="5" t="str">
        <f>IFERROR(__xludf.DUMMYFUNCTION("""COMPUTED_VALUE"""),"")</f>
        <v/>
      </c>
      <c r="L2402" t="str">
        <f>IFERROR(__xludf.DUMMYFUNCTION("""COMPUTED_VALUE"""),"")</f>
        <v/>
      </c>
      <c r="M2402" t="str">
        <f>IFERROR(__xludf.DUMMYFUNCTION("""COMPUTED_VALUE"""),"")</f>
        <v/>
      </c>
      <c r="N2402" t="str">
        <f>IFERROR(__xludf.DUMMYFUNCTION("""COMPUTED_VALUE"""),"")</f>
        <v/>
      </c>
      <c r="O2402" t="str">
        <f>IFERROR(__xludf.DUMMYFUNCTION("""COMPUTED_VALUE"""),"")</f>
        <v/>
      </c>
      <c r="P2402" t="str">
        <f>IFERROR(__xludf.DUMMYFUNCTION("""COMPUTED_VALUE"""),"ID ")</f>
        <v>ID </v>
      </c>
    </row>
    <row r="2403">
      <c r="A2403" s="6" t="str">
        <f>IFERROR(__xludf.DUMMYFUNCTION("""COMPUTED_VALUE"""),"")</f>
        <v/>
      </c>
      <c r="C2403" t="str">
        <f>IFERROR(__xludf.DUMMYFUNCTION("""COMPUTED_VALUE"""),"")</f>
        <v/>
      </c>
      <c r="D2403" t="str">
        <f>IFERROR(__xludf.DUMMYFUNCTION("""COMPUTED_VALUE"""),"")</f>
        <v/>
      </c>
      <c r="E2403" t="str">
        <f>IFERROR(__xludf.DUMMYFUNCTION("""COMPUTED_VALUE"""),"")</f>
        <v/>
      </c>
      <c r="F2403" t="str">
        <f>IFERROR(__xludf.DUMMYFUNCTION("""COMPUTED_VALUE"""),"")</f>
        <v/>
      </c>
      <c r="G2403" t="str">
        <f>IFERROR(__xludf.DUMMYFUNCTION("""COMPUTED_VALUE"""),"")</f>
        <v/>
      </c>
      <c r="H2403" s="2" t="str">
        <f>IFERROR(__xludf.DUMMYFUNCTION("""COMPUTED_VALUE"""),"")</f>
        <v/>
      </c>
      <c r="I2403" s="2" t="str">
        <f>IFERROR(__xludf.DUMMYFUNCTION("""COMPUTED_VALUE"""),"")</f>
        <v/>
      </c>
      <c r="J2403" s="2">
        <f>IFERROR(__xludf.DUMMYFUNCTION("""COMPUTED_VALUE"""),0.0)</f>
        <v>0</v>
      </c>
      <c r="K2403" s="5" t="str">
        <f>IFERROR(__xludf.DUMMYFUNCTION("""COMPUTED_VALUE"""),"")</f>
        <v/>
      </c>
      <c r="L2403" t="str">
        <f>IFERROR(__xludf.DUMMYFUNCTION("""COMPUTED_VALUE"""),"")</f>
        <v/>
      </c>
      <c r="M2403" t="str">
        <f>IFERROR(__xludf.DUMMYFUNCTION("""COMPUTED_VALUE"""),"")</f>
        <v/>
      </c>
      <c r="N2403" t="str">
        <f>IFERROR(__xludf.DUMMYFUNCTION("""COMPUTED_VALUE"""),"")</f>
        <v/>
      </c>
      <c r="O2403" t="str">
        <f>IFERROR(__xludf.DUMMYFUNCTION("""COMPUTED_VALUE"""),"")</f>
        <v/>
      </c>
      <c r="P2403" t="str">
        <f>IFERROR(__xludf.DUMMYFUNCTION("""COMPUTED_VALUE"""),"ID ")</f>
        <v>ID </v>
      </c>
    </row>
    <row r="2404">
      <c r="A2404" s="6" t="str">
        <f>IFERROR(__xludf.DUMMYFUNCTION("""COMPUTED_VALUE"""),"")</f>
        <v/>
      </c>
      <c r="C2404" t="str">
        <f>IFERROR(__xludf.DUMMYFUNCTION("""COMPUTED_VALUE"""),"")</f>
        <v/>
      </c>
      <c r="D2404" t="str">
        <f>IFERROR(__xludf.DUMMYFUNCTION("""COMPUTED_VALUE"""),"")</f>
        <v/>
      </c>
      <c r="E2404" t="str">
        <f>IFERROR(__xludf.DUMMYFUNCTION("""COMPUTED_VALUE"""),"")</f>
        <v/>
      </c>
      <c r="F2404" t="str">
        <f>IFERROR(__xludf.DUMMYFUNCTION("""COMPUTED_VALUE"""),"")</f>
        <v/>
      </c>
      <c r="G2404" t="str">
        <f>IFERROR(__xludf.DUMMYFUNCTION("""COMPUTED_VALUE"""),"")</f>
        <v/>
      </c>
      <c r="H2404" s="2" t="str">
        <f>IFERROR(__xludf.DUMMYFUNCTION("""COMPUTED_VALUE"""),"")</f>
        <v/>
      </c>
      <c r="I2404" s="2" t="str">
        <f>IFERROR(__xludf.DUMMYFUNCTION("""COMPUTED_VALUE"""),"")</f>
        <v/>
      </c>
      <c r="J2404" s="2">
        <f>IFERROR(__xludf.DUMMYFUNCTION("""COMPUTED_VALUE"""),0.0)</f>
        <v>0</v>
      </c>
      <c r="K2404" s="5" t="str">
        <f>IFERROR(__xludf.DUMMYFUNCTION("""COMPUTED_VALUE"""),"")</f>
        <v/>
      </c>
      <c r="L2404" t="str">
        <f>IFERROR(__xludf.DUMMYFUNCTION("""COMPUTED_VALUE"""),"")</f>
        <v/>
      </c>
      <c r="M2404" t="str">
        <f>IFERROR(__xludf.DUMMYFUNCTION("""COMPUTED_VALUE"""),"")</f>
        <v/>
      </c>
      <c r="N2404" t="str">
        <f>IFERROR(__xludf.DUMMYFUNCTION("""COMPUTED_VALUE"""),"")</f>
        <v/>
      </c>
      <c r="O2404" t="str">
        <f>IFERROR(__xludf.DUMMYFUNCTION("""COMPUTED_VALUE"""),"")</f>
        <v/>
      </c>
      <c r="P2404" t="str">
        <f>IFERROR(__xludf.DUMMYFUNCTION("""COMPUTED_VALUE"""),"ID ")</f>
        <v>ID </v>
      </c>
    </row>
    <row r="2405">
      <c r="A2405" s="6" t="str">
        <f>IFERROR(__xludf.DUMMYFUNCTION("""COMPUTED_VALUE"""),"")</f>
        <v/>
      </c>
      <c r="C2405" t="str">
        <f>IFERROR(__xludf.DUMMYFUNCTION("""COMPUTED_VALUE"""),"")</f>
        <v/>
      </c>
      <c r="D2405" t="str">
        <f>IFERROR(__xludf.DUMMYFUNCTION("""COMPUTED_VALUE"""),"")</f>
        <v/>
      </c>
      <c r="E2405" t="str">
        <f>IFERROR(__xludf.DUMMYFUNCTION("""COMPUTED_VALUE"""),"")</f>
        <v/>
      </c>
      <c r="F2405" t="str">
        <f>IFERROR(__xludf.DUMMYFUNCTION("""COMPUTED_VALUE"""),"")</f>
        <v/>
      </c>
      <c r="G2405" t="str">
        <f>IFERROR(__xludf.DUMMYFUNCTION("""COMPUTED_VALUE"""),"")</f>
        <v/>
      </c>
      <c r="H2405" s="2" t="str">
        <f>IFERROR(__xludf.DUMMYFUNCTION("""COMPUTED_VALUE"""),"")</f>
        <v/>
      </c>
      <c r="I2405" s="2" t="str">
        <f>IFERROR(__xludf.DUMMYFUNCTION("""COMPUTED_VALUE"""),"")</f>
        <v/>
      </c>
      <c r="J2405" s="2">
        <f>IFERROR(__xludf.DUMMYFUNCTION("""COMPUTED_VALUE"""),0.0)</f>
        <v>0</v>
      </c>
      <c r="K2405" s="5" t="str">
        <f>IFERROR(__xludf.DUMMYFUNCTION("""COMPUTED_VALUE"""),"")</f>
        <v/>
      </c>
      <c r="L2405" t="str">
        <f>IFERROR(__xludf.DUMMYFUNCTION("""COMPUTED_VALUE"""),"")</f>
        <v/>
      </c>
      <c r="M2405" t="str">
        <f>IFERROR(__xludf.DUMMYFUNCTION("""COMPUTED_VALUE"""),"")</f>
        <v/>
      </c>
      <c r="N2405" t="str">
        <f>IFERROR(__xludf.DUMMYFUNCTION("""COMPUTED_VALUE"""),"")</f>
        <v/>
      </c>
      <c r="O2405" t="str">
        <f>IFERROR(__xludf.DUMMYFUNCTION("""COMPUTED_VALUE"""),"")</f>
        <v/>
      </c>
      <c r="P2405" t="str">
        <f>IFERROR(__xludf.DUMMYFUNCTION("""COMPUTED_VALUE"""),"ID ")</f>
        <v>ID </v>
      </c>
    </row>
    <row r="2406">
      <c r="A2406" s="6" t="str">
        <f>IFERROR(__xludf.DUMMYFUNCTION("""COMPUTED_VALUE"""),"")</f>
        <v/>
      </c>
      <c r="C2406" t="str">
        <f>IFERROR(__xludf.DUMMYFUNCTION("""COMPUTED_VALUE"""),"")</f>
        <v/>
      </c>
      <c r="D2406" t="str">
        <f>IFERROR(__xludf.DUMMYFUNCTION("""COMPUTED_VALUE"""),"")</f>
        <v/>
      </c>
      <c r="E2406" t="str">
        <f>IFERROR(__xludf.DUMMYFUNCTION("""COMPUTED_VALUE"""),"")</f>
        <v/>
      </c>
      <c r="F2406" t="str">
        <f>IFERROR(__xludf.DUMMYFUNCTION("""COMPUTED_VALUE"""),"")</f>
        <v/>
      </c>
      <c r="G2406" t="str">
        <f>IFERROR(__xludf.DUMMYFUNCTION("""COMPUTED_VALUE"""),"")</f>
        <v/>
      </c>
      <c r="H2406" s="2" t="str">
        <f>IFERROR(__xludf.DUMMYFUNCTION("""COMPUTED_VALUE"""),"")</f>
        <v/>
      </c>
      <c r="I2406" s="2" t="str">
        <f>IFERROR(__xludf.DUMMYFUNCTION("""COMPUTED_VALUE"""),"")</f>
        <v/>
      </c>
      <c r="J2406" s="2">
        <f>IFERROR(__xludf.DUMMYFUNCTION("""COMPUTED_VALUE"""),0.0)</f>
        <v>0</v>
      </c>
      <c r="K2406" s="5" t="str">
        <f>IFERROR(__xludf.DUMMYFUNCTION("""COMPUTED_VALUE"""),"")</f>
        <v/>
      </c>
      <c r="L2406" t="str">
        <f>IFERROR(__xludf.DUMMYFUNCTION("""COMPUTED_VALUE"""),"")</f>
        <v/>
      </c>
      <c r="M2406" t="str">
        <f>IFERROR(__xludf.DUMMYFUNCTION("""COMPUTED_VALUE"""),"")</f>
        <v/>
      </c>
      <c r="N2406" t="str">
        <f>IFERROR(__xludf.DUMMYFUNCTION("""COMPUTED_VALUE"""),"")</f>
        <v/>
      </c>
      <c r="O2406" t="str">
        <f>IFERROR(__xludf.DUMMYFUNCTION("""COMPUTED_VALUE"""),"")</f>
        <v/>
      </c>
      <c r="P2406" t="str">
        <f>IFERROR(__xludf.DUMMYFUNCTION("""COMPUTED_VALUE"""),"ID ")</f>
        <v>ID </v>
      </c>
    </row>
    <row r="2407">
      <c r="A2407" s="6" t="str">
        <f>IFERROR(__xludf.DUMMYFUNCTION("""COMPUTED_VALUE"""),"")</f>
        <v/>
      </c>
      <c r="C2407" t="str">
        <f>IFERROR(__xludf.DUMMYFUNCTION("""COMPUTED_VALUE"""),"")</f>
        <v/>
      </c>
      <c r="D2407" t="str">
        <f>IFERROR(__xludf.DUMMYFUNCTION("""COMPUTED_VALUE"""),"")</f>
        <v/>
      </c>
      <c r="E2407" t="str">
        <f>IFERROR(__xludf.DUMMYFUNCTION("""COMPUTED_VALUE"""),"")</f>
        <v/>
      </c>
      <c r="F2407" t="str">
        <f>IFERROR(__xludf.DUMMYFUNCTION("""COMPUTED_VALUE"""),"")</f>
        <v/>
      </c>
      <c r="G2407" t="str">
        <f>IFERROR(__xludf.DUMMYFUNCTION("""COMPUTED_VALUE"""),"")</f>
        <v/>
      </c>
      <c r="H2407" s="2" t="str">
        <f>IFERROR(__xludf.DUMMYFUNCTION("""COMPUTED_VALUE"""),"")</f>
        <v/>
      </c>
      <c r="I2407" s="2" t="str">
        <f>IFERROR(__xludf.DUMMYFUNCTION("""COMPUTED_VALUE"""),"")</f>
        <v/>
      </c>
      <c r="J2407" s="2">
        <f>IFERROR(__xludf.DUMMYFUNCTION("""COMPUTED_VALUE"""),0.0)</f>
        <v>0</v>
      </c>
      <c r="K2407" s="5" t="str">
        <f>IFERROR(__xludf.DUMMYFUNCTION("""COMPUTED_VALUE"""),"")</f>
        <v/>
      </c>
      <c r="L2407" t="str">
        <f>IFERROR(__xludf.DUMMYFUNCTION("""COMPUTED_VALUE"""),"")</f>
        <v/>
      </c>
      <c r="M2407" t="str">
        <f>IFERROR(__xludf.DUMMYFUNCTION("""COMPUTED_VALUE"""),"")</f>
        <v/>
      </c>
      <c r="N2407" t="str">
        <f>IFERROR(__xludf.DUMMYFUNCTION("""COMPUTED_VALUE"""),"")</f>
        <v/>
      </c>
      <c r="O2407" t="str">
        <f>IFERROR(__xludf.DUMMYFUNCTION("""COMPUTED_VALUE"""),"")</f>
        <v/>
      </c>
      <c r="P2407" t="str">
        <f>IFERROR(__xludf.DUMMYFUNCTION("""COMPUTED_VALUE"""),"ID ")</f>
        <v>ID </v>
      </c>
    </row>
    <row r="2408">
      <c r="A2408" s="6" t="str">
        <f>IFERROR(__xludf.DUMMYFUNCTION("""COMPUTED_VALUE"""),"")</f>
        <v/>
      </c>
      <c r="C2408" t="str">
        <f>IFERROR(__xludf.DUMMYFUNCTION("""COMPUTED_VALUE"""),"")</f>
        <v/>
      </c>
      <c r="D2408" t="str">
        <f>IFERROR(__xludf.DUMMYFUNCTION("""COMPUTED_VALUE"""),"")</f>
        <v/>
      </c>
      <c r="E2408" t="str">
        <f>IFERROR(__xludf.DUMMYFUNCTION("""COMPUTED_VALUE"""),"")</f>
        <v/>
      </c>
      <c r="F2408" t="str">
        <f>IFERROR(__xludf.DUMMYFUNCTION("""COMPUTED_VALUE"""),"")</f>
        <v/>
      </c>
      <c r="G2408" t="str">
        <f>IFERROR(__xludf.DUMMYFUNCTION("""COMPUTED_VALUE"""),"")</f>
        <v/>
      </c>
      <c r="H2408" s="2" t="str">
        <f>IFERROR(__xludf.DUMMYFUNCTION("""COMPUTED_VALUE"""),"")</f>
        <v/>
      </c>
      <c r="I2408" s="2" t="str">
        <f>IFERROR(__xludf.DUMMYFUNCTION("""COMPUTED_VALUE"""),"")</f>
        <v/>
      </c>
      <c r="J2408" s="2">
        <f>IFERROR(__xludf.DUMMYFUNCTION("""COMPUTED_VALUE"""),0.0)</f>
        <v>0</v>
      </c>
      <c r="K2408" s="5" t="str">
        <f>IFERROR(__xludf.DUMMYFUNCTION("""COMPUTED_VALUE"""),"")</f>
        <v/>
      </c>
      <c r="L2408" t="str">
        <f>IFERROR(__xludf.DUMMYFUNCTION("""COMPUTED_VALUE"""),"")</f>
        <v/>
      </c>
      <c r="M2408" t="str">
        <f>IFERROR(__xludf.DUMMYFUNCTION("""COMPUTED_VALUE"""),"")</f>
        <v/>
      </c>
      <c r="N2408" t="str">
        <f>IFERROR(__xludf.DUMMYFUNCTION("""COMPUTED_VALUE"""),"")</f>
        <v/>
      </c>
      <c r="O2408" t="str">
        <f>IFERROR(__xludf.DUMMYFUNCTION("""COMPUTED_VALUE"""),"")</f>
        <v/>
      </c>
      <c r="P2408" t="str">
        <f>IFERROR(__xludf.DUMMYFUNCTION("""COMPUTED_VALUE"""),"ID ")</f>
        <v>ID </v>
      </c>
    </row>
    <row r="2409">
      <c r="A2409" s="6" t="str">
        <f>IFERROR(__xludf.DUMMYFUNCTION("""COMPUTED_VALUE"""),"")</f>
        <v/>
      </c>
      <c r="C2409" t="str">
        <f>IFERROR(__xludf.DUMMYFUNCTION("""COMPUTED_VALUE"""),"")</f>
        <v/>
      </c>
      <c r="D2409" t="str">
        <f>IFERROR(__xludf.DUMMYFUNCTION("""COMPUTED_VALUE"""),"")</f>
        <v/>
      </c>
      <c r="E2409" t="str">
        <f>IFERROR(__xludf.DUMMYFUNCTION("""COMPUTED_VALUE"""),"")</f>
        <v/>
      </c>
      <c r="F2409" t="str">
        <f>IFERROR(__xludf.DUMMYFUNCTION("""COMPUTED_VALUE"""),"")</f>
        <v/>
      </c>
      <c r="G2409" t="str">
        <f>IFERROR(__xludf.DUMMYFUNCTION("""COMPUTED_VALUE"""),"")</f>
        <v/>
      </c>
      <c r="H2409" s="2" t="str">
        <f>IFERROR(__xludf.DUMMYFUNCTION("""COMPUTED_VALUE"""),"")</f>
        <v/>
      </c>
      <c r="I2409" s="2" t="str">
        <f>IFERROR(__xludf.DUMMYFUNCTION("""COMPUTED_VALUE"""),"")</f>
        <v/>
      </c>
      <c r="J2409" s="2">
        <f>IFERROR(__xludf.DUMMYFUNCTION("""COMPUTED_VALUE"""),0.0)</f>
        <v>0</v>
      </c>
      <c r="K2409" s="5" t="str">
        <f>IFERROR(__xludf.DUMMYFUNCTION("""COMPUTED_VALUE"""),"")</f>
        <v/>
      </c>
      <c r="L2409" t="str">
        <f>IFERROR(__xludf.DUMMYFUNCTION("""COMPUTED_VALUE"""),"")</f>
        <v/>
      </c>
      <c r="M2409" t="str">
        <f>IFERROR(__xludf.DUMMYFUNCTION("""COMPUTED_VALUE"""),"")</f>
        <v/>
      </c>
      <c r="N2409" t="str">
        <f>IFERROR(__xludf.DUMMYFUNCTION("""COMPUTED_VALUE"""),"")</f>
        <v/>
      </c>
      <c r="O2409" t="str">
        <f>IFERROR(__xludf.DUMMYFUNCTION("""COMPUTED_VALUE"""),"")</f>
        <v/>
      </c>
      <c r="P2409" t="str">
        <f>IFERROR(__xludf.DUMMYFUNCTION("""COMPUTED_VALUE"""),"ID ")</f>
        <v>ID </v>
      </c>
    </row>
    <row r="2410">
      <c r="A2410" s="6" t="str">
        <f>IFERROR(__xludf.DUMMYFUNCTION("""COMPUTED_VALUE"""),"")</f>
        <v/>
      </c>
      <c r="C2410" t="str">
        <f>IFERROR(__xludf.DUMMYFUNCTION("""COMPUTED_VALUE"""),"")</f>
        <v/>
      </c>
      <c r="D2410" t="str">
        <f>IFERROR(__xludf.DUMMYFUNCTION("""COMPUTED_VALUE"""),"")</f>
        <v/>
      </c>
      <c r="E2410" t="str">
        <f>IFERROR(__xludf.DUMMYFUNCTION("""COMPUTED_VALUE"""),"")</f>
        <v/>
      </c>
      <c r="F2410" t="str">
        <f>IFERROR(__xludf.DUMMYFUNCTION("""COMPUTED_VALUE"""),"")</f>
        <v/>
      </c>
      <c r="G2410" t="str">
        <f>IFERROR(__xludf.DUMMYFUNCTION("""COMPUTED_VALUE"""),"")</f>
        <v/>
      </c>
      <c r="H2410" s="2" t="str">
        <f>IFERROR(__xludf.DUMMYFUNCTION("""COMPUTED_VALUE"""),"")</f>
        <v/>
      </c>
      <c r="I2410" s="2" t="str">
        <f>IFERROR(__xludf.DUMMYFUNCTION("""COMPUTED_VALUE"""),"")</f>
        <v/>
      </c>
      <c r="J2410" s="2">
        <f>IFERROR(__xludf.DUMMYFUNCTION("""COMPUTED_VALUE"""),0.0)</f>
        <v>0</v>
      </c>
      <c r="K2410" s="5" t="str">
        <f>IFERROR(__xludf.DUMMYFUNCTION("""COMPUTED_VALUE"""),"")</f>
        <v/>
      </c>
      <c r="L2410" t="str">
        <f>IFERROR(__xludf.DUMMYFUNCTION("""COMPUTED_VALUE"""),"")</f>
        <v/>
      </c>
      <c r="M2410" t="str">
        <f>IFERROR(__xludf.DUMMYFUNCTION("""COMPUTED_VALUE"""),"")</f>
        <v/>
      </c>
      <c r="N2410" t="str">
        <f>IFERROR(__xludf.DUMMYFUNCTION("""COMPUTED_VALUE"""),"")</f>
        <v/>
      </c>
      <c r="O2410" t="str">
        <f>IFERROR(__xludf.DUMMYFUNCTION("""COMPUTED_VALUE"""),"")</f>
        <v/>
      </c>
      <c r="P2410" t="str">
        <f>IFERROR(__xludf.DUMMYFUNCTION("""COMPUTED_VALUE"""),"ID ")</f>
        <v>ID </v>
      </c>
    </row>
    <row r="2411">
      <c r="A2411" s="6" t="str">
        <f>IFERROR(__xludf.DUMMYFUNCTION("""COMPUTED_VALUE"""),"")</f>
        <v/>
      </c>
      <c r="C2411" t="str">
        <f>IFERROR(__xludf.DUMMYFUNCTION("""COMPUTED_VALUE"""),"")</f>
        <v/>
      </c>
      <c r="D2411" t="str">
        <f>IFERROR(__xludf.DUMMYFUNCTION("""COMPUTED_VALUE"""),"")</f>
        <v/>
      </c>
      <c r="E2411" t="str">
        <f>IFERROR(__xludf.DUMMYFUNCTION("""COMPUTED_VALUE"""),"")</f>
        <v/>
      </c>
      <c r="F2411" t="str">
        <f>IFERROR(__xludf.DUMMYFUNCTION("""COMPUTED_VALUE"""),"")</f>
        <v/>
      </c>
      <c r="G2411" t="str">
        <f>IFERROR(__xludf.DUMMYFUNCTION("""COMPUTED_VALUE"""),"")</f>
        <v/>
      </c>
      <c r="H2411" s="2" t="str">
        <f>IFERROR(__xludf.DUMMYFUNCTION("""COMPUTED_VALUE"""),"")</f>
        <v/>
      </c>
      <c r="I2411" s="2" t="str">
        <f>IFERROR(__xludf.DUMMYFUNCTION("""COMPUTED_VALUE"""),"")</f>
        <v/>
      </c>
      <c r="J2411" s="2">
        <f>IFERROR(__xludf.DUMMYFUNCTION("""COMPUTED_VALUE"""),0.0)</f>
        <v>0</v>
      </c>
      <c r="K2411" s="5" t="str">
        <f>IFERROR(__xludf.DUMMYFUNCTION("""COMPUTED_VALUE"""),"")</f>
        <v/>
      </c>
      <c r="L2411" t="str">
        <f>IFERROR(__xludf.DUMMYFUNCTION("""COMPUTED_VALUE"""),"")</f>
        <v/>
      </c>
      <c r="M2411" t="str">
        <f>IFERROR(__xludf.DUMMYFUNCTION("""COMPUTED_VALUE"""),"")</f>
        <v/>
      </c>
      <c r="N2411" t="str">
        <f>IFERROR(__xludf.DUMMYFUNCTION("""COMPUTED_VALUE"""),"")</f>
        <v/>
      </c>
      <c r="O2411" t="str">
        <f>IFERROR(__xludf.DUMMYFUNCTION("""COMPUTED_VALUE"""),"")</f>
        <v/>
      </c>
      <c r="P2411" t="str">
        <f>IFERROR(__xludf.DUMMYFUNCTION("""COMPUTED_VALUE"""),"ID ")</f>
        <v>ID </v>
      </c>
    </row>
    <row r="2412">
      <c r="A2412" s="6" t="str">
        <f>IFERROR(__xludf.DUMMYFUNCTION("""COMPUTED_VALUE"""),"")</f>
        <v/>
      </c>
      <c r="C2412" t="str">
        <f>IFERROR(__xludf.DUMMYFUNCTION("""COMPUTED_VALUE"""),"")</f>
        <v/>
      </c>
      <c r="D2412" t="str">
        <f>IFERROR(__xludf.DUMMYFUNCTION("""COMPUTED_VALUE"""),"")</f>
        <v/>
      </c>
      <c r="E2412" t="str">
        <f>IFERROR(__xludf.DUMMYFUNCTION("""COMPUTED_VALUE"""),"")</f>
        <v/>
      </c>
      <c r="F2412" t="str">
        <f>IFERROR(__xludf.DUMMYFUNCTION("""COMPUTED_VALUE"""),"")</f>
        <v/>
      </c>
      <c r="G2412" t="str">
        <f>IFERROR(__xludf.DUMMYFUNCTION("""COMPUTED_VALUE"""),"")</f>
        <v/>
      </c>
      <c r="H2412" s="2" t="str">
        <f>IFERROR(__xludf.DUMMYFUNCTION("""COMPUTED_VALUE"""),"")</f>
        <v/>
      </c>
      <c r="I2412" s="2" t="str">
        <f>IFERROR(__xludf.DUMMYFUNCTION("""COMPUTED_VALUE"""),"")</f>
        <v/>
      </c>
      <c r="J2412" s="2">
        <f>IFERROR(__xludf.DUMMYFUNCTION("""COMPUTED_VALUE"""),0.0)</f>
        <v>0</v>
      </c>
      <c r="K2412" s="5" t="str">
        <f>IFERROR(__xludf.DUMMYFUNCTION("""COMPUTED_VALUE"""),"")</f>
        <v/>
      </c>
      <c r="L2412" t="str">
        <f>IFERROR(__xludf.DUMMYFUNCTION("""COMPUTED_VALUE"""),"")</f>
        <v/>
      </c>
      <c r="M2412" t="str">
        <f>IFERROR(__xludf.DUMMYFUNCTION("""COMPUTED_VALUE"""),"")</f>
        <v/>
      </c>
      <c r="N2412" t="str">
        <f>IFERROR(__xludf.DUMMYFUNCTION("""COMPUTED_VALUE"""),"")</f>
        <v/>
      </c>
      <c r="O2412" t="str">
        <f>IFERROR(__xludf.DUMMYFUNCTION("""COMPUTED_VALUE"""),"")</f>
        <v/>
      </c>
      <c r="P2412" t="str">
        <f>IFERROR(__xludf.DUMMYFUNCTION("""COMPUTED_VALUE"""),"ID ")</f>
        <v>ID </v>
      </c>
    </row>
    <row r="2413">
      <c r="A2413" s="6" t="str">
        <f>IFERROR(__xludf.DUMMYFUNCTION("""COMPUTED_VALUE"""),"")</f>
        <v/>
      </c>
      <c r="C2413" t="str">
        <f>IFERROR(__xludf.DUMMYFUNCTION("""COMPUTED_VALUE"""),"")</f>
        <v/>
      </c>
      <c r="D2413" t="str">
        <f>IFERROR(__xludf.DUMMYFUNCTION("""COMPUTED_VALUE"""),"")</f>
        <v/>
      </c>
      <c r="E2413" t="str">
        <f>IFERROR(__xludf.DUMMYFUNCTION("""COMPUTED_VALUE"""),"")</f>
        <v/>
      </c>
      <c r="F2413" t="str">
        <f>IFERROR(__xludf.DUMMYFUNCTION("""COMPUTED_VALUE"""),"")</f>
        <v/>
      </c>
      <c r="G2413" t="str">
        <f>IFERROR(__xludf.DUMMYFUNCTION("""COMPUTED_VALUE"""),"")</f>
        <v/>
      </c>
      <c r="H2413" s="2" t="str">
        <f>IFERROR(__xludf.DUMMYFUNCTION("""COMPUTED_VALUE"""),"")</f>
        <v/>
      </c>
      <c r="I2413" s="2" t="str">
        <f>IFERROR(__xludf.DUMMYFUNCTION("""COMPUTED_VALUE"""),"")</f>
        <v/>
      </c>
      <c r="J2413" s="2">
        <f>IFERROR(__xludf.DUMMYFUNCTION("""COMPUTED_VALUE"""),0.0)</f>
        <v>0</v>
      </c>
      <c r="K2413" s="5" t="str">
        <f>IFERROR(__xludf.DUMMYFUNCTION("""COMPUTED_VALUE"""),"")</f>
        <v/>
      </c>
      <c r="L2413" t="str">
        <f>IFERROR(__xludf.DUMMYFUNCTION("""COMPUTED_VALUE"""),"")</f>
        <v/>
      </c>
      <c r="M2413" t="str">
        <f>IFERROR(__xludf.DUMMYFUNCTION("""COMPUTED_VALUE"""),"")</f>
        <v/>
      </c>
      <c r="N2413" t="str">
        <f>IFERROR(__xludf.DUMMYFUNCTION("""COMPUTED_VALUE"""),"")</f>
        <v/>
      </c>
      <c r="O2413" t="str">
        <f>IFERROR(__xludf.DUMMYFUNCTION("""COMPUTED_VALUE"""),"")</f>
        <v/>
      </c>
      <c r="P2413" t="str">
        <f>IFERROR(__xludf.DUMMYFUNCTION("""COMPUTED_VALUE"""),"ID ")</f>
        <v>ID </v>
      </c>
    </row>
    <row r="2414">
      <c r="A2414" s="6" t="str">
        <f>IFERROR(__xludf.DUMMYFUNCTION("""COMPUTED_VALUE"""),"")</f>
        <v/>
      </c>
      <c r="C2414" t="str">
        <f>IFERROR(__xludf.DUMMYFUNCTION("""COMPUTED_VALUE"""),"")</f>
        <v/>
      </c>
      <c r="D2414" t="str">
        <f>IFERROR(__xludf.DUMMYFUNCTION("""COMPUTED_VALUE"""),"")</f>
        <v/>
      </c>
      <c r="E2414" t="str">
        <f>IFERROR(__xludf.DUMMYFUNCTION("""COMPUTED_VALUE"""),"")</f>
        <v/>
      </c>
      <c r="F2414" t="str">
        <f>IFERROR(__xludf.DUMMYFUNCTION("""COMPUTED_VALUE"""),"")</f>
        <v/>
      </c>
      <c r="G2414" t="str">
        <f>IFERROR(__xludf.DUMMYFUNCTION("""COMPUTED_VALUE"""),"")</f>
        <v/>
      </c>
      <c r="H2414" s="2" t="str">
        <f>IFERROR(__xludf.DUMMYFUNCTION("""COMPUTED_VALUE"""),"")</f>
        <v/>
      </c>
      <c r="I2414" s="2" t="str">
        <f>IFERROR(__xludf.DUMMYFUNCTION("""COMPUTED_VALUE"""),"")</f>
        <v/>
      </c>
      <c r="J2414" s="2">
        <f>IFERROR(__xludf.DUMMYFUNCTION("""COMPUTED_VALUE"""),0.0)</f>
        <v>0</v>
      </c>
      <c r="K2414" s="5" t="str">
        <f>IFERROR(__xludf.DUMMYFUNCTION("""COMPUTED_VALUE"""),"")</f>
        <v/>
      </c>
      <c r="L2414" t="str">
        <f>IFERROR(__xludf.DUMMYFUNCTION("""COMPUTED_VALUE"""),"")</f>
        <v/>
      </c>
      <c r="M2414" t="str">
        <f>IFERROR(__xludf.DUMMYFUNCTION("""COMPUTED_VALUE"""),"")</f>
        <v/>
      </c>
      <c r="N2414" t="str">
        <f>IFERROR(__xludf.DUMMYFUNCTION("""COMPUTED_VALUE"""),"")</f>
        <v/>
      </c>
      <c r="O2414" t="str">
        <f>IFERROR(__xludf.DUMMYFUNCTION("""COMPUTED_VALUE"""),"")</f>
        <v/>
      </c>
      <c r="P2414" t="str">
        <f>IFERROR(__xludf.DUMMYFUNCTION("""COMPUTED_VALUE"""),"ID ")</f>
        <v>ID </v>
      </c>
    </row>
    <row r="2415">
      <c r="A2415" s="6" t="str">
        <f>IFERROR(__xludf.DUMMYFUNCTION("""COMPUTED_VALUE"""),"")</f>
        <v/>
      </c>
      <c r="C2415" t="str">
        <f>IFERROR(__xludf.DUMMYFUNCTION("""COMPUTED_VALUE"""),"")</f>
        <v/>
      </c>
      <c r="D2415" t="str">
        <f>IFERROR(__xludf.DUMMYFUNCTION("""COMPUTED_VALUE"""),"")</f>
        <v/>
      </c>
      <c r="E2415" t="str">
        <f>IFERROR(__xludf.DUMMYFUNCTION("""COMPUTED_VALUE"""),"")</f>
        <v/>
      </c>
      <c r="F2415" t="str">
        <f>IFERROR(__xludf.DUMMYFUNCTION("""COMPUTED_VALUE"""),"")</f>
        <v/>
      </c>
      <c r="G2415" t="str">
        <f>IFERROR(__xludf.DUMMYFUNCTION("""COMPUTED_VALUE"""),"")</f>
        <v/>
      </c>
      <c r="H2415" s="2" t="str">
        <f>IFERROR(__xludf.DUMMYFUNCTION("""COMPUTED_VALUE"""),"")</f>
        <v/>
      </c>
      <c r="I2415" s="2" t="str">
        <f>IFERROR(__xludf.DUMMYFUNCTION("""COMPUTED_VALUE"""),"")</f>
        <v/>
      </c>
      <c r="J2415" s="2">
        <f>IFERROR(__xludf.DUMMYFUNCTION("""COMPUTED_VALUE"""),0.0)</f>
        <v>0</v>
      </c>
      <c r="K2415" s="5" t="str">
        <f>IFERROR(__xludf.DUMMYFUNCTION("""COMPUTED_VALUE"""),"")</f>
        <v/>
      </c>
      <c r="L2415" t="str">
        <f>IFERROR(__xludf.DUMMYFUNCTION("""COMPUTED_VALUE"""),"")</f>
        <v/>
      </c>
      <c r="M2415" t="str">
        <f>IFERROR(__xludf.DUMMYFUNCTION("""COMPUTED_VALUE"""),"")</f>
        <v/>
      </c>
      <c r="N2415" t="str">
        <f>IFERROR(__xludf.DUMMYFUNCTION("""COMPUTED_VALUE"""),"")</f>
        <v/>
      </c>
      <c r="O2415" t="str">
        <f>IFERROR(__xludf.DUMMYFUNCTION("""COMPUTED_VALUE"""),"")</f>
        <v/>
      </c>
      <c r="P2415" t="str">
        <f>IFERROR(__xludf.DUMMYFUNCTION("""COMPUTED_VALUE"""),"ID ")</f>
        <v>ID </v>
      </c>
    </row>
    <row r="2416">
      <c r="A2416" s="6" t="str">
        <f>IFERROR(__xludf.DUMMYFUNCTION("""COMPUTED_VALUE"""),"")</f>
        <v/>
      </c>
      <c r="C2416" t="str">
        <f>IFERROR(__xludf.DUMMYFUNCTION("""COMPUTED_VALUE"""),"")</f>
        <v/>
      </c>
      <c r="D2416" t="str">
        <f>IFERROR(__xludf.DUMMYFUNCTION("""COMPUTED_VALUE"""),"")</f>
        <v/>
      </c>
      <c r="E2416" t="str">
        <f>IFERROR(__xludf.DUMMYFUNCTION("""COMPUTED_VALUE"""),"")</f>
        <v/>
      </c>
      <c r="F2416" t="str">
        <f>IFERROR(__xludf.DUMMYFUNCTION("""COMPUTED_VALUE"""),"")</f>
        <v/>
      </c>
      <c r="G2416" t="str">
        <f>IFERROR(__xludf.DUMMYFUNCTION("""COMPUTED_VALUE"""),"")</f>
        <v/>
      </c>
      <c r="H2416" s="2" t="str">
        <f>IFERROR(__xludf.DUMMYFUNCTION("""COMPUTED_VALUE"""),"")</f>
        <v/>
      </c>
      <c r="I2416" s="2" t="str">
        <f>IFERROR(__xludf.DUMMYFUNCTION("""COMPUTED_VALUE"""),"")</f>
        <v/>
      </c>
      <c r="J2416" s="2">
        <f>IFERROR(__xludf.DUMMYFUNCTION("""COMPUTED_VALUE"""),0.0)</f>
        <v>0</v>
      </c>
      <c r="K2416" s="5" t="str">
        <f>IFERROR(__xludf.DUMMYFUNCTION("""COMPUTED_VALUE"""),"")</f>
        <v/>
      </c>
      <c r="L2416" t="str">
        <f>IFERROR(__xludf.DUMMYFUNCTION("""COMPUTED_VALUE"""),"")</f>
        <v/>
      </c>
      <c r="M2416" t="str">
        <f>IFERROR(__xludf.DUMMYFUNCTION("""COMPUTED_VALUE"""),"")</f>
        <v/>
      </c>
      <c r="N2416" t="str">
        <f>IFERROR(__xludf.DUMMYFUNCTION("""COMPUTED_VALUE"""),"")</f>
        <v/>
      </c>
      <c r="O2416" t="str">
        <f>IFERROR(__xludf.DUMMYFUNCTION("""COMPUTED_VALUE"""),"")</f>
        <v/>
      </c>
      <c r="P2416" t="str">
        <f>IFERROR(__xludf.DUMMYFUNCTION("""COMPUTED_VALUE"""),"ID ")</f>
        <v>ID </v>
      </c>
    </row>
    <row r="2417">
      <c r="A2417" s="6" t="str">
        <f>IFERROR(__xludf.DUMMYFUNCTION("""COMPUTED_VALUE"""),"")</f>
        <v/>
      </c>
      <c r="C2417" t="str">
        <f>IFERROR(__xludf.DUMMYFUNCTION("""COMPUTED_VALUE"""),"")</f>
        <v/>
      </c>
      <c r="D2417" t="str">
        <f>IFERROR(__xludf.DUMMYFUNCTION("""COMPUTED_VALUE"""),"")</f>
        <v/>
      </c>
      <c r="E2417" t="str">
        <f>IFERROR(__xludf.DUMMYFUNCTION("""COMPUTED_VALUE"""),"")</f>
        <v/>
      </c>
      <c r="F2417" t="str">
        <f>IFERROR(__xludf.DUMMYFUNCTION("""COMPUTED_VALUE"""),"")</f>
        <v/>
      </c>
      <c r="G2417" t="str">
        <f>IFERROR(__xludf.DUMMYFUNCTION("""COMPUTED_VALUE"""),"")</f>
        <v/>
      </c>
      <c r="H2417" s="2" t="str">
        <f>IFERROR(__xludf.DUMMYFUNCTION("""COMPUTED_VALUE"""),"")</f>
        <v/>
      </c>
      <c r="I2417" s="2" t="str">
        <f>IFERROR(__xludf.DUMMYFUNCTION("""COMPUTED_VALUE"""),"")</f>
        <v/>
      </c>
      <c r="J2417" s="2">
        <f>IFERROR(__xludf.DUMMYFUNCTION("""COMPUTED_VALUE"""),0.0)</f>
        <v>0</v>
      </c>
      <c r="K2417" s="5" t="str">
        <f>IFERROR(__xludf.DUMMYFUNCTION("""COMPUTED_VALUE"""),"")</f>
        <v/>
      </c>
      <c r="L2417" t="str">
        <f>IFERROR(__xludf.DUMMYFUNCTION("""COMPUTED_VALUE"""),"")</f>
        <v/>
      </c>
      <c r="M2417" t="str">
        <f>IFERROR(__xludf.DUMMYFUNCTION("""COMPUTED_VALUE"""),"")</f>
        <v/>
      </c>
      <c r="N2417" t="str">
        <f>IFERROR(__xludf.DUMMYFUNCTION("""COMPUTED_VALUE"""),"")</f>
        <v/>
      </c>
      <c r="O2417" t="str">
        <f>IFERROR(__xludf.DUMMYFUNCTION("""COMPUTED_VALUE"""),"")</f>
        <v/>
      </c>
      <c r="P2417" t="str">
        <f>IFERROR(__xludf.DUMMYFUNCTION("""COMPUTED_VALUE"""),"ID ")</f>
        <v>ID </v>
      </c>
    </row>
    <row r="2418">
      <c r="A2418" s="6" t="str">
        <f>IFERROR(__xludf.DUMMYFUNCTION("""COMPUTED_VALUE"""),"")</f>
        <v/>
      </c>
      <c r="C2418" t="str">
        <f>IFERROR(__xludf.DUMMYFUNCTION("""COMPUTED_VALUE"""),"")</f>
        <v/>
      </c>
      <c r="D2418" t="str">
        <f>IFERROR(__xludf.DUMMYFUNCTION("""COMPUTED_VALUE"""),"")</f>
        <v/>
      </c>
      <c r="E2418" t="str">
        <f>IFERROR(__xludf.DUMMYFUNCTION("""COMPUTED_VALUE"""),"")</f>
        <v/>
      </c>
      <c r="F2418" t="str">
        <f>IFERROR(__xludf.DUMMYFUNCTION("""COMPUTED_VALUE"""),"")</f>
        <v/>
      </c>
      <c r="G2418" t="str">
        <f>IFERROR(__xludf.DUMMYFUNCTION("""COMPUTED_VALUE"""),"")</f>
        <v/>
      </c>
      <c r="H2418" s="2" t="str">
        <f>IFERROR(__xludf.DUMMYFUNCTION("""COMPUTED_VALUE"""),"")</f>
        <v/>
      </c>
      <c r="I2418" s="2" t="str">
        <f>IFERROR(__xludf.DUMMYFUNCTION("""COMPUTED_VALUE"""),"")</f>
        <v/>
      </c>
      <c r="J2418" s="2">
        <f>IFERROR(__xludf.DUMMYFUNCTION("""COMPUTED_VALUE"""),0.0)</f>
        <v>0</v>
      </c>
      <c r="K2418" s="5" t="str">
        <f>IFERROR(__xludf.DUMMYFUNCTION("""COMPUTED_VALUE"""),"")</f>
        <v/>
      </c>
      <c r="L2418" t="str">
        <f>IFERROR(__xludf.DUMMYFUNCTION("""COMPUTED_VALUE"""),"")</f>
        <v/>
      </c>
      <c r="M2418" t="str">
        <f>IFERROR(__xludf.DUMMYFUNCTION("""COMPUTED_VALUE"""),"")</f>
        <v/>
      </c>
      <c r="N2418" t="str">
        <f>IFERROR(__xludf.DUMMYFUNCTION("""COMPUTED_VALUE"""),"")</f>
        <v/>
      </c>
      <c r="O2418" t="str">
        <f>IFERROR(__xludf.DUMMYFUNCTION("""COMPUTED_VALUE"""),"")</f>
        <v/>
      </c>
      <c r="P2418" t="str">
        <f>IFERROR(__xludf.DUMMYFUNCTION("""COMPUTED_VALUE"""),"ID ")</f>
        <v>ID </v>
      </c>
    </row>
    <row r="2419">
      <c r="A2419" s="6" t="str">
        <f>IFERROR(__xludf.DUMMYFUNCTION("""COMPUTED_VALUE"""),"")</f>
        <v/>
      </c>
      <c r="C2419" t="str">
        <f>IFERROR(__xludf.DUMMYFUNCTION("""COMPUTED_VALUE"""),"")</f>
        <v/>
      </c>
      <c r="D2419" t="str">
        <f>IFERROR(__xludf.DUMMYFUNCTION("""COMPUTED_VALUE"""),"")</f>
        <v/>
      </c>
      <c r="E2419" t="str">
        <f>IFERROR(__xludf.DUMMYFUNCTION("""COMPUTED_VALUE"""),"")</f>
        <v/>
      </c>
      <c r="F2419" t="str">
        <f>IFERROR(__xludf.DUMMYFUNCTION("""COMPUTED_VALUE"""),"")</f>
        <v/>
      </c>
      <c r="G2419" t="str">
        <f>IFERROR(__xludf.DUMMYFUNCTION("""COMPUTED_VALUE"""),"")</f>
        <v/>
      </c>
      <c r="H2419" s="2" t="str">
        <f>IFERROR(__xludf.DUMMYFUNCTION("""COMPUTED_VALUE"""),"")</f>
        <v/>
      </c>
      <c r="I2419" s="2" t="str">
        <f>IFERROR(__xludf.DUMMYFUNCTION("""COMPUTED_VALUE"""),"")</f>
        <v/>
      </c>
      <c r="J2419" s="2">
        <f>IFERROR(__xludf.DUMMYFUNCTION("""COMPUTED_VALUE"""),0.0)</f>
        <v>0</v>
      </c>
      <c r="K2419" s="5" t="str">
        <f>IFERROR(__xludf.DUMMYFUNCTION("""COMPUTED_VALUE"""),"")</f>
        <v/>
      </c>
      <c r="L2419" t="str">
        <f>IFERROR(__xludf.DUMMYFUNCTION("""COMPUTED_VALUE"""),"")</f>
        <v/>
      </c>
      <c r="M2419" t="str">
        <f>IFERROR(__xludf.DUMMYFUNCTION("""COMPUTED_VALUE"""),"")</f>
        <v/>
      </c>
      <c r="N2419" t="str">
        <f>IFERROR(__xludf.DUMMYFUNCTION("""COMPUTED_VALUE"""),"")</f>
        <v/>
      </c>
      <c r="O2419" t="str">
        <f>IFERROR(__xludf.DUMMYFUNCTION("""COMPUTED_VALUE"""),"")</f>
        <v/>
      </c>
      <c r="P2419" t="str">
        <f>IFERROR(__xludf.DUMMYFUNCTION("""COMPUTED_VALUE"""),"ID ")</f>
        <v>ID </v>
      </c>
    </row>
    <row r="2420">
      <c r="A2420" s="6" t="str">
        <f>IFERROR(__xludf.DUMMYFUNCTION("""COMPUTED_VALUE"""),"")</f>
        <v/>
      </c>
      <c r="C2420" t="str">
        <f>IFERROR(__xludf.DUMMYFUNCTION("""COMPUTED_VALUE"""),"")</f>
        <v/>
      </c>
      <c r="D2420" t="str">
        <f>IFERROR(__xludf.DUMMYFUNCTION("""COMPUTED_VALUE"""),"")</f>
        <v/>
      </c>
      <c r="E2420" t="str">
        <f>IFERROR(__xludf.DUMMYFUNCTION("""COMPUTED_VALUE"""),"")</f>
        <v/>
      </c>
      <c r="F2420" t="str">
        <f>IFERROR(__xludf.DUMMYFUNCTION("""COMPUTED_VALUE"""),"")</f>
        <v/>
      </c>
      <c r="G2420" t="str">
        <f>IFERROR(__xludf.DUMMYFUNCTION("""COMPUTED_VALUE"""),"")</f>
        <v/>
      </c>
      <c r="H2420" s="2" t="str">
        <f>IFERROR(__xludf.DUMMYFUNCTION("""COMPUTED_VALUE"""),"")</f>
        <v/>
      </c>
      <c r="I2420" s="2" t="str">
        <f>IFERROR(__xludf.DUMMYFUNCTION("""COMPUTED_VALUE"""),"")</f>
        <v/>
      </c>
      <c r="J2420" s="2">
        <f>IFERROR(__xludf.DUMMYFUNCTION("""COMPUTED_VALUE"""),0.0)</f>
        <v>0</v>
      </c>
      <c r="K2420" s="5" t="str">
        <f>IFERROR(__xludf.DUMMYFUNCTION("""COMPUTED_VALUE"""),"")</f>
        <v/>
      </c>
      <c r="L2420" t="str">
        <f>IFERROR(__xludf.DUMMYFUNCTION("""COMPUTED_VALUE"""),"")</f>
        <v/>
      </c>
      <c r="M2420" t="str">
        <f>IFERROR(__xludf.DUMMYFUNCTION("""COMPUTED_VALUE"""),"")</f>
        <v/>
      </c>
      <c r="N2420" t="str">
        <f>IFERROR(__xludf.DUMMYFUNCTION("""COMPUTED_VALUE"""),"")</f>
        <v/>
      </c>
      <c r="O2420" t="str">
        <f>IFERROR(__xludf.DUMMYFUNCTION("""COMPUTED_VALUE"""),"")</f>
        <v/>
      </c>
      <c r="P2420" t="str">
        <f>IFERROR(__xludf.DUMMYFUNCTION("""COMPUTED_VALUE"""),"ID ")</f>
        <v>ID </v>
      </c>
    </row>
    <row r="2421">
      <c r="A2421" s="6" t="str">
        <f>IFERROR(__xludf.DUMMYFUNCTION("""COMPUTED_VALUE"""),"")</f>
        <v/>
      </c>
      <c r="C2421" t="str">
        <f>IFERROR(__xludf.DUMMYFUNCTION("""COMPUTED_VALUE"""),"")</f>
        <v/>
      </c>
      <c r="D2421" t="str">
        <f>IFERROR(__xludf.DUMMYFUNCTION("""COMPUTED_VALUE"""),"")</f>
        <v/>
      </c>
      <c r="E2421" t="str">
        <f>IFERROR(__xludf.DUMMYFUNCTION("""COMPUTED_VALUE"""),"")</f>
        <v/>
      </c>
      <c r="F2421" t="str">
        <f>IFERROR(__xludf.DUMMYFUNCTION("""COMPUTED_VALUE"""),"")</f>
        <v/>
      </c>
      <c r="G2421" t="str">
        <f>IFERROR(__xludf.DUMMYFUNCTION("""COMPUTED_VALUE"""),"")</f>
        <v/>
      </c>
      <c r="H2421" s="2" t="str">
        <f>IFERROR(__xludf.DUMMYFUNCTION("""COMPUTED_VALUE"""),"")</f>
        <v/>
      </c>
      <c r="I2421" s="2" t="str">
        <f>IFERROR(__xludf.DUMMYFUNCTION("""COMPUTED_VALUE"""),"")</f>
        <v/>
      </c>
      <c r="J2421" s="2">
        <f>IFERROR(__xludf.DUMMYFUNCTION("""COMPUTED_VALUE"""),0.0)</f>
        <v>0</v>
      </c>
      <c r="K2421" s="5" t="str">
        <f>IFERROR(__xludf.DUMMYFUNCTION("""COMPUTED_VALUE"""),"")</f>
        <v/>
      </c>
      <c r="L2421" t="str">
        <f>IFERROR(__xludf.DUMMYFUNCTION("""COMPUTED_VALUE"""),"")</f>
        <v/>
      </c>
      <c r="M2421" t="str">
        <f>IFERROR(__xludf.DUMMYFUNCTION("""COMPUTED_VALUE"""),"")</f>
        <v/>
      </c>
      <c r="N2421" t="str">
        <f>IFERROR(__xludf.DUMMYFUNCTION("""COMPUTED_VALUE"""),"")</f>
        <v/>
      </c>
      <c r="O2421" t="str">
        <f>IFERROR(__xludf.DUMMYFUNCTION("""COMPUTED_VALUE"""),"")</f>
        <v/>
      </c>
      <c r="P2421" t="str">
        <f>IFERROR(__xludf.DUMMYFUNCTION("""COMPUTED_VALUE"""),"ID ")</f>
        <v>ID </v>
      </c>
    </row>
    <row r="2422">
      <c r="A2422" s="6" t="str">
        <f>IFERROR(__xludf.DUMMYFUNCTION("""COMPUTED_VALUE"""),"")</f>
        <v/>
      </c>
      <c r="C2422" t="str">
        <f>IFERROR(__xludf.DUMMYFUNCTION("""COMPUTED_VALUE"""),"")</f>
        <v/>
      </c>
      <c r="D2422" t="str">
        <f>IFERROR(__xludf.DUMMYFUNCTION("""COMPUTED_VALUE"""),"")</f>
        <v/>
      </c>
      <c r="E2422" t="str">
        <f>IFERROR(__xludf.DUMMYFUNCTION("""COMPUTED_VALUE"""),"")</f>
        <v/>
      </c>
      <c r="F2422" t="str">
        <f>IFERROR(__xludf.DUMMYFUNCTION("""COMPUTED_VALUE"""),"")</f>
        <v/>
      </c>
      <c r="G2422" t="str">
        <f>IFERROR(__xludf.DUMMYFUNCTION("""COMPUTED_VALUE"""),"")</f>
        <v/>
      </c>
      <c r="H2422" s="2" t="str">
        <f>IFERROR(__xludf.DUMMYFUNCTION("""COMPUTED_VALUE"""),"")</f>
        <v/>
      </c>
      <c r="I2422" s="2" t="str">
        <f>IFERROR(__xludf.DUMMYFUNCTION("""COMPUTED_VALUE"""),"")</f>
        <v/>
      </c>
      <c r="J2422" s="2">
        <f>IFERROR(__xludf.DUMMYFUNCTION("""COMPUTED_VALUE"""),0.0)</f>
        <v>0</v>
      </c>
      <c r="K2422" s="5" t="str">
        <f>IFERROR(__xludf.DUMMYFUNCTION("""COMPUTED_VALUE"""),"")</f>
        <v/>
      </c>
      <c r="L2422" t="str">
        <f>IFERROR(__xludf.DUMMYFUNCTION("""COMPUTED_VALUE"""),"")</f>
        <v/>
      </c>
      <c r="M2422" t="str">
        <f>IFERROR(__xludf.DUMMYFUNCTION("""COMPUTED_VALUE"""),"")</f>
        <v/>
      </c>
      <c r="N2422" t="str">
        <f>IFERROR(__xludf.DUMMYFUNCTION("""COMPUTED_VALUE"""),"")</f>
        <v/>
      </c>
      <c r="O2422" t="str">
        <f>IFERROR(__xludf.DUMMYFUNCTION("""COMPUTED_VALUE"""),"")</f>
        <v/>
      </c>
      <c r="P2422" t="str">
        <f>IFERROR(__xludf.DUMMYFUNCTION("""COMPUTED_VALUE"""),"ID ")</f>
        <v>ID </v>
      </c>
    </row>
    <row r="2423">
      <c r="A2423" s="6" t="str">
        <f>IFERROR(__xludf.DUMMYFUNCTION("""COMPUTED_VALUE"""),"")</f>
        <v/>
      </c>
      <c r="C2423" t="str">
        <f>IFERROR(__xludf.DUMMYFUNCTION("""COMPUTED_VALUE"""),"")</f>
        <v/>
      </c>
      <c r="D2423" t="str">
        <f>IFERROR(__xludf.DUMMYFUNCTION("""COMPUTED_VALUE"""),"")</f>
        <v/>
      </c>
      <c r="E2423" t="str">
        <f>IFERROR(__xludf.DUMMYFUNCTION("""COMPUTED_VALUE"""),"")</f>
        <v/>
      </c>
      <c r="F2423" t="str">
        <f>IFERROR(__xludf.DUMMYFUNCTION("""COMPUTED_VALUE"""),"")</f>
        <v/>
      </c>
      <c r="G2423" t="str">
        <f>IFERROR(__xludf.DUMMYFUNCTION("""COMPUTED_VALUE"""),"")</f>
        <v/>
      </c>
      <c r="H2423" s="2" t="str">
        <f>IFERROR(__xludf.DUMMYFUNCTION("""COMPUTED_VALUE"""),"")</f>
        <v/>
      </c>
      <c r="I2423" s="2" t="str">
        <f>IFERROR(__xludf.DUMMYFUNCTION("""COMPUTED_VALUE"""),"")</f>
        <v/>
      </c>
      <c r="J2423" s="2">
        <f>IFERROR(__xludf.DUMMYFUNCTION("""COMPUTED_VALUE"""),0.0)</f>
        <v>0</v>
      </c>
      <c r="K2423" s="5" t="str">
        <f>IFERROR(__xludf.DUMMYFUNCTION("""COMPUTED_VALUE"""),"")</f>
        <v/>
      </c>
      <c r="L2423" t="str">
        <f>IFERROR(__xludf.DUMMYFUNCTION("""COMPUTED_VALUE"""),"")</f>
        <v/>
      </c>
      <c r="M2423" t="str">
        <f>IFERROR(__xludf.DUMMYFUNCTION("""COMPUTED_VALUE"""),"")</f>
        <v/>
      </c>
      <c r="N2423" t="str">
        <f>IFERROR(__xludf.DUMMYFUNCTION("""COMPUTED_VALUE"""),"")</f>
        <v/>
      </c>
      <c r="O2423" t="str">
        <f>IFERROR(__xludf.DUMMYFUNCTION("""COMPUTED_VALUE"""),"")</f>
        <v/>
      </c>
      <c r="P2423" t="str">
        <f>IFERROR(__xludf.DUMMYFUNCTION("""COMPUTED_VALUE"""),"ID ")</f>
        <v>ID </v>
      </c>
    </row>
    <row r="2424">
      <c r="A2424" s="6" t="str">
        <f>IFERROR(__xludf.DUMMYFUNCTION("""COMPUTED_VALUE"""),"")</f>
        <v/>
      </c>
      <c r="C2424" t="str">
        <f>IFERROR(__xludf.DUMMYFUNCTION("""COMPUTED_VALUE"""),"")</f>
        <v/>
      </c>
      <c r="D2424" t="str">
        <f>IFERROR(__xludf.DUMMYFUNCTION("""COMPUTED_VALUE"""),"")</f>
        <v/>
      </c>
      <c r="E2424" t="str">
        <f>IFERROR(__xludf.DUMMYFUNCTION("""COMPUTED_VALUE"""),"")</f>
        <v/>
      </c>
      <c r="F2424" t="str">
        <f>IFERROR(__xludf.DUMMYFUNCTION("""COMPUTED_VALUE"""),"")</f>
        <v/>
      </c>
      <c r="G2424" t="str">
        <f>IFERROR(__xludf.DUMMYFUNCTION("""COMPUTED_VALUE"""),"")</f>
        <v/>
      </c>
      <c r="H2424" s="2" t="str">
        <f>IFERROR(__xludf.DUMMYFUNCTION("""COMPUTED_VALUE"""),"")</f>
        <v/>
      </c>
      <c r="I2424" s="2" t="str">
        <f>IFERROR(__xludf.DUMMYFUNCTION("""COMPUTED_VALUE"""),"")</f>
        <v/>
      </c>
      <c r="J2424" s="2">
        <f>IFERROR(__xludf.DUMMYFUNCTION("""COMPUTED_VALUE"""),0.0)</f>
        <v>0</v>
      </c>
      <c r="K2424" s="5" t="str">
        <f>IFERROR(__xludf.DUMMYFUNCTION("""COMPUTED_VALUE"""),"")</f>
        <v/>
      </c>
      <c r="L2424" t="str">
        <f>IFERROR(__xludf.DUMMYFUNCTION("""COMPUTED_VALUE"""),"")</f>
        <v/>
      </c>
      <c r="M2424" t="str">
        <f>IFERROR(__xludf.DUMMYFUNCTION("""COMPUTED_VALUE"""),"")</f>
        <v/>
      </c>
      <c r="N2424" t="str">
        <f>IFERROR(__xludf.DUMMYFUNCTION("""COMPUTED_VALUE"""),"")</f>
        <v/>
      </c>
      <c r="O2424" t="str">
        <f>IFERROR(__xludf.DUMMYFUNCTION("""COMPUTED_VALUE"""),"")</f>
        <v/>
      </c>
      <c r="P2424" t="str">
        <f>IFERROR(__xludf.DUMMYFUNCTION("""COMPUTED_VALUE"""),"ID ")</f>
        <v>ID </v>
      </c>
    </row>
    <row r="2425">
      <c r="A2425" s="6" t="str">
        <f>IFERROR(__xludf.DUMMYFUNCTION("""COMPUTED_VALUE"""),"")</f>
        <v/>
      </c>
      <c r="C2425" t="str">
        <f>IFERROR(__xludf.DUMMYFUNCTION("""COMPUTED_VALUE"""),"")</f>
        <v/>
      </c>
      <c r="D2425" t="str">
        <f>IFERROR(__xludf.DUMMYFUNCTION("""COMPUTED_VALUE"""),"")</f>
        <v/>
      </c>
      <c r="E2425" t="str">
        <f>IFERROR(__xludf.DUMMYFUNCTION("""COMPUTED_VALUE"""),"")</f>
        <v/>
      </c>
      <c r="F2425" t="str">
        <f>IFERROR(__xludf.DUMMYFUNCTION("""COMPUTED_VALUE"""),"")</f>
        <v/>
      </c>
      <c r="G2425" t="str">
        <f>IFERROR(__xludf.DUMMYFUNCTION("""COMPUTED_VALUE"""),"")</f>
        <v/>
      </c>
      <c r="H2425" s="2" t="str">
        <f>IFERROR(__xludf.DUMMYFUNCTION("""COMPUTED_VALUE"""),"")</f>
        <v/>
      </c>
      <c r="I2425" s="2" t="str">
        <f>IFERROR(__xludf.DUMMYFUNCTION("""COMPUTED_VALUE"""),"")</f>
        <v/>
      </c>
      <c r="J2425" s="2">
        <f>IFERROR(__xludf.DUMMYFUNCTION("""COMPUTED_VALUE"""),0.0)</f>
        <v>0</v>
      </c>
      <c r="K2425" s="5" t="str">
        <f>IFERROR(__xludf.DUMMYFUNCTION("""COMPUTED_VALUE"""),"")</f>
        <v/>
      </c>
      <c r="L2425" t="str">
        <f>IFERROR(__xludf.DUMMYFUNCTION("""COMPUTED_VALUE"""),"")</f>
        <v/>
      </c>
      <c r="M2425" t="str">
        <f>IFERROR(__xludf.DUMMYFUNCTION("""COMPUTED_VALUE"""),"")</f>
        <v/>
      </c>
      <c r="N2425" t="str">
        <f>IFERROR(__xludf.DUMMYFUNCTION("""COMPUTED_VALUE"""),"")</f>
        <v/>
      </c>
      <c r="O2425" t="str">
        <f>IFERROR(__xludf.DUMMYFUNCTION("""COMPUTED_VALUE"""),"")</f>
        <v/>
      </c>
      <c r="P2425" t="str">
        <f>IFERROR(__xludf.DUMMYFUNCTION("""COMPUTED_VALUE"""),"ID ")</f>
        <v>ID </v>
      </c>
    </row>
    <row r="2426">
      <c r="A2426" s="6" t="str">
        <f>IFERROR(__xludf.DUMMYFUNCTION("""COMPUTED_VALUE"""),"")</f>
        <v/>
      </c>
      <c r="C2426" t="str">
        <f>IFERROR(__xludf.DUMMYFUNCTION("""COMPUTED_VALUE"""),"")</f>
        <v/>
      </c>
      <c r="D2426" t="str">
        <f>IFERROR(__xludf.DUMMYFUNCTION("""COMPUTED_VALUE"""),"")</f>
        <v/>
      </c>
      <c r="E2426" t="str">
        <f>IFERROR(__xludf.DUMMYFUNCTION("""COMPUTED_VALUE"""),"")</f>
        <v/>
      </c>
      <c r="F2426" t="str">
        <f>IFERROR(__xludf.DUMMYFUNCTION("""COMPUTED_VALUE"""),"")</f>
        <v/>
      </c>
      <c r="G2426" t="str">
        <f>IFERROR(__xludf.DUMMYFUNCTION("""COMPUTED_VALUE"""),"")</f>
        <v/>
      </c>
      <c r="H2426" s="2" t="str">
        <f>IFERROR(__xludf.DUMMYFUNCTION("""COMPUTED_VALUE"""),"")</f>
        <v/>
      </c>
      <c r="I2426" s="2" t="str">
        <f>IFERROR(__xludf.DUMMYFUNCTION("""COMPUTED_VALUE"""),"")</f>
        <v/>
      </c>
      <c r="J2426" s="2">
        <f>IFERROR(__xludf.DUMMYFUNCTION("""COMPUTED_VALUE"""),0.0)</f>
        <v>0</v>
      </c>
      <c r="K2426" s="5" t="str">
        <f>IFERROR(__xludf.DUMMYFUNCTION("""COMPUTED_VALUE"""),"")</f>
        <v/>
      </c>
      <c r="L2426" t="str">
        <f>IFERROR(__xludf.DUMMYFUNCTION("""COMPUTED_VALUE"""),"")</f>
        <v/>
      </c>
      <c r="M2426" t="str">
        <f>IFERROR(__xludf.DUMMYFUNCTION("""COMPUTED_VALUE"""),"")</f>
        <v/>
      </c>
      <c r="N2426" t="str">
        <f>IFERROR(__xludf.DUMMYFUNCTION("""COMPUTED_VALUE"""),"")</f>
        <v/>
      </c>
      <c r="O2426" t="str">
        <f>IFERROR(__xludf.DUMMYFUNCTION("""COMPUTED_VALUE"""),"")</f>
        <v/>
      </c>
      <c r="P2426" t="str">
        <f>IFERROR(__xludf.DUMMYFUNCTION("""COMPUTED_VALUE"""),"ID ")</f>
        <v>ID </v>
      </c>
    </row>
    <row r="2427">
      <c r="A2427" s="6" t="str">
        <f>IFERROR(__xludf.DUMMYFUNCTION("""COMPUTED_VALUE"""),"")</f>
        <v/>
      </c>
      <c r="C2427" t="str">
        <f>IFERROR(__xludf.DUMMYFUNCTION("""COMPUTED_VALUE"""),"")</f>
        <v/>
      </c>
      <c r="D2427" t="str">
        <f>IFERROR(__xludf.DUMMYFUNCTION("""COMPUTED_VALUE"""),"")</f>
        <v/>
      </c>
      <c r="E2427" t="str">
        <f>IFERROR(__xludf.DUMMYFUNCTION("""COMPUTED_VALUE"""),"")</f>
        <v/>
      </c>
      <c r="F2427" t="str">
        <f>IFERROR(__xludf.DUMMYFUNCTION("""COMPUTED_VALUE"""),"")</f>
        <v/>
      </c>
      <c r="G2427" t="str">
        <f>IFERROR(__xludf.DUMMYFUNCTION("""COMPUTED_VALUE"""),"")</f>
        <v/>
      </c>
      <c r="H2427" s="2" t="str">
        <f>IFERROR(__xludf.DUMMYFUNCTION("""COMPUTED_VALUE"""),"")</f>
        <v/>
      </c>
      <c r="I2427" s="2" t="str">
        <f>IFERROR(__xludf.DUMMYFUNCTION("""COMPUTED_VALUE"""),"")</f>
        <v/>
      </c>
      <c r="J2427" s="2">
        <f>IFERROR(__xludf.DUMMYFUNCTION("""COMPUTED_VALUE"""),0.0)</f>
        <v>0</v>
      </c>
      <c r="K2427" s="5" t="str">
        <f>IFERROR(__xludf.DUMMYFUNCTION("""COMPUTED_VALUE"""),"")</f>
        <v/>
      </c>
      <c r="L2427" t="str">
        <f>IFERROR(__xludf.DUMMYFUNCTION("""COMPUTED_VALUE"""),"")</f>
        <v/>
      </c>
      <c r="M2427" t="str">
        <f>IFERROR(__xludf.DUMMYFUNCTION("""COMPUTED_VALUE"""),"")</f>
        <v/>
      </c>
      <c r="N2427" t="str">
        <f>IFERROR(__xludf.DUMMYFUNCTION("""COMPUTED_VALUE"""),"")</f>
        <v/>
      </c>
      <c r="O2427" t="str">
        <f>IFERROR(__xludf.DUMMYFUNCTION("""COMPUTED_VALUE"""),"")</f>
        <v/>
      </c>
      <c r="P2427" t="str">
        <f>IFERROR(__xludf.DUMMYFUNCTION("""COMPUTED_VALUE"""),"ID ")</f>
        <v>ID </v>
      </c>
    </row>
    <row r="2428">
      <c r="A2428" s="6" t="str">
        <f>IFERROR(__xludf.DUMMYFUNCTION("""COMPUTED_VALUE"""),"")</f>
        <v/>
      </c>
      <c r="C2428" t="str">
        <f>IFERROR(__xludf.DUMMYFUNCTION("""COMPUTED_VALUE"""),"")</f>
        <v/>
      </c>
      <c r="D2428" t="str">
        <f>IFERROR(__xludf.DUMMYFUNCTION("""COMPUTED_VALUE"""),"")</f>
        <v/>
      </c>
      <c r="E2428" t="str">
        <f>IFERROR(__xludf.DUMMYFUNCTION("""COMPUTED_VALUE"""),"")</f>
        <v/>
      </c>
      <c r="F2428" t="str">
        <f>IFERROR(__xludf.DUMMYFUNCTION("""COMPUTED_VALUE"""),"")</f>
        <v/>
      </c>
      <c r="G2428" t="str">
        <f>IFERROR(__xludf.DUMMYFUNCTION("""COMPUTED_VALUE"""),"")</f>
        <v/>
      </c>
      <c r="H2428" s="2" t="str">
        <f>IFERROR(__xludf.DUMMYFUNCTION("""COMPUTED_VALUE"""),"")</f>
        <v/>
      </c>
      <c r="I2428" s="2" t="str">
        <f>IFERROR(__xludf.DUMMYFUNCTION("""COMPUTED_VALUE"""),"")</f>
        <v/>
      </c>
      <c r="J2428" s="2">
        <f>IFERROR(__xludf.DUMMYFUNCTION("""COMPUTED_VALUE"""),0.0)</f>
        <v>0</v>
      </c>
      <c r="K2428" s="5" t="str">
        <f>IFERROR(__xludf.DUMMYFUNCTION("""COMPUTED_VALUE"""),"")</f>
        <v/>
      </c>
      <c r="L2428" t="str">
        <f>IFERROR(__xludf.DUMMYFUNCTION("""COMPUTED_VALUE"""),"")</f>
        <v/>
      </c>
      <c r="M2428" t="str">
        <f>IFERROR(__xludf.DUMMYFUNCTION("""COMPUTED_VALUE"""),"")</f>
        <v/>
      </c>
      <c r="N2428" t="str">
        <f>IFERROR(__xludf.DUMMYFUNCTION("""COMPUTED_VALUE"""),"")</f>
        <v/>
      </c>
      <c r="O2428" t="str">
        <f>IFERROR(__xludf.DUMMYFUNCTION("""COMPUTED_VALUE"""),"")</f>
        <v/>
      </c>
      <c r="P2428" t="str">
        <f>IFERROR(__xludf.DUMMYFUNCTION("""COMPUTED_VALUE"""),"ID ")</f>
        <v>ID </v>
      </c>
    </row>
    <row r="2429">
      <c r="A2429" s="6" t="str">
        <f>IFERROR(__xludf.DUMMYFUNCTION("""COMPUTED_VALUE"""),"")</f>
        <v/>
      </c>
      <c r="C2429" t="str">
        <f>IFERROR(__xludf.DUMMYFUNCTION("""COMPUTED_VALUE"""),"")</f>
        <v/>
      </c>
      <c r="D2429" t="str">
        <f>IFERROR(__xludf.DUMMYFUNCTION("""COMPUTED_VALUE"""),"")</f>
        <v/>
      </c>
      <c r="E2429" t="str">
        <f>IFERROR(__xludf.DUMMYFUNCTION("""COMPUTED_VALUE"""),"")</f>
        <v/>
      </c>
      <c r="F2429" t="str">
        <f>IFERROR(__xludf.DUMMYFUNCTION("""COMPUTED_VALUE"""),"")</f>
        <v/>
      </c>
      <c r="G2429" t="str">
        <f>IFERROR(__xludf.DUMMYFUNCTION("""COMPUTED_VALUE"""),"")</f>
        <v/>
      </c>
      <c r="H2429" s="2" t="str">
        <f>IFERROR(__xludf.DUMMYFUNCTION("""COMPUTED_VALUE"""),"")</f>
        <v/>
      </c>
      <c r="I2429" s="2" t="str">
        <f>IFERROR(__xludf.DUMMYFUNCTION("""COMPUTED_VALUE"""),"")</f>
        <v/>
      </c>
      <c r="J2429" s="2">
        <f>IFERROR(__xludf.DUMMYFUNCTION("""COMPUTED_VALUE"""),0.0)</f>
        <v>0</v>
      </c>
      <c r="K2429" s="5" t="str">
        <f>IFERROR(__xludf.DUMMYFUNCTION("""COMPUTED_VALUE"""),"")</f>
        <v/>
      </c>
      <c r="L2429" t="str">
        <f>IFERROR(__xludf.DUMMYFUNCTION("""COMPUTED_VALUE"""),"")</f>
        <v/>
      </c>
      <c r="M2429" t="str">
        <f>IFERROR(__xludf.DUMMYFUNCTION("""COMPUTED_VALUE"""),"")</f>
        <v/>
      </c>
      <c r="N2429" t="str">
        <f>IFERROR(__xludf.DUMMYFUNCTION("""COMPUTED_VALUE"""),"")</f>
        <v/>
      </c>
      <c r="O2429" t="str">
        <f>IFERROR(__xludf.DUMMYFUNCTION("""COMPUTED_VALUE"""),"")</f>
        <v/>
      </c>
      <c r="P2429" t="str">
        <f>IFERROR(__xludf.DUMMYFUNCTION("""COMPUTED_VALUE"""),"ID ")</f>
        <v>ID </v>
      </c>
    </row>
    <row r="2430">
      <c r="A2430" s="6" t="str">
        <f>IFERROR(__xludf.DUMMYFUNCTION("""COMPUTED_VALUE"""),"")</f>
        <v/>
      </c>
      <c r="C2430" t="str">
        <f>IFERROR(__xludf.DUMMYFUNCTION("""COMPUTED_VALUE"""),"")</f>
        <v/>
      </c>
      <c r="D2430" t="str">
        <f>IFERROR(__xludf.DUMMYFUNCTION("""COMPUTED_VALUE"""),"")</f>
        <v/>
      </c>
      <c r="E2430" t="str">
        <f>IFERROR(__xludf.DUMMYFUNCTION("""COMPUTED_VALUE"""),"")</f>
        <v/>
      </c>
      <c r="F2430" t="str">
        <f>IFERROR(__xludf.DUMMYFUNCTION("""COMPUTED_VALUE"""),"")</f>
        <v/>
      </c>
      <c r="G2430" t="str">
        <f>IFERROR(__xludf.DUMMYFUNCTION("""COMPUTED_VALUE"""),"")</f>
        <v/>
      </c>
      <c r="H2430" s="2" t="str">
        <f>IFERROR(__xludf.DUMMYFUNCTION("""COMPUTED_VALUE"""),"")</f>
        <v/>
      </c>
      <c r="I2430" s="2" t="str">
        <f>IFERROR(__xludf.DUMMYFUNCTION("""COMPUTED_VALUE"""),"")</f>
        <v/>
      </c>
      <c r="J2430" s="2">
        <f>IFERROR(__xludf.DUMMYFUNCTION("""COMPUTED_VALUE"""),0.0)</f>
        <v>0</v>
      </c>
      <c r="K2430" s="5" t="str">
        <f>IFERROR(__xludf.DUMMYFUNCTION("""COMPUTED_VALUE"""),"")</f>
        <v/>
      </c>
      <c r="L2430" t="str">
        <f>IFERROR(__xludf.DUMMYFUNCTION("""COMPUTED_VALUE"""),"")</f>
        <v/>
      </c>
      <c r="M2430" t="str">
        <f>IFERROR(__xludf.DUMMYFUNCTION("""COMPUTED_VALUE"""),"")</f>
        <v/>
      </c>
      <c r="N2430" t="str">
        <f>IFERROR(__xludf.DUMMYFUNCTION("""COMPUTED_VALUE"""),"")</f>
        <v/>
      </c>
      <c r="O2430" t="str">
        <f>IFERROR(__xludf.DUMMYFUNCTION("""COMPUTED_VALUE"""),"")</f>
        <v/>
      </c>
      <c r="P2430" t="str">
        <f>IFERROR(__xludf.DUMMYFUNCTION("""COMPUTED_VALUE"""),"ID ")</f>
        <v>ID </v>
      </c>
    </row>
    <row r="2431">
      <c r="A2431" s="6" t="str">
        <f>IFERROR(__xludf.DUMMYFUNCTION("""COMPUTED_VALUE"""),"")</f>
        <v/>
      </c>
      <c r="C2431" t="str">
        <f>IFERROR(__xludf.DUMMYFUNCTION("""COMPUTED_VALUE"""),"")</f>
        <v/>
      </c>
      <c r="D2431" t="str">
        <f>IFERROR(__xludf.DUMMYFUNCTION("""COMPUTED_VALUE"""),"")</f>
        <v/>
      </c>
      <c r="E2431" t="str">
        <f>IFERROR(__xludf.DUMMYFUNCTION("""COMPUTED_VALUE"""),"")</f>
        <v/>
      </c>
      <c r="F2431" t="str">
        <f>IFERROR(__xludf.DUMMYFUNCTION("""COMPUTED_VALUE"""),"")</f>
        <v/>
      </c>
      <c r="G2431" t="str">
        <f>IFERROR(__xludf.DUMMYFUNCTION("""COMPUTED_VALUE"""),"")</f>
        <v/>
      </c>
      <c r="H2431" s="2" t="str">
        <f>IFERROR(__xludf.DUMMYFUNCTION("""COMPUTED_VALUE"""),"")</f>
        <v/>
      </c>
      <c r="I2431" s="2" t="str">
        <f>IFERROR(__xludf.DUMMYFUNCTION("""COMPUTED_VALUE"""),"")</f>
        <v/>
      </c>
      <c r="J2431" s="2">
        <f>IFERROR(__xludf.DUMMYFUNCTION("""COMPUTED_VALUE"""),0.0)</f>
        <v>0</v>
      </c>
      <c r="K2431" s="5" t="str">
        <f>IFERROR(__xludf.DUMMYFUNCTION("""COMPUTED_VALUE"""),"")</f>
        <v/>
      </c>
      <c r="L2431" t="str">
        <f>IFERROR(__xludf.DUMMYFUNCTION("""COMPUTED_VALUE"""),"")</f>
        <v/>
      </c>
      <c r="M2431" t="str">
        <f>IFERROR(__xludf.DUMMYFUNCTION("""COMPUTED_VALUE"""),"")</f>
        <v/>
      </c>
      <c r="N2431" t="str">
        <f>IFERROR(__xludf.DUMMYFUNCTION("""COMPUTED_VALUE"""),"")</f>
        <v/>
      </c>
      <c r="O2431" t="str">
        <f>IFERROR(__xludf.DUMMYFUNCTION("""COMPUTED_VALUE"""),"")</f>
        <v/>
      </c>
      <c r="P2431" t="str">
        <f>IFERROR(__xludf.DUMMYFUNCTION("""COMPUTED_VALUE"""),"ID ")</f>
        <v>ID </v>
      </c>
    </row>
    <row r="2432">
      <c r="A2432" s="6" t="str">
        <f>IFERROR(__xludf.DUMMYFUNCTION("""COMPUTED_VALUE"""),"")</f>
        <v/>
      </c>
      <c r="C2432" t="str">
        <f>IFERROR(__xludf.DUMMYFUNCTION("""COMPUTED_VALUE"""),"")</f>
        <v/>
      </c>
      <c r="D2432" t="str">
        <f>IFERROR(__xludf.DUMMYFUNCTION("""COMPUTED_VALUE"""),"")</f>
        <v/>
      </c>
      <c r="E2432" t="str">
        <f>IFERROR(__xludf.DUMMYFUNCTION("""COMPUTED_VALUE"""),"")</f>
        <v/>
      </c>
      <c r="F2432" t="str">
        <f>IFERROR(__xludf.DUMMYFUNCTION("""COMPUTED_VALUE"""),"")</f>
        <v/>
      </c>
      <c r="G2432" t="str">
        <f>IFERROR(__xludf.DUMMYFUNCTION("""COMPUTED_VALUE"""),"")</f>
        <v/>
      </c>
      <c r="H2432" s="2" t="str">
        <f>IFERROR(__xludf.DUMMYFUNCTION("""COMPUTED_VALUE"""),"")</f>
        <v/>
      </c>
      <c r="I2432" s="2" t="str">
        <f>IFERROR(__xludf.DUMMYFUNCTION("""COMPUTED_VALUE"""),"")</f>
        <v/>
      </c>
      <c r="J2432" s="2">
        <f>IFERROR(__xludf.DUMMYFUNCTION("""COMPUTED_VALUE"""),0.0)</f>
        <v>0</v>
      </c>
      <c r="K2432" s="5" t="str">
        <f>IFERROR(__xludf.DUMMYFUNCTION("""COMPUTED_VALUE"""),"")</f>
        <v/>
      </c>
      <c r="L2432" t="str">
        <f>IFERROR(__xludf.DUMMYFUNCTION("""COMPUTED_VALUE"""),"")</f>
        <v/>
      </c>
      <c r="M2432" t="str">
        <f>IFERROR(__xludf.DUMMYFUNCTION("""COMPUTED_VALUE"""),"")</f>
        <v/>
      </c>
      <c r="N2432" t="str">
        <f>IFERROR(__xludf.DUMMYFUNCTION("""COMPUTED_VALUE"""),"")</f>
        <v/>
      </c>
      <c r="O2432" t="str">
        <f>IFERROR(__xludf.DUMMYFUNCTION("""COMPUTED_VALUE"""),"")</f>
        <v/>
      </c>
      <c r="P2432" t="str">
        <f>IFERROR(__xludf.DUMMYFUNCTION("""COMPUTED_VALUE"""),"ID ")</f>
        <v>ID </v>
      </c>
    </row>
    <row r="2433">
      <c r="A2433" s="6" t="str">
        <f>IFERROR(__xludf.DUMMYFUNCTION("""COMPUTED_VALUE"""),"")</f>
        <v/>
      </c>
      <c r="C2433" t="str">
        <f>IFERROR(__xludf.DUMMYFUNCTION("""COMPUTED_VALUE"""),"")</f>
        <v/>
      </c>
      <c r="D2433" t="str">
        <f>IFERROR(__xludf.DUMMYFUNCTION("""COMPUTED_VALUE"""),"")</f>
        <v/>
      </c>
      <c r="E2433" t="str">
        <f>IFERROR(__xludf.DUMMYFUNCTION("""COMPUTED_VALUE"""),"")</f>
        <v/>
      </c>
      <c r="F2433" t="str">
        <f>IFERROR(__xludf.DUMMYFUNCTION("""COMPUTED_VALUE"""),"")</f>
        <v/>
      </c>
      <c r="G2433" t="str">
        <f>IFERROR(__xludf.DUMMYFUNCTION("""COMPUTED_VALUE"""),"")</f>
        <v/>
      </c>
      <c r="H2433" s="2" t="str">
        <f>IFERROR(__xludf.DUMMYFUNCTION("""COMPUTED_VALUE"""),"")</f>
        <v/>
      </c>
      <c r="I2433" s="2" t="str">
        <f>IFERROR(__xludf.DUMMYFUNCTION("""COMPUTED_VALUE"""),"")</f>
        <v/>
      </c>
      <c r="J2433" s="2">
        <f>IFERROR(__xludf.DUMMYFUNCTION("""COMPUTED_VALUE"""),0.0)</f>
        <v>0</v>
      </c>
      <c r="K2433" s="5" t="str">
        <f>IFERROR(__xludf.DUMMYFUNCTION("""COMPUTED_VALUE"""),"")</f>
        <v/>
      </c>
      <c r="L2433" t="str">
        <f>IFERROR(__xludf.DUMMYFUNCTION("""COMPUTED_VALUE"""),"")</f>
        <v/>
      </c>
      <c r="M2433" t="str">
        <f>IFERROR(__xludf.DUMMYFUNCTION("""COMPUTED_VALUE"""),"")</f>
        <v/>
      </c>
      <c r="N2433" t="str">
        <f>IFERROR(__xludf.DUMMYFUNCTION("""COMPUTED_VALUE"""),"")</f>
        <v/>
      </c>
      <c r="O2433" t="str">
        <f>IFERROR(__xludf.DUMMYFUNCTION("""COMPUTED_VALUE"""),"")</f>
        <v/>
      </c>
      <c r="P2433" t="str">
        <f>IFERROR(__xludf.DUMMYFUNCTION("""COMPUTED_VALUE"""),"ID ")</f>
        <v>ID </v>
      </c>
    </row>
    <row r="2434">
      <c r="A2434" s="6" t="str">
        <f>IFERROR(__xludf.DUMMYFUNCTION("""COMPUTED_VALUE"""),"")</f>
        <v/>
      </c>
      <c r="C2434" t="str">
        <f>IFERROR(__xludf.DUMMYFUNCTION("""COMPUTED_VALUE"""),"")</f>
        <v/>
      </c>
      <c r="D2434" t="str">
        <f>IFERROR(__xludf.DUMMYFUNCTION("""COMPUTED_VALUE"""),"")</f>
        <v/>
      </c>
      <c r="E2434" t="str">
        <f>IFERROR(__xludf.DUMMYFUNCTION("""COMPUTED_VALUE"""),"")</f>
        <v/>
      </c>
      <c r="F2434" t="str">
        <f>IFERROR(__xludf.DUMMYFUNCTION("""COMPUTED_VALUE"""),"")</f>
        <v/>
      </c>
      <c r="G2434" t="str">
        <f>IFERROR(__xludf.DUMMYFUNCTION("""COMPUTED_VALUE"""),"")</f>
        <v/>
      </c>
      <c r="H2434" s="2" t="str">
        <f>IFERROR(__xludf.DUMMYFUNCTION("""COMPUTED_VALUE"""),"")</f>
        <v/>
      </c>
      <c r="I2434" s="2" t="str">
        <f>IFERROR(__xludf.DUMMYFUNCTION("""COMPUTED_VALUE"""),"")</f>
        <v/>
      </c>
      <c r="J2434" s="2">
        <f>IFERROR(__xludf.DUMMYFUNCTION("""COMPUTED_VALUE"""),0.0)</f>
        <v>0</v>
      </c>
      <c r="K2434" s="5" t="str">
        <f>IFERROR(__xludf.DUMMYFUNCTION("""COMPUTED_VALUE"""),"")</f>
        <v/>
      </c>
      <c r="L2434" t="str">
        <f>IFERROR(__xludf.DUMMYFUNCTION("""COMPUTED_VALUE"""),"")</f>
        <v/>
      </c>
      <c r="M2434" t="str">
        <f>IFERROR(__xludf.DUMMYFUNCTION("""COMPUTED_VALUE"""),"")</f>
        <v/>
      </c>
      <c r="N2434" t="str">
        <f>IFERROR(__xludf.DUMMYFUNCTION("""COMPUTED_VALUE"""),"")</f>
        <v/>
      </c>
      <c r="O2434" t="str">
        <f>IFERROR(__xludf.DUMMYFUNCTION("""COMPUTED_VALUE"""),"")</f>
        <v/>
      </c>
      <c r="P2434" t="str">
        <f>IFERROR(__xludf.DUMMYFUNCTION("""COMPUTED_VALUE"""),"ID ")</f>
        <v>ID </v>
      </c>
    </row>
    <row r="2435">
      <c r="A2435" s="6" t="str">
        <f>IFERROR(__xludf.DUMMYFUNCTION("""COMPUTED_VALUE"""),"")</f>
        <v/>
      </c>
      <c r="C2435" t="str">
        <f>IFERROR(__xludf.DUMMYFUNCTION("""COMPUTED_VALUE"""),"")</f>
        <v/>
      </c>
      <c r="D2435" t="str">
        <f>IFERROR(__xludf.DUMMYFUNCTION("""COMPUTED_VALUE"""),"")</f>
        <v/>
      </c>
      <c r="E2435" t="str">
        <f>IFERROR(__xludf.DUMMYFUNCTION("""COMPUTED_VALUE"""),"")</f>
        <v/>
      </c>
      <c r="F2435" t="str">
        <f>IFERROR(__xludf.DUMMYFUNCTION("""COMPUTED_VALUE"""),"")</f>
        <v/>
      </c>
      <c r="G2435" t="str">
        <f>IFERROR(__xludf.DUMMYFUNCTION("""COMPUTED_VALUE"""),"")</f>
        <v/>
      </c>
      <c r="H2435" s="2" t="str">
        <f>IFERROR(__xludf.DUMMYFUNCTION("""COMPUTED_VALUE"""),"")</f>
        <v/>
      </c>
      <c r="I2435" s="2" t="str">
        <f>IFERROR(__xludf.DUMMYFUNCTION("""COMPUTED_VALUE"""),"")</f>
        <v/>
      </c>
      <c r="J2435" s="2">
        <f>IFERROR(__xludf.DUMMYFUNCTION("""COMPUTED_VALUE"""),0.0)</f>
        <v>0</v>
      </c>
      <c r="K2435" s="5" t="str">
        <f>IFERROR(__xludf.DUMMYFUNCTION("""COMPUTED_VALUE"""),"")</f>
        <v/>
      </c>
      <c r="L2435" t="str">
        <f>IFERROR(__xludf.DUMMYFUNCTION("""COMPUTED_VALUE"""),"")</f>
        <v/>
      </c>
      <c r="M2435" t="str">
        <f>IFERROR(__xludf.DUMMYFUNCTION("""COMPUTED_VALUE"""),"")</f>
        <v/>
      </c>
      <c r="N2435" t="str">
        <f>IFERROR(__xludf.DUMMYFUNCTION("""COMPUTED_VALUE"""),"")</f>
        <v/>
      </c>
      <c r="O2435" t="str">
        <f>IFERROR(__xludf.DUMMYFUNCTION("""COMPUTED_VALUE"""),"")</f>
        <v/>
      </c>
      <c r="P2435" t="str">
        <f>IFERROR(__xludf.DUMMYFUNCTION("""COMPUTED_VALUE"""),"ID ")</f>
        <v>ID </v>
      </c>
    </row>
    <row r="2436">
      <c r="A2436" s="6" t="str">
        <f>IFERROR(__xludf.DUMMYFUNCTION("""COMPUTED_VALUE"""),"")</f>
        <v/>
      </c>
      <c r="C2436" t="str">
        <f>IFERROR(__xludf.DUMMYFUNCTION("""COMPUTED_VALUE"""),"")</f>
        <v/>
      </c>
      <c r="D2436" t="str">
        <f>IFERROR(__xludf.DUMMYFUNCTION("""COMPUTED_VALUE"""),"")</f>
        <v/>
      </c>
      <c r="E2436" t="str">
        <f>IFERROR(__xludf.DUMMYFUNCTION("""COMPUTED_VALUE"""),"")</f>
        <v/>
      </c>
      <c r="F2436" t="str">
        <f>IFERROR(__xludf.DUMMYFUNCTION("""COMPUTED_VALUE"""),"")</f>
        <v/>
      </c>
      <c r="G2436" t="str">
        <f>IFERROR(__xludf.DUMMYFUNCTION("""COMPUTED_VALUE"""),"")</f>
        <v/>
      </c>
      <c r="H2436" s="2" t="str">
        <f>IFERROR(__xludf.DUMMYFUNCTION("""COMPUTED_VALUE"""),"")</f>
        <v/>
      </c>
      <c r="I2436" s="2" t="str">
        <f>IFERROR(__xludf.DUMMYFUNCTION("""COMPUTED_VALUE"""),"")</f>
        <v/>
      </c>
      <c r="J2436" s="2">
        <f>IFERROR(__xludf.DUMMYFUNCTION("""COMPUTED_VALUE"""),0.0)</f>
        <v>0</v>
      </c>
      <c r="K2436" s="5" t="str">
        <f>IFERROR(__xludf.DUMMYFUNCTION("""COMPUTED_VALUE"""),"")</f>
        <v/>
      </c>
      <c r="L2436" t="str">
        <f>IFERROR(__xludf.DUMMYFUNCTION("""COMPUTED_VALUE"""),"")</f>
        <v/>
      </c>
      <c r="M2436" t="str">
        <f>IFERROR(__xludf.DUMMYFUNCTION("""COMPUTED_VALUE"""),"")</f>
        <v/>
      </c>
      <c r="N2436" t="str">
        <f>IFERROR(__xludf.DUMMYFUNCTION("""COMPUTED_VALUE"""),"")</f>
        <v/>
      </c>
      <c r="O2436" t="str">
        <f>IFERROR(__xludf.DUMMYFUNCTION("""COMPUTED_VALUE"""),"")</f>
        <v/>
      </c>
      <c r="P2436" t="str">
        <f>IFERROR(__xludf.DUMMYFUNCTION("""COMPUTED_VALUE"""),"ID ")</f>
        <v>ID </v>
      </c>
    </row>
    <row r="2437">
      <c r="A2437" s="6" t="str">
        <f>IFERROR(__xludf.DUMMYFUNCTION("""COMPUTED_VALUE"""),"")</f>
        <v/>
      </c>
      <c r="C2437" t="str">
        <f>IFERROR(__xludf.DUMMYFUNCTION("""COMPUTED_VALUE"""),"")</f>
        <v/>
      </c>
      <c r="D2437" t="str">
        <f>IFERROR(__xludf.DUMMYFUNCTION("""COMPUTED_VALUE"""),"")</f>
        <v/>
      </c>
      <c r="E2437" t="str">
        <f>IFERROR(__xludf.DUMMYFUNCTION("""COMPUTED_VALUE"""),"")</f>
        <v/>
      </c>
      <c r="F2437" t="str">
        <f>IFERROR(__xludf.DUMMYFUNCTION("""COMPUTED_VALUE"""),"")</f>
        <v/>
      </c>
      <c r="G2437" t="str">
        <f>IFERROR(__xludf.DUMMYFUNCTION("""COMPUTED_VALUE"""),"")</f>
        <v/>
      </c>
      <c r="H2437" s="2" t="str">
        <f>IFERROR(__xludf.DUMMYFUNCTION("""COMPUTED_VALUE"""),"")</f>
        <v/>
      </c>
      <c r="I2437" s="2" t="str">
        <f>IFERROR(__xludf.DUMMYFUNCTION("""COMPUTED_VALUE"""),"")</f>
        <v/>
      </c>
      <c r="J2437" s="2">
        <f>IFERROR(__xludf.DUMMYFUNCTION("""COMPUTED_VALUE"""),0.0)</f>
        <v>0</v>
      </c>
      <c r="K2437" s="5" t="str">
        <f>IFERROR(__xludf.DUMMYFUNCTION("""COMPUTED_VALUE"""),"")</f>
        <v/>
      </c>
      <c r="L2437" t="str">
        <f>IFERROR(__xludf.DUMMYFUNCTION("""COMPUTED_VALUE"""),"")</f>
        <v/>
      </c>
      <c r="M2437" t="str">
        <f>IFERROR(__xludf.DUMMYFUNCTION("""COMPUTED_VALUE"""),"")</f>
        <v/>
      </c>
      <c r="N2437" t="str">
        <f>IFERROR(__xludf.DUMMYFUNCTION("""COMPUTED_VALUE"""),"")</f>
        <v/>
      </c>
      <c r="O2437" t="str">
        <f>IFERROR(__xludf.DUMMYFUNCTION("""COMPUTED_VALUE"""),"")</f>
        <v/>
      </c>
      <c r="P2437" t="str">
        <f>IFERROR(__xludf.DUMMYFUNCTION("""COMPUTED_VALUE"""),"ID ")</f>
        <v>ID </v>
      </c>
    </row>
    <row r="2438">
      <c r="A2438" s="6" t="str">
        <f>IFERROR(__xludf.DUMMYFUNCTION("""COMPUTED_VALUE"""),"")</f>
        <v/>
      </c>
      <c r="C2438" t="str">
        <f>IFERROR(__xludf.DUMMYFUNCTION("""COMPUTED_VALUE"""),"")</f>
        <v/>
      </c>
      <c r="D2438" t="str">
        <f>IFERROR(__xludf.DUMMYFUNCTION("""COMPUTED_VALUE"""),"")</f>
        <v/>
      </c>
      <c r="E2438" t="str">
        <f>IFERROR(__xludf.DUMMYFUNCTION("""COMPUTED_VALUE"""),"")</f>
        <v/>
      </c>
      <c r="F2438" t="str">
        <f>IFERROR(__xludf.DUMMYFUNCTION("""COMPUTED_VALUE"""),"")</f>
        <v/>
      </c>
      <c r="G2438" t="str">
        <f>IFERROR(__xludf.DUMMYFUNCTION("""COMPUTED_VALUE"""),"")</f>
        <v/>
      </c>
      <c r="H2438" s="2" t="str">
        <f>IFERROR(__xludf.DUMMYFUNCTION("""COMPUTED_VALUE"""),"")</f>
        <v/>
      </c>
      <c r="I2438" s="2" t="str">
        <f>IFERROR(__xludf.DUMMYFUNCTION("""COMPUTED_VALUE"""),"")</f>
        <v/>
      </c>
      <c r="J2438" s="2">
        <f>IFERROR(__xludf.DUMMYFUNCTION("""COMPUTED_VALUE"""),0.0)</f>
        <v>0</v>
      </c>
      <c r="K2438" s="5" t="str">
        <f>IFERROR(__xludf.DUMMYFUNCTION("""COMPUTED_VALUE"""),"")</f>
        <v/>
      </c>
      <c r="L2438" t="str">
        <f>IFERROR(__xludf.DUMMYFUNCTION("""COMPUTED_VALUE"""),"")</f>
        <v/>
      </c>
      <c r="M2438" t="str">
        <f>IFERROR(__xludf.DUMMYFUNCTION("""COMPUTED_VALUE"""),"")</f>
        <v/>
      </c>
      <c r="N2438" t="str">
        <f>IFERROR(__xludf.DUMMYFUNCTION("""COMPUTED_VALUE"""),"")</f>
        <v/>
      </c>
      <c r="O2438" t="str">
        <f>IFERROR(__xludf.DUMMYFUNCTION("""COMPUTED_VALUE"""),"")</f>
        <v/>
      </c>
      <c r="P2438" t="str">
        <f>IFERROR(__xludf.DUMMYFUNCTION("""COMPUTED_VALUE"""),"ID ")</f>
        <v>ID </v>
      </c>
    </row>
    <row r="2439">
      <c r="A2439" s="6" t="str">
        <f>IFERROR(__xludf.DUMMYFUNCTION("""COMPUTED_VALUE"""),"")</f>
        <v/>
      </c>
      <c r="C2439" t="str">
        <f>IFERROR(__xludf.DUMMYFUNCTION("""COMPUTED_VALUE"""),"")</f>
        <v/>
      </c>
      <c r="D2439" t="str">
        <f>IFERROR(__xludf.DUMMYFUNCTION("""COMPUTED_VALUE"""),"")</f>
        <v/>
      </c>
      <c r="E2439" t="str">
        <f>IFERROR(__xludf.DUMMYFUNCTION("""COMPUTED_VALUE"""),"")</f>
        <v/>
      </c>
      <c r="F2439" t="str">
        <f>IFERROR(__xludf.DUMMYFUNCTION("""COMPUTED_VALUE"""),"")</f>
        <v/>
      </c>
      <c r="G2439" t="str">
        <f>IFERROR(__xludf.DUMMYFUNCTION("""COMPUTED_VALUE"""),"")</f>
        <v/>
      </c>
      <c r="H2439" s="2" t="str">
        <f>IFERROR(__xludf.DUMMYFUNCTION("""COMPUTED_VALUE"""),"")</f>
        <v/>
      </c>
      <c r="I2439" s="2" t="str">
        <f>IFERROR(__xludf.DUMMYFUNCTION("""COMPUTED_VALUE"""),"")</f>
        <v/>
      </c>
      <c r="J2439" s="2">
        <f>IFERROR(__xludf.DUMMYFUNCTION("""COMPUTED_VALUE"""),0.0)</f>
        <v>0</v>
      </c>
      <c r="K2439" s="5" t="str">
        <f>IFERROR(__xludf.DUMMYFUNCTION("""COMPUTED_VALUE"""),"")</f>
        <v/>
      </c>
      <c r="L2439" t="str">
        <f>IFERROR(__xludf.DUMMYFUNCTION("""COMPUTED_VALUE"""),"")</f>
        <v/>
      </c>
      <c r="M2439" t="str">
        <f>IFERROR(__xludf.DUMMYFUNCTION("""COMPUTED_VALUE"""),"")</f>
        <v/>
      </c>
      <c r="N2439" t="str">
        <f>IFERROR(__xludf.DUMMYFUNCTION("""COMPUTED_VALUE"""),"")</f>
        <v/>
      </c>
      <c r="O2439" t="str">
        <f>IFERROR(__xludf.DUMMYFUNCTION("""COMPUTED_VALUE"""),"")</f>
        <v/>
      </c>
      <c r="P2439" t="str">
        <f>IFERROR(__xludf.DUMMYFUNCTION("""COMPUTED_VALUE"""),"ID ")</f>
        <v>ID </v>
      </c>
    </row>
    <row r="2440">
      <c r="A2440" s="6" t="str">
        <f>IFERROR(__xludf.DUMMYFUNCTION("""COMPUTED_VALUE"""),"")</f>
        <v/>
      </c>
      <c r="C2440" t="str">
        <f>IFERROR(__xludf.DUMMYFUNCTION("""COMPUTED_VALUE"""),"")</f>
        <v/>
      </c>
      <c r="D2440" t="str">
        <f>IFERROR(__xludf.DUMMYFUNCTION("""COMPUTED_VALUE"""),"")</f>
        <v/>
      </c>
      <c r="E2440" t="str">
        <f>IFERROR(__xludf.DUMMYFUNCTION("""COMPUTED_VALUE"""),"")</f>
        <v/>
      </c>
      <c r="F2440" t="str">
        <f>IFERROR(__xludf.DUMMYFUNCTION("""COMPUTED_VALUE"""),"")</f>
        <v/>
      </c>
      <c r="G2440" t="str">
        <f>IFERROR(__xludf.DUMMYFUNCTION("""COMPUTED_VALUE"""),"")</f>
        <v/>
      </c>
      <c r="H2440" s="2" t="str">
        <f>IFERROR(__xludf.DUMMYFUNCTION("""COMPUTED_VALUE"""),"")</f>
        <v/>
      </c>
      <c r="I2440" s="2" t="str">
        <f>IFERROR(__xludf.DUMMYFUNCTION("""COMPUTED_VALUE"""),"")</f>
        <v/>
      </c>
      <c r="J2440" s="2">
        <f>IFERROR(__xludf.DUMMYFUNCTION("""COMPUTED_VALUE"""),0.0)</f>
        <v>0</v>
      </c>
      <c r="K2440" s="5" t="str">
        <f>IFERROR(__xludf.DUMMYFUNCTION("""COMPUTED_VALUE"""),"")</f>
        <v/>
      </c>
      <c r="L2440" t="str">
        <f>IFERROR(__xludf.DUMMYFUNCTION("""COMPUTED_VALUE"""),"")</f>
        <v/>
      </c>
      <c r="M2440" t="str">
        <f>IFERROR(__xludf.DUMMYFUNCTION("""COMPUTED_VALUE"""),"")</f>
        <v/>
      </c>
      <c r="N2440" t="str">
        <f>IFERROR(__xludf.DUMMYFUNCTION("""COMPUTED_VALUE"""),"")</f>
        <v/>
      </c>
      <c r="O2440" t="str">
        <f>IFERROR(__xludf.DUMMYFUNCTION("""COMPUTED_VALUE"""),"")</f>
        <v/>
      </c>
      <c r="P2440" t="str">
        <f>IFERROR(__xludf.DUMMYFUNCTION("""COMPUTED_VALUE"""),"ID ")</f>
        <v>ID </v>
      </c>
    </row>
    <row r="2441">
      <c r="A2441" s="6" t="str">
        <f>IFERROR(__xludf.DUMMYFUNCTION("""COMPUTED_VALUE"""),"")</f>
        <v/>
      </c>
      <c r="C2441" t="str">
        <f>IFERROR(__xludf.DUMMYFUNCTION("""COMPUTED_VALUE"""),"")</f>
        <v/>
      </c>
      <c r="D2441" t="str">
        <f>IFERROR(__xludf.DUMMYFUNCTION("""COMPUTED_VALUE"""),"")</f>
        <v/>
      </c>
      <c r="E2441" t="str">
        <f>IFERROR(__xludf.DUMMYFUNCTION("""COMPUTED_VALUE"""),"")</f>
        <v/>
      </c>
      <c r="F2441" t="str">
        <f>IFERROR(__xludf.DUMMYFUNCTION("""COMPUTED_VALUE"""),"")</f>
        <v/>
      </c>
      <c r="G2441" t="str">
        <f>IFERROR(__xludf.DUMMYFUNCTION("""COMPUTED_VALUE"""),"")</f>
        <v/>
      </c>
      <c r="H2441" s="2" t="str">
        <f>IFERROR(__xludf.DUMMYFUNCTION("""COMPUTED_VALUE"""),"")</f>
        <v/>
      </c>
      <c r="I2441" s="2" t="str">
        <f>IFERROR(__xludf.DUMMYFUNCTION("""COMPUTED_VALUE"""),"")</f>
        <v/>
      </c>
      <c r="J2441" s="2">
        <f>IFERROR(__xludf.DUMMYFUNCTION("""COMPUTED_VALUE"""),0.0)</f>
        <v>0</v>
      </c>
      <c r="K2441" s="5" t="str">
        <f>IFERROR(__xludf.DUMMYFUNCTION("""COMPUTED_VALUE"""),"")</f>
        <v/>
      </c>
      <c r="L2441" t="str">
        <f>IFERROR(__xludf.DUMMYFUNCTION("""COMPUTED_VALUE"""),"")</f>
        <v/>
      </c>
      <c r="M2441" t="str">
        <f>IFERROR(__xludf.DUMMYFUNCTION("""COMPUTED_VALUE"""),"")</f>
        <v/>
      </c>
      <c r="N2441" t="str">
        <f>IFERROR(__xludf.DUMMYFUNCTION("""COMPUTED_VALUE"""),"")</f>
        <v/>
      </c>
      <c r="O2441" t="str">
        <f>IFERROR(__xludf.DUMMYFUNCTION("""COMPUTED_VALUE"""),"")</f>
        <v/>
      </c>
      <c r="P2441" t="str">
        <f>IFERROR(__xludf.DUMMYFUNCTION("""COMPUTED_VALUE"""),"ID ")</f>
        <v>ID </v>
      </c>
    </row>
    <row r="2442">
      <c r="A2442" s="6" t="str">
        <f>IFERROR(__xludf.DUMMYFUNCTION("""COMPUTED_VALUE"""),"")</f>
        <v/>
      </c>
      <c r="C2442" t="str">
        <f>IFERROR(__xludf.DUMMYFUNCTION("""COMPUTED_VALUE"""),"")</f>
        <v/>
      </c>
      <c r="D2442" t="str">
        <f>IFERROR(__xludf.DUMMYFUNCTION("""COMPUTED_VALUE"""),"")</f>
        <v/>
      </c>
      <c r="E2442" t="str">
        <f>IFERROR(__xludf.DUMMYFUNCTION("""COMPUTED_VALUE"""),"")</f>
        <v/>
      </c>
      <c r="F2442" t="str">
        <f>IFERROR(__xludf.DUMMYFUNCTION("""COMPUTED_VALUE"""),"")</f>
        <v/>
      </c>
      <c r="G2442" t="str">
        <f>IFERROR(__xludf.DUMMYFUNCTION("""COMPUTED_VALUE"""),"")</f>
        <v/>
      </c>
      <c r="H2442" s="2" t="str">
        <f>IFERROR(__xludf.DUMMYFUNCTION("""COMPUTED_VALUE"""),"")</f>
        <v/>
      </c>
      <c r="I2442" s="2" t="str">
        <f>IFERROR(__xludf.DUMMYFUNCTION("""COMPUTED_VALUE"""),"")</f>
        <v/>
      </c>
      <c r="J2442" s="2">
        <f>IFERROR(__xludf.DUMMYFUNCTION("""COMPUTED_VALUE"""),0.0)</f>
        <v>0</v>
      </c>
      <c r="K2442" s="5" t="str">
        <f>IFERROR(__xludf.DUMMYFUNCTION("""COMPUTED_VALUE"""),"")</f>
        <v/>
      </c>
      <c r="L2442" t="str">
        <f>IFERROR(__xludf.DUMMYFUNCTION("""COMPUTED_VALUE"""),"")</f>
        <v/>
      </c>
      <c r="M2442" t="str">
        <f>IFERROR(__xludf.DUMMYFUNCTION("""COMPUTED_VALUE"""),"")</f>
        <v/>
      </c>
      <c r="N2442" t="str">
        <f>IFERROR(__xludf.DUMMYFUNCTION("""COMPUTED_VALUE"""),"")</f>
        <v/>
      </c>
      <c r="O2442" t="str">
        <f>IFERROR(__xludf.DUMMYFUNCTION("""COMPUTED_VALUE"""),"")</f>
        <v/>
      </c>
      <c r="P2442" t="str">
        <f>IFERROR(__xludf.DUMMYFUNCTION("""COMPUTED_VALUE"""),"ID ")</f>
        <v>ID </v>
      </c>
    </row>
    <row r="2443">
      <c r="A2443" s="6" t="str">
        <f>IFERROR(__xludf.DUMMYFUNCTION("""COMPUTED_VALUE"""),"")</f>
        <v/>
      </c>
      <c r="C2443" t="str">
        <f>IFERROR(__xludf.DUMMYFUNCTION("""COMPUTED_VALUE"""),"")</f>
        <v/>
      </c>
      <c r="D2443" t="str">
        <f>IFERROR(__xludf.DUMMYFUNCTION("""COMPUTED_VALUE"""),"")</f>
        <v/>
      </c>
      <c r="E2443" t="str">
        <f>IFERROR(__xludf.DUMMYFUNCTION("""COMPUTED_VALUE"""),"")</f>
        <v/>
      </c>
      <c r="F2443" t="str">
        <f>IFERROR(__xludf.DUMMYFUNCTION("""COMPUTED_VALUE"""),"")</f>
        <v/>
      </c>
      <c r="G2443" t="str">
        <f>IFERROR(__xludf.DUMMYFUNCTION("""COMPUTED_VALUE"""),"")</f>
        <v/>
      </c>
      <c r="H2443" s="2" t="str">
        <f>IFERROR(__xludf.DUMMYFUNCTION("""COMPUTED_VALUE"""),"")</f>
        <v/>
      </c>
      <c r="I2443" s="2" t="str">
        <f>IFERROR(__xludf.DUMMYFUNCTION("""COMPUTED_VALUE"""),"")</f>
        <v/>
      </c>
      <c r="J2443" s="2">
        <f>IFERROR(__xludf.DUMMYFUNCTION("""COMPUTED_VALUE"""),0.0)</f>
        <v>0</v>
      </c>
      <c r="K2443" s="5" t="str">
        <f>IFERROR(__xludf.DUMMYFUNCTION("""COMPUTED_VALUE"""),"")</f>
        <v/>
      </c>
      <c r="L2443" t="str">
        <f>IFERROR(__xludf.DUMMYFUNCTION("""COMPUTED_VALUE"""),"")</f>
        <v/>
      </c>
      <c r="M2443" t="str">
        <f>IFERROR(__xludf.DUMMYFUNCTION("""COMPUTED_VALUE"""),"")</f>
        <v/>
      </c>
      <c r="N2443" t="str">
        <f>IFERROR(__xludf.DUMMYFUNCTION("""COMPUTED_VALUE"""),"")</f>
        <v/>
      </c>
      <c r="O2443" t="str">
        <f>IFERROR(__xludf.DUMMYFUNCTION("""COMPUTED_VALUE"""),"")</f>
        <v/>
      </c>
      <c r="P2443" t="str">
        <f>IFERROR(__xludf.DUMMYFUNCTION("""COMPUTED_VALUE"""),"ID ")</f>
        <v>ID </v>
      </c>
    </row>
    <row r="2444">
      <c r="A2444" s="6" t="str">
        <f>IFERROR(__xludf.DUMMYFUNCTION("""COMPUTED_VALUE"""),"")</f>
        <v/>
      </c>
      <c r="C2444" t="str">
        <f>IFERROR(__xludf.DUMMYFUNCTION("""COMPUTED_VALUE"""),"")</f>
        <v/>
      </c>
      <c r="D2444" t="str">
        <f>IFERROR(__xludf.DUMMYFUNCTION("""COMPUTED_VALUE"""),"")</f>
        <v/>
      </c>
      <c r="E2444" t="str">
        <f>IFERROR(__xludf.DUMMYFUNCTION("""COMPUTED_VALUE"""),"")</f>
        <v/>
      </c>
      <c r="F2444" t="str">
        <f>IFERROR(__xludf.DUMMYFUNCTION("""COMPUTED_VALUE"""),"")</f>
        <v/>
      </c>
      <c r="G2444" t="str">
        <f>IFERROR(__xludf.DUMMYFUNCTION("""COMPUTED_VALUE"""),"")</f>
        <v/>
      </c>
      <c r="H2444" s="2" t="str">
        <f>IFERROR(__xludf.DUMMYFUNCTION("""COMPUTED_VALUE"""),"")</f>
        <v/>
      </c>
      <c r="I2444" s="2" t="str">
        <f>IFERROR(__xludf.DUMMYFUNCTION("""COMPUTED_VALUE"""),"")</f>
        <v/>
      </c>
      <c r="J2444" s="2">
        <f>IFERROR(__xludf.DUMMYFUNCTION("""COMPUTED_VALUE"""),0.0)</f>
        <v>0</v>
      </c>
      <c r="K2444" s="5" t="str">
        <f>IFERROR(__xludf.DUMMYFUNCTION("""COMPUTED_VALUE"""),"")</f>
        <v/>
      </c>
      <c r="L2444" t="str">
        <f>IFERROR(__xludf.DUMMYFUNCTION("""COMPUTED_VALUE"""),"")</f>
        <v/>
      </c>
      <c r="M2444" t="str">
        <f>IFERROR(__xludf.DUMMYFUNCTION("""COMPUTED_VALUE"""),"")</f>
        <v/>
      </c>
      <c r="N2444" t="str">
        <f>IFERROR(__xludf.DUMMYFUNCTION("""COMPUTED_VALUE"""),"")</f>
        <v/>
      </c>
      <c r="O2444" t="str">
        <f>IFERROR(__xludf.DUMMYFUNCTION("""COMPUTED_VALUE"""),"")</f>
        <v/>
      </c>
      <c r="P2444" t="str">
        <f>IFERROR(__xludf.DUMMYFUNCTION("""COMPUTED_VALUE"""),"ID ")</f>
        <v>ID </v>
      </c>
    </row>
    <row r="2445">
      <c r="A2445" s="6" t="str">
        <f>IFERROR(__xludf.DUMMYFUNCTION("""COMPUTED_VALUE"""),"")</f>
        <v/>
      </c>
      <c r="C2445" t="str">
        <f>IFERROR(__xludf.DUMMYFUNCTION("""COMPUTED_VALUE"""),"")</f>
        <v/>
      </c>
      <c r="D2445" t="str">
        <f>IFERROR(__xludf.DUMMYFUNCTION("""COMPUTED_VALUE"""),"")</f>
        <v/>
      </c>
      <c r="E2445" t="str">
        <f>IFERROR(__xludf.DUMMYFUNCTION("""COMPUTED_VALUE"""),"")</f>
        <v/>
      </c>
      <c r="F2445" t="str">
        <f>IFERROR(__xludf.DUMMYFUNCTION("""COMPUTED_VALUE"""),"")</f>
        <v/>
      </c>
      <c r="G2445" t="str">
        <f>IFERROR(__xludf.DUMMYFUNCTION("""COMPUTED_VALUE"""),"")</f>
        <v/>
      </c>
      <c r="H2445" s="2" t="str">
        <f>IFERROR(__xludf.DUMMYFUNCTION("""COMPUTED_VALUE"""),"")</f>
        <v/>
      </c>
      <c r="I2445" s="2" t="str">
        <f>IFERROR(__xludf.DUMMYFUNCTION("""COMPUTED_VALUE"""),"")</f>
        <v/>
      </c>
      <c r="J2445" s="2">
        <f>IFERROR(__xludf.DUMMYFUNCTION("""COMPUTED_VALUE"""),0.0)</f>
        <v>0</v>
      </c>
      <c r="K2445" s="5" t="str">
        <f>IFERROR(__xludf.DUMMYFUNCTION("""COMPUTED_VALUE"""),"")</f>
        <v/>
      </c>
      <c r="L2445" t="str">
        <f>IFERROR(__xludf.DUMMYFUNCTION("""COMPUTED_VALUE"""),"")</f>
        <v/>
      </c>
      <c r="M2445" t="str">
        <f>IFERROR(__xludf.DUMMYFUNCTION("""COMPUTED_VALUE"""),"")</f>
        <v/>
      </c>
      <c r="N2445" t="str">
        <f>IFERROR(__xludf.DUMMYFUNCTION("""COMPUTED_VALUE"""),"")</f>
        <v/>
      </c>
      <c r="O2445" t="str">
        <f>IFERROR(__xludf.DUMMYFUNCTION("""COMPUTED_VALUE"""),"")</f>
        <v/>
      </c>
      <c r="P2445" t="str">
        <f>IFERROR(__xludf.DUMMYFUNCTION("""COMPUTED_VALUE"""),"ID ")</f>
        <v>ID </v>
      </c>
    </row>
    <row r="2446">
      <c r="A2446" s="6" t="str">
        <f>IFERROR(__xludf.DUMMYFUNCTION("""COMPUTED_VALUE"""),"")</f>
        <v/>
      </c>
      <c r="C2446" t="str">
        <f>IFERROR(__xludf.DUMMYFUNCTION("""COMPUTED_VALUE"""),"")</f>
        <v/>
      </c>
      <c r="D2446" t="str">
        <f>IFERROR(__xludf.DUMMYFUNCTION("""COMPUTED_VALUE"""),"")</f>
        <v/>
      </c>
      <c r="E2446" t="str">
        <f>IFERROR(__xludf.DUMMYFUNCTION("""COMPUTED_VALUE"""),"")</f>
        <v/>
      </c>
      <c r="F2446" t="str">
        <f>IFERROR(__xludf.DUMMYFUNCTION("""COMPUTED_VALUE"""),"")</f>
        <v/>
      </c>
      <c r="G2446" t="str">
        <f>IFERROR(__xludf.DUMMYFUNCTION("""COMPUTED_VALUE"""),"")</f>
        <v/>
      </c>
      <c r="H2446" s="2" t="str">
        <f>IFERROR(__xludf.DUMMYFUNCTION("""COMPUTED_VALUE"""),"")</f>
        <v/>
      </c>
      <c r="I2446" s="2" t="str">
        <f>IFERROR(__xludf.DUMMYFUNCTION("""COMPUTED_VALUE"""),"")</f>
        <v/>
      </c>
      <c r="J2446" s="2">
        <f>IFERROR(__xludf.DUMMYFUNCTION("""COMPUTED_VALUE"""),0.0)</f>
        <v>0</v>
      </c>
      <c r="K2446" s="5" t="str">
        <f>IFERROR(__xludf.DUMMYFUNCTION("""COMPUTED_VALUE"""),"")</f>
        <v/>
      </c>
      <c r="L2446" t="str">
        <f>IFERROR(__xludf.DUMMYFUNCTION("""COMPUTED_VALUE"""),"")</f>
        <v/>
      </c>
      <c r="M2446" t="str">
        <f>IFERROR(__xludf.DUMMYFUNCTION("""COMPUTED_VALUE"""),"")</f>
        <v/>
      </c>
      <c r="N2446" t="str">
        <f>IFERROR(__xludf.DUMMYFUNCTION("""COMPUTED_VALUE"""),"")</f>
        <v/>
      </c>
      <c r="O2446" t="str">
        <f>IFERROR(__xludf.DUMMYFUNCTION("""COMPUTED_VALUE"""),"")</f>
        <v/>
      </c>
      <c r="P2446" t="str">
        <f>IFERROR(__xludf.DUMMYFUNCTION("""COMPUTED_VALUE"""),"ID ")</f>
        <v>ID </v>
      </c>
    </row>
    <row r="2447">
      <c r="A2447" s="6" t="str">
        <f>IFERROR(__xludf.DUMMYFUNCTION("""COMPUTED_VALUE"""),"")</f>
        <v/>
      </c>
      <c r="C2447" t="str">
        <f>IFERROR(__xludf.DUMMYFUNCTION("""COMPUTED_VALUE"""),"")</f>
        <v/>
      </c>
      <c r="D2447" t="str">
        <f>IFERROR(__xludf.DUMMYFUNCTION("""COMPUTED_VALUE"""),"")</f>
        <v/>
      </c>
      <c r="E2447" t="str">
        <f>IFERROR(__xludf.DUMMYFUNCTION("""COMPUTED_VALUE"""),"")</f>
        <v/>
      </c>
      <c r="F2447" t="str">
        <f>IFERROR(__xludf.DUMMYFUNCTION("""COMPUTED_VALUE"""),"")</f>
        <v/>
      </c>
      <c r="G2447" t="str">
        <f>IFERROR(__xludf.DUMMYFUNCTION("""COMPUTED_VALUE"""),"")</f>
        <v/>
      </c>
      <c r="H2447" s="2" t="str">
        <f>IFERROR(__xludf.DUMMYFUNCTION("""COMPUTED_VALUE"""),"")</f>
        <v/>
      </c>
      <c r="I2447" s="2" t="str">
        <f>IFERROR(__xludf.DUMMYFUNCTION("""COMPUTED_VALUE"""),"")</f>
        <v/>
      </c>
      <c r="J2447" s="2">
        <f>IFERROR(__xludf.DUMMYFUNCTION("""COMPUTED_VALUE"""),0.0)</f>
        <v>0</v>
      </c>
      <c r="K2447" s="5" t="str">
        <f>IFERROR(__xludf.DUMMYFUNCTION("""COMPUTED_VALUE"""),"")</f>
        <v/>
      </c>
      <c r="L2447" t="str">
        <f>IFERROR(__xludf.DUMMYFUNCTION("""COMPUTED_VALUE"""),"")</f>
        <v/>
      </c>
      <c r="M2447" t="str">
        <f>IFERROR(__xludf.DUMMYFUNCTION("""COMPUTED_VALUE"""),"")</f>
        <v/>
      </c>
      <c r="N2447" t="str">
        <f>IFERROR(__xludf.DUMMYFUNCTION("""COMPUTED_VALUE"""),"")</f>
        <v/>
      </c>
      <c r="O2447" t="str">
        <f>IFERROR(__xludf.DUMMYFUNCTION("""COMPUTED_VALUE"""),"")</f>
        <v/>
      </c>
      <c r="P2447" t="str">
        <f>IFERROR(__xludf.DUMMYFUNCTION("""COMPUTED_VALUE"""),"ID ")</f>
        <v>ID </v>
      </c>
    </row>
    <row r="2448">
      <c r="A2448" s="6" t="str">
        <f>IFERROR(__xludf.DUMMYFUNCTION("""COMPUTED_VALUE"""),"")</f>
        <v/>
      </c>
      <c r="C2448" t="str">
        <f>IFERROR(__xludf.DUMMYFUNCTION("""COMPUTED_VALUE"""),"")</f>
        <v/>
      </c>
      <c r="D2448" t="str">
        <f>IFERROR(__xludf.DUMMYFUNCTION("""COMPUTED_VALUE"""),"")</f>
        <v/>
      </c>
      <c r="E2448" t="str">
        <f>IFERROR(__xludf.DUMMYFUNCTION("""COMPUTED_VALUE"""),"")</f>
        <v/>
      </c>
      <c r="F2448" t="str">
        <f>IFERROR(__xludf.DUMMYFUNCTION("""COMPUTED_VALUE"""),"")</f>
        <v/>
      </c>
      <c r="G2448" t="str">
        <f>IFERROR(__xludf.DUMMYFUNCTION("""COMPUTED_VALUE"""),"")</f>
        <v/>
      </c>
      <c r="H2448" s="2" t="str">
        <f>IFERROR(__xludf.DUMMYFUNCTION("""COMPUTED_VALUE"""),"")</f>
        <v/>
      </c>
      <c r="I2448" s="2" t="str">
        <f>IFERROR(__xludf.DUMMYFUNCTION("""COMPUTED_VALUE"""),"")</f>
        <v/>
      </c>
      <c r="J2448" s="2">
        <f>IFERROR(__xludf.DUMMYFUNCTION("""COMPUTED_VALUE"""),0.0)</f>
        <v>0</v>
      </c>
      <c r="K2448" s="5" t="str">
        <f>IFERROR(__xludf.DUMMYFUNCTION("""COMPUTED_VALUE"""),"")</f>
        <v/>
      </c>
      <c r="L2448" t="str">
        <f>IFERROR(__xludf.DUMMYFUNCTION("""COMPUTED_VALUE"""),"")</f>
        <v/>
      </c>
      <c r="M2448" t="str">
        <f>IFERROR(__xludf.DUMMYFUNCTION("""COMPUTED_VALUE"""),"")</f>
        <v/>
      </c>
      <c r="N2448" t="str">
        <f>IFERROR(__xludf.DUMMYFUNCTION("""COMPUTED_VALUE"""),"")</f>
        <v/>
      </c>
      <c r="O2448" t="str">
        <f>IFERROR(__xludf.DUMMYFUNCTION("""COMPUTED_VALUE"""),"")</f>
        <v/>
      </c>
      <c r="P2448" t="str">
        <f>IFERROR(__xludf.DUMMYFUNCTION("""COMPUTED_VALUE"""),"ID ")</f>
        <v>ID </v>
      </c>
    </row>
    <row r="2449">
      <c r="A2449" s="6" t="str">
        <f>IFERROR(__xludf.DUMMYFUNCTION("""COMPUTED_VALUE"""),"")</f>
        <v/>
      </c>
      <c r="C2449" t="str">
        <f>IFERROR(__xludf.DUMMYFUNCTION("""COMPUTED_VALUE"""),"")</f>
        <v/>
      </c>
      <c r="D2449" t="str">
        <f>IFERROR(__xludf.DUMMYFUNCTION("""COMPUTED_VALUE"""),"")</f>
        <v/>
      </c>
      <c r="E2449" t="str">
        <f>IFERROR(__xludf.DUMMYFUNCTION("""COMPUTED_VALUE"""),"")</f>
        <v/>
      </c>
      <c r="F2449" t="str">
        <f>IFERROR(__xludf.DUMMYFUNCTION("""COMPUTED_VALUE"""),"")</f>
        <v/>
      </c>
      <c r="G2449" t="str">
        <f>IFERROR(__xludf.DUMMYFUNCTION("""COMPUTED_VALUE"""),"")</f>
        <v/>
      </c>
      <c r="H2449" s="2" t="str">
        <f>IFERROR(__xludf.DUMMYFUNCTION("""COMPUTED_VALUE"""),"")</f>
        <v/>
      </c>
      <c r="I2449" s="2" t="str">
        <f>IFERROR(__xludf.DUMMYFUNCTION("""COMPUTED_VALUE"""),"")</f>
        <v/>
      </c>
      <c r="J2449" s="2">
        <f>IFERROR(__xludf.DUMMYFUNCTION("""COMPUTED_VALUE"""),0.0)</f>
        <v>0</v>
      </c>
      <c r="K2449" s="5" t="str">
        <f>IFERROR(__xludf.DUMMYFUNCTION("""COMPUTED_VALUE"""),"")</f>
        <v/>
      </c>
      <c r="L2449" t="str">
        <f>IFERROR(__xludf.DUMMYFUNCTION("""COMPUTED_VALUE"""),"")</f>
        <v/>
      </c>
      <c r="M2449" t="str">
        <f>IFERROR(__xludf.DUMMYFUNCTION("""COMPUTED_VALUE"""),"")</f>
        <v/>
      </c>
      <c r="N2449" t="str">
        <f>IFERROR(__xludf.DUMMYFUNCTION("""COMPUTED_VALUE"""),"")</f>
        <v/>
      </c>
      <c r="O2449" t="str">
        <f>IFERROR(__xludf.DUMMYFUNCTION("""COMPUTED_VALUE"""),"")</f>
        <v/>
      </c>
      <c r="P2449" t="str">
        <f>IFERROR(__xludf.DUMMYFUNCTION("""COMPUTED_VALUE"""),"ID ")</f>
        <v>ID </v>
      </c>
    </row>
    <row r="2450">
      <c r="A2450" s="6" t="str">
        <f>IFERROR(__xludf.DUMMYFUNCTION("""COMPUTED_VALUE"""),"")</f>
        <v/>
      </c>
      <c r="C2450" t="str">
        <f>IFERROR(__xludf.DUMMYFUNCTION("""COMPUTED_VALUE"""),"")</f>
        <v/>
      </c>
      <c r="D2450" t="str">
        <f>IFERROR(__xludf.DUMMYFUNCTION("""COMPUTED_VALUE"""),"")</f>
        <v/>
      </c>
      <c r="E2450" t="str">
        <f>IFERROR(__xludf.DUMMYFUNCTION("""COMPUTED_VALUE"""),"")</f>
        <v/>
      </c>
      <c r="F2450" t="str">
        <f>IFERROR(__xludf.DUMMYFUNCTION("""COMPUTED_VALUE"""),"")</f>
        <v/>
      </c>
      <c r="G2450" t="str">
        <f>IFERROR(__xludf.DUMMYFUNCTION("""COMPUTED_VALUE"""),"")</f>
        <v/>
      </c>
      <c r="H2450" s="2" t="str">
        <f>IFERROR(__xludf.DUMMYFUNCTION("""COMPUTED_VALUE"""),"")</f>
        <v/>
      </c>
      <c r="I2450" s="2" t="str">
        <f>IFERROR(__xludf.DUMMYFUNCTION("""COMPUTED_VALUE"""),"")</f>
        <v/>
      </c>
      <c r="J2450" s="2">
        <f>IFERROR(__xludf.DUMMYFUNCTION("""COMPUTED_VALUE"""),0.0)</f>
        <v>0</v>
      </c>
      <c r="K2450" s="5" t="str">
        <f>IFERROR(__xludf.DUMMYFUNCTION("""COMPUTED_VALUE"""),"")</f>
        <v/>
      </c>
      <c r="L2450" t="str">
        <f>IFERROR(__xludf.DUMMYFUNCTION("""COMPUTED_VALUE"""),"")</f>
        <v/>
      </c>
      <c r="M2450" t="str">
        <f>IFERROR(__xludf.DUMMYFUNCTION("""COMPUTED_VALUE"""),"")</f>
        <v/>
      </c>
      <c r="N2450" t="str">
        <f>IFERROR(__xludf.DUMMYFUNCTION("""COMPUTED_VALUE"""),"")</f>
        <v/>
      </c>
      <c r="O2450" t="str">
        <f>IFERROR(__xludf.DUMMYFUNCTION("""COMPUTED_VALUE"""),"")</f>
        <v/>
      </c>
      <c r="P2450" t="str">
        <f>IFERROR(__xludf.DUMMYFUNCTION("""COMPUTED_VALUE"""),"ID ")</f>
        <v>ID </v>
      </c>
    </row>
    <row r="2451">
      <c r="A2451" s="6" t="str">
        <f>IFERROR(__xludf.DUMMYFUNCTION("""COMPUTED_VALUE"""),"")</f>
        <v/>
      </c>
      <c r="C2451" t="str">
        <f>IFERROR(__xludf.DUMMYFUNCTION("""COMPUTED_VALUE"""),"")</f>
        <v/>
      </c>
      <c r="D2451" t="str">
        <f>IFERROR(__xludf.DUMMYFUNCTION("""COMPUTED_VALUE"""),"")</f>
        <v/>
      </c>
      <c r="E2451" t="str">
        <f>IFERROR(__xludf.DUMMYFUNCTION("""COMPUTED_VALUE"""),"")</f>
        <v/>
      </c>
      <c r="F2451" t="str">
        <f>IFERROR(__xludf.DUMMYFUNCTION("""COMPUTED_VALUE"""),"")</f>
        <v/>
      </c>
      <c r="G2451" t="str">
        <f>IFERROR(__xludf.DUMMYFUNCTION("""COMPUTED_VALUE"""),"")</f>
        <v/>
      </c>
      <c r="H2451" s="2" t="str">
        <f>IFERROR(__xludf.DUMMYFUNCTION("""COMPUTED_VALUE"""),"")</f>
        <v/>
      </c>
      <c r="I2451" s="2" t="str">
        <f>IFERROR(__xludf.DUMMYFUNCTION("""COMPUTED_VALUE"""),"")</f>
        <v/>
      </c>
      <c r="J2451" s="2">
        <f>IFERROR(__xludf.DUMMYFUNCTION("""COMPUTED_VALUE"""),0.0)</f>
        <v>0</v>
      </c>
      <c r="K2451" s="5" t="str">
        <f>IFERROR(__xludf.DUMMYFUNCTION("""COMPUTED_VALUE"""),"")</f>
        <v/>
      </c>
      <c r="L2451" t="str">
        <f>IFERROR(__xludf.DUMMYFUNCTION("""COMPUTED_VALUE"""),"")</f>
        <v/>
      </c>
      <c r="M2451" t="str">
        <f>IFERROR(__xludf.DUMMYFUNCTION("""COMPUTED_VALUE"""),"")</f>
        <v/>
      </c>
      <c r="N2451" t="str">
        <f>IFERROR(__xludf.DUMMYFUNCTION("""COMPUTED_VALUE"""),"")</f>
        <v/>
      </c>
      <c r="O2451" t="str">
        <f>IFERROR(__xludf.DUMMYFUNCTION("""COMPUTED_VALUE"""),"")</f>
        <v/>
      </c>
      <c r="P2451" t="str">
        <f>IFERROR(__xludf.DUMMYFUNCTION("""COMPUTED_VALUE"""),"ID ")</f>
        <v>ID </v>
      </c>
    </row>
    <row r="2452">
      <c r="A2452" s="6" t="str">
        <f>IFERROR(__xludf.DUMMYFUNCTION("""COMPUTED_VALUE"""),"")</f>
        <v/>
      </c>
      <c r="C2452" t="str">
        <f>IFERROR(__xludf.DUMMYFUNCTION("""COMPUTED_VALUE"""),"")</f>
        <v/>
      </c>
      <c r="D2452" t="str">
        <f>IFERROR(__xludf.DUMMYFUNCTION("""COMPUTED_VALUE"""),"")</f>
        <v/>
      </c>
      <c r="E2452" t="str">
        <f>IFERROR(__xludf.DUMMYFUNCTION("""COMPUTED_VALUE"""),"")</f>
        <v/>
      </c>
      <c r="F2452" t="str">
        <f>IFERROR(__xludf.DUMMYFUNCTION("""COMPUTED_VALUE"""),"")</f>
        <v/>
      </c>
      <c r="G2452" t="str">
        <f>IFERROR(__xludf.DUMMYFUNCTION("""COMPUTED_VALUE"""),"")</f>
        <v/>
      </c>
      <c r="H2452" s="2" t="str">
        <f>IFERROR(__xludf.DUMMYFUNCTION("""COMPUTED_VALUE"""),"")</f>
        <v/>
      </c>
      <c r="I2452" s="2" t="str">
        <f>IFERROR(__xludf.DUMMYFUNCTION("""COMPUTED_VALUE"""),"")</f>
        <v/>
      </c>
      <c r="J2452" s="2">
        <f>IFERROR(__xludf.DUMMYFUNCTION("""COMPUTED_VALUE"""),0.0)</f>
        <v>0</v>
      </c>
      <c r="K2452" s="5" t="str">
        <f>IFERROR(__xludf.DUMMYFUNCTION("""COMPUTED_VALUE"""),"")</f>
        <v/>
      </c>
      <c r="L2452" t="str">
        <f>IFERROR(__xludf.DUMMYFUNCTION("""COMPUTED_VALUE"""),"")</f>
        <v/>
      </c>
      <c r="M2452" t="str">
        <f>IFERROR(__xludf.DUMMYFUNCTION("""COMPUTED_VALUE"""),"")</f>
        <v/>
      </c>
      <c r="N2452" t="str">
        <f>IFERROR(__xludf.DUMMYFUNCTION("""COMPUTED_VALUE"""),"")</f>
        <v/>
      </c>
      <c r="O2452" t="str">
        <f>IFERROR(__xludf.DUMMYFUNCTION("""COMPUTED_VALUE"""),"")</f>
        <v/>
      </c>
      <c r="P2452" t="str">
        <f>IFERROR(__xludf.DUMMYFUNCTION("""COMPUTED_VALUE"""),"ID ")</f>
        <v>ID </v>
      </c>
    </row>
    <row r="2453">
      <c r="A2453" s="6" t="str">
        <f>IFERROR(__xludf.DUMMYFUNCTION("""COMPUTED_VALUE"""),"")</f>
        <v/>
      </c>
      <c r="C2453" t="str">
        <f>IFERROR(__xludf.DUMMYFUNCTION("""COMPUTED_VALUE"""),"")</f>
        <v/>
      </c>
      <c r="D2453" t="str">
        <f>IFERROR(__xludf.DUMMYFUNCTION("""COMPUTED_VALUE"""),"")</f>
        <v/>
      </c>
      <c r="E2453" t="str">
        <f>IFERROR(__xludf.DUMMYFUNCTION("""COMPUTED_VALUE"""),"")</f>
        <v/>
      </c>
      <c r="F2453" t="str">
        <f>IFERROR(__xludf.DUMMYFUNCTION("""COMPUTED_VALUE"""),"")</f>
        <v/>
      </c>
      <c r="G2453" t="str">
        <f>IFERROR(__xludf.DUMMYFUNCTION("""COMPUTED_VALUE"""),"")</f>
        <v/>
      </c>
      <c r="H2453" s="2" t="str">
        <f>IFERROR(__xludf.DUMMYFUNCTION("""COMPUTED_VALUE"""),"")</f>
        <v/>
      </c>
      <c r="I2453" s="2" t="str">
        <f>IFERROR(__xludf.DUMMYFUNCTION("""COMPUTED_VALUE"""),"")</f>
        <v/>
      </c>
      <c r="J2453" s="2">
        <f>IFERROR(__xludf.DUMMYFUNCTION("""COMPUTED_VALUE"""),0.0)</f>
        <v>0</v>
      </c>
      <c r="K2453" s="5" t="str">
        <f>IFERROR(__xludf.DUMMYFUNCTION("""COMPUTED_VALUE"""),"")</f>
        <v/>
      </c>
      <c r="L2453" t="str">
        <f>IFERROR(__xludf.DUMMYFUNCTION("""COMPUTED_VALUE"""),"")</f>
        <v/>
      </c>
      <c r="M2453" t="str">
        <f>IFERROR(__xludf.DUMMYFUNCTION("""COMPUTED_VALUE"""),"")</f>
        <v/>
      </c>
      <c r="N2453" t="str">
        <f>IFERROR(__xludf.DUMMYFUNCTION("""COMPUTED_VALUE"""),"")</f>
        <v/>
      </c>
      <c r="O2453" t="str">
        <f>IFERROR(__xludf.DUMMYFUNCTION("""COMPUTED_VALUE"""),"")</f>
        <v/>
      </c>
      <c r="P2453" t="str">
        <f>IFERROR(__xludf.DUMMYFUNCTION("""COMPUTED_VALUE"""),"ID ")</f>
        <v>ID </v>
      </c>
    </row>
    <row r="2454">
      <c r="A2454" s="6" t="str">
        <f>IFERROR(__xludf.DUMMYFUNCTION("""COMPUTED_VALUE"""),"")</f>
        <v/>
      </c>
      <c r="C2454" t="str">
        <f>IFERROR(__xludf.DUMMYFUNCTION("""COMPUTED_VALUE"""),"")</f>
        <v/>
      </c>
      <c r="D2454" t="str">
        <f>IFERROR(__xludf.DUMMYFUNCTION("""COMPUTED_VALUE"""),"")</f>
        <v/>
      </c>
      <c r="E2454" t="str">
        <f>IFERROR(__xludf.DUMMYFUNCTION("""COMPUTED_VALUE"""),"")</f>
        <v/>
      </c>
      <c r="F2454" t="str">
        <f>IFERROR(__xludf.DUMMYFUNCTION("""COMPUTED_VALUE"""),"")</f>
        <v/>
      </c>
      <c r="G2454" t="str">
        <f>IFERROR(__xludf.DUMMYFUNCTION("""COMPUTED_VALUE"""),"")</f>
        <v/>
      </c>
      <c r="H2454" s="2" t="str">
        <f>IFERROR(__xludf.DUMMYFUNCTION("""COMPUTED_VALUE"""),"")</f>
        <v/>
      </c>
      <c r="I2454" s="2" t="str">
        <f>IFERROR(__xludf.DUMMYFUNCTION("""COMPUTED_VALUE"""),"")</f>
        <v/>
      </c>
      <c r="J2454" s="2">
        <f>IFERROR(__xludf.DUMMYFUNCTION("""COMPUTED_VALUE"""),0.0)</f>
        <v>0</v>
      </c>
      <c r="K2454" s="5" t="str">
        <f>IFERROR(__xludf.DUMMYFUNCTION("""COMPUTED_VALUE"""),"")</f>
        <v/>
      </c>
      <c r="L2454" t="str">
        <f>IFERROR(__xludf.DUMMYFUNCTION("""COMPUTED_VALUE"""),"")</f>
        <v/>
      </c>
      <c r="M2454" t="str">
        <f>IFERROR(__xludf.DUMMYFUNCTION("""COMPUTED_VALUE"""),"")</f>
        <v/>
      </c>
      <c r="N2454" t="str">
        <f>IFERROR(__xludf.DUMMYFUNCTION("""COMPUTED_VALUE"""),"")</f>
        <v/>
      </c>
      <c r="O2454" t="str">
        <f>IFERROR(__xludf.DUMMYFUNCTION("""COMPUTED_VALUE"""),"")</f>
        <v/>
      </c>
      <c r="P2454" t="str">
        <f>IFERROR(__xludf.DUMMYFUNCTION("""COMPUTED_VALUE"""),"ID ")</f>
        <v>ID </v>
      </c>
    </row>
    <row r="2455">
      <c r="A2455" s="6" t="str">
        <f>IFERROR(__xludf.DUMMYFUNCTION("""COMPUTED_VALUE"""),"")</f>
        <v/>
      </c>
      <c r="C2455" t="str">
        <f>IFERROR(__xludf.DUMMYFUNCTION("""COMPUTED_VALUE"""),"")</f>
        <v/>
      </c>
      <c r="D2455" t="str">
        <f>IFERROR(__xludf.DUMMYFUNCTION("""COMPUTED_VALUE"""),"")</f>
        <v/>
      </c>
      <c r="E2455" t="str">
        <f>IFERROR(__xludf.DUMMYFUNCTION("""COMPUTED_VALUE"""),"")</f>
        <v/>
      </c>
      <c r="F2455" t="str">
        <f>IFERROR(__xludf.DUMMYFUNCTION("""COMPUTED_VALUE"""),"")</f>
        <v/>
      </c>
      <c r="G2455" t="str">
        <f>IFERROR(__xludf.DUMMYFUNCTION("""COMPUTED_VALUE"""),"")</f>
        <v/>
      </c>
      <c r="H2455" s="2" t="str">
        <f>IFERROR(__xludf.DUMMYFUNCTION("""COMPUTED_VALUE"""),"")</f>
        <v/>
      </c>
      <c r="I2455" s="2" t="str">
        <f>IFERROR(__xludf.DUMMYFUNCTION("""COMPUTED_VALUE"""),"")</f>
        <v/>
      </c>
      <c r="J2455" s="2">
        <f>IFERROR(__xludf.DUMMYFUNCTION("""COMPUTED_VALUE"""),0.0)</f>
        <v>0</v>
      </c>
      <c r="K2455" s="5" t="str">
        <f>IFERROR(__xludf.DUMMYFUNCTION("""COMPUTED_VALUE"""),"")</f>
        <v/>
      </c>
      <c r="L2455" t="str">
        <f>IFERROR(__xludf.DUMMYFUNCTION("""COMPUTED_VALUE"""),"")</f>
        <v/>
      </c>
      <c r="M2455" t="str">
        <f>IFERROR(__xludf.DUMMYFUNCTION("""COMPUTED_VALUE"""),"")</f>
        <v/>
      </c>
      <c r="N2455" t="str">
        <f>IFERROR(__xludf.DUMMYFUNCTION("""COMPUTED_VALUE"""),"")</f>
        <v/>
      </c>
      <c r="O2455" t="str">
        <f>IFERROR(__xludf.DUMMYFUNCTION("""COMPUTED_VALUE"""),"")</f>
        <v/>
      </c>
      <c r="P2455" t="str">
        <f>IFERROR(__xludf.DUMMYFUNCTION("""COMPUTED_VALUE"""),"ID ")</f>
        <v>ID </v>
      </c>
    </row>
    <row r="2456">
      <c r="A2456" s="6" t="str">
        <f>IFERROR(__xludf.DUMMYFUNCTION("""COMPUTED_VALUE"""),"")</f>
        <v/>
      </c>
      <c r="C2456" t="str">
        <f>IFERROR(__xludf.DUMMYFUNCTION("""COMPUTED_VALUE"""),"")</f>
        <v/>
      </c>
      <c r="D2456" t="str">
        <f>IFERROR(__xludf.DUMMYFUNCTION("""COMPUTED_VALUE"""),"")</f>
        <v/>
      </c>
      <c r="E2456" t="str">
        <f>IFERROR(__xludf.DUMMYFUNCTION("""COMPUTED_VALUE"""),"")</f>
        <v/>
      </c>
      <c r="F2456" t="str">
        <f>IFERROR(__xludf.DUMMYFUNCTION("""COMPUTED_VALUE"""),"")</f>
        <v/>
      </c>
      <c r="G2456" t="str">
        <f>IFERROR(__xludf.DUMMYFUNCTION("""COMPUTED_VALUE"""),"")</f>
        <v/>
      </c>
      <c r="H2456" s="2" t="str">
        <f>IFERROR(__xludf.DUMMYFUNCTION("""COMPUTED_VALUE"""),"")</f>
        <v/>
      </c>
      <c r="I2456" s="2" t="str">
        <f>IFERROR(__xludf.DUMMYFUNCTION("""COMPUTED_VALUE"""),"")</f>
        <v/>
      </c>
      <c r="J2456" s="2">
        <f>IFERROR(__xludf.DUMMYFUNCTION("""COMPUTED_VALUE"""),0.0)</f>
        <v>0</v>
      </c>
      <c r="K2456" s="5" t="str">
        <f>IFERROR(__xludf.DUMMYFUNCTION("""COMPUTED_VALUE"""),"")</f>
        <v/>
      </c>
      <c r="L2456" t="str">
        <f>IFERROR(__xludf.DUMMYFUNCTION("""COMPUTED_VALUE"""),"")</f>
        <v/>
      </c>
      <c r="M2456" t="str">
        <f>IFERROR(__xludf.DUMMYFUNCTION("""COMPUTED_VALUE"""),"")</f>
        <v/>
      </c>
      <c r="N2456" t="str">
        <f>IFERROR(__xludf.DUMMYFUNCTION("""COMPUTED_VALUE"""),"")</f>
        <v/>
      </c>
      <c r="O2456" t="str">
        <f>IFERROR(__xludf.DUMMYFUNCTION("""COMPUTED_VALUE"""),"")</f>
        <v/>
      </c>
      <c r="P2456" t="str">
        <f>IFERROR(__xludf.DUMMYFUNCTION("""COMPUTED_VALUE"""),"ID ")</f>
        <v>ID </v>
      </c>
    </row>
    <row r="2457">
      <c r="A2457" s="6" t="str">
        <f>IFERROR(__xludf.DUMMYFUNCTION("""COMPUTED_VALUE"""),"")</f>
        <v/>
      </c>
      <c r="C2457" t="str">
        <f>IFERROR(__xludf.DUMMYFUNCTION("""COMPUTED_VALUE"""),"")</f>
        <v/>
      </c>
      <c r="D2457" t="str">
        <f>IFERROR(__xludf.DUMMYFUNCTION("""COMPUTED_VALUE"""),"")</f>
        <v/>
      </c>
      <c r="E2457" t="str">
        <f>IFERROR(__xludf.DUMMYFUNCTION("""COMPUTED_VALUE"""),"")</f>
        <v/>
      </c>
      <c r="F2457" t="str">
        <f>IFERROR(__xludf.DUMMYFUNCTION("""COMPUTED_VALUE"""),"")</f>
        <v/>
      </c>
      <c r="G2457" t="str">
        <f>IFERROR(__xludf.DUMMYFUNCTION("""COMPUTED_VALUE"""),"")</f>
        <v/>
      </c>
      <c r="H2457" s="2" t="str">
        <f>IFERROR(__xludf.DUMMYFUNCTION("""COMPUTED_VALUE"""),"")</f>
        <v/>
      </c>
      <c r="I2457" s="2" t="str">
        <f>IFERROR(__xludf.DUMMYFUNCTION("""COMPUTED_VALUE"""),"")</f>
        <v/>
      </c>
      <c r="J2457" s="2">
        <f>IFERROR(__xludf.DUMMYFUNCTION("""COMPUTED_VALUE"""),0.0)</f>
        <v>0</v>
      </c>
      <c r="K2457" s="5" t="str">
        <f>IFERROR(__xludf.DUMMYFUNCTION("""COMPUTED_VALUE"""),"")</f>
        <v/>
      </c>
      <c r="L2457" t="str">
        <f>IFERROR(__xludf.DUMMYFUNCTION("""COMPUTED_VALUE"""),"")</f>
        <v/>
      </c>
      <c r="M2457" t="str">
        <f>IFERROR(__xludf.DUMMYFUNCTION("""COMPUTED_VALUE"""),"")</f>
        <v/>
      </c>
      <c r="N2457" t="str">
        <f>IFERROR(__xludf.DUMMYFUNCTION("""COMPUTED_VALUE"""),"")</f>
        <v/>
      </c>
      <c r="O2457" t="str">
        <f>IFERROR(__xludf.DUMMYFUNCTION("""COMPUTED_VALUE"""),"")</f>
        <v/>
      </c>
      <c r="P2457" t="str">
        <f>IFERROR(__xludf.DUMMYFUNCTION("""COMPUTED_VALUE"""),"ID ")</f>
        <v>ID </v>
      </c>
    </row>
    <row r="2458">
      <c r="A2458" s="6" t="str">
        <f>IFERROR(__xludf.DUMMYFUNCTION("""COMPUTED_VALUE"""),"")</f>
        <v/>
      </c>
      <c r="C2458" t="str">
        <f>IFERROR(__xludf.DUMMYFUNCTION("""COMPUTED_VALUE"""),"")</f>
        <v/>
      </c>
      <c r="D2458" t="str">
        <f>IFERROR(__xludf.DUMMYFUNCTION("""COMPUTED_VALUE"""),"")</f>
        <v/>
      </c>
      <c r="E2458" t="str">
        <f>IFERROR(__xludf.DUMMYFUNCTION("""COMPUTED_VALUE"""),"")</f>
        <v/>
      </c>
      <c r="F2458" t="str">
        <f>IFERROR(__xludf.DUMMYFUNCTION("""COMPUTED_VALUE"""),"")</f>
        <v/>
      </c>
      <c r="G2458" t="str">
        <f>IFERROR(__xludf.DUMMYFUNCTION("""COMPUTED_VALUE"""),"")</f>
        <v/>
      </c>
      <c r="H2458" s="2" t="str">
        <f>IFERROR(__xludf.DUMMYFUNCTION("""COMPUTED_VALUE"""),"")</f>
        <v/>
      </c>
      <c r="I2458" s="2" t="str">
        <f>IFERROR(__xludf.DUMMYFUNCTION("""COMPUTED_VALUE"""),"")</f>
        <v/>
      </c>
      <c r="J2458" s="2">
        <f>IFERROR(__xludf.DUMMYFUNCTION("""COMPUTED_VALUE"""),0.0)</f>
        <v>0</v>
      </c>
      <c r="K2458" s="5" t="str">
        <f>IFERROR(__xludf.DUMMYFUNCTION("""COMPUTED_VALUE"""),"")</f>
        <v/>
      </c>
      <c r="L2458" t="str">
        <f>IFERROR(__xludf.DUMMYFUNCTION("""COMPUTED_VALUE"""),"")</f>
        <v/>
      </c>
      <c r="M2458" t="str">
        <f>IFERROR(__xludf.DUMMYFUNCTION("""COMPUTED_VALUE"""),"")</f>
        <v/>
      </c>
      <c r="N2458" t="str">
        <f>IFERROR(__xludf.DUMMYFUNCTION("""COMPUTED_VALUE"""),"")</f>
        <v/>
      </c>
      <c r="O2458" t="str">
        <f>IFERROR(__xludf.DUMMYFUNCTION("""COMPUTED_VALUE"""),"")</f>
        <v/>
      </c>
      <c r="P2458" t="str">
        <f>IFERROR(__xludf.DUMMYFUNCTION("""COMPUTED_VALUE"""),"ID ")</f>
        <v>ID </v>
      </c>
    </row>
    <row r="2459">
      <c r="A2459" s="6" t="str">
        <f>IFERROR(__xludf.DUMMYFUNCTION("""COMPUTED_VALUE"""),"")</f>
        <v/>
      </c>
      <c r="C2459" t="str">
        <f>IFERROR(__xludf.DUMMYFUNCTION("""COMPUTED_VALUE"""),"")</f>
        <v/>
      </c>
      <c r="D2459" t="str">
        <f>IFERROR(__xludf.DUMMYFUNCTION("""COMPUTED_VALUE"""),"")</f>
        <v/>
      </c>
      <c r="E2459" t="str">
        <f>IFERROR(__xludf.DUMMYFUNCTION("""COMPUTED_VALUE"""),"")</f>
        <v/>
      </c>
      <c r="F2459" t="str">
        <f>IFERROR(__xludf.DUMMYFUNCTION("""COMPUTED_VALUE"""),"")</f>
        <v/>
      </c>
      <c r="G2459" t="str">
        <f>IFERROR(__xludf.DUMMYFUNCTION("""COMPUTED_VALUE"""),"")</f>
        <v/>
      </c>
      <c r="H2459" s="2" t="str">
        <f>IFERROR(__xludf.DUMMYFUNCTION("""COMPUTED_VALUE"""),"")</f>
        <v/>
      </c>
      <c r="I2459" s="2" t="str">
        <f>IFERROR(__xludf.DUMMYFUNCTION("""COMPUTED_VALUE"""),"")</f>
        <v/>
      </c>
      <c r="J2459" s="2">
        <f>IFERROR(__xludf.DUMMYFUNCTION("""COMPUTED_VALUE"""),0.0)</f>
        <v>0</v>
      </c>
      <c r="K2459" s="5" t="str">
        <f>IFERROR(__xludf.DUMMYFUNCTION("""COMPUTED_VALUE"""),"")</f>
        <v/>
      </c>
      <c r="L2459" t="str">
        <f>IFERROR(__xludf.DUMMYFUNCTION("""COMPUTED_VALUE"""),"")</f>
        <v/>
      </c>
      <c r="M2459" t="str">
        <f>IFERROR(__xludf.DUMMYFUNCTION("""COMPUTED_VALUE"""),"")</f>
        <v/>
      </c>
      <c r="N2459" t="str">
        <f>IFERROR(__xludf.DUMMYFUNCTION("""COMPUTED_VALUE"""),"")</f>
        <v/>
      </c>
      <c r="O2459" t="str">
        <f>IFERROR(__xludf.DUMMYFUNCTION("""COMPUTED_VALUE"""),"")</f>
        <v/>
      </c>
      <c r="P2459" t="str">
        <f>IFERROR(__xludf.DUMMYFUNCTION("""COMPUTED_VALUE"""),"ID ")</f>
        <v>ID </v>
      </c>
    </row>
    <row r="2460">
      <c r="A2460" s="6" t="str">
        <f>IFERROR(__xludf.DUMMYFUNCTION("""COMPUTED_VALUE"""),"")</f>
        <v/>
      </c>
      <c r="C2460" t="str">
        <f>IFERROR(__xludf.DUMMYFUNCTION("""COMPUTED_VALUE"""),"")</f>
        <v/>
      </c>
      <c r="D2460" t="str">
        <f>IFERROR(__xludf.DUMMYFUNCTION("""COMPUTED_VALUE"""),"")</f>
        <v/>
      </c>
      <c r="E2460" t="str">
        <f>IFERROR(__xludf.DUMMYFUNCTION("""COMPUTED_VALUE"""),"")</f>
        <v/>
      </c>
      <c r="F2460" t="str">
        <f>IFERROR(__xludf.DUMMYFUNCTION("""COMPUTED_VALUE"""),"")</f>
        <v/>
      </c>
      <c r="G2460" t="str">
        <f>IFERROR(__xludf.DUMMYFUNCTION("""COMPUTED_VALUE"""),"")</f>
        <v/>
      </c>
      <c r="H2460" s="2" t="str">
        <f>IFERROR(__xludf.DUMMYFUNCTION("""COMPUTED_VALUE"""),"")</f>
        <v/>
      </c>
      <c r="I2460" s="2" t="str">
        <f>IFERROR(__xludf.DUMMYFUNCTION("""COMPUTED_VALUE"""),"")</f>
        <v/>
      </c>
      <c r="J2460" s="2">
        <f>IFERROR(__xludf.DUMMYFUNCTION("""COMPUTED_VALUE"""),0.0)</f>
        <v>0</v>
      </c>
      <c r="K2460" s="5" t="str">
        <f>IFERROR(__xludf.DUMMYFUNCTION("""COMPUTED_VALUE"""),"")</f>
        <v/>
      </c>
      <c r="L2460" t="str">
        <f>IFERROR(__xludf.DUMMYFUNCTION("""COMPUTED_VALUE"""),"")</f>
        <v/>
      </c>
      <c r="M2460" t="str">
        <f>IFERROR(__xludf.DUMMYFUNCTION("""COMPUTED_VALUE"""),"")</f>
        <v/>
      </c>
      <c r="N2460" t="str">
        <f>IFERROR(__xludf.DUMMYFUNCTION("""COMPUTED_VALUE"""),"")</f>
        <v/>
      </c>
      <c r="O2460" t="str">
        <f>IFERROR(__xludf.DUMMYFUNCTION("""COMPUTED_VALUE"""),"")</f>
        <v/>
      </c>
      <c r="P2460" t="str">
        <f>IFERROR(__xludf.DUMMYFUNCTION("""COMPUTED_VALUE"""),"ID ")</f>
        <v>ID </v>
      </c>
    </row>
    <row r="2461">
      <c r="A2461" s="6" t="str">
        <f>IFERROR(__xludf.DUMMYFUNCTION("""COMPUTED_VALUE"""),"")</f>
        <v/>
      </c>
      <c r="C2461" t="str">
        <f>IFERROR(__xludf.DUMMYFUNCTION("""COMPUTED_VALUE"""),"")</f>
        <v/>
      </c>
      <c r="D2461" t="str">
        <f>IFERROR(__xludf.DUMMYFUNCTION("""COMPUTED_VALUE"""),"")</f>
        <v/>
      </c>
      <c r="E2461" t="str">
        <f>IFERROR(__xludf.DUMMYFUNCTION("""COMPUTED_VALUE"""),"")</f>
        <v/>
      </c>
      <c r="F2461" t="str">
        <f>IFERROR(__xludf.DUMMYFUNCTION("""COMPUTED_VALUE"""),"")</f>
        <v/>
      </c>
      <c r="G2461" t="str">
        <f>IFERROR(__xludf.DUMMYFUNCTION("""COMPUTED_VALUE"""),"")</f>
        <v/>
      </c>
      <c r="H2461" s="2" t="str">
        <f>IFERROR(__xludf.DUMMYFUNCTION("""COMPUTED_VALUE"""),"")</f>
        <v/>
      </c>
      <c r="I2461" s="2" t="str">
        <f>IFERROR(__xludf.DUMMYFUNCTION("""COMPUTED_VALUE"""),"")</f>
        <v/>
      </c>
      <c r="J2461" s="2">
        <f>IFERROR(__xludf.DUMMYFUNCTION("""COMPUTED_VALUE"""),0.0)</f>
        <v>0</v>
      </c>
      <c r="K2461" s="5" t="str">
        <f>IFERROR(__xludf.DUMMYFUNCTION("""COMPUTED_VALUE"""),"")</f>
        <v/>
      </c>
      <c r="L2461" t="str">
        <f>IFERROR(__xludf.DUMMYFUNCTION("""COMPUTED_VALUE"""),"")</f>
        <v/>
      </c>
      <c r="M2461" t="str">
        <f>IFERROR(__xludf.DUMMYFUNCTION("""COMPUTED_VALUE"""),"")</f>
        <v/>
      </c>
      <c r="N2461" t="str">
        <f>IFERROR(__xludf.DUMMYFUNCTION("""COMPUTED_VALUE"""),"")</f>
        <v/>
      </c>
      <c r="O2461" t="str">
        <f>IFERROR(__xludf.DUMMYFUNCTION("""COMPUTED_VALUE"""),"")</f>
        <v/>
      </c>
      <c r="P2461" t="str">
        <f>IFERROR(__xludf.DUMMYFUNCTION("""COMPUTED_VALUE"""),"ID ")</f>
        <v>ID </v>
      </c>
    </row>
    <row r="2462">
      <c r="A2462" s="6" t="str">
        <f>IFERROR(__xludf.DUMMYFUNCTION("""COMPUTED_VALUE"""),"")</f>
        <v/>
      </c>
      <c r="C2462" t="str">
        <f>IFERROR(__xludf.DUMMYFUNCTION("""COMPUTED_VALUE"""),"")</f>
        <v/>
      </c>
      <c r="D2462" t="str">
        <f>IFERROR(__xludf.DUMMYFUNCTION("""COMPUTED_VALUE"""),"")</f>
        <v/>
      </c>
      <c r="E2462" t="str">
        <f>IFERROR(__xludf.DUMMYFUNCTION("""COMPUTED_VALUE"""),"")</f>
        <v/>
      </c>
      <c r="F2462" t="str">
        <f>IFERROR(__xludf.DUMMYFUNCTION("""COMPUTED_VALUE"""),"")</f>
        <v/>
      </c>
      <c r="G2462" t="str">
        <f>IFERROR(__xludf.DUMMYFUNCTION("""COMPUTED_VALUE"""),"")</f>
        <v/>
      </c>
      <c r="H2462" s="2" t="str">
        <f>IFERROR(__xludf.DUMMYFUNCTION("""COMPUTED_VALUE"""),"")</f>
        <v/>
      </c>
      <c r="I2462" s="2" t="str">
        <f>IFERROR(__xludf.DUMMYFUNCTION("""COMPUTED_VALUE"""),"")</f>
        <v/>
      </c>
      <c r="J2462" s="2">
        <f>IFERROR(__xludf.DUMMYFUNCTION("""COMPUTED_VALUE"""),0.0)</f>
        <v>0</v>
      </c>
      <c r="K2462" s="5" t="str">
        <f>IFERROR(__xludf.DUMMYFUNCTION("""COMPUTED_VALUE"""),"")</f>
        <v/>
      </c>
      <c r="L2462" t="str">
        <f>IFERROR(__xludf.DUMMYFUNCTION("""COMPUTED_VALUE"""),"")</f>
        <v/>
      </c>
      <c r="M2462" t="str">
        <f>IFERROR(__xludf.DUMMYFUNCTION("""COMPUTED_VALUE"""),"")</f>
        <v/>
      </c>
      <c r="N2462" t="str">
        <f>IFERROR(__xludf.DUMMYFUNCTION("""COMPUTED_VALUE"""),"")</f>
        <v/>
      </c>
      <c r="O2462" t="str">
        <f>IFERROR(__xludf.DUMMYFUNCTION("""COMPUTED_VALUE"""),"")</f>
        <v/>
      </c>
      <c r="P2462" t="str">
        <f>IFERROR(__xludf.DUMMYFUNCTION("""COMPUTED_VALUE"""),"ID ")</f>
        <v>ID </v>
      </c>
    </row>
    <row r="2463">
      <c r="A2463" s="6" t="str">
        <f>IFERROR(__xludf.DUMMYFUNCTION("""COMPUTED_VALUE"""),"")</f>
        <v/>
      </c>
      <c r="C2463" t="str">
        <f>IFERROR(__xludf.DUMMYFUNCTION("""COMPUTED_VALUE"""),"")</f>
        <v/>
      </c>
      <c r="D2463" t="str">
        <f>IFERROR(__xludf.DUMMYFUNCTION("""COMPUTED_VALUE"""),"")</f>
        <v/>
      </c>
      <c r="E2463" t="str">
        <f>IFERROR(__xludf.DUMMYFUNCTION("""COMPUTED_VALUE"""),"")</f>
        <v/>
      </c>
      <c r="F2463" t="str">
        <f>IFERROR(__xludf.DUMMYFUNCTION("""COMPUTED_VALUE"""),"")</f>
        <v/>
      </c>
      <c r="G2463" t="str">
        <f>IFERROR(__xludf.DUMMYFUNCTION("""COMPUTED_VALUE"""),"")</f>
        <v/>
      </c>
      <c r="H2463" s="2" t="str">
        <f>IFERROR(__xludf.DUMMYFUNCTION("""COMPUTED_VALUE"""),"")</f>
        <v/>
      </c>
      <c r="I2463" s="2" t="str">
        <f>IFERROR(__xludf.DUMMYFUNCTION("""COMPUTED_VALUE"""),"")</f>
        <v/>
      </c>
      <c r="J2463" s="2">
        <f>IFERROR(__xludf.DUMMYFUNCTION("""COMPUTED_VALUE"""),0.0)</f>
        <v>0</v>
      </c>
      <c r="K2463" s="5" t="str">
        <f>IFERROR(__xludf.DUMMYFUNCTION("""COMPUTED_VALUE"""),"")</f>
        <v/>
      </c>
      <c r="L2463" t="str">
        <f>IFERROR(__xludf.DUMMYFUNCTION("""COMPUTED_VALUE"""),"")</f>
        <v/>
      </c>
      <c r="M2463" t="str">
        <f>IFERROR(__xludf.DUMMYFUNCTION("""COMPUTED_VALUE"""),"")</f>
        <v/>
      </c>
      <c r="N2463" t="str">
        <f>IFERROR(__xludf.DUMMYFUNCTION("""COMPUTED_VALUE"""),"")</f>
        <v/>
      </c>
      <c r="O2463" t="str">
        <f>IFERROR(__xludf.DUMMYFUNCTION("""COMPUTED_VALUE"""),"")</f>
        <v/>
      </c>
      <c r="P2463" t="str">
        <f>IFERROR(__xludf.DUMMYFUNCTION("""COMPUTED_VALUE"""),"ID ")</f>
        <v>ID </v>
      </c>
    </row>
    <row r="2464">
      <c r="A2464" s="6" t="str">
        <f>IFERROR(__xludf.DUMMYFUNCTION("""COMPUTED_VALUE"""),"")</f>
        <v/>
      </c>
      <c r="C2464" t="str">
        <f>IFERROR(__xludf.DUMMYFUNCTION("""COMPUTED_VALUE"""),"")</f>
        <v/>
      </c>
      <c r="D2464" t="str">
        <f>IFERROR(__xludf.DUMMYFUNCTION("""COMPUTED_VALUE"""),"")</f>
        <v/>
      </c>
      <c r="E2464" t="str">
        <f>IFERROR(__xludf.DUMMYFUNCTION("""COMPUTED_VALUE"""),"")</f>
        <v/>
      </c>
      <c r="F2464" t="str">
        <f>IFERROR(__xludf.DUMMYFUNCTION("""COMPUTED_VALUE"""),"")</f>
        <v/>
      </c>
      <c r="G2464" t="str">
        <f>IFERROR(__xludf.DUMMYFUNCTION("""COMPUTED_VALUE"""),"")</f>
        <v/>
      </c>
      <c r="H2464" s="2" t="str">
        <f>IFERROR(__xludf.DUMMYFUNCTION("""COMPUTED_VALUE"""),"")</f>
        <v/>
      </c>
      <c r="I2464" s="2" t="str">
        <f>IFERROR(__xludf.DUMMYFUNCTION("""COMPUTED_VALUE"""),"")</f>
        <v/>
      </c>
      <c r="J2464" s="2">
        <f>IFERROR(__xludf.DUMMYFUNCTION("""COMPUTED_VALUE"""),0.0)</f>
        <v>0</v>
      </c>
      <c r="K2464" s="5" t="str">
        <f>IFERROR(__xludf.DUMMYFUNCTION("""COMPUTED_VALUE"""),"")</f>
        <v/>
      </c>
      <c r="L2464" t="str">
        <f>IFERROR(__xludf.DUMMYFUNCTION("""COMPUTED_VALUE"""),"")</f>
        <v/>
      </c>
      <c r="M2464" t="str">
        <f>IFERROR(__xludf.DUMMYFUNCTION("""COMPUTED_VALUE"""),"")</f>
        <v/>
      </c>
      <c r="N2464" t="str">
        <f>IFERROR(__xludf.DUMMYFUNCTION("""COMPUTED_VALUE"""),"")</f>
        <v/>
      </c>
      <c r="O2464" t="str">
        <f>IFERROR(__xludf.DUMMYFUNCTION("""COMPUTED_VALUE"""),"")</f>
        <v/>
      </c>
      <c r="P2464" t="str">
        <f>IFERROR(__xludf.DUMMYFUNCTION("""COMPUTED_VALUE"""),"ID ")</f>
        <v>ID </v>
      </c>
    </row>
    <row r="2465">
      <c r="A2465" s="6" t="str">
        <f>IFERROR(__xludf.DUMMYFUNCTION("""COMPUTED_VALUE"""),"")</f>
        <v/>
      </c>
      <c r="C2465" t="str">
        <f>IFERROR(__xludf.DUMMYFUNCTION("""COMPUTED_VALUE"""),"")</f>
        <v/>
      </c>
      <c r="D2465" t="str">
        <f>IFERROR(__xludf.DUMMYFUNCTION("""COMPUTED_VALUE"""),"")</f>
        <v/>
      </c>
      <c r="E2465" t="str">
        <f>IFERROR(__xludf.DUMMYFUNCTION("""COMPUTED_VALUE"""),"")</f>
        <v/>
      </c>
      <c r="F2465" t="str">
        <f>IFERROR(__xludf.DUMMYFUNCTION("""COMPUTED_VALUE"""),"")</f>
        <v/>
      </c>
      <c r="G2465" t="str">
        <f>IFERROR(__xludf.DUMMYFUNCTION("""COMPUTED_VALUE"""),"")</f>
        <v/>
      </c>
      <c r="H2465" s="2" t="str">
        <f>IFERROR(__xludf.DUMMYFUNCTION("""COMPUTED_VALUE"""),"")</f>
        <v/>
      </c>
      <c r="I2465" s="2" t="str">
        <f>IFERROR(__xludf.DUMMYFUNCTION("""COMPUTED_VALUE"""),"")</f>
        <v/>
      </c>
      <c r="J2465" s="2">
        <f>IFERROR(__xludf.DUMMYFUNCTION("""COMPUTED_VALUE"""),0.0)</f>
        <v>0</v>
      </c>
      <c r="K2465" s="5" t="str">
        <f>IFERROR(__xludf.DUMMYFUNCTION("""COMPUTED_VALUE"""),"")</f>
        <v/>
      </c>
      <c r="L2465" t="str">
        <f>IFERROR(__xludf.DUMMYFUNCTION("""COMPUTED_VALUE"""),"")</f>
        <v/>
      </c>
      <c r="M2465" t="str">
        <f>IFERROR(__xludf.DUMMYFUNCTION("""COMPUTED_VALUE"""),"")</f>
        <v/>
      </c>
      <c r="N2465" t="str">
        <f>IFERROR(__xludf.DUMMYFUNCTION("""COMPUTED_VALUE"""),"")</f>
        <v/>
      </c>
      <c r="O2465" t="str">
        <f>IFERROR(__xludf.DUMMYFUNCTION("""COMPUTED_VALUE"""),"")</f>
        <v/>
      </c>
      <c r="P2465" t="str">
        <f>IFERROR(__xludf.DUMMYFUNCTION("""COMPUTED_VALUE"""),"ID ")</f>
        <v>ID </v>
      </c>
    </row>
    <row r="2466">
      <c r="A2466" s="6" t="str">
        <f>IFERROR(__xludf.DUMMYFUNCTION("""COMPUTED_VALUE"""),"")</f>
        <v/>
      </c>
      <c r="C2466" t="str">
        <f>IFERROR(__xludf.DUMMYFUNCTION("""COMPUTED_VALUE"""),"")</f>
        <v/>
      </c>
      <c r="D2466" t="str">
        <f>IFERROR(__xludf.DUMMYFUNCTION("""COMPUTED_VALUE"""),"")</f>
        <v/>
      </c>
      <c r="E2466" t="str">
        <f>IFERROR(__xludf.DUMMYFUNCTION("""COMPUTED_VALUE"""),"")</f>
        <v/>
      </c>
      <c r="F2466" t="str">
        <f>IFERROR(__xludf.DUMMYFUNCTION("""COMPUTED_VALUE"""),"")</f>
        <v/>
      </c>
      <c r="G2466" t="str">
        <f>IFERROR(__xludf.DUMMYFUNCTION("""COMPUTED_VALUE"""),"")</f>
        <v/>
      </c>
      <c r="H2466" s="2" t="str">
        <f>IFERROR(__xludf.DUMMYFUNCTION("""COMPUTED_VALUE"""),"")</f>
        <v/>
      </c>
      <c r="I2466" s="2" t="str">
        <f>IFERROR(__xludf.DUMMYFUNCTION("""COMPUTED_VALUE"""),"")</f>
        <v/>
      </c>
      <c r="J2466" s="2">
        <f>IFERROR(__xludf.DUMMYFUNCTION("""COMPUTED_VALUE"""),0.0)</f>
        <v>0</v>
      </c>
      <c r="K2466" s="5" t="str">
        <f>IFERROR(__xludf.DUMMYFUNCTION("""COMPUTED_VALUE"""),"")</f>
        <v/>
      </c>
      <c r="L2466" t="str">
        <f>IFERROR(__xludf.DUMMYFUNCTION("""COMPUTED_VALUE"""),"")</f>
        <v/>
      </c>
      <c r="M2466" t="str">
        <f>IFERROR(__xludf.DUMMYFUNCTION("""COMPUTED_VALUE"""),"")</f>
        <v/>
      </c>
      <c r="N2466" t="str">
        <f>IFERROR(__xludf.DUMMYFUNCTION("""COMPUTED_VALUE"""),"")</f>
        <v/>
      </c>
      <c r="O2466" t="str">
        <f>IFERROR(__xludf.DUMMYFUNCTION("""COMPUTED_VALUE"""),"")</f>
        <v/>
      </c>
      <c r="P2466" t="str">
        <f>IFERROR(__xludf.DUMMYFUNCTION("""COMPUTED_VALUE"""),"ID ")</f>
        <v>ID </v>
      </c>
    </row>
    <row r="2467">
      <c r="A2467" s="6" t="str">
        <f>IFERROR(__xludf.DUMMYFUNCTION("""COMPUTED_VALUE"""),"")</f>
        <v/>
      </c>
      <c r="C2467" t="str">
        <f>IFERROR(__xludf.DUMMYFUNCTION("""COMPUTED_VALUE"""),"")</f>
        <v/>
      </c>
      <c r="D2467" t="str">
        <f>IFERROR(__xludf.DUMMYFUNCTION("""COMPUTED_VALUE"""),"")</f>
        <v/>
      </c>
      <c r="E2467" t="str">
        <f>IFERROR(__xludf.DUMMYFUNCTION("""COMPUTED_VALUE"""),"")</f>
        <v/>
      </c>
      <c r="F2467" t="str">
        <f>IFERROR(__xludf.DUMMYFUNCTION("""COMPUTED_VALUE"""),"")</f>
        <v/>
      </c>
      <c r="G2467" t="str">
        <f>IFERROR(__xludf.DUMMYFUNCTION("""COMPUTED_VALUE"""),"")</f>
        <v/>
      </c>
      <c r="H2467" s="2" t="str">
        <f>IFERROR(__xludf.DUMMYFUNCTION("""COMPUTED_VALUE"""),"")</f>
        <v/>
      </c>
      <c r="I2467" s="2" t="str">
        <f>IFERROR(__xludf.DUMMYFUNCTION("""COMPUTED_VALUE"""),"")</f>
        <v/>
      </c>
      <c r="J2467" s="2">
        <f>IFERROR(__xludf.DUMMYFUNCTION("""COMPUTED_VALUE"""),0.0)</f>
        <v>0</v>
      </c>
      <c r="K2467" s="5" t="str">
        <f>IFERROR(__xludf.DUMMYFUNCTION("""COMPUTED_VALUE"""),"")</f>
        <v/>
      </c>
      <c r="L2467" t="str">
        <f>IFERROR(__xludf.DUMMYFUNCTION("""COMPUTED_VALUE"""),"")</f>
        <v/>
      </c>
      <c r="M2467" t="str">
        <f>IFERROR(__xludf.DUMMYFUNCTION("""COMPUTED_VALUE"""),"")</f>
        <v/>
      </c>
      <c r="N2467" t="str">
        <f>IFERROR(__xludf.DUMMYFUNCTION("""COMPUTED_VALUE"""),"")</f>
        <v/>
      </c>
      <c r="O2467" t="str">
        <f>IFERROR(__xludf.DUMMYFUNCTION("""COMPUTED_VALUE"""),"")</f>
        <v/>
      </c>
      <c r="P2467" t="str">
        <f>IFERROR(__xludf.DUMMYFUNCTION("""COMPUTED_VALUE"""),"ID ")</f>
        <v>ID </v>
      </c>
    </row>
    <row r="2468">
      <c r="A2468" s="6" t="str">
        <f>IFERROR(__xludf.DUMMYFUNCTION("""COMPUTED_VALUE"""),"")</f>
        <v/>
      </c>
      <c r="C2468" t="str">
        <f>IFERROR(__xludf.DUMMYFUNCTION("""COMPUTED_VALUE"""),"")</f>
        <v/>
      </c>
      <c r="D2468" t="str">
        <f>IFERROR(__xludf.DUMMYFUNCTION("""COMPUTED_VALUE"""),"")</f>
        <v/>
      </c>
      <c r="E2468" t="str">
        <f>IFERROR(__xludf.DUMMYFUNCTION("""COMPUTED_VALUE"""),"")</f>
        <v/>
      </c>
      <c r="F2468" t="str">
        <f>IFERROR(__xludf.DUMMYFUNCTION("""COMPUTED_VALUE"""),"")</f>
        <v/>
      </c>
      <c r="G2468" t="str">
        <f>IFERROR(__xludf.DUMMYFUNCTION("""COMPUTED_VALUE"""),"")</f>
        <v/>
      </c>
      <c r="H2468" s="2" t="str">
        <f>IFERROR(__xludf.DUMMYFUNCTION("""COMPUTED_VALUE"""),"")</f>
        <v/>
      </c>
      <c r="I2468" s="2" t="str">
        <f>IFERROR(__xludf.DUMMYFUNCTION("""COMPUTED_VALUE"""),"")</f>
        <v/>
      </c>
      <c r="J2468" s="2">
        <f>IFERROR(__xludf.DUMMYFUNCTION("""COMPUTED_VALUE"""),0.0)</f>
        <v>0</v>
      </c>
      <c r="K2468" s="5" t="str">
        <f>IFERROR(__xludf.DUMMYFUNCTION("""COMPUTED_VALUE"""),"")</f>
        <v/>
      </c>
      <c r="L2468" t="str">
        <f>IFERROR(__xludf.DUMMYFUNCTION("""COMPUTED_VALUE"""),"")</f>
        <v/>
      </c>
      <c r="M2468" t="str">
        <f>IFERROR(__xludf.DUMMYFUNCTION("""COMPUTED_VALUE"""),"")</f>
        <v/>
      </c>
      <c r="N2468" t="str">
        <f>IFERROR(__xludf.DUMMYFUNCTION("""COMPUTED_VALUE"""),"")</f>
        <v/>
      </c>
      <c r="O2468" t="str">
        <f>IFERROR(__xludf.DUMMYFUNCTION("""COMPUTED_VALUE"""),"")</f>
        <v/>
      </c>
      <c r="P2468" t="str">
        <f>IFERROR(__xludf.DUMMYFUNCTION("""COMPUTED_VALUE"""),"ID ")</f>
        <v>ID </v>
      </c>
    </row>
    <row r="2469">
      <c r="A2469" s="6" t="str">
        <f>IFERROR(__xludf.DUMMYFUNCTION("""COMPUTED_VALUE"""),"")</f>
        <v/>
      </c>
      <c r="C2469" t="str">
        <f>IFERROR(__xludf.DUMMYFUNCTION("""COMPUTED_VALUE"""),"")</f>
        <v/>
      </c>
      <c r="D2469" t="str">
        <f>IFERROR(__xludf.DUMMYFUNCTION("""COMPUTED_VALUE"""),"")</f>
        <v/>
      </c>
      <c r="E2469" t="str">
        <f>IFERROR(__xludf.DUMMYFUNCTION("""COMPUTED_VALUE"""),"")</f>
        <v/>
      </c>
      <c r="F2469" t="str">
        <f>IFERROR(__xludf.DUMMYFUNCTION("""COMPUTED_VALUE"""),"")</f>
        <v/>
      </c>
      <c r="G2469" t="str">
        <f>IFERROR(__xludf.DUMMYFUNCTION("""COMPUTED_VALUE"""),"")</f>
        <v/>
      </c>
      <c r="H2469" s="2" t="str">
        <f>IFERROR(__xludf.DUMMYFUNCTION("""COMPUTED_VALUE"""),"")</f>
        <v/>
      </c>
      <c r="I2469" s="2" t="str">
        <f>IFERROR(__xludf.DUMMYFUNCTION("""COMPUTED_VALUE"""),"")</f>
        <v/>
      </c>
      <c r="J2469" s="2">
        <f>IFERROR(__xludf.DUMMYFUNCTION("""COMPUTED_VALUE"""),0.0)</f>
        <v>0</v>
      </c>
      <c r="K2469" s="5" t="str">
        <f>IFERROR(__xludf.DUMMYFUNCTION("""COMPUTED_VALUE"""),"")</f>
        <v/>
      </c>
      <c r="L2469" t="str">
        <f>IFERROR(__xludf.DUMMYFUNCTION("""COMPUTED_VALUE"""),"")</f>
        <v/>
      </c>
      <c r="M2469" t="str">
        <f>IFERROR(__xludf.DUMMYFUNCTION("""COMPUTED_VALUE"""),"")</f>
        <v/>
      </c>
      <c r="N2469" t="str">
        <f>IFERROR(__xludf.DUMMYFUNCTION("""COMPUTED_VALUE"""),"")</f>
        <v/>
      </c>
      <c r="O2469" t="str">
        <f>IFERROR(__xludf.DUMMYFUNCTION("""COMPUTED_VALUE"""),"")</f>
        <v/>
      </c>
      <c r="P2469" t="str">
        <f>IFERROR(__xludf.DUMMYFUNCTION("""COMPUTED_VALUE"""),"ID ")</f>
        <v>ID </v>
      </c>
    </row>
    <row r="2470">
      <c r="A2470" s="6" t="str">
        <f>IFERROR(__xludf.DUMMYFUNCTION("""COMPUTED_VALUE"""),"")</f>
        <v/>
      </c>
      <c r="C2470" t="str">
        <f>IFERROR(__xludf.DUMMYFUNCTION("""COMPUTED_VALUE"""),"")</f>
        <v/>
      </c>
      <c r="D2470" t="str">
        <f>IFERROR(__xludf.DUMMYFUNCTION("""COMPUTED_VALUE"""),"")</f>
        <v/>
      </c>
      <c r="E2470" t="str">
        <f>IFERROR(__xludf.DUMMYFUNCTION("""COMPUTED_VALUE"""),"")</f>
        <v/>
      </c>
      <c r="F2470" t="str">
        <f>IFERROR(__xludf.DUMMYFUNCTION("""COMPUTED_VALUE"""),"")</f>
        <v/>
      </c>
      <c r="G2470" t="str">
        <f>IFERROR(__xludf.DUMMYFUNCTION("""COMPUTED_VALUE"""),"")</f>
        <v/>
      </c>
      <c r="H2470" s="2" t="str">
        <f>IFERROR(__xludf.DUMMYFUNCTION("""COMPUTED_VALUE"""),"")</f>
        <v/>
      </c>
      <c r="I2470" s="2" t="str">
        <f>IFERROR(__xludf.DUMMYFUNCTION("""COMPUTED_VALUE"""),"")</f>
        <v/>
      </c>
      <c r="J2470" s="2">
        <f>IFERROR(__xludf.DUMMYFUNCTION("""COMPUTED_VALUE"""),0.0)</f>
        <v>0</v>
      </c>
      <c r="K2470" s="5" t="str">
        <f>IFERROR(__xludf.DUMMYFUNCTION("""COMPUTED_VALUE"""),"")</f>
        <v/>
      </c>
      <c r="L2470" t="str">
        <f>IFERROR(__xludf.DUMMYFUNCTION("""COMPUTED_VALUE"""),"")</f>
        <v/>
      </c>
      <c r="M2470" t="str">
        <f>IFERROR(__xludf.DUMMYFUNCTION("""COMPUTED_VALUE"""),"")</f>
        <v/>
      </c>
      <c r="N2470" t="str">
        <f>IFERROR(__xludf.DUMMYFUNCTION("""COMPUTED_VALUE"""),"")</f>
        <v/>
      </c>
      <c r="O2470" t="str">
        <f>IFERROR(__xludf.DUMMYFUNCTION("""COMPUTED_VALUE"""),"")</f>
        <v/>
      </c>
      <c r="P2470" t="str">
        <f>IFERROR(__xludf.DUMMYFUNCTION("""COMPUTED_VALUE"""),"ID ")</f>
        <v>ID </v>
      </c>
    </row>
    <row r="2471">
      <c r="A2471" s="6" t="str">
        <f>IFERROR(__xludf.DUMMYFUNCTION("""COMPUTED_VALUE"""),"")</f>
        <v/>
      </c>
      <c r="C2471" t="str">
        <f>IFERROR(__xludf.DUMMYFUNCTION("""COMPUTED_VALUE"""),"")</f>
        <v/>
      </c>
      <c r="D2471" t="str">
        <f>IFERROR(__xludf.DUMMYFUNCTION("""COMPUTED_VALUE"""),"")</f>
        <v/>
      </c>
      <c r="E2471" t="str">
        <f>IFERROR(__xludf.DUMMYFUNCTION("""COMPUTED_VALUE"""),"")</f>
        <v/>
      </c>
      <c r="F2471" t="str">
        <f>IFERROR(__xludf.DUMMYFUNCTION("""COMPUTED_VALUE"""),"")</f>
        <v/>
      </c>
      <c r="G2471" t="str">
        <f>IFERROR(__xludf.DUMMYFUNCTION("""COMPUTED_VALUE"""),"")</f>
        <v/>
      </c>
      <c r="H2471" s="2" t="str">
        <f>IFERROR(__xludf.DUMMYFUNCTION("""COMPUTED_VALUE"""),"")</f>
        <v/>
      </c>
      <c r="I2471" s="2" t="str">
        <f>IFERROR(__xludf.DUMMYFUNCTION("""COMPUTED_VALUE"""),"")</f>
        <v/>
      </c>
      <c r="J2471" s="2">
        <f>IFERROR(__xludf.DUMMYFUNCTION("""COMPUTED_VALUE"""),0.0)</f>
        <v>0</v>
      </c>
      <c r="K2471" s="5" t="str">
        <f>IFERROR(__xludf.DUMMYFUNCTION("""COMPUTED_VALUE"""),"")</f>
        <v/>
      </c>
      <c r="L2471" t="str">
        <f>IFERROR(__xludf.DUMMYFUNCTION("""COMPUTED_VALUE"""),"")</f>
        <v/>
      </c>
      <c r="M2471" t="str">
        <f>IFERROR(__xludf.DUMMYFUNCTION("""COMPUTED_VALUE"""),"")</f>
        <v/>
      </c>
      <c r="N2471" t="str">
        <f>IFERROR(__xludf.DUMMYFUNCTION("""COMPUTED_VALUE"""),"")</f>
        <v/>
      </c>
      <c r="O2471" t="str">
        <f>IFERROR(__xludf.DUMMYFUNCTION("""COMPUTED_VALUE"""),"")</f>
        <v/>
      </c>
      <c r="P2471" t="str">
        <f>IFERROR(__xludf.DUMMYFUNCTION("""COMPUTED_VALUE"""),"ID ")</f>
        <v>ID </v>
      </c>
    </row>
    <row r="2472">
      <c r="A2472" s="6" t="str">
        <f>IFERROR(__xludf.DUMMYFUNCTION("""COMPUTED_VALUE"""),"")</f>
        <v/>
      </c>
      <c r="C2472" t="str">
        <f>IFERROR(__xludf.DUMMYFUNCTION("""COMPUTED_VALUE"""),"")</f>
        <v/>
      </c>
      <c r="D2472" t="str">
        <f>IFERROR(__xludf.DUMMYFUNCTION("""COMPUTED_VALUE"""),"")</f>
        <v/>
      </c>
      <c r="E2472" t="str">
        <f>IFERROR(__xludf.DUMMYFUNCTION("""COMPUTED_VALUE"""),"")</f>
        <v/>
      </c>
      <c r="F2472" t="str">
        <f>IFERROR(__xludf.DUMMYFUNCTION("""COMPUTED_VALUE"""),"")</f>
        <v/>
      </c>
      <c r="G2472" t="str">
        <f>IFERROR(__xludf.DUMMYFUNCTION("""COMPUTED_VALUE"""),"")</f>
        <v/>
      </c>
      <c r="H2472" s="2" t="str">
        <f>IFERROR(__xludf.DUMMYFUNCTION("""COMPUTED_VALUE"""),"")</f>
        <v/>
      </c>
      <c r="I2472" s="2" t="str">
        <f>IFERROR(__xludf.DUMMYFUNCTION("""COMPUTED_VALUE"""),"")</f>
        <v/>
      </c>
      <c r="J2472" s="2">
        <f>IFERROR(__xludf.DUMMYFUNCTION("""COMPUTED_VALUE"""),0.0)</f>
        <v>0</v>
      </c>
      <c r="K2472" s="5" t="str">
        <f>IFERROR(__xludf.DUMMYFUNCTION("""COMPUTED_VALUE"""),"")</f>
        <v/>
      </c>
      <c r="L2472" t="str">
        <f>IFERROR(__xludf.DUMMYFUNCTION("""COMPUTED_VALUE"""),"")</f>
        <v/>
      </c>
      <c r="M2472" t="str">
        <f>IFERROR(__xludf.DUMMYFUNCTION("""COMPUTED_VALUE"""),"")</f>
        <v/>
      </c>
      <c r="N2472" t="str">
        <f>IFERROR(__xludf.DUMMYFUNCTION("""COMPUTED_VALUE"""),"")</f>
        <v/>
      </c>
      <c r="O2472" t="str">
        <f>IFERROR(__xludf.DUMMYFUNCTION("""COMPUTED_VALUE"""),"")</f>
        <v/>
      </c>
      <c r="P2472" t="str">
        <f>IFERROR(__xludf.DUMMYFUNCTION("""COMPUTED_VALUE"""),"ID ")</f>
        <v>ID </v>
      </c>
    </row>
    <row r="2473">
      <c r="A2473" s="6" t="str">
        <f>IFERROR(__xludf.DUMMYFUNCTION("""COMPUTED_VALUE"""),"")</f>
        <v/>
      </c>
      <c r="C2473" t="str">
        <f>IFERROR(__xludf.DUMMYFUNCTION("""COMPUTED_VALUE"""),"")</f>
        <v/>
      </c>
      <c r="D2473" t="str">
        <f>IFERROR(__xludf.DUMMYFUNCTION("""COMPUTED_VALUE"""),"")</f>
        <v/>
      </c>
      <c r="E2473" t="str">
        <f>IFERROR(__xludf.DUMMYFUNCTION("""COMPUTED_VALUE"""),"")</f>
        <v/>
      </c>
      <c r="F2473" t="str">
        <f>IFERROR(__xludf.DUMMYFUNCTION("""COMPUTED_VALUE"""),"")</f>
        <v/>
      </c>
      <c r="G2473" t="str">
        <f>IFERROR(__xludf.DUMMYFUNCTION("""COMPUTED_VALUE"""),"")</f>
        <v/>
      </c>
      <c r="H2473" s="2" t="str">
        <f>IFERROR(__xludf.DUMMYFUNCTION("""COMPUTED_VALUE"""),"")</f>
        <v/>
      </c>
      <c r="I2473" s="2" t="str">
        <f>IFERROR(__xludf.DUMMYFUNCTION("""COMPUTED_VALUE"""),"")</f>
        <v/>
      </c>
      <c r="J2473" s="2">
        <f>IFERROR(__xludf.DUMMYFUNCTION("""COMPUTED_VALUE"""),0.0)</f>
        <v>0</v>
      </c>
      <c r="K2473" s="5" t="str">
        <f>IFERROR(__xludf.DUMMYFUNCTION("""COMPUTED_VALUE"""),"")</f>
        <v/>
      </c>
      <c r="L2473" t="str">
        <f>IFERROR(__xludf.DUMMYFUNCTION("""COMPUTED_VALUE"""),"")</f>
        <v/>
      </c>
      <c r="M2473" t="str">
        <f>IFERROR(__xludf.DUMMYFUNCTION("""COMPUTED_VALUE"""),"")</f>
        <v/>
      </c>
      <c r="N2473" t="str">
        <f>IFERROR(__xludf.DUMMYFUNCTION("""COMPUTED_VALUE"""),"")</f>
        <v/>
      </c>
      <c r="O2473" t="str">
        <f>IFERROR(__xludf.DUMMYFUNCTION("""COMPUTED_VALUE"""),"")</f>
        <v/>
      </c>
      <c r="P2473" t="str">
        <f>IFERROR(__xludf.DUMMYFUNCTION("""COMPUTED_VALUE"""),"ID ")</f>
        <v>ID </v>
      </c>
    </row>
    <row r="2474">
      <c r="A2474" s="6" t="str">
        <f>IFERROR(__xludf.DUMMYFUNCTION("""COMPUTED_VALUE"""),"")</f>
        <v/>
      </c>
      <c r="C2474" t="str">
        <f>IFERROR(__xludf.DUMMYFUNCTION("""COMPUTED_VALUE"""),"")</f>
        <v/>
      </c>
      <c r="D2474" t="str">
        <f>IFERROR(__xludf.DUMMYFUNCTION("""COMPUTED_VALUE"""),"")</f>
        <v/>
      </c>
      <c r="E2474" t="str">
        <f>IFERROR(__xludf.DUMMYFUNCTION("""COMPUTED_VALUE"""),"")</f>
        <v/>
      </c>
      <c r="F2474" t="str">
        <f>IFERROR(__xludf.DUMMYFUNCTION("""COMPUTED_VALUE"""),"")</f>
        <v/>
      </c>
      <c r="G2474" t="str">
        <f>IFERROR(__xludf.DUMMYFUNCTION("""COMPUTED_VALUE"""),"")</f>
        <v/>
      </c>
      <c r="H2474" s="2" t="str">
        <f>IFERROR(__xludf.DUMMYFUNCTION("""COMPUTED_VALUE"""),"")</f>
        <v/>
      </c>
      <c r="I2474" s="2" t="str">
        <f>IFERROR(__xludf.DUMMYFUNCTION("""COMPUTED_VALUE"""),"")</f>
        <v/>
      </c>
      <c r="J2474" s="2">
        <f>IFERROR(__xludf.DUMMYFUNCTION("""COMPUTED_VALUE"""),0.0)</f>
        <v>0</v>
      </c>
      <c r="K2474" s="5" t="str">
        <f>IFERROR(__xludf.DUMMYFUNCTION("""COMPUTED_VALUE"""),"")</f>
        <v/>
      </c>
      <c r="L2474" t="str">
        <f>IFERROR(__xludf.DUMMYFUNCTION("""COMPUTED_VALUE"""),"")</f>
        <v/>
      </c>
      <c r="M2474" t="str">
        <f>IFERROR(__xludf.DUMMYFUNCTION("""COMPUTED_VALUE"""),"")</f>
        <v/>
      </c>
      <c r="N2474" t="str">
        <f>IFERROR(__xludf.DUMMYFUNCTION("""COMPUTED_VALUE"""),"")</f>
        <v/>
      </c>
      <c r="O2474" t="str">
        <f>IFERROR(__xludf.DUMMYFUNCTION("""COMPUTED_VALUE"""),"")</f>
        <v/>
      </c>
      <c r="P2474" t="str">
        <f>IFERROR(__xludf.DUMMYFUNCTION("""COMPUTED_VALUE"""),"ID ")</f>
        <v>ID </v>
      </c>
    </row>
    <row r="2475">
      <c r="A2475" s="6" t="str">
        <f>IFERROR(__xludf.DUMMYFUNCTION("""COMPUTED_VALUE"""),"")</f>
        <v/>
      </c>
      <c r="C2475" t="str">
        <f>IFERROR(__xludf.DUMMYFUNCTION("""COMPUTED_VALUE"""),"")</f>
        <v/>
      </c>
      <c r="D2475" t="str">
        <f>IFERROR(__xludf.DUMMYFUNCTION("""COMPUTED_VALUE"""),"")</f>
        <v/>
      </c>
      <c r="E2475" t="str">
        <f>IFERROR(__xludf.DUMMYFUNCTION("""COMPUTED_VALUE"""),"")</f>
        <v/>
      </c>
      <c r="F2475" t="str">
        <f>IFERROR(__xludf.DUMMYFUNCTION("""COMPUTED_VALUE"""),"")</f>
        <v/>
      </c>
      <c r="G2475" t="str">
        <f>IFERROR(__xludf.DUMMYFUNCTION("""COMPUTED_VALUE"""),"")</f>
        <v/>
      </c>
      <c r="H2475" s="2" t="str">
        <f>IFERROR(__xludf.DUMMYFUNCTION("""COMPUTED_VALUE"""),"")</f>
        <v/>
      </c>
      <c r="I2475" s="2" t="str">
        <f>IFERROR(__xludf.DUMMYFUNCTION("""COMPUTED_VALUE"""),"")</f>
        <v/>
      </c>
      <c r="J2475" s="2">
        <f>IFERROR(__xludf.DUMMYFUNCTION("""COMPUTED_VALUE"""),0.0)</f>
        <v>0</v>
      </c>
      <c r="K2475" s="5" t="str">
        <f>IFERROR(__xludf.DUMMYFUNCTION("""COMPUTED_VALUE"""),"")</f>
        <v/>
      </c>
      <c r="L2475" t="str">
        <f>IFERROR(__xludf.DUMMYFUNCTION("""COMPUTED_VALUE"""),"")</f>
        <v/>
      </c>
      <c r="M2475" t="str">
        <f>IFERROR(__xludf.DUMMYFUNCTION("""COMPUTED_VALUE"""),"")</f>
        <v/>
      </c>
      <c r="N2475" t="str">
        <f>IFERROR(__xludf.DUMMYFUNCTION("""COMPUTED_VALUE"""),"")</f>
        <v/>
      </c>
      <c r="O2475" t="str">
        <f>IFERROR(__xludf.DUMMYFUNCTION("""COMPUTED_VALUE"""),"")</f>
        <v/>
      </c>
      <c r="P2475" t="str">
        <f>IFERROR(__xludf.DUMMYFUNCTION("""COMPUTED_VALUE"""),"ID ")</f>
        <v>ID </v>
      </c>
    </row>
    <row r="2476">
      <c r="A2476" s="6" t="str">
        <f>IFERROR(__xludf.DUMMYFUNCTION("""COMPUTED_VALUE"""),"")</f>
        <v/>
      </c>
      <c r="C2476" t="str">
        <f>IFERROR(__xludf.DUMMYFUNCTION("""COMPUTED_VALUE"""),"")</f>
        <v/>
      </c>
      <c r="D2476" t="str">
        <f>IFERROR(__xludf.DUMMYFUNCTION("""COMPUTED_VALUE"""),"")</f>
        <v/>
      </c>
      <c r="E2476" t="str">
        <f>IFERROR(__xludf.DUMMYFUNCTION("""COMPUTED_VALUE"""),"")</f>
        <v/>
      </c>
      <c r="F2476" t="str">
        <f>IFERROR(__xludf.DUMMYFUNCTION("""COMPUTED_VALUE"""),"")</f>
        <v/>
      </c>
      <c r="G2476" t="str">
        <f>IFERROR(__xludf.DUMMYFUNCTION("""COMPUTED_VALUE"""),"")</f>
        <v/>
      </c>
      <c r="H2476" s="2" t="str">
        <f>IFERROR(__xludf.DUMMYFUNCTION("""COMPUTED_VALUE"""),"")</f>
        <v/>
      </c>
      <c r="I2476" s="2" t="str">
        <f>IFERROR(__xludf.DUMMYFUNCTION("""COMPUTED_VALUE"""),"")</f>
        <v/>
      </c>
      <c r="J2476" s="2">
        <f>IFERROR(__xludf.DUMMYFUNCTION("""COMPUTED_VALUE"""),0.0)</f>
        <v>0</v>
      </c>
      <c r="K2476" s="5" t="str">
        <f>IFERROR(__xludf.DUMMYFUNCTION("""COMPUTED_VALUE"""),"")</f>
        <v/>
      </c>
      <c r="L2476" t="str">
        <f>IFERROR(__xludf.DUMMYFUNCTION("""COMPUTED_VALUE"""),"")</f>
        <v/>
      </c>
      <c r="M2476" t="str">
        <f>IFERROR(__xludf.DUMMYFUNCTION("""COMPUTED_VALUE"""),"")</f>
        <v/>
      </c>
      <c r="N2476" t="str">
        <f>IFERROR(__xludf.DUMMYFUNCTION("""COMPUTED_VALUE"""),"")</f>
        <v/>
      </c>
      <c r="O2476" t="str">
        <f>IFERROR(__xludf.DUMMYFUNCTION("""COMPUTED_VALUE"""),"")</f>
        <v/>
      </c>
      <c r="P2476" t="str">
        <f>IFERROR(__xludf.DUMMYFUNCTION("""COMPUTED_VALUE"""),"ID ")</f>
        <v>ID </v>
      </c>
    </row>
    <row r="2477">
      <c r="A2477" s="6" t="str">
        <f>IFERROR(__xludf.DUMMYFUNCTION("""COMPUTED_VALUE"""),"")</f>
        <v/>
      </c>
      <c r="C2477" t="str">
        <f>IFERROR(__xludf.DUMMYFUNCTION("""COMPUTED_VALUE"""),"")</f>
        <v/>
      </c>
      <c r="D2477" t="str">
        <f>IFERROR(__xludf.DUMMYFUNCTION("""COMPUTED_VALUE"""),"")</f>
        <v/>
      </c>
      <c r="E2477" t="str">
        <f>IFERROR(__xludf.DUMMYFUNCTION("""COMPUTED_VALUE"""),"")</f>
        <v/>
      </c>
      <c r="F2477" t="str">
        <f>IFERROR(__xludf.DUMMYFUNCTION("""COMPUTED_VALUE"""),"")</f>
        <v/>
      </c>
      <c r="G2477" t="str">
        <f>IFERROR(__xludf.DUMMYFUNCTION("""COMPUTED_VALUE"""),"")</f>
        <v/>
      </c>
      <c r="H2477" s="2" t="str">
        <f>IFERROR(__xludf.DUMMYFUNCTION("""COMPUTED_VALUE"""),"")</f>
        <v/>
      </c>
      <c r="I2477" s="2" t="str">
        <f>IFERROR(__xludf.DUMMYFUNCTION("""COMPUTED_VALUE"""),"")</f>
        <v/>
      </c>
      <c r="J2477" s="2">
        <f>IFERROR(__xludf.DUMMYFUNCTION("""COMPUTED_VALUE"""),0.0)</f>
        <v>0</v>
      </c>
      <c r="K2477" s="5" t="str">
        <f>IFERROR(__xludf.DUMMYFUNCTION("""COMPUTED_VALUE"""),"")</f>
        <v/>
      </c>
      <c r="L2477" t="str">
        <f>IFERROR(__xludf.DUMMYFUNCTION("""COMPUTED_VALUE"""),"")</f>
        <v/>
      </c>
      <c r="M2477" t="str">
        <f>IFERROR(__xludf.DUMMYFUNCTION("""COMPUTED_VALUE"""),"")</f>
        <v/>
      </c>
      <c r="N2477" t="str">
        <f>IFERROR(__xludf.DUMMYFUNCTION("""COMPUTED_VALUE"""),"")</f>
        <v/>
      </c>
      <c r="O2477" t="str">
        <f>IFERROR(__xludf.DUMMYFUNCTION("""COMPUTED_VALUE"""),"")</f>
        <v/>
      </c>
      <c r="P2477" t="str">
        <f>IFERROR(__xludf.DUMMYFUNCTION("""COMPUTED_VALUE"""),"ID ")</f>
        <v>ID </v>
      </c>
    </row>
    <row r="2478">
      <c r="A2478" s="6" t="str">
        <f>IFERROR(__xludf.DUMMYFUNCTION("""COMPUTED_VALUE"""),"")</f>
        <v/>
      </c>
      <c r="C2478" t="str">
        <f>IFERROR(__xludf.DUMMYFUNCTION("""COMPUTED_VALUE"""),"")</f>
        <v/>
      </c>
      <c r="D2478" t="str">
        <f>IFERROR(__xludf.DUMMYFUNCTION("""COMPUTED_VALUE"""),"")</f>
        <v/>
      </c>
      <c r="E2478" t="str">
        <f>IFERROR(__xludf.DUMMYFUNCTION("""COMPUTED_VALUE"""),"")</f>
        <v/>
      </c>
      <c r="F2478" t="str">
        <f>IFERROR(__xludf.DUMMYFUNCTION("""COMPUTED_VALUE"""),"")</f>
        <v/>
      </c>
      <c r="G2478" t="str">
        <f>IFERROR(__xludf.DUMMYFUNCTION("""COMPUTED_VALUE"""),"")</f>
        <v/>
      </c>
      <c r="H2478" s="2" t="str">
        <f>IFERROR(__xludf.DUMMYFUNCTION("""COMPUTED_VALUE"""),"")</f>
        <v/>
      </c>
      <c r="I2478" s="2" t="str">
        <f>IFERROR(__xludf.DUMMYFUNCTION("""COMPUTED_VALUE"""),"")</f>
        <v/>
      </c>
      <c r="J2478" s="2">
        <f>IFERROR(__xludf.DUMMYFUNCTION("""COMPUTED_VALUE"""),0.0)</f>
        <v>0</v>
      </c>
      <c r="K2478" s="5" t="str">
        <f>IFERROR(__xludf.DUMMYFUNCTION("""COMPUTED_VALUE"""),"")</f>
        <v/>
      </c>
      <c r="L2478" t="str">
        <f>IFERROR(__xludf.DUMMYFUNCTION("""COMPUTED_VALUE"""),"")</f>
        <v/>
      </c>
      <c r="M2478" t="str">
        <f>IFERROR(__xludf.DUMMYFUNCTION("""COMPUTED_VALUE"""),"")</f>
        <v/>
      </c>
      <c r="N2478" t="str">
        <f>IFERROR(__xludf.DUMMYFUNCTION("""COMPUTED_VALUE"""),"")</f>
        <v/>
      </c>
      <c r="O2478" t="str">
        <f>IFERROR(__xludf.DUMMYFUNCTION("""COMPUTED_VALUE"""),"")</f>
        <v/>
      </c>
      <c r="P2478" t="str">
        <f>IFERROR(__xludf.DUMMYFUNCTION("""COMPUTED_VALUE"""),"ID ")</f>
        <v>ID </v>
      </c>
    </row>
    <row r="2479">
      <c r="A2479" s="6" t="str">
        <f>IFERROR(__xludf.DUMMYFUNCTION("""COMPUTED_VALUE"""),"")</f>
        <v/>
      </c>
      <c r="C2479" t="str">
        <f>IFERROR(__xludf.DUMMYFUNCTION("""COMPUTED_VALUE"""),"")</f>
        <v/>
      </c>
      <c r="D2479" t="str">
        <f>IFERROR(__xludf.DUMMYFUNCTION("""COMPUTED_VALUE"""),"")</f>
        <v/>
      </c>
      <c r="E2479" t="str">
        <f>IFERROR(__xludf.DUMMYFUNCTION("""COMPUTED_VALUE"""),"")</f>
        <v/>
      </c>
      <c r="F2479" t="str">
        <f>IFERROR(__xludf.DUMMYFUNCTION("""COMPUTED_VALUE"""),"")</f>
        <v/>
      </c>
      <c r="G2479" t="str">
        <f>IFERROR(__xludf.DUMMYFUNCTION("""COMPUTED_VALUE"""),"")</f>
        <v/>
      </c>
      <c r="H2479" s="2" t="str">
        <f>IFERROR(__xludf.DUMMYFUNCTION("""COMPUTED_VALUE"""),"")</f>
        <v/>
      </c>
      <c r="I2479" s="2" t="str">
        <f>IFERROR(__xludf.DUMMYFUNCTION("""COMPUTED_VALUE"""),"")</f>
        <v/>
      </c>
      <c r="J2479" s="2">
        <f>IFERROR(__xludf.DUMMYFUNCTION("""COMPUTED_VALUE"""),0.0)</f>
        <v>0</v>
      </c>
      <c r="K2479" s="5" t="str">
        <f>IFERROR(__xludf.DUMMYFUNCTION("""COMPUTED_VALUE"""),"")</f>
        <v/>
      </c>
      <c r="L2479" t="str">
        <f>IFERROR(__xludf.DUMMYFUNCTION("""COMPUTED_VALUE"""),"")</f>
        <v/>
      </c>
      <c r="M2479" t="str">
        <f>IFERROR(__xludf.DUMMYFUNCTION("""COMPUTED_VALUE"""),"")</f>
        <v/>
      </c>
      <c r="N2479" t="str">
        <f>IFERROR(__xludf.DUMMYFUNCTION("""COMPUTED_VALUE"""),"")</f>
        <v/>
      </c>
      <c r="O2479" t="str">
        <f>IFERROR(__xludf.DUMMYFUNCTION("""COMPUTED_VALUE"""),"")</f>
        <v/>
      </c>
      <c r="P2479" t="str">
        <f>IFERROR(__xludf.DUMMYFUNCTION("""COMPUTED_VALUE"""),"ID ")</f>
        <v>ID </v>
      </c>
    </row>
    <row r="2480">
      <c r="A2480" s="6" t="str">
        <f>IFERROR(__xludf.DUMMYFUNCTION("""COMPUTED_VALUE"""),"")</f>
        <v/>
      </c>
      <c r="C2480" t="str">
        <f>IFERROR(__xludf.DUMMYFUNCTION("""COMPUTED_VALUE"""),"")</f>
        <v/>
      </c>
      <c r="D2480" t="str">
        <f>IFERROR(__xludf.DUMMYFUNCTION("""COMPUTED_VALUE"""),"")</f>
        <v/>
      </c>
      <c r="E2480" t="str">
        <f>IFERROR(__xludf.DUMMYFUNCTION("""COMPUTED_VALUE"""),"")</f>
        <v/>
      </c>
      <c r="F2480" t="str">
        <f>IFERROR(__xludf.DUMMYFUNCTION("""COMPUTED_VALUE"""),"")</f>
        <v/>
      </c>
      <c r="G2480" t="str">
        <f>IFERROR(__xludf.DUMMYFUNCTION("""COMPUTED_VALUE"""),"")</f>
        <v/>
      </c>
      <c r="H2480" s="2" t="str">
        <f>IFERROR(__xludf.DUMMYFUNCTION("""COMPUTED_VALUE"""),"")</f>
        <v/>
      </c>
      <c r="I2480" s="2" t="str">
        <f>IFERROR(__xludf.DUMMYFUNCTION("""COMPUTED_VALUE"""),"")</f>
        <v/>
      </c>
      <c r="J2480" s="2">
        <f>IFERROR(__xludf.DUMMYFUNCTION("""COMPUTED_VALUE"""),0.0)</f>
        <v>0</v>
      </c>
      <c r="K2480" s="5" t="str">
        <f>IFERROR(__xludf.DUMMYFUNCTION("""COMPUTED_VALUE"""),"")</f>
        <v/>
      </c>
      <c r="L2480" t="str">
        <f>IFERROR(__xludf.DUMMYFUNCTION("""COMPUTED_VALUE"""),"")</f>
        <v/>
      </c>
      <c r="M2480" t="str">
        <f>IFERROR(__xludf.DUMMYFUNCTION("""COMPUTED_VALUE"""),"")</f>
        <v/>
      </c>
      <c r="N2480" t="str">
        <f>IFERROR(__xludf.DUMMYFUNCTION("""COMPUTED_VALUE"""),"")</f>
        <v/>
      </c>
      <c r="O2480" t="str">
        <f>IFERROR(__xludf.DUMMYFUNCTION("""COMPUTED_VALUE"""),"")</f>
        <v/>
      </c>
      <c r="P2480" t="str">
        <f>IFERROR(__xludf.DUMMYFUNCTION("""COMPUTED_VALUE"""),"ID ")</f>
        <v>ID </v>
      </c>
    </row>
    <row r="2481">
      <c r="A2481" s="6" t="str">
        <f>IFERROR(__xludf.DUMMYFUNCTION("""COMPUTED_VALUE"""),"")</f>
        <v/>
      </c>
      <c r="C2481" t="str">
        <f>IFERROR(__xludf.DUMMYFUNCTION("""COMPUTED_VALUE"""),"")</f>
        <v/>
      </c>
      <c r="D2481" t="str">
        <f>IFERROR(__xludf.DUMMYFUNCTION("""COMPUTED_VALUE"""),"")</f>
        <v/>
      </c>
      <c r="E2481" t="str">
        <f>IFERROR(__xludf.DUMMYFUNCTION("""COMPUTED_VALUE"""),"")</f>
        <v/>
      </c>
      <c r="F2481" t="str">
        <f>IFERROR(__xludf.DUMMYFUNCTION("""COMPUTED_VALUE"""),"")</f>
        <v/>
      </c>
      <c r="G2481" t="str">
        <f>IFERROR(__xludf.DUMMYFUNCTION("""COMPUTED_VALUE"""),"")</f>
        <v/>
      </c>
      <c r="H2481" s="2" t="str">
        <f>IFERROR(__xludf.DUMMYFUNCTION("""COMPUTED_VALUE"""),"")</f>
        <v/>
      </c>
      <c r="I2481" s="2" t="str">
        <f>IFERROR(__xludf.DUMMYFUNCTION("""COMPUTED_VALUE"""),"")</f>
        <v/>
      </c>
      <c r="J2481" s="2">
        <f>IFERROR(__xludf.DUMMYFUNCTION("""COMPUTED_VALUE"""),0.0)</f>
        <v>0</v>
      </c>
      <c r="K2481" s="5" t="str">
        <f>IFERROR(__xludf.DUMMYFUNCTION("""COMPUTED_VALUE"""),"")</f>
        <v/>
      </c>
      <c r="L2481" t="str">
        <f>IFERROR(__xludf.DUMMYFUNCTION("""COMPUTED_VALUE"""),"")</f>
        <v/>
      </c>
      <c r="M2481" t="str">
        <f>IFERROR(__xludf.DUMMYFUNCTION("""COMPUTED_VALUE"""),"")</f>
        <v/>
      </c>
      <c r="N2481" t="str">
        <f>IFERROR(__xludf.DUMMYFUNCTION("""COMPUTED_VALUE"""),"")</f>
        <v/>
      </c>
      <c r="O2481" t="str">
        <f>IFERROR(__xludf.DUMMYFUNCTION("""COMPUTED_VALUE"""),"")</f>
        <v/>
      </c>
      <c r="P2481" t="str">
        <f>IFERROR(__xludf.DUMMYFUNCTION("""COMPUTED_VALUE"""),"ID ")</f>
        <v>ID </v>
      </c>
    </row>
    <row r="2482">
      <c r="A2482" s="6" t="str">
        <f>IFERROR(__xludf.DUMMYFUNCTION("""COMPUTED_VALUE"""),"")</f>
        <v/>
      </c>
      <c r="C2482" t="str">
        <f>IFERROR(__xludf.DUMMYFUNCTION("""COMPUTED_VALUE"""),"")</f>
        <v/>
      </c>
      <c r="D2482" t="str">
        <f>IFERROR(__xludf.DUMMYFUNCTION("""COMPUTED_VALUE"""),"")</f>
        <v/>
      </c>
      <c r="E2482" t="str">
        <f>IFERROR(__xludf.DUMMYFUNCTION("""COMPUTED_VALUE"""),"")</f>
        <v/>
      </c>
      <c r="F2482" t="str">
        <f>IFERROR(__xludf.DUMMYFUNCTION("""COMPUTED_VALUE"""),"")</f>
        <v/>
      </c>
      <c r="G2482" t="str">
        <f>IFERROR(__xludf.DUMMYFUNCTION("""COMPUTED_VALUE"""),"")</f>
        <v/>
      </c>
      <c r="H2482" s="2" t="str">
        <f>IFERROR(__xludf.DUMMYFUNCTION("""COMPUTED_VALUE"""),"")</f>
        <v/>
      </c>
      <c r="I2482" s="2" t="str">
        <f>IFERROR(__xludf.DUMMYFUNCTION("""COMPUTED_VALUE"""),"")</f>
        <v/>
      </c>
      <c r="J2482" s="2">
        <f>IFERROR(__xludf.DUMMYFUNCTION("""COMPUTED_VALUE"""),0.0)</f>
        <v>0</v>
      </c>
      <c r="K2482" s="5" t="str">
        <f>IFERROR(__xludf.DUMMYFUNCTION("""COMPUTED_VALUE"""),"")</f>
        <v/>
      </c>
      <c r="L2482" t="str">
        <f>IFERROR(__xludf.DUMMYFUNCTION("""COMPUTED_VALUE"""),"")</f>
        <v/>
      </c>
      <c r="M2482" t="str">
        <f>IFERROR(__xludf.DUMMYFUNCTION("""COMPUTED_VALUE"""),"")</f>
        <v/>
      </c>
      <c r="N2482" t="str">
        <f>IFERROR(__xludf.DUMMYFUNCTION("""COMPUTED_VALUE"""),"")</f>
        <v/>
      </c>
      <c r="O2482" t="str">
        <f>IFERROR(__xludf.DUMMYFUNCTION("""COMPUTED_VALUE"""),"")</f>
        <v/>
      </c>
      <c r="P2482" t="str">
        <f>IFERROR(__xludf.DUMMYFUNCTION("""COMPUTED_VALUE"""),"ID ")</f>
        <v>ID </v>
      </c>
    </row>
    <row r="2483">
      <c r="A2483" s="6" t="str">
        <f>IFERROR(__xludf.DUMMYFUNCTION("""COMPUTED_VALUE"""),"")</f>
        <v/>
      </c>
      <c r="C2483" t="str">
        <f>IFERROR(__xludf.DUMMYFUNCTION("""COMPUTED_VALUE"""),"")</f>
        <v/>
      </c>
      <c r="D2483" t="str">
        <f>IFERROR(__xludf.DUMMYFUNCTION("""COMPUTED_VALUE"""),"")</f>
        <v/>
      </c>
      <c r="E2483" t="str">
        <f>IFERROR(__xludf.DUMMYFUNCTION("""COMPUTED_VALUE"""),"")</f>
        <v/>
      </c>
      <c r="F2483" t="str">
        <f>IFERROR(__xludf.DUMMYFUNCTION("""COMPUTED_VALUE"""),"")</f>
        <v/>
      </c>
      <c r="G2483" t="str">
        <f>IFERROR(__xludf.DUMMYFUNCTION("""COMPUTED_VALUE"""),"")</f>
        <v/>
      </c>
      <c r="H2483" s="2" t="str">
        <f>IFERROR(__xludf.DUMMYFUNCTION("""COMPUTED_VALUE"""),"")</f>
        <v/>
      </c>
      <c r="I2483" s="2" t="str">
        <f>IFERROR(__xludf.DUMMYFUNCTION("""COMPUTED_VALUE"""),"")</f>
        <v/>
      </c>
      <c r="J2483" s="2">
        <f>IFERROR(__xludf.DUMMYFUNCTION("""COMPUTED_VALUE"""),0.0)</f>
        <v>0</v>
      </c>
      <c r="K2483" s="5" t="str">
        <f>IFERROR(__xludf.DUMMYFUNCTION("""COMPUTED_VALUE"""),"")</f>
        <v/>
      </c>
      <c r="L2483" t="str">
        <f>IFERROR(__xludf.DUMMYFUNCTION("""COMPUTED_VALUE"""),"")</f>
        <v/>
      </c>
      <c r="M2483" t="str">
        <f>IFERROR(__xludf.DUMMYFUNCTION("""COMPUTED_VALUE"""),"")</f>
        <v/>
      </c>
      <c r="N2483" t="str">
        <f>IFERROR(__xludf.DUMMYFUNCTION("""COMPUTED_VALUE"""),"")</f>
        <v/>
      </c>
      <c r="O2483" t="str">
        <f>IFERROR(__xludf.DUMMYFUNCTION("""COMPUTED_VALUE"""),"")</f>
        <v/>
      </c>
      <c r="P2483" t="str">
        <f>IFERROR(__xludf.DUMMYFUNCTION("""COMPUTED_VALUE"""),"ID ")</f>
        <v>ID </v>
      </c>
    </row>
    <row r="2484">
      <c r="A2484" s="6" t="str">
        <f>IFERROR(__xludf.DUMMYFUNCTION("""COMPUTED_VALUE"""),"")</f>
        <v/>
      </c>
      <c r="C2484" t="str">
        <f>IFERROR(__xludf.DUMMYFUNCTION("""COMPUTED_VALUE"""),"")</f>
        <v/>
      </c>
      <c r="D2484" t="str">
        <f>IFERROR(__xludf.DUMMYFUNCTION("""COMPUTED_VALUE"""),"")</f>
        <v/>
      </c>
      <c r="E2484" t="str">
        <f>IFERROR(__xludf.DUMMYFUNCTION("""COMPUTED_VALUE"""),"")</f>
        <v/>
      </c>
      <c r="F2484" t="str">
        <f>IFERROR(__xludf.DUMMYFUNCTION("""COMPUTED_VALUE"""),"")</f>
        <v/>
      </c>
      <c r="G2484" t="str">
        <f>IFERROR(__xludf.DUMMYFUNCTION("""COMPUTED_VALUE"""),"")</f>
        <v/>
      </c>
      <c r="H2484" s="2" t="str">
        <f>IFERROR(__xludf.DUMMYFUNCTION("""COMPUTED_VALUE"""),"")</f>
        <v/>
      </c>
      <c r="I2484" s="2" t="str">
        <f>IFERROR(__xludf.DUMMYFUNCTION("""COMPUTED_VALUE"""),"")</f>
        <v/>
      </c>
      <c r="J2484" s="2">
        <f>IFERROR(__xludf.DUMMYFUNCTION("""COMPUTED_VALUE"""),0.0)</f>
        <v>0</v>
      </c>
      <c r="K2484" s="5" t="str">
        <f>IFERROR(__xludf.DUMMYFUNCTION("""COMPUTED_VALUE"""),"")</f>
        <v/>
      </c>
      <c r="L2484" t="str">
        <f>IFERROR(__xludf.DUMMYFUNCTION("""COMPUTED_VALUE"""),"")</f>
        <v/>
      </c>
      <c r="M2484" t="str">
        <f>IFERROR(__xludf.DUMMYFUNCTION("""COMPUTED_VALUE"""),"")</f>
        <v/>
      </c>
      <c r="N2484" t="str">
        <f>IFERROR(__xludf.DUMMYFUNCTION("""COMPUTED_VALUE"""),"")</f>
        <v/>
      </c>
      <c r="O2484" t="str">
        <f>IFERROR(__xludf.DUMMYFUNCTION("""COMPUTED_VALUE"""),"")</f>
        <v/>
      </c>
      <c r="P2484" t="str">
        <f>IFERROR(__xludf.DUMMYFUNCTION("""COMPUTED_VALUE"""),"ID ")</f>
        <v>ID </v>
      </c>
    </row>
    <row r="2485">
      <c r="A2485" s="6" t="str">
        <f>IFERROR(__xludf.DUMMYFUNCTION("""COMPUTED_VALUE"""),"")</f>
        <v/>
      </c>
      <c r="C2485" t="str">
        <f>IFERROR(__xludf.DUMMYFUNCTION("""COMPUTED_VALUE"""),"")</f>
        <v/>
      </c>
      <c r="D2485" t="str">
        <f>IFERROR(__xludf.DUMMYFUNCTION("""COMPUTED_VALUE"""),"")</f>
        <v/>
      </c>
      <c r="E2485" t="str">
        <f>IFERROR(__xludf.DUMMYFUNCTION("""COMPUTED_VALUE"""),"")</f>
        <v/>
      </c>
      <c r="F2485" t="str">
        <f>IFERROR(__xludf.DUMMYFUNCTION("""COMPUTED_VALUE"""),"")</f>
        <v/>
      </c>
      <c r="G2485" t="str">
        <f>IFERROR(__xludf.DUMMYFUNCTION("""COMPUTED_VALUE"""),"")</f>
        <v/>
      </c>
      <c r="H2485" s="2" t="str">
        <f>IFERROR(__xludf.DUMMYFUNCTION("""COMPUTED_VALUE"""),"")</f>
        <v/>
      </c>
      <c r="I2485" s="2" t="str">
        <f>IFERROR(__xludf.DUMMYFUNCTION("""COMPUTED_VALUE"""),"")</f>
        <v/>
      </c>
      <c r="J2485" s="2">
        <f>IFERROR(__xludf.DUMMYFUNCTION("""COMPUTED_VALUE"""),0.0)</f>
        <v>0</v>
      </c>
      <c r="K2485" s="5" t="str">
        <f>IFERROR(__xludf.DUMMYFUNCTION("""COMPUTED_VALUE"""),"")</f>
        <v/>
      </c>
      <c r="L2485" t="str">
        <f>IFERROR(__xludf.DUMMYFUNCTION("""COMPUTED_VALUE"""),"")</f>
        <v/>
      </c>
      <c r="M2485" t="str">
        <f>IFERROR(__xludf.DUMMYFUNCTION("""COMPUTED_VALUE"""),"")</f>
        <v/>
      </c>
      <c r="N2485" t="str">
        <f>IFERROR(__xludf.DUMMYFUNCTION("""COMPUTED_VALUE"""),"")</f>
        <v/>
      </c>
      <c r="O2485" t="str">
        <f>IFERROR(__xludf.DUMMYFUNCTION("""COMPUTED_VALUE"""),"")</f>
        <v/>
      </c>
      <c r="P2485" t="str">
        <f>IFERROR(__xludf.DUMMYFUNCTION("""COMPUTED_VALUE"""),"ID ")</f>
        <v>ID </v>
      </c>
    </row>
    <row r="2486">
      <c r="A2486" s="6" t="str">
        <f>IFERROR(__xludf.DUMMYFUNCTION("""COMPUTED_VALUE"""),"")</f>
        <v/>
      </c>
      <c r="C2486" t="str">
        <f>IFERROR(__xludf.DUMMYFUNCTION("""COMPUTED_VALUE"""),"")</f>
        <v/>
      </c>
      <c r="D2486" t="str">
        <f>IFERROR(__xludf.DUMMYFUNCTION("""COMPUTED_VALUE"""),"")</f>
        <v/>
      </c>
      <c r="E2486" t="str">
        <f>IFERROR(__xludf.DUMMYFUNCTION("""COMPUTED_VALUE"""),"")</f>
        <v/>
      </c>
      <c r="F2486" t="str">
        <f>IFERROR(__xludf.DUMMYFUNCTION("""COMPUTED_VALUE"""),"")</f>
        <v/>
      </c>
      <c r="G2486" t="str">
        <f>IFERROR(__xludf.DUMMYFUNCTION("""COMPUTED_VALUE"""),"")</f>
        <v/>
      </c>
      <c r="H2486" s="2" t="str">
        <f>IFERROR(__xludf.DUMMYFUNCTION("""COMPUTED_VALUE"""),"")</f>
        <v/>
      </c>
      <c r="I2486" s="2" t="str">
        <f>IFERROR(__xludf.DUMMYFUNCTION("""COMPUTED_VALUE"""),"")</f>
        <v/>
      </c>
      <c r="J2486" s="2">
        <f>IFERROR(__xludf.DUMMYFUNCTION("""COMPUTED_VALUE"""),0.0)</f>
        <v>0</v>
      </c>
      <c r="K2486" s="5" t="str">
        <f>IFERROR(__xludf.DUMMYFUNCTION("""COMPUTED_VALUE"""),"")</f>
        <v/>
      </c>
      <c r="L2486" t="str">
        <f>IFERROR(__xludf.DUMMYFUNCTION("""COMPUTED_VALUE"""),"")</f>
        <v/>
      </c>
      <c r="M2486" t="str">
        <f>IFERROR(__xludf.DUMMYFUNCTION("""COMPUTED_VALUE"""),"")</f>
        <v/>
      </c>
      <c r="N2486" t="str">
        <f>IFERROR(__xludf.DUMMYFUNCTION("""COMPUTED_VALUE"""),"")</f>
        <v/>
      </c>
      <c r="O2486" t="str">
        <f>IFERROR(__xludf.DUMMYFUNCTION("""COMPUTED_VALUE"""),"")</f>
        <v/>
      </c>
      <c r="P2486" t="str">
        <f>IFERROR(__xludf.DUMMYFUNCTION("""COMPUTED_VALUE"""),"ID ")</f>
        <v>ID </v>
      </c>
    </row>
    <row r="2487">
      <c r="A2487" s="6" t="str">
        <f>IFERROR(__xludf.DUMMYFUNCTION("""COMPUTED_VALUE"""),"")</f>
        <v/>
      </c>
      <c r="C2487" t="str">
        <f>IFERROR(__xludf.DUMMYFUNCTION("""COMPUTED_VALUE"""),"")</f>
        <v/>
      </c>
      <c r="D2487" t="str">
        <f>IFERROR(__xludf.DUMMYFUNCTION("""COMPUTED_VALUE"""),"")</f>
        <v/>
      </c>
      <c r="E2487" t="str">
        <f>IFERROR(__xludf.DUMMYFUNCTION("""COMPUTED_VALUE"""),"")</f>
        <v/>
      </c>
      <c r="F2487" t="str">
        <f>IFERROR(__xludf.DUMMYFUNCTION("""COMPUTED_VALUE"""),"")</f>
        <v/>
      </c>
      <c r="G2487" t="str">
        <f>IFERROR(__xludf.DUMMYFUNCTION("""COMPUTED_VALUE"""),"")</f>
        <v/>
      </c>
      <c r="H2487" s="2" t="str">
        <f>IFERROR(__xludf.DUMMYFUNCTION("""COMPUTED_VALUE"""),"")</f>
        <v/>
      </c>
      <c r="I2487" s="2" t="str">
        <f>IFERROR(__xludf.DUMMYFUNCTION("""COMPUTED_VALUE"""),"")</f>
        <v/>
      </c>
      <c r="J2487" s="2">
        <f>IFERROR(__xludf.DUMMYFUNCTION("""COMPUTED_VALUE"""),0.0)</f>
        <v>0</v>
      </c>
      <c r="K2487" s="5" t="str">
        <f>IFERROR(__xludf.DUMMYFUNCTION("""COMPUTED_VALUE"""),"")</f>
        <v/>
      </c>
      <c r="L2487" t="str">
        <f>IFERROR(__xludf.DUMMYFUNCTION("""COMPUTED_VALUE"""),"")</f>
        <v/>
      </c>
      <c r="M2487" t="str">
        <f>IFERROR(__xludf.DUMMYFUNCTION("""COMPUTED_VALUE"""),"")</f>
        <v/>
      </c>
      <c r="N2487" t="str">
        <f>IFERROR(__xludf.DUMMYFUNCTION("""COMPUTED_VALUE"""),"")</f>
        <v/>
      </c>
      <c r="O2487" t="str">
        <f>IFERROR(__xludf.DUMMYFUNCTION("""COMPUTED_VALUE"""),"")</f>
        <v/>
      </c>
      <c r="P2487" t="str">
        <f>IFERROR(__xludf.DUMMYFUNCTION("""COMPUTED_VALUE"""),"ID ")</f>
        <v>ID </v>
      </c>
    </row>
    <row r="2488">
      <c r="A2488" s="6" t="str">
        <f>IFERROR(__xludf.DUMMYFUNCTION("""COMPUTED_VALUE"""),"")</f>
        <v/>
      </c>
      <c r="C2488" t="str">
        <f>IFERROR(__xludf.DUMMYFUNCTION("""COMPUTED_VALUE"""),"")</f>
        <v/>
      </c>
      <c r="D2488" t="str">
        <f>IFERROR(__xludf.DUMMYFUNCTION("""COMPUTED_VALUE"""),"")</f>
        <v/>
      </c>
      <c r="E2488" t="str">
        <f>IFERROR(__xludf.DUMMYFUNCTION("""COMPUTED_VALUE"""),"")</f>
        <v/>
      </c>
      <c r="F2488" t="str">
        <f>IFERROR(__xludf.DUMMYFUNCTION("""COMPUTED_VALUE"""),"")</f>
        <v/>
      </c>
      <c r="G2488" t="str">
        <f>IFERROR(__xludf.DUMMYFUNCTION("""COMPUTED_VALUE"""),"")</f>
        <v/>
      </c>
      <c r="H2488" s="2" t="str">
        <f>IFERROR(__xludf.DUMMYFUNCTION("""COMPUTED_VALUE"""),"")</f>
        <v/>
      </c>
      <c r="I2488" s="2" t="str">
        <f>IFERROR(__xludf.DUMMYFUNCTION("""COMPUTED_VALUE"""),"")</f>
        <v/>
      </c>
      <c r="J2488" s="2">
        <f>IFERROR(__xludf.DUMMYFUNCTION("""COMPUTED_VALUE"""),0.0)</f>
        <v>0</v>
      </c>
      <c r="K2488" s="5" t="str">
        <f>IFERROR(__xludf.DUMMYFUNCTION("""COMPUTED_VALUE"""),"")</f>
        <v/>
      </c>
      <c r="L2488" t="str">
        <f>IFERROR(__xludf.DUMMYFUNCTION("""COMPUTED_VALUE"""),"")</f>
        <v/>
      </c>
      <c r="M2488" t="str">
        <f>IFERROR(__xludf.DUMMYFUNCTION("""COMPUTED_VALUE"""),"")</f>
        <v/>
      </c>
      <c r="N2488" t="str">
        <f>IFERROR(__xludf.DUMMYFUNCTION("""COMPUTED_VALUE"""),"")</f>
        <v/>
      </c>
      <c r="O2488" t="str">
        <f>IFERROR(__xludf.DUMMYFUNCTION("""COMPUTED_VALUE"""),"")</f>
        <v/>
      </c>
      <c r="P2488" t="str">
        <f>IFERROR(__xludf.DUMMYFUNCTION("""COMPUTED_VALUE"""),"ID ")</f>
        <v>ID </v>
      </c>
    </row>
    <row r="2489">
      <c r="A2489" s="6" t="str">
        <f>IFERROR(__xludf.DUMMYFUNCTION("""COMPUTED_VALUE"""),"")</f>
        <v/>
      </c>
      <c r="C2489" t="str">
        <f>IFERROR(__xludf.DUMMYFUNCTION("""COMPUTED_VALUE"""),"")</f>
        <v/>
      </c>
      <c r="D2489" t="str">
        <f>IFERROR(__xludf.DUMMYFUNCTION("""COMPUTED_VALUE"""),"")</f>
        <v/>
      </c>
      <c r="E2489" t="str">
        <f>IFERROR(__xludf.DUMMYFUNCTION("""COMPUTED_VALUE"""),"")</f>
        <v/>
      </c>
      <c r="F2489" t="str">
        <f>IFERROR(__xludf.DUMMYFUNCTION("""COMPUTED_VALUE"""),"")</f>
        <v/>
      </c>
      <c r="G2489" t="str">
        <f>IFERROR(__xludf.DUMMYFUNCTION("""COMPUTED_VALUE"""),"")</f>
        <v/>
      </c>
      <c r="H2489" s="2" t="str">
        <f>IFERROR(__xludf.DUMMYFUNCTION("""COMPUTED_VALUE"""),"")</f>
        <v/>
      </c>
      <c r="I2489" s="2" t="str">
        <f>IFERROR(__xludf.DUMMYFUNCTION("""COMPUTED_VALUE"""),"")</f>
        <v/>
      </c>
      <c r="J2489" s="2">
        <f>IFERROR(__xludf.DUMMYFUNCTION("""COMPUTED_VALUE"""),0.0)</f>
        <v>0</v>
      </c>
      <c r="K2489" s="5" t="str">
        <f>IFERROR(__xludf.DUMMYFUNCTION("""COMPUTED_VALUE"""),"")</f>
        <v/>
      </c>
      <c r="L2489" t="str">
        <f>IFERROR(__xludf.DUMMYFUNCTION("""COMPUTED_VALUE"""),"")</f>
        <v/>
      </c>
      <c r="M2489" t="str">
        <f>IFERROR(__xludf.DUMMYFUNCTION("""COMPUTED_VALUE"""),"")</f>
        <v/>
      </c>
      <c r="N2489" t="str">
        <f>IFERROR(__xludf.DUMMYFUNCTION("""COMPUTED_VALUE"""),"")</f>
        <v/>
      </c>
      <c r="O2489" t="str">
        <f>IFERROR(__xludf.DUMMYFUNCTION("""COMPUTED_VALUE"""),"")</f>
        <v/>
      </c>
      <c r="P2489" t="str">
        <f>IFERROR(__xludf.DUMMYFUNCTION("""COMPUTED_VALUE"""),"ID ")</f>
        <v>ID </v>
      </c>
    </row>
    <row r="2490">
      <c r="A2490" s="6" t="str">
        <f>IFERROR(__xludf.DUMMYFUNCTION("""COMPUTED_VALUE"""),"")</f>
        <v/>
      </c>
      <c r="C2490" t="str">
        <f>IFERROR(__xludf.DUMMYFUNCTION("""COMPUTED_VALUE"""),"")</f>
        <v/>
      </c>
      <c r="D2490" t="str">
        <f>IFERROR(__xludf.DUMMYFUNCTION("""COMPUTED_VALUE"""),"")</f>
        <v/>
      </c>
      <c r="E2490" t="str">
        <f>IFERROR(__xludf.DUMMYFUNCTION("""COMPUTED_VALUE"""),"")</f>
        <v/>
      </c>
      <c r="F2490" t="str">
        <f>IFERROR(__xludf.DUMMYFUNCTION("""COMPUTED_VALUE"""),"")</f>
        <v/>
      </c>
      <c r="G2490" t="str">
        <f>IFERROR(__xludf.DUMMYFUNCTION("""COMPUTED_VALUE"""),"")</f>
        <v/>
      </c>
      <c r="H2490" s="2" t="str">
        <f>IFERROR(__xludf.DUMMYFUNCTION("""COMPUTED_VALUE"""),"")</f>
        <v/>
      </c>
      <c r="I2490" s="2" t="str">
        <f>IFERROR(__xludf.DUMMYFUNCTION("""COMPUTED_VALUE"""),"")</f>
        <v/>
      </c>
      <c r="J2490" s="2">
        <f>IFERROR(__xludf.DUMMYFUNCTION("""COMPUTED_VALUE"""),0.0)</f>
        <v>0</v>
      </c>
      <c r="K2490" s="5" t="str">
        <f>IFERROR(__xludf.DUMMYFUNCTION("""COMPUTED_VALUE"""),"")</f>
        <v/>
      </c>
      <c r="L2490" t="str">
        <f>IFERROR(__xludf.DUMMYFUNCTION("""COMPUTED_VALUE"""),"")</f>
        <v/>
      </c>
      <c r="M2490" t="str">
        <f>IFERROR(__xludf.DUMMYFUNCTION("""COMPUTED_VALUE"""),"")</f>
        <v/>
      </c>
      <c r="N2490" t="str">
        <f>IFERROR(__xludf.DUMMYFUNCTION("""COMPUTED_VALUE"""),"")</f>
        <v/>
      </c>
      <c r="O2490" t="str">
        <f>IFERROR(__xludf.DUMMYFUNCTION("""COMPUTED_VALUE"""),"")</f>
        <v/>
      </c>
      <c r="P2490" t="str">
        <f>IFERROR(__xludf.DUMMYFUNCTION("""COMPUTED_VALUE"""),"ID ")</f>
        <v>ID </v>
      </c>
    </row>
    <row r="2491">
      <c r="A2491" s="6" t="str">
        <f>IFERROR(__xludf.DUMMYFUNCTION("""COMPUTED_VALUE"""),"")</f>
        <v/>
      </c>
      <c r="C2491" t="str">
        <f>IFERROR(__xludf.DUMMYFUNCTION("""COMPUTED_VALUE"""),"")</f>
        <v/>
      </c>
      <c r="D2491" t="str">
        <f>IFERROR(__xludf.DUMMYFUNCTION("""COMPUTED_VALUE"""),"")</f>
        <v/>
      </c>
      <c r="E2491" t="str">
        <f>IFERROR(__xludf.DUMMYFUNCTION("""COMPUTED_VALUE"""),"")</f>
        <v/>
      </c>
      <c r="F2491" t="str">
        <f>IFERROR(__xludf.DUMMYFUNCTION("""COMPUTED_VALUE"""),"")</f>
        <v/>
      </c>
      <c r="G2491" t="str">
        <f>IFERROR(__xludf.DUMMYFUNCTION("""COMPUTED_VALUE"""),"")</f>
        <v/>
      </c>
      <c r="H2491" s="2" t="str">
        <f>IFERROR(__xludf.DUMMYFUNCTION("""COMPUTED_VALUE"""),"")</f>
        <v/>
      </c>
      <c r="I2491" s="2" t="str">
        <f>IFERROR(__xludf.DUMMYFUNCTION("""COMPUTED_VALUE"""),"")</f>
        <v/>
      </c>
      <c r="J2491" s="2">
        <f>IFERROR(__xludf.DUMMYFUNCTION("""COMPUTED_VALUE"""),0.0)</f>
        <v>0</v>
      </c>
      <c r="K2491" s="5" t="str">
        <f>IFERROR(__xludf.DUMMYFUNCTION("""COMPUTED_VALUE"""),"")</f>
        <v/>
      </c>
      <c r="L2491" t="str">
        <f>IFERROR(__xludf.DUMMYFUNCTION("""COMPUTED_VALUE"""),"")</f>
        <v/>
      </c>
      <c r="M2491" t="str">
        <f>IFERROR(__xludf.DUMMYFUNCTION("""COMPUTED_VALUE"""),"")</f>
        <v/>
      </c>
      <c r="N2491" t="str">
        <f>IFERROR(__xludf.DUMMYFUNCTION("""COMPUTED_VALUE"""),"")</f>
        <v/>
      </c>
      <c r="O2491" t="str">
        <f>IFERROR(__xludf.DUMMYFUNCTION("""COMPUTED_VALUE"""),"")</f>
        <v/>
      </c>
      <c r="P2491" t="str">
        <f>IFERROR(__xludf.DUMMYFUNCTION("""COMPUTED_VALUE"""),"ID ")</f>
        <v>ID </v>
      </c>
    </row>
    <row r="2492">
      <c r="A2492" s="6" t="str">
        <f>IFERROR(__xludf.DUMMYFUNCTION("""COMPUTED_VALUE"""),"")</f>
        <v/>
      </c>
      <c r="C2492" t="str">
        <f>IFERROR(__xludf.DUMMYFUNCTION("""COMPUTED_VALUE"""),"")</f>
        <v/>
      </c>
      <c r="D2492" t="str">
        <f>IFERROR(__xludf.DUMMYFUNCTION("""COMPUTED_VALUE"""),"")</f>
        <v/>
      </c>
      <c r="E2492" t="str">
        <f>IFERROR(__xludf.DUMMYFUNCTION("""COMPUTED_VALUE"""),"")</f>
        <v/>
      </c>
      <c r="F2492" t="str">
        <f>IFERROR(__xludf.DUMMYFUNCTION("""COMPUTED_VALUE"""),"")</f>
        <v/>
      </c>
      <c r="G2492" t="str">
        <f>IFERROR(__xludf.DUMMYFUNCTION("""COMPUTED_VALUE"""),"")</f>
        <v/>
      </c>
      <c r="H2492" s="2" t="str">
        <f>IFERROR(__xludf.DUMMYFUNCTION("""COMPUTED_VALUE"""),"")</f>
        <v/>
      </c>
      <c r="I2492" s="2" t="str">
        <f>IFERROR(__xludf.DUMMYFUNCTION("""COMPUTED_VALUE"""),"")</f>
        <v/>
      </c>
      <c r="J2492" s="2">
        <f>IFERROR(__xludf.DUMMYFUNCTION("""COMPUTED_VALUE"""),0.0)</f>
        <v>0</v>
      </c>
      <c r="K2492" s="5" t="str">
        <f>IFERROR(__xludf.DUMMYFUNCTION("""COMPUTED_VALUE"""),"")</f>
        <v/>
      </c>
      <c r="L2492" t="str">
        <f>IFERROR(__xludf.DUMMYFUNCTION("""COMPUTED_VALUE"""),"")</f>
        <v/>
      </c>
      <c r="M2492" t="str">
        <f>IFERROR(__xludf.DUMMYFUNCTION("""COMPUTED_VALUE"""),"")</f>
        <v/>
      </c>
      <c r="N2492" t="str">
        <f>IFERROR(__xludf.DUMMYFUNCTION("""COMPUTED_VALUE"""),"")</f>
        <v/>
      </c>
      <c r="O2492" t="str">
        <f>IFERROR(__xludf.DUMMYFUNCTION("""COMPUTED_VALUE"""),"")</f>
        <v/>
      </c>
      <c r="P2492" t="str">
        <f>IFERROR(__xludf.DUMMYFUNCTION("""COMPUTED_VALUE"""),"ID ")</f>
        <v>ID </v>
      </c>
    </row>
    <row r="2493">
      <c r="A2493" s="6" t="str">
        <f>IFERROR(__xludf.DUMMYFUNCTION("""COMPUTED_VALUE"""),"")</f>
        <v/>
      </c>
      <c r="C2493" t="str">
        <f>IFERROR(__xludf.DUMMYFUNCTION("""COMPUTED_VALUE"""),"")</f>
        <v/>
      </c>
      <c r="D2493" t="str">
        <f>IFERROR(__xludf.DUMMYFUNCTION("""COMPUTED_VALUE"""),"")</f>
        <v/>
      </c>
      <c r="E2493" t="str">
        <f>IFERROR(__xludf.DUMMYFUNCTION("""COMPUTED_VALUE"""),"")</f>
        <v/>
      </c>
      <c r="F2493" t="str">
        <f>IFERROR(__xludf.DUMMYFUNCTION("""COMPUTED_VALUE"""),"")</f>
        <v/>
      </c>
      <c r="G2493" t="str">
        <f>IFERROR(__xludf.DUMMYFUNCTION("""COMPUTED_VALUE"""),"")</f>
        <v/>
      </c>
      <c r="H2493" s="2" t="str">
        <f>IFERROR(__xludf.DUMMYFUNCTION("""COMPUTED_VALUE"""),"")</f>
        <v/>
      </c>
      <c r="I2493" s="2" t="str">
        <f>IFERROR(__xludf.DUMMYFUNCTION("""COMPUTED_VALUE"""),"")</f>
        <v/>
      </c>
      <c r="J2493" s="2">
        <f>IFERROR(__xludf.DUMMYFUNCTION("""COMPUTED_VALUE"""),0.0)</f>
        <v>0</v>
      </c>
      <c r="K2493" s="5" t="str">
        <f>IFERROR(__xludf.DUMMYFUNCTION("""COMPUTED_VALUE"""),"")</f>
        <v/>
      </c>
      <c r="L2493" t="str">
        <f>IFERROR(__xludf.DUMMYFUNCTION("""COMPUTED_VALUE"""),"")</f>
        <v/>
      </c>
      <c r="M2493" t="str">
        <f>IFERROR(__xludf.DUMMYFUNCTION("""COMPUTED_VALUE"""),"")</f>
        <v/>
      </c>
      <c r="N2493" t="str">
        <f>IFERROR(__xludf.DUMMYFUNCTION("""COMPUTED_VALUE"""),"")</f>
        <v/>
      </c>
      <c r="O2493" t="str">
        <f>IFERROR(__xludf.DUMMYFUNCTION("""COMPUTED_VALUE"""),"")</f>
        <v/>
      </c>
      <c r="P2493" t="str">
        <f>IFERROR(__xludf.DUMMYFUNCTION("""COMPUTED_VALUE"""),"ID ")</f>
        <v>ID </v>
      </c>
    </row>
    <row r="2494">
      <c r="A2494" s="6" t="str">
        <f>IFERROR(__xludf.DUMMYFUNCTION("""COMPUTED_VALUE"""),"")</f>
        <v/>
      </c>
      <c r="C2494" t="str">
        <f>IFERROR(__xludf.DUMMYFUNCTION("""COMPUTED_VALUE"""),"")</f>
        <v/>
      </c>
      <c r="D2494" t="str">
        <f>IFERROR(__xludf.DUMMYFUNCTION("""COMPUTED_VALUE"""),"")</f>
        <v/>
      </c>
      <c r="E2494" t="str">
        <f>IFERROR(__xludf.DUMMYFUNCTION("""COMPUTED_VALUE"""),"")</f>
        <v/>
      </c>
      <c r="F2494" t="str">
        <f>IFERROR(__xludf.DUMMYFUNCTION("""COMPUTED_VALUE"""),"")</f>
        <v/>
      </c>
      <c r="G2494" t="str">
        <f>IFERROR(__xludf.DUMMYFUNCTION("""COMPUTED_VALUE"""),"")</f>
        <v/>
      </c>
      <c r="H2494" s="2" t="str">
        <f>IFERROR(__xludf.DUMMYFUNCTION("""COMPUTED_VALUE"""),"")</f>
        <v/>
      </c>
      <c r="I2494" s="2" t="str">
        <f>IFERROR(__xludf.DUMMYFUNCTION("""COMPUTED_VALUE"""),"")</f>
        <v/>
      </c>
      <c r="J2494" s="2">
        <f>IFERROR(__xludf.DUMMYFUNCTION("""COMPUTED_VALUE"""),0.0)</f>
        <v>0</v>
      </c>
      <c r="K2494" s="5" t="str">
        <f>IFERROR(__xludf.DUMMYFUNCTION("""COMPUTED_VALUE"""),"")</f>
        <v/>
      </c>
      <c r="L2494" t="str">
        <f>IFERROR(__xludf.DUMMYFUNCTION("""COMPUTED_VALUE"""),"")</f>
        <v/>
      </c>
      <c r="M2494" t="str">
        <f>IFERROR(__xludf.DUMMYFUNCTION("""COMPUTED_VALUE"""),"")</f>
        <v/>
      </c>
      <c r="N2494" t="str">
        <f>IFERROR(__xludf.DUMMYFUNCTION("""COMPUTED_VALUE"""),"")</f>
        <v/>
      </c>
      <c r="O2494" t="str">
        <f>IFERROR(__xludf.DUMMYFUNCTION("""COMPUTED_VALUE"""),"")</f>
        <v/>
      </c>
      <c r="P2494" t="str">
        <f>IFERROR(__xludf.DUMMYFUNCTION("""COMPUTED_VALUE"""),"ID ")</f>
        <v>ID </v>
      </c>
    </row>
    <row r="2495">
      <c r="A2495" s="6" t="str">
        <f>IFERROR(__xludf.DUMMYFUNCTION("""COMPUTED_VALUE"""),"")</f>
        <v/>
      </c>
      <c r="C2495" t="str">
        <f>IFERROR(__xludf.DUMMYFUNCTION("""COMPUTED_VALUE"""),"")</f>
        <v/>
      </c>
      <c r="D2495" t="str">
        <f>IFERROR(__xludf.DUMMYFUNCTION("""COMPUTED_VALUE"""),"")</f>
        <v/>
      </c>
      <c r="E2495" t="str">
        <f>IFERROR(__xludf.DUMMYFUNCTION("""COMPUTED_VALUE"""),"")</f>
        <v/>
      </c>
      <c r="F2495" t="str">
        <f>IFERROR(__xludf.DUMMYFUNCTION("""COMPUTED_VALUE"""),"")</f>
        <v/>
      </c>
      <c r="G2495" t="str">
        <f>IFERROR(__xludf.DUMMYFUNCTION("""COMPUTED_VALUE"""),"")</f>
        <v/>
      </c>
      <c r="H2495" s="2" t="str">
        <f>IFERROR(__xludf.DUMMYFUNCTION("""COMPUTED_VALUE"""),"")</f>
        <v/>
      </c>
      <c r="I2495" s="2" t="str">
        <f>IFERROR(__xludf.DUMMYFUNCTION("""COMPUTED_VALUE"""),"")</f>
        <v/>
      </c>
      <c r="J2495" s="2">
        <f>IFERROR(__xludf.DUMMYFUNCTION("""COMPUTED_VALUE"""),0.0)</f>
        <v>0</v>
      </c>
      <c r="K2495" s="5" t="str">
        <f>IFERROR(__xludf.DUMMYFUNCTION("""COMPUTED_VALUE"""),"")</f>
        <v/>
      </c>
      <c r="L2495" t="str">
        <f>IFERROR(__xludf.DUMMYFUNCTION("""COMPUTED_VALUE"""),"")</f>
        <v/>
      </c>
      <c r="M2495" t="str">
        <f>IFERROR(__xludf.DUMMYFUNCTION("""COMPUTED_VALUE"""),"")</f>
        <v/>
      </c>
      <c r="N2495" t="str">
        <f>IFERROR(__xludf.DUMMYFUNCTION("""COMPUTED_VALUE"""),"")</f>
        <v/>
      </c>
      <c r="O2495" t="str">
        <f>IFERROR(__xludf.DUMMYFUNCTION("""COMPUTED_VALUE"""),"")</f>
        <v/>
      </c>
      <c r="P2495" t="str">
        <f>IFERROR(__xludf.DUMMYFUNCTION("""COMPUTED_VALUE"""),"ID ")</f>
        <v>ID </v>
      </c>
    </row>
    <row r="2496">
      <c r="A2496" s="6" t="str">
        <f>IFERROR(__xludf.DUMMYFUNCTION("""COMPUTED_VALUE"""),"")</f>
        <v/>
      </c>
      <c r="C2496" t="str">
        <f>IFERROR(__xludf.DUMMYFUNCTION("""COMPUTED_VALUE"""),"")</f>
        <v/>
      </c>
      <c r="D2496" t="str">
        <f>IFERROR(__xludf.DUMMYFUNCTION("""COMPUTED_VALUE"""),"")</f>
        <v/>
      </c>
      <c r="E2496" t="str">
        <f>IFERROR(__xludf.DUMMYFUNCTION("""COMPUTED_VALUE"""),"")</f>
        <v/>
      </c>
      <c r="F2496" t="str">
        <f>IFERROR(__xludf.DUMMYFUNCTION("""COMPUTED_VALUE"""),"")</f>
        <v/>
      </c>
      <c r="G2496" t="str">
        <f>IFERROR(__xludf.DUMMYFUNCTION("""COMPUTED_VALUE"""),"")</f>
        <v/>
      </c>
      <c r="H2496" s="2" t="str">
        <f>IFERROR(__xludf.DUMMYFUNCTION("""COMPUTED_VALUE"""),"")</f>
        <v/>
      </c>
      <c r="I2496" s="2" t="str">
        <f>IFERROR(__xludf.DUMMYFUNCTION("""COMPUTED_VALUE"""),"")</f>
        <v/>
      </c>
      <c r="J2496" s="2">
        <f>IFERROR(__xludf.DUMMYFUNCTION("""COMPUTED_VALUE"""),0.0)</f>
        <v>0</v>
      </c>
      <c r="K2496" s="5" t="str">
        <f>IFERROR(__xludf.DUMMYFUNCTION("""COMPUTED_VALUE"""),"")</f>
        <v/>
      </c>
      <c r="L2496" t="str">
        <f>IFERROR(__xludf.DUMMYFUNCTION("""COMPUTED_VALUE"""),"")</f>
        <v/>
      </c>
      <c r="M2496" t="str">
        <f>IFERROR(__xludf.DUMMYFUNCTION("""COMPUTED_VALUE"""),"")</f>
        <v/>
      </c>
      <c r="N2496" t="str">
        <f>IFERROR(__xludf.DUMMYFUNCTION("""COMPUTED_VALUE"""),"")</f>
        <v/>
      </c>
      <c r="O2496" t="str">
        <f>IFERROR(__xludf.DUMMYFUNCTION("""COMPUTED_VALUE"""),"")</f>
        <v/>
      </c>
      <c r="P2496" t="str">
        <f>IFERROR(__xludf.DUMMYFUNCTION("""COMPUTED_VALUE"""),"ID ")</f>
        <v>ID </v>
      </c>
    </row>
    <row r="2497">
      <c r="A2497" s="6" t="str">
        <f>IFERROR(__xludf.DUMMYFUNCTION("""COMPUTED_VALUE"""),"")</f>
        <v/>
      </c>
      <c r="C2497" t="str">
        <f>IFERROR(__xludf.DUMMYFUNCTION("""COMPUTED_VALUE"""),"")</f>
        <v/>
      </c>
      <c r="D2497" t="str">
        <f>IFERROR(__xludf.DUMMYFUNCTION("""COMPUTED_VALUE"""),"")</f>
        <v/>
      </c>
      <c r="E2497" t="str">
        <f>IFERROR(__xludf.DUMMYFUNCTION("""COMPUTED_VALUE"""),"")</f>
        <v/>
      </c>
      <c r="F2497" t="str">
        <f>IFERROR(__xludf.DUMMYFUNCTION("""COMPUTED_VALUE"""),"")</f>
        <v/>
      </c>
      <c r="G2497" t="str">
        <f>IFERROR(__xludf.DUMMYFUNCTION("""COMPUTED_VALUE"""),"")</f>
        <v/>
      </c>
      <c r="H2497" s="2" t="str">
        <f>IFERROR(__xludf.DUMMYFUNCTION("""COMPUTED_VALUE"""),"")</f>
        <v/>
      </c>
      <c r="I2497" s="2" t="str">
        <f>IFERROR(__xludf.DUMMYFUNCTION("""COMPUTED_VALUE"""),"")</f>
        <v/>
      </c>
      <c r="J2497" s="2">
        <f>IFERROR(__xludf.DUMMYFUNCTION("""COMPUTED_VALUE"""),0.0)</f>
        <v>0</v>
      </c>
      <c r="K2497" s="5" t="str">
        <f>IFERROR(__xludf.DUMMYFUNCTION("""COMPUTED_VALUE"""),"")</f>
        <v/>
      </c>
      <c r="L2497" t="str">
        <f>IFERROR(__xludf.DUMMYFUNCTION("""COMPUTED_VALUE"""),"")</f>
        <v/>
      </c>
      <c r="M2497" t="str">
        <f>IFERROR(__xludf.DUMMYFUNCTION("""COMPUTED_VALUE"""),"")</f>
        <v/>
      </c>
      <c r="N2497" t="str">
        <f>IFERROR(__xludf.DUMMYFUNCTION("""COMPUTED_VALUE"""),"")</f>
        <v/>
      </c>
      <c r="O2497" t="str">
        <f>IFERROR(__xludf.DUMMYFUNCTION("""COMPUTED_VALUE"""),"")</f>
        <v/>
      </c>
      <c r="P2497" t="str">
        <f>IFERROR(__xludf.DUMMYFUNCTION("""COMPUTED_VALUE"""),"ID ")</f>
        <v>ID </v>
      </c>
    </row>
    <row r="2498">
      <c r="A2498" s="6" t="str">
        <f>IFERROR(__xludf.DUMMYFUNCTION("""COMPUTED_VALUE"""),"")</f>
        <v/>
      </c>
      <c r="C2498" t="str">
        <f>IFERROR(__xludf.DUMMYFUNCTION("""COMPUTED_VALUE"""),"")</f>
        <v/>
      </c>
      <c r="D2498" t="str">
        <f>IFERROR(__xludf.DUMMYFUNCTION("""COMPUTED_VALUE"""),"")</f>
        <v/>
      </c>
      <c r="E2498" t="str">
        <f>IFERROR(__xludf.DUMMYFUNCTION("""COMPUTED_VALUE"""),"")</f>
        <v/>
      </c>
      <c r="F2498" t="str">
        <f>IFERROR(__xludf.DUMMYFUNCTION("""COMPUTED_VALUE"""),"")</f>
        <v/>
      </c>
      <c r="G2498" t="str">
        <f>IFERROR(__xludf.DUMMYFUNCTION("""COMPUTED_VALUE"""),"")</f>
        <v/>
      </c>
      <c r="H2498" s="2" t="str">
        <f>IFERROR(__xludf.DUMMYFUNCTION("""COMPUTED_VALUE"""),"")</f>
        <v/>
      </c>
      <c r="I2498" s="2" t="str">
        <f>IFERROR(__xludf.DUMMYFUNCTION("""COMPUTED_VALUE"""),"")</f>
        <v/>
      </c>
      <c r="J2498" s="2">
        <f>IFERROR(__xludf.DUMMYFUNCTION("""COMPUTED_VALUE"""),0.0)</f>
        <v>0</v>
      </c>
      <c r="K2498" s="5" t="str">
        <f>IFERROR(__xludf.DUMMYFUNCTION("""COMPUTED_VALUE"""),"")</f>
        <v/>
      </c>
      <c r="L2498" t="str">
        <f>IFERROR(__xludf.DUMMYFUNCTION("""COMPUTED_VALUE"""),"")</f>
        <v/>
      </c>
      <c r="M2498" t="str">
        <f>IFERROR(__xludf.DUMMYFUNCTION("""COMPUTED_VALUE"""),"")</f>
        <v/>
      </c>
      <c r="N2498" t="str">
        <f>IFERROR(__xludf.DUMMYFUNCTION("""COMPUTED_VALUE"""),"")</f>
        <v/>
      </c>
      <c r="O2498" t="str">
        <f>IFERROR(__xludf.DUMMYFUNCTION("""COMPUTED_VALUE"""),"")</f>
        <v/>
      </c>
      <c r="P2498" t="str">
        <f>IFERROR(__xludf.DUMMYFUNCTION("""COMPUTED_VALUE"""),"ID ")</f>
        <v>ID </v>
      </c>
    </row>
    <row r="2499">
      <c r="A2499" s="6" t="str">
        <f>IFERROR(__xludf.DUMMYFUNCTION("""COMPUTED_VALUE"""),"")</f>
        <v/>
      </c>
      <c r="C2499" t="str">
        <f>IFERROR(__xludf.DUMMYFUNCTION("""COMPUTED_VALUE"""),"")</f>
        <v/>
      </c>
      <c r="D2499" t="str">
        <f>IFERROR(__xludf.DUMMYFUNCTION("""COMPUTED_VALUE"""),"")</f>
        <v/>
      </c>
      <c r="E2499" t="str">
        <f>IFERROR(__xludf.DUMMYFUNCTION("""COMPUTED_VALUE"""),"")</f>
        <v/>
      </c>
      <c r="F2499" t="str">
        <f>IFERROR(__xludf.DUMMYFUNCTION("""COMPUTED_VALUE"""),"")</f>
        <v/>
      </c>
      <c r="G2499" t="str">
        <f>IFERROR(__xludf.DUMMYFUNCTION("""COMPUTED_VALUE"""),"")</f>
        <v/>
      </c>
      <c r="H2499" s="2" t="str">
        <f>IFERROR(__xludf.DUMMYFUNCTION("""COMPUTED_VALUE"""),"")</f>
        <v/>
      </c>
      <c r="I2499" s="2" t="str">
        <f>IFERROR(__xludf.DUMMYFUNCTION("""COMPUTED_VALUE"""),"")</f>
        <v/>
      </c>
      <c r="J2499" s="2">
        <f>IFERROR(__xludf.DUMMYFUNCTION("""COMPUTED_VALUE"""),0.0)</f>
        <v>0</v>
      </c>
      <c r="K2499" s="5" t="str">
        <f>IFERROR(__xludf.DUMMYFUNCTION("""COMPUTED_VALUE"""),"")</f>
        <v/>
      </c>
      <c r="L2499" t="str">
        <f>IFERROR(__xludf.DUMMYFUNCTION("""COMPUTED_VALUE"""),"")</f>
        <v/>
      </c>
      <c r="M2499" t="str">
        <f>IFERROR(__xludf.DUMMYFUNCTION("""COMPUTED_VALUE"""),"")</f>
        <v/>
      </c>
      <c r="N2499" t="str">
        <f>IFERROR(__xludf.DUMMYFUNCTION("""COMPUTED_VALUE"""),"")</f>
        <v/>
      </c>
      <c r="O2499" t="str">
        <f>IFERROR(__xludf.DUMMYFUNCTION("""COMPUTED_VALUE"""),"")</f>
        <v/>
      </c>
      <c r="P2499" t="str">
        <f>IFERROR(__xludf.DUMMYFUNCTION("""COMPUTED_VALUE"""),"ID ")</f>
        <v>ID </v>
      </c>
    </row>
    <row r="2500">
      <c r="A2500" s="6" t="str">
        <f>IFERROR(__xludf.DUMMYFUNCTION("""COMPUTED_VALUE"""),"")</f>
        <v/>
      </c>
      <c r="C2500" t="str">
        <f>IFERROR(__xludf.DUMMYFUNCTION("""COMPUTED_VALUE"""),"")</f>
        <v/>
      </c>
      <c r="D2500" t="str">
        <f>IFERROR(__xludf.DUMMYFUNCTION("""COMPUTED_VALUE"""),"")</f>
        <v/>
      </c>
      <c r="E2500" t="str">
        <f>IFERROR(__xludf.DUMMYFUNCTION("""COMPUTED_VALUE"""),"")</f>
        <v/>
      </c>
      <c r="F2500" t="str">
        <f>IFERROR(__xludf.DUMMYFUNCTION("""COMPUTED_VALUE"""),"")</f>
        <v/>
      </c>
      <c r="G2500" t="str">
        <f>IFERROR(__xludf.DUMMYFUNCTION("""COMPUTED_VALUE"""),"")</f>
        <v/>
      </c>
      <c r="H2500" s="2" t="str">
        <f>IFERROR(__xludf.DUMMYFUNCTION("""COMPUTED_VALUE"""),"")</f>
        <v/>
      </c>
      <c r="I2500" s="2" t="str">
        <f>IFERROR(__xludf.DUMMYFUNCTION("""COMPUTED_VALUE"""),"")</f>
        <v/>
      </c>
      <c r="J2500" s="2">
        <f>IFERROR(__xludf.DUMMYFUNCTION("""COMPUTED_VALUE"""),0.0)</f>
        <v>0</v>
      </c>
      <c r="K2500" s="5" t="str">
        <f>IFERROR(__xludf.DUMMYFUNCTION("""COMPUTED_VALUE"""),"")</f>
        <v/>
      </c>
      <c r="L2500" t="str">
        <f>IFERROR(__xludf.DUMMYFUNCTION("""COMPUTED_VALUE"""),"")</f>
        <v/>
      </c>
      <c r="M2500" t="str">
        <f>IFERROR(__xludf.DUMMYFUNCTION("""COMPUTED_VALUE"""),"")</f>
        <v/>
      </c>
      <c r="N2500" t="str">
        <f>IFERROR(__xludf.DUMMYFUNCTION("""COMPUTED_VALUE"""),"")</f>
        <v/>
      </c>
      <c r="O2500" t="str">
        <f>IFERROR(__xludf.DUMMYFUNCTION("""COMPUTED_VALUE"""),"")</f>
        <v/>
      </c>
      <c r="P2500" t="str">
        <f>IFERROR(__xludf.DUMMYFUNCTION("""COMPUTED_VALUE"""),"ID ")</f>
        <v>ID </v>
      </c>
    </row>
    <row r="2501">
      <c r="A2501" s="6" t="str">
        <f>IFERROR(__xludf.DUMMYFUNCTION("""COMPUTED_VALUE"""),"")</f>
        <v/>
      </c>
      <c r="C2501" t="str">
        <f>IFERROR(__xludf.DUMMYFUNCTION("""COMPUTED_VALUE"""),"")</f>
        <v/>
      </c>
      <c r="D2501" t="str">
        <f>IFERROR(__xludf.DUMMYFUNCTION("""COMPUTED_VALUE"""),"")</f>
        <v/>
      </c>
      <c r="E2501" t="str">
        <f>IFERROR(__xludf.DUMMYFUNCTION("""COMPUTED_VALUE"""),"")</f>
        <v/>
      </c>
      <c r="F2501" t="str">
        <f>IFERROR(__xludf.DUMMYFUNCTION("""COMPUTED_VALUE"""),"")</f>
        <v/>
      </c>
      <c r="G2501" t="str">
        <f>IFERROR(__xludf.DUMMYFUNCTION("""COMPUTED_VALUE"""),"")</f>
        <v/>
      </c>
      <c r="H2501" s="2" t="str">
        <f>IFERROR(__xludf.DUMMYFUNCTION("""COMPUTED_VALUE"""),"")</f>
        <v/>
      </c>
      <c r="I2501" s="2" t="str">
        <f>IFERROR(__xludf.DUMMYFUNCTION("""COMPUTED_VALUE"""),"")</f>
        <v/>
      </c>
      <c r="J2501" s="2">
        <f>IFERROR(__xludf.DUMMYFUNCTION("""COMPUTED_VALUE"""),0.0)</f>
        <v>0</v>
      </c>
      <c r="K2501" s="5" t="str">
        <f>IFERROR(__xludf.DUMMYFUNCTION("""COMPUTED_VALUE"""),"")</f>
        <v/>
      </c>
      <c r="L2501" t="str">
        <f>IFERROR(__xludf.DUMMYFUNCTION("""COMPUTED_VALUE"""),"")</f>
        <v/>
      </c>
      <c r="M2501" t="str">
        <f>IFERROR(__xludf.DUMMYFUNCTION("""COMPUTED_VALUE"""),"")</f>
        <v/>
      </c>
      <c r="N2501" t="str">
        <f>IFERROR(__xludf.DUMMYFUNCTION("""COMPUTED_VALUE"""),"")</f>
        <v/>
      </c>
      <c r="O2501" t="str">
        <f>IFERROR(__xludf.DUMMYFUNCTION("""COMPUTED_VALUE"""),"")</f>
        <v/>
      </c>
      <c r="P2501" t="str">
        <f>IFERROR(__xludf.DUMMYFUNCTION("""COMPUTED_VALUE"""),"ID ")</f>
        <v>ID </v>
      </c>
    </row>
    <row r="2502">
      <c r="A2502" s="6" t="str">
        <f>IFERROR(__xludf.DUMMYFUNCTION("""COMPUTED_VALUE"""),"")</f>
        <v/>
      </c>
      <c r="C2502" t="str">
        <f>IFERROR(__xludf.DUMMYFUNCTION("""COMPUTED_VALUE"""),"")</f>
        <v/>
      </c>
      <c r="D2502" t="str">
        <f>IFERROR(__xludf.DUMMYFUNCTION("""COMPUTED_VALUE"""),"")</f>
        <v/>
      </c>
      <c r="E2502" t="str">
        <f>IFERROR(__xludf.DUMMYFUNCTION("""COMPUTED_VALUE"""),"")</f>
        <v/>
      </c>
      <c r="F2502" t="str">
        <f>IFERROR(__xludf.DUMMYFUNCTION("""COMPUTED_VALUE"""),"")</f>
        <v/>
      </c>
      <c r="G2502" t="str">
        <f>IFERROR(__xludf.DUMMYFUNCTION("""COMPUTED_VALUE"""),"")</f>
        <v/>
      </c>
      <c r="H2502" s="2" t="str">
        <f>IFERROR(__xludf.DUMMYFUNCTION("""COMPUTED_VALUE"""),"")</f>
        <v/>
      </c>
      <c r="I2502" s="2" t="str">
        <f>IFERROR(__xludf.DUMMYFUNCTION("""COMPUTED_VALUE"""),"")</f>
        <v/>
      </c>
      <c r="J2502" s="2">
        <f>IFERROR(__xludf.DUMMYFUNCTION("""COMPUTED_VALUE"""),0.0)</f>
        <v>0</v>
      </c>
      <c r="K2502" s="5" t="str">
        <f>IFERROR(__xludf.DUMMYFUNCTION("""COMPUTED_VALUE"""),"")</f>
        <v/>
      </c>
      <c r="L2502" t="str">
        <f>IFERROR(__xludf.DUMMYFUNCTION("""COMPUTED_VALUE"""),"")</f>
        <v/>
      </c>
      <c r="M2502" t="str">
        <f>IFERROR(__xludf.DUMMYFUNCTION("""COMPUTED_VALUE"""),"")</f>
        <v/>
      </c>
      <c r="N2502" t="str">
        <f>IFERROR(__xludf.DUMMYFUNCTION("""COMPUTED_VALUE"""),"")</f>
        <v/>
      </c>
      <c r="O2502" t="str">
        <f>IFERROR(__xludf.DUMMYFUNCTION("""COMPUTED_VALUE"""),"")</f>
        <v/>
      </c>
      <c r="P2502" t="str">
        <f>IFERROR(__xludf.DUMMYFUNCTION("""COMPUTED_VALUE"""),"ID ")</f>
        <v>ID </v>
      </c>
    </row>
    <row r="2503">
      <c r="A2503" s="6" t="str">
        <f>IFERROR(__xludf.DUMMYFUNCTION("""COMPUTED_VALUE"""),"")</f>
        <v/>
      </c>
      <c r="C2503" t="str">
        <f>IFERROR(__xludf.DUMMYFUNCTION("""COMPUTED_VALUE"""),"")</f>
        <v/>
      </c>
      <c r="D2503" t="str">
        <f>IFERROR(__xludf.DUMMYFUNCTION("""COMPUTED_VALUE"""),"")</f>
        <v/>
      </c>
      <c r="E2503" t="str">
        <f>IFERROR(__xludf.DUMMYFUNCTION("""COMPUTED_VALUE"""),"")</f>
        <v/>
      </c>
      <c r="F2503" t="str">
        <f>IFERROR(__xludf.DUMMYFUNCTION("""COMPUTED_VALUE"""),"")</f>
        <v/>
      </c>
      <c r="G2503" t="str">
        <f>IFERROR(__xludf.DUMMYFUNCTION("""COMPUTED_VALUE"""),"")</f>
        <v/>
      </c>
      <c r="H2503" s="2" t="str">
        <f>IFERROR(__xludf.DUMMYFUNCTION("""COMPUTED_VALUE"""),"")</f>
        <v/>
      </c>
      <c r="I2503" s="2" t="str">
        <f>IFERROR(__xludf.DUMMYFUNCTION("""COMPUTED_VALUE"""),"")</f>
        <v/>
      </c>
      <c r="J2503" s="2">
        <f>IFERROR(__xludf.DUMMYFUNCTION("""COMPUTED_VALUE"""),0.0)</f>
        <v>0</v>
      </c>
      <c r="K2503" s="5" t="str">
        <f>IFERROR(__xludf.DUMMYFUNCTION("""COMPUTED_VALUE"""),"")</f>
        <v/>
      </c>
      <c r="L2503" t="str">
        <f>IFERROR(__xludf.DUMMYFUNCTION("""COMPUTED_VALUE"""),"")</f>
        <v/>
      </c>
      <c r="M2503" t="str">
        <f>IFERROR(__xludf.DUMMYFUNCTION("""COMPUTED_VALUE"""),"")</f>
        <v/>
      </c>
      <c r="N2503" t="str">
        <f>IFERROR(__xludf.DUMMYFUNCTION("""COMPUTED_VALUE"""),"")</f>
        <v/>
      </c>
      <c r="O2503" t="str">
        <f>IFERROR(__xludf.DUMMYFUNCTION("""COMPUTED_VALUE"""),"")</f>
        <v/>
      </c>
      <c r="P2503" t="str">
        <f>IFERROR(__xludf.DUMMYFUNCTION("""COMPUTED_VALUE"""),"ID ")</f>
        <v>ID </v>
      </c>
    </row>
    <row r="2504">
      <c r="A2504" s="6" t="str">
        <f>IFERROR(__xludf.DUMMYFUNCTION("""COMPUTED_VALUE"""),"")</f>
        <v/>
      </c>
      <c r="C2504" t="str">
        <f>IFERROR(__xludf.DUMMYFUNCTION("""COMPUTED_VALUE"""),"")</f>
        <v/>
      </c>
      <c r="D2504" t="str">
        <f>IFERROR(__xludf.DUMMYFUNCTION("""COMPUTED_VALUE"""),"")</f>
        <v/>
      </c>
      <c r="E2504" t="str">
        <f>IFERROR(__xludf.DUMMYFUNCTION("""COMPUTED_VALUE"""),"")</f>
        <v/>
      </c>
      <c r="F2504" t="str">
        <f>IFERROR(__xludf.DUMMYFUNCTION("""COMPUTED_VALUE"""),"")</f>
        <v/>
      </c>
      <c r="G2504" t="str">
        <f>IFERROR(__xludf.DUMMYFUNCTION("""COMPUTED_VALUE"""),"")</f>
        <v/>
      </c>
      <c r="H2504" s="2" t="str">
        <f>IFERROR(__xludf.DUMMYFUNCTION("""COMPUTED_VALUE"""),"")</f>
        <v/>
      </c>
      <c r="I2504" s="2" t="str">
        <f>IFERROR(__xludf.DUMMYFUNCTION("""COMPUTED_VALUE"""),"")</f>
        <v/>
      </c>
      <c r="J2504" s="2">
        <f>IFERROR(__xludf.DUMMYFUNCTION("""COMPUTED_VALUE"""),0.0)</f>
        <v>0</v>
      </c>
      <c r="K2504" s="5" t="str">
        <f>IFERROR(__xludf.DUMMYFUNCTION("""COMPUTED_VALUE"""),"")</f>
        <v/>
      </c>
      <c r="L2504" t="str">
        <f>IFERROR(__xludf.DUMMYFUNCTION("""COMPUTED_VALUE"""),"")</f>
        <v/>
      </c>
      <c r="M2504" t="str">
        <f>IFERROR(__xludf.DUMMYFUNCTION("""COMPUTED_VALUE"""),"")</f>
        <v/>
      </c>
      <c r="N2504" t="str">
        <f>IFERROR(__xludf.DUMMYFUNCTION("""COMPUTED_VALUE"""),"")</f>
        <v/>
      </c>
      <c r="O2504" t="str">
        <f>IFERROR(__xludf.DUMMYFUNCTION("""COMPUTED_VALUE"""),"")</f>
        <v/>
      </c>
      <c r="P2504" t="str">
        <f>IFERROR(__xludf.DUMMYFUNCTION("""COMPUTED_VALUE"""),"ID ")</f>
        <v>ID </v>
      </c>
    </row>
    <row r="2505">
      <c r="A2505" s="6" t="str">
        <f>IFERROR(__xludf.DUMMYFUNCTION("""COMPUTED_VALUE"""),"")</f>
        <v/>
      </c>
      <c r="C2505" t="str">
        <f>IFERROR(__xludf.DUMMYFUNCTION("""COMPUTED_VALUE"""),"")</f>
        <v/>
      </c>
      <c r="D2505" t="str">
        <f>IFERROR(__xludf.DUMMYFUNCTION("""COMPUTED_VALUE"""),"")</f>
        <v/>
      </c>
      <c r="E2505" t="str">
        <f>IFERROR(__xludf.DUMMYFUNCTION("""COMPUTED_VALUE"""),"")</f>
        <v/>
      </c>
      <c r="F2505" t="str">
        <f>IFERROR(__xludf.DUMMYFUNCTION("""COMPUTED_VALUE"""),"")</f>
        <v/>
      </c>
      <c r="G2505" t="str">
        <f>IFERROR(__xludf.DUMMYFUNCTION("""COMPUTED_VALUE"""),"")</f>
        <v/>
      </c>
      <c r="H2505" s="2" t="str">
        <f>IFERROR(__xludf.DUMMYFUNCTION("""COMPUTED_VALUE"""),"")</f>
        <v/>
      </c>
      <c r="I2505" s="2" t="str">
        <f>IFERROR(__xludf.DUMMYFUNCTION("""COMPUTED_VALUE"""),"")</f>
        <v/>
      </c>
      <c r="J2505" s="2">
        <f>IFERROR(__xludf.DUMMYFUNCTION("""COMPUTED_VALUE"""),0.0)</f>
        <v>0</v>
      </c>
      <c r="K2505" s="5" t="str">
        <f>IFERROR(__xludf.DUMMYFUNCTION("""COMPUTED_VALUE"""),"")</f>
        <v/>
      </c>
      <c r="L2505" t="str">
        <f>IFERROR(__xludf.DUMMYFUNCTION("""COMPUTED_VALUE"""),"")</f>
        <v/>
      </c>
      <c r="M2505" t="str">
        <f>IFERROR(__xludf.DUMMYFUNCTION("""COMPUTED_VALUE"""),"")</f>
        <v/>
      </c>
      <c r="N2505" t="str">
        <f>IFERROR(__xludf.DUMMYFUNCTION("""COMPUTED_VALUE"""),"")</f>
        <v/>
      </c>
      <c r="O2505" t="str">
        <f>IFERROR(__xludf.DUMMYFUNCTION("""COMPUTED_VALUE"""),"")</f>
        <v/>
      </c>
      <c r="P2505" t="str">
        <f>IFERROR(__xludf.DUMMYFUNCTION("""COMPUTED_VALUE"""),"ID ")</f>
        <v>ID </v>
      </c>
    </row>
    <row r="2506">
      <c r="A2506" s="6" t="str">
        <f>IFERROR(__xludf.DUMMYFUNCTION("""COMPUTED_VALUE"""),"")</f>
        <v/>
      </c>
      <c r="C2506" t="str">
        <f>IFERROR(__xludf.DUMMYFUNCTION("""COMPUTED_VALUE"""),"")</f>
        <v/>
      </c>
      <c r="D2506" t="str">
        <f>IFERROR(__xludf.DUMMYFUNCTION("""COMPUTED_VALUE"""),"")</f>
        <v/>
      </c>
      <c r="E2506" t="str">
        <f>IFERROR(__xludf.DUMMYFUNCTION("""COMPUTED_VALUE"""),"")</f>
        <v/>
      </c>
      <c r="F2506" t="str">
        <f>IFERROR(__xludf.DUMMYFUNCTION("""COMPUTED_VALUE"""),"")</f>
        <v/>
      </c>
      <c r="G2506" t="str">
        <f>IFERROR(__xludf.DUMMYFUNCTION("""COMPUTED_VALUE"""),"")</f>
        <v/>
      </c>
      <c r="H2506" s="2" t="str">
        <f>IFERROR(__xludf.DUMMYFUNCTION("""COMPUTED_VALUE"""),"")</f>
        <v/>
      </c>
      <c r="I2506" s="2" t="str">
        <f>IFERROR(__xludf.DUMMYFUNCTION("""COMPUTED_VALUE"""),"")</f>
        <v/>
      </c>
      <c r="J2506" s="2">
        <f>IFERROR(__xludf.DUMMYFUNCTION("""COMPUTED_VALUE"""),0.0)</f>
        <v>0</v>
      </c>
      <c r="K2506" s="5" t="str">
        <f>IFERROR(__xludf.DUMMYFUNCTION("""COMPUTED_VALUE"""),"")</f>
        <v/>
      </c>
      <c r="L2506" t="str">
        <f>IFERROR(__xludf.DUMMYFUNCTION("""COMPUTED_VALUE"""),"")</f>
        <v/>
      </c>
      <c r="M2506" t="str">
        <f>IFERROR(__xludf.DUMMYFUNCTION("""COMPUTED_VALUE"""),"")</f>
        <v/>
      </c>
      <c r="N2506" t="str">
        <f>IFERROR(__xludf.DUMMYFUNCTION("""COMPUTED_VALUE"""),"")</f>
        <v/>
      </c>
      <c r="O2506" t="str">
        <f>IFERROR(__xludf.DUMMYFUNCTION("""COMPUTED_VALUE"""),"")</f>
        <v/>
      </c>
      <c r="P2506" t="str">
        <f>IFERROR(__xludf.DUMMYFUNCTION("""COMPUTED_VALUE"""),"ID ")</f>
        <v>ID </v>
      </c>
    </row>
    <row r="2507">
      <c r="A2507" s="6" t="str">
        <f>IFERROR(__xludf.DUMMYFUNCTION("""COMPUTED_VALUE"""),"")</f>
        <v/>
      </c>
      <c r="C2507" t="str">
        <f>IFERROR(__xludf.DUMMYFUNCTION("""COMPUTED_VALUE"""),"")</f>
        <v/>
      </c>
      <c r="D2507" t="str">
        <f>IFERROR(__xludf.DUMMYFUNCTION("""COMPUTED_VALUE"""),"")</f>
        <v/>
      </c>
      <c r="E2507" t="str">
        <f>IFERROR(__xludf.DUMMYFUNCTION("""COMPUTED_VALUE"""),"")</f>
        <v/>
      </c>
      <c r="F2507" t="str">
        <f>IFERROR(__xludf.DUMMYFUNCTION("""COMPUTED_VALUE"""),"")</f>
        <v/>
      </c>
      <c r="G2507" t="str">
        <f>IFERROR(__xludf.DUMMYFUNCTION("""COMPUTED_VALUE"""),"")</f>
        <v/>
      </c>
      <c r="H2507" s="2" t="str">
        <f>IFERROR(__xludf.DUMMYFUNCTION("""COMPUTED_VALUE"""),"")</f>
        <v/>
      </c>
      <c r="I2507" s="2" t="str">
        <f>IFERROR(__xludf.DUMMYFUNCTION("""COMPUTED_VALUE"""),"")</f>
        <v/>
      </c>
      <c r="J2507" s="2">
        <f>IFERROR(__xludf.DUMMYFUNCTION("""COMPUTED_VALUE"""),0.0)</f>
        <v>0</v>
      </c>
      <c r="K2507" s="5" t="str">
        <f>IFERROR(__xludf.DUMMYFUNCTION("""COMPUTED_VALUE"""),"")</f>
        <v/>
      </c>
      <c r="L2507" t="str">
        <f>IFERROR(__xludf.DUMMYFUNCTION("""COMPUTED_VALUE"""),"")</f>
        <v/>
      </c>
      <c r="M2507" t="str">
        <f>IFERROR(__xludf.DUMMYFUNCTION("""COMPUTED_VALUE"""),"")</f>
        <v/>
      </c>
      <c r="N2507" t="str">
        <f>IFERROR(__xludf.DUMMYFUNCTION("""COMPUTED_VALUE"""),"")</f>
        <v/>
      </c>
      <c r="O2507" t="str">
        <f>IFERROR(__xludf.DUMMYFUNCTION("""COMPUTED_VALUE"""),"")</f>
        <v/>
      </c>
      <c r="P2507" t="str">
        <f>IFERROR(__xludf.DUMMYFUNCTION("""COMPUTED_VALUE"""),"ID ")</f>
        <v>ID </v>
      </c>
    </row>
    <row r="2508">
      <c r="A2508" s="6" t="str">
        <f>IFERROR(__xludf.DUMMYFUNCTION("""COMPUTED_VALUE"""),"")</f>
        <v/>
      </c>
      <c r="C2508" t="str">
        <f>IFERROR(__xludf.DUMMYFUNCTION("""COMPUTED_VALUE"""),"")</f>
        <v/>
      </c>
      <c r="D2508" t="str">
        <f>IFERROR(__xludf.DUMMYFUNCTION("""COMPUTED_VALUE"""),"")</f>
        <v/>
      </c>
      <c r="E2508" t="str">
        <f>IFERROR(__xludf.DUMMYFUNCTION("""COMPUTED_VALUE"""),"")</f>
        <v/>
      </c>
      <c r="F2508" t="str">
        <f>IFERROR(__xludf.DUMMYFUNCTION("""COMPUTED_VALUE"""),"")</f>
        <v/>
      </c>
      <c r="G2508" t="str">
        <f>IFERROR(__xludf.DUMMYFUNCTION("""COMPUTED_VALUE"""),"")</f>
        <v/>
      </c>
      <c r="H2508" s="2" t="str">
        <f>IFERROR(__xludf.DUMMYFUNCTION("""COMPUTED_VALUE"""),"")</f>
        <v/>
      </c>
      <c r="I2508" s="2" t="str">
        <f>IFERROR(__xludf.DUMMYFUNCTION("""COMPUTED_VALUE"""),"")</f>
        <v/>
      </c>
      <c r="J2508" s="2">
        <f>IFERROR(__xludf.DUMMYFUNCTION("""COMPUTED_VALUE"""),0.0)</f>
        <v>0</v>
      </c>
      <c r="K2508" s="5" t="str">
        <f>IFERROR(__xludf.DUMMYFUNCTION("""COMPUTED_VALUE"""),"")</f>
        <v/>
      </c>
      <c r="L2508" t="str">
        <f>IFERROR(__xludf.DUMMYFUNCTION("""COMPUTED_VALUE"""),"")</f>
        <v/>
      </c>
      <c r="M2508" t="str">
        <f>IFERROR(__xludf.DUMMYFUNCTION("""COMPUTED_VALUE"""),"")</f>
        <v/>
      </c>
      <c r="N2508" t="str">
        <f>IFERROR(__xludf.DUMMYFUNCTION("""COMPUTED_VALUE"""),"")</f>
        <v/>
      </c>
      <c r="O2508" t="str">
        <f>IFERROR(__xludf.DUMMYFUNCTION("""COMPUTED_VALUE"""),"")</f>
        <v/>
      </c>
      <c r="P2508" t="str">
        <f>IFERROR(__xludf.DUMMYFUNCTION("""COMPUTED_VALUE"""),"ID ")</f>
        <v>ID </v>
      </c>
    </row>
    <row r="2509">
      <c r="A2509" s="6" t="str">
        <f>IFERROR(__xludf.DUMMYFUNCTION("""COMPUTED_VALUE"""),"")</f>
        <v/>
      </c>
      <c r="C2509" t="str">
        <f>IFERROR(__xludf.DUMMYFUNCTION("""COMPUTED_VALUE"""),"")</f>
        <v/>
      </c>
      <c r="D2509" t="str">
        <f>IFERROR(__xludf.DUMMYFUNCTION("""COMPUTED_VALUE"""),"")</f>
        <v/>
      </c>
      <c r="E2509" t="str">
        <f>IFERROR(__xludf.DUMMYFUNCTION("""COMPUTED_VALUE"""),"")</f>
        <v/>
      </c>
      <c r="F2509" t="str">
        <f>IFERROR(__xludf.DUMMYFUNCTION("""COMPUTED_VALUE"""),"")</f>
        <v/>
      </c>
      <c r="G2509" t="str">
        <f>IFERROR(__xludf.DUMMYFUNCTION("""COMPUTED_VALUE"""),"")</f>
        <v/>
      </c>
      <c r="H2509" s="2" t="str">
        <f>IFERROR(__xludf.DUMMYFUNCTION("""COMPUTED_VALUE"""),"")</f>
        <v/>
      </c>
      <c r="I2509" s="2" t="str">
        <f>IFERROR(__xludf.DUMMYFUNCTION("""COMPUTED_VALUE"""),"")</f>
        <v/>
      </c>
      <c r="J2509" s="2">
        <f>IFERROR(__xludf.DUMMYFUNCTION("""COMPUTED_VALUE"""),0.0)</f>
        <v>0</v>
      </c>
      <c r="K2509" s="5" t="str">
        <f>IFERROR(__xludf.DUMMYFUNCTION("""COMPUTED_VALUE"""),"")</f>
        <v/>
      </c>
      <c r="L2509" t="str">
        <f>IFERROR(__xludf.DUMMYFUNCTION("""COMPUTED_VALUE"""),"")</f>
        <v/>
      </c>
      <c r="M2509" t="str">
        <f>IFERROR(__xludf.DUMMYFUNCTION("""COMPUTED_VALUE"""),"")</f>
        <v/>
      </c>
      <c r="N2509" t="str">
        <f>IFERROR(__xludf.DUMMYFUNCTION("""COMPUTED_VALUE"""),"")</f>
        <v/>
      </c>
      <c r="O2509" t="str">
        <f>IFERROR(__xludf.DUMMYFUNCTION("""COMPUTED_VALUE"""),"")</f>
        <v/>
      </c>
      <c r="P2509" t="str">
        <f>IFERROR(__xludf.DUMMYFUNCTION("""COMPUTED_VALUE"""),"ID ")</f>
        <v>ID </v>
      </c>
    </row>
    <row r="2510">
      <c r="A2510" s="6" t="str">
        <f>IFERROR(__xludf.DUMMYFUNCTION("""COMPUTED_VALUE"""),"")</f>
        <v/>
      </c>
      <c r="C2510" t="str">
        <f>IFERROR(__xludf.DUMMYFUNCTION("""COMPUTED_VALUE"""),"")</f>
        <v/>
      </c>
      <c r="D2510" t="str">
        <f>IFERROR(__xludf.DUMMYFUNCTION("""COMPUTED_VALUE"""),"")</f>
        <v/>
      </c>
      <c r="E2510" t="str">
        <f>IFERROR(__xludf.DUMMYFUNCTION("""COMPUTED_VALUE"""),"")</f>
        <v/>
      </c>
      <c r="F2510" t="str">
        <f>IFERROR(__xludf.DUMMYFUNCTION("""COMPUTED_VALUE"""),"")</f>
        <v/>
      </c>
      <c r="G2510" t="str">
        <f>IFERROR(__xludf.DUMMYFUNCTION("""COMPUTED_VALUE"""),"")</f>
        <v/>
      </c>
      <c r="H2510" s="2" t="str">
        <f>IFERROR(__xludf.DUMMYFUNCTION("""COMPUTED_VALUE"""),"")</f>
        <v/>
      </c>
      <c r="I2510" s="2" t="str">
        <f>IFERROR(__xludf.DUMMYFUNCTION("""COMPUTED_VALUE"""),"")</f>
        <v/>
      </c>
      <c r="J2510" s="2">
        <f>IFERROR(__xludf.DUMMYFUNCTION("""COMPUTED_VALUE"""),0.0)</f>
        <v>0</v>
      </c>
      <c r="K2510" s="5" t="str">
        <f>IFERROR(__xludf.DUMMYFUNCTION("""COMPUTED_VALUE"""),"")</f>
        <v/>
      </c>
      <c r="L2510" t="str">
        <f>IFERROR(__xludf.DUMMYFUNCTION("""COMPUTED_VALUE"""),"")</f>
        <v/>
      </c>
      <c r="M2510" t="str">
        <f>IFERROR(__xludf.DUMMYFUNCTION("""COMPUTED_VALUE"""),"")</f>
        <v/>
      </c>
      <c r="N2510" t="str">
        <f>IFERROR(__xludf.DUMMYFUNCTION("""COMPUTED_VALUE"""),"")</f>
        <v/>
      </c>
      <c r="O2510" t="str">
        <f>IFERROR(__xludf.DUMMYFUNCTION("""COMPUTED_VALUE"""),"")</f>
        <v/>
      </c>
      <c r="P2510" t="str">
        <f>IFERROR(__xludf.DUMMYFUNCTION("""COMPUTED_VALUE"""),"ID ")</f>
        <v>ID </v>
      </c>
    </row>
    <row r="2511">
      <c r="A2511" s="6" t="str">
        <f>IFERROR(__xludf.DUMMYFUNCTION("""COMPUTED_VALUE"""),"")</f>
        <v/>
      </c>
      <c r="C2511" t="str">
        <f>IFERROR(__xludf.DUMMYFUNCTION("""COMPUTED_VALUE"""),"")</f>
        <v/>
      </c>
      <c r="D2511" t="str">
        <f>IFERROR(__xludf.DUMMYFUNCTION("""COMPUTED_VALUE"""),"")</f>
        <v/>
      </c>
      <c r="E2511" t="str">
        <f>IFERROR(__xludf.DUMMYFUNCTION("""COMPUTED_VALUE"""),"")</f>
        <v/>
      </c>
      <c r="F2511" t="str">
        <f>IFERROR(__xludf.DUMMYFUNCTION("""COMPUTED_VALUE"""),"")</f>
        <v/>
      </c>
      <c r="G2511" t="str">
        <f>IFERROR(__xludf.DUMMYFUNCTION("""COMPUTED_VALUE"""),"")</f>
        <v/>
      </c>
      <c r="H2511" s="2" t="str">
        <f>IFERROR(__xludf.DUMMYFUNCTION("""COMPUTED_VALUE"""),"")</f>
        <v/>
      </c>
      <c r="I2511" s="2" t="str">
        <f>IFERROR(__xludf.DUMMYFUNCTION("""COMPUTED_VALUE"""),"")</f>
        <v/>
      </c>
      <c r="J2511" s="2">
        <f>IFERROR(__xludf.DUMMYFUNCTION("""COMPUTED_VALUE"""),0.0)</f>
        <v>0</v>
      </c>
      <c r="K2511" s="5" t="str">
        <f>IFERROR(__xludf.DUMMYFUNCTION("""COMPUTED_VALUE"""),"")</f>
        <v/>
      </c>
      <c r="L2511" t="str">
        <f>IFERROR(__xludf.DUMMYFUNCTION("""COMPUTED_VALUE"""),"")</f>
        <v/>
      </c>
      <c r="M2511" t="str">
        <f>IFERROR(__xludf.DUMMYFUNCTION("""COMPUTED_VALUE"""),"")</f>
        <v/>
      </c>
      <c r="N2511" t="str">
        <f>IFERROR(__xludf.DUMMYFUNCTION("""COMPUTED_VALUE"""),"")</f>
        <v/>
      </c>
      <c r="O2511" t="str">
        <f>IFERROR(__xludf.DUMMYFUNCTION("""COMPUTED_VALUE"""),"")</f>
        <v/>
      </c>
      <c r="P2511" t="str">
        <f>IFERROR(__xludf.DUMMYFUNCTION("""COMPUTED_VALUE"""),"ID ")</f>
        <v>ID </v>
      </c>
    </row>
    <row r="2512">
      <c r="A2512" s="6" t="str">
        <f>IFERROR(__xludf.DUMMYFUNCTION("""COMPUTED_VALUE"""),"")</f>
        <v/>
      </c>
      <c r="C2512" t="str">
        <f>IFERROR(__xludf.DUMMYFUNCTION("""COMPUTED_VALUE"""),"")</f>
        <v/>
      </c>
      <c r="D2512" t="str">
        <f>IFERROR(__xludf.DUMMYFUNCTION("""COMPUTED_VALUE"""),"")</f>
        <v/>
      </c>
      <c r="E2512" t="str">
        <f>IFERROR(__xludf.DUMMYFUNCTION("""COMPUTED_VALUE"""),"")</f>
        <v/>
      </c>
      <c r="F2512" t="str">
        <f>IFERROR(__xludf.DUMMYFUNCTION("""COMPUTED_VALUE"""),"")</f>
        <v/>
      </c>
      <c r="G2512" t="str">
        <f>IFERROR(__xludf.DUMMYFUNCTION("""COMPUTED_VALUE"""),"")</f>
        <v/>
      </c>
      <c r="H2512" s="2" t="str">
        <f>IFERROR(__xludf.DUMMYFUNCTION("""COMPUTED_VALUE"""),"")</f>
        <v/>
      </c>
      <c r="I2512" s="2" t="str">
        <f>IFERROR(__xludf.DUMMYFUNCTION("""COMPUTED_VALUE"""),"")</f>
        <v/>
      </c>
      <c r="J2512" s="2">
        <f>IFERROR(__xludf.DUMMYFUNCTION("""COMPUTED_VALUE"""),0.0)</f>
        <v>0</v>
      </c>
      <c r="K2512" s="5" t="str">
        <f>IFERROR(__xludf.DUMMYFUNCTION("""COMPUTED_VALUE"""),"")</f>
        <v/>
      </c>
      <c r="L2512" t="str">
        <f>IFERROR(__xludf.DUMMYFUNCTION("""COMPUTED_VALUE"""),"")</f>
        <v/>
      </c>
      <c r="M2512" t="str">
        <f>IFERROR(__xludf.DUMMYFUNCTION("""COMPUTED_VALUE"""),"")</f>
        <v/>
      </c>
      <c r="N2512" t="str">
        <f>IFERROR(__xludf.DUMMYFUNCTION("""COMPUTED_VALUE"""),"")</f>
        <v/>
      </c>
      <c r="O2512" t="str">
        <f>IFERROR(__xludf.DUMMYFUNCTION("""COMPUTED_VALUE"""),"")</f>
        <v/>
      </c>
      <c r="P2512" t="str">
        <f>IFERROR(__xludf.DUMMYFUNCTION("""COMPUTED_VALUE"""),"ID ")</f>
        <v>ID </v>
      </c>
    </row>
    <row r="2513">
      <c r="A2513" s="6" t="str">
        <f>IFERROR(__xludf.DUMMYFUNCTION("""COMPUTED_VALUE"""),"")</f>
        <v/>
      </c>
      <c r="C2513" t="str">
        <f>IFERROR(__xludf.DUMMYFUNCTION("""COMPUTED_VALUE"""),"")</f>
        <v/>
      </c>
      <c r="D2513" t="str">
        <f>IFERROR(__xludf.DUMMYFUNCTION("""COMPUTED_VALUE"""),"")</f>
        <v/>
      </c>
      <c r="E2513" t="str">
        <f>IFERROR(__xludf.DUMMYFUNCTION("""COMPUTED_VALUE"""),"")</f>
        <v/>
      </c>
      <c r="F2513" t="str">
        <f>IFERROR(__xludf.DUMMYFUNCTION("""COMPUTED_VALUE"""),"")</f>
        <v/>
      </c>
      <c r="G2513" t="str">
        <f>IFERROR(__xludf.DUMMYFUNCTION("""COMPUTED_VALUE"""),"")</f>
        <v/>
      </c>
      <c r="H2513" s="2" t="str">
        <f>IFERROR(__xludf.DUMMYFUNCTION("""COMPUTED_VALUE"""),"")</f>
        <v/>
      </c>
      <c r="I2513" s="2" t="str">
        <f>IFERROR(__xludf.DUMMYFUNCTION("""COMPUTED_VALUE"""),"")</f>
        <v/>
      </c>
      <c r="J2513" s="2">
        <f>IFERROR(__xludf.DUMMYFUNCTION("""COMPUTED_VALUE"""),0.0)</f>
        <v>0</v>
      </c>
      <c r="K2513" s="5" t="str">
        <f>IFERROR(__xludf.DUMMYFUNCTION("""COMPUTED_VALUE"""),"")</f>
        <v/>
      </c>
      <c r="L2513" t="str">
        <f>IFERROR(__xludf.DUMMYFUNCTION("""COMPUTED_VALUE"""),"")</f>
        <v/>
      </c>
      <c r="M2513" t="str">
        <f>IFERROR(__xludf.DUMMYFUNCTION("""COMPUTED_VALUE"""),"")</f>
        <v/>
      </c>
      <c r="N2513" t="str">
        <f>IFERROR(__xludf.DUMMYFUNCTION("""COMPUTED_VALUE"""),"")</f>
        <v/>
      </c>
      <c r="O2513" t="str">
        <f>IFERROR(__xludf.DUMMYFUNCTION("""COMPUTED_VALUE"""),"")</f>
        <v/>
      </c>
      <c r="P2513" t="str">
        <f>IFERROR(__xludf.DUMMYFUNCTION("""COMPUTED_VALUE"""),"ID ")</f>
        <v>ID </v>
      </c>
    </row>
    <row r="2514">
      <c r="A2514" s="6" t="str">
        <f>IFERROR(__xludf.DUMMYFUNCTION("""COMPUTED_VALUE"""),"")</f>
        <v/>
      </c>
      <c r="C2514" t="str">
        <f>IFERROR(__xludf.DUMMYFUNCTION("""COMPUTED_VALUE"""),"")</f>
        <v/>
      </c>
      <c r="D2514" t="str">
        <f>IFERROR(__xludf.DUMMYFUNCTION("""COMPUTED_VALUE"""),"")</f>
        <v/>
      </c>
      <c r="E2514" t="str">
        <f>IFERROR(__xludf.DUMMYFUNCTION("""COMPUTED_VALUE"""),"")</f>
        <v/>
      </c>
      <c r="F2514" t="str">
        <f>IFERROR(__xludf.DUMMYFUNCTION("""COMPUTED_VALUE"""),"")</f>
        <v/>
      </c>
      <c r="G2514" t="str">
        <f>IFERROR(__xludf.DUMMYFUNCTION("""COMPUTED_VALUE"""),"")</f>
        <v/>
      </c>
      <c r="H2514" s="2" t="str">
        <f>IFERROR(__xludf.DUMMYFUNCTION("""COMPUTED_VALUE"""),"")</f>
        <v/>
      </c>
      <c r="I2514" s="2" t="str">
        <f>IFERROR(__xludf.DUMMYFUNCTION("""COMPUTED_VALUE"""),"")</f>
        <v/>
      </c>
      <c r="J2514" s="2">
        <f>IFERROR(__xludf.DUMMYFUNCTION("""COMPUTED_VALUE"""),0.0)</f>
        <v>0</v>
      </c>
      <c r="K2514" s="5" t="str">
        <f>IFERROR(__xludf.DUMMYFUNCTION("""COMPUTED_VALUE"""),"")</f>
        <v/>
      </c>
      <c r="L2514" t="str">
        <f>IFERROR(__xludf.DUMMYFUNCTION("""COMPUTED_VALUE"""),"")</f>
        <v/>
      </c>
      <c r="M2514" t="str">
        <f>IFERROR(__xludf.DUMMYFUNCTION("""COMPUTED_VALUE"""),"")</f>
        <v/>
      </c>
      <c r="N2514" t="str">
        <f>IFERROR(__xludf.DUMMYFUNCTION("""COMPUTED_VALUE"""),"")</f>
        <v/>
      </c>
      <c r="O2514" t="str">
        <f>IFERROR(__xludf.DUMMYFUNCTION("""COMPUTED_VALUE"""),"")</f>
        <v/>
      </c>
      <c r="P2514" t="str">
        <f>IFERROR(__xludf.DUMMYFUNCTION("""COMPUTED_VALUE"""),"ID ")</f>
        <v>ID </v>
      </c>
    </row>
    <row r="2515">
      <c r="A2515" s="6" t="str">
        <f>IFERROR(__xludf.DUMMYFUNCTION("""COMPUTED_VALUE"""),"")</f>
        <v/>
      </c>
      <c r="C2515" t="str">
        <f>IFERROR(__xludf.DUMMYFUNCTION("""COMPUTED_VALUE"""),"")</f>
        <v/>
      </c>
      <c r="D2515" t="str">
        <f>IFERROR(__xludf.DUMMYFUNCTION("""COMPUTED_VALUE"""),"")</f>
        <v/>
      </c>
      <c r="E2515" t="str">
        <f>IFERROR(__xludf.DUMMYFUNCTION("""COMPUTED_VALUE"""),"")</f>
        <v/>
      </c>
      <c r="F2515" t="str">
        <f>IFERROR(__xludf.DUMMYFUNCTION("""COMPUTED_VALUE"""),"")</f>
        <v/>
      </c>
      <c r="G2515" t="str">
        <f>IFERROR(__xludf.DUMMYFUNCTION("""COMPUTED_VALUE"""),"")</f>
        <v/>
      </c>
      <c r="H2515" s="2" t="str">
        <f>IFERROR(__xludf.DUMMYFUNCTION("""COMPUTED_VALUE"""),"")</f>
        <v/>
      </c>
      <c r="I2515" s="2" t="str">
        <f>IFERROR(__xludf.DUMMYFUNCTION("""COMPUTED_VALUE"""),"")</f>
        <v/>
      </c>
      <c r="J2515" s="2">
        <f>IFERROR(__xludf.DUMMYFUNCTION("""COMPUTED_VALUE"""),0.0)</f>
        <v>0</v>
      </c>
      <c r="K2515" s="5" t="str">
        <f>IFERROR(__xludf.DUMMYFUNCTION("""COMPUTED_VALUE"""),"")</f>
        <v/>
      </c>
      <c r="L2515" t="str">
        <f>IFERROR(__xludf.DUMMYFUNCTION("""COMPUTED_VALUE"""),"")</f>
        <v/>
      </c>
      <c r="M2515" t="str">
        <f>IFERROR(__xludf.DUMMYFUNCTION("""COMPUTED_VALUE"""),"")</f>
        <v/>
      </c>
      <c r="N2515" t="str">
        <f>IFERROR(__xludf.DUMMYFUNCTION("""COMPUTED_VALUE"""),"")</f>
        <v/>
      </c>
      <c r="O2515" t="str">
        <f>IFERROR(__xludf.DUMMYFUNCTION("""COMPUTED_VALUE"""),"")</f>
        <v/>
      </c>
      <c r="P2515" t="str">
        <f>IFERROR(__xludf.DUMMYFUNCTION("""COMPUTED_VALUE"""),"ID ")</f>
        <v>ID </v>
      </c>
    </row>
    <row r="2516">
      <c r="A2516" s="6" t="str">
        <f>IFERROR(__xludf.DUMMYFUNCTION("""COMPUTED_VALUE"""),"")</f>
        <v/>
      </c>
      <c r="C2516" t="str">
        <f>IFERROR(__xludf.DUMMYFUNCTION("""COMPUTED_VALUE"""),"")</f>
        <v/>
      </c>
      <c r="D2516" t="str">
        <f>IFERROR(__xludf.DUMMYFUNCTION("""COMPUTED_VALUE"""),"")</f>
        <v/>
      </c>
      <c r="E2516" t="str">
        <f>IFERROR(__xludf.DUMMYFUNCTION("""COMPUTED_VALUE"""),"")</f>
        <v/>
      </c>
      <c r="F2516" t="str">
        <f>IFERROR(__xludf.DUMMYFUNCTION("""COMPUTED_VALUE"""),"")</f>
        <v/>
      </c>
      <c r="G2516" t="str">
        <f>IFERROR(__xludf.DUMMYFUNCTION("""COMPUTED_VALUE"""),"")</f>
        <v/>
      </c>
      <c r="H2516" s="2" t="str">
        <f>IFERROR(__xludf.DUMMYFUNCTION("""COMPUTED_VALUE"""),"")</f>
        <v/>
      </c>
      <c r="I2516" s="2" t="str">
        <f>IFERROR(__xludf.DUMMYFUNCTION("""COMPUTED_VALUE"""),"")</f>
        <v/>
      </c>
      <c r="J2516" s="2">
        <f>IFERROR(__xludf.DUMMYFUNCTION("""COMPUTED_VALUE"""),0.0)</f>
        <v>0</v>
      </c>
      <c r="K2516" s="5" t="str">
        <f>IFERROR(__xludf.DUMMYFUNCTION("""COMPUTED_VALUE"""),"")</f>
        <v/>
      </c>
      <c r="L2516" t="str">
        <f>IFERROR(__xludf.DUMMYFUNCTION("""COMPUTED_VALUE"""),"")</f>
        <v/>
      </c>
      <c r="M2516" t="str">
        <f>IFERROR(__xludf.DUMMYFUNCTION("""COMPUTED_VALUE"""),"")</f>
        <v/>
      </c>
      <c r="N2516" t="str">
        <f>IFERROR(__xludf.DUMMYFUNCTION("""COMPUTED_VALUE"""),"")</f>
        <v/>
      </c>
      <c r="O2516" t="str">
        <f>IFERROR(__xludf.DUMMYFUNCTION("""COMPUTED_VALUE"""),"")</f>
        <v/>
      </c>
      <c r="P2516" t="str">
        <f>IFERROR(__xludf.DUMMYFUNCTION("""COMPUTED_VALUE"""),"ID ")</f>
        <v>ID </v>
      </c>
    </row>
    <row r="2517">
      <c r="A2517" s="6" t="str">
        <f>IFERROR(__xludf.DUMMYFUNCTION("""COMPUTED_VALUE"""),"")</f>
        <v/>
      </c>
      <c r="C2517" t="str">
        <f>IFERROR(__xludf.DUMMYFUNCTION("""COMPUTED_VALUE"""),"")</f>
        <v/>
      </c>
      <c r="D2517" t="str">
        <f>IFERROR(__xludf.DUMMYFUNCTION("""COMPUTED_VALUE"""),"")</f>
        <v/>
      </c>
      <c r="E2517" t="str">
        <f>IFERROR(__xludf.DUMMYFUNCTION("""COMPUTED_VALUE"""),"")</f>
        <v/>
      </c>
      <c r="F2517" t="str">
        <f>IFERROR(__xludf.DUMMYFUNCTION("""COMPUTED_VALUE"""),"")</f>
        <v/>
      </c>
      <c r="G2517" t="str">
        <f>IFERROR(__xludf.DUMMYFUNCTION("""COMPUTED_VALUE"""),"")</f>
        <v/>
      </c>
      <c r="H2517" s="2" t="str">
        <f>IFERROR(__xludf.DUMMYFUNCTION("""COMPUTED_VALUE"""),"")</f>
        <v/>
      </c>
      <c r="I2517" s="2" t="str">
        <f>IFERROR(__xludf.DUMMYFUNCTION("""COMPUTED_VALUE"""),"")</f>
        <v/>
      </c>
      <c r="J2517" s="2">
        <f>IFERROR(__xludf.DUMMYFUNCTION("""COMPUTED_VALUE"""),0.0)</f>
        <v>0</v>
      </c>
      <c r="K2517" s="5" t="str">
        <f>IFERROR(__xludf.DUMMYFUNCTION("""COMPUTED_VALUE"""),"")</f>
        <v/>
      </c>
      <c r="L2517" t="str">
        <f>IFERROR(__xludf.DUMMYFUNCTION("""COMPUTED_VALUE"""),"")</f>
        <v/>
      </c>
      <c r="M2517" t="str">
        <f>IFERROR(__xludf.DUMMYFUNCTION("""COMPUTED_VALUE"""),"")</f>
        <v/>
      </c>
      <c r="N2517" t="str">
        <f>IFERROR(__xludf.DUMMYFUNCTION("""COMPUTED_VALUE"""),"")</f>
        <v/>
      </c>
      <c r="O2517" t="str">
        <f>IFERROR(__xludf.DUMMYFUNCTION("""COMPUTED_VALUE"""),"")</f>
        <v/>
      </c>
      <c r="P2517" t="str">
        <f>IFERROR(__xludf.DUMMYFUNCTION("""COMPUTED_VALUE"""),"ID ")</f>
        <v>ID </v>
      </c>
    </row>
    <row r="2518">
      <c r="A2518" s="6" t="str">
        <f>IFERROR(__xludf.DUMMYFUNCTION("""COMPUTED_VALUE"""),"")</f>
        <v/>
      </c>
      <c r="C2518" t="str">
        <f>IFERROR(__xludf.DUMMYFUNCTION("""COMPUTED_VALUE"""),"")</f>
        <v/>
      </c>
      <c r="D2518" t="str">
        <f>IFERROR(__xludf.DUMMYFUNCTION("""COMPUTED_VALUE"""),"")</f>
        <v/>
      </c>
      <c r="E2518" t="str">
        <f>IFERROR(__xludf.DUMMYFUNCTION("""COMPUTED_VALUE"""),"")</f>
        <v/>
      </c>
      <c r="F2518" t="str">
        <f>IFERROR(__xludf.DUMMYFUNCTION("""COMPUTED_VALUE"""),"")</f>
        <v/>
      </c>
      <c r="G2518" t="str">
        <f>IFERROR(__xludf.DUMMYFUNCTION("""COMPUTED_VALUE"""),"")</f>
        <v/>
      </c>
      <c r="H2518" s="2" t="str">
        <f>IFERROR(__xludf.DUMMYFUNCTION("""COMPUTED_VALUE"""),"")</f>
        <v/>
      </c>
      <c r="I2518" s="2" t="str">
        <f>IFERROR(__xludf.DUMMYFUNCTION("""COMPUTED_VALUE"""),"")</f>
        <v/>
      </c>
      <c r="J2518" s="2">
        <f>IFERROR(__xludf.DUMMYFUNCTION("""COMPUTED_VALUE"""),0.0)</f>
        <v>0</v>
      </c>
      <c r="K2518" s="5" t="str">
        <f>IFERROR(__xludf.DUMMYFUNCTION("""COMPUTED_VALUE"""),"")</f>
        <v/>
      </c>
      <c r="L2518" t="str">
        <f>IFERROR(__xludf.DUMMYFUNCTION("""COMPUTED_VALUE"""),"")</f>
        <v/>
      </c>
      <c r="M2518" t="str">
        <f>IFERROR(__xludf.DUMMYFUNCTION("""COMPUTED_VALUE"""),"")</f>
        <v/>
      </c>
      <c r="N2518" t="str">
        <f>IFERROR(__xludf.DUMMYFUNCTION("""COMPUTED_VALUE"""),"")</f>
        <v/>
      </c>
      <c r="O2518" t="str">
        <f>IFERROR(__xludf.DUMMYFUNCTION("""COMPUTED_VALUE"""),"")</f>
        <v/>
      </c>
      <c r="P2518" t="str">
        <f>IFERROR(__xludf.DUMMYFUNCTION("""COMPUTED_VALUE"""),"ID ")</f>
        <v>ID </v>
      </c>
    </row>
    <row r="2519">
      <c r="A2519" s="6" t="str">
        <f>IFERROR(__xludf.DUMMYFUNCTION("""COMPUTED_VALUE"""),"")</f>
        <v/>
      </c>
      <c r="C2519" t="str">
        <f>IFERROR(__xludf.DUMMYFUNCTION("""COMPUTED_VALUE"""),"")</f>
        <v/>
      </c>
      <c r="D2519" t="str">
        <f>IFERROR(__xludf.DUMMYFUNCTION("""COMPUTED_VALUE"""),"")</f>
        <v/>
      </c>
      <c r="E2519" t="str">
        <f>IFERROR(__xludf.DUMMYFUNCTION("""COMPUTED_VALUE"""),"")</f>
        <v/>
      </c>
      <c r="F2519" t="str">
        <f>IFERROR(__xludf.DUMMYFUNCTION("""COMPUTED_VALUE"""),"")</f>
        <v/>
      </c>
      <c r="G2519" t="str">
        <f>IFERROR(__xludf.DUMMYFUNCTION("""COMPUTED_VALUE"""),"")</f>
        <v/>
      </c>
      <c r="H2519" s="2" t="str">
        <f>IFERROR(__xludf.DUMMYFUNCTION("""COMPUTED_VALUE"""),"")</f>
        <v/>
      </c>
      <c r="I2519" s="2" t="str">
        <f>IFERROR(__xludf.DUMMYFUNCTION("""COMPUTED_VALUE"""),"")</f>
        <v/>
      </c>
      <c r="J2519" s="2">
        <f>IFERROR(__xludf.DUMMYFUNCTION("""COMPUTED_VALUE"""),0.0)</f>
        <v>0</v>
      </c>
      <c r="K2519" s="5" t="str">
        <f>IFERROR(__xludf.DUMMYFUNCTION("""COMPUTED_VALUE"""),"")</f>
        <v/>
      </c>
      <c r="L2519" t="str">
        <f>IFERROR(__xludf.DUMMYFUNCTION("""COMPUTED_VALUE"""),"")</f>
        <v/>
      </c>
      <c r="M2519" t="str">
        <f>IFERROR(__xludf.DUMMYFUNCTION("""COMPUTED_VALUE"""),"")</f>
        <v/>
      </c>
      <c r="N2519" t="str">
        <f>IFERROR(__xludf.DUMMYFUNCTION("""COMPUTED_VALUE"""),"")</f>
        <v/>
      </c>
      <c r="O2519" t="str">
        <f>IFERROR(__xludf.DUMMYFUNCTION("""COMPUTED_VALUE"""),"")</f>
        <v/>
      </c>
      <c r="P2519" t="str">
        <f>IFERROR(__xludf.DUMMYFUNCTION("""COMPUTED_VALUE"""),"ID ")</f>
        <v>ID </v>
      </c>
    </row>
    <row r="2520">
      <c r="A2520" s="6" t="str">
        <f>IFERROR(__xludf.DUMMYFUNCTION("""COMPUTED_VALUE"""),"")</f>
        <v/>
      </c>
      <c r="C2520" t="str">
        <f>IFERROR(__xludf.DUMMYFUNCTION("""COMPUTED_VALUE"""),"")</f>
        <v/>
      </c>
      <c r="D2520" t="str">
        <f>IFERROR(__xludf.DUMMYFUNCTION("""COMPUTED_VALUE"""),"")</f>
        <v/>
      </c>
      <c r="E2520" t="str">
        <f>IFERROR(__xludf.DUMMYFUNCTION("""COMPUTED_VALUE"""),"")</f>
        <v/>
      </c>
      <c r="F2520" t="str">
        <f>IFERROR(__xludf.DUMMYFUNCTION("""COMPUTED_VALUE"""),"")</f>
        <v/>
      </c>
      <c r="G2520" t="str">
        <f>IFERROR(__xludf.DUMMYFUNCTION("""COMPUTED_VALUE"""),"")</f>
        <v/>
      </c>
      <c r="H2520" s="2" t="str">
        <f>IFERROR(__xludf.DUMMYFUNCTION("""COMPUTED_VALUE"""),"")</f>
        <v/>
      </c>
      <c r="I2520" s="2" t="str">
        <f>IFERROR(__xludf.DUMMYFUNCTION("""COMPUTED_VALUE"""),"")</f>
        <v/>
      </c>
      <c r="J2520" s="2">
        <f>IFERROR(__xludf.DUMMYFUNCTION("""COMPUTED_VALUE"""),0.0)</f>
        <v>0</v>
      </c>
      <c r="K2520" s="5" t="str">
        <f>IFERROR(__xludf.DUMMYFUNCTION("""COMPUTED_VALUE"""),"")</f>
        <v/>
      </c>
      <c r="L2520" t="str">
        <f>IFERROR(__xludf.DUMMYFUNCTION("""COMPUTED_VALUE"""),"")</f>
        <v/>
      </c>
      <c r="M2520" t="str">
        <f>IFERROR(__xludf.DUMMYFUNCTION("""COMPUTED_VALUE"""),"")</f>
        <v/>
      </c>
      <c r="N2520" t="str">
        <f>IFERROR(__xludf.DUMMYFUNCTION("""COMPUTED_VALUE"""),"")</f>
        <v/>
      </c>
      <c r="O2520" t="str">
        <f>IFERROR(__xludf.DUMMYFUNCTION("""COMPUTED_VALUE"""),"")</f>
        <v/>
      </c>
      <c r="P2520" t="str">
        <f>IFERROR(__xludf.DUMMYFUNCTION("""COMPUTED_VALUE"""),"ID ")</f>
        <v>ID </v>
      </c>
    </row>
    <row r="2521">
      <c r="A2521" s="6" t="str">
        <f>IFERROR(__xludf.DUMMYFUNCTION("""COMPUTED_VALUE"""),"")</f>
        <v/>
      </c>
      <c r="C2521" t="str">
        <f>IFERROR(__xludf.DUMMYFUNCTION("""COMPUTED_VALUE"""),"")</f>
        <v/>
      </c>
      <c r="D2521" t="str">
        <f>IFERROR(__xludf.DUMMYFUNCTION("""COMPUTED_VALUE"""),"")</f>
        <v/>
      </c>
      <c r="E2521" t="str">
        <f>IFERROR(__xludf.DUMMYFUNCTION("""COMPUTED_VALUE"""),"")</f>
        <v/>
      </c>
      <c r="F2521" t="str">
        <f>IFERROR(__xludf.DUMMYFUNCTION("""COMPUTED_VALUE"""),"")</f>
        <v/>
      </c>
      <c r="G2521" t="str">
        <f>IFERROR(__xludf.DUMMYFUNCTION("""COMPUTED_VALUE"""),"")</f>
        <v/>
      </c>
      <c r="H2521" s="2" t="str">
        <f>IFERROR(__xludf.DUMMYFUNCTION("""COMPUTED_VALUE"""),"")</f>
        <v/>
      </c>
      <c r="I2521" s="2" t="str">
        <f>IFERROR(__xludf.DUMMYFUNCTION("""COMPUTED_VALUE"""),"")</f>
        <v/>
      </c>
      <c r="J2521" s="2">
        <f>IFERROR(__xludf.DUMMYFUNCTION("""COMPUTED_VALUE"""),0.0)</f>
        <v>0</v>
      </c>
      <c r="K2521" s="5" t="str">
        <f>IFERROR(__xludf.DUMMYFUNCTION("""COMPUTED_VALUE"""),"")</f>
        <v/>
      </c>
      <c r="L2521" t="str">
        <f>IFERROR(__xludf.DUMMYFUNCTION("""COMPUTED_VALUE"""),"")</f>
        <v/>
      </c>
      <c r="M2521" t="str">
        <f>IFERROR(__xludf.DUMMYFUNCTION("""COMPUTED_VALUE"""),"")</f>
        <v/>
      </c>
      <c r="N2521" t="str">
        <f>IFERROR(__xludf.DUMMYFUNCTION("""COMPUTED_VALUE"""),"")</f>
        <v/>
      </c>
      <c r="O2521" t="str">
        <f>IFERROR(__xludf.DUMMYFUNCTION("""COMPUTED_VALUE"""),"")</f>
        <v/>
      </c>
      <c r="P2521" t="str">
        <f>IFERROR(__xludf.DUMMYFUNCTION("""COMPUTED_VALUE"""),"ID ")</f>
        <v>ID </v>
      </c>
    </row>
    <row r="2522">
      <c r="A2522" s="6" t="str">
        <f>IFERROR(__xludf.DUMMYFUNCTION("""COMPUTED_VALUE"""),"")</f>
        <v/>
      </c>
      <c r="C2522" t="str">
        <f>IFERROR(__xludf.DUMMYFUNCTION("""COMPUTED_VALUE"""),"")</f>
        <v/>
      </c>
      <c r="D2522" t="str">
        <f>IFERROR(__xludf.DUMMYFUNCTION("""COMPUTED_VALUE"""),"")</f>
        <v/>
      </c>
      <c r="E2522" t="str">
        <f>IFERROR(__xludf.DUMMYFUNCTION("""COMPUTED_VALUE"""),"")</f>
        <v/>
      </c>
      <c r="F2522" t="str">
        <f>IFERROR(__xludf.DUMMYFUNCTION("""COMPUTED_VALUE"""),"")</f>
        <v/>
      </c>
      <c r="G2522" t="str">
        <f>IFERROR(__xludf.DUMMYFUNCTION("""COMPUTED_VALUE"""),"")</f>
        <v/>
      </c>
      <c r="H2522" s="2" t="str">
        <f>IFERROR(__xludf.DUMMYFUNCTION("""COMPUTED_VALUE"""),"")</f>
        <v/>
      </c>
      <c r="I2522" s="2" t="str">
        <f>IFERROR(__xludf.DUMMYFUNCTION("""COMPUTED_VALUE"""),"")</f>
        <v/>
      </c>
      <c r="J2522" s="2">
        <f>IFERROR(__xludf.DUMMYFUNCTION("""COMPUTED_VALUE"""),0.0)</f>
        <v>0</v>
      </c>
      <c r="K2522" s="5" t="str">
        <f>IFERROR(__xludf.DUMMYFUNCTION("""COMPUTED_VALUE"""),"")</f>
        <v/>
      </c>
      <c r="L2522" t="str">
        <f>IFERROR(__xludf.DUMMYFUNCTION("""COMPUTED_VALUE"""),"")</f>
        <v/>
      </c>
      <c r="M2522" t="str">
        <f>IFERROR(__xludf.DUMMYFUNCTION("""COMPUTED_VALUE"""),"")</f>
        <v/>
      </c>
      <c r="N2522" t="str">
        <f>IFERROR(__xludf.DUMMYFUNCTION("""COMPUTED_VALUE"""),"")</f>
        <v/>
      </c>
      <c r="O2522" t="str">
        <f>IFERROR(__xludf.DUMMYFUNCTION("""COMPUTED_VALUE"""),"")</f>
        <v/>
      </c>
      <c r="P2522" t="str">
        <f>IFERROR(__xludf.DUMMYFUNCTION("""COMPUTED_VALUE"""),"ID ")</f>
        <v>ID </v>
      </c>
    </row>
    <row r="2523">
      <c r="A2523" s="6" t="str">
        <f>IFERROR(__xludf.DUMMYFUNCTION("""COMPUTED_VALUE"""),"")</f>
        <v/>
      </c>
      <c r="C2523" t="str">
        <f>IFERROR(__xludf.DUMMYFUNCTION("""COMPUTED_VALUE"""),"")</f>
        <v/>
      </c>
      <c r="D2523" t="str">
        <f>IFERROR(__xludf.DUMMYFUNCTION("""COMPUTED_VALUE"""),"")</f>
        <v/>
      </c>
      <c r="E2523" t="str">
        <f>IFERROR(__xludf.DUMMYFUNCTION("""COMPUTED_VALUE"""),"")</f>
        <v/>
      </c>
      <c r="F2523" t="str">
        <f>IFERROR(__xludf.DUMMYFUNCTION("""COMPUTED_VALUE"""),"")</f>
        <v/>
      </c>
      <c r="G2523" t="str">
        <f>IFERROR(__xludf.DUMMYFUNCTION("""COMPUTED_VALUE"""),"")</f>
        <v/>
      </c>
      <c r="H2523" s="2" t="str">
        <f>IFERROR(__xludf.DUMMYFUNCTION("""COMPUTED_VALUE"""),"")</f>
        <v/>
      </c>
      <c r="I2523" s="2" t="str">
        <f>IFERROR(__xludf.DUMMYFUNCTION("""COMPUTED_VALUE"""),"")</f>
        <v/>
      </c>
      <c r="J2523" s="2">
        <f>IFERROR(__xludf.DUMMYFUNCTION("""COMPUTED_VALUE"""),0.0)</f>
        <v>0</v>
      </c>
      <c r="K2523" s="5" t="str">
        <f>IFERROR(__xludf.DUMMYFUNCTION("""COMPUTED_VALUE"""),"")</f>
        <v/>
      </c>
      <c r="L2523" t="str">
        <f>IFERROR(__xludf.DUMMYFUNCTION("""COMPUTED_VALUE"""),"")</f>
        <v/>
      </c>
      <c r="M2523" t="str">
        <f>IFERROR(__xludf.DUMMYFUNCTION("""COMPUTED_VALUE"""),"")</f>
        <v/>
      </c>
      <c r="N2523" t="str">
        <f>IFERROR(__xludf.DUMMYFUNCTION("""COMPUTED_VALUE"""),"")</f>
        <v/>
      </c>
      <c r="O2523" t="str">
        <f>IFERROR(__xludf.DUMMYFUNCTION("""COMPUTED_VALUE"""),"")</f>
        <v/>
      </c>
      <c r="P2523" t="str">
        <f>IFERROR(__xludf.DUMMYFUNCTION("""COMPUTED_VALUE"""),"ID ")</f>
        <v>ID </v>
      </c>
    </row>
    <row r="2524">
      <c r="A2524" s="6" t="str">
        <f>IFERROR(__xludf.DUMMYFUNCTION("""COMPUTED_VALUE"""),"")</f>
        <v/>
      </c>
      <c r="C2524" t="str">
        <f>IFERROR(__xludf.DUMMYFUNCTION("""COMPUTED_VALUE"""),"")</f>
        <v/>
      </c>
      <c r="D2524" t="str">
        <f>IFERROR(__xludf.DUMMYFUNCTION("""COMPUTED_VALUE"""),"")</f>
        <v/>
      </c>
      <c r="E2524" t="str">
        <f>IFERROR(__xludf.DUMMYFUNCTION("""COMPUTED_VALUE"""),"")</f>
        <v/>
      </c>
      <c r="F2524" t="str">
        <f>IFERROR(__xludf.DUMMYFUNCTION("""COMPUTED_VALUE"""),"")</f>
        <v/>
      </c>
      <c r="G2524" t="str">
        <f>IFERROR(__xludf.DUMMYFUNCTION("""COMPUTED_VALUE"""),"")</f>
        <v/>
      </c>
      <c r="H2524" s="2" t="str">
        <f>IFERROR(__xludf.DUMMYFUNCTION("""COMPUTED_VALUE"""),"")</f>
        <v/>
      </c>
      <c r="I2524" s="2" t="str">
        <f>IFERROR(__xludf.DUMMYFUNCTION("""COMPUTED_VALUE"""),"")</f>
        <v/>
      </c>
      <c r="J2524" s="2">
        <f>IFERROR(__xludf.DUMMYFUNCTION("""COMPUTED_VALUE"""),0.0)</f>
        <v>0</v>
      </c>
      <c r="K2524" s="5" t="str">
        <f>IFERROR(__xludf.DUMMYFUNCTION("""COMPUTED_VALUE"""),"")</f>
        <v/>
      </c>
      <c r="L2524" t="str">
        <f>IFERROR(__xludf.DUMMYFUNCTION("""COMPUTED_VALUE"""),"")</f>
        <v/>
      </c>
      <c r="M2524" t="str">
        <f>IFERROR(__xludf.DUMMYFUNCTION("""COMPUTED_VALUE"""),"")</f>
        <v/>
      </c>
      <c r="N2524" t="str">
        <f>IFERROR(__xludf.DUMMYFUNCTION("""COMPUTED_VALUE"""),"")</f>
        <v/>
      </c>
      <c r="O2524" t="str">
        <f>IFERROR(__xludf.DUMMYFUNCTION("""COMPUTED_VALUE"""),"")</f>
        <v/>
      </c>
      <c r="P2524" t="str">
        <f>IFERROR(__xludf.DUMMYFUNCTION("""COMPUTED_VALUE"""),"ID ")</f>
        <v>ID </v>
      </c>
    </row>
    <row r="2525">
      <c r="A2525" s="6" t="str">
        <f>IFERROR(__xludf.DUMMYFUNCTION("""COMPUTED_VALUE"""),"")</f>
        <v/>
      </c>
      <c r="C2525" t="str">
        <f>IFERROR(__xludf.DUMMYFUNCTION("""COMPUTED_VALUE"""),"")</f>
        <v/>
      </c>
      <c r="D2525" t="str">
        <f>IFERROR(__xludf.DUMMYFUNCTION("""COMPUTED_VALUE"""),"")</f>
        <v/>
      </c>
      <c r="E2525" t="str">
        <f>IFERROR(__xludf.DUMMYFUNCTION("""COMPUTED_VALUE"""),"")</f>
        <v/>
      </c>
      <c r="F2525" t="str">
        <f>IFERROR(__xludf.DUMMYFUNCTION("""COMPUTED_VALUE"""),"")</f>
        <v/>
      </c>
      <c r="G2525" t="str">
        <f>IFERROR(__xludf.DUMMYFUNCTION("""COMPUTED_VALUE"""),"")</f>
        <v/>
      </c>
      <c r="H2525" s="2" t="str">
        <f>IFERROR(__xludf.DUMMYFUNCTION("""COMPUTED_VALUE"""),"")</f>
        <v/>
      </c>
      <c r="I2525" s="2" t="str">
        <f>IFERROR(__xludf.DUMMYFUNCTION("""COMPUTED_VALUE"""),"")</f>
        <v/>
      </c>
      <c r="J2525" s="2">
        <f>IFERROR(__xludf.DUMMYFUNCTION("""COMPUTED_VALUE"""),0.0)</f>
        <v>0</v>
      </c>
      <c r="K2525" s="5" t="str">
        <f>IFERROR(__xludf.DUMMYFUNCTION("""COMPUTED_VALUE"""),"")</f>
        <v/>
      </c>
      <c r="L2525" t="str">
        <f>IFERROR(__xludf.DUMMYFUNCTION("""COMPUTED_VALUE"""),"")</f>
        <v/>
      </c>
      <c r="M2525" t="str">
        <f>IFERROR(__xludf.DUMMYFUNCTION("""COMPUTED_VALUE"""),"")</f>
        <v/>
      </c>
      <c r="N2525" t="str">
        <f>IFERROR(__xludf.DUMMYFUNCTION("""COMPUTED_VALUE"""),"")</f>
        <v/>
      </c>
      <c r="O2525" t="str">
        <f>IFERROR(__xludf.DUMMYFUNCTION("""COMPUTED_VALUE"""),"")</f>
        <v/>
      </c>
      <c r="P2525" t="str">
        <f>IFERROR(__xludf.DUMMYFUNCTION("""COMPUTED_VALUE"""),"ID ")</f>
        <v>ID </v>
      </c>
    </row>
    <row r="2526">
      <c r="A2526" s="6" t="str">
        <f>IFERROR(__xludf.DUMMYFUNCTION("""COMPUTED_VALUE"""),"")</f>
        <v/>
      </c>
      <c r="C2526" t="str">
        <f>IFERROR(__xludf.DUMMYFUNCTION("""COMPUTED_VALUE"""),"")</f>
        <v/>
      </c>
      <c r="D2526" t="str">
        <f>IFERROR(__xludf.DUMMYFUNCTION("""COMPUTED_VALUE"""),"")</f>
        <v/>
      </c>
      <c r="E2526" t="str">
        <f>IFERROR(__xludf.DUMMYFUNCTION("""COMPUTED_VALUE"""),"")</f>
        <v/>
      </c>
      <c r="F2526" t="str">
        <f>IFERROR(__xludf.DUMMYFUNCTION("""COMPUTED_VALUE"""),"")</f>
        <v/>
      </c>
      <c r="G2526" t="str">
        <f>IFERROR(__xludf.DUMMYFUNCTION("""COMPUTED_VALUE"""),"")</f>
        <v/>
      </c>
      <c r="H2526" s="2" t="str">
        <f>IFERROR(__xludf.DUMMYFUNCTION("""COMPUTED_VALUE"""),"")</f>
        <v/>
      </c>
      <c r="I2526" s="2" t="str">
        <f>IFERROR(__xludf.DUMMYFUNCTION("""COMPUTED_VALUE"""),"")</f>
        <v/>
      </c>
      <c r="J2526" s="2">
        <f>IFERROR(__xludf.DUMMYFUNCTION("""COMPUTED_VALUE"""),0.0)</f>
        <v>0</v>
      </c>
      <c r="K2526" s="5" t="str">
        <f>IFERROR(__xludf.DUMMYFUNCTION("""COMPUTED_VALUE"""),"")</f>
        <v/>
      </c>
      <c r="L2526" t="str">
        <f>IFERROR(__xludf.DUMMYFUNCTION("""COMPUTED_VALUE"""),"")</f>
        <v/>
      </c>
      <c r="M2526" t="str">
        <f>IFERROR(__xludf.DUMMYFUNCTION("""COMPUTED_VALUE"""),"")</f>
        <v/>
      </c>
      <c r="N2526" t="str">
        <f>IFERROR(__xludf.DUMMYFUNCTION("""COMPUTED_VALUE"""),"")</f>
        <v/>
      </c>
      <c r="O2526" t="str">
        <f>IFERROR(__xludf.DUMMYFUNCTION("""COMPUTED_VALUE"""),"")</f>
        <v/>
      </c>
      <c r="P2526" t="str">
        <f>IFERROR(__xludf.DUMMYFUNCTION("""COMPUTED_VALUE"""),"ID ")</f>
        <v>ID </v>
      </c>
    </row>
    <row r="2527">
      <c r="A2527" s="6" t="str">
        <f>IFERROR(__xludf.DUMMYFUNCTION("""COMPUTED_VALUE"""),"")</f>
        <v/>
      </c>
      <c r="C2527" t="str">
        <f>IFERROR(__xludf.DUMMYFUNCTION("""COMPUTED_VALUE"""),"")</f>
        <v/>
      </c>
      <c r="D2527" t="str">
        <f>IFERROR(__xludf.DUMMYFUNCTION("""COMPUTED_VALUE"""),"")</f>
        <v/>
      </c>
      <c r="E2527" t="str">
        <f>IFERROR(__xludf.DUMMYFUNCTION("""COMPUTED_VALUE"""),"")</f>
        <v/>
      </c>
      <c r="F2527" t="str">
        <f>IFERROR(__xludf.DUMMYFUNCTION("""COMPUTED_VALUE"""),"")</f>
        <v/>
      </c>
      <c r="G2527" t="str">
        <f>IFERROR(__xludf.DUMMYFUNCTION("""COMPUTED_VALUE"""),"")</f>
        <v/>
      </c>
      <c r="H2527" s="2" t="str">
        <f>IFERROR(__xludf.DUMMYFUNCTION("""COMPUTED_VALUE"""),"")</f>
        <v/>
      </c>
      <c r="I2527" s="2" t="str">
        <f>IFERROR(__xludf.DUMMYFUNCTION("""COMPUTED_VALUE"""),"")</f>
        <v/>
      </c>
      <c r="J2527" s="2">
        <f>IFERROR(__xludf.DUMMYFUNCTION("""COMPUTED_VALUE"""),0.0)</f>
        <v>0</v>
      </c>
      <c r="K2527" s="5" t="str">
        <f>IFERROR(__xludf.DUMMYFUNCTION("""COMPUTED_VALUE"""),"")</f>
        <v/>
      </c>
      <c r="L2527" t="str">
        <f>IFERROR(__xludf.DUMMYFUNCTION("""COMPUTED_VALUE"""),"")</f>
        <v/>
      </c>
      <c r="M2527" t="str">
        <f>IFERROR(__xludf.DUMMYFUNCTION("""COMPUTED_VALUE"""),"")</f>
        <v/>
      </c>
      <c r="N2527" t="str">
        <f>IFERROR(__xludf.DUMMYFUNCTION("""COMPUTED_VALUE"""),"")</f>
        <v/>
      </c>
      <c r="O2527" t="str">
        <f>IFERROR(__xludf.DUMMYFUNCTION("""COMPUTED_VALUE"""),"")</f>
        <v/>
      </c>
      <c r="P2527" t="str">
        <f>IFERROR(__xludf.DUMMYFUNCTION("""COMPUTED_VALUE"""),"ID ")</f>
        <v>ID </v>
      </c>
    </row>
    <row r="2528">
      <c r="A2528" s="6" t="str">
        <f>IFERROR(__xludf.DUMMYFUNCTION("""COMPUTED_VALUE"""),"")</f>
        <v/>
      </c>
      <c r="C2528" t="str">
        <f>IFERROR(__xludf.DUMMYFUNCTION("""COMPUTED_VALUE"""),"")</f>
        <v/>
      </c>
      <c r="D2528" t="str">
        <f>IFERROR(__xludf.DUMMYFUNCTION("""COMPUTED_VALUE"""),"")</f>
        <v/>
      </c>
      <c r="E2528" t="str">
        <f>IFERROR(__xludf.DUMMYFUNCTION("""COMPUTED_VALUE"""),"")</f>
        <v/>
      </c>
      <c r="F2528" t="str">
        <f>IFERROR(__xludf.DUMMYFUNCTION("""COMPUTED_VALUE"""),"")</f>
        <v/>
      </c>
      <c r="G2528" t="str">
        <f>IFERROR(__xludf.DUMMYFUNCTION("""COMPUTED_VALUE"""),"")</f>
        <v/>
      </c>
      <c r="H2528" s="2" t="str">
        <f>IFERROR(__xludf.DUMMYFUNCTION("""COMPUTED_VALUE"""),"")</f>
        <v/>
      </c>
      <c r="I2528" s="2" t="str">
        <f>IFERROR(__xludf.DUMMYFUNCTION("""COMPUTED_VALUE"""),"")</f>
        <v/>
      </c>
      <c r="J2528" s="2">
        <f>IFERROR(__xludf.DUMMYFUNCTION("""COMPUTED_VALUE"""),0.0)</f>
        <v>0</v>
      </c>
      <c r="K2528" s="5" t="str">
        <f>IFERROR(__xludf.DUMMYFUNCTION("""COMPUTED_VALUE"""),"")</f>
        <v/>
      </c>
      <c r="L2528" t="str">
        <f>IFERROR(__xludf.DUMMYFUNCTION("""COMPUTED_VALUE"""),"")</f>
        <v/>
      </c>
      <c r="M2528" t="str">
        <f>IFERROR(__xludf.DUMMYFUNCTION("""COMPUTED_VALUE"""),"")</f>
        <v/>
      </c>
      <c r="N2528" t="str">
        <f>IFERROR(__xludf.DUMMYFUNCTION("""COMPUTED_VALUE"""),"")</f>
        <v/>
      </c>
      <c r="O2528" t="str">
        <f>IFERROR(__xludf.DUMMYFUNCTION("""COMPUTED_VALUE"""),"")</f>
        <v/>
      </c>
      <c r="P2528" t="str">
        <f>IFERROR(__xludf.DUMMYFUNCTION("""COMPUTED_VALUE"""),"ID ")</f>
        <v>ID </v>
      </c>
    </row>
    <row r="2529">
      <c r="A2529" s="6" t="str">
        <f>IFERROR(__xludf.DUMMYFUNCTION("""COMPUTED_VALUE"""),"")</f>
        <v/>
      </c>
      <c r="C2529" t="str">
        <f>IFERROR(__xludf.DUMMYFUNCTION("""COMPUTED_VALUE"""),"")</f>
        <v/>
      </c>
      <c r="D2529" t="str">
        <f>IFERROR(__xludf.DUMMYFUNCTION("""COMPUTED_VALUE"""),"")</f>
        <v/>
      </c>
      <c r="E2529" t="str">
        <f>IFERROR(__xludf.DUMMYFUNCTION("""COMPUTED_VALUE"""),"")</f>
        <v/>
      </c>
      <c r="F2529" t="str">
        <f>IFERROR(__xludf.DUMMYFUNCTION("""COMPUTED_VALUE"""),"")</f>
        <v/>
      </c>
      <c r="G2529" t="str">
        <f>IFERROR(__xludf.DUMMYFUNCTION("""COMPUTED_VALUE"""),"")</f>
        <v/>
      </c>
      <c r="H2529" s="2" t="str">
        <f>IFERROR(__xludf.DUMMYFUNCTION("""COMPUTED_VALUE"""),"")</f>
        <v/>
      </c>
      <c r="I2529" s="2" t="str">
        <f>IFERROR(__xludf.DUMMYFUNCTION("""COMPUTED_VALUE"""),"")</f>
        <v/>
      </c>
      <c r="J2529" s="2">
        <f>IFERROR(__xludf.DUMMYFUNCTION("""COMPUTED_VALUE"""),0.0)</f>
        <v>0</v>
      </c>
      <c r="K2529" s="5" t="str">
        <f>IFERROR(__xludf.DUMMYFUNCTION("""COMPUTED_VALUE"""),"")</f>
        <v/>
      </c>
      <c r="L2529" t="str">
        <f>IFERROR(__xludf.DUMMYFUNCTION("""COMPUTED_VALUE"""),"")</f>
        <v/>
      </c>
      <c r="M2529" t="str">
        <f>IFERROR(__xludf.DUMMYFUNCTION("""COMPUTED_VALUE"""),"")</f>
        <v/>
      </c>
      <c r="N2529" t="str">
        <f>IFERROR(__xludf.DUMMYFUNCTION("""COMPUTED_VALUE"""),"")</f>
        <v/>
      </c>
      <c r="O2529" t="str">
        <f>IFERROR(__xludf.DUMMYFUNCTION("""COMPUTED_VALUE"""),"")</f>
        <v/>
      </c>
      <c r="P2529" t="str">
        <f>IFERROR(__xludf.DUMMYFUNCTION("""COMPUTED_VALUE"""),"ID ")</f>
        <v>ID </v>
      </c>
    </row>
    <row r="2530">
      <c r="A2530" s="6" t="str">
        <f>IFERROR(__xludf.DUMMYFUNCTION("""COMPUTED_VALUE"""),"")</f>
        <v/>
      </c>
      <c r="C2530" t="str">
        <f>IFERROR(__xludf.DUMMYFUNCTION("""COMPUTED_VALUE"""),"")</f>
        <v/>
      </c>
      <c r="D2530" t="str">
        <f>IFERROR(__xludf.DUMMYFUNCTION("""COMPUTED_VALUE"""),"")</f>
        <v/>
      </c>
      <c r="E2530" t="str">
        <f>IFERROR(__xludf.DUMMYFUNCTION("""COMPUTED_VALUE"""),"")</f>
        <v/>
      </c>
      <c r="F2530" t="str">
        <f>IFERROR(__xludf.DUMMYFUNCTION("""COMPUTED_VALUE"""),"")</f>
        <v/>
      </c>
      <c r="G2530" t="str">
        <f>IFERROR(__xludf.DUMMYFUNCTION("""COMPUTED_VALUE"""),"")</f>
        <v/>
      </c>
      <c r="H2530" s="2" t="str">
        <f>IFERROR(__xludf.DUMMYFUNCTION("""COMPUTED_VALUE"""),"")</f>
        <v/>
      </c>
      <c r="I2530" s="2" t="str">
        <f>IFERROR(__xludf.DUMMYFUNCTION("""COMPUTED_VALUE"""),"")</f>
        <v/>
      </c>
      <c r="J2530" s="2">
        <f>IFERROR(__xludf.DUMMYFUNCTION("""COMPUTED_VALUE"""),0.0)</f>
        <v>0</v>
      </c>
      <c r="K2530" s="5" t="str">
        <f>IFERROR(__xludf.DUMMYFUNCTION("""COMPUTED_VALUE"""),"")</f>
        <v/>
      </c>
      <c r="L2530" t="str">
        <f>IFERROR(__xludf.DUMMYFUNCTION("""COMPUTED_VALUE"""),"")</f>
        <v/>
      </c>
      <c r="M2530" t="str">
        <f>IFERROR(__xludf.DUMMYFUNCTION("""COMPUTED_VALUE"""),"")</f>
        <v/>
      </c>
      <c r="N2530" t="str">
        <f>IFERROR(__xludf.DUMMYFUNCTION("""COMPUTED_VALUE"""),"")</f>
        <v/>
      </c>
      <c r="O2530" t="str">
        <f>IFERROR(__xludf.DUMMYFUNCTION("""COMPUTED_VALUE"""),"")</f>
        <v/>
      </c>
      <c r="P2530" t="str">
        <f>IFERROR(__xludf.DUMMYFUNCTION("""COMPUTED_VALUE"""),"ID ")</f>
        <v>ID </v>
      </c>
    </row>
    <row r="2531">
      <c r="A2531" s="6" t="str">
        <f>IFERROR(__xludf.DUMMYFUNCTION("""COMPUTED_VALUE"""),"")</f>
        <v/>
      </c>
      <c r="C2531" t="str">
        <f>IFERROR(__xludf.DUMMYFUNCTION("""COMPUTED_VALUE"""),"")</f>
        <v/>
      </c>
      <c r="D2531" t="str">
        <f>IFERROR(__xludf.DUMMYFUNCTION("""COMPUTED_VALUE"""),"")</f>
        <v/>
      </c>
      <c r="E2531" t="str">
        <f>IFERROR(__xludf.DUMMYFUNCTION("""COMPUTED_VALUE"""),"")</f>
        <v/>
      </c>
      <c r="F2531" t="str">
        <f>IFERROR(__xludf.DUMMYFUNCTION("""COMPUTED_VALUE"""),"")</f>
        <v/>
      </c>
      <c r="G2531" t="str">
        <f>IFERROR(__xludf.DUMMYFUNCTION("""COMPUTED_VALUE"""),"")</f>
        <v/>
      </c>
      <c r="H2531" s="2" t="str">
        <f>IFERROR(__xludf.DUMMYFUNCTION("""COMPUTED_VALUE"""),"")</f>
        <v/>
      </c>
      <c r="I2531" s="2" t="str">
        <f>IFERROR(__xludf.DUMMYFUNCTION("""COMPUTED_VALUE"""),"")</f>
        <v/>
      </c>
      <c r="J2531" s="2">
        <f>IFERROR(__xludf.DUMMYFUNCTION("""COMPUTED_VALUE"""),0.0)</f>
        <v>0</v>
      </c>
      <c r="K2531" s="5" t="str">
        <f>IFERROR(__xludf.DUMMYFUNCTION("""COMPUTED_VALUE"""),"")</f>
        <v/>
      </c>
      <c r="L2531" t="str">
        <f>IFERROR(__xludf.DUMMYFUNCTION("""COMPUTED_VALUE"""),"")</f>
        <v/>
      </c>
      <c r="M2531" t="str">
        <f>IFERROR(__xludf.DUMMYFUNCTION("""COMPUTED_VALUE"""),"")</f>
        <v/>
      </c>
      <c r="N2531" t="str">
        <f>IFERROR(__xludf.DUMMYFUNCTION("""COMPUTED_VALUE"""),"")</f>
        <v/>
      </c>
      <c r="O2531" t="str">
        <f>IFERROR(__xludf.DUMMYFUNCTION("""COMPUTED_VALUE"""),"")</f>
        <v/>
      </c>
      <c r="P2531" t="str">
        <f>IFERROR(__xludf.DUMMYFUNCTION("""COMPUTED_VALUE"""),"ID ")</f>
        <v>ID </v>
      </c>
    </row>
    <row r="2532">
      <c r="A2532" s="6" t="str">
        <f>IFERROR(__xludf.DUMMYFUNCTION("""COMPUTED_VALUE"""),"")</f>
        <v/>
      </c>
      <c r="C2532" t="str">
        <f>IFERROR(__xludf.DUMMYFUNCTION("""COMPUTED_VALUE"""),"")</f>
        <v/>
      </c>
      <c r="D2532" t="str">
        <f>IFERROR(__xludf.DUMMYFUNCTION("""COMPUTED_VALUE"""),"")</f>
        <v/>
      </c>
      <c r="E2532" t="str">
        <f>IFERROR(__xludf.DUMMYFUNCTION("""COMPUTED_VALUE"""),"")</f>
        <v/>
      </c>
      <c r="F2532" t="str">
        <f>IFERROR(__xludf.DUMMYFUNCTION("""COMPUTED_VALUE"""),"")</f>
        <v/>
      </c>
      <c r="G2532" t="str">
        <f>IFERROR(__xludf.DUMMYFUNCTION("""COMPUTED_VALUE"""),"")</f>
        <v/>
      </c>
      <c r="H2532" s="2" t="str">
        <f>IFERROR(__xludf.DUMMYFUNCTION("""COMPUTED_VALUE"""),"")</f>
        <v/>
      </c>
      <c r="I2532" s="2" t="str">
        <f>IFERROR(__xludf.DUMMYFUNCTION("""COMPUTED_VALUE"""),"")</f>
        <v/>
      </c>
      <c r="J2532" s="2">
        <f>IFERROR(__xludf.DUMMYFUNCTION("""COMPUTED_VALUE"""),0.0)</f>
        <v>0</v>
      </c>
      <c r="K2532" s="5" t="str">
        <f>IFERROR(__xludf.DUMMYFUNCTION("""COMPUTED_VALUE"""),"")</f>
        <v/>
      </c>
      <c r="L2532" t="str">
        <f>IFERROR(__xludf.DUMMYFUNCTION("""COMPUTED_VALUE"""),"")</f>
        <v/>
      </c>
      <c r="M2532" t="str">
        <f>IFERROR(__xludf.DUMMYFUNCTION("""COMPUTED_VALUE"""),"")</f>
        <v/>
      </c>
      <c r="N2532" t="str">
        <f>IFERROR(__xludf.DUMMYFUNCTION("""COMPUTED_VALUE"""),"")</f>
        <v/>
      </c>
      <c r="O2532" t="str">
        <f>IFERROR(__xludf.DUMMYFUNCTION("""COMPUTED_VALUE"""),"")</f>
        <v/>
      </c>
      <c r="P2532" t="str">
        <f>IFERROR(__xludf.DUMMYFUNCTION("""COMPUTED_VALUE"""),"ID ")</f>
        <v>ID </v>
      </c>
    </row>
    <row r="2533">
      <c r="A2533" s="6" t="str">
        <f>IFERROR(__xludf.DUMMYFUNCTION("""COMPUTED_VALUE"""),"")</f>
        <v/>
      </c>
      <c r="C2533" t="str">
        <f>IFERROR(__xludf.DUMMYFUNCTION("""COMPUTED_VALUE"""),"")</f>
        <v/>
      </c>
      <c r="D2533" t="str">
        <f>IFERROR(__xludf.DUMMYFUNCTION("""COMPUTED_VALUE"""),"")</f>
        <v/>
      </c>
      <c r="E2533" t="str">
        <f>IFERROR(__xludf.DUMMYFUNCTION("""COMPUTED_VALUE"""),"")</f>
        <v/>
      </c>
      <c r="F2533" t="str">
        <f>IFERROR(__xludf.DUMMYFUNCTION("""COMPUTED_VALUE"""),"")</f>
        <v/>
      </c>
      <c r="G2533" t="str">
        <f>IFERROR(__xludf.DUMMYFUNCTION("""COMPUTED_VALUE"""),"")</f>
        <v/>
      </c>
      <c r="H2533" s="2" t="str">
        <f>IFERROR(__xludf.DUMMYFUNCTION("""COMPUTED_VALUE"""),"")</f>
        <v/>
      </c>
      <c r="I2533" s="2" t="str">
        <f>IFERROR(__xludf.DUMMYFUNCTION("""COMPUTED_VALUE"""),"")</f>
        <v/>
      </c>
      <c r="J2533" s="2">
        <f>IFERROR(__xludf.DUMMYFUNCTION("""COMPUTED_VALUE"""),0.0)</f>
        <v>0</v>
      </c>
      <c r="K2533" s="5" t="str">
        <f>IFERROR(__xludf.DUMMYFUNCTION("""COMPUTED_VALUE"""),"")</f>
        <v/>
      </c>
      <c r="L2533" t="str">
        <f>IFERROR(__xludf.DUMMYFUNCTION("""COMPUTED_VALUE"""),"")</f>
        <v/>
      </c>
      <c r="M2533" t="str">
        <f>IFERROR(__xludf.DUMMYFUNCTION("""COMPUTED_VALUE"""),"")</f>
        <v/>
      </c>
      <c r="N2533" t="str">
        <f>IFERROR(__xludf.DUMMYFUNCTION("""COMPUTED_VALUE"""),"")</f>
        <v/>
      </c>
      <c r="O2533" t="str">
        <f>IFERROR(__xludf.DUMMYFUNCTION("""COMPUTED_VALUE"""),"")</f>
        <v/>
      </c>
      <c r="P2533" t="str">
        <f>IFERROR(__xludf.DUMMYFUNCTION("""COMPUTED_VALUE"""),"ID ")</f>
        <v>ID </v>
      </c>
    </row>
    <row r="2534">
      <c r="A2534" s="6" t="str">
        <f>IFERROR(__xludf.DUMMYFUNCTION("""COMPUTED_VALUE"""),"")</f>
        <v/>
      </c>
      <c r="C2534" t="str">
        <f>IFERROR(__xludf.DUMMYFUNCTION("""COMPUTED_VALUE"""),"")</f>
        <v/>
      </c>
      <c r="D2534" t="str">
        <f>IFERROR(__xludf.DUMMYFUNCTION("""COMPUTED_VALUE"""),"")</f>
        <v/>
      </c>
      <c r="E2534" t="str">
        <f>IFERROR(__xludf.DUMMYFUNCTION("""COMPUTED_VALUE"""),"")</f>
        <v/>
      </c>
      <c r="F2534" t="str">
        <f>IFERROR(__xludf.DUMMYFUNCTION("""COMPUTED_VALUE"""),"")</f>
        <v/>
      </c>
      <c r="G2534" t="str">
        <f>IFERROR(__xludf.DUMMYFUNCTION("""COMPUTED_VALUE"""),"")</f>
        <v/>
      </c>
      <c r="H2534" s="2" t="str">
        <f>IFERROR(__xludf.DUMMYFUNCTION("""COMPUTED_VALUE"""),"")</f>
        <v/>
      </c>
      <c r="I2534" s="2" t="str">
        <f>IFERROR(__xludf.DUMMYFUNCTION("""COMPUTED_VALUE"""),"")</f>
        <v/>
      </c>
      <c r="J2534" s="2">
        <f>IFERROR(__xludf.DUMMYFUNCTION("""COMPUTED_VALUE"""),0.0)</f>
        <v>0</v>
      </c>
      <c r="K2534" s="5" t="str">
        <f>IFERROR(__xludf.DUMMYFUNCTION("""COMPUTED_VALUE"""),"")</f>
        <v/>
      </c>
      <c r="L2534" t="str">
        <f>IFERROR(__xludf.DUMMYFUNCTION("""COMPUTED_VALUE"""),"")</f>
        <v/>
      </c>
      <c r="M2534" t="str">
        <f>IFERROR(__xludf.DUMMYFUNCTION("""COMPUTED_VALUE"""),"")</f>
        <v/>
      </c>
      <c r="N2534" t="str">
        <f>IFERROR(__xludf.DUMMYFUNCTION("""COMPUTED_VALUE"""),"")</f>
        <v/>
      </c>
      <c r="O2534" t="str">
        <f>IFERROR(__xludf.DUMMYFUNCTION("""COMPUTED_VALUE"""),"")</f>
        <v/>
      </c>
      <c r="P2534" t="str">
        <f>IFERROR(__xludf.DUMMYFUNCTION("""COMPUTED_VALUE"""),"ID ")</f>
        <v>ID </v>
      </c>
    </row>
    <row r="2535">
      <c r="A2535" s="6" t="str">
        <f>IFERROR(__xludf.DUMMYFUNCTION("""COMPUTED_VALUE"""),"")</f>
        <v/>
      </c>
      <c r="C2535" t="str">
        <f>IFERROR(__xludf.DUMMYFUNCTION("""COMPUTED_VALUE"""),"")</f>
        <v/>
      </c>
      <c r="D2535" t="str">
        <f>IFERROR(__xludf.DUMMYFUNCTION("""COMPUTED_VALUE"""),"")</f>
        <v/>
      </c>
      <c r="E2535" t="str">
        <f>IFERROR(__xludf.DUMMYFUNCTION("""COMPUTED_VALUE"""),"")</f>
        <v/>
      </c>
      <c r="F2535" t="str">
        <f>IFERROR(__xludf.DUMMYFUNCTION("""COMPUTED_VALUE"""),"")</f>
        <v/>
      </c>
      <c r="G2535" t="str">
        <f>IFERROR(__xludf.DUMMYFUNCTION("""COMPUTED_VALUE"""),"")</f>
        <v/>
      </c>
      <c r="H2535" s="2" t="str">
        <f>IFERROR(__xludf.DUMMYFUNCTION("""COMPUTED_VALUE"""),"")</f>
        <v/>
      </c>
      <c r="I2535" s="2" t="str">
        <f>IFERROR(__xludf.DUMMYFUNCTION("""COMPUTED_VALUE"""),"")</f>
        <v/>
      </c>
      <c r="J2535" s="2">
        <f>IFERROR(__xludf.DUMMYFUNCTION("""COMPUTED_VALUE"""),0.0)</f>
        <v>0</v>
      </c>
      <c r="K2535" s="5" t="str">
        <f>IFERROR(__xludf.DUMMYFUNCTION("""COMPUTED_VALUE"""),"")</f>
        <v/>
      </c>
      <c r="L2535" t="str">
        <f>IFERROR(__xludf.DUMMYFUNCTION("""COMPUTED_VALUE"""),"")</f>
        <v/>
      </c>
      <c r="M2535" t="str">
        <f>IFERROR(__xludf.DUMMYFUNCTION("""COMPUTED_VALUE"""),"")</f>
        <v/>
      </c>
      <c r="N2535" t="str">
        <f>IFERROR(__xludf.DUMMYFUNCTION("""COMPUTED_VALUE"""),"")</f>
        <v/>
      </c>
      <c r="O2535" t="str">
        <f>IFERROR(__xludf.DUMMYFUNCTION("""COMPUTED_VALUE"""),"")</f>
        <v/>
      </c>
      <c r="P2535" t="str">
        <f>IFERROR(__xludf.DUMMYFUNCTION("""COMPUTED_VALUE"""),"ID ")</f>
        <v>ID </v>
      </c>
    </row>
    <row r="2536">
      <c r="A2536" s="6" t="str">
        <f>IFERROR(__xludf.DUMMYFUNCTION("""COMPUTED_VALUE"""),"")</f>
        <v/>
      </c>
      <c r="C2536" t="str">
        <f>IFERROR(__xludf.DUMMYFUNCTION("""COMPUTED_VALUE"""),"")</f>
        <v/>
      </c>
      <c r="D2536" t="str">
        <f>IFERROR(__xludf.DUMMYFUNCTION("""COMPUTED_VALUE"""),"")</f>
        <v/>
      </c>
      <c r="E2536" t="str">
        <f>IFERROR(__xludf.DUMMYFUNCTION("""COMPUTED_VALUE"""),"")</f>
        <v/>
      </c>
      <c r="F2536" t="str">
        <f>IFERROR(__xludf.DUMMYFUNCTION("""COMPUTED_VALUE"""),"")</f>
        <v/>
      </c>
      <c r="G2536" t="str">
        <f>IFERROR(__xludf.DUMMYFUNCTION("""COMPUTED_VALUE"""),"")</f>
        <v/>
      </c>
      <c r="H2536" s="2" t="str">
        <f>IFERROR(__xludf.DUMMYFUNCTION("""COMPUTED_VALUE"""),"")</f>
        <v/>
      </c>
      <c r="I2536" s="2" t="str">
        <f>IFERROR(__xludf.DUMMYFUNCTION("""COMPUTED_VALUE"""),"")</f>
        <v/>
      </c>
      <c r="J2536" s="2">
        <f>IFERROR(__xludf.DUMMYFUNCTION("""COMPUTED_VALUE"""),0.0)</f>
        <v>0</v>
      </c>
      <c r="K2536" s="5" t="str">
        <f>IFERROR(__xludf.DUMMYFUNCTION("""COMPUTED_VALUE"""),"")</f>
        <v/>
      </c>
      <c r="L2536" t="str">
        <f>IFERROR(__xludf.DUMMYFUNCTION("""COMPUTED_VALUE"""),"")</f>
        <v/>
      </c>
      <c r="M2536" t="str">
        <f>IFERROR(__xludf.DUMMYFUNCTION("""COMPUTED_VALUE"""),"")</f>
        <v/>
      </c>
      <c r="N2536" t="str">
        <f>IFERROR(__xludf.DUMMYFUNCTION("""COMPUTED_VALUE"""),"")</f>
        <v/>
      </c>
      <c r="O2536" t="str">
        <f>IFERROR(__xludf.DUMMYFUNCTION("""COMPUTED_VALUE"""),"")</f>
        <v/>
      </c>
      <c r="P2536" t="str">
        <f>IFERROR(__xludf.DUMMYFUNCTION("""COMPUTED_VALUE"""),"ID ")</f>
        <v>ID </v>
      </c>
    </row>
    <row r="2537">
      <c r="A2537" s="6" t="str">
        <f>IFERROR(__xludf.DUMMYFUNCTION("""COMPUTED_VALUE"""),"")</f>
        <v/>
      </c>
      <c r="C2537" t="str">
        <f>IFERROR(__xludf.DUMMYFUNCTION("""COMPUTED_VALUE"""),"")</f>
        <v/>
      </c>
      <c r="D2537" t="str">
        <f>IFERROR(__xludf.DUMMYFUNCTION("""COMPUTED_VALUE"""),"")</f>
        <v/>
      </c>
      <c r="E2537" t="str">
        <f>IFERROR(__xludf.DUMMYFUNCTION("""COMPUTED_VALUE"""),"")</f>
        <v/>
      </c>
      <c r="F2537" t="str">
        <f>IFERROR(__xludf.DUMMYFUNCTION("""COMPUTED_VALUE"""),"")</f>
        <v/>
      </c>
      <c r="G2537" t="str">
        <f>IFERROR(__xludf.DUMMYFUNCTION("""COMPUTED_VALUE"""),"")</f>
        <v/>
      </c>
      <c r="H2537" s="2" t="str">
        <f>IFERROR(__xludf.DUMMYFUNCTION("""COMPUTED_VALUE"""),"")</f>
        <v/>
      </c>
      <c r="I2537" s="2" t="str">
        <f>IFERROR(__xludf.DUMMYFUNCTION("""COMPUTED_VALUE"""),"")</f>
        <v/>
      </c>
      <c r="J2537" s="2">
        <f>IFERROR(__xludf.DUMMYFUNCTION("""COMPUTED_VALUE"""),0.0)</f>
        <v>0</v>
      </c>
      <c r="K2537" s="5" t="str">
        <f>IFERROR(__xludf.DUMMYFUNCTION("""COMPUTED_VALUE"""),"")</f>
        <v/>
      </c>
      <c r="L2537" t="str">
        <f>IFERROR(__xludf.DUMMYFUNCTION("""COMPUTED_VALUE"""),"")</f>
        <v/>
      </c>
      <c r="M2537" t="str">
        <f>IFERROR(__xludf.DUMMYFUNCTION("""COMPUTED_VALUE"""),"")</f>
        <v/>
      </c>
      <c r="N2537" t="str">
        <f>IFERROR(__xludf.DUMMYFUNCTION("""COMPUTED_VALUE"""),"")</f>
        <v/>
      </c>
      <c r="O2537" t="str">
        <f>IFERROR(__xludf.DUMMYFUNCTION("""COMPUTED_VALUE"""),"")</f>
        <v/>
      </c>
      <c r="P2537" t="str">
        <f>IFERROR(__xludf.DUMMYFUNCTION("""COMPUTED_VALUE"""),"ID ")</f>
        <v>ID </v>
      </c>
    </row>
    <row r="2538">
      <c r="A2538" s="6" t="str">
        <f>IFERROR(__xludf.DUMMYFUNCTION("""COMPUTED_VALUE"""),"")</f>
        <v/>
      </c>
      <c r="C2538" t="str">
        <f>IFERROR(__xludf.DUMMYFUNCTION("""COMPUTED_VALUE"""),"")</f>
        <v/>
      </c>
      <c r="D2538" t="str">
        <f>IFERROR(__xludf.DUMMYFUNCTION("""COMPUTED_VALUE"""),"")</f>
        <v/>
      </c>
      <c r="E2538" t="str">
        <f>IFERROR(__xludf.DUMMYFUNCTION("""COMPUTED_VALUE"""),"")</f>
        <v/>
      </c>
      <c r="F2538" t="str">
        <f>IFERROR(__xludf.DUMMYFUNCTION("""COMPUTED_VALUE"""),"")</f>
        <v/>
      </c>
      <c r="G2538" t="str">
        <f>IFERROR(__xludf.DUMMYFUNCTION("""COMPUTED_VALUE"""),"")</f>
        <v/>
      </c>
      <c r="H2538" s="2" t="str">
        <f>IFERROR(__xludf.DUMMYFUNCTION("""COMPUTED_VALUE"""),"")</f>
        <v/>
      </c>
      <c r="I2538" s="2" t="str">
        <f>IFERROR(__xludf.DUMMYFUNCTION("""COMPUTED_VALUE"""),"")</f>
        <v/>
      </c>
      <c r="J2538" s="2">
        <f>IFERROR(__xludf.DUMMYFUNCTION("""COMPUTED_VALUE"""),0.0)</f>
        <v>0</v>
      </c>
      <c r="K2538" s="5" t="str">
        <f>IFERROR(__xludf.DUMMYFUNCTION("""COMPUTED_VALUE"""),"")</f>
        <v/>
      </c>
      <c r="L2538" t="str">
        <f>IFERROR(__xludf.DUMMYFUNCTION("""COMPUTED_VALUE"""),"")</f>
        <v/>
      </c>
      <c r="M2538" t="str">
        <f>IFERROR(__xludf.DUMMYFUNCTION("""COMPUTED_VALUE"""),"")</f>
        <v/>
      </c>
      <c r="N2538" t="str">
        <f>IFERROR(__xludf.DUMMYFUNCTION("""COMPUTED_VALUE"""),"")</f>
        <v/>
      </c>
      <c r="O2538" t="str">
        <f>IFERROR(__xludf.DUMMYFUNCTION("""COMPUTED_VALUE"""),"")</f>
        <v/>
      </c>
      <c r="P2538" t="str">
        <f>IFERROR(__xludf.DUMMYFUNCTION("""COMPUTED_VALUE"""),"ID ")</f>
        <v>ID </v>
      </c>
    </row>
    <row r="2539">
      <c r="A2539" s="6" t="str">
        <f>IFERROR(__xludf.DUMMYFUNCTION("""COMPUTED_VALUE"""),"")</f>
        <v/>
      </c>
      <c r="C2539" t="str">
        <f>IFERROR(__xludf.DUMMYFUNCTION("""COMPUTED_VALUE"""),"")</f>
        <v/>
      </c>
      <c r="D2539" t="str">
        <f>IFERROR(__xludf.DUMMYFUNCTION("""COMPUTED_VALUE"""),"")</f>
        <v/>
      </c>
      <c r="E2539" t="str">
        <f>IFERROR(__xludf.DUMMYFUNCTION("""COMPUTED_VALUE"""),"")</f>
        <v/>
      </c>
      <c r="F2539" t="str">
        <f>IFERROR(__xludf.DUMMYFUNCTION("""COMPUTED_VALUE"""),"")</f>
        <v/>
      </c>
      <c r="G2539" t="str">
        <f>IFERROR(__xludf.DUMMYFUNCTION("""COMPUTED_VALUE"""),"")</f>
        <v/>
      </c>
      <c r="H2539" s="2" t="str">
        <f>IFERROR(__xludf.DUMMYFUNCTION("""COMPUTED_VALUE"""),"")</f>
        <v/>
      </c>
      <c r="I2539" s="2" t="str">
        <f>IFERROR(__xludf.DUMMYFUNCTION("""COMPUTED_VALUE"""),"")</f>
        <v/>
      </c>
      <c r="J2539" s="2">
        <f>IFERROR(__xludf.DUMMYFUNCTION("""COMPUTED_VALUE"""),0.0)</f>
        <v>0</v>
      </c>
      <c r="K2539" s="5" t="str">
        <f>IFERROR(__xludf.DUMMYFUNCTION("""COMPUTED_VALUE"""),"")</f>
        <v/>
      </c>
      <c r="L2539" t="str">
        <f>IFERROR(__xludf.DUMMYFUNCTION("""COMPUTED_VALUE"""),"")</f>
        <v/>
      </c>
      <c r="M2539" t="str">
        <f>IFERROR(__xludf.DUMMYFUNCTION("""COMPUTED_VALUE"""),"")</f>
        <v/>
      </c>
      <c r="N2539" t="str">
        <f>IFERROR(__xludf.DUMMYFUNCTION("""COMPUTED_VALUE"""),"")</f>
        <v/>
      </c>
      <c r="O2539" t="str">
        <f>IFERROR(__xludf.DUMMYFUNCTION("""COMPUTED_VALUE"""),"")</f>
        <v/>
      </c>
      <c r="P2539" t="str">
        <f>IFERROR(__xludf.DUMMYFUNCTION("""COMPUTED_VALUE"""),"ID ")</f>
        <v>ID </v>
      </c>
    </row>
    <row r="2540">
      <c r="A2540" s="6" t="str">
        <f>IFERROR(__xludf.DUMMYFUNCTION("""COMPUTED_VALUE"""),"")</f>
        <v/>
      </c>
      <c r="C2540" t="str">
        <f>IFERROR(__xludf.DUMMYFUNCTION("""COMPUTED_VALUE"""),"")</f>
        <v/>
      </c>
      <c r="D2540" t="str">
        <f>IFERROR(__xludf.DUMMYFUNCTION("""COMPUTED_VALUE"""),"")</f>
        <v/>
      </c>
      <c r="E2540" t="str">
        <f>IFERROR(__xludf.DUMMYFUNCTION("""COMPUTED_VALUE"""),"")</f>
        <v/>
      </c>
      <c r="F2540" t="str">
        <f>IFERROR(__xludf.DUMMYFUNCTION("""COMPUTED_VALUE"""),"")</f>
        <v/>
      </c>
      <c r="G2540" t="str">
        <f>IFERROR(__xludf.DUMMYFUNCTION("""COMPUTED_VALUE"""),"")</f>
        <v/>
      </c>
      <c r="H2540" s="2" t="str">
        <f>IFERROR(__xludf.DUMMYFUNCTION("""COMPUTED_VALUE"""),"")</f>
        <v/>
      </c>
      <c r="I2540" s="2" t="str">
        <f>IFERROR(__xludf.DUMMYFUNCTION("""COMPUTED_VALUE"""),"")</f>
        <v/>
      </c>
      <c r="J2540" s="2">
        <f>IFERROR(__xludf.DUMMYFUNCTION("""COMPUTED_VALUE"""),0.0)</f>
        <v>0</v>
      </c>
      <c r="K2540" s="5" t="str">
        <f>IFERROR(__xludf.DUMMYFUNCTION("""COMPUTED_VALUE"""),"")</f>
        <v/>
      </c>
      <c r="L2540" t="str">
        <f>IFERROR(__xludf.DUMMYFUNCTION("""COMPUTED_VALUE"""),"")</f>
        <v/>
      </c>
      <c r="M2540" t="str">
        <f>IFERROR(__xludf.DUMMYFUNCTION("""COMPUTED_VALUE"""),"")</f>
        <v/>
      </c>
      <c r="N2540" t="str">
        <f>IFERROR(__xludf.DUMMYFUNCTION("""COMPUTED_VALUE"""),"")</f>
        <v/>
      </c>
      <c r="O2540" t="str">
        <f>IFERROR(__xludf.DUMMYFUNCTION("""COMPUTED_VALUE"""),"")</f>
        <v/>
      </c>
      <c r="P2540" t="str">
        <f>IFERROR(__xludf.DUMMYFUNCTION("""COMPUTED_VALUE"""),"ID ")</f>
        <v>ID </v>
      </c>
    </row>
    <row r="2541">
      <c r="A2541" s="6" t="str">
        <f>IFERROR(__xludf.DUMMYFUNCTION("""COMPUTED_VALUE"""),"")</f>
        <v/>
      </c>
      <c r="C2541" t="str">
        <f>IFERROR(__xludf.DUMMYFUNCTION("""COMPUTED_VALUE"""),"")</f>
        <v/>
      </c>
      <c r="D2541" t="str">
        <f>IFERROR(__xludf.DUMMYFUNCTION("""COMPUTED_VALUE"""),"")</f>
        <v/>
      </c>
      <c r="E2541" t="str">
        <f>IFERROR(__xludf.DUMMYFUNCTION("""COMPUTED_VALUE"""),"")</f>
        <v/>
      </c>
      <c r="F2541" t="str">
        <f>IFERROR(__xludf.DUMMYFUNCTION("""COMPUTED_VALUE"""),"")</f>
        <v/>
      </c>
      <c r="G2541" t="str">
        <f>IFERROR(__xludf.DUMMYFUNCTION("""COMPUTED_VALUE"""),"")</f>
        <v/>
      </c>
      <c r="H2541" s="2" t="str">
        <f>IFERROR(__xludf.DUMMYFUNCTION("""COMPUTED_VALUE"""),"")</f>
        <v/>
      </c>
      <c r="I2541" s="2" t="str">
        <f>IFERROR(__xludf.DUMMYFUNCTION("""COMPUTED_VALUE"""),"")</f>
        <v/>
      </c>
      <c r="J2541" s="2">
        <f>IFERROR(__xludf.DUMMYFUNCTION("""COMPUTED_VALUE"""),0.0)</f>
        <v>0</v>
      </c>
      <c r="K2541" s="5" t="str">
        <f>IFERROR(__xludf.DUMMYFUNCTION("""COMPUTED_VALUE"""),"")</f>
        <v/>
      </c>
      <c r="L2541" t="str">
        <f>IFERROR(__xludf.DUMMYFUNCTION("""COMPUTED_VALUE"""),"")</f>
        <v/>
      </c>
      <c r="M2541" t="str">
        <f>IFERROR(__xludf.DUMMYFUNCTION("""COMPUTED_VALUE"""),"")</f>
        <v/>
      </c>
      <c r="N2541" t="str">
        <f>IFERROR(__xludf.DUMMYFUNCTION("""COMPUTED_VALUE"""),"")</f>
        <v/>
      </c>
      <c r="O2541" t="str">
        <f>IFERROR(__xludf.DUMMYFUNCTION("""COMPUTED_VALUE"""),"")</f>
        <v/>
      </c>
      <c r="P2541" t="str">
        <f>IFERROR(__xludf.DUMMYFUNCTION("""COMPUTED_VALUE"""),"ID ")</f>
        <v>ID </v>
      </c>
    </row>
    <row r="2542">
      <c r="A2542" s="6" t="str">
        <f>IFERROR(__xludf.DUMMYFUNCTION("""COMPUTED_VALUE"""),"")</f>
        <v/>
      </c>
      <c r="C2542" t="str">
        <f>IFERROR(__xludf.DUMMYFUNCTION("""COMPUTED_VALUE"""),"")</f>
        <v/>
      </c>
      <c r="D2542" t="str">
        <f>IFERROR(__xludf.DUMMYFUNCTION("""COMPUTED_VALUE"""),"")</f>
        <v/>
      </c>
      <c r="E2542" t="str">
        <f>IFERROR(__xludf.DUMMYFUNCTION("""COMPUTED_VALUE"""),"")</f>
        <v/>
      </c>
      <c r="F2542" t="str">
        <f>IFERROR(__xludf.DUMMYFUNCTION("""COMPUTED_VALUE"""),"")</f>
        <v/>
      </c>
      <c r="G2542" t="str">
        <f>IFERROR(__xludf.DUMMYFUNCTION("""COMPUTED_VALUE"""),"")</f>
        <v/>
      </c>
      <c r="H2542" s="2" t="str">
        <f>IFERROR(__xludf.DUMMYFUNCTION("""COMPUTED_VALUE"""),"")</f>
        <v/>
      </c>
      <c r="I2542" s="2" t="str">
        <f>IFERROR(__xludf.DUMMYFUNCTION("""COMPUTED_VALUE"""),"")</f>
        <v/>
      </c>
      <c r="J2542" s="2">
        <f>IFERROR(__xludf.DUMMYFUNCTION("""COMPUTED_VALUE"""),0.0)</f>
        <v>0</v>
      </c>
      <c r="K2542" s="5" t="str">
        <f>IFERROR(__xludf.DUMMYFUNCTION("""COMPUTED_VALUE"""),"")</f>
        <v/>
      </c>
      <c r="L2542" t="str">
        <f>IFERROR(__xludf.DUMMYFUNCTION("""COMPUTED_VALUE"""),"")</f>
        <v/>
      </c>
      <c r="M2542" t="str">
        <f>IFERROR(__xludf.DUMMYFUNCTION("""COMPUTED_VALUE"""),"")</f>
        <v/>
      </c>
      <c r="N2542" t="str">
        <f>IFERROR(__xludf.DUMMYFUNCTION("""COMPUTED_VALUE"""),"")</f>
        <v/>
      </c>
      <c r="O2542" t="str">
        <f>IFERROR(__xludf.DUMMYFUNCTION("""COMPUTED_VALUE"""),"")</f>
        <v/>
      </c>
      <c r="P2542" t="str">
        <f>IFERROR(__xludf.DUMMYFUNCTION("""COMPUTED_VALUE"""),"ID ")</f>
        <v>ID </v>
      </c>
    </row>
    <row r="2543">
      <c r="A2543" s="6" t="str">
        <f>IFERROR(__xludf.DUMMYFUNCTION("""COMPUTED_VALUE"""),"")</f>
        <v/>
      </c>
      <c r="C2543" t="str">
        <f>IFERROR(__xludf.DUMMYFUNCTION("""COMPUTED_VALUE"""),"")</f>
        <v/>
      </c>
      <c r="D2543" t="str">
        <f>IFERROR(__xludf.DUMMYFUNCTION("""COMPUTED_VALUE"""),"")</f>
        <v/>
      </c>
      <c r="E2543" t="str">
        <f>IFERROR(__xludf.DUMMYFUNCTION("""COMPUTED_VALUE"""),"")</f>
        <v/>
      </c>
      <c r="F2543" t="str">
        <f>IFERROR(__xludf.DUMMYFUNCTION("""COMPUTED_VALUE"""),"")</f>
        <v/>
      </c>
      <c r="G2543" t="str">
        <f>IFERROR(__xludf.DUMMYFUNCTION("""COMPUTED_VALUE"""),"")</f>
        <v/>
      </c>
      <c r="H2543" s="2" t="str">
        <f>IFERROR(__xludf.DUMMYFUNCTION("""COMPUTED_VALUE"""),"")</f>
        <v/>
      </c>
      <c r="I2543" s="2" t="str">
        <f>IFERROR(__xludf.DUMMYFUNCTION("""COMPUTED_VALUE"""),"")</f>
        <v/>
      </c>
      <c r="J2543" s="2">
        <f>IFERROR(__xludf.DUMMYFUNCTION("""COMPUTED_VALUE"""),0.0)</f>
        <v>0</v>
      </c>
      <c r="K2543" s="5" t="str">
        <f>IFERROR(__xludf.DUMMYFUNCTION("""COMPUTED_VALUE"""),"")</f>
        <v/>
      </c>
      <c r="L2543" t="str">
        <f>IFERROR(__xludf.DUMMYFUNCTION("""COMPUTED_VALUE"""),"")</f>
        <v/>
      </c>
      <c r="M2543" t="str">
        <f>IFERROR(__xludf.DUMMYFUNCTION("""COMPUTED_VALUE"""),"")</f>
        <v/>
      </c>
      <c r="N2543" t="str">
        <f>IFERROR(__xludf.DUMMYFUNCTION("""COMPUTED_VALUE"""),"")</f>
        <v/>
      </c>
      <c r="O2543" t="str">
        <f>IFERROR(__xludf.DUMMYFUNCTION("""COMPUTED_VALUE"""),"")</f>
        <v/>
      </c>
      <c r="P2543" t="str">
        <f>IFERROR(__xludf.DUMMYFUNCTION("""COMPUTED_VALUE"""),"ID ")</f>
        <v>ID </v>
      </c>
    </row>
    <row r="2544">
      <c r="A2544" s="6" t="str">
        <f>IFERROR(__xludf.DUMMYFUNCTION("""COMPUTED_VALUE"""),"")</f>
        <v/>
      </c>
      <c r="C2544" t="str">
        <f>IFERROR(__xludf.DUMMYFUNCTION("""COMPUTED_VALUE"""),"")</f>
        <v/>
      </c>
      <c r="D2544" t="str">
        <f>IFERROR(__xludf.DUMMYFUNCTION("""COMPUTED_VALUE"""),"")</f>
        <v/>
      </c>
      <c r="E2544" t="str">
        <f>IFERROR(__xludf.DUMMYFUNCTION("""COMPUTED_VALUE"""),"")</f>
        <v/>
      </c>
      <c r="F2544" t="str">
        <f>IFERROR(__xludf.DUMMYFUNCTION("""COMPUTED_VALUE"""),"")</f>
        <v/>
      </c>
      <c r="G2544" t="str">
        <f>IFERROR(__xludf.DUMMYFUNCTION("""COMPUTED_VALUE"""),"")</f>
        <v/>
      </c>
      <c r="H2544" s="2" t="str">
        <f>IFERROR(__xludf.DUMMYFUNCTION("""COMPUTED_VALUE"""),"")</f>
        <v/>
      </c>
      <c r="I2544" s="2" t="str">
        <f>IFERROR(__xludf.DUMMYFUNCTION("""COMPUTED_VALUE"""),"")</f>
        <v/>
      </c>
      <c r="J2544" s="2">
        <f>IFERROR(__xludf.DUMMYFUNCTION("""COMPUTED_VALUE"""),0.0)</f>
        <v>0</v>
      </c>
      <c r="K2544" s="5" t="str">
        <f>IFERROR(__xludf.DUMMYFUNCTION("""COMPUTED_VALUE"""),"")</f>
        <v/>
      </c>
      <c r="L2544" t="str">
        <f>IFERROR(__xludf.DUMMYFUNCTION("""COMPUTED_VALUE"""),"")</f>
        <v/>
      </c>
      <c r="M2544" t="str">
        <f>IFERROR(__xludf.DUMMYFUNCTION("""COMPUTED_VALUE"""),"")</f>
        <v/>
      </c>
      <c r="N2544" t="str">
        <f>IFERROR(__xludf.DUMMYFUNCTION("""COMPUTED_VALUE"""),"")</f>
        <v/>
      </c>
      <c r="O2544" t="str">
        <f>IFERROR(__xludf.DUMMYFUNCTION("""COMPUTED_VALUE"""),"")</f>
        <v/>
      </c>
      <c r="P2544" t="str">
        <f>IFERROR(__xludf.DUMMYFUNCTION("""COMPUTED_VALUE"""),"ID ")</f>
        <v>ID </v>
      </c>
    </row>
    <row r="2545">
      <c r="A2545" s="6" t="str">
        <f>IFERROR(__xludf.DUMMYFUNCTION("""COMPUTED_VALUE"""),"")</f>
        <v/>
      </c>
      <c r="C2545" t="str">
        <f>IFERROR(__xludf.DUMMYFUNCTION("""COMPUTED_VALUE"""),"")</f>
        <v/>
      </c>
      <c r="D2545" t="str">
        <f>IFERROR(__xludf.DUMMYFUNCTION("""COMPUTED_VALUE"""),"")</f>
        <v/>
      </c>
      <c r="E2545" t="str">
        <f>IFERROR(__xludf.DUMMYFUNCTION("""COMPUTED_VALUE"""),"")</f>
        <v/>
      </c>
      <c r="F2545" t="str">
        <f>IFERROR(__xludf.DUMMYFUNCTION("""COMPUTED_VALUE"""),"")</f>
        <v/>
      </c>
      <c r="G2545" t="str">
        <f>IFERROR(__xludf.DUMMYFUNCTION("""COMPUTED_VALUE"""),"")</f>
        <v/>
      </c>
      <c r="H2545" s="2" t="str">
        <f>IFERROR(__xludf.DUMMYFUNCTION("""COMPUTED_VALUE"""),"")</f>
        <v/>
      </c>
      <c r="I2545" s="2" t="str">
        <f>IFERROR(__xludf.DUMMYFUNCTION("""COMPUTED_VALUE"""),"")</f>
        <v/>
      </c>
      <c r="J2545" s="2">
        <f>IFERROR(__xludf.DUMMYFUNCTION("""COMPUTED_VALUE"""),0.0)</f>
        <v>0</v>
      </c>
      <c r="K2545" s="5" t="str">
        <f>IFERROR(__xludf.DUMMYFUNCTION("""COMPUTED_VALUE"""),"")</f>
        <v/>
      </c>
      <c r="L2545" t="str">
        <f>IFERROR(__xludf.DUMMYFUNCTION("""COMPUTED_VALUE"""),"")</f>
        <v/>
      </c>
      <c r="M2545" t="str">
        <f>IFERROR(__xludf.DUMMYFUNCTION("""COMPUTED_VALUE"""),"")</f>
        <v/>
      </c>
      <c r="N2545" t="str">
        <f>IFERROR(__xludf.DUMMYFUNCTION("""COMPUTED_VALUE"""),"")</f>
        <v/>
      </c>
      <c r="O2545" t="str">
        <f>IFERROR(__xludf.DUMMYFUNCTION("""COMPUTED_VALUE"""),"")</f>
        <v/>
      </c>
      <c r="P2545" t="str">
        <f>IFERROR(__xludf.DUMMYFUNCTION("""COMPUTED_VALUE"""),"ID ")</f>
        <v>ID </v>
      </c>
    </row>
    <row r="2546">
      <c r="A2546" s="6" t="str">
        <f>IFERROR(__xludf.DUMMYFUNCTION("""COMPUTED_VALUE"""),"")</f>
        <v/>
      </c>
      <c r="C2546" t="str">
        <f>IFERROR(__xludf.DUMMYFUNCTION("""COMPUTED_VALUE"""),"")</f>
        <v/>
      </c>
      <c r="D2546" t="str">
        <f>IFERROR(__xludf.DUMMYFUNCTION("""COMPUTED_VALUE"""),"")</f>
        <v/>
      </c>
      <c r="E2546" t="str">
        <f>IFERROR(__xludf.DUMMYFUNCTION("""COMPUTED_VALUE"""),"")</f>
        <v/>
      </c>
      <c r="F2546" t="str">
        <f>IFERROR(__xludf.DUMMYFUNCTION("""COMPUTED_VALUE"""),"")</f>
        <v/>
      </c>
      <c r="G2546" t="str">
        <f>IFERROR(__xludf.DUMMYFUNCTION("""COMPUTED_VALUE"""),"")</f>
        <v/>
      </c>
      <c r="H2546" s="2" t="str">
        <f>IFERROR(__xludf.DUMMYFUNCTION("""COMPUTED_VALUE"""),"")</f>
        <v/>
      </c>
      <c r="I2546" s="2" t="str">
        <f>IFERROR(__xludf.DUMMYFUNCTION("""COMPUTED_VALUE"""),"")</f>
        <v/>
      </c>
      <c r="J2546" s="2">
        <f>IFERROR(__xludf.DUMMYFUNCTION("""COMPUTED_VALUE"""),0.0)</f>
        <v>0</v>
      </c>
      <c r="K2546" s="5" t="str">
        <f>IFERROR(__xludf.DUMMYFUNCTION("""COMPUTED_VALUE"""),"")</f>
        <v/>
      </c>
      <c r="L2546" t="str">
        <f>IFERROR(__xludf.DUMMYFUNCTION("""COMPUTED_VALUE"""),"")</f>
        <v/>
      </c>
      <c r="M2546" t="str">
        <f>IFERROR(__xludf.DUMMYFUNCTION("""COMPUTED_VALUE"""),"")</f>
        <v/>
      </c>
      <c r="N2546" t="str">
        <f>IFERROR(__xludf.DUMMYFUNCTION("""COMPUTED_VALUE"""),"")</f>
        <v/>
      </c>
      <c r="O2546" t="str">
        <f>IFERROR(__xludf.DUMMYFUNCTION("""COMPUTED_VALUE"""),"")</f>
        <v/>
      </c>
      <c r="P2546" t="str">
        <f>IFERROR(__xludf.DUMMYFUNCTION("""COMPUTED_VALUE"""),"ID ")</f>
        <v>ID </v>
      </c>
    </row>
    <row r="2547">
      <c r="A2547" s="6" t="str">
        <f>IFERROR(__xludf.DUMMYFUNCTION("""COMPUTED_VALUE"""),"")</f>
        <v/>
      </c>
      <c r="C2547" t="str">
        <f>IFERROR(__xludf.DUMMYFUNCTION("""COMPUTED_VALUE"""),"")</f>
        <v/>
      </c>
      <c r="D2547" t="str">
        <f>IFERROR(__xludf.DUMMYFUNCTION("""COMPUTED_VALUE"""),"")</f>
        <v/>
      </c>
      <c r="E2547" t="str">
        <f>IFERROR(__xludf.DUMMYFUNCTION("""COMPUTED_VALUE"""),"")</f>
        <v/>
      </c>
      <c r="F2547" t="str">
        <f>IFERROR(__xludf.DUMMYFUNCTION("""COMPUTED_VALUE"""),"")</f>
        <v/>
      </c>
      <c r="G2547" t="str">
        <f>IFERROR(__xludf.DUMMYFUNCTION("""COMPUTED_VALUE"""),"")</f>
        <v/>
      </c>
      <c r="H2547" s="2" t="str">
        <f>IFERROR(__xludf.DUMMYFUNCTION("""COMPUTED_VALUE"""),"")</f>
        <v/>
      </c>
      <c r="I2547" s="2" t="str">
        <f>IFERROR(__xludf.DUMMYFUNCTION("""COMPUTED_VALUE"""),"")</f>
        <v/>
      </c>
      <c r="J2547" s="2">
        <f>IFERROR(__xludf.DUMMYFUNCTION("""COMPUTED_VALUE"""),0.0)</f>
        <v>0</v>
      </c>
      <c r="K2547" s="5" t="str">
        <f>IFERROR(__xludf.DUMMYFUNCTION("""COMPUTED_VALUE"""),"")</f>
        <v/>
      </c>
      <c r="L2547" t="str">
        <f>IFERROR(__xludf.DUMMYFUNCTION("""COMPUTED_VALUE"""),"")</f>
        <v/>
      </c>
      <c r="M2547" t="str">
        <f>IFERROR(__xludf.DUMMYFUNCTION("""COMPUTED_VALUE"""),"")</f>
        <v/>
      </c>
      <c r="N2547" t="str">
        <f>IFERROR(__xludf.DUMMYFUNCTION("""COMPUTED_VALUE"""),"")</f>
        <v/>
      </c>
      <c r="O2547" t="str">
        <f>IFERROR(__xludf.DUMMYFUNCTION("""COMPUTED_VALUE"""),"")</f>
        <v/>
      </c>
      <c r="P2547" t="str">
        <f>IFERROR(__xludf.DUMMYFUNCTION("""COMPUTED_VALUE"""),"ID ")</f>
        <v>ID </v>
      </c>
    </row>
    <row r="2548">
      <c r="A2548" s="6" t="str">
        <f>IFERROR(__xludf.DUMMYFUNCTION("""COMPUTED_VALUE"""),"")</f>
        <v/>
      </c>
      <c r="C2548" t="str">
        <f>IFERROR(__xludf.DUMMYFUNCTION("""COMPUTED_VALUE"""),"")</f>
        <v/>
      </c>
      <c r="D2548" t="str">
        <f>IFERROR(__xludf.DUMMYFUNCTION("""COMPUTED_VALUE"""),"")</f>
        <v/>
      </c>
      <c r="E2548" t="str">
        <f>IFERROR(__xludf.DUMMYFUNCTION("""COMPUTED_VALUE"""),"")</f>
        <v/>
      </c>
      <c r="F2548" t="str">
        <f>IFERROR(__xludf.DUMMYFUNCTION("""COMPUTED_VALUE"""),"")</f>
        <v/>
      </c>
      <c r="G2548" t="str">
        <f>IFERROR(__xludf.DUMMYFUNCTION("""COMPUTED_VALUE"""),"")</f>
        <v/>
      </c>
      <c r="H2548" s="2" t="str">
        <f>IFERROR(__xludf.DUMMYFUNCTION("""COMPUTED_VALUE"""),"")</f>
        <v/>
      </c>
      <c r="I2548" s="2" t="str">
        <f>IFERROR(__xludf.DUMMYFUNCTION("""COMPUTED_VALUE"""),"")</f>
        <v/>
      </c>
      <c r="J2548" s="2">
        <f>IFERROR(__xludf.DUMMYFUNCTION("""COMPUTED_VALUE"""),0.0)</f>
        <v>0</v>
      </c>
      <c r="K2548" s="5" t="str">
        <f>IFERROR(__xludf.DUMMYFUNCTION("""COMPUTED_VALUE"""),"")</f>
        <v/>
      </c>
      <c r="L2548" t="str">
        <f>IFERROR(__xludf.DUMMYFUNCTION("""COMPUTED_VALUE"""),"")</f>
        <v/>
      </c>
      <c r="M2548" t="str">
        <f>IFERROR(__xludf.DUMMYFUNCTION("""COMPUTED_VALUE"""),"")</f>
        <v/>
      </c>
      <c r="N2548" t="str">
        <f>IFERROR(__xludf.DUMMYFUNCTION("""COMPUTED_VALUE"""),"")</f>
        <v/>
      </c>
      <c r="O2548" t="str">
        <f>IFERROR(__xludf.DUMMYFUNCTION("""COMPUTED_VALUE"""),"")</f>
        <v/>
      </c>
      <c r="P2548" t="str">
        <f>IFERROR(__xludf.DUMMYFUNCTION("""COMPUTED_VALUE"""),"ID ")</f>
        <v>ID </v>
      </c>
    </row>
    <row r="2549">
      <c r="A2549" s="6" t="str">
        <f>IFERROR(__xludf.DUMMYFUNCTION("""COMPUTED_VALUE"""),"")</f>
        <v/>
      </c>
      <c r="C2549" t="str">
        <f>IFERROR(__xludf.DUMMYFUNCTION("""COMPUTED_VALUE"""),"")</f>
        <v/>
      </c>
      <c r="D2549" t="str">
        <f>IFERROR(__xludf.DUMMYFUNCTION("""COMPUTED_VALUE"""),"")</f>
        <v/>
      </c>
      <c r="E2549" t="str">
        <f>IFERROR(__xludf.DUMMYFUNCTION("""COMPUTED_VALUE"""),"")</f>
        <v/>
      </c>
      <c r="F2549" t="str">
        <f>IFERROR(__xludf.DUMMYFUNCTION("""COMPUTED_VALUE"""),"")</f>
        <v/>
      </c>
      <c r="G2549" t="str">
        <f>IFERROR(__xludf.DUMMYFUNCTION("""COMPUTED_VALUE"""),"")</f>
        <v/>
      </c>
      <c r="H2549" s="2" t="str">
        <f>IFERROR(__xludf.DUMMYFUNCTION("""COMPUTED_VALUE"""),"")</f>
        <v/>
      </c>
      <c r="I2549" s="2" t="str">
        <f>IFERROR(__xludf.DUMMYFUNCTION("""COMPUTED_VALUE"""),"")</f>
        <v/>
      </c>
      <c r="J2549" s="2">
        <f>IFERROR(__xludf.DUMMYFUNCTION("""COMPUTED_VALUE"""),0.0)</f>
        <v>0</v>
      </c>
      <c r="K2549" s="5" t="str">
        <f>IFERROR(__xludf.DUMMYFUNCTION("""COMPUTED_VALUE"""),"")</f>
        <v/>
      </c>
      <c r="L2549" t="str">
        <f>IFERROR(__xludf.DUMMYFUNCTION("""COMPUTED_VALUE"""),"")</f>
        <v/>
      </c>
      <c r="M2549" t="str">
        <f>IFERROR(__xludf.DUMMYFUNCTION("""COMPUTED_VALUE"""),"")</f>
        <v/>
      </c>
      <c r="N2549" t="str">
        <f>IFERROR(__xludf.DUMMYFUNCTION("""COMPUTED_VALUE"""),"")</f>
        <v/>
      </c>
      <c r="O2549" t="str">
        <f>IFERROR(__xludf.DUMMYFUNCTION("""COMPUTED_VALUE"""),"")</f>
        <v/>
      </c>
      <c r="P2549" t="str">
        <f>IFERROR(__xludf.DUMMYFUNCTION("""COMPUTED_VALUE"""),"ID ")</f>
        <v>ID </v>
      </c>
    </row>
    <row r="2550">
      <c r="A2550" s="6" t="str">
        <f>IFERROR(__xludf.DUMMYFUNCTION("""COMPUTED_VALUE"""),"")</f>
        <v/>
      </c>
      <c r="C2550" t="str">
        <f>IFERROR(__xludf.DUMMYFUNCTION("""COMPUTED_VALUE"""),"")</f>
        <v/>
      </c>
      <c r="D2550" t="str">
        <f>IFERROR(__xludf.DUMMYFUNCTION("""COMPUTED_VALUE"""),"")</f>
        <v/>
      </c>
      <c r="E2550" t="str">
        <f>IFERROR(__xludf.DUMMYFUNCTION("""COMPUTED_VALUE"""),"")</f>
        <v/>
      </c>
      <c r="F2550" t="str">
        <f>IFERROR(__xludf.DUMMYFUNCTION("""COMPUTED_VALUE"""),"")</f>
        <v/>
      </c>
      <c r="G2550" t="str">
        <f>IFERROR(__xludf.DUMMYFUNCTION("""COMPUTED_VALUE"""),"")</f>
        <v/>
      </c>
      <c r="H2550" s="2" t="str">
        <f>IFERROR(__xludf.DUMMYFUNCTION("""COMPUTED_VALUE"""),"")</f>
        <v/>
      </c>
      <c r="I2550" s="2" t="str">
        <f>IFERROR(__xludf.DUMMYFUNCTION("""COMPUTED_VALUE"""),"")</f>
        <v/>
      </c>
      <c r="J2550" s="2">
        <f>IFERROR(__xludf.DUMMYFUNCTION("""COMPUTED_VALUE"""),0.0)</f>
        <v>0</v>
      </c>
      <c r="K2550" s="5" t="str">
        <f>IFERROR(__xludf.DUMMYFUNCTION("""COMPUTED_VALUE"""),"")</f>
        <v/>
      </c>
      <c r="L2550" t="str">
        <f>IFERROR(__xludf.DUMMYFUNCTION("""COMPUTED_VALUE"""),"")</f>
        <v/>
      </c>
      <c r="M2550" t="str">
        <f>IFERROR(__xludf.DUMMYFUNCTION("""COMPUTED_VALUE"""),"")</f>
        <v/>
      </c>
      <c r="N2550" t="str">
        <f>IFERROR(__xludf.DUMMYFUNCTION("""COMPUTED_VALUE"""),"")</f>
        <v/>
      </c>
      <c r="O2550" t="str">
        <f>IFERROR(__xludf.DUMMYFUNCTION("""COMPUTED_VALUE"""),"")</f>
        <v/>
      </c>
      <c r="P2550" t="str">
        <f>IFERROR(__xludf.DUMMYFUNCTION("""COMPUTED_VALUE"""),"ID ")</f>
        <v>ID </v>
      </c>
    </row>
    <row r="2551">
      <c r="A2551" s="6" t="str">
        <f>IFERROR(__xludf.DUMMYFUNCTION("""COMPUTED_VALUE"""),"")</f>
        <v/>
      </c>
      <c r="C2551" t="str">
        <f>IFERROR(__xludf.DUMMYFUNCTION("""COMPUTED_VALUE"""),"")</f>
        <v/>
      </c>
      <c r="D2551" t="str">
        <f>IFERROR(__xludf.DUMMYFUNCTION("""COMPUTED_VALUE"""),"")</f>
        <v/>
      </c>
      <c r="E2551" t="str">
        <f>IFERROR(__xludf.DUMMYFUNCTION("""COMPUTED_VALUE"""),"")</f>
        <v/>
      </c>
      <c r="F2551" t="str">
        <f>IFERROR(__xludf.DUMMYFUNCTION("""COMPUTED_VALUE"""),"")</f>
        <v/>
      </c>
      <c r="G2551" t="str">
        <f>IFERROR(__xludf.DUMMYFUNCTION("""COMPUTED_VALUE"""),"")</f>
        <v/>
      </c>
      <c r="H2551" s="2" t="str">
        <f>IFERROR(__xludf.DUMMYFUNCTION("""COMPUTED_VALUE"""),"")</f>
        <v/>
      </c>
      <c r="I2551" s="2" t="str">
        <f>IFERROR(__xludf.DUMMYFUNCTION("""COMPUTED_VALUE"""),"")</f>
        <v/>
      </c>
      <c r="J2551" s="2">
        <f>IFERROR(__xludf.DUMMYFUNCTION("""COMPUTED_VALUE"""),0.0)</f>
        <v>0</v>
      </c>
      <c r="K2551" s="5" t="str">
        <f>IFERROR(__xludf.DUMMYFUNCTION("""COMPUTED_VALUE"""),"")</f>
        <v/>
      </c>
      <c r="L2551" t="str">
        <f>IFERROR(__xludf.DUMMYFUNCTION("""COMPUTED_VALUE"""),"")</f>
        <v/>
      </c>
      <c r="M2551" t="str">
        <f>IFERROR(__xludf.DUMMYFUNCTION("""COMPUTED_VALUE"""),"")</f>
        <v/>
      </c>
      <c r="N2551" t="str">
        <f>IFERROR(__xludf.DUMMYFUNCTION("""COMPUTED_VALUE"""),"")</f>
        <v/>
      </c>
      <c r="O2551" t="str">
        <f>IFERROR(__xludf.DUMMYFUNCTION("""COMPUTED_VALUE"""),"")</f>
        <v/>
      </c>
      <c r="P2551" t="str">
        <f>IFERROR(__xludf.DUMMYFUNCTION("""COMPUTED_VALUE"""),"ID ")</f>
        <v>ID </v>
      </c>
    </row>
    <row r="2552">
      <c r="A2552" s="6" t="str">
        <f>IFERROR(__xludf.DUMMYFUNCTION("""COMPUTED_VALUE"""),"")</f>
        <v/>
      </c>
      <c r="C2552" t="str">
        <f>IFERROR(__xludf.DUMMYFUNCTION("""COMPUTED_VALUE"""),"")</f>
        <v/>
      </c>
      <c r="D2552" t="str">
        <f>IFERROR(__xludf.DUMMYFUNCTION("""COMPUTED_VALUE"""),"")</f>
        <v/>
      </c>
      <c r="E2552" t="str">
        <f>IFERROR(__xludf.DUMMYFUNCTION("""COMPUTED_VALUE"""),"")</f>
        <v/>
      </c>
      <c r="F2552" t="str">
        <f>IFERROR(__xludf.DUMMYFUNCTION("""COMPUTED_VALUE"""),"")</f>
        <v/>
      </c>
      <c r="G2552" t="str">
        <f>IFERROR(__xludf.DUMMYFUNCTION("""COMPUTED_VALUE"""),"")</f>
        <v/>
      </c>
      <c r="H2552" s="2" t="str">
        <f>IFERROR(__xludf.DUMMYFUNCTION("""COMPUTED_VALUE"""),"")</f>
        <v/>
      </c>
      <c r="I2552" s="2" t="str">
        <f>IFERROR(__xludf.DUMMYFUNCTION("""COMPUTED_VALUE"""),"")</f>
        <v/>
      </c>
      <c r="J2552" s="2">
        <f>IFERROR(__xludf.DUMMYFUNCTION("""COMPUTED_VALUE"""),0.0)</f>
        <v>0</v>
      </c>
      <c r="K2552" s="5" t="str">
        <f>IFERROR(__xludf.DUMMYFUNCTION("""COMPUTED_VALUE"""),"")</f>
        <v/>
      </c>
      <c r="L2552" t="str">
        <f>IFERROR(__xludf.DUMMYFUNCTION("""COMPUTED_VALUE"""),"")</f>
        <v/>
      </c>
      <c r="M2552" t="str">
        <f>IFERROR(__xludf.DUMMYFUNCTION("""COMPUTED_VALUE"""),"")</f>
        <v/>
      </c>
      <c r="N2552" t="str">
        <f>IFERROR(__xludf.DUMMYFUNCTION("""COMPUTED_VALUE"""),"")</f>
        <v/>
      </c>
      <c r="O2552" t="str">
        <f>IFERROR(__xludf.DUMMYFUNCTION("""COMPUTED_VALUE"""),"")</f>
        <v/>
      </c>
      <c r="P2552" t="str">
        <f>IFERROR(__xludf.DUMMYFUNCTION("""COMPUTED_VALUE"""),"ID ")</f>
        <v>ID </v>
      </c>
    </row>
    <row r="2553">
      <c r="A2553" s="6" t="str">
        <f>IFERROR(__xludf.DUMMYFUNCTION("""COMPUTED_VALUE"""),"")</f>
        <v/>
      </c>
      <c r="C2553" t="str">
        <f>IFERROR(__xludf.DUMMYFUNCTION("""COMPUTED_VALUE"""),"")</f>
        <v/>
      </c>
      <c r="D2553" t="str">
        <f>IFERROR(__xludf.DUMMYFUNCTION("""COMPUTED_VALUE"""),"")</f>
        <v/>
      </c>
      <c r="E2553" t="str">
        <f>IFERROR(__xludf.DUMMYFUNCTION("""COMPUTED_VALUE"""),"")</f>
        <v/>
      </c>
      <c r="F2553" t="str">
        <f>IFERROR(__xludf.DUMMYFUNCTION("""COMPUTED_VALUE"""),"")</f>
        <v/>
      </c>
      <c r="G2553" t="str">
        <f>IFERROR(__xludf.DUMMYFUNCTION("""COMPUTED_VALUE"""),"")</f>
        <v/>
      </c>
      <c r="H2553" s="2" t="str">
        <f>IFERROR(__xludf.DUMMYFUNCTION("""COMPUTED_VALUE"""),"")</f>
        <v/>
      </c>
      <c r="I2553" s="2" t="str">
        <f>IFERROR(__xludf.DUMMYFUNCTION("""COMPUTED_VALUE"""),"")</f>
        <v/>
      </c>
      <c r="J2553" s="2">
        <f>IFERROR(__xludf.DUMMYFUNCTION("""COMPUTED_VALUE"""),0.0)</f>
        <v>0</v>
      </c>
      <c r="K2553" s="5" t="str">
        <f>IFERROR(__xludf.DUMMYFUNCTION("""COMPUTED_VALUE"""),"")</f>
        <v/>
      </c>
      <c r="L2553" t="str">
        <f>IFERROR(__xludf.DUMMYFUNCTION("""COMPUTED_VALUE"""),"")</f>
        <v/>
      </c>
      <c r="M2553" t="str">
        <f>IFERROR(__xludf.DUMMYFUNCTION("""COMPUTED_VALUE"""),"")</f>
        <v/>
      </c>
      <c r="N2553" t="str">
        <f>IFERROR(__xludf.DUMMYFUNCTION("""COMPUTED_VALUE"""),"")</f>
        <v/>
      </c>
      <c r="O2553" t="str">
        <f>IFERROR(__xludf.DUMMYFUNCTION("""COMPUTED_VALUE"""),"")</f>
        <v/>
      </c>
      <c r="P2553" t="str">
        <f>IFERROR(__xludf.DUMMYFUNCTION("""COMPUTED_VALUE"""),"ID ")</f>
        <v>ID </v>
      </c>
    </row>
    <row r="2554">
      <c r="A2554" s="6" t="str">
        <f>IFERROR(__xludf.DUMMYFUNCTION("""COMPUTED_VALUE"""),"")</f>
        <v/>
      </c>
      <c r="C2554" t="str">
        <f>IFERROR(__xludf.DUMMYFUNCTION("""COMPUTED_VALUE"""),"")</f>
        <v/>
      </c>
      <c r="D2554" t="str">
        <f>IFERROR(__xludf.DUMMYFUNCTION("""COMPUTED_VALUE"""),"")</f>
        <v/>
      </c>
      <c r="E2554" t="str">
        <f>IFERROR(__xludf.DUMMYFUNCTION("""COMPUTED_VALUE"""),"")</f>
        <v/>
      </c>
      <c r="F2554" t="str">
        <f>IFERROR(__xludf.DUMMYFUNCTION("""COMPUTED_VALUE"""),"")</f>
        <v/>
      </c>
      <c r="G2554" t="str">
        <f>IFERROR(__xludf.DUMMYFUNCTION("""COMPUTED_VALUE"""),"")</f>
        <v/>
      </c>
      <c r="H2554" s="2" t="str">
        <f>IFERROR(__xludf.DUMMYFUNCTION("""COMPUTED_VALUE"""),"")</f>
        <v/>
      </c>
      <c r="I2554" s="2" t="str">
        <f>IFERROR(__xludf.DUMMYFUNCTION("""COMPUTED_VALUE"""),"")</f>
        <v/>
      </c>
      <c r="J2554" s="2">
        <f>IFERROR(__xludf.DUMMYFUNCTION("""COMPUTED_VALUE"""),0.0)</f>
        <v>0</v>
      </c>
      <c r="K2554" s="5" t="str">
        <f>IFERROR(__xludf.DUMMYFUNCTION("""COMPUTED_VALUE"""),"")</f>
        <v/>
      </c>
      <c r="L2554" t="str">
        <f>IFERROR(__xludf.DUMMYFUNCTION("""COMPUTED_VALUE"""),"")</f>
        <v/>
      </c>
      <c r="M2554" t="str">
        <f>IFERROR(__xludf.DUMMYFUNCTION("""COMPUTED_VALUE"""),"")</f>
        <v/>
      </c>
      <c r="N2554" t="str">
        <f>IFERROR(__xludf.DUMMYFUNCTION("""COMPUTED_VALUE"""),"")</f>
        <v/>
      </c>
      <c r="O2554" t="str">
        <f>IFERROR(__xludf.DUMMYFUNCTION("""COMPUTED_VALUE"""),"")</f>
        <v/>
      </c>
      <c r="P2554" t="str">
        <f>IFERROR(__xludf.DUMMYFUNCTION("""COMPUTED_VALUE"""),"ID ")</f>
        <v>ID </v>
      </c>
    </row>
    <row r="2555">
      <c r="A2555" s="6" t="str">
        <f>IFERROR(__xludf.DUMMYFUNCTION("""COMPUTED_VALUE"""),"")</f>
        <v/>
      </c>
      <c r="C2555" t="str">
        <f>IFERROR(__xludf.DUMMYFUNCTION("""COMPUTED_VALUE"""),"")</f>
        <v/>
      </c>
      <c r="D2555" t="str">
        <f>IFERROR(__xludf.DUMMYFUNCTION("""COMPUTED_VALUE"""),"")</f>
        <v/>
      </c>
      <c r="E2555" t="str">
        <f>IFERROR(__xludf.DUMMYFUNCTION("""COMPUTED_VALUE"""),"")</f>
        <v/>
      </c>
      <c r="F2555" t="str">
        <f>IFERROR(__xludf.DUMMYFUNCTION("""COMPUTED_VALUE"""),"")</f>
        <v/>
      </c>
      <c r="G2555" t="str">
        <f>IFERROR(__xludf.DUMMYFUNCTION("""COMPUTED_VALUE"""),"")</f>
        <v/>
      </c>
      <c r="H2555" s="2" t="str">
        <f>IFERROR(__xludf.DUMMYFUNCTION("""COMPUTED_VALUE"""),"")</f>
        <v/>
      </c>
      <c r="I2555" s="2" t="str">
        <f>IFERROR(__xludf.DUMMYFUNCTION("""COMPUTED_VALUE"""),"")</f>
        <v/>
      </c>
      <c r="J2555" s="2">
        <f>IFERROR(__xludf.DUMMYFUNCTION("""COMPUTED_VALUE"""),0.0)</f>
        <v>0</v>
      </c>
      <c r="K2555" s="5" t="str">
        <f>IFERROR(__xludf.DUMMYFUNCTION("""COMPUTED_VALUE"""),"")</f>
        <v/>
      </c>
      <c r="L2555" t="str">
        <f>IFERROR(__xludf.DUMMYFUNCTION("""COMPUTED_VALUE"""),"")</f>
        <v/>
      </c>
      <c r="M2555" t="str">
        <f>IFERROR(__xludf.DUMMYFUNCTION("""COMPUTED_VALUE"""),"")</f>
        <v/>
      </c>
      <c r="N2555" t="str">
        <f>IFERROR(__xludf.DUMMYFUNCTION("""COMPUTED_VALUE"""),"")</f>
        <v/>
      </c>
      <c r="O2555" t="str">
        <f>IFERROR(__xludf.DUMMYFUNCTION("""COMPUTED_VALUE"""),"")</f>
        <v/>
      </c>
      <c r="P2555" t="str">
        <f>IFERROR(__xludf.DUMMYFUNCTION("""COMPUTED_VALUE"""),"ID ")</f>
        <v>ID </v>
      </c>
    </row>
    <row r="2556">
      <c r="A2556" s="6" t="str">
        <f>IFERROR(__xludf.DUMMYFUNCTION("""COMPUTED_VALUE"""),"")</f>
        <v/>
      </c>
      <c r="C2556" t="str">
        <f>IFERROR(__xludf.DUMMYFUNCTION("""COMPUTED_VALUE"""),"")</f>
        <v/>
      </c>
      <c r="D2556" t="str">
        <f>IFERROR(__xludf.DUMMYFUNCTION("""COMPUTED_VALUE"""),"")</f>
        <v/>
      </c>
      <c r="E2556" t="str">
        <f>IFERROR(__xludf.DUMMYFUNCTION("""COMPUTED_VALUE"""),"")</f>
        <v/>
      </c>
      <c r="F2556" t="str">
        <f>IFERROR(__xludf.DUMMYFUNCTION("""COMPUTED_VALUE"""),"")</f>
        <v/>
      </c>
      <c r="G2556" t="str">
        <f>IFERROR(__xludf.DUMMYFUNCTION("""COMPUTED_VALUE"""),"")</f>
        <v/>
      </c>
      <c r="H2556" s="2" t="str">
        <f>IFERROR(__xludf.DUMMYFUNCTION("""COMPUTED_VALUE"""),"")</f>
        <v/>
      </c>
      <c r="I2556" s="2" t="str">
        <f>IFERROR(__xludf.DUMMYFUNCTION("""COMPUTED_VALUE"""),"")</f>
        <v/>
      </c>
      <c r="J2556" s="2">
        <f>IFERROR(__xludf.DUMMYFUNCTION("""COMPUTED_VALUE"""),0.0)</f>
        <v>0</v>
      </c>
      <c r="K2556" s="5" t="str">
        <f>IFERROR(__xludf.DUMMYFUNCTION("""COMPUTED_VALUE"""),"")</f>
        <v/>
      </c>
      <c r="L2556" t="str">
        <f>IFERROR(__xludf.DUMMYFUNCTION("""COMPUTED_VALUE"""),"")</f>
        <v/>
      </c>
      <c r="M2556" t="str">
        <f>IFERROR(__xludf.DUMMYFUNCTION("""COMPUTED_VALUE"""),"")</f>
        <v/>
      </c>
      <c r="N2556" t="str">
        <f>IFERROR(__xludf.DUMMYFUNCTION("""COMPUTED_VALUE"""),"")</f>
        <v/>
      </c>
      <c r="O2556" t="str">
        <f>IFERROR(__xludf.DUMMYFUNCTION("""COMPUTED_VALUE"""),"")</f>
        <v/>
      </c>
      <c r="P2556" t="str">
        <f>IFERROR(__xludf.DUMMYFUNCTION("""COMPUTED_VALUE"""),"ID ")</f>
        <v>ID </v>
      </c>
    </row>
    <row r="2557">
      <c r="A2557" s="6" t="str">
        <f>IFERROR(__xludf.DUMMYFUNCTION("""COMPUTED_VALUE"""),"")</f>
        <v/>
      </c>
      <c r="C2557" t="str">
        <f>IFERROR(__xludf.DUMMYFUNCTION("""COMPUTED_VALUE"""),"")</f>
        <v/>
      </c>
      <c r="D2557" t="str">
        <f>IFERROR(__xludf.DUMMYFUNCTION("""COMPUTED_VALUE"""),"")</f>
        <v/>
      </c>
      <c r="E2557" t="str">
        <f>IFERROR(__xludf.DUMMYFUNCTION("""COMPUTED_VALUE"""),"")</f>
        <v/>
      </c>
      <c r="F2557" t="str">
        <f>IFERROR(__xludf.DUMMYFUNCTION("""COMPUTED_VALUE"""),"")</f>
        <v/>
      </c>
      <c r="G2557" t="str">
        <f>IFERROR(__xludf.DUMMYFUNCTION("""COMPUTED_VALUE"""),"")</f>
        <v/>
      </c>
      <c r="H2557" s="2" t="str">
        <f>IFERROR(__xludf.DUMMYFUNCTION("""COMPUTED_VALUE"""),"")</f>
        <v/>
      </c>
      <c r="I2557" s="2" t="str">
        <f>IFERROR(__xludf.DUMMYFUNCTION("""COMPUTED_VALUE"""),"")</f>
        <v/>
      </c>
      <c r="J2557" s="2">
        <f>IFERROR(__xludf.DUMMYFUNCTION("""COMPUTED_VALUE"""),0.0)</f>
        <v>0</v>
      </c>
      <c r="K2557" s="5" t="str">
        <f>IFERROR(__xludf.DUMMYFUNCTION("""COMPUTED_VALUE"""),"")</f>
        <v/>
      </c>
      <c r="L2557" t="str">
        <f>IFERROR(__xludf.DUMMYFUNCTION("""COMPUTED_VALUE"""),"")</f>
        <v/>
      </c>
      <c r="M2557" t="str">
        <f>IFERROR(__xludf.DUMMYFUNCTION("""COMPUTED_VALUE"""),"")</f>
        <v/>
      </c>
      <c r="N2557" t="str">
        <f>IFERROR(__xludf.DUMMYFUNCTION("""COMPUTED_VALUE"""),"")</f>
        <v/>
      </c>
      <c r="O2557" t="str">
        <f>IFERROR(__xludf.DUMMYFUNCTION("""COMPUTED_VALUE"""),"")</f>
        <v/>
      </c>
      <c r="P2557" t="str">
        <f>IFERROR(__xludf.DUMMYFUNCTION("""COMPUTED_VALUE"""),"ID ")</f>
        <v>ID </v>
      </c>
    </row>
    <row r="2558">
      <c r="A2558" s="6" t="str">
        <f>IFERROR(__xludf.DUMMYFUNCTION("""COMPUTED_VALUE"""),"")</f>
        <v/>
      </c>
      <c r="C2558" t="str">
        <f>IFERROR(__xludf.DUMMYFUNCTION("""COMPUTED_VALUE"""),"")</f>
        <v/>
      </c>
      <c r="D2558" t="str">
        <f>IFERROR(__xludf.DUMMYFUNCTION("""COMPUTED_VALUE"""),"")</f>
        <v/>
      </c>
      <c r="E2558" t="str">
        <f>IFERROR(__xludf.DUMMYFUNCTION("""COMPUTED_VALUE"""),"")</f>
        <v/>
      </c>
      <c r="F2558" t="str">
        <f>IFERROR(__xludf.DUMMYFUNCTION("""COMPUTED_VALUE"""),"")</f>
        <v/>
      </c>
      <c r="G2558" t="str">
        <f>IFERROR(__xludf.DUMMYFUNCTION("""COMPUTED_VALUE"""),"")</f>
        <v/>
      </c>
      <c r="H2558" s="2" t="str">
        <f>IFERROR(__xludf.DUMMYFUNCTION("""COMPUTED_VALUE"""),"")</f>
        <v/>
      </c>
      <c r="I2558" s="2" t="str">
        <f>IFERROR(__xludf.DUMMYFUNCTION("""COMPUTED_VALUE"""),"")</f>
        <v/>
      </c>
      <c r="J2558" s="2">
        <f>IFERROR(__xludf.DUMMYFUNCTION("""COMPUTED_VALUE"""),0.0)</f>
        <v>0</v>
      </c>
      <c r="K2558" s="5" t="str">
        <f>IFERROR(__xludf.DUMMYFUNCTION("""COMPUTED_VALUE"""),"")</f>
        <v/>
      </c>
      <c r="L2558" t="str">
        <f>IFERROR(__xludf.DUMMYFUNCTION("""COMPUTED_VALUE"""),"")</f>
        <v/>
      </c>
      <c r="M2558" t="str">
        <f>IFERROR(__xludf.DUMMYFUNCTION("""COMPUTED_VALUE"""),"")</f>
        <v/>
      </c>
      <c r="N2558" t="str">
        <f>IFERROR(__xludf.DUMMYFUNCTION("""COMPUTED_VALUE"""),"")</f>
        <v/>
      </c>
      <c r="O2558" t="str">
        <f>IFERROR(__xludf.DUMMYFUNCTION("""COMPUTED_VALUE"""),"")</f>
        <v/>
      </c>
      <c r="P2558" t="str">
        <f>IFERROR(__xludf.DUMMYFUNCTION("""COMPUTED_VALUE"""),"ID ")</f>
        <v>ID </v>
      </c>
    </row>
    <row r="2559">
      <c r="A2559" s="6" t="str">
        <f>IFERROR(__xludf.DUMMYFUNCTION("""COMPUTED_VALUE"""),"")</f>
        <v/>
      </c>
      <c r="C2559" t="str">
        <f>IFERROR(__xludf.DUMMYFUNCTION("""COMPUTED_VALUE"""),"")</f>
        <v/>
      </c>
      <c r="D2559" t="str">
        <f>IFERROR(__xludf.DUMMYFUNCTION("""COMPUTED_VALUE"""),"")</f>
        <v/>
      </c>
      <c r="E2559" t="str">
        <f>IFERROR(__xludf.DUMMYFUNCTION("""COMPUTED_VALUE"""),"")</f>
        <v/>
      </c>
      <c r="F2559" t="str">
        <f>IFERROR(__xludf.DUMMYFUNCTION("""COMPUTED_VALUE"""),"")</f>
        <v/>
      </c>
      <c r="G2559" t="str">
        <f>IFERROR(__xludf.DUMMYFUNCTION("""COMPUTED_VALUE"""),"")</f>
        <v/>
      </c>
      <c r="H2559" s="2" t="str">
        <f>IFERROR(__xludf.DUMMYFUNCTION("""COMPUTED_VALUE"""),"")</f>
        <v/>
      </c>
      <c r="I2559" s="2" t="str">
        <f>IFERROR(__xludf.DUMMYFUNCTION("""COMPUTED_VALUE"""),"")</f>
        <v/>
      </c>
      <c r="J2559" s="2">
        <f>IFERROR(__xludf.DUMMYFUNCTION("""COMPUTED_VALUE"""),0.0)</f>
        <v>0</v>
      </c>
      <c r="K2559" s="5" t="str">
        <f>IFERROR(__xludf.DUMMYFUNCTION("""COMPUTED_VALUE"""),"")</f>
        <v/>
      </c>
      <c r="L2559" t="str">
        <f>IFERROR(__xludf.DUMMYFUNCTION("""COMPUTED_VALUE"""),"")</f>
        <v/>
      </c>
      <c r="M2559" t="str">
        <f>IFERROR(__xludf.DUMMYFUNCTION("""COMPUTED_VALUE"""),"")</f>
        <v/>
      </c>
      <c r="N2559" t="str">
        <f>IFERROR(__xludf.DUMMYFUNCTION("""COMPUTED_VALUE"""),"")</f>
        <v/>
      </c>
      <c r="O2559" t="str">
        <f>IFERROR(__xludf.DUMMYFUNCTION("""COMPUTED_VALUE"""),"")</f>
        <v/>
      </c>
      <c r="P2559" t="str">
        <f>IFERROR(__xludf.DUMMYFUNCTION("""COMPUTED_VALUE"""),"ID ")</f>
        <v>ID </v>
      </c>
    </row>
    <row r="2560">
      <c r="A2560" s="6" t="str">
        <f>IFERROR(__xludf.DUMMYFUNCTION("""COMPUTED_VALUE"""),"")</f>
        <v/>
      </c>
      <c r="C2560" t="str">
        <f>IFERROR(__xludf.DUMMYFUNCTION("""COMPUTED_VALUE"""),"")</f>
        <v/>
      </c>
      <c r="D2560" t="str">
        <f>IFERROR(__xludf.DUMMYFUNCTION("""COMPUTED_VALUE"""),"")</f>
        <v/>
      </c>
      <c r="E2560" t="str">
        <f>IFERROR(__xludf.DUMMYFUNCTION("""COMPUTED_VALUE"""),"")</f>
        <v/>
      </c>
      <c r="F2560" t="str">
        <f>IFERROR(__xludf.DUMMYFUNCTION("""COMPUTED_VALUE"""),"")</f>
        <v/>
      </c>
      <c r="G2560" t="str">
        <f>IFERROR(__xludf.DUMMYFUNCTION("""COMPUTED_VALUE"""),"")</f>
        <v/>
      </c>
      <c r="H2560" s="2" t="str">
        <f>IFERROR(__xludf.DUMMYFUNCTION("""COMPUTED_VALUE"""),"")</f>
        <v/>
      </c>
      <c r="I2560" s="2" t="str">
        <f>IFERROR(__xludf.DUMMYFUNCTION("""COMPUTED_VALUE"""),"")</f>
        <v/>
      </c>
      <c r="J2560" s="2">
        <f>IFERROR(__xludf.DUMMYFUNCTION("""COMPUTED_VALUE"""),0.0)</f>
        <v>0</v>
      </c>
      <c r="K2560" s="5" t="str">
        <f>IFERROR(__xludf.DUMMYFUNCTION("""COMPUTED_VALUE"""),"")</f>
        <v/>
      </c>
      <c r="L2560" t="str">
        <f>IFERROR(__xludf.DUMMYFUNCTION("""COMPUTED_VALUE"""),"")</f>
        <v/>
      </c>
      <c r="M2560" t="str">
        <f>IFERROR(__xludf.DUMMYFUNCTION("""COMPUTED_VALUE"""),"")</f>
        <v/>
      </c>
      <c r="N2560" t="str">
        <f>IFERROR(__xludf.DUMMYFUNCTION("""COMPUTED_VALUE"""),"")</f>
        <v/>
      </c>
      <c r="O2560" t="str">
        <f>IFERROR(__xludf.DUMMYFUNCTION("""COMPUTED_VALUE"""),"")</f>
        <v/>
      </c>
      <c r="P2560" t="str">
        <f>IFERROR(__xludf.DUMMYFUNCTION("""COMPUTED_VALUE"""),"ID ")</f>
        <v>ID </v>
      </c>
    </row>
    <row r="2561">
      <c r="A2561" s="6" t="str">
        <f>IFERROR(__xludf.DUMMYFUNCTION("""COMPUTED_VALUE"""),"")</f>
        <v/>
      </c>
      <c r="C2561" t="str">
        <f>IFERROR(__xludf.DUMMYFUNCTION("""COMPUTED_VALUE"""),"")</f>
        <v/>
      </c>
      <c r="D2561" t="str">
        <f>IFERROR(__xludf.DUMMYFUNCTION("""COMPUTED_VALUE"""),"")</f>
        <v/>
      </c>
      <c r="E2561" t="str">
        <f>IFERROR(__xludf.DUMMYFUNCTION("""COMPUTED_VALUE"""),"")</f>
        <v/>
      </c>
      <c r="F2561" t="str">
        <f>IFERROR(__xludf.DUMMYFUNCTION("""COMPUTED_VALUE"""),"")</f>
        <v/>
      </c>
      <c r="G2561" t="str">
        <f>IFERROR(__xludf.DUMMYFUNCTION("""COMPUTED_VALUE"""),"")</f>
        <v/>
      </c>
      <c r="H2561" s="2" t="str">
        <f>IFERROR(__xludf.DUMMYFUNCTION("""COMPUTED_VALUE"""),"")</f>
        <v/>
      </c>
      <c r="I2561" s="2" t="str">
        <f>IFERROR(__xludf.DUMMYFUNCTION("""COMPUTED_VALUE"""),"")</f>
        <v/>
      </c>
      <c r="J2561" s="2">
        <f>IFERROR(__xludf.DUMMYFUNCTION("""COMPUTED_VALUE"""),0.0)</f>
        <v>0</v>
      </c>
      <c r="K2561" s="5" t="str">
        <f>IFERROR(__xludf.DUMMYFUNCTION("""COMPUTED_VALUE"""),"")</f>
        <v/>
      </c>
      <c r="L2561" t="str">
        <f>IFERROR(__xludf.DUMMYFUNCTION("""COMPUTED_VALUE"""),"")</f>
        <v/>
      </c>
      <c r="M2561" t="str">
        <f>IFERROR(__xludf.DUMMYFUNCTION("""COMPUTED_VALUE"""),"")</f>
        <v/>
      </c>
      <c r="N2561" t="str">
        <f>IFERROR(__xludf.DUMMYFUNCTION("""COMPUTED_VALUE"""),"")</f>
        <v/>
      </c>
      <c r="O2561" t="str">
        <f>IFERROR(__xludf.DUMMYFUNCTION("""COMPUTED_VALUE"""),"")</f>
        <v/>
      </c>
      <c r="P2561" t="str">
        <f>IFERROR(__xludf.DUMMYFUNCTION("""COMPUTED_VALUE"""),"ID ")</f>
        <v>ID </v>
      </c>
    </row>
    <row r="2562">
      <c r="A2562" s="6" t="str">
        <f>IFERROR(__xludf.DUMMYFUNCTION("""COMPUTED_VALUE"""),"")</f>
        <v/>
      </c>
      <c r="C2562" t="str">
        <f>IFERROR(__xludf.DUMMYFUNCTION("""COMPUTED_VALUE"""),"")</f>
        <v/>
      </c>
      <c r="D2562" t="str">
        <f>IFERROR(__xludf.DUMMYFUNCTION("""COMPUTED_VALUE"""),"")</f>
        <v/>
      </c>
      <c r="E2562" t="str">
        <f>IFERROR(__xludf.DUMMYFUNCTION("""COMPUTED_VALUE"""),"")</f>
        <v/>
      </c>
      <c r="F2562" t="str">
        <f>IFERROR(__xludf.DUMMYFUNCTION("""COMPUTED_VALUE"""),"")</f>
        <v/>
      </c>
      <c r="G2562" t="str">
        <f>IFERROR(__xludf.DUMMYFUNCTION("""COMPUTED_VALUE"""),"")</f>
        <v/>
      </c>
      <c r="H2562" s="2" t="str">
        <f>IFERROR(__xludf.DUMMYFUNCTION("""COMPUTED_VALUE"""),"")</f>
        <v/>
      </c>
      <c r="I2562" s="2" t="str">
        <f>IFERROR(__xludf.DUMMYFUNCTION("""COMPUTED_VALUE"""),"")</f>
        <v/>
      </c>
      <c r="J2562" s="2">
        <f>IFERROR(__xludf.DUMMYFUNCTION("""COMPUTED_VALUE"""),0.0)</f>
        <v>0</v>
      </c>
      <c r="K2562" s="5" t="str">
        <f>IFERROR(__xludf.DUMMYFUNCTION("""COMPUTED_VALUE"""),"")</f>
        <v/>
      </c>
      <c r="L2562" t="str">
        <f>IFERROR(__xludf.DUMMYFUNCTION("""COMPUTED_VALUE"""),"")</f>
        <v/>
      </c>
      <c r="M2562" t="str">
        <f>IFERROR(__xludf.DUMMYFUNCTION("""COMPUTED_VALUE"""),"")</f>
        <v/>
      </c>
      <c r="N2562" t="str">
        <f>IFERROR(__xludf.DUMMYFUNCTION("""COMPUTED_VALUE"""),"")</f>
        <v/>
      </c>
      <c r="O2562" t="str">
        <f>IFERROR(__xludf.DUMMYFUNCTION("""COMPUTED_VALUE"""),"")</f>
        <v/>
      </c>
      <c r="P2562" t="str">
        <f>IFERROR(__xludf.DUMMYFUNCTION("""COMPUTED_VALUE"""),"ID ")</f>
        <v>ID </v>
      </c>
    </row>
    <row r="2563">
      <c r="A2563" s="6" t="str">
        <f>IFERROR(__xludf.DUMMYFUNCTION("""COMPUTED_VALUE"""),"")</f>
        <v/>
      </c>
      <c r="C2563" t="str">
        <f>IFERROR(__xludf.DUMMYFUNCTION("""COMPUTED_VALUE"""),"")</f>
        <v/>
      </c>
      <c r="D2563" t="str">
        <f>IFERROR(__xludf.DUMMYFUNCTION("""COMPUTED_VALUE"""),"")</f>
        <v/>
      </c>
      <c r="E2563" t="str">
        <f>IFERROR(__xludf.DUMMYFUNCTION("""COMPUTED_VALUE"""),"")</f>
        <v/>
      </c>
      <c r="F2563" t="str">
        <f>IFERROR(__xludf.DUMMYFUNCTION("""COMPUTED_VALUE"""),"")</f>
        <v/>
      </c>
      <c r="G2563" t="str">
        <f>IFERROR(__xludf.DUMMYFUNCTION("""COMPUTED_VALUE"""),"")</f>
        <v/>
      </c>
      <c r="H2563" s="2" t="str">
        <f>IFERROR(__xludf.DUMMYFUNCTION("""COMPUTED_VALUE"""),"")</f>
        <v/>
      </c>
      <c r="I2563" s="2" t="str">
        <f>IFERROR(__xludf.DUMMYFUNCTION("""COMPUTED_VALUE"""),"")</f>
        <v/>
      </c>
      <c r="J2563" s="2">
        <f>IFERROR(__xludf.DUMMYFUNCTION("""COMPUTED_VALUE"""),0.0)</f>
        <v>0</v>
      </c>
      <c r="K2563" s="5" t="str">
        <f>IFERROR(__xludf.DUMMYFUNCTION("""COMPUTED_VALUE"""),"")</f>
        <v/>
      </c>
      <c r="L2563" t="str">
        <f>IFERROR(__xludf.DUMMYFUNCTION("""COMPUTED_VALUE"""),"")</f>
        <v/>
      </c>
      <c r="M2563" t="str">
        <f>IFERROR(__xludf.DUMMYFUNCTION("""COMPUTED_VALUE"""),"")</f>
        <v/>
      </c>
      <c r="N2563" t="str">
        <f>IFERROR(__xludf.DUMMYFUNCTION("""COMPUTED_VALUE"""),"")</f>
        <v/>
      </c>
      <c r="O2563" t="str">
        <f>IFERROR(__xludf.DUMMYFUNCTION("""COMPUTED_VALUE"""),"")</f>
        <v/>
      </c>
      <c r="P2563" t="str">
        <f>IFERROR(__xludf.DUMMYFUNCTION("""COMPUTED_VALUE"""),"ID ")</f>
        <v>ID </v>
      </c>
    </row>
    <row r="2564">
      <c r="A2564" s="6" t="str">
        <f>IFERROR(__xludf.DUMMYFUNCTION("""COMPUTED_VALUE"""),"")</f>
        <v/>
      </c>
      <c r="C2564" t="str">
        <f>IFERROR(__xludf.DUMMYFUNCTION("""COMPUTED_VALUE"""),"")</f>
        <v/>
      </c>
      <c r="D2564" t="str">
        <f>IFERROR(__xludf.DUMMYFUNCTION("""COMPUTED_VALUE"""),"")</f>
        <v/>
      </c>
      <c r="E2564" t="str">
        <f>IFERROR(__xludf.DUMMYFUNCTION("""COMPUTED_VALUE"""),"")</f>
        <v/>
      </c>
      <c r="F2564" t="str">
        <f>IFERROR(__xludf.DUMMYFUNCTION("""COMPUTED_VALUE"""),"")</f>
        <v/>
      </c>
      <c r="G2564" t="str">
        <f>IFERROR(__xludf.DUMMYFUNCTION("""COMPUTED_VALUE"""),"")</f>
        <v/>
      </c>
      <c r="H2564" s="2" t="str">
        <f>IFERROR(__xludf.DUMMYFUNCTION("""COMPUTED_VALUE"""),"")</f>
        <v/>
      </c>
      <c r="I2564" s="2" t="str">
        <f>IFERROR(__xludf.DUMMYFUNCTION("""COMPUTED_VALUE"""),"")</f>
        <v/>
      </c>
      <c r="J2564" s="2">
        <f>IFERROR(__xludf.DUMMYFUNCTION("""COMPUTED_VALUE"""),0.0)</f>
        <v>0</v>
      </c>
      <c r="K2564" s="5" t="str">
        <f>IFERROR(__xludf.DUMMYFUNCTION("""COMPUTED_VALUE"""),"")</f>
        <v/>
      </c>
      <c r="L2564" t="str">
        <f>IFERROR(__xludf.DUMMYFUNCTION("""COMPUTED_VALUE"""),"")</f>
        <v/>
      </c>
      <c r="M2564" t="str">
        <f>IFERROR(__xludf.DUMMYFUNCTION("""COMPUTED_VALUE"""),"")</f>
        <v/>
      </c>
      <c r="N2564" t="str">
        <f>IFERROR(__xludf.DUMMYFUNCTION("""COMPUTED_VALUE"""),"")</f>
        <v/>
      </c>
      <c r="O2564" t="str">
        <f>IFERROR(__xludf.DUMMYFUNCTION("""COMPUTED_VALUE"""),"")</f>
        <v/>
      </c>
      <c r="P2564" t="str">
        <f>IFERROR(__xludf.DUMMYFUNCTION("""COMPUTED_VALUE"""),"ID ")</f>
        <v>ID </v>
      </c>
    </row>
    <row r="2565">
      <c r="A2565" s="6" t="str">
        <f>IFERROR(__xludf.DUMMYFUNCTION("""COMPUTED_VALUE"""),"")</f>
        <v/>
      </c>
      <c r="C2565" t="str">
        <f>IFERROR(__xludf.DUMMYFUNCTION("""COMPUTED_VALUE"""),"")</f>
        <v/>
      </c>
      <c r="D2565" t="str">
        <f>IFERROR(__xludf.DUMMYFUNCTION("""COMPUTED_VALUE"""),"")</f>
        <v/>
      </c>
      <c r="E2565" t="str">
        <f>IFERROR(__xludf.DUMMYFUNCTION("""COMPUTED_VALUE"""),"")</f>
        <v/>
      </c>
      <c r="F2565" t="str">
        <f>IFERROR(__xludf.DUMMYFUNCTION("""COMPUTED_VALUE"""),"")</f>
        <v/>
      </c>
      <c r="G2565" t="str">
        <f>IFERROR(__xludf.DUMMYFUNCTION("""COMPUTED_VALUE"""),"")</f>
        <v/>
      </c>
      <c r="H2565" s="2" t="str">
        <f>IFERROR(__xludf.DUMMYFUNCTION("""COMPUTED_VALUE"""),"")</f>
        <v/>
      </c>
      <c r="I2565" s="2" t="str">
        <f>IFERROR(__xludf.DUMMYFUNCTION("""COMPUTED_VALUE"""),"")</f>
        <v/>
      </c>
      <c r="J2565" s="2">
        <f>IFERROR(__xludf.DUMMYFUNCTION("""COMPUTED_VALUE"""),0.0)</f>
        <v>0</v>
      </c>
      <c r="K2565" s="5" t="str">
        <f>IFERROR(__xludf.DUMMYFUNCTION("""COMPUTED_VALUE"""),"")</f>
        <v/>
      </c>
      <c r="L2565" t="str">
        <f>IFERROR(__xludf.DUMMYFUNCTION("""COMPUTED_VALUE"""),"")</f>
        <v/>
      </c>
      <c r="M2565" t="str">
        <f>IFERROR(__xludf.DUMMYFUNCTION("""COMPUTED_VALUE"""),"")</f>
        <v/>
      </c>
      <c r="N2565" t="str">
        <f>IFERROR(__xludf.DUMMYFUNCTION("""COMPUTED_VALUE"""),"")</f>
        <v/>
      </c>
      <c r="O2565" t="str">
        <f>IFERROR(__xludf.DUMMYFUNCTION("""COMPUTED_VALUE"""),"")</f>
        <v/>
      </c>
      <c r="P2565" t="str">
        <f>IFERROR(__xludf.DUMMYFUNCTION("""COMPUTED_VALUE"""),"ID ")</f>
        <v>ID </v>
      </c>
    </row>
    <row r="2566">
      <c r="A2566" s="6" t="str">
        <f>IFERROR(__xludf.DUMMYFUNCTION("""COMPUTED_VALUE"""),"")</f>
        <v/>
      </c>
      <c r="C2566" t="str">
        <f>IFERROR(__xludf.DUMMYFUNCTION("""COMPUTED_VALUE"""),"")</f>
        <v/>
      </c>
      <c r="D2566" t="str">
        <f>IFERROR(__xludf.DUMMYFUNCTION("""COMPUTED_VALUE"""),"")</f>
        <v/>
      </c>
      <c r="E2566" t="str">
        <f>IFERROR(__xludf.DUMMYFUNCTION("""COMPUTED_VALUE"""),"")</f>
        <v/>
      </c>
      <c r="F2566" t="str">
        <f>IFERROR(__xludf.DUMMYFUNCTION("""COMPUTED_VALUE"""),"")</f>
        <v/>
      </c>
      <c r="G2566" t="str">
        <f>IFERROR(__xludf.DUMMYFUNCTION("""COMPUTED_VALUE"""),"")</f>
        <v/>
      </c>
      <c r="H2566" s="2" t="str">
        <f>IFERROR(__xludf.DUMMYFUNCTION("""COMPUTED_VALUE"""),"")</f>
        <v/>
      </c>
      <c r="I2566" s="2" t="str">
        <f>IFERROR(__xludf.DUMMYFUNCTION("""COMPUTED_VALUE"""),"")</f>
        <v/>
      </c>
      <c r="J2566" s="2">
        <f>IFERROR(__xludf.DUMMYFUNCTION("""COMPUTED_VALUE"""),0.0)</f>
        <v>0</v>
      </c>
      <c r="K2566" s="5" t="str">
        <f>IFERROR(__xludf.DUMMYFUNCTION("""COMPUTED_VALUE"""),"")</f>
        <v/>
      </c>
      <c r="L2566" t="str">
        <f>IFERROR(__xludf.DUMMYFUNCTION("""COMPUTED_VALUE"""),"")</f>
        <v/>
      </c>
      <c r="M2566" t="str">
        <f>IFERROR(__xludf.DUMMYFUNCTION("""COMPUTED_VALUE"""),"")</f>
        <v/>
      </c>
      <c r="N2566" t="str">
        <f>IFERROR(__xludf.DUMMYFUNCTION("""COMPUTED_VALUE"""),"")</f>
        <v/>
      </c>
      <c r="O2566" t="str">
        <f>IFERROR(__xludf.DUMMYFUNCTION("""COMPUTED_VALUE"""),"")</f>
        <v/>
      </c>
      <c r="P2566" t="str">
        <f>IFERROR(__xludf.DUMMYFUNCTION("""COMPUTED_VALUE"""),"ID ")</f>
        <v>ID </v>
      </c>
    </row>
    <row r="2567">
      <c r="A2567" s="6" t="str">
        <f>IFERROR(__xludf.DUMMYFUNCTION("""COMPUTED_VALUE"""),"")</f>
        <v/>
      </c>
      <c r="C2567" t="str">
        <f>IFERROR(__xludf.DUMMYFUNCTION("""COMPUTED_VALUE"""),"")</f>
        <v/>
      </c>
      <c r="D2567" t="str">
        <f>IFERROR(__xludf.DUMMYFUNCTION("""COMPUTED_VALUE"""),"")</f>
        <v/>
      </c>
      <c r="E2567" t="str">
        <f>IFERROR(__xludf.DUMMYFUNCTION("""COMPUTED_VALUE"""),"")</f>
        <v/>
      </c>
      <c r="F2567" t="str">
        <f>IFERROR(__xludf.DUMMYFUNCTION("""COMPUTED_VALUE"""),"")</f>
        <v/>
      </c>
      <c r="G2567" t="str">
        <f>IFERROR(__xludf.DUMMYFUNCTION("""COMPUTED_VALUE"""),"")</f>
        <v/>
      </c>
      <c r="H2567" s="2" t="str">
        <f>IFERROR(__xludf.DUMMYFUNCTION("""COMPUTED_VALUE"""),"")</f>
        <v/>
      </c>
      <c r="I2567" s="2" t="str">
        <f>IFERROR(__xludf.DUMMYFUNCTION("""COMPUTED_VALUE"""),"")</f>
        <v/>
      </c>
      <c r="J2567" s="2">
        <f>IFERROR(__xludf.DUMMYFUNCTION("""COMPUTED_VALUE"""),0.0)</f>
        <v>0</v>
      </c>
      <c r="K2567" s="5" t="str">
        <f>IFERROR(__xludf.DUMMYFUNCTION("""COMPUTED_VALUE"""),"")</f>
        <v/>
      </c>
      <c r="L2567" t="str">
        <f>IFERROR(__xludf.DUMMYFUNCTION("""COMPUTED_VALUE"""),"")</f>
        <v/>
      </c>
      <c r="M2567" t="str">
        <f>IFERROR(__xludf.DUMMYFUNCTION("""COMPUTED_VALUE"""),"")</f>
        <v/>
      </c>
      <c r="N2567" t="str">
        <f>IFERROR(__xludf.DUMMYFUNCTION("""COMPUTED_VALUE"""),"")</f>
        <v/>
      </c>
      <c r="O2567" t="str">
        <f>IFERROR(__xludf.DUMMYFUNCTION("""COMPUTED_VALUE"""),"")</f>
        <v/>
      </c>
      <c r="P2567" t="str">
        <f>IFERROR(__xludf.DUMMYFUNCTION("""COMPUTED_VALUE"""),"ID ")</f>
        <v>ID </v>
      </c>
    </row>
    <row r="2568">
      <c r="A2568" s="6" t="str">
        <f>IFERROR(__xludf.DUMMYFUNCTION("""COMPUTED_VALUE"""),"")</f>
        <v/>
      </c>
      <c r="C2568" t="str">
        <f>IFERROR(__xludf.DUMMYFUNCTION("""COMPUTED_VALUE"""),"")</f>
        <v/>
      </c>
      <c r="D2568" t="str">
        <f>IFERROR(__xludf.DUMMYFUNCTION("""COMPUTED_VALUE"""),"")</f>
        <v/>
      </c>
      <c r="E2568" t="str">
        <f>IFERROR(__xludf.DUMMYFUNCTION("""COMPUTED_VALUE"""),"")</f>
        <v/>
      </c>
      <c r="F2568" t="str">
        <f>IFERROR(__xludf.DUMMYFUNCTION("""COMPUTED_VALUE"""),"")</f>
        <v/>
      </c>
      <c r="G2568" t="str">
        <f>IFERROR(__xludf.DUMMYFUNCTION("""COMPUTED_VALUE"""),"")</f>
        <v/>
      </c>
      <c r="H2568" s="2" t="str">
        <f>IFERROR(__xludf.DUMMYFUNCTION("""COMPUTED_VALUE"""),"")</f>
        <v/>
      </c>
      <c r="I2568" s="2" t="str">
        <f>IFERROR(__xludf.DUMMYFUNCTION("""COMPUTED_VALUE"""),"")</f>
        <v/>
      </c>
      <c r="J2568" s="2">
        <f>IFERROR(__xludf.DUMMYFUNCTION("""COMPUTED_VALUE"""),0.0)</f>
        <v>0</v>
      </c>
      <c r="K2568" s="5" t="str">
        <f>IFERROR(__xludf.DUMMYFUNCTION("""COMPUTED_VALUE"""),"")</f>
        <v/>
      </c>
      <c r="L2568" t="str">
        <f>IFERROR(__xludf.DUMMYFUNCTION("""COMPUTED_VALUE"""),"")</f>
        <v/>
      </c>
      <c r="M2568" t="str">
        <f>IFERROR(__xludf.DUMMYFUNCTION("""COMPUTED_VALUE"""),"")</f>
        <v/>
      </c>
      <c r="N2568" t="str">
        <f>IFERROR(__xludf.DUMMYFUNCTION("""COMPUTED_VALUE"""),"")</f>
        <v/>
      </c>
      <c r="O2568" t="str">
        <f>IFERROR(__xludf.DUMMYFUNCTION("""COMPUTED_VALUE"""),"")</f>
        <v/>
      </c>
      <c r="P2568" t="str">
        <f>IFERROR(__xludf.DUMMYFUNCTION("""COMPUTED_VALUE"""),"ID ")</f>
        <v>ID </v>
      </c>
    </row>
    <row r="2569">
      <c r="A2569" s="6" t="str">
        <f>IFERROR(__xludf.DUMMYFUNCTION("""COMPUTED_VALUE"""),"")</f>
        <v/>
      </c>
      <c r="C2569" t="str">
        <f>IFERROR(__xludf.DUMMYFUNCTION("""COMPUTED_VALUE"""),"")</f>
        <v/>
      </c>
      <c r="D2569" t="str">
        <f>IFERROR(__xludf.DUMMYFUNCTION("""COMPUTED_VALUE"""),"")</f>
        <v/>
      </c>
      <c r="E2569" t="str">
        <f>IFERROR(__xludf.DUMMYFUNCTION("""COMPUTED_VALUE"""),"")</f>
        <v/>
      </c>
      <c r="F2569" t="str">
        <f>IFERROR(__xludf.DUMMYFUNCTION("""COMPUTED_VALUE"""),"")</f>
        <v/>
      </c>
      <c r="G2569" t="str">
        <f>IFERROR(__xludf.DUMMYFUNCTION("""COMPUTED_VALUE"""),"")</f>
        <v/>
      </c>
      <c r="H2569" s="2" t="str">
        <f>IFERROR(__xludf.DUMMYFUNCTION("""COMPUTED_VALUE"""),"")</f>
        <v/>
      </c>
      <c r="I2569" s="2" t="str">
        <f>IFERROR(__xludf.DUMMYFUNCTION("""COMPUTED_VALUE"""),"")</f>
        <v/>
      </c>
      <c r="J2569" s="2">
        <f>IFERROR(__xludf.DUMMYFUNCTION("""COMPUTED_VALUE"""),0.0)</f>
        <v>0</v>
      </c>
      <c r="K2569" s="5" t="str">
        <f>IFERROR(__xludf.DUMMYFUNCTION("""COMPUTED_VALUE"""),"")</f>
        <v/>
      </c>
      <c r="L2569" t="str">
        <f>IFERROR(__xludf.DUMMYFUNCTION("""COMPUTED_VALUE"""),"")</f>
        <v/>
      </c>
      <c r="M2569" t="str">
        <f>IFERROR(__xludf.DUMMYFUNCTION("""COMPUTED_VALUE"""),"")</f>
        <v/>
      </c>
      <c r="N2569" t="str">
        <f>IFERROR(__xludf.DUMMYFUNCTION("""COMPUTED_VALUE"""),"")</f>
        <v/>
      </c>
      <c r="O2569" t="str">
        <f>IFERROR(__xludf.DUMMYFUNCTION("""COMPUTED_VALUE"""),"")</f>
        <v/>
      </c>
      <c r="P2569" t="str">
        <f>IFERROR(__xludf.DUMMYFUNCTION("""COMPUTED_VALUE"""),"ID ")</f>
        <v>ID </v>
      </c>
    </row>
    <row r="2570">
      <c r="A2570" s="6" t="str">
        <f>IFERROR(__xludf.DUMMYFUNCTION("""COMPUTED_VALUE"""),"")</f>
        <v/>
      </c>
      <c r="C2570" t="str">
        <f>IFERROR(__xludf.DUMMYFUNCTION("""COMPUTED_VALUE"""),"")</f>
        <v/>
      </c>
      <c r="D2570" t="str">
        <f>IFERROR(__xludf.DUMMYFUNCTION("""COMPUTED_VALUE"""),"")</f>
        <v/>
      </c>
      <c r="E2570" t="str">
        <f>IFERROR(__xludf.DUMMYFUNCTION("""COMPUTED_VALUE"""),"")</f>
        <v/>
      </c>
      <c r="F2570" t="str">
        <f>IFERROR(__xludf.DUMMYFUNCTION("""COMPUTED_VALUE"""),"")</f>
        <v/>
      </c>
      <c r="G2570" t="str">
        <f>IFERROR(__xludf.DUMMYFUNCTION("""COMPUTED_VALUE"""),"")</f>
        <v/>
      </c>
      <c r="H2570" s="2" t="str">
        <f>IFERROR(__xludf.DUMMYFUNCTION("""COMPUTED_VALUE"""),"")</f>
        <v/>
      </c>
      <c r="I2570" s="2" t="str">
        <f>IFERROR(__xludf.DUMMYFUNCTION("""COMPUTED_VALUE"""),"")</f>
        <v/>
      </c>
      <c r="J2570" s="2">
        <f>IFERROR(__xludf.DUMMYFUNCTION("""COMPUTED_VALUE"""),0.0)</f>
        <v>0</v>
      </c>
      <c r="K2570" s="5" t="str">
        <f>IFERROR(__xludf.DUMMYFUNCTION("""COMPUTED_VALUE"""),"")</f>
        <v/>
      </c>
      <c r="L2570" t="str">
        <f>IFERROR(__xludf.DUMMYFUNCTION("""COMPUTED_VALUE"""),"")</f>
        <v/>
      </c>
      <c r="M2570" t="str">
        <f>IFERROR(__xludf.DUMMYFUNCTION("""COMPUTED_VALUE"""),"")</f>
        <v/>
      </c>
      <c r="N2570" t="str">
        <f>IFERROR(__xludf.DUMMYFUNCTION("""COMPUTED_VALUE"""),"")</f>
        <v/>
      </c>
      <c r="O2570" t="str">
        <f>IFERROR(__xludf.DUMMYFUNCTION("""COMPUTED_VALUE"""),"")</f>
        <v/>
      </c>
      <c r="P2570" t="str">
        <f>IFERROR(__xludf.DUMMYFUNCTION("""COMPUTED_VALUE"""),"ID ")</f>
        <v>ID </v>
      </c>
    </row>
    <row r="2571">
      <c r="A2571" s="6" t="str">
        <f>IFERROR(__xludf.DUMMYFUNCTION("""COMPUTED_VALUE"""),"")</f>
        <v/>
      </c>
      <c r="C2571" t="str">
        <f>IFERROR(__xludf.DUMMYFUNCTION("""COMPUTED_VALUE"""),"")</f>
        <v/>
      </c>
      <c r="D2571" t="str">
        <f>IFERROR(__xludf.DUMMYFUNCTION("""COMPUTED_VALUE"""),"")</f>
        <v/>
      </c>
      <c r="E2571" t="str">
        <f>IFERROR(__xludf.DUMMYFUNCTION("""COMPUTED_VALUE"""),"")</f>
        <v/>
      </c>
      <c r="F2571" t="str">
        <f>IFERROR(__xludf.DUMMYFUNCTION("""COMPUTED_VALUE"""),"")</f>
        <v/>
      </c>
      <c r="G2571" t="str">
        <f>IFERROR(__xludf.DUMMYFUNCTION("""COMPUTED_VALUE"""),"")</f>
        <v/>
      </c>
      <c r="H2571" s="2" t="str">
        <f>IFERROR(__xludf.DUMMYFUNCTION("""COMPUTED_VALUE"""),"")</f>
        <v/>
      </c>
      <c r="I2571" s="2" t="str">
        <f>IFERROR(__xludf.DUMMYFUNCTION("""COMPUTED_VALUE"""),"")</f>
        <v/>
      </c>
      <c r="J2571" s="2">
        <f>IFERROR(__xludf.DUMMYFUNCTION("""COMPUTED_VALUE"""),0.0)</f>
        <v>0</v>
      </c>
      <c r="K2571" s="5" t="str">
        <f>IFERROR(__xludf.DUMMYFUNCTION("""COMPUTED_VALUE"""),"")</f>
        <v/>
      </c>
      <c r="L2571" t="str">
        <f>IFERROR(__xludf.DUMMYFUNCTION("""COMPUTED_VALUE"""),"")</f>
        <v/>
      </c>
      <c r="M2571" t="str">
        <f>IFERROR(__xludf.DUMMYFUNCTION("""COMPUTED_VALUE"""),"")</f>
        <v/>
      </c>
      <c r="N2571" t="str">
        <f>IFERROR(__xludf.DUMMYFUNCTION("""COMPUTED_VALUE"""),"")</f>
        <v/>
      </c>
      <c r="O2571" t="str">
        <f>IFERROR(__xludf.DUMMYFUNCTION("""COMPUTED_VALUE"""),"")</f>
        <v/>
      </c>
      <c r="P2571" t="str">
        <f>IFERROR(__xludf.DUMMYFUNCTION("""COMPUTED_VALUE"""),"ID ")</f>
        <v>ID </v>
      </c>
    </row>
    <row r="2572">
      <c r="A2572" s="6" t="str">
        <f>IFERROR(__xludf.DUMMYFUNCTION("""COMPUTED_VALUE"""),"")</f>
        <v/>
      </c>
      <c r="C2572" t="str">
        <f>IFERROR(__xludf.DUMMYFUNCTION("""COMPUTED_VALUE"""),"")</f>
        <v/>
      </c>
      <c r="D2572" t="str">
        <f>IFERROR(__xludf.DUMMYFUNCTION("""COMPUTED_VALUE"""),"")</f>
        <v/>
      </c>
      <c r="E2572" t="str">
        <f>IFERROR(__xludf.DUMMYFUNCTION("""COMPUTED_VALUE"""),"")</f>
        <v/>
      </c>
      <c r="F2572" t="str">
        <f>IFERROR(__xludf.DUMMYFUNCTION("""COMPUTED_VALUE"""),"")</f>
        <v/>
      </c>
      <c r="G2572" t="str">
        <f>IFERROR(__xludf.DUMMYFUNCTION("""COMPUTED_VALUE"""),"")</f>
        <v/>
      </c>
      <c r="H2572" s="2" t="str">
        <f>IFERROR(__xludf.DUMMYFUNCTION("""COMPUTED_VALUE"""),"")</f>
        <v/>
      </c>
      <c r="I2572" s="2" t="str">
        <f>IFERROR(__xludf.DUMMYFUNCTION("""COMPUTED_VALUE"""),"")</f>
        <v/>
      </c>
      <c r="J2572" s="2">
        <f>IFERROR(__xludf.DUMMYFUNCTION("""COMPUTED_VALUE"""),0.0)</f>
        <v>0</v>
      </c>
      <c r="K2572" s="5" t="str">
        <f>IFERROR(__xludf.DUMMYFUNCTION("""COMPUTED_VALUE"""),"")</f>
        <v/>
      </c>
      <c r="L2572" t="str">
        <f>IFERROR(__xludf.DUMMYFUNCTION("""COMPUTED_VALUE"""),"")</f>
        <v/>
      </c>
      <c r="M2572" t="str">
        <f>IFERROR(__xludf.DUMMYFUNCTION("""COMPUTED_VALUE"""),"")</f>
        <v/>
      </c>
      <c r="N2572" t="str">
        <f>IFERROR(__xludf.DUMMYFUNCTION("""COMPUTED_VALUE"""),"")</f>
        <v/>
      </c>
      <c r="O2572" t="str">
        <f>IFERROR(__xludf.DUMMYFUNCTION("""COMPUTED_VALUE"""),"")</f>
        <v/>
      </c>
      <c r="P2572" t="str">
        <f>IFERROR(__xludf.DUMMYFUNCTION("""COMPUTED_VALUE"""),"ID ")</f>
        <v>ID </v>
      </c>
    </row>
    <row r="2573">
      <c r="A2573" s="6" t="str">
        <f>IFERROR(__xludf.DUMMYFUNCTION("""COMPUTED_VALUE"""),"")</f>
        <v/>
      </c>
      <c r="C2573" t="str">
        <f>IFERROR(__xludf.DUMMYFUNCTION("""COMPUTED_VALUE"""),"")</f>
        <v/>
      </c>
      <c r="D2573" t="str">
        <f>IFERROR(__xludf.DUMMYFUNCTION("""COMPUTED_VALUE"""),"")</f>
        <v/>
      </c>
      <c r="E2573" t="str">
        <f>IFERROR(__xludf.DUMMYFUNCTION("""COMPUTED_VALUE"""),"")</f>
        <v/>
      </c>
      <c r="F2573" t="str">
        <f>IFERROR(__xludf.DUMMYFUNCTION("""COMPUTED_VALUE"""),"")</f>
        <v/>
      </c>
      <c r="G2573" t="str">
        <f>IFERROR(__xludf.DUMMYFUNCTION("""COMPUTED_VALUE"""),"")</f>
        <v/>
      </c>
      <c r="H2573" s="2" t="str">
        <f>IFERROR(__xludf.DUMMYFUNCTION("""COMPUTED_VALUE"""),"")</f>
        <v/>
      </c>
      <c r="I2573" s="2" t="str">
        <f>IFERROR(__xludf.DUMMYFUNCTION("""COMPUTED_VALUE"""),"")</f>
        <v/>
      </c>
      <c r="J2573" s="2">
        <f>IFERROR(__xludf.DUMMYFUNCTION("""COMPUTED_VALUE"""),0.0)</f>
        <v>0</v>
      </c>
      <c r="K2573" s="5" t="str">
        <f>IFERROR(__xludf.DUMMYFUNCTION("""COMPUTED_VALUE"""),"")</f>
        <v/>
      </c>
      <c r="L2573" t="str">
        <f>IFERROR(__xludf.DUMMYFUNCTION("""COMPUTED_VALUE"""),"")</f>
        <v/>
      </c>
      <c r="M2573" t="str">
        <f>IFERROR(__xludf.DUMMYFUNCTION("""COMPUTED_VALUE"""),"")</f>
        <v/>
      </c>
      <c r="N2573" t="str">
        <f>IFERROR(__xludf.DUMMYFUNCTION("""COMPUTED_VALUE"""),"")</f>
        <v/>
      </c>
      <c r="O2573" t="str">
        <f>IFERROR(__xludf.DUMMYFUNCTION("""COMPUTED_VALUE"""),"")</f>
        <v/>
      </c>
      <c r="P2573" t="str">
        <f>IFERROR(__xludf.DUMMYFUNCTION("""COMPUTED_VALUE"""),"ID ")</f>
        <v>ID </v>
      </c>
    </row>
    <row r="2574">
      <c r="A2574" s="6" t="str">
        <f>IFERROR(__xludf.DUMMYFUNCTION("""COMPUTED_VALUE"""),"")</f>
        <v/>
      </c>
      <c r="C2574" t="str">
        <f>IFERROR(__xludf.DUMMYFUNCTION("""COMPUTED_VALUE"""),"")</f>
        <v/>
      </c>
      <c r="D2574" t="str">
        <f>IFERROR(__xludf.DUMMYFUNCTION("""COMPUTED_VALUE"""),"")</f>
        <v/>
      </c>
      <c r="E2574" t="str">
        <f>IFERROR(__xludf.DUMMYFUNCTION("""COMPUTED_VALUE"""),"")</f>
        <v/>
      </c>
      <c r="F2574" t="str">
        <f>IFERROR(__xludf.DUMMYFUNCTION("""COMPUTED_VALUE"""),"")</f>
        <v/>
      </c>
      <c r="G2574" t="str">
        <f>IFERROR(__xludf.DUMMYFUNCTION("""COMPUTED_VALUE"""),"")</f>
        <v/>
      </c>
      <c r="H2574" s="2" t="str">
        <f>IFERROR(__xludf.DUMMYFUNCTION("""COMPUTED_VALUE"""),"")</f>
        <v/>
      </c>
      <c r="I2574" s="2" t="str">
        <f>IFERROR(__xludf.DUMMYFUNCTION("""COMPUTED_VALUE"""),"")</f>
        <v/>
      </c>
      <c r="J2574" s="2">
        <f>IFERROR(__xludf.DUMMYFUNCTION("""COMPUTED_VALUE"""),0.0)</f>
        <v>0</v>
      </c>
      <c r="K2574" s="5" t="str">
        <f>IFERROR(__xludf.DUMMYFUNCTION("""COMPUTED_VALUE"""),"")</f>
        <v/>
      </c>
      <c r="L2574" t="str">
        <f>IFERROR(__xludf.DUMMYFUNCTION("""COMPUTED_VALUE"""),"")</f>
        <v/>
      </c>
      <c r="M2574" t="str">
        <f>IFERROR(__xludf.DUMMYFUNCTION("""COMPUTED_VALUE"""),"")</f>
        <v/>
      </c>
      <c r="N2574" t="str">
        <f>IFERROR(__xludf.DUMMYFUNCTION("""COMPUTED_VALUE"""),"")</f>
        <v/>
      </c>
      <c r="O2574" t="str">
        <f>IFERROR(__xludf.DUMMYFUNCTION("""COMPUTED_VALUE"""),"")</f>
        <v/>
      </c>
      <c r="P2574" t="str">
        <f>IFERROR(__xludf.DUMMYFUNCTION("""COMPUTED_VALUE"""),"ID ")</f>
        <v>ID </v>
      </c>
    </row>
    <row r="2575">
      <c r="A2575" s="6" t="str">
        <f>IFERROR(__xludf.DUMMYFUNCTION("""COMPUTED_VALUE"""),"")</f>
        <v/>
      </c>
      <c r="C2575" t="str">
        <f>IFERROR(__xludf.DUMMYFUNCTION("""COMPUTED_VALUE"""),"")</f>
        <v/>
      </c>
      <c r="D2575" t="str">
        <f>IFERROR(__xludf.DUMMYFUNCTION("""COMPUTED_VALUE"""),"")</f>
        <v/>
      </c>
      <c r="E2575" t="str">
        <f>IFERROR(__xludf.DUMMYFUNCTION("""COMPUTED_VALUE"""),"")</f>
        <v/>
      </c>
      <c r="F2575" t="str">
        <f>IFERROR(__xludf.DUMMYFUNCTION("""COMPUTED_VALUE"""),"")</f>
        <v/>
      </c>
      <c r="G2575" t="str">
        <f>IFERROR(__xludf.DUMMYFUNCTION("""COMPUTED_VALUE"""),"")</f>
        <v/>
      </c>
      <c r="H2575" s="2" t="str">
        <f>IFERROR(__xludf.DUMMYFUNCTION("""COMPUTED_VALUE"""),"")</f>
        <v/>
      </c>
      <c r="I2575" s="2" t="str">
        <f>IFERROR(__xludf.DUMMYFUNCTION("""COMPUTED_VALUE"""),"")</f>
        <v/>
      </c>
      <c r="J2575" s="2">
        <f>IFERROR(__xludf.DUMMYFUNCTION("""COMPUTED_VALUE"""),0.0)</f>
        <v>0</v>
      </c>
      <c r="K2575" s="5" t="str">
        <f>IFERROR(__xludf.DUMMYFUNCTION("""COMPUTED_VALUE"""),"")</f>
        <v/>
      </c>
      <c r="L2575" t="str">
        <f>IFERROR(__xludf.DUMMYFUNCTION("""COMPUTED_VALUE"""),"")</f>
        <v/>
      </c>
      <c r="M2575" t="str">
        <f>IFERROR(__xludf.DUMMYFUNCTION("""COMPUTED_VALUE"""),"")</f>
        <v/>
      </c>
      <c r="N2575" t="str">
        <f>IFERROR(__xludf.DUMMYFUNCTION("""COMPUTED_VALUE"""),"")</f>
        <v/>
      </c>
      <c r="O2575" t="str">
        <f>IFERROR(__xludf.DUMMYFUNCTION("""COMPUTED_VALUE"""),"")</f>
        <v/>
      </c>
      <c r="P2575" t="str">
        <f>IFERROR(__xludf.DUMMYFUNCTION("""COMPUTED_VALUE"""),"ID ")</f>
        <v>ID </v>
      </c>
    </row>
    <row r="2576">
      <c r="A2576" s="6" t="str">
        <f>IFERROR(__xludf.DUMMYFUNCTION("""COMPUTED_VALUE"""),"")</f>
        <v/>
      </c>
      <c r="C2576" t="str">
        <f>IFERROR(__xludf.DUMMYFUNCTION("""COMPUTED_VALUE"""),"")</f>
        <v/>
      </c>
      <c r="D2576" t="str">
        <f>IFERROR(__xludf.DUMMYFUNCTION("""COMPUTED_VALUE"""),"")</f>
        <v/>
      </c>
      <c r="E2576" t="str">
        <f>IFERROR(__xludf.DUMMYFUNCTION("""COMPUTED_VALUE"""),"")</f>
        <v/>
      </c>
      <c r="F2576" t="str">
        <f>IFERROR(__xludf.DUMMYFUNCTION("""COMPUTED_VALUE"""),"")</f>
        <v/>
      </c>
      <c r="G2576" t="str">
        <f>IFERROR(__xludf.DUMMYFUNCTION("""COMPUTED_VALUE"""),"")</f>
        <v/>
      </c>
      <c r="H2576" s="2" t="str">
        <f>IFERROR(__xludf.DUMMYFUNCTION("""COMPUTED_VALUE"""),"")</f>
        <v/>
      </c>
      <c r="I2576" s="2" t="str">
        <f>IFERROR(__xludf.DUMMYFUNCTION("""COMPUTED_VALUE"""),"")</f>
        <v/>
      </c>
      <c r="J2576" s="2">
        <f>IFERROR(__xludf.DUMMYFUNCTION("""COMPUTED_VALUE"""),0.0)</f>
        <v>0</v>
      </c>
      <c r="K2576" s="5" t="str">
        <f>IFERROR(__xludf.DUMMYFUNCTION("""COMPUTED_VALUE"""),"")</f>
        <v/>
      </c>
      <c r="L2576" t="str">
        <f>IFERROR(__xludf.DUMMYFUNCTION("""COMPUTED_VALUE"""),"")</f>
        <v/>
      </c>
      <c r="M2576" t="str">
        <f>IFERROR(__xludf.DUMMYFUNCTION("""COMPUTED_VALUE"""),"")</f>
        <v/>
      </c>
      <c r="N2576" t="str">
        <f>IFERROR(__xludf.DUMMYFUNCTION("""COMPUTED_VALUE"""),"")</f>
        <v/>
      </c>
      <c r="O2576" t="str">
        <f>IFERROR(__xludf.DUMMYFUNCTION("""COMPUTED_VALUE"""),"")</f>
        <v/>
      </c>
      <c r="P2576" t="str">
        <f>IFERROR(__xludf.DUMMYFUNCTION("""COMPUTED_VALUE"""),"ID ")</f>
        <v>ID </v>
      </c>
    </row>
    <row r="2577">
      <c r="A2577" s="6" t="str">
        <f>IFERROR(__xludf.DUMMYFUNCTION("""COMPUTED_VALUE"""),"")</f>
        <v/>
      </c>
      <c r="C2577" t="str">
        <f>IFERROR(__xludf.DUMMYFUNCTION("""COMPUTED_VALUE"""),"")</f>
        <v/>
      </c>
      <c r="D2577" t="str">
        <f>IFERROR(__xludf.DUMMYFUNCTION("""COMPUTED_VALUE"""),"")</f>
        <v/>
      </c>
      <c r="E2577" t="str">
        <f>IFERROR(__xludf.DUMMYFUNCTION("""COMPUTED_VALUE"""),"")</f>
        <v/>
      </c>
      <c r="F2577" t="str">
        <f>IFERROR(__xludf.DUMMYFUNCTION("""COMPUTED_VALUE"""),"")</f>
        <v/>
      </c>
      <c r="G2577" t="str">
        <f>IFERROR(__xludf.DUMMYFUNCTION("""COMPUTED_VALUE"""),"")</f>
        <v/>
      </c>
      <c r="H2577" s="2" t="str">
        <f>IFERROR(__xludf.DUMMYFUNCTION("""COMPUTED_VALUE"""),"")</f>
        <v/>
      </c>
      <c r="I2577" s="2" t="str">
        <f>IFERROR(__xludf.DUMMYFUNCTION("""COMPUTED_VALUE"""),"")</f>
        <v/>
      </c>
      <c r="J2577" s="2">
        <f>IFERROR(__xludf.DUMMYFUNCTION("""COMPUTED_VALUE"""),0.0)</f>
        <v>0</v>
      </c>
      <c r="K2577" s="5" t="str">
        <f>IFERROR(__xludf.DUMMYFUNCTION("""COMPUTED_VALUE"""),"")</f>
        <v/>
      </c>
      <c r="L2577" t="str">
        <f>IFERROR(__xludf.DUMMYFUNCTION("""COMPUTED_VALUE"""),"")</f>
        <v/>
      </c>
      <c r="M2577" t="str">
        <f>IFERROR(__xludf.DUMMYFUNCTION("""COMPUTED_VALUE"""),"")</f>
        <v/>
      </c>
      <c r="N2577" t="str">
        <f>IFERROR(__xludf.DUMMYFUNCTION("""COMPUTED_VALUE"""),"")</f>
        <v/>
      </c>
      <c r="O2577" t="str">
        <f>IFERROR(__xludf.DUMMYFUNCTION("""COMPUTED_VALUE"""),"")</f>
        <v/>
      </c>
      <c r="P2577" t="str">
        <f>IFERROR(__xludf.DUMMYFUNCTION("""COMPUTED_VALUE"""),"ID ")</f>
        <v>ID </v>
      </c>
    </row>
    <row r="2578">
      <c r="A2578" s="6" t="str">
        <f>IFERROR(__xludf.DUMMYFUNCTION("""COMPUTED_VALUE"""),"")</f>
        <v/>
      </c>
      <c r="C2578" t="str">
        <f>IFERROR(__xludf.DUMMYFUNCTION("""COMPUTED_VALUE"""),"")</f>
        <v/>
      </c>
      <c r="D2578" t="str">
        <f>IFERROR(__xludf.DUMMYFUNCTION("""COMPUTED_VALUE"""),"")</f>
        <v/>
      </c>
      <c r="E2578" t="str">
        <f>IFERROR(__xludf.DUMMYFUNCTION("""COMPUTED_VALUE"""),"")</f>
        <v/>
      </c>
      <c r="F2578" t="str">
        <f>IFERROR(__xludf.DUMMYFUNCTION("""COMPUTED_VALUE"""),"")</f>
        <v/>
      </c>
      <c r="G2578" t="str">
        <f>IFERROR(__xludf.DUMMYFUNCTION("""COMPUTED_VALUE"""),"")</f>
        <v/>
      </c>
      <c r="H2578" s="2" t="str">
        <f>IFERROR(__xludf.DUMMYFUNCTION("""COMPUTED_VALUE"""),"")</f>
        <v/>
      </c>
      <c r="I2578" s="2" t="str">
        <f>IFERROR(__xludf.DUMMYFUNCTION("""COMPUTED_VALUE"""),"")</f>
        <v/>
      </c>
      <c r="J2578" s="2">
        <f>IFERROR(__xludf.DUMMYFUNCTION("""COMPUTED_VALUE"""),0.0)</f>
        <v>0</v>
      </c>
      <c r="K2578" s="5" t="str">
        <f>IFERROR(__xludf.DUMMYFUNCTION("""COMPUTED_VALUE"""),"")</f>
        <v/>
      </c>
      <c r="L2578" t="str">
        <f>IFERROR(__xludf.DUMMYFUNCTION("""COMPUTED_VALUE"""),"")</f>
        <v/>
      </c>
      <c r="M2578" t="str">
        <f>IFERROR(__xludf.DUMMYFUNCTION("""COMPUTED_VALUE"""),"")</f>
        <v/>
      </c>
      <c r="N2578" t="str">
        <f>IFERROR(__xludf.DUMMYFUNCTION("""COMPUTED_VALUE"""),"")</f>
        <v/>
      </c>
      <c r="O2578" t="str">
        <f>IFERROR(__xludf.DUMMYFUNCTION("""COMPUTED_VALUE"""),"")</f>
        <v/>
      </c>
      <c r="P2578" t="str">
        <f>IFERROR(__xludf.DUMMYFUNCTION("""COMPUTED_VALUE"""),"ID ")</f>
        <v>ID </v>
      </c>
    </row>
    <row r="2579">
      <c r="A2579" s="6" t="str">
        <f>IFERROR(__xludf.DUMMYFUNCTION("""COMPUTED_VALUE"""),"")</f>
        <v/>
      </c>
      <c r="C2579" t="str">
        <f>IFERROR(__xludf.DUMMYFUNCTION("""COMPUTED_VALUE"""),"")</f>
        <v/>
      </c>
      <c r="D2579" t="str">
        <f>IFERROR(__xludf.DUMMYFUNCTION("""COMPUTED_VALUE"""),"")</f>
        <v/>
      </c>
      <c r="E2579" t="str">
        <f>IFERROR(__xludf.DUMMYFUNCTION("""COMPUTED_VALUE"""),"")</f>
        <v/>
      </c>
      <c r="F2579" t="str">
        <f>IFERROR(__xludf.DUMMYFUNCTION("""COMPUTED_VALUE"""),"")</f>
        <v/>
      </c>
      <c r="G2579" t="str">
        <f>IFERROR(__xludf.DUMMYFUNCTION("""COMPUTED_VALUE"""),"")</f>
        <v/>
      </c>
      <c r="H2579" s="2" t="str">
        <f>IFERROR(__xludf.DUMMYFUNCTION("""COMPUTED_VALUE"""),"")</f>
        <v/>
      </c>
      <c r="I2579" s="2" t="str">
        <f>IFERROR(__xludf.DUMMYFUNCTION("""COMPUTED_VALUE"""),"")</f>
        <v/>
      </c>
      <c r="J2579" s="2">
        <f>IFERROR(__xludf.DUMMYFUNCTION("""COMPUTED_VALUE"""),0.0)</f>
        <v>0</v>
      </c>
      <c r="K2579" s="5" t="str">
        <f>IFERROR(__xludf.DUMMYFUNCTION("""COMPUTED_VALUE"""),"")</f>
        <v/>
      </c>
      <c r="L2579" t="str">
        <f>IFERROR(__xludf.DUMMYFUNCTION("""COMPUTED_VALUE"""),"")</f>
        <v/>
      </c>
      <c r="M2579" t="str">
        <f>IFERROR(__xludf.DUMMYFUNCTION("""COMPUTED_VALUE"""),"")</f>
        <v/>
      </c>
      <c r="N2579" t="str">
        <f>IFERROR(__xludf.DUMMYFUNCTION("""COMPUTED_VALUE"""),"")</f>
        <v/>
      </c>
      <c r="O2579" t="str">
        <f>IFERROR(__xludf.DUMMYFUNCTION("""COMPUTED_VALUE"""),"")</f>
        <v/>
      </c>
      <c r="P2579" t="str">
        <f>IFERROR(__xludf.DUMMYFUNCTION("""COMPUTED_VALUE"""),"ID ")</f>
        <v>ID </v>
      </c>
    </row>
    <row r="2580">
      <c r="A2580" s="6" t="str">
        <f>IFERROR(__xludf.DUMMYFUNCTION("""COMPUTED_VALUE"""),"")</f>
        <v/>
      </c>
      <c r="C2580" t="str">
        <f>IFERROR(__xludf.DUMMYFUNCTION("""COMPUTED_VALUE"""),"")</f>
        <v/>
      </c>
      <c r="D2580" t="str">
        <f>IFERROR(__xludf.DUMMYFUNCTION("""COMPUTED_VALUE"""),"")</f>
        <v/>
      </c>
      <c r="E2580" t="str">
        <f>IFERROR(__xludf.DUMMYFUNCTION("""COMPUTED_VALUE"""),"")</f>
        <v/>
      </c>
      <c r="F2580" t="str">
        <f>IFERROR(__xludf.DUMMYFUNCTION("""COMPUTED_VALUE"""),"")</f>
        <v/>
      </c>
      <c r="G2580" t="str">
        <f>IFERROR(__xludf.DUMMYFUNCTION("""COMPUTED_VALUE"""),"")</f>
        <v/>
      </c>
      <c r="H2580" s="2" t="str">
        <f>IFERROR(__xludf.DUMMYFUNCTION("""COMPUTED_VALUE"""),"")</f>
        <v/>
      </c>
      <c r="I2580" s="2" t="str">
        <f>IFERROR(__xludf.DUMMYFUNCTION("""COMPUTED_VALUE"""),"")</f>
        <v/>
      </c>
      <c r="J2580" s="2">
        <f>IFERROR(__xludf.DUMMYFUNCTION("""COMPUTED_VALUE"""),0.0)</f>
        <v>0</v>
      </c>
      <c r="K2580" s="5" t="str">
        <f>IFERROR(__xludf.DUMMYFUNCTION("""COMPUTED_VALUE"""),"")</f>
        <v/>
      </c>
      <c r="L2580" t="str">
        <f>IFERROR(__xludf.DUMMYFUNCTION("""COMPUTED_VALUE"""),"")</f>
        <v/>
      </c>
      <c r="M2580" t="str">
        <f>IFERROR(__xludf.DUMMYFUNCTION("""COMPUTED_VALUE"""),"")</f>
        <v/>
      </c>
      <c r="N2580" t="str">
        <f>IFERROR(__xludf.DUMMYFUNCTION("""COMPUTED_VALUE"""),"")</f>
        <v/>
      </c>
      <c r="O2580" t="str">
        <f>IFERROR(__xludf.DUMMYFUNCTION("""COMPUTED_VALUE"""),"")</f>
        <v/>
      </c>
      <c r="P2580" t="str">
        <f>IFERROR(__xludf.DUMMYFUNCTION("""COMPUTED_VALUE"""),"ID ")</f>
        <v>ID </v>
      </c>
    </row>
    <row r="2581">
      <c r="A2581" s="6" t="str">
        <f>IFERROR(__xludf.DUMMYFUNCTION("""COMPUTED_VALUE"""),"")</f>
        <v/>
      </c>
      <c r="C2581" t="str">
        <f>IFERROR(__xludf.DUMMYFUNCTION("""COMPUTED_VALUE"""),"")</f>
        <v/>
      </c>
      <c r="D2581" t="str">
        <f>IFERROR(__xludf.DUMMYFUNCTION("""COMPUTED_VALUE"""),"")</f>
        <v/>
      </c>
      <c r="E2581" t="str">
        <f>IFERROR(__xludf.DUMMYFUNCTION("""COMPUTED_VALUE"""),"")</f>
        <v/>
      </c>
      <c r="F2581" t="str">
        <f>IFERROR(__xludf.DUMMYFUNCTION("""COMPUTED_VALUE"""),"")</f>
        <v/>
      </c>
      <c r="G2581" t="str">
        <f>IFERROR(__xludf.DUMMYFUNCTION("""COMPUTED_VALUE"""),"")</f>
        <v/>
      </c>
      <c r="H2581" s="2" t="str">
        <f>IFERROR(__xludf.DUMMYFUNCTION("""COMPUTED_VALUE"""),"")</f>
        <v/>
      </c>
      <c r="I2581" s="2" t="str">
        <f>IFERROR(__xludf.DUMMYFUNCTION("""COMPUTED_VALUE"""),"")</f>
        <v/>
      </c>
      <c r="J2581" s="2">
        <f>IFERROR(__xludf.DUMMYFUNCTION("""COMPUTED_VALUE"""),0.0)</f>
        <v>0</v>
      </c>
      <c r="K2581" s="5" t="str">
        <f>IFERROR(__xludf.DUMMYFUNCTION("""COMPUTED_VALUE"""),"")</f>
        <v/>
      </c>
      <c r="L2581" t="str">
        <f>IFERROR(__xludf.DUMMYFUNCTION("""COMPUTED_VALUE"""),"")</f>
        <v/>
      </c>
      <c r="M2581" t="str">
        <f>IFERROR(__xludf.DUMMYFUNCTION("""COMPUTED_VALUE"""),"")</f>
        <v/>
      </c>
      <c r="N2581" t="str">
        <f>IFERROR(__xludf.DUMMYFUNCTION("""COMPUTED_VALUE"""),"")</f>
        <v/>
      </c>
      <c r="O2581" t="str">
        <f>IFERROR(__xludf.DUMMYFUNCTION("""COMPUTED_VALUE"""),"")</f>
        <v/>
      </c>
      <c r="P2581" t="str">
        <f>IFERROR(__xludf.DUMMYFUNCTION("""COMPUTED_VALUE"""),"ID ")</f>
        <v>ID </v>
      </c>
    </row>
    <row r="2582">
      <c r="A2582" s="6" t="str">
        <f>IFERROR(__xludf.DUMMYFUNCTION("""COMPUTED_VALUE"""),"")</f>
        <v/>
      </c>
      <c r="C2582" t="str">
        <f>IFERROR(__xludf.DUMMYFUNCTION("""COMPUTED_VALUE"""),"")</f>
        <v/>
      </c>
      <c r="D2582" t="str">
        <f>IFERROR(__xludf.DUMMYFUNCTION("""COMPUTED_VALUE"""),"")</f>
        <v/>
      </c>
      <c r="E2582" t="str">
        <f>IFERROR(__xludf.DUMMYFUNCTION("""COMPUTED_VALUE"""),"")</f>
        <v/>
      </c>
      <c r="F2582" t="str">
        <f>IFERROR(__xludf.DUMMYFUNCTION("""COMPUTED_VALUE"""),"")</f>
        <v/>
      </c>
      <c r="G2582" t="str">
        <f>IFERROR(__xludf.DUMMYFUNCTION("""COMPUTED_VALUE"""),"")</f>
        <v/>
      </c>
      <c r="H2582" s="2" t="str">
        <f>IFERROR(__xludf.DUMMYFUNCTION("""COMPUTED_VALUE"""),"")</f>
        <v/>
      </c>
      <c r="I2582" s="2" t="str">
        <f>IFERROR(__xludf.DUMMYFUNCTION("""COMPUTED_VALUE"""),"")</f>
        <v/>
      </c>
      <c r="J2582" s="2">
        <f>IFERROR(__xludf.DUMMYFUNCTION("""COMPUTED_VALUE"""),0.0)</f>
        <v>0</v>
      </c>
      <c r="K2582" s="5" t="str">
        <f>IFERROR(__xludf.DUMMYFUNCTION("""COMPUTED_VALUE"""),"")</f>
        <v/>
      </c>
      <c r="L2582" t="str">
        <f>IFERROR(__xludf.DUMMYFUNCTION("""COMPUTED_VALUE"""),"")</f>
        <v/>
      </c>
      <c r="M2582" t="str">
        <f>IFERROR(__xludf.DUMMYFUNCTION("""COMPUTED_VALUE"""),"")</f>
        <v/>
      </c>
      <c r="N2582" t="str">
        <f>IFERROR(__xludf.DUMMYFUNCTION("""COMPUTED_VALUE"""),"")</f>
        <v/>
      </c>
      <c r="O2582" t="str">
        <f>IFERROR(__xludf.DUMMYFUNCTION("""COMPUTED_VALUE"""),"")</f>
        <v/>
      </c>
      <c r="P2582" t="str">
        <f>IFERROR(__xludf.DUMMYFUNCTION("""COMPUTED_VALUE"""),"ID ")</f>
        <v>ID </v>
      </c>
    </row>
    <row r="2583">
      <c r="A2583" s="6" t="str">
        <f>IFERROR(__xludf.DUMMYFUNCTION("""COMPUTED_VALUE"""),"")</f>
        <v/>
      </c>
      <c r="C2583" t="str">
        <f>IFERROR(__xludf.DUMMYFUNCTION("""COMPUTED_VALUE"""),"")</f>
        <v/>
      </c>
      <c r="D2583" t="str">
        <f>IFERROR(__xludf.DUMMYFUNCTION("""COMPUTED_VALUE"""),"")</f>
        <v/>
      </c>
      <c r="E2583" t="str">
        <f>IFERROR(__xludf.DUMMYFUNCTION("""COMPUTED_VALUE"""),"")</f>
        <v/>
      </c>
      <c r="F2583" t="str">
        <f>IFERROR(__xludf.DUMMYFUNCTION("""COMPUTED_VALUE"""),"")</f>
        <v/>
      </c>
      <c r="G2583" t="str">
        <f>IFERROR(__xludf.DUMMYFUNCTION("""COMPUTED_VALUE"""),"")</f>
        <v/>
      </c>
      <c r="H2583" s="2" t="str">
        <f>IFERROR(__xludf.DUMMYFUNCTION("""COMPUTED_VALUE"""),"")</f>
        <v/>
      </c>
      <c r="I2583" s="2" t="str">
        <f>IFERROR(__xludf.DUMMYFUNCTION("""COMPUTED_VALUE"""),"")</f>
        <v/>
      </c>
      <c r="J2583" s="2">
        <f>IFERROR(__xludf.DUMMYFUNCTION("""COMPUTED_VALUE"""),0.0)</f>
        <v>0</v>
      </c>
      <c r="K2583" s="5" t="str">
        <f>IFERROR(__xludf.DUMMYFUNCTION("""COMPUTED_VALUE"""),"")</f>
        <v/>
      </c>
      <c r="L2583" t="str">
        <f>IFERROR(__xludf.DUMMYFUNCTION("""COMPUTED_VALUE"""),"")</f>
        <v/>
      </c>
      <c r="M2583" t="str">
        <f>IFERROR(__xludf.DUMMYFUNCTION("""COMPUTED_VALUE"""),"")</f>
        <v/>
      </c>
      <c r="N2583" t="str">
        <f>IFERROR(__xludf.DUMMYFUNCTION("""COMPUTED_VALUE"""),"")</f>
        <v/>
      </c>
      <c r="O2583" t="str">
        <f>IFERROR(__xludf.DUMMYFUNCTION("""COMPUTED_VALUE"""),"")</f>
        <v/>
      </c>
      <c r="P2583" t="str">
        <f>IFERROR(__xludf.DUMMYFUNCTION("""COMPUTED_VALUE"""),"ID ")</f>
        <v>ID </v>
      </c>
    </row>
    <row r="2584">
      <c r="A2584" s="6" t="str">
        <f>IFERROR(__xludf.DUMMYFUNCTION("""COMPUTED_VALUE"""),"")</f>
        <v/>
      </c>
      <c r="C2584" t="str">
        <f>IFERROR(__xludf.DUMMYFUNCTION("""COMPUTED_VALUE"""),"")</f>
        <v/>
      </c>
      <c r="D2584" t="str">
        <f>IFERROR(__xludf.DUMMYFUNCTION("""COMPUTED_VALUE"""),"")</f>
        <v/>
      </c>
      <c r="E2584" t="str">
        <f>IFERROR(__xludf.DUMMYFUNCTION("""COMPUTED_VALUE"""),"")</f>
        <v/>
      </c>
      <c r="F2584" t="str">
        <f>IFERROR(__xludf.DUMMYFUNCTION("""COMPUTED_VALUE"""),"")</f>
        <v/>
      </c>
      <c r="G2584" t="str">
        <f>IFERROR(__xludf.DUMMYFUNCTION("""COMPUTED_VALUE"""),"")</f>
        <v/>
      </c>
      <c r="H2584" s="2" t="str">
        <f>IFERROR(__xludf.DUMMYFUNCTION("""COMPUTED_VALUE"""),"")</f>
        <v/>
      </c>
      <c r="I2584" s="2" t="str">
        <f>IFERROR(__xludf.DUMMYFUNCTION("""COMPUTED_VALUE"""),"")</f>
        <v/>
      </c>
      <c r="J2584" s="2">
        <f>IFERROR(__xludf.DUMMYFUNCTION("""COMPUTED_VALUE"""),0.0)</f>
        <v>0</v>
      </c>
      <c r="K2584" s="5" t="str">
        <f>IFERROR(__xludf.DUMMYFUNCTION("""COMPUTED_VALUE"""),"")</f>
        <v/>
      </c>
      <c r="L2584" t="str">
        <f>IFERROR(__xludf.DUMMYFUNCTION("""COMPUTED_VALUE"""),"")</f>
        <v/>
      </c>
      <c r="M2584" t="str">
        <f>IFERROR(__xludf.DUMMYFUNCTION("""COMPUTED_VALUE"""),"")</f>
        <v/>
      </c>
      <c r="N2584" t="str">
        <f>IFERROR(__xludf.DUMMYFUNCTION("""COMPUTED_VALUE"""),"")</f>
        <v/>
      </c>
      <c r="O2584" t="str">
        <f>IFERROR(__xludf.DUMMYFUNCTION("""COMPUTED_VALUE"""),"")</f>
        <v/>
      </c>
      <c r="P2584" t="str">
        <f>IFERROR(__xludf.DUMMYFUNCTION("""COMPUTED_VALUE"""),"ID ")</f>
        <v>ID </v>
      </c>
    </row>
    <row r="2585">
      <c r="A2585" s="6" t="str">
        <f>IFERROR(__xludf.DUMMYFUNCTION("""COMPUTED_VALUE"""),"")</f>
        <v/>
      </c>
      <c r="C2585" t="str">
        <f>IFERROR(__xludf.DUMMYFUNCTION("""COMPUTED_VALUE"""),"")</f>
        <v/>
      </c>
      <c r="D2585" t="str">
        <f>IFERROR(__xludf.DUMMYFUNCTION("""COMPUTED_VALUE"""),"")</f>
        <v/>
      </c>
      <c r="E2585" t="str">
        <f>IFERROR(__xludf.DUMMYFUNCTION("""COMPUTED_VALUE"""),"")</f>
        <v/>
      </c>
      <c r="F2585" t="str">
        <f>IFERROR(__xludf.DUMMYFUNCTION("""COMPUTED_VALUE"""),"")</f>
        <v/>
      </c>
      <c r="G2585" t="str">
        <f>IFERROR(__xludf.DUMMYFUNCTION("""COMPUTED_VALUE"""),"")</f>
        <v/>
      </c>
      <c r="H2585" s="2" t="str">
        <f>IFERROR(__xludf.DUMMYFUNCTION("""COMPUTED_VALUE"""),"")</f>
        <v/>
      </c>
      <c r="I2585" s="2" t="str">
        <f>IFERROR(__xludf.DUMMYFUNCTION("""COMPUTED_VALUE"""),"")</f>
        <v/>
      </c>
      <c r="J2585" s="2">
        <f>IFERROR(__xludf.DUMMYFUNCTION("""COMPUTED_VALUE"""),0.0)</f>
        <v>0</v>
      </c>
      <c r="K2585" s="5" t="str">
        <f>IFERROR(__xludf.DUMMYFUNCTION("""COMPUTED_VALUE"""),"")</f>
        <v/>
      </c>
      <c r="L2585" t="str">
        <f>IFERROR(__xludf.DUMMYFUNCTION("""COMPUTED_VALUE"""),"")</f>
        <v/>
      </c>
      <c r="M2585" t="str">
        <f>IFERROR(__xludf.DUMMYFUNCTION("""COMPUTED_VALUE"""),"")</f>
        <v/>
      </c>
      <c r="N2585" t="str">
        <f>IFERROR(__xludf.DUMMYFUNCTION("""COMPUTED_VALUE"""),"")</f>
        <v/>
      </c>
      <c r="O2585" t="str">
        <f>IFERROR(__xludf.DUMMYFUNCTION("""COMPUTED_VALUE"""),"")</f>
        <v/>
      </c>
      <c r="P2585" t="str">
        <f>IFERROR(__xludf.DUMMYFUNCTION("""COMPUTED_VALUE"""),"ID ")</f>
        <v>ID </v>
      </c>
    </row>
    <row r="2586">
      <c r="A2586" s="6" t="str">
        <f>IFERROR(__xludf.DUMMYFUNCTION("""COMPUTED_VALUE"""),"")</f>
        <v/>
      </c>
      <c r="C2586" t="str">
        <f>IFERROR(__xludf.DUMMYFUNCTION("""COMPUTED_VALUE"""),"")</f>
        <v/>
      </c>
      <c r="D2586" t="str">
        <f>IFERROR(__xludf.DUMMYFUNCTION("""COMPUTED_VALUE"""),"")</f>
        <v/>
      </c>
      <c r="E2586" t="str">
        <f>IFERROR(__xludf.DUMMYFUNCTION("""COMPUTED_VALUE"""),"")</f>
        <v/>
      </c>
      <c r="F2586" t="str">
        <f>IFERROR(__xludf.DUMMYFUNCTION("""COMPUTED_VALUE"""),"")</f>
        <v/>
      </c>
      <c r="G2586" t="str">
        <f>IFERROR(__xludf.DUMMYFUNCTION("""COMPUTED_VALUE"""),"")</f>
        <v/>
      </c>
      <c r="H2586" s="2" t="str">
        <f>IFERROR(__xludf.DUMMYFUNCTION("""COMPUTED_VALUE"""),"")</f>
        <v/>
      </c>
      <c r="I2586" s="2" t="str">
        <f>IFERROR(__xludf.DUMMYFUNCTION("""COMPUTED_VALUE"""),"")</f>
        <v/>
      </c>
      <c r="J2586" s="2">
        <f>IFERROR(__xludf.DUMMYFUNCTION("""COMPUTED_VALUE"""),0.0)</f>
        <v>0</v>
      </c>
      <c r="K2586" s="5" t="str">
        <f>IFERROR(__xludf.DUMMYFUNCTION("""COMPUTED_VALUE"""),"")</f>
        <v/>
      </c>
      <c r="L2586" t="str">
        <f>IFERROR(__xludf.DUMMYFUNCTION("""COMPUTED_VALUE"""),"")</f>
        <v/>
      </c>
      <c r="M2586" t="str">
        <f>IFERROR(__xludf.DUMMYFUNCTION("""COMPUTED_VALUE"""),"")</f>
        <v/>
      </c>
      <c r="N2586" t="str">
        <f>IFERROR(__xludf.DUMMYFUNCTION("""COMPUTED_VALUE"""),"")</f>
        <v/>
      </c>
      <c r="O2586" t="str">
        <f>IFERROR(__xludf.DUMMYFUNCTION("""COMPUTED_VALUE"""),"")</f>
        <v/>
      </c>
      <c r="P2586" t="str">
        <f>IFERROR(__xludf.DUMMYFUNCTION("""COMPUTED_VALUE"""),"ID ")</f>
        <v>ID </v>
      </c>
    </row>
    <row r="2587">
      <c r="A2587" s="6" t="str">
        <f>IFERROR(__xludf.DUMMYFUNCTION("""COMPUTED_VALUE"""),"")</f>
        <v/>
      </c>
      <c r="C2587" t="str">
        <f>IFERROR(__xludf.DUMMYFUNCTION("""COMPUTED_VALUE"""),"")</f>
        <v/>
      </c>
      <c r="D2587" t="str">
        <f>IFERROR(__xludf.DUMMYFUNCTION("""COMPUTED_VALUE"""),"")</f>
        <v/>
      </c>
      <c r="E2587" t="str">
        <f>IFERROR(__xludf.DUMMYFUNCTION("""COMPUTED_VALUE"""),"")</f>
        <v/>
      </c>
      <c r="F2587" t="str">
        <f>IFERROR(__xludf.DUMMYFUNCTION("""COMPUTED_VALUE"""),"")</f>
        <v/>
      </c>
      <c r="G2587" t="str">
        <f>IFERROR(__xludf.DUMMYFUNCTION("""COMPUTED_VALUE"""),"")</f>
        <v/>
      </c>
      <c r="H2587" s="2" t="str">
        <f>IFERROR(__xludf.DUMMYFUNCTION("""COMPUTED_VALUE"""),"")</f>
        <v/>
      </c>
      <c r="I2587" s="2" t="str">
        <f>IFERROR(__xludf.DUMMYFUNCTION("""COMPUTED_VALUE"""),"")</f>
        <v/>
      </c>
      <c r="J2587" s="2">
        <f>IFERROR(__xludf.DUMMYFUNCTION("""COMPUTED_VALUE"""),0.0)</f>
        <v>0</v>
      </c>
      <c r="K2587" s="5" t="str">
        <f>IFERROR(__xludf.DUMMYFUNCTION("""COMPUTED_VALUE"""),"")</f>
        <v/>
      </c>
      <c r="L2587" t="str">
        <f>IFERROR(__xludf.DUMMYFUNCTION("""COMPUTED_VALUE"""),"")</f>
        <v/>
      </c>
      <c r="M2587" t="str">
        <f>IFERROR(__xludf.DUMMYFUNCTION("""COMPUTED_VALUE"""),"")</f>
        <v/>
      </c>
      <c r="N2587" t="str">
        <f>IFERROR(__xludf.DUMMYFUNCTION("""COMPUTED_VALUE"""),"")</f>
        <v/>
      </c>
      <c r="O2587" t="str">
        <f>IFERROR(__xludf.DUMMYFUNCTION("""COMPUTED_VALUE"""),"")</f>
        <v/>
      </c>
      <c r="P2587" t="str">
        <f>IFERROR(__xludf.DUMMYFUNCTION("""COMPUTED_VALUE"""),"ID ")</f>
        <v>ID </v>
      </c>
    </row>
    <row r="2588">
      <c r="A2588" s="6" t="str">
        <f>IFERROR(__xludf.DUMMYFUNCTION("""COMPUTED_VALUE"""),"")</f>
        <v/>
      </c>
      <c r="C2588" t="str">
        <f>IFERROR(__xludf.DUMMYFUNCTION("""COMPUTED_VALUE"""),"")</f>
        <v/>
      </c>
      <c r="D2588" t="str">
        <f>IFERROR(__xludf.DUMMYFUNCTION("""COMPUTED_VALUE"""),"")</f>
        <v/>
      </c>
      <c r="E2588" t="str">
        <f>IFERROR(__xludf.DUMMYFUNCTION("""COMPUTED_VALUE"""),"")</f>
        <v/>
      </c>
      <c r="F2588" t="str">
        <f>IFERROR(__xludf.DUMMYFUNCTION("""COMPUTED_VALUE"""),"")</f>
        <v/>
      </c>
      <c r="G2588" t="str">
        <f>IFERROR(__xludf.DUMMYFUNCTION("""COMPUTED_VALUE"""),"")</f>
        <v/>
      </c>
      <c r="H2588" s="2" t="str">
        <f>IFERROR(__xludf.DUMMYFUNCTION("""COMPUTED_VALUE"""),"")</f>
        <v/>
      </c>
      <c r="I2588" s="2" t="str">
        <f>IFERROR(__xludf.DUMMYFUNCTION("""COMPUTED_VALUE"""),"")</f>
        <v/>
      </c>
      <c r="J2588" s="2">
        <f>IFERROR(__xludf.DUMMYFUNCTION("""COMPUTED_VALUE"""),0.0)</f>
        <v>0</v>
      </c>
      <c r="K2588" s="5" t="str">
        <f>IFERROR(__xludf.DUMMYFUNCTION("""COMPUTED_VALUE"""),"")</f>
        <v/>
      </c>
      <c r="L2588" t="str">
        <f>IFERROR(__xludf.DUMMYFUNCTION("""COMPUTED_VALUE"""),"")</f>
        <v/>
      </c>
      <c r="M2588" t="str">
        <f>IFERROR(__xludf.DUMMYFUNCTION("""COMPUTED_VALUE"""),"")</f>
        <v/>
      </c>
      <c r="N2588" t="str">
        <f>IFERROR(__xludf.DUMMYFUNCTION("""COMPUTED_VALUE"""),"")</f>
        <v/>
      </c>
      <c r="O2588" t="str">
        <f>IFERROR(__xludf.DUMMYFUNCTION("""COMPUTED_VALUE"""),"")</f>
        <v/>
      </c>
      <c r="P2588" t="str">
        <f>IFERROR(__xludf.DUMMYFUNCTION("""COMPUTED_VALUE"""),"ID ")</f>
        <v>ID </v>
      </c>
    </row>
    <row r="2589">
      <c r="A2589" s="6" t="str">
        <f>IFERROR(__xludf.DUMMYFUNCTION("""COMPUTED_VALUE"""),"")</f>
        <v/>
      </c>
      <c r="C2589" t="str">
        <f>IFERROR(__xludf.DUMMYFUNCTION("""COMPUTED_VALUE"""),"")</f>
        <v/>
      </c>
      <c r="D2589" t="str">
        <f>IFERROR(__xludf.DUMMYFUNCTION("""COMPUTED_VALUE"""),"")</f>
        <v/>
      </c>
      <c r="E2589" t="str">
        <f>IFERROR(__xludf.DUMMYFUNCTION("""COMPUTED_VALUE"""),"")</f>
        <v/>
      </c>
      <c r="F2589" t="str">
        <f>IFERROR(__xludf.DUMMYFUNCTION("""COMPUTED_VALUE"""),"")</f>
        <v/>
      </c>
      <c r="G2589" t="str">
        <f>IFERROR(__xludf.DUMMYFUNCTION("""COMPUTED_VALUE"""),"")</f>
        <v/>
      </c>
      <c r="H2589" s="2" t="str">
        <f>IFERROR(__xludf.DUMMYFUNCTION("""COMPUTED_VALUE"""),"")</f>
        <v/>
      </c>
      <c r="I2589" s="2" t="str">
        <f>IFERROR(__xludf.DUMMYFUNCTION("""COMPUTED_VALUE"""),"")</f>
        <v/>
      </c>
      <c r="J2589" s="2">
        <f>IFERROR(__xludf.DUMMYFUNCTION("""COMPUTED_VALUE"""),0.0)</f>
        <v>0</v>
      </c>
      <c r="K2589" s="5" t="str">
        <f>IFERROR(__xludf.DUMMYFUNCTION("""COMPUTED_VALUE"""),"")</f>
        <v/>
      </c>
      <c r="L2589" t="str">
        <f>IFERROR(__xludf.DUMMYFUNCTION("""COMPUTED_VALUE"""),"")</f>
        <v/>
      </c>
      <c r="M2589" t="str">
        <f>IFERROR(__xludf.DUMMYFUNCTION("""COMPUTED_VALUE"""),"")</f>
        <v/>
      </c>
      <c r="N2589" t="str">
        <f>IFERROR(__xludf.DUMMYFUNCTION("""COMPUTED_VALUE"""),"")</f>
        <v/>
      </c>
      <c r="O2589" t="str">
        <f>IFERROR(__xludf.DUMMYFUNCTION("""COMPUTED_VALUE"""),"")</f>
        <v/>
      </c>
      <c r="P2589" t="str">
        <f>IFERROR(__xludf.DUMMYFUNCTION("""COMPUTED_VALUE"""),"ID ")</f>
        <v>ID </v>
      </c>
    </row>
    <row r="2590">
      <c r="A2590" s="6" t="str">
        <f>IFERROR(__xludf.DUMMYFUNCTION("""COMPUTED_VALUE"""),"")</f>
        <v/>
      </c>
      <c r="C2590" t="str">
        <f>IFERROR(__xludf.DUMMYFUNCTION("""COMPUTED_VALUE"""),"")</f>
        <v/>
      </c>
      <c r="D2590" t="str">
        <f>IFERROR(__xludf.DUMMYFUNCTION("""COMPUTED_VALUE"""),"")</f>
        <v/>
      </c>
      <c r="E2590" t="str">
        <f>IFERROR(__xludf.DUMMYFUNCTION("""COMPUTED_VALUE"""),"")</f>
        <v/>
      </c>
      <c r="F2590" t="str">
        <f>IFERROR(__xludf.DUMMYFUNCTION("""COMPUTED_VALUE"""),"")</f>
        <v/>
      </c>
      <c r="G2590" t="str">
        <f>IFERROR(__xludf.DUMMYFUNCTION("""COMPUTED_VALUE"""),"")</f>
        <v/>
      </c>
      <c r="H2590" s="2" t="str">
        <f>IFERROR(__xludf.DUMMYFUNCTION("""COMPUTED_VALUE"""),"")</f>
        <v/>
      </c>
      <c r="I2590" s="2" t="str">
        <f>IFERROR(__xludf.DUMMYFUNCTION("""COMPUTED_VALUE"""),"")</f>
        <v/>
      </c>
      <c r="J2590" s="2">
        <f>IFERROR(__xludf.DUMMYFUNCTION("""COMPUTED_VALUE"""),0.0)</f>
        <v>0</v>
      </c>
      <c r="K2590" s="5" t="str">
        <f>IFERROR(__xludf.DUMMYFUNCTION("""COMPUTED_VALUE"""),"")</f>
        <v/>
      </c>
      <c r="L2590" t="str">
        <f>IFERROR(__xludf.DUMMYFUNCTION("""COMPUTED_VALUE"""),"")</f>
        <v/>
      </c>
      <c r="M2590" t="str">
        <f>IFERROR(__xludf.DUMMYFUNCTION("""COMPUTED_VALUE"""),"")</f>
        <v/>
      </c>
      <c r="N2590" t="str">
        <f>IFERROR(__xludf.DUMMYFUNCTION("""COMPUTED_VALUE"""),"")</f>
        <v/>
      </c>
      <c r="O2590" t="str">
        <f>IFERROR(__xludf.DUMMYFUNCTION("""COMPUTED_VALUE"""),"")</f>
        <v/>
      </c>
      <c r="P2590" t="str">
        <f>IFERROR(__xludf.DUMMYFUNCTION("""COMPUTED_VALUE"""),"ID ")</f>
        <v>ID </v>
      </c>
    </row>
    <row r="2591">
      <c r="A2591" s="6" t="str">
        <f>IFERROR(__xludf.DUMMYFUNCTION("""COMPUTED_VALUE"""),"")</f>
        <v/>
      </c>
      <c r="C2591" t="str">
        <f>IFERROR(__xludf.DUMMYFUNCTION("""COMPUTED_VALUE"""),"")</f>
        <v/>
      </c>
      <c r="D2591" t="str">
        <f>IFERROR(__xludf.DUMMYFUNCTION("""COMPUTED_VALUE"""),"")</f>
        <v/>
      </c>
      <c r="E2591" t="str">
        <f>IFERROR(__xludf.DUMMYFUNCTION("""COMPUTED_VALUE"""),"")</f>
        <v/>
      </c>
      <c r="F2591" t="str">
        <f>IFERROR(__xludf.DUMMYFUNCTION("""COMPUTED_VALUE"""),"")</f>
        <v/>
      </c>
      <c r="G2591" t="str">
        <f>IFERROR(__xludf.DUMMYFUNCTION("""COMPUTED_VALUE"""),"")</f>
        <v/>
      </c>
      <c r="H2591" s="2" t="str">
        <f>IFERROR(__xludf.DUMMYFUNCTION("""COMPUTED_VALUE"""),"")</f>
        <v/>
      </c>
      <c r="I2591" s="2" t="str">
        <f>IFERROR(__xludf.DUMMYFUNCTION("""COMPUTED_VALUE"""),"")</f>
        <v/>
      </c>
      <c r="J2591" s="2">
        <f>IFERROR(__xludf.DUMMYFUNCTION("""COMPUTED_VALUE"""),0.0)</f>
        <v>0</v>
      </c>
      <c r="K2591" s="5" t="str">
        <f>IFERROR(__xludf.DUMMYFUNCTION("""COMPUTED_VALUE"""),"")</f>
        <v/>
      </c>
      <c r="L2591" t="str">
        <f>IFERROR(__xludf.DUMMYFUNCTION("""COMPUTED_VALUE"""),"")</f>
        <v/>
      </c>
      <c r="M2591" t="str">
        <f>IFERROR(__xludf.DUMMYFUNCTION("""COMPUTED_VALUE"""),"")</f>
        <v/>
      </c>
      <c r="N2591" t="str">
        <f>IFERROR(__xludf.DUMMYFUNCTION("""COMPUTED_VALUE"""),"")</f>
        <v/>
      </c>
      <c r="O2591" t="str">
        <f>IFERROR(__xludf.DUMMYFUNCTION("""COMPUTED_VALUE"""),"")</f>
        <v/>
      </c>
      <c r="P2591" t="str">
        <f>IFERROR(__xludf.DUMMYFUNCTION("""COMPUTED_VALUE"""),"ID ")</f>
        <v>ID </v>
      </c>
    </row>
    <row r="2592">
      <c r="A2592" s="6" t="str">
        <f>IFERROR(__xludf.DUMMYFUNCTION("""COMPUTED_VALUE"""),"")</f>
        <v/>
      </c>
      <c r="C2592" t="str">
        <f>IFERROR(__xludf.DUMMYFUNCTION("""COMPUTED_VALUE"""),"")</f>
        <v/>
      </c>
      <c r="D2592" t="str">
        <f>IFERROR(__xludf.DUMMYFUNCTION("""COMPUTED_VALUE"""),"")</f>
        <v/>
      </c>
      <c r="E2592" t="str">
        <f>IFERROR(__xludf.DUMMYFUNCTION("""COMPUTED_VALUE"""),"")</f>
        <v/>
      </c>
      <c r="F2592" t="str">
        <f>IFERROR(__xludf.DUMMYFUNCTION("""COMPUTED_VALUE"""),"")</f>
        <v/>
      </c>
      <c r="G2592" t="str">
        <f>IFERROR(__xludf.DUMMYFUNCTION("""COMPUTED_VALUE"""),"")</f>
        <v/>
      </c>
      <c r="H2592" s="2" t="str">
        <f>IFERROR(__xludf.DUMMYFUNCTION("""COMPUTED_VALUE"""),"")</f>
        <v/>
      </c>
      <c r="I2592" s="2" t="str">
        <f>IFERROR(__xludf.DUMMYFUNCTION("""COMPUTED_VALUE"""),"")</f>
        <v/>
      </c>
      <c r="J2592" s="2">
        <f>IFERROR(__xludf.DUMMYFUNCTION("""COMPUTED_VALUE"""),0.0)</f>
        <v>0</v>
      </c>
      <c r="K2592" s="5" t="str">
        <f>IFERROR(__xludf.DUMMYFUNCTION("""COMPUTED_VALUE"""),"")</f>
        <v/>
      </c>
      <c r="L2592" t="str">
        <f>IFERROR(__xludf.DUMMYFUNCTION("""COMPUTED_VALUE"""),"")</f>
        <v/>
      </c>
      <c r="M2592" t="str">
        <f>IFERROR(__xludf.DUMMYFUNCTION("""COMPUTED_VALUE"""),"")</f>
        <v/>
      </c>
      <c r="N2592" t="str">
        <f>IFERROR(__xludf.DUMMYFUNCTION("""COMPUTED_VALUE"""),"")</f>
        <v/>
      </c>
      <c r="O2592" t="str">
        <f>IFERROR(__xludf.DUMMYFUNCTION("""COMPUTED_VALUE"""),"")</f>
        <v/>
      </c>
      <c r="P2592" t="str">
        <f>IFERROR(__xludf.DUMMYFUNCTION("""COMPUTED_VALUE"""),"ID ")</f>
        <v>ID </v>
      </c>
    </row>
    <row r="2593">
      <c r="A2593" s="6" t="str">
        <f>IFERROR(__xludf.DUMMYFUNCTION("""COMPUTED_VALUE"""),"")</f>
        <v/>
      </c>
      <c r="C2593" t="str">
        <f>IFERROR(__xludf.DUMMYFUNCTION("""COMPUTED_VALUE"""),"")</f>
        <v/>
      </c>
      <c r="D2593" t="str">
        <f>IFERROR(__xludf.DUMMYFUNCTION("""COMPUTED_VALUE"""),"")</f>
        <v/>
      </c>
      <c r="E2593" t="str">
        <f>IFERROR(__xludf.DUMMYFUNCTION("""COMPUTED_VALUE"""),"")</f>
        <v/>
      </c>
      <c r="F2593" t="str">
        <f>IFERROR(__xludf.DUMMYFUNCTION("""COMPUTED_VALUE"""),"")</f>
        <v/>
      </c>
      <c r="G2593" t="str">
        <f>IFERROR(__xludf.DUMMYFUNCTION("""COMPUTED_VALUE"""),"")</f>
        <v/>
      </c>
      <c r="H2593" s="2" t="str">
        <f>IFERROR(__xludf.DUMMYFUNCTION("""COMPUTED_VALUE"""),"")</f>
        <v/>
      </c>
      <c r="I2593" s="2" t="str">
        <f>IFERROR(__xludf.DUMMYFUNCTION("""COMPUTED_VALUE"""),"")</f>
        <v/>
      </c>
      <c r="J2593" s="2">
        <f>IFERROR(__xludf.DUMMYFUNCTION("""COMPUTED_VALUE"""),0.0)</f>
        <v>0</v>
      </c>
      <c r="K2593" s="5" t="str">
        <f>IFERROR(__xludf.DUMMYFUNCTION("""COMPUTED_VALUE"""),"")</f>
        <v/>
      </c>
      <c r="L2593" t="str">
        <f>IFERROR(__xludf.DUMMYFUNCTION("""COMPUTED_VALUE"""),"")</f>
        <v/>
      </c>
      <c r="M2593" t="str">
        <f>IFERROR(__xludf.DUMMYFUNCTION("""COMPUTED_VALUE"""),"")</f>
        <v/>
      </c>
      <c r="N2593" t="str">
        <f>IFERROR(__xludf.DUMMYFUNCTION("""COMPUTED_VALUE"""),"")</f>
        <v/>
      </c>
      <c r="O2593" t="str">
        <f>IFERROR(__xludf.DUMMYFUNCTION("""COMPUTED_VALUE"""),"")</f>
        <v/>
      </c>
      <c r="P2593" t="str">
        <f>IFERROR(__xludf.DUMMYFUNCTION("""COMPUTED_VALUE"""),"ID ")</f>
        <v>ID </v>
      </c>
    </row>
    <row r="2594">
      <c r="A2594" s="6" t="str">
        <f>IFERROR(__xludf.DUMMYFUNCTION("""COMPUTED_VALUE"""),"")</f>
        <v/>
      </c>
      <c r="C2594" t="str">
        <f>IFERROR(__xludf.DUMMYFUNCTION("""COMPUTED_VALUE"""),"")</f>
        <v/>
      </c>
      <c r="D2594" t="str">
        <f>IFERROR(__xludf.DUMMYFUNCTION("""COMPUTED_VALUE"""),"")</f>
        <v/>
      </c>
      <c r="E2594" t="str">
        <f>IFERROR(__xludf.DUMMYFUNCTION("""COMPUTED_VALUE"""),"")</f>
        <v/>
      </c>
      <c r="F2594" t="str">
        <f>IFERROR(__xludf.DUMMYFUNCTION("""COMPUTED_VALUE"""),"")</f>
        <v/>
      </c>
      <c r="G2594" t="str">
        <f>IFERROR(__xludf.DUMMYFUNCTION("""COMPUTED_VALUE"""),"")</f>
        <v/>
      </c>
      <c r="H2594" s="2" t="str">
        <f>IFERROR(__xludf.DUMMYFUNCTION("""COMPUTED_VALUE"""),"")</f>
        <v/>
      </c>
      <c r="I2594" s="2" t="str">
        <f>IFERROR(__xludf.DUMMYFUNCTION("""COMPUTED_VALUE"""),"")</f>
        <v/>
      </c>
      <c r="J2594" s="2">
        <f>IFERROR(__xludf.DUMMYFUNCTION("""COMPUTED_VALUE"""),0.0)</f>
        <v>0</v>
      </c>
      <c r="K2594" s="5" t="str">
        <f>IFERROR(__xludf.DUMMYFUNCTION("""COMPUTED_VALUE"""),"")</f>
        <v/>
      </c>
      <c r="L2594" t="str">
        <f>IFERROR(__xludf.DUMMYFUNCTION("""COMPUTED_VALUE"""),"")</f>
        <v/>
      </c>
      <c r="M2594" t="str">
        <f>IFERROR(__xludf.DUMMYFUNCTION("""COMPUTED_VALUE"""),"")</f>
        <v/>
      </c>
      <c r="N2594" t="str">
        <f>IFERROR(__xludf.DUMMYFUNCTION("""COMPUTED_VALUE"""),"")</f>
        <v/>
      </c>
      <c r="O2594" t="str">
        <f>IFERROR(__xludf.DUMMYFUNCTION("""COMPUTED_VALUE"""),"")</f>
        <v/>
      </c>
      <c r="P2594" t="str">
        <f>IFERROR(__xludf.DUMMYFUNCTION("""COMPUTED_VALUE"""),"ID ")</f>
        <v>ID </v>
      </c>
    </row>
    <row r="2595">
      <c r="A2595" s="6" t="str">
        <f>IFERROR(__xludf.DUMMYFUNCTION("""COMPUTED_VALUE"""),"")</f>
        <v/>
      </c>
      <c r="C2595" t="str">
        <f>IFERROR(__xludf.DUMMYFUNCTION("""COMPUTED_VALUE"""),"")</f>
        <v/>
      </c>
      <c r="D2595" t="str">
        <f>IFERROR(__xludf.DUMMYFUNCTION("""COMPUTED_VALUE"""),"")</f>
        <v/>
      </c>
      <c r="E2595" t="str">
        <f>IFERROR(__xludf.DUMMYFUNCTION("""COMPUTED_VALUE"""),"")</f>
        <v/>
      </c>
      <c r="F2595" t="str">
        <f>IFERROR(__xludf.DUMMYFUNCTION("""COMPUTED_VALUE"""),"")</f>
        <v/>
      </c>
      <c r="G2595" t="str">
        <f>IFERROR(__xludf.DUMMYFUNCTION("""COMPUTED_VALUE"""),"")</f>
        <v/>
      </c>
      <c r="H2595" s="2" t="str">
        <f>IFERROR(__xludf.DUMMYFUNCTION("""COMPUTED_VALUE"""),"")</f>
        <v/>
      </c>
      <c r="I2595" s="2" t="str">
        <f>IFERROR(__xludf.DUMMYFUNCTION("""COMPUTED_VALUE"""),"")</f>
        <v/>
      </c>
      <c r="J2595" s="2">
        <f>IFERROR(__xludf.DUMMYFUNCTION("""COMPUTED_VALUE"""),0.0)</f>
        <v>0</v>
      </c>
      <c r="K2595" s="5" t="str">
        <f>IFERROR(__xludf.DUMMYFUNCTION("""COMPUTED_VALUE"""),"")</f>
        <v/>
      </c>
      <c r="L2595" t="str">
        <f>IFERROR(__xludf.DUMMYFUNCTION("""COMPUTED_VALUE"""),"")</f>
        <v/>
      </c>
      <c r="M2595" t="str">
        <f>IFERROR(__xludf.DUMMYFUNCTION("""COMPUTED_VALUE"""),"")</f>
        <v/>
      </c>
      <c r="N2595" t="str">
        <f>IFERROR(__xludf.DUMMYFUNCTION("""COMPUTED_VALUE"""),"")</f>
        <v/>
      </c>
      <c r="O2595" t="str">
        <f>IFERROR(__xludf.DUMMYFUNCTION("""COMPUTED_VALUE"""),"")</f>
        <v/>
      </c>
      <c r="P2595" t="str">
        <f>IFERROR(__xludf.DUMMYFUNCTION("""COMPUTED_VALUE"""),"ID ")</f>
        <v>ID </v>
      </c>
    </row>
    <row r="2596">
      <c r="A2596" s="6" t="str">
        <f>IFERROR(__xludf.DUMMYFUNCTION("""COMPUTED_VALUE"""),"")</f>
        <v/>
      </c>
      <c r="C2596" t="str">
        <f>IFERROR(__xludf.DUMMYFUNCTION("""COMPUTED_VALUE"""),"")</f>
        <v/>
      </c>
      <c r="D2596" t="str">
        <f>IFERROR(__xludf.DUMMYFUNCTION("""COMPUTED_VALUE"""),"")</f>
        <v/>
      </c>
      <c r="E2596" t="str">
        <f>IFERROR(__xludf.DUMMYFUNCTION("""COMPUTED_VALUE"""),"")</f>
        <v/>
      </c>
      <c r="F2596" t="str">
        <f>IFERROR(__xludf.DUMMYFUNCTION("""COMPUTED_VALUE"""),"")</f>
        <v/>
      </c>
      <c r="G2596" t="str">
        <f>IFERROR(__xludf.DUMMYFUNCTION("""COMPUTED_VALUE"""),"")</f>
        <v/>
      </c>
      <c r="H2596" s="2" t="str">
        <f>IFERROR(__xludf.DUMMYFUNCTION("""COMPUTED_VALUE"""),"")</f>
        <v/>
      </c>
      <c r="I2596" s="2" t="str">
        <f>IFERROR(__xludf.DUMMYFUNCTION("""COMPUTED_VALUE"""),"")</f>
        <v/>
      </c>
      <c r="J2596" s="2">
        <f>IFERROR(__xludf.DUMMYFUNCTION("""COMPUTED_VALUE"""),0.0)</f>
        <v>0</v>
      </c>
      <c r="K2596" s="5" t="str">
        <f>IFERROR(__xludf.DUMMYFUNCTION("""COMPUTED_VALUE"""),"")</f>
        <v/>
      </c>
      <c r="L2596" t="str">
        <f>IFERROR(__xludf.DUMMYFUNCTION("""COMPUTED_VALUE"""),"")</f>
        <v/>
      </c>
      <c r="M2596" t="str">
        <f>IFERROR(__xludf.DUMMYFUNCTION("""COMPUTED_VALUE"""),"")</f>
        <v/>
      </c>
      <c r="N2596" t="str">
        <f>IFERROR(__xludf.DUMMYFUNCTION("""COMPUTED_VALUE"""),"")</f>
        <v/>
      </c>
      <c r="O2596" t="str">
        <f>IFERROR(__xludf.DUMMYFUNCTION("""COMPUTED_VALUE"""),"")</f>
        <v/>
      </c>
      <c r="P2596" t="str">
        <f>IFERROR(__xludf.DUMMYFUNCTION("""COMPUTED_VALUE"""),"ID ")</f>
        <v>ID </v>
      </c>
    </row>
    <row r="2597">
      <c r="A2597" s="6" t="str">
        <f>IFERROR(__xludf.DUMMYFUNCTION("""COMPUTED_VALUE"""),"")</f>
        <v/>
      </c>
      <c r="C2597" t="str">
        <f>IFERROR(__xludf.DUMMYFUNCTION("""COMPUTED_VALUE"""),"")</f>
        <v/>
      </c>
      <c r="D2597" t="str">
        <f>IFERROR(__xludf.DUMMYFUNCTION("""COMPUTED_VALUE"""),"")</f>
        <v/>
      </c>
      <c r="E2597" t="str">
        <f>IFERROR(__xludf.DUMMYFUNCTION("""COMPUTED_VALUE"""),"")</f>
        <v/>
      </c>
      <c r="F2597" t="str">
        <f>IFERROR(__xludf.DUMMYFUNCTION("""COMPUTED_VALUE"""),"")</f>
        <v/>
      </c>
      <c r="G2597" t="str">
        <f>IFERROR(__xludf.DUMMYFUNCTION("""COMPUTED_VALUE"""),"")</f>
        <v/>
      </c>
      <c r="H2597" s="2" t="str">
        <f>IFERROR(__xludf.DUMMYFUNCTION("""COMPUTED_VALUE"""),"")</f>
        <v/>
      </c>
      <c r="I2597" s="2" t="str">
        <f>IFERROR(__xludf.DUMMYFUNCTION("""COMPUTED_VALUE"""),"")</f>
        <v/>
      </c>
      <c r="J2597" s="2">
        <f>IFERROR(__xludf.DUMMYFUNCTION("""COMPUTED_VALUE"""),0.0)</f>
        <v>0</v>
      </c>
      <c r="K2597" s="5" t="str">
        <f>IFERROR(__xludf.DUMMYFUNCTION("""COMPUTED_VALUE"""),"")</f>
        <v/>
      </c>
      <c r="L2597" t="str">
        <f>IFERROR(__xludf.DUMMYFUNCTION("""COMPUTED_VALUE"""),"")</f>
        <v/>
      </c>
      <c r="M2597" t="str">
        <f>IFERROR(__xludf.DUMMYFUNCTION("""COMPUTED_VALUE"""),"")</f>
        <v/>
      </c>
      <c r="N2597" t="str">
        <f>IFERROR(__xludf.DUMMYFUNCTION("""COMPUTED_VALUE"""),"")</f>
        <v/>
      </c>
      <c r="O2597" t="str">
        <f>IFERROR(__xludf.DUMMYFUNCTION("""COMPUTED_VALUE"""),"")</f>
        <v/>
      </c>
      <c r="P2597" t="str">
        <f>IFERROR(__xludf.DUMMYFUNCTION("""COMPUTED_VALUE"""),"ID ")</f>
        <v>ID </v>
      </c>
    </row>
    <row r="2598">
      <c r="A2598" s="6" t="str">
        <f>IFERROR(__xludf.DUMMYFUNCTION("""COMPUTED_VALUE"""),"")</f>
        <v/>
      </c>
      <c r="C2598" t="str">
        <f>IFERROR(__xludf.DUMMYFUNCTION("""COMPUTED_VALUE"""),"")</f>
        <v/>
      </c>
      <c r="D2598" t="str">
        <f>IFERROR(__xludf.DUMMYFUNCTION("""COMPUTED_VALUE"""),"")</f>
        <v/>
      </c>
      <c r="E2598" t="str">
        <f>IFERROR(__xludf.DUMMYFUNCTION("""COMPUTED_VALUE"""),"")</f>
        <v/>
      </c>
      <c r="F2598" t="str">
        <f>IFERROR(__xludf.DUMMYFUNCTION("""COMPUTED_VALUE"""),"")</f>
        <v/>
      </c>
      <c r="G2598" t="str">
        <f>IFERROR(__xludf.DUMMYFUNCTION("""COMPUTED_VALUE"""),"")</f>
        <v/>
      </c>
      <c r="H2598" s="2" t="str">
        <f>IFERROR(__xludf.DUMMYFUNCTION("""COMPUTED_VALUE"""),"")</f>
        <v/>
      </c>
      <c r="I2598" s="2" t="str">
        <f>IFERROR(__xludf.DUMMYFUNCTION("""COMPUTED_VALUE"""),"")</f>
        <v/>
      </c>
      <c r="J2598" s="2">
        <f>IFERROR(__xludf.DUMMYFUNCTION("""COMPUTED_VALUE"""),0.0)</f>
        <v>0</v>
      </c>
      <c r="K2598" s="5" t="str">
        <f>IFERROR(__xludf.DUMMYFUNCTION("""COMPUTED_VALUE"""),"")</f>
        <v/>
      </c>
      <c r="L2598" t="str">
        <f>IFERROR(__xludf.DUMMYFUNCTION("""COMPUTED_VALUE"""),"")</f>
        <v/>
      </c>
      <c r="M2598" t="str">
        <f>IFERROR(__xludf.DUMMYFUNCTION("""COMPUTED_VALUE"""),"")</f>
        <v/>
      </c>
      <c r="N2598" t="str">
        <f>IFERROR(__xludf.DUMMYFUNCTION("""COMPUTED_VALUE"""),"")</f>
        <v/>
      </c>
      <c r="O2598" t="str">
        <f>IFERROR(__xludf.DUMMYFUNCTION("""COMPUTED_VALUE"""),"")</f>
        <v/>
      </c>
      <c r="P2598" t="str">
        <f>IFERROR(__xludf.DUMMYFUNCTION("""COMPUTED_VALUE"""),"ID ")</f>
        <v>ID </v>
      </c>
    </row>
    <row r="2599">
      <c r="A2599" s="6" t="str">
        <f>IFERROR(__xludf.DUMMYFUNCTION("""COMPUTED_VALUE"""),"")</f>
        <v/>
      </c>
      <c r="C2599" t="str">
        <f>IFERROR(__xludf.DUMMYFUNCTION("""COMPUTED_VALUE"""),"")</f>
        <v/>
      </c>
      <c r="D2599" t="str">
        <f>IFERROR(__xludf.DUMMYFUNCTION("""COMPUTED_VALUE"""),"")</f>
        <v/>
      </c>
      <c r="E2599" t="str">
        <f>IFERROR(__xludf.DUMMYFUNCTION("""COMPUTED_VALUE"""),"")</f>
        <v/>
      </c>
      <c r="F2599" t="str">
        <f>IFERROR(__xludf.DUMMYFUNCTION("""COMPUTED_VALUE"""),"")</f>
        <v/>
      </c>
      <c r="G2599" t="str">
        <f>IFERROR(__xludf.DUMMYFUNCTION("""COMPUTED_VALUE"""),"")</f>
        <v/>
      </c>
      <c r="H2599" s="2" t="str">
        <f>IFERROR(__xludf.DUMMYFUNCTION("""COMPUTED_VALUE"""),"")</f>
        <v/>
      </c>
      <c r="I2599" s="2" t="str">
        <f>IFERROR(__xludf.DUMMYFUNCTION("""COMPUTED_VALUE"""),"")</f>
        <v/>
      </c>
      <c r="J2599" s="2">
        <f>IFERROR(__xludf.DUMMYFUNCTION("""COMPUTED_VALUE"""),0.0)</f>
        <v>0</v>
      </c>
      <c r="K2599" s="5" t="str">
        <f>IFERROR(__xludf.DUMMYFUNCTION("""COMPUTED_VALUE"""),"")</f>
        <v/>
      </c>
      <c r="L2599" t="str">
        <f>IFERROR(__xludf.DUMMYFUNCTION("""COMPUTED_VALUE"""),"")</f>
        <v/>
      </c>
      <c r="M2599" t="str">
        <f>IFERROR(__xludf.DUMMYFUNCTION("""COMPUTED_VALUE"""),"")</f>
        <v/>
      </c>
      <c r="N2599" t="str">
        <f>IFERROR(__xludf.DUMMYFUNCTION("""COMPUTED_VALUE"""),"")</f>
        <v/>
      </c>
      <c r="O2599" t="str">
        <f>IFERROR(__xludf.DUMMYFUNCTION("""COMPUTED_VALUE"""),"")</f>
        <v/>
      </c>
      <c r="P2599" t="str">
        <f>IFERROR(__xludf.DUMMYFUNCTION("""COMPUTED_VALUE"""),"ID ")</f>
        <v>ID </v>
      </c>
    </row>
    <row r="2600">
      <c r="A2600" s="6" t="str">
        <f>IFERROR(__xludf.DUMMYFUNCTION("""COMPUTED_VALUE"""),"")</f>
        <v/>
      </c>
      <c r="C2600" t="str">
        <f>IFERROR(__xludf.DUMMYFUNCTION("""COMPUTED_VALUE"""),"")</f>
        <v/>
      </c>
      <c r="D2600" t="str">
        <f>IFERROR(__xludf.DUMMYFUNCTION("""COMPUTED_VALUE"""),"")</f>
        <v/>
      </c>
      <c r="E2600" t="str">
        <f>IFERROR(__xludf.DUMMYFUNCTION("""COMPUTED_VALUE"""),"")</f>
        <v/>
      </c>
      <c r="F2600" t="str">
        <f>IFERROR(__xludf.DUMMYFUNCTION("""COMPUTED_VALUE"""),"")</f>
        <v/>
      </c>
      <c r="G2600" t="str">
        <f>IFERROR(__xludf.DUMMYFUNCTION("""COMPUTED_VALUE"""),"")</f>
        <v/>
      </c>
      <c r="H2600" s="2" t="str">
        <f>IFERROR(__xludf.DUMMYFUNCTION("""COMPUTED_VALUE"""),"")</f>
        <v/>
      </c>
      <c r="I2600" s="2" t="str">
        <f>IFERROR(__xludf.DUMMYFUNCTION("""COMPUTED_VALUE"""),"")</f>
        <v/>
      </c>
      <c r="J2600" s="2">
        <f>IFERROR(__xludf.DUMMYFUNCTION("""COMPUTED_VALUE"""),0.0)</f>
        <v>0</v>
      </c>
      <c r="K2600" s="5" t="str">
        <f>IFERROR(__xludf.DUMMYFUNCTION("""COMPUTED_VALUE"""),"")</f>
        <v/>
      </c>
      <c r="L2600" t="str">
        <f>IFERROR(__xludf.DUMMYFUNCTION("""COMPUTED_VALUE"""),"")</f>
        <v/>
      </c>
      <c r="M2600" t="str">
        <f>IFERROR(__xludf.DUMMYFUNCTION("""COMPUTED_VALUE"""),"")</f>
        <v/>
      </c>
      <c r="N2600" t="str">
        <f>IFERROR(__xludf.DUMMYFUNCTION("""COMPUTED_VALUE"""),"")</f>
        <v/>
      </c>
      <c r="O2600" t="str">
        <f>IFERROR(__xludf.DUMMYFUNCTION("""COMPUTED_VALUE"""),"")</f>
        <v/>
      </c>
      <c r="P2600" t="str">
        <f>IFERROR(__xludf.DUMMYFUNCTION("""COMPUTED_VALUE"""),"ID ")</f>
        <v>ID </v>
      </c>
    </row>
    <row r="2601">
      <c r="A2601" s="6" t="str">
        <f>IFERROR(__xludf.DUMMYFUNCTION("""COMPUTED_VALUE"""),"")</f>
        <v/>
      </c>
      <c r="C2601" t="str">
        <f>IFERROR(__xludf.DUMMYFUNCTION("""COMPUTED_VALUE"""),"")</f>
        <v/>
      </c>
      <c r="D2601" t="str">
        <f>IFERROR(__xludf.DUMMYFUNCTION("""COMPUTED_VALUE"""),"")</f>
        <v/>
      </c>
      <c r="E2601" t="str">
        <f>IFERROR(__xludf.DUMMYFUNCTION("""COMPUTED_VALUE"""),"")</f>
        <v/>
      </c>
      <c r="F2601" t="str">
        <f>IFERROR(__xludf.DUMMYFUNCTION("""COMPUTED_VALUE"""),"")</f>
        <v/>
      </c>
      <c r="G2601" t="str">
        <f>IFERROR(__xludf.DUMMYFUNCTION("""COMPUTED_VALUE"""),"")</f>
        <v/>
      </c>
      <c r="H2601" s="2" t="str">
        <f>IFERROR(__xludf.DUMMYFUNCTION("""COMPUTED_VALUE"""),"")</f>
        <v/>
      </c>
      <c r="I2601" s="2" t="str">
        <f>IFERROR(__xludf.DUMMYFUNCTION("""COMPUTED_VALUE"""),"")</f>
        <v/>
      </c>
      <c r="J2601" s="2">
        <f>IFERROR(__xludf.DUMMYFUNCTION("""COMPUTED_VALUE"""),0.0)</f>
        <v>0</v>
      </c>
      <c r="K2601" s="5" t="str">
        <f>IFERROR(__xludf.DUMMYFUNCTION("""COMPUTED_VALUE"""),"")</f>
        <v/>
      </c>
      <c r="L2601" t="str">
        <f>IFERROR(__xludf.DUMMYFUNCTION("""COMPUTED_VALUE"""),"")</f>
        <v/>
      </c>
      <c r="M2601" t="str">
        <f>IFERROR(__xludf.DUMMYFUNCTION("""COMPUTED_VALUE"""),"")</f>
        <v/>
      </c>
      <c r="N2601" t="str">
        <f>IFERROR(__xludf.DUMMYFUNCTION("""COMPUTED_VALUE"""),"")</f>
        <v/>
      </c>
      <c r="O2601" t="str">
        <f>IFERROR(__xludf.DUMMYFUNCTION("""COMPUTED_VALUE"""),"")</f>
        <v/>
      </c>
      <c r="P2601" t="str">
        <f>IFERROR(__xludf.DUMMYFUNCTION("""COMPUTED_VALUE"""),"ID ")</f>
        <v>ID </v>
      </c>
    </row>
    <row r="2602">
      <c r="A2602" s="6" t="str">
        <f>IFERROR(__xludf.DUMMYFUNCTION("""COMPUTED_VALUE"""),"")</f>
        <v/>
      </c>
      <c r="C2602" t="str">
        <f>IFERROR(__xludf.DUMMYFUNCTION("""COMPUTED_VALUE"""),"")</f>
        <v/>
      </c>
      <c r="D2602" t="str">
        <f>IFERROR(__xludf.DUMMYFUNCTION("""COMPUTED_VALUE"""),"")</f>
        <v/>
      </c>
      <c r="E2602" t="str">
        <f>IFERROR(__xludf.DUMMYFUNCTION("""COMPUTED_VALUE"""),"")</f>
        <v/>
      </c>
      <c r="F2602" t="str">
        <f>IFERROR(__xludf.DUMMYFUNCTION("""COMPUTED_VALUE"""),"")</f>
        <v/>
      </c>
      <c r="G2602" t="str">
        <f>IFERROR(__xludf.DUMMYFUNCTION("""COMPUTED_VALUE"""),"")</f>
        <v/>
      </c>
      <c r="H2602" s="2" t="str">
        <f>IFERROR(__xludf.DUMMYFUNCTION("""COMPUTED_VALUE"""),"")</f>
        <v/>
      </c>
      <c r="I2602" s="2" t="str">
        <f>IFERROR(__xludf.DUMMYFUNCTION("""COMPUTED_VALUE"""),"")</f>
        <v/>
      </c>
      <c r="J2602" s="2">
        <f>IFERROR(__xludf.DUMMYFUNCTION("""COMPUTED_VALUE"""),0.0)</f>
        <v>0</v>
      </c>
      <c r="K2602" s="5" t="str">
        <f>IFERROR(__xludf.DUMMYFUNCTION("""COMPUTED_VALUE"""),"")</f>
        <v/>
      </c>
      <c r="L2602" t="str">
        <f>IFERROR(__xludf.DUMMYFUNCTION("""COMPUTED_VALUE"""),"")</f>
        <v/>
      </c>
      <c r="M2602" t="str">
        <f>IFERROR(__xludf.DUMMYFUNCTION("""COMPUTED_VALUE"""),"")</f>
        <v/>
      </c>
      <c r="N2602" t="str">
        <f>IFERROR(__xludf.DUMMYFUNCTION("""COMPUTED_VALUE"""),"")</f>
        <v/>
      </c>
      <c r="O2602" t="str">
        <f>IFERROR(__xludf.DUMMYFUNCTION("""COMPUTED_VALUE"""),"")</f>
        <v/>
      </c>
      <c r="P2602" t="str">
        <f>IFERROR(__xludf.DUMMYFUNCTION("""COMPUTED_VALUE"""),"ID ")</f>
        <v>ID </v>
      </c>
    </row>
    <row r="2603">
      <c r="A2603" s="6" t="str">
        <f>IFERROR(__xludf.DUMMYFUNCTION("""COMPUTED_VALUE"""),"")</f>
        <v/>
      </c>
      <c r="C2603" t="str">
        <f>IFERROR(__xludf.DUMMYFUNCTION("""COMPUTED_VALUE"""),"")</f>
        <v/>
      </c>
      <c r="D2603" t="str">
        <f>IFERROR(__xludf.DUMMYFUNCTION("""COMPUTED_VALUE"""),"")</f>
        <v/>
      </c>
      <c r="E2603" t="str">
        <f>IFERROR(__xludf.DUMMYFUNCTION("""COMPUTED_VALUE"""),"")</f>
        <v/>
      </c>
      <c r="F2603" t="str">
        <f>IFERROR(__xludf.DUMMYFUNCTION("""COMPUTED_VALUE"""),"")</f>
        <v/>
      </c>
      <c r="G2603" t="str">
        <f>IFERROR(__xludf.DUMMYFUNCTION("""COMPUTED_VALUE"""),"")</f>
        <v/>
      </c>
      <c r="H2603" s="2" t="str">
        <f>IFERROR(__xludf.DUMMYFUNCTION("""COMPUTED_VALUE"""),"")</f>
        <v/>
      </c>
      <c r="I2603" s="2" t="str">
        <f>IFERROR(__xludf.DUMMYFUNCTION("""COMPUTED_VALUE"""),"")</f>
        <v/>
      </c>
      <c r="J2603" s="2">
        <f>IFERROR(__xludf.DUMMYFUNCTION("""COMPUTED_VALUE"""),0.0)</f>
        <v>0</v>
      </c>
      <c r="K2603" s="5" t="str">
        <f>IFERROR(__xludf.DUMMYFUNCTION("""COMPUTED_VALUE"""),"")</f>
        <v/>
      </c>
      <c r="L2603" t="str">
        <f>IFERROR(__xludf.DUMMYFUNCTION("""COMPUTED_VALUE"""),"")</f>
        <v/>
      </c>
      <c r="M2603" t="str">
        <f>IFERROR(__xludf.DUMMYFUNCTION("""COMPUTED_VALUE"""),"")</f>
        <v/>
      </c>
      <c r="N2603" t="str">
        <f>IFERROR(__xludf.DUMMYFUNCTION("""COMPUTED_VALUE"""),"")</f>
        <v/>
      </c>
      <c r="O2603" t="str">
        <f>IFERROR(__xludf.DUMMYFUNCTION("""COMPUTED_VALUE"""),"")</f>
        <v/>
      </c>
      <c r="P2603" t="str">
        <f>IFERROR(__xludf.DUMMYFUNCTION("""COMPUTED_VALUE"""),"ID ")</f>
        <v>ID </v>
      </c>
    </row>
    <row r="2604">
      <c r="A2604" s="6" t="str">
        <f>IFERROR(__xludf.DUMMYFUNCTION("""COMPUTED_VALUE"""),"")</f>
        <v/>
      </c>
      <c r="C2604" t="str">
        <f>IFERROR(__xludf.DUMMYFUNCTION("""COMPUTED_VALUE"""),"")</f>
        <v/>
      </c>
      <c r="D2604" t="str">
        <f>IFERROR(__xludf.DUMMYFUNCTION("""COMPUTED_VALUE"""),"")</f>
        <v/>
      </c>
      <c r="E2604" t="str">
        <f>IFERROR(__xludf.DUMMYFUNCTION("""COMPUTED_VALUE"""),"")</f>
        <v/>
      </c>
      <c r="F2604" t="str">
        <f>IFERROR(__xludf.DUMMYFUNCTION("""COMPUTED_VALUE"""),"")</f>
        <v/>
      </c>
      <c r="G2604" t="str">
        <f>IFERROR(__xludf.DUMMYFUNCTION("""COMPUTED_VALUE"""),"")</f>
        <v/>
      </c>
      <c r="H2604" s="2" t="str">
        <f>IFERROR(__xludf.DUMMYFUNCTION("""COMPUTED_VALUE"""),"")</f>
        <v/>
      </c>
      <c r="I2604" s="2" t="str">
        <f>IFERROR(__xludf.DUMMYFUNCTION("""COMPUTED_VALUE"""),"")</f>
        <v/>
      </c>
      <c r="J2604" s="2">
        <f>IFERROR(__xludf.DUMMYFUNCTION("""COMPUTED_VALUE"""),0.0)</f>
        <v>0</v>
      </c>
      <c r="K2604" s="5" t="str">
        <f>IFERROR(__xludf.DUMMYFUNCTION("""COMPUTED_VALUE"""),"")</f>
        <v/>
      </c>
      <c r="L2604" t="str">
        <f>IFERROR(__xludf.DUMMYFUNCTION("""COMPUTED_VALUE"""),"")</f>
        <v/>
      </c>
      <c r="M2604" t="str">
        <f>IFERROR(__xludf.DUMMYFUNCTION("""COMPUTED_VALUE"""),"")</f>
        <v/>
      </c>
      <c r="N2604" t="str">
        <f>IFERROR(__xludf.DUMMYFUNCTION("""COMPUTED_VALUE"""),"")</f>
        <v/>
      </c>
      <c r="O2604" t="str">
        <f>IFERROR(__xludf.DUMMYFUNCTION("""COMPUTED_VALUE"""),"")</f>
        <v/>
      </c>
      <c r="P2604" t="str">
        <f>IFERROR(__xludf.DUMMYFUNCTION("""COMPUTED_VALUE"""),"ID ")</f>
        <v>ID </v>
      </c>
    </row>
    <row r="2605">
      <c r="A2605" s="6" t="str">
        <f>IFERROR(__xludf.DUMMYFUNCTION("""COMPUTED_VALUE"""),"")</f>
        <v/>
      </c>
      <c r="C2605" t="str">
        <f>IFERROR(__xludf.DUMMYFUNCTION("""COMPUTED_VALUE"""),"")</f>
        <v/>
      </c>
      <c r="D2605" t="str">
        <f>IFERROR(__xludf.DUMMYFUNCTION("""COMPUTED_VALUE"""),"")</f>
        <v/>
      </c>
      <c r="E2605" t="str">
        <f>IFERROR(__xludf.DUMMYFUNCTION("""COMPUTED_VALUE"""),"")</f>
        <v/>
      </c>
      <c r="F2605" t="str">
        <f>IFERROR(__xludf.DUMMYFUNCTION("""COMPUTED_VALUE"""),"")</f>
        <v/>
      </c>
      <c r="G2605" t="str">
        <f>IFERROR(__xludf.DUMMYFUNCTION("""COMPUTED_VALUE"""),"")</f>
        <v/>
      </c>
      <c r="H2605" s="2" t="str">
        <f>IFERROR(__xludf.DUMMYFUNCTION("""COMPUTED_VALUE"""),"")</f>
        <v/>
      </c>
      <c r="I2605" s="2" t="str">
        <f>IFERROR(__xludf.DUMMYFUNCTION("""COMPUTED_VALUE"""),"")</f>
        <v/>
      </c>
      <c r="J2605" s="2">
        <f>IFERROR(__xludf.DUMMYFUNCTION("""COMPUTED_VALUE"""),0.0)</f>
        <v>0</v>
      </c>
      <c r="K2605" s="5" t="str">
        <f>IFERROR(__xludf.DUMMYFUNCTION("""COMPUTED_VALUE"""),"")</f>
        <v/>
      </c>
      <c r="L2605" t="str">
        <f>IFERROR(__xludf.DUMMYFUNCTION("""COMPUTED_VALUE"""),"")</f>
        <v/>
      </c>
      <c r="M2605" t="str">
        <f>IFERROR(__xludf.DUMMYFUNCTION("""COMPUTED_VALUE"""),"")</f>
        <v/>
      </c>
      <c r="N2605" t="str">
        <f>IFERROR(__xludf.DUMMYFUNCTION("""COMPUTED_VALUE"""),"")</f>
        <v/>
      </c>
      <c r="O2605" t="str">
        <f>IFERROR(__xludf.DUMMYFUNCTION("""COMPUTED_VALUE"""),"")</f>
        <v/>
      </c>
      <c r="P2605" t="str">
        <f>IFERROR(__xludf.DUMMYFUNCTION("""COMPUTED_VALUE"""),"ID ")</f>
        <v>ID </v>
      </c>
    </row>
    <row r="2606">
      <c r="A2606" s="6" t="str">
        <f>IFERROR(__xludf.DUMMYFUNCTION("""COMPUTED_VALUE"""),"")</f>
        <v/>
      </c>
      <c r="C2606" t="str">
        <f>IFERROR(__xludf.DUMMYFUNCTION("""COMPUTED_VALUE"""),"")</f>
        <v/>
      </c>
      <c r="D2606" t="str">
        <f>IFERROR(__xludf.DUMMYFUNCTION("""COMPUTED_VALUE"""),"")</f>
        <v/>
      </c>
      <c r="E2606" t="str">
        <f>IFERROR(__xludf.DUMMYFUNCTION("""COMPUTED_VALUE"""),"")</f>
        <v/>
      </c>
      <c r="F2606" t="str">
        <f>IFERROR(__xludf.DUMMYFUNCTION("""COMPUTED_VALUE"""),"")</f>
        <v/>
      </c>
      <c r="G2606" t="str">
        <f>IFERROR(__xludf.DUMMYFUNCTION("""COMPUTED_VALUE"""),"")</f>
        <v/>
      </c>
      <c r="H2606" s="2" t="str">
        <f>IFERROR(__xludf.DUMMYFUNCTION("""COMPUTED_VALUE"""),"")</f>
        <v/>
      </c>
      <c r="I2606" s="2" t="str">
        <f>IFERROR(__xludf.DUMMYFUNCTION("""COMPUTED_VALUE"""),"")</f>
        <v/>
      </c>
      <c r="J2606" s="2">
        <f>IFERROR(__xludf.DUMMYFUNCTION("""COMPUTED_VALUE"""),0.0)</f>
        <v>0</v>
      </c>
      <c r="K2606" s="5" t="str">
        <f>IFERROR(__xludf.DUMMYFUNCTION("""COMPUTED_VALUE"""),"")</f>
        <v/>
      </c>
      <c r="L2606" t="str">
        <f>IFERROR(__xludf.DUMMYFUNCTION("""COMPUTED_VALUE"""),"")</f>
        <v/>
      </c>
      <c r="M2606" t="str">
        <f>IFERROR(__xludf.DUMMYFUNCTION("""COMPUTED_VALUE"""),"")</f>
        <v/>
      </c>
      <c r="N2606" t="str">
        <f>IFERROR(__xludf.DUMMYFUNCTION("""COMPUTED_VALUE"""),"")</f>
        <v/>
      </c>
      <c r="O2606" t="str">
        <f>IFERROR(__xludf.DUMMYFUNCTION("""COMPUTED_VALUE"""),"")</f>
        <v/>
      </c>
      <c r="P2606" t="str">
        <f>IFERROR(__xludf.DUMMYFUNCTION("""COMPUTED_VALUE"""),"ID ")</f>
        <v>ID </v>
      </c>
    </row>
    <row r="2607">
      <c r="A2607" s="6" t="str">
        <f>IFERROR(__xludf.DUMMYFUNCTION("""COMPUTED_VALUE"""),"")</f>
        <v/>
      </c>
      <c r="C2607" t="str">
        <f>IFERROR(__xludf.DUMMYFUNCTION("""COMPUTED_VALUE"""),"")</f>
        <v/>
      </c>
      <c r="D2607" t="str">
        <f>IFERROR(__xludf.DUMMYFUNCTION("""COMPUTED_VALUE"""),"")</f>
        <v/>
      </c>
      <c r="E2607" t="str">
        <f>IFERROR(__xludf.DUMMYFUNCTION("""COMPUTED_VALUE"""),"")</f>
        <v/>
      </c>
      <c r="F2607" t="str">
        <f>IFERROR(__xludf.DUMMYFUNCTION("""COMPUTED_VALUE"""),"")</f>
        <v/>
      </c>
      <c r="G2607" t="str">
        <f>IFERROR(__xludf.DUMMYFUNCTION("""COMPUTED_VALUE"""),"")</f>
        <v/>
      </c>
      <c r="H2607" s="2" t="str">
        <f>IFERROR(__xludf.DUMMYFUNCTION("""COMPUTED_VALUE"""),"")</f>
        <v/>
      </c>
      <c r="I2607" s="2" t="str">
        <f>IFERROR(__xludf.DUMMYFUNCTION("""COMPUTED_VALUE"""),"")</f>
        <v/>
      </c>
      <c r="J2607" s="2">
        <f>IFERROR(__xludf.DUMMYFUNCTION("""COMPUTED_VALUE"""),0.0)</f>
        <v>0</v>
      </c>
      <c r="K2607" s="5" t="str">
        <f>IFERROR(__xludf.DUMMYFUNCTION("""COMPUTED_VALUE"""),"")</f>
        <v/>
      </c>
      <c r="L2607" t="str">
        <f>IFERROR(__xludf.DUMMYFUNCTION("""COMPUTED_VALUE"""),"")</f>
        <v/>
      </c>
      <c r="M2607" t="str">
        <f>IFERROR(__xludf.DUMMYFUNCTION("""COMPUTED_VALUE"""),"")</f>
        <v/>
      </c>
      <c r="N2607" t="str">
        <f>IFERROR(__xludf.DUMMYFUNCTION("""COMPUTED_VALUE"""),"")</f>
        <v/>
      </c>
      <c r="O2607" t="str">
        <f>IFERROR(__xludf.DUMMYFUNCTION("""COMPUTED_VALUE"""),"")</f>
        <v/>
      </c>
      <c r="P2607" t="str">
        <f>IFERROR(__xludf.DUMMYFUNCTION("""COMPUTED_VALUE"""),"ID ")</f>
        <v>ID </v>
      </c>
    </row>
    <row r="2608">
      <c r="A2608" s="6" t="str">
        <f>IFERROR(__xludf.DUMMYFUNCTION("""COMPUTED_VALUE"""),"")</f>
        <v/>
      </c>
      <c r="C2608" t="str">
        <f>IFERROR(__xludf.DUMMYFUNCTION("""COMPUTED_VALUE"""),"")</f>
        <v/>
      </c>
      <c r="D2608" t="str">
        <f>IFERROR(__xludf.DUMMYFUNCTION("""COMPUTED_VALUE"""),"")</f>
        <v/>
      </c>
      <c r="E2608" t="str">
        <f>IFERROR(__xludf.DUMMYFUNCTION("""COMPUTED_VALUE"""),"")</f>
        <v/>
      </c>
      <c r="F2608" t="str">
        <f>IFERROR(__xludf.DUMMYFUNCTION("""COMPUTED_VALUE"""),"")</f>
        <v/>
      </c>
      <c r="G2608" t="str">
        <f>IFERROR(__xludf.DUMMYFUNCTION("""COMPUTED_VALUE"""),"")</f>
        <v/>
      </c>
      <c r="H2608" s="2" t="str">
        <f>IFERROR(__xludf.DUMMYFUNCTION("""COMPUTED_VALUE"""),"")</f>
        <v/>
      </c>
      <c r="I2608" s="2" t="str">
        <f>IFERROR(__xludf.DUMMYFUNCTION("""COMPUTED_VALUE"""),"")</f>
        <v/>
      </c>
      <c r="J2608" s="2">
        <f>IFERROR(__xludf.DUMMYFUNCTION("""COMPUTED_VALUE"""),0.0)</f>
        <v>0</v>
      </c>
      <c r="K2608" s="5" t="str">
        <f>IFERROR(__xludf.DUMMYFUNCTION("""COMPUTED_VALUE"""),"")</f>
        <v/>
      </c>
      <c r="L2608" t="str">
        <f>IFERROR(__xludf.DUMMYFUNCTION("""COMPUTED_VALUE"""),"")</f>
        <v/>
      </c>
      <c r="M2608" t="str">
        <f>IFERROR(__xludf.DUMMYFUNCTION("""COMPUTED_VALUE"""),"")</f>
        <v/>
      </c>
      <c r="N2608" t="str">
        <f>IFERROR(__xludf.DUMMYFUNCTION("""COMPUTED_VALUE"""),"")</f>
        <v/>
      </c>
      <c r="O2608" t="str">
        <f>IFERROR(__xludf.DUMMYFUNCTION("""COMPUTED_VALUE"""),"")</f>
        <v/>
      </c>
      <c r="P2608" t="str">
        <f>IFERROR(__xludf.DUMMYFUNCTION("""COMPUTED_VALUE"""),"ID ")</f>
        <v>ID </v>
      </c>
    </row>
    <row r="2609">
      <c r="A2609" s="6" t="str">
        <f>IFERROR(__xludf.DUMMYFUNCTION("""COMPUTED_VALUE"""),"")</f>
        <v/>
      </c>
      <c r="C2609" t="str">
        <f>IFERROR(__xludf.DUMMYFUNCTION("""COMPUTED_VALUE"""),"")</f>
        <v/>
      </c>
      <c r="D2609" t="str">
        <f>IFERROR(__xludf.DUMMYFUNCTION("""COMPUTED_VALUE"""),"")</f>
        <v/>
      </c>
      <c r="E2609" t="str">
        <f>IFERROR(__xludf.DUMMYFUNCTION("""COMPUTED_VALUE"""),"")</f>
        <v/>
      </c>
      <c r="F2609" t="str">
        <f>IFERROR(__xludf.DUMMYFUNCTION("""COMPUTED_VALUE"""),"")</f>
        <v/>
      </c>
      <c r="G2609" t="str">
        <f>IFERROR(__xludf.DUMMYFUNCTION("""COMPUTED_VALUE"""),"")</f>
        <v/>
      </c>
      <c r="H2609" s="2" t="str">
        <f>IFERROR(__xludf.DUMMYFUNCTION("""COMPUTED_VALUE"""),"")</f>
        <v/>
      </c>
      <c r="I2609" s="2" t="str">
        <f>IFERROR(__xludf.DUMMYFUNCTION("""COMPUTED_VALUE"""),"")</f>
        <v/>
      </c>
      <c r="J2609" s="2">
        <f>IFERROR(__xludf.DUMMYFUNCTION("""COMPUTED_VALUE"""),0.0)</f>
        <v>0</v>
      </c>
      <c r="K2609" s="5" t="str">
        <f>IFERROR(__xludf.DUMMYFUNCTION("""COMPUTED_VALUE"""),"")</f>
        <v/>
      </c>
      <c r="L2609" t="str">
        <f>IFERROR(__xludf.DUMMYFUNCTION("""COMPUTED_VALUE"""),"")</f>
        <v/>
      </c>
      <c r="M2609" t="str">
        <f>IFERROR(__xludf.DUMMYFUNCTION("""COMPUTED_VALUE"""),"")</f>
        <v/>
      </c>
      <c r="N2609" t="str">
        <f>IFERROR(__xludf.DUMMYFUNCTION("""COMPUTED_VALUE"""),"")</f>
        <v/>
      </c>
      <c r="O2609" t="str">
        <f>IFERROR(__xludf.DUMMYFUNCTION("""COMPUTED_VALUE"""),"")</f>
        <v/>
      </c>
      <c r="P2609" t="str">
        <f>IFERROR(__xludf.DUMMYFUNCTION("""COMPUTED_VALUE"""),"ID ")</f>
        <v>ID </v>
      </c>
    </row>
    <row r="2610">
      <c r="A2610" s="6" t="str">
        <f>IFERROR(__xludf.DUMMYFUNCTION("""COMPUTED_VALUE"""),"")</f>
        <v/>
      </c>
      <c r="C2610" t="str">
        <f>IFERROR(__xludf.DUMMYFUNCTION("""COMPUTED_VALUE"""),"")</f>
        <v/>
      </c>
      <c r="D2610" t="str">
        <f>IFERROR(__xludf.DUMMYFUNCTION("""COMPUTED_VALUE"""),"")</f>
        <v/>
      </c>
      <c r="E2610" t="str">
        <f>IFERROR(__xludf.DUMMYFUNCTION("""COMPUTED_VALUE"""),"")</f>
        <v/>
      </c>
      <c r="F2610" t="str">
        <f>IFERROR(__xludf.DUMMYFUNCTION("""COMPUTED_VALUE"""),"")</f>
        <v/>
      </c>
      <c r="G2610" t="str">
        <f>IFERROR(__xludf.DUMMYFUNCTION("""COMPUTED_VALUE"""),"")</f>
        <v/>
      </c>
      <c r="H2610" s="2" t="str">
        <f>IFERROR(__xludf.DUMMYFUNCTION("""COMPUTED_VALUE"""),"")</f>
        <v/>
      </c>
      <c r="I2610" s="2" t="str">
        <f>IFERROR(__xludf.DUMMYFUNCTION("""COMPUTED_VALUE"""),"")</f>
        <v/>
      </c>
      <c r="J2610" s="2">
        <f>IFERROR(__xludf.DUMMYFUNCTION("""COMPUTED_VALUE"""),0.0)</f>
        <v>0</v>
      </c>
      <c r="K2610" s="5" t="str">
        <f>IFERROR(__xludf.DUMMYFUNCTION("""COMPUTED_VALUE"""),"")</f>
        <v/>
      </c>
      <c r="L2610" t="str">
        <f>IFERROR(__xludf.DUMMYFUNCTION("""COMPUTED_VALUE"""),"")</f>
        <v/>
      </c>
      <c r="M2610" t="str">
        <f>IFERROR(__xludf.DUMMYFUNCTION("""COMPUTED_VALUE"""),"")</f>
        <v/>
      </c>
      <c r="N2610" t="str">
        <f>IFERROR(__xludf.DUMMYFUNCTION("""COMPUTED_VALUE"""),"")</f>
        <v/>
      </c>
      <c r="O2610" t="str">
        <f>IFERROR(__xludf.DUMMYFUNCTION("""COMPUTED_VALUE"""),"")</f>
        <v/>
      </c>
      <c r="P2610" t="str">
        <f>IFERROR(__xludf.DUMMYFUNCTION("""COMPUTED_VALUE"""),"ID ")</f>
        <v>ID </v>
      </c>
    </row>
    <row r="2611">
      <c r="A2611" s="6" t="str">
        <f>IFERROR(__xludf.DUMMYFUNCTION("""COMPUTED_VALUE"""),"")</f>
        <v/>
      </c>
      <c r="C2611" t="str">
        <f>IFERROR(__xludf.DUMMYFUNCTION("""COMPUTED_VALUE"""),"")</f>
        <v/>
      </c>
      <c r="D2611" t="str">
        <f>IFERROR(__xludf.DUMMYFUNCTION("""COMPUTED_VALUE"""),"")</f>
        <v/>
      </c>
      <c r="E2611" t="str">
        <f>IFERROR(__xludf.DUMMYFUNCTION("""COMPUTED_VALUE"""),"")</f>
        <v/>
      </c>
      <c r="F2611" t="str">
        <f>IFERROR(__xludf.DUMMYFUNCTION("""COMPUTED_VALUE"""),"")</f>
        <v/>
      </c>
      <c r="G2611" t="str">
        <f>IFERROR(__xludf.DUMMYFUNCTION("""COMPUTED_VALUE"""),"")</f>
        <v/>
      </c>
      <c r="H2611" s="2" t="str">
        <f>IFERROR(__xludf.DUMMYFUNCTION("""COMPUTED_VALUE"""),"")</f>
        <v/>
      </c>
      <c r="I2611" s="2" t="str">
        <f>IFERROR(__xludf.DUMMYFUNCTION("""COMPUTED_VALUE"""),"")</f>
        <v/>
      </c>
      <c r="J2611" s="2">
        <f>IFERROR(__xludf.DUMMYFUNCTION("""COMPUTED_VALUE"""),0.0)</f>
        <v>0</v>
      </c>
      <c r="K2611" s="5" t="str">
        <f>IFERROR(__xludf.DUMMYFUNCTION("""COMPUTED_VALUE"""),"")</f>
        <v/>
      </c>
      <c r="L2611" t="str">
        <f>IFERROR(__xludf.DUMMYFUNCTION("""COMPUTED_VALUE"""),"")</f>
        <v/>
      </c>
      <c r="M2611" t="str">
        <f>IFERROR(__xludf.DUMMYFUNCTION("""COMPUTED_VALUE"""),"")</f>
        <v/>
      </c>
      <c r="N2611" t="str">
        <f>IFERROR(__xludf.DUMMYFUNCTION("""COMPUTED_VALUE"""),"")</f>
        <v/>
      </c>
      <c r="O2611" t="str">
        <f>IFERROR(__xludf.DUMMYFUNCTION("""COMPUTED_VALUE"""),"")</f>
        <v/>
      </c>
      <c r="P2611" t="str">
        <f>IFERROR(__xludf.DUMMYFUNCTION("""COMPUTED_VALUE"""),"ID ")</f>
        <v>ID </v>
      </c>
    </row>
    <row r="2612">
      <c r="A2612" s="6" t="str">
        <f>IFERROR(__xludf.DUMMYFUNCTION("""COMPUTED_VALUE"""),"")</f>
        <v/>
      </c>
      <c r="C2612" t="str">
        <f>IFERROR(__xludf.DUMMYFUNCTION("""COMPUTED_VALUE"""),"")</f>
        <v/>
      </c>
      <c r="D2612" t="str">
        <f>IFERROR(__xludf.DUMMYFUNCTION("""COMPUTED_VALUE"""),"")</f>
        <v/>
      </c>
      <c r="E2612" t="str">
        <f>IFERROR(__xludf.DUMMYFUNCTION("""COMPUTED_VALUE"""),"")</f>
        <v/>
      </c>
      <c r="F2612" t="str">
        <f>IFERROR(__xludf.DUMMYFUNCTION("""COMPUTED_VALUE"""),"")</f>
        <v/>
      </c>
      <c r="G2612" t="str">
        <f>IFERROR(__xludf.DUMMYFUNCTION("""COMPUTED_VALUE"""),"")</f>
        <v/>
      </c>
      <c r="H2612" s="2" t="str">
        <f>IFERROR(__xludf.DUMMYFUNCTION("""COMPUTED_VALUE"""),"")</f>
        <v/>
      </c>
      <c r="I2612" s="2" t="str">
        <f>IFERROR(__xludf.DUMMYFUNCTION("""COMPUTED_VALUE"""),"")</f>
        <v/>
      </c>
      <c r="J2612" s="2">
        <f>IFERROR(__xludf.DUMMYFUNCTION("""COMPUTED_VALUE"""),0.0)</f>
        <v>0</v>
      </c>
      <c r="K2612" s="5" t="str">
        <f>IFERROR(__xludf.DUMMYFUNCTION("""COMPUTED_VALUE"""),"")</f>
        <v/>
      </c>
      <c r="L2612" t="str">
        <f>IFERROR(__xludf.DUMMYFUNCTION("""COMPUTED_VALUE"""),"")</f>
        <v/>
      </c>
      <c r="M2612" t="str">
        <f>IFERROR(__xludf.DUMMYFUNCTION("""COMPUTED_VALUE"""),"")</f>
        <v/>
      </c>
      <c r="N2612" t="str">
        <f>IFERROR(__xludf.DUMMYFUNCTION("""COMPUTED_VALUE"""),"")</f>
        <v/>
      </c>
      <c r="O2612" t="str">
        <f>IFERROR(__xludf.DUMMYFUNCTION("""COMPUTED_VALUE"""),"")</f>
        <v/>
      </c>
      <c r="P2612" t="str">
        <f>IFERROR(__xludf.DUMMYFUNCTION("""COMPUTED_VALUE"""),"ID ")</f>
        <v>ID </v>
      </c>
    </row>
    <row r="2613">
      <c r="A2613" s="6" t="str">
        <f>IFERROR(__xludf.DUMMYFUNCTION("""COMPUTED_VALUE"""),"")</f>
        <v/>
      </c>
      <c r="C2613" t="str">
        <f>IFERROR(__xludf.DUMMYFUNCTION("""COMPUTED_VALUE"""),"")</f>
        <v/>
      </c>
      <c r="D2613" t="str">
        <f>IFERROR(__xludf.DUMMYFUNCTION("""COMPUTED_VALUE"""),"")</f>
        <v/>
      </c>
      <c r="E2613" t="str">
        <f>IFERROR(__xludf.DUMMYFUNCTION("""COMPUTED_VALUE"""),"")</f>
        <v/>
      </c>
      <c r="F2613" t="str">
        <f>IFERROR(__xludf.DUMMYFUNCTION("""COMPUTED_VALUE"""),"")</f>
        <v/>
      </c>
      <c r="G2613" t="str">
        <f>IFERROR(__xludf.DUMMYFUNCTION("""COMPUTED_VALUE"""),"")</f>
        <v/>
      </c>
      <c r="H2613" s="2" t="str">
        <f>IFERROR(__xludf.DUMMYFUNCTION("""COMPUTED_VALUE"""),"")</f>
        <v/>
      </c>
      <c r="I2613" s="2" t="str">
        <f>IFERROR(__xludf.DUMMYFUNCTION("""COMPUTED_VALUE"""),"")</f>
        <v/>
      </c>
      <c r="J2613" s="2">
        <f>IFERROR(__xludf.DUMMYFUNCTION("""COMPUTED_VALUE"""),0.0)</f>
        <v>0</v>
      </c>
      <c r="K2613" s="5" t="str">
        <f>IFERROR(__xludf.DUMMYFUNCTION("""COMPUTED_VALUE"""),"")</f>
        <v/>
      </c>
      <c r="L2613" t="str">
        <f>IFERROR(__xludf.DUMMYFUNCTION("""COMPUTED_VALUE"""),"")</f>
        <v/>
      </c>
      <c r="M2613" t="str">
        <f>IFERROR(__xludf.DUMMYFUNCTION("""COMPUTED_VALUE"""),"")</f>
        <v/>
      </c>
      <c r="N2613" t="str">
        <f>IFERROR(__xludf.DUMMYFUNCTION("""COMPUTED_VALUE"""),"")</f>
        <v/>
      </c>
      <c r="O2613" t="str">
        <f>IFERROR(__xludf.DUMMYFUNCTION("""COMPUTED_VALUE"""),"")</f>
        <v/>
      </c>
      <c r="P2613" t="str">
        <f>IFERROR(__xludf.DUMMYFUNCTION("""COMPUTED_VALUE"""),"ID ")</f>
        <v>ID </v>
      </c>
    </row>
    <row r="2614">
      <c r="A2614" s="6" t="str">
        <f>IFERROR(__xludf.DUMMYFUNCTION("""COMPUTED_VALUE"""),"")</f>
        <v/>
      </c>
      <c r="C2614" t="str">
        <f>IFERROR(__xludf.DUMMYFUNCTION("""COMPUTED_VALUE"""),"")</f>
        <v/>
      </c>
      <c r="D2614" t="str">
        <f>IFERROR(__xludf.DUMMYFUNCTION("""COMPUTED_VALUE"""),"")</f>
        <v/>
      </c>
      <c r="E2614" t="str">
        <f>IFERROR(__xludf.DUMMYFUNCTION("""COMPUTED_VALUE"""),"")</f>
        <v/>
      </c>
      <c r="F2614" t="str">
        <f>IFERROR(__xludf.DUMMYFUNCTION("""COMPUTED_VALUE"""),"")</f>
        <v/>
      </c>
      <c r="G2614" t="str">
        <f>IFERROR(__xludf.DUMMYFUNCTION("""COMPUTED_VALUE"""),"")</f>
        <v/>
      </c>
      <c r="H2614" s="2" t="str">
        <f>IFERROR(__xludf.DUMMYFUNCTION("""COMPUTED_VALUE"""),"")</f>
        <v/>
      </c>
      <c r="I2614" s="2" t="str">
        <f>IFERROR(__xludf.DUMMYFUNCTION("""COMPUTED_VALUE"""),"")</f>
        <v/>
      </c>
      <c r="J2614" s="2">
        <f>IFERROR(__xludf.DUMMYFUNCTION("""COMPUTED_VALUE"""),0.0)</f>
        <v>0</v>
      </c>
      <c r="K2614" s="5" t="str">
        <f>IFERROR(__xludf.DUMMYFUNCTION("""COMPUTED_VALUE"""),"")</f>
        <v/>
      </c>
      <c r="L2614" t="str">
        <f>IFERROR(__xludf.DUMMYFUNCTION("""COMPUTED_VALUE"""),"")</f>
        <v/>
      </c>
      <c r="M2614" t="str">
        <f>IFERROR(__xludf.DUMMYFUNCTION("""COMPUTED_VALUE"""),"")</f>
        <v/>
      </c>
      <c r="N2614" t="str">
        <f>IFERROR(__xludf.DUMMYFUNCTION("""COMPUTED_VALUE"""),"")</f>
        <v/>
      </c>
      <c r="O2614" t="str">
        <f>IFERROR(__xludf.DUMMYFUNCTION("""COMPUTED_VALUE"""),"")</f>
        <v/>
      </c>
      <c r="P2614" t="str">
        <f>IFERROR(__xludf.DUMMYFUNCTION("""COMPUTED_VALUE"""),"ID ")</f>
        <v>ID </v>
      </c>
    </row>
    <row r="2615">
      <c r="A2615" s="6" t="str">
        <f>IFERROR(__xludf.DUMMYFUNCTION("""COMPUTED_VALUE"""),"")</f>
        <v/>
      </c>
      <c r="C2615" t="str">
        <f>IFERROR(__xludf.DUMMYFUNCTION("""COMPUTED_VALUE"""),"")</f>
        <v/>
      </c>
      <c r="D2615" t="str">
        <f>IFERROR(__xludf.DUMMYFUNCTION("""COMPUTED_VALUE"""),"")</f>
        <v/>
      </c>
      <c r="E2615" t="str">
        <f>IFERROR(__xludf.DUMMYFUNCTION("""COMPUTED_VALUE"""),"")</f>
        <v/>
      </c>
      <c r="F2615" t="str">
        <f>IFERROR(__xludf.DUMMYFUNCTION("""COMPUTED_VALUE"""),"")</f>
        <v/>
      </c>
      <c r="G2615" t="str">
        <f>IFERROR(__xludf.DUMMYFUNCTION("""COMPUTED_VALUE"""),"")</f>
        <v/>
      </c>
      <c r="H2615" s="2" t="str">
        <f>IFERROR(__xludf.DUMMYFUNCTION("""COMPUTED_VALUE"""),"")</f>
        <v/>
      </c>
      <c r="I2615" s="2" t="str">
        <f>IFERROR(__xludf.DUMMYFUNCTION("""COMPUTED_VALUE"""),"")</f>
        <v/>
      </c>
      <c r="J2615" s="2">
        <f>IFERROR(__xludf.DUMMYFUNCTION("""COMPUTED_VALUE"""),0.0)</f>
        <v>0</v>
      </c>
      <c r="K2615" s="5" t="str">
        <f>IFERROR(__xludf.DUMMYFUNCTION("""COMPUTED_VALUE"""),"")</f>
        <v/>
      </c>
      <c r="L2615" t="str">
        <f>IFERROR(__xludf.DUMMYFUNCTION("""COMPUTED_VALUE"""),"")</f>
        <v/>
      </c>
      <c r="M2615" t="str">
        <f>IFERROR(__xludf.DUMMYFUNCTION("""COMPUTED_VALUE"""),"")</f>
        <v/>
      </c>
      <c r="N2615" t="str">
        <f>IFERROR(__xludf.DUMMYFUNCTION("""COMPUTED_VALUE"""),"")</f>
        <v/>
      </c>
      <c r="O2615" t="str">
        <f>IFERROR(__xludf.DUMMYFUNCTION("""COMPUTED_VALUE"""),"")</f>
        <v/>
      </c>
      <c r="P2615" t="str">
        <f>IFERROR(__xludf.DUMMYFUNCTION("""COMPUTED_VALUE"""),"ID ")</f>
        <v>ID </v>
      </c>
    </row>
    <row r="2616">
      <c r="A2616" s="6" t="str">
        <f>IFERROR(__xludf.DUMMYFUNCTION("""COMPUTED_VALUE"""),"")</f>
        <v/>
      </c>
      <c r="C2616" t="str">
        <f>IFERROR(__xludf.DUMMYFUNCTION("""COMPUTED_VALUE"""),"")</f>
        <v/>
      </c>
      <c r="D2616" t="str">
        <f>IFERROR(__xludf.DUMMYFUNCTION("""COMPUTED_VALUE"""),"")</f>
        <v/>
      </c>
      <c r="E2616" t="str">
        <f>IFERROR(__xludf.DUMMYFUNCTION("""COMPUTED_VALUE"""),"")</f>
        <v/>
      </c>
      <c r="F2616" t="str">
        <f>IFERROR(__xludf.DUMMYFUNCTION("""COMPUTED_VALUE"""),"")</f>
        <v/>
      </c>
      <c r="G2616" t="str">
        <f>IFERROR(__xludf.DUMMYFUNCTION("""COMPUTED_VALUE"""),"")</f>
        <v/>
      </c>
      <c r="H2616" s="2" t="str">
        <f>IFERROR(__xludf.DUMMYFUNCTION("""COMPUTED_VALUE"""),"")</f>
        <v/>
      </c>
      <c r="I2616" s="2" t="str">
        <f>IFERROR(__xludf.DUMMYFUNCTION("""COMPUTED_VALUE"""),"")</f>
        <v/>
      </c>
      <c r="J2616" s="2">
        <f>IFERROR(__xludf.DUMMYFUNCTION("""COMPUTED_VALUE"""),0.0)</f>
        <v>0</v>
      </c>
      <c r="K2616" s="5" t="str">
        <f>IFERROR(__xludf.DUMMYFUNCTION("""COMPUTED_VALUE"""),"")</f>
        <v/>
      </c>
      <c r="L2616" t="str">
        <f>IFERROR(__xludf.DUMMYFUNCTION("""COMPUTED_VALUE"""),"")</f>
        <v/>
      </c>
      <c r="M2616" t="str">
        <f>IFERROR(__xludf.DUMMYFUNCTION("""COMPUTED_VALUE"""),"")</f>
        <v/>
      </c>
      <c r="N2616" t="str">
        <f>IFERROR(__xludf.DUMMYFUNCTION("""COMPUTED_VALUE"""),"")</f>
        <v/>
      </c>
      <c r="O2616" t="str">
        <f>IFERROR(__xludf.DUMMYFUNCTION("""COMPUTED_VALUE"""),"")</f>
        <v/>
      </c>
      <c r="P2616" t="str">
        <f>IFERROR(__xludf.DUMMYFUNCTION("""COMPUTED_VALUE"""),"ID ")</f>
        <v>ID </v>
      </c>
    </row>
    <row r="2617">
      <c r="A2617" s="6" t="str">
        <f>IFERROR(__xludf.DUMMYFUNCTION("""COMPUTED_VALUE"""),"")</f>
        <v/>
      </c>
      <c r="C2617" t="str">
        <f>IFERROR(__xludf.DUMMYFUNCTION("""COMPUTED_VALUE"""),"")</f>
        <v/>
      </c>
      <c r="D2617" t="str">
        <f>IFERROR(__xludf.DUMMYFUNCTION("""COMPUTED_VALUE"""),"")</f>
        <v/>
      </c>
      <c r="E2617" t="str">
        <f>IFERROR(__xludf.DUMMYFUNCTION("""COMPUTED_VALUE"""),"")</f>
        <v/>
      </c>
      <c r="F2617" t="str">
        <f>IFERROR(__xludf.DUMMYFUNCTION("""COMPUTED_VALUE"""),"")</f>
        <v/>
      </c>
      <c r="G2617" t="str">
        <f>IFERROR(__xludf.DUMMYFUNCTION("""COMPUTED_VALUE"""),"")</f>
        <v/>
      </c>
      <c r="H2617" s="2" t="str">
        <f>IFERROR(__xludf.DUMMYFUNCTION("""COMPUTED_VALUE"""),"")</f>
        <v/>
      </c>
      <c r="I2617" s="2" t="str">
        <f>IFERROR(__xludf.DUMMYFUNCTION("""COMPUTED_VALUE"""),"")</f>
        <v/>
      </c>
      <c r="J2617" s="2">
        <f>IFERROR(__xludf.DUMMYFUNCTION("""COMPUTED_VALUE"""),0.0)</f>
        <v>0</v>
      </c>
      <c r="K2617" s="5" t="str">
        <f>IFERROR(__xludf.DUMMYFUNCTION("""COMPUTED_VALUE"""),"")</f>
        <v/>
      </c>
      <c r="L2617" t="str">
        <f>IFERROR(__xludf.DUMMYFUNCTION("""COMPUTED_VALUE"""),"")</f>
        <v/>
      </c>
      <c r="M2617" t="str">
        <f>IFERROR(__xludf.DUMMYFUNCTION("""COMPUTED_VALUE"""),"")</f>
        <v/>
      </c>
      <c r="N2617" t="str">
        <f>IFERROR(__xludf.DUMMYFUNCTION("""COMPUTED_VALUE"""),"")</f>
        <v/>
      </c>
      <c r="O2617" t="str">
        <f>IFERROR(__xludf.DUMMYFUNCTION("""COMPUTED_VALUE"""),"")</f>
        <v/>
      </c>
      <c r="P2617" t="str">
        <f>IFERROR(__xludf.DUMMYFUNCTION("""COMPUTED_VALUE"""),"ID ")</f>
        <v>ID </v>
      </c>
    </row>
    <row r="2618">
      <c r="A2618" s="6" t="str">
        <f>IFERROR(__xludf.DUMMYFUNCTION("""COMPUTED_VALUE"""),"")</f>
        <v/>
      </c>
      <c r="C2618" t="str">
        <f>IFERROR(__xludf.DUMMYFUNCTION("""COMPUTED_VALUE"""),"")</f>
        <v/>
      </c>
      <c r="D2618" t="str">
        <f>IFERROR(__xludf.DUMMYFUNCTION("""COMPUTED_VALUE"""),"")</f>
        <v/>
      </c>
      <c r="E2618" t="str">
        <f>IFERROR(__xludf.DUMMYFUNCTION("""COMPUTED_VALUE"""),"")</f>
        <v/>
      </c>
      <c r="F2618" t="str">
        <f>IFERROR(__xludf.DUMMYFUNCTION("""COMPUTED_VALUE"""),"")</f>
        <v/>
      </c>
      <c r="G2618" t="str">
        <f>IFERROR(__xludf.DUMMYFUNCTION("""COMPUTED_VALUE"""),"")</f>
        <v/>
      </c>
      <c r="H2618" s="2" t="str">
        <f>IFERROR(__xludf.DUMMYFUNCTION("""COMPUTED_VALUE"""),"")</f>
        <v/>
      </c>
      <c r="I2618" s="2" t="str">
        <f>IFERROR(__xludf.DUMMYFUNCTION("""COMPUTED_VALUE"""),"")</f>
        <v/>
      </c>
      <c r="J2618" s="2">
        <f>IFERROR(__xludf.DUMMYFUNCTION("""COMPUTED_VALUE"""),0.0)</f>
        <v>0</v>
      </c>
      <c r="K2618" s="5" t="str">
        <f>IFERROR(__xludf.DUMMYFUNCTION("""COMPUTED_VALUE"""),"")</f>
        <v/>
      </c>
      <c r="L2618" t="str">
        <f>IFERROR(__xludf.DUMMYFUNCTION("""COMPUTED_VALUE"""),"")</f>
        <v/>
      </c>
      <c r="M2618" t="str">
        <f>IFERROR(__xludf.DUMMYFUNCTION("""COMPUTED_VALUE"""),"")</f>
        <v/>
      </c>
      <c r="N2618" t="str">
        <f>IFERROR(__xludf.DUMMYFUNCTION("""COMPUTED_VALUE"""),"")</f>
        <v/>
      </c>
      <c r="O2618" t="str">
        <f>IFERROR(__xludf.DUMMYFUNCTION("""COMPUTED_VALUE"""),"")</f>
        <v/>
      </c>
      <c r="P2618" t="str">
        <f>IFERROR(__xludf.DUMMYFUNCTION("""COMPUTED_VALUE"""),"ID ")</f>
        <v>ID </v>
      </c>
    </row>
    <row r="2619">
      <c r="A2619" s="6" t="str">
        <f>IFERROR(__xludf.DUMMYFUNCTION("""COMPUTED_VALUE"""),"")</f>
        <v/>
      </c>
      <c r="C2619" t="str">
        <f>IFERROR(__xludf.DUMMYFUNCTION("""COMPUTED_VALUE"""),"")</f>
        <v/>
      </c>
      <c r="D2619" t="str">
        <f>IFERROR(__xludf.DUMMYFUNCTION("""COMPUTED_VALUE"""),"")</f>
        <v/>
      </c>
      <c r="E2619" t="str">
        <f>IFERROR(__xludf.DUMMYFUNCTION("""COMPUTED_VALUE"""),"")</f>
        <v/>
      </c>
      <c r="F2619" t="str">
        <f>IFERROR(__xludf.DUMMYFUNCTION("""COMPUTED_VALUE"""),"")</f>
        <v/>
      </c>
      <c r="G2619" t="str">
        <f>IFERROR(__xludf.DUMMYFUNCTION("""COMPUTED_VALUE"""),"")</f>
        <v/>
      </c>
      <c r="H2619" s="2" t="str">
        <f>IFERROR(__xludf.DUMMYFUNCTION("""COMPUTED_VALUE"""),"")</f>
        <v/>
      </c>
      <c r="I2619" s="2" t="str">
        <f>IFERROR(__xludf.DUMMYFUNCTION("""COMPUTED_VALUE"""),"")</f>
        <v/>
      </c>
      <c r="J2619" s="2">
        <f>IFERROR(__xludf.DUMMYFUNCTION("""COMPUTED_VALUE"""),0.0)</f>
        <v>0</v>
      </c>
      <c r="K2619" s="5" t="str">
        <f>IFERROR(__xludf.DUMMYFUNCTION("""COMPUTED_VALUE"""),"")</f>
        <v/>
      </c>
      <c r="L2619" t="str">
        <f>IFERROR(__xludf.DUMMYFUNCTION("""COMPUTED_VALUE"""),"")</f>
        <v/>
      </c>
      <c r="M2619" t="str">
        <f>IFERROR(__xludf.DUMMYFUNCTION("""COMPUTED_VALUE"""),"")</f>
        <v/>
      </c>
      <c r="N2619" t="str">
        <f>IFERROR(__xludf.DUMMYFUNCTION("""COMPUTED_VALUE"""),"")</f>
        <v/>
      </c>
      <c r="O2619" t="str">
        <f>IFERROR(__xludf.DUMMYFUNCTION("""COMPUTED_VALUE"""),"")</f>
        <v/>
      </c>
      <c r="P2619" t="str">
        <f>IFERROR(__xludf.DUMMYFUNCTION("""COMPUTED_VALUE"""),"ID ")</f>
        <v>ID </v>
      </c>
    </row>
    <row r="2620">
      <c r="A2620" s="6" t="str">
        <f>IFERROR(__xludf.DUMMYFUNCTION("""COMPUTED_VALUE"""),"")</f>
        <v/>
      </c>
      <c r="C2620" t="str">
        <f>IFERROR(__xludf.DUMMYFUNCTION("""COMPUTED_VALUE"""),"")</f>
        <v/>
      </c>
      <c r="D2620" t="str">
        <f>IFERROR(__xludf.DUMMYFUNCTION("""COMPUTED_VALUE"""),"")</f>
        <v/>
      </c>
      <c r="E2620" t="str">
        <f>IFERROR(__xludf.DUMMYFUNCTION("""COMPUTED_VALUE"""),"")</f>
        <v/>
      </c>
      <c r="F2620" t="str">
        <f>IFERROR(__xludf.DUMMYFUNCTION("""COMPUTED_VALUE"""),"")</f>
        <v/>
      </c>
      <c r="G2620" t="str">
        <f>IFERROR(__xludf.DUMMYFUNCTION("""COMPUTED_VALUE"""),"")</f>
        <v/>
      </c>
      <c r="H2620" s="2" t="str">
        <f>IFERROR(__xludf.DUMMYFUNCTION("""COMPUTED_VALUE"""),"")</f>
        <v/>
      </c>
      <c r="I2620" s="2" t="str">
        <f>IFERROR(__xludf.DUMMYFUNCTION("""COMPUTED_VALUE"""),"")</f>
        <v/>
      </c>
      <c r="J2620" s="2">
        <f>IFERROR(__xludf.DUMMYFUNCTION("""COMPUTED_VALUE"""),0.0)</f>
        <v>0</v>
      </c>
      <c r="K2620" s="5" t="str">
        <f>IFERROR(__xludf.DUMMYFUNCTION("""COMPUTED_VALUE"""),"")</f>
        <v/>
      </c>
      <c r="L2620" t="str">
        <f>IFERROR(__xludf.DUMMYFUNCTION("""COMPUTED_VALUE"""),"")</f>
        <v/>
      </c>
      <c r="M2620" t="str">
        <f>IFERROR(__xludf.DUMMYFUNCTION("""COMPUTED_VALUE"""),"")</f>
        <v/>
      </c>
      <c r="N2620" t="str">
        <f>IFERROR(__xludf.DUMMYFUNCTION("""COMPUTED_VALUE"""),"")</f>
        <v/>
      </c>
      <c r="O2620" t="str">
        <f>IFERROR(__xludf.DUMMYFUNCTION("""COMPUTED_VALUE"""),"")</f>
        <v/>
      </c>
      <c r="P2620" t="str">
        <f>IFERROR(__xludf.DUMMYFUNCTION("""COMPUTED_VALUE"""),"ID ")</f>
        <v>ID </v>
      </c>
    </row>
    <row r="2621">
      <c r="A2621" s="6" t="str">
        <f>IFERROR(__xludf.DUMMYFUNCTION("""COMPUTED_VALUE"""),"")</f>
        <v/>
      </c>
      <c r="C2621" t="str">
        <f>IFERROR(__xludf.DUMMYFUNCTION("""COMPUTED_VALUE"""),"")</f>
        <v/>
      </c>
      <c r="D2621" t="str">
        <f>IFERROR(__xludf.DUMMYFUNCTION("""COMPUTED_VALUE"""),"")</f>
        <v/>
      </c>
      <c r="E2621" t="str">
        <f>IFERROR(__xludf.DUMMYFUNCTION("""COMPUTED_VALUE"""),"")</f>
        <v/>
      </c>
      <c r="F2621" t="str">
        <f>IFERROR(__xludf.DUMMYFUNCTION("""COMPUTED_VALUE"""),"")</f>
        <v/>
      </c>
      <c r="G2621" t="str">
        <f>IFERROR(__xludf.DUMMYFUNCTION("""COMPUTED_VALUE"""),"")</f>
        <v/>
      </c>
      <c r="H2621" s="2" t="str">
        <f>IFERROR(__xludf.DUMMYFUNCTION("""COMPUTED_VALUE"""),"")</f>
        <v/>
      </c>
      <c r="I2621" s="2" t="str">
        <f>IFERROR(__xludf.DUMMYFUNCTION("""COMPUTED_VALUE"""),"")</f>
        <v/>
      </c>
      <c r="J2621" s="2">
        <f>IFERROR(__xludf.DUMMYFUNCTION("""COMPUTED_VALUE"""),0.0)</f>
        <v>0</v>
      </c>
      <c r="K2621" s="5" t="str">
        <f>IFERROR(__xludf.DUMMYFUNCTION("""COMPUTED_VALUE"""),"")</f>
        <v/>
      </c>
      <c r="L2621" t="str">
        <f>IFERROR(__xludf.DUMMYFUNCTION("""COMPUTED_VALUE"""),"")</f>
        <v/>
      </c>
      <c r="M2621" t="str">
        <f>IFERROR(__xludf.DUMMYFUNCTION("""COMPUTED_VALUE"""),"")</f>
        <v/>
      </c>
      <c r="N2621" t="str">
        <f>IFERROR(__xludf.DUMMYFUNCTION("""COMPUTED_VALUE"""),"")</f>
        <v/>
      </c>
      <c r="O2621" t="str">
        <f>IFERROR(__xludf.DUMMYFUNCTION("""COMPUTED_VALUE"""),"")</f>
        <v/>
      </c>
      <c r="P2621" t="str">
        <f>IFERROR(__xludf.DUMMYFUNCTION("""COMPUTED_VALUE"""),"ID ")</f>
        <v>ID </v>
      </c>
    </row>
    <row r="2622">
      <c r="A2622" s="6" t="str">
        <f>IFERROR(__xludf.DUMMYFUNCTION("""COMPUTED_VALUE"""),"")</f>
        <v/>
      </c>
      <c r="C2622" t="str">
        <f>IFERROR(__xludf.DUMMYFUNCTION("""COMPUTED_VALUE"""),"")</f>
        <v/>
      </c>
      <c r="D2622" t="str">
        <f>IFERROR(__xludf.DUMMYFUNCTION("""COMPUTED_VALUE"""),"")</f>
        <v/>
      </c>
      <c r="E2622" t="str">
        <f>IFERROR(__xludf.DUMMYFUNCTION("""COMPUTED_VALUE"""),"")</f>
        <v/>
      </c>
      <c r="F2622" t="str">
        <f>IFERROR(__xludf.DUMMYFUNCTION("""COMPUTED_VALUE"""),"")</f>
        <v/>
      </c>
      <c r="G2622" t="str">
        <f>IFERROR(__xludf.DUMMYFUNCTION("""COMPUTED_VALUE"""),"")</f>
        <v/>
      </c>
      <c r="H2622" s="2" t="str">
        <f>IFERROR(__xludf.DUMMYFUNCTION("""COMPUTED_VALUE"""),"")</f>
        <v/>
      </c>
      <c r="I2622" s="2" t="str">
        <f>IFERROR(__xludf.DUMMYFUNCTION("""COMPUTED_VALUE"""),"")</f>
        <v/>
      </c>
      <c r="J2622" s="2">
        <f>IFERROR(__xludf.DUMMYFUNCTION("""COMPUTED_VALUE"""),0.0)</f>
        <v>0</v>
      </c>
      <c r="K2622" s="5" t="str">
        <f>IFERROR(__xludf.DUMMYFUNCTION("""COMPUTED_VALUE"""),"")</f>
        <v/>
      </c>
      <c r="L2622" t="str">
        <f>IFERROR(__xludf.DUMMYFUNCTION("""COMPUTED_VALUE"""),"")</f>
        <v/>
      </c>
      <c r="M2622" t="str">
        <f>IFERROR(__xludf.DUMMYFUNCTION("""COMPUTED_VALUE"""),"")</f>
        <v/>
      </c>
      <c r="N2622" t="str">
        <f>IFERROR(__xludf.DUMMYFUNCTION("""COMPUTED_VALUE"""),"")</f>
        <v/>
      </c>
      <c r="O2622" t="str">
        <f>IFERROR(__xludf.DUMMYFUNCTION("""COMPUTED_VALUE"""),"")</f>
        <v/>
      </c>
      <c r="P2622" t="str">
        <f>IFERROR(__xludf.DUMMYFUNCTION("""COMPUTED_VALUE"""),"ID ")</f>
        <v>ID </v>
      </c>
    </row>
    <row r="2623">
      <c r="A2623" s="6" t="str">
        <f>IFERROR(__xludf.DUMMYFUNCTION("""COMPUTED_VALUE"""),"")</f>
        <v/>
      </c>
      <c r="C2623" t="str">
        <f>IFERROR(__xludf.DUMMYFUNCTION("""COMPUTED_VALUE"""),"")</f>
        <v/>
      </c>
      <c r="D2623" t="str">
        <f>IFERROR(__xludf.DUMMYFUNCTION("""COMPUTED_VALUE"""),"")</f>
        <v/>
      </c>
      <c r="E2623" t="str">
        <f>IFERROR(__xludf.DUMMYFUNCTION("""COMPUTED_VALUE"""),"")</f>
        <v/>
      </c>
      <c r="F2623" t="str">
        <f>IFERROR(__xludf.DUMMYFUNCTION("""COMPUTED_VALUE"""),"")</f>
        <v/>
      </c>
      <c r="G2623" t="str">
        <f>IFERROR(__xludf.DUMMYFUNCTION("""COMPUTED_VALUE"""),"")</f>
        <v/>
      </c>
      <c r="H2623" s="2" t="str">
        <f>IFERROR(__xludf.DUMMYFUNCTION("""COMPUTED_VALUE"""),"")</f>
        <v/>
      </c>
      <c r="I2623" s="2" t="str">
        <f>IFERROR(__xludf.DUMMYFUNCTION("""COMPUTED_VALUE"""),"")</f>
        <v/>
      </c>
      <c r="J2623" s="2">
        <f>IFERROR(__xludf.DUMMYFUNCTION("""COMPUTED_VALUE"""),0.0)</f>
        <v>0</v>
      </c>
      <c r="K2623" s="5" t="str">
        <f>IFERROR(__xludf.DUMMYFUNCTION("""COMPUTED_VALUE"""),"")</f>
        <v/>
      </c>
      <c r="L2623" t="str">
        <f>IFERROR(__xludf.DUMMYFUNCTION("""COMPUTED_VALUE"""),"")</f>
        <v/>
      </c>
      <c r="M2623" t="str">
        <f>IFERROR(__xludf.DUMMYFUNCTION("""COMPUTED_VALUE"""),"")</f>
        <v/>
      </c>
      <c r="N2623" t="str">
        <f>IFERROR(__xludf.DUMMYFUNCTION("""COMPUTED_VALUE"""),"")</f>
        <v/>
      </c>
      <c r="O2623" t="str">
        <f>IFERROR(__xludf.DUMMYFUNCTION("""COMPUTED_VALUE"""),"")</f>
        <v/>
      </c>
      <c r="P2623" t="str">
        <f>IFERROR(__xludf.DUMMYFUNCTION("""COMPUTED_VALUE"""),"ID ")</f>
        <v>ID </v>
      </c>
    </row>
    <row r="2624">
      <c r="A2624" s="6" t="str">
        <f>IFERROR(__xludf.DUMMYFUNCTION("""COMPUTED_VALUE"""),"")</f>
        <v/>
      </c>
      <c r="C2624" t="str">
        <f>IFERROR(__xludf.DUMMYFUNCTION("""COMPUTED_VALUE"""),"")</f>
        <v/>
      </c>
      <c r="D2624" t="str">
        <f>IFERROR(__xludf.DUMMYFUNCTION("""COMPUTED_VALUE"""),"")</f>
        <v/>
      </c>
      <c r="E2624" t="str">
        <f>IFERROR(__xludf.DUMMYFUNCTION("""COMPUTED_VALUE"""),"")</f>
        <v/>
      </c>
      <c r="F2624" t="str">
        <f>IFERROR(__xludf.DUMMYFUNCTION("""COMPUTED_VALUE"""),"")</f>
        <v/>
      </c>
      <c r="G2624" t="str">
        <f>IFERROR(__xludf.DUMMYFUNCTION("""COMPUTED_VALUE"""),"")</f>
        <v/>
      </c>
      <c r="H2624" s="2" t="str">
        <f>IFERROR(__xludf.DUMMYFUNCTION("""COMPUTED_VALUE"""),"")</f>
        <v/>
      </c>
      <c r="I2624" s="2" t="str">
        <f>IFERROR(__xludf.DUMMYFUNCTION("""COMPUTED_VALUE"""),"")</f>
        <v/>
      </c>
      <c r="J2624" s="2">
        <f>IFERROR(__xludf.DUMMYFUNCTION("""COMPUTED_VALUE"""),0.0)</f>
        <v>0</v>
      </c>
      <c r="K2624" s="5" t="str">
        <f>IFERROR(__xludf.DUMMYFUNCTION("""COMPUTED_VALUE"""),"")</f>
        <v/>
      </c>
      <c r="L2624" t="str">
        <f>IFERROR(__xludf.DUMMYFUNCTION("""COMPUTED_VALUE"""),"")</f>
        <v/>
      </c>
      <c r="M2624" t="str">
        <f>IFERROR(__xludf.DUMMYFUNCTION("""COMPUTED_VALUE"""),"")</f>
        <v/>
      </c>
      <c r="N2624" t="str">
        <f>IFERROR(__xludf.DUMMYFUNCTION("""COMPUTED_VALUE"""),"")</f>
        <v/>
      </c>
      <c r="O2624" t="str">
        <f>IFERROR(__xludf.DUMMYFUNCTION("""COMPUTED_VALUE"""),"")</f>
        <v/>
      </c>
      <c r="P2624" t="str">
        <f>IFERROR(__xludf.DUMMYFUNCTION("""COMPUTED_VALUE"""),"ID ")</f>
        <v>ID </v>
      </c>
    </row>
    <row r="2625">
      <c r="A2625" s="6" t="str">
        <f>IFERROR(__xludf.DUMMYFUNCTION("""COMPUTED_VALUE"""),"")</f>
        <v/>
      </c>
      <c r="C2625" t="str">
        <f>IFERROR(__xludf.DUMMYFUNCTION("""COMPUTED_VALUE"""),"")</f>
        <v/>
      </c>
      <c r="D2625" t="str">
        <f>IFERROR(__xludf.DUMMYFUNCTION("""COMPUTED_VALUE"""),"")</f>
        <v/>
      </c>
      <c r="E2625" t="str">
        <f>IFERROR(__xludf.DUMMYFUNCTION("""COMPUTED_VALUE"""),"")</f>
        <v/>
      </c>
      <c r="F2625" t="str">
        <f>IFERROR(__xludf.DUMMYFUNCTION("""COMPUTED_VALUE"""),"")</f>
        <v/>
      </c>
      <c r="G2625" t="str">
        <f>IFERROR(__xludf.DUMMYFUNCTION("""COMPUTED_VALUE"""),"")</f>
        <v/>
      </c>
      <c r="H2625" s="2" t="str">
        <f>IFERROR(__xludf.DUMMYFUNCTION("""COMPUTED_VALUE"""),"")</f>
        <v/>
      </c>
      <c r="I2625" s="2" t="str">
        <f>IFERROR(__xludf.DUMMYFUNCTION("""COMPUTED_VALUE"""),"")</f>
        <v/>
      </c>
      <c r="J2625" s="2">
        <f>IFERROR(__xludf.DUMMYFUNCTION("""COMPUTED_VALUE"""),0.0)</f>
        <v>0</v>
      </c>
      <c r="K2625" s="5" t="str">
        <f>IFERROR(__xludf.DUMMYFUNCTION("""COMPUTED_VALUE"""),"")</f>
        <v/>
      </c>
      <c r="L2625" t="str">
        <f>IFERROR(__xludf.DUMMYFUNCTION("""COMPUTED_VALUE"""),"")</f>
        <v/>
      </c>
      <c r="M2625" t="str">
        <f>IFERROR(__xludf.DUMMYFUNCTION("""COMPUTED_VALUE"""),"")</f>
        <v/>
      </c>
      <c r="N2625" t="str">
        <f>IFERROR(__xludf.DUMMYFUNCTION("""COMPUTED_VALUE"""),"")</f>
        <v/>
      </c>
      <c r="O2625" t="str">
        <f>IFERROR(__xludf.DUMMYFUNCTION("""COMPUTED_VALUE"""),"")</f>
        <v/>
      </c>
      <c r="P2625" t="str">
        <f>IFERROR(__xludf.DUMMYFUNCTION("""COMPUTED_VALUE"""),"ID ")</f>
        <v>ID </v>
      </c>
    </row>
    <row r="2626">
      <c r="A2626" s="6" t="str">
        <f>IFERROR(__xludf.DUMMYFUNCTION("""COMPUTED_VALUE"""),"")</f>
        <v/>
      </c>
      <c r="C2626" t="str">
        <f>IFERROR(__xludf.DUMMYFUNCTION("""COMPUTED_VALUE"""),"")</f>
        <v/>
      </c>
      <c r="D2626" t="str">
        <f>IFERROR(__xludf.DUMMYFUNCTION("""COMPUTED_VALUE"""),"")</f>
        <v/>
      </c>
      <c r="E2626" t="str">
        <f>IFERROR(__xludf.DUMMYFUNCTION("""COMPUTED_VALUE"""),"")</f>
        <v/>
      </c>
      <c r="F2626" t="str">
        <f>IFERROR(__xludf.DUMMYFUNCTION("""COMPUTED_VALUE"""),"")</f>
        <v/>
      </c>
      <c r="G2626" t="str">
        <f>IFERROR(__xludf.DUMMYFUNCTION("""COMPUTED_VALUE"""),"")</f>
        <v/>
      </c>
      <c r="H2626" s="2" t="str">
        <f>IFERROR(__xludf.DUMMYFUNCTION("""COMPUTED_VALUE"""),"")</f>
        <v/>
      </c>
      <c r="I2626" s="2" t="str">
        <f>IFERROR(__xludf.DUMMYFUNCTION("""COMPUTED_VALUE"""),"")</f>
        <v/>
      </c>
      <c r="J2626" s="2">
        <f>IFERROR(__xludf.DUMMYFUNCTION("""COMPUTED_VALUE"""),0.0)</f>
        <v>0</v>
      </c>
      <c r="K2626" s="5" t="str">
        <f>IFERROR(__xludf.DUMMYFUNCTION("""COMPUTED_VALUE"""),"")</f>
        <v/>
      </c>
      <c r="L2626" t="str">
        <f>IFERROR(__xludf.DUMMYFUNCTION("""COMPUTED_VALUE"""),"")</f>
        <v/>
      </c>
      <c r="M2626" t="str">
        <f>IFERROR(__xludf.DUMMYFUNCTION("""COMPUTED_VALUE"""),"")</f>
        <v/>
      </c>
      <c r="N2626" t="str">
        <f>IFERROR(__xludf.DUMMYFUNCTION("""COMPUTED_VALUE"""),"")</f>
        <v/>
      </c>
      <c r="O2626" t="str">
        <f>IFERROR(__xludf.DUMMYFUNCTION("""COMPUTED_VALUE"""),"")</f>
        <v/>
      </c>
      <c r="P2626" t="str">
        <f>IFERROR(__xludf.DUMMYFUNCTION("""COMPUTED_VALUE"""),"ID ")</f>
        <v>ID </v>
      </c>
    </row>
    <row r="2627">
      <c r="A2627" s="6" t="str">
        <f>IFERROR(__xludf.DUMMYFUNCTION("""COMPUTED_VALUE"""),"")</f>
        <v/>
      </c>
      <c r="C2627" t="str">
        <f>IFERROR(__xludf.DUMMYFUNCTION("""COMPUTED_VALUE"""),"")</f>
        <v/>
      </c>
      <c r="D2627" t="str">
        <f>IFERROR(__xludf.DUMMYFUNCTION("""COMPUTED_VALUE"""),"")</f>
        <v/>
      </c>
      <c r="E2627" t="str">
        <f>IFERROR(__xludf.DUMMYFUNCTION("""COMPUTED_VALUE"""),"")</f>
        <v/>
      </c>
      <c r="F2627" t="str">
        <f>IFERROR(__xludf.DUMMYFUNCTION("""COMPUTED_VALUE"""),"")</f>
        <v/>
      </c>
      <c r="G2627" t="str">
        <f>IFERROR(__xludf.DUMMYFUNCTION("""COMPUTED_VALUE"""),"")</f>
        <v/>
      </c>
      <c r="H2627" s="2" t="str">
        <f>IFERROR(__xludf.DUMMYFUNCTION("""COMPUTED_VALUE"""),"")</f>
        <v/>
      </c>
      <c r="I2627" s="2" t="str">
        <f>IFERROR(__xludf.DUMMYFUNCTION("""COMPUTED_VALUE"""),"")</f>
        <v/>
      </c>
      <c r="J2627" s="2">
        <f>IFERROR(__xludf.DUMMYFUNCTION("""COMPUTED_VALUE"""),0.0)</f>
        <v>0</v>
      </c>
      <c r="K2627" s="5" t="str">
        <f>IFERROR(__xludf.DUMMYFUNCTION("""COMPUTED_VALUE"""),"")</f>
        <v/>
      </c>
      <c r="L2627" t="str">
        <f>IFERROR(__xludf.DUMMYFUNCTION("""COMPUTED_VALUE"""),"")</f>
        <v/>
      </c>
      <c r="M2627" t="str">
        <f>IFERROR(__xludf.DUMMYFUNCTION("""COMPUTED_VALUE"""),"")</f>
        <v/>
      </c>
      <c r="N2627" t="str">
        <f>IFERROR(__xludf.DUMMYFUNCTION("""COMPUTED_VALUE"""),"")</f>
        <v/>
      </c>
      <c r="O2627" t="str">
        <f>IFERROR(__xludf.DUMMYFUNCTION("""COMPUTED_VALUE"""),"")</f>
        <v/>
      </c>
      <c r="P2627" t="str">
        <f>IFERROR(__xludf.DUMMYFUNCTION("""COMPUTED_VALUE"""),"ID ")</f>
        <v>ID </v>
      </c>
    </row>
    <row r="2628">
      <c r="A2628" s="6" t="str">
        <f>IFERROR(__xludf.DUMMYFUNCTION("""COMPUTED_VALUE"""),"")</f>
        <v/>
      </c>
      <c r="C2628" t="str">
        <f>IFERROR(__xludf.DUMMYFUNCTION("""COMPUTED_VALUE"""),"")</f>
        <v/>
      </c>
      <c r="D2628" t="str">
        <f>IFERROR(__xludf.DUMMYFUNCTION("""COMPUTED_VALUE"""),"")</f>
        <v/>
      </c>
      <c r="E2628" t="str">
        <f>IFERROR(__xludf.DUMMYFUNCTION("""COMPUTED_VALUE"""),"")</f>
        <v/>
      </c>
      <c r="F2628" t="str">
        <f>IFERROR(__xludf.DUMMYFUNCTION("""COMPUTED_VALUE"""),"")</f>
        <v/>
      </c>
      <c r="G2628" t="str">
        <f>IFERROR(__xludf.DUMMYFUNCTION("""COMPUTED_VALUE"""),"")</f>
        <v/>
      </c>
      <c r="H2628" s="2" t="str">
        <f>IFERROR(__xludf.DUMMYFUNCTION("""COMPUTED_VALUE"""),"")</f>
        <v/>
      </c>
      <c r="I2628" s="2" t="str">
        <f>IFERROR(__xludf.DUMMYFUNCTION("""COMPUTED_VALUE"""),"")</f>
        <v/>
      </c>
      <c r="J2628" s="2">
        <f>IFERROR(__xludf.DUMMYFUNCTION("""COMPUTED_VALUE"""),0.0)</f>
        <v>0</v>
      </c>
      <c r="K2628" s="5" t="str">
        <f>IFERROR(__xludf.DUMMYFUNCTION("""COMPUTED_VALUE"""),"")</f>
        <v/>
      </c>
      <c r="L2628" t="str">
        <f>IFERROR(__xludf.DUMMYFUNCTION("""COMPUTED_VALUE"""),"")</f>
        <v/>
      </c>
      <c r="M2628" t="str">
        <f>IFERROR(__xludf.DUMMYFUNCTION("""COMPUTED_VALUE"""),"")</f>
        <v/>
      </c>
      <c r="N2628" t="str">
        <f>IFERROR(__xludf.DUMMYFUNCTION("""COMPUTED_VALUE"""),"")</f>
        <v/>
      </c>
      <c r="O2628" t="str">
        <f>IFERROR(__xludf.DUMMYFUNCTION("""COMPUTED_VALUE"""),"")</f>
        <v/>
      </c>
      <c r="P2628" t="str">
        <f>IFERROR(__xludf.DUMMYFUNCTION("""COMPUTED_VALUE"""),"ID ")</f>
        <v>ID </v>
      </c>
    </row>
    <row r="2629">
      <c r="A2629" s="6" t="str">
        <f>IFERROR(__xludf.DUMMYFUNCTION("""COMPUTED_VALUE"""),"")</f>
        <v/>
      </c>
      <c r="C2629" t="str">
        <f>IFERROR(__xludf.DUMMYFUNCTION("""COMPUTED_VALUE"""),"")</f>
        <v/>
      </c>
      <c r="D2629" t="str">
        <f>IFERROR(__xludf.DUMMYFUNCTION("""COMPUTED_VALUE"""),"")</f>
        <v/>
      </c>
      <c r="E2629" t="str">
        <f>IFERROR(__xludf.DUMMYFUNCTION("""COMPUTED_VALUE"""),"")</f>
        <v/>
      </c>
      <c r="F2629" t="str">
        <f>IFERROR(__xludf.DUMMYFUNCTION("""COMPUTED_VALUE"""),"")</f>
        <v/>
      </c>
      <c r="G2629" t="str">
        <f>IFERROR(__xludf.DUMMYFUNCTION("""COMPUTED_VALUE"""),"")</f>
        <v/>
      </c>
      <c r="H2629" s="2" t="str">
        <f>IFERROR(__xludf.DUMMYFUNCTION("""COMPUTED_VALUE"""),"")</f>
        <v/>
      </c>
      <c r="I2629" s="2" t="str">
        <f>IFERROR(__xludf.DUMMYFUNCTION("""COMPUTED_VALUE"""),"")</f>
        <v/>
      </c>
      <c r="J2629" s="2">
        <f>IFERROR(__xludf.DUMMYFUNCTION("""COMPUTED_VALUE"""),0.0)</f>
        <v>0</v>
      </c>
      <c r="K2629" s="5" t="str">
        <f>IFERROR(__xludf.DUMMYFUNCTION("""COMPUTED_VALUE"""),"")</f>
        <v/>
      </c>
      <c r="L2629" t="str">
        <f>IFERROR(__xludf.DUMMYFUNCTION("""COMPUTED_VALUE"""),"")</f>
        <v/>
      </c>
      <c r="M2629" t="str">
        <f>IFERROR(__xludf.DUMMYFUNCTION("""COMPUTED_VALUE"""),"")</f>
        <v/>
      </c>
      <c r="N2629" t="str">
        <f>IFERROR(__xludf.DUMMYFUNCTION("""COMPUTED_VALUE"""),"")</f>
        <v/>
      </c>
      <c r="O2629" t="str">
        <f>IFERROR(__xludf.DUMMYFUNCTION("""COMPUTED_VALUE"""),"")</f>
        <v/>
      </c>
      <c r="P2629" t="str">
        <f>IFERROR(__xludf.DUMMYFUNCTION("""COMPUTED_VALUE"""),"ID ")</f>
        <v>ID </v>
      </c>
    </row>
    <row r="2630">
      <c r="A2630" s="6" t="str">
        <f>IFERROR(__xludf.DUMMYFUNCTION("""COMPUTED_VALUE"""),"")</f>
        <v/>
      </c>
      <c r="C2630" t="str">
        <f>IFERROR(__xludf.DUMMYFUNCTION("""COMPUTED_VALUE"""),"")</f>
        <v/>
      </c>
      <c r="D2630" t="str">
        <f>IFERROR(__xludf.DUMMYFUNCTION("""COMPUTED_VALUE"""),"")</f>
        <v/>
      </c>
      <c r="E2630" t="str">
        <f>IFERROR(__xludf.DUMMYFUNCTION("""COMPUTED_VALUE"""),"")</f>
        <v/>
      </c>
      <c r="F2630" t="str">
        <f>IFERROR(__xludf.DUMMYFUNCTION("""COMPUTED_VALUE"""),"")</f>
        <v/>
      </c>
      <c r="G2630" t="str">
        <f>IFERROR(__xludf.DUMMYFUNCTION("""COMPUTED_VALUE"""),"")</f>
        <v/>
      </c>
      <c r="H2630" s="2" t="str">
        <f>IFERROR(__xludf.DUMMYFUNCTION("""COMPUTED_VALUE"""),"")</f>
        <v/>
      </c>
      <c r="I2630" s="2" t="str">
        <f>IFERROR(__xludf.DUMMYFUNCTION("""COMPUTED_VALUE"""),"")</f>
        <v/>
      </c>
      <c r="J2630" s="2">
        <f>IFERROR(__xludf.DUMMYFUNCTION("""COMPUTED_VALUE"""),0.0)</f>
        <v>0</v>
      </c>
      <c r="K2630" s="5" t="str">
        <f>IFERROR(__xludf.DUMMYFUNCTION("""COMPUTED_VALUE"""),"")</f>
        <v/>
      </c>
      <c r="L2630" t="str">
        <f>IFERROR(__xludf.DUMMYFUNCTION("""COMPUTED_VALUE"""),"")</f>
        <v/>
      </c>
      <c r="M2630" t="str">
        <f>IFERROR(__xludf.DUMMYFUNCTION("""COMPUTED_VALUE"""),"")</f>
        <v/>
      </c>
      <c r="N2630" t="str">
        <f>IFERROR(__xludf.DUMMYFUNCTION("""COMPUTED_VALUE"""),"")</f>
        <v/>
      </c>
      <c r="O2630" t="str">
        <f>IFERROR(__xludf.DUMMYFUNCTION("""COMPUTED_VALUE"""),"")</f>
        <v/>
      </c>
      <c r="P2630" t="str">
        <f>IFERROR(__xludf.DUMMYFUNCTION("""COMPUTED_VALUE"""),"ID ")</f>
        <v>ID </v>
      </c>
    </row>
    <row r="2631">
      <c r="A2631" s="6" t="str">
        <f>IFERROR(__xludf.DUMMYFUNCTION("""COMPUTED_VALUE"""),"")</f>
        <v/>
      </c>
      <c r="C2631" t="str">
        <f>IFERROR(__xludf.DUMMYFUNCTION("""COMPUTED_VALUE"""),"")</f>
        <v/>
      </c>
      <c r="D2631" t="str">
        <f>IFERROR(__xludf.DUMMYFUNCTION("""COMPUTED_VALUE"""),"")</f>
        <v/>
      </c>
      <c r="E2631" t="str">
        <f>IFERROR(__xludf.DUMMYFUNCTION("""COMPUTED_VALUE"""),"")</f>
        <v/>
      </c>
      <c r="F2631" t="str">
        <f>IFERROR(__xludf.DUMMYFUNCTION("""COMPUTED_VALUE"""),"")</f>
        <v/>
      </c>
      <c r="G2631" t="str">
        <f>IFERROR(__xludf.DUMMYFUNCTION("""COMPUTED_VALUE"""),"")</f>
        <v/>
      </c>
      <c r="H2631" s="2" t="str">
        <f>IFERROR(__xludf.DUMMYFUNCTION("""COMPUTED_VALUE"""),"")</f>
        <v/>
      </c>
      <c r="I2631" s="2" t="str">
        <f>IFERROR(__xludf.DUMMYFUNCTION("""COMPUTED_VALUE"""),"")</f>
        <v/>
      </c>
      <c r="J2631" s="2">
        <f>IFERROR(__xludf.DUMMYFUNCTION("""COMPUTED_VALUE"""),0.0)</f>
        <v>0</v>
      </c>
      <c r="K2631" s="5" t="str">
        <f>IFERROR(__xludf.DUMMYFUNCTION("""COMPUTED_VALUE"""),"")</f>
        <v/>
      </c>
      <c r="L2631" t="str">
        <f>IFERROR(__xludf.DUMMYFUNCTION("""COMPUTED_VALUE"""),"")</f>
        <v/>
      </c>
      <c r="M2631" t="str">
        <f>IFERROR(__xludf.DUMMYFUNCTION("""COMPUTED_VALUE"""),"")</f>
        <v/>
      </c>
      <c r="N2631" t="str">
        <f>IFERROR(__xludf.DUMMYFUNCTION("""COMPUTED_VALUE"""),"")</f>
        <v/>
      </c>
      <c r="O2631" t="str">
        <f>IFERROR(__xludf.DUMMYFUNCTION("""COMPUTED_VALUE"""),"")</f>
        <v/>
      </c>
      <c r="P2631" t="str">
        <f>IFERROR(__xludf.DUMMYFUNCTION("""COMPUTED_VALUE"""),"ID ")</f>
        <v>ID </v>
      </c>
    </row>
    <row r="2632">
      <c r="A2632" s="6" t="str">
        <f>IFERROR(__xludf.DUMMYFUNCTION("""COMPUTED_VALUE"""),"")</f>
        <v/>
      </c>
      <c r="C2632" t="str">
        <f>IFERROR(__xludf.DUMMYFUNCTION("""COMPUTED_VALUE"""),"")</f>
        <v/>
      </c>
      <c r="D2632" t="str">
        <f>IFERROR(__xludf.DUMMYFUNCTION("""COMPUTED_VALUE"""),"")</f>
        <v/>
      </c>
      <c r="E2632" t="str">
        <f>IFERROR(__xludf.DUMMYFUNCTION("""COMPUTED_VALUE"""),"")</f>
        <v/>
      </c>
      <c r="F2632" t="str">
        <f>IFERROR(__xludf.DUMMYFUNCTION("""COMPUTED_VALUE"""),"")</f>
        <v/>
      </c>
      <c r="G2632" t="str">
        <f>IFERROR(__xludf.DUMMYFUNCTION("""COMPUTED_VALUE"""),"")</f>
        <v/>
      </c>
      <c r="H2632" s="2" t="str">
        <f>IFERROR(__xludf.DUMMYFUNCTION("""COMPUTED_VALUE"""),"")</f>
        <v/>
      </c>
      <c r="I2632" s="2" t="str">
        <f>IFERROR(__xludf.DUMMYFUNCTION("""COMPUTED_VALUE"""),"")</f>
        <v/>
      </c>
      <c r="J2632" s="2">
        <f>IFERROR(__xludf.DUMMYFUNCTION("""COMPUTED_VALUE"""),0.0)</f>
        <v>0</v>
      </c>
      <c r="K2632" s="5" t="str">
        <f>IFERROR(__xludf.DUMMYFUNCTION("""COMPUTED_VALUE"""),"")</f>
        <v/>
      </c>
      <c r="L2632" t="str">
        <f>IFERROR(__xludf.DUMMYFUNCTION("""COMPUTED_VALUE"""),"")</f>
        <v/>
      </c>
      <c r="M2632" t="str">
        <f>IFERROR(__xludf.DUMMYFUNCTION("""COMPUTED_VALUE"""),"")</f>
        <v/>
      </c>
      <c r="N2632" t="str">
        <f>IFERROR(__xludf.DUMMYFUNCTION("""COMPUTED_VALUE"""),"")</f>
        <v/>
      </c>
      <c r="O2632" t="str">
        <f>IFERROR(__xludf.DUMMYFUNCTION("""COMPUTED_VALUE"""),"")</f>
        <v/>
      </c>
      <c r="P2632" t="str">
        <f>IFERROR(__xludf.DUMMYFUNCTION("""COMPUTED_VALUE"""),"ID ")</f>
        <v>ID </v>
      </c>
    </row>
    <row r="2633">
      <c r="A2633" s="6" t="str">
        <f>IFERROR(__xludf.DUMMYFUNCTION("""COMPUTED_VALUE"""),"")</f>
        <v/>
      </c>
      <c r="C2633" t="str">
        <f>IFERROR(__xludf.DUMMYFUNCTION("""COMPUTED_VALUE"""),"")</f>
        <v/>
      </c>
      <c r="D2633" t="str">
        <f>IFERROR(__xludf.DUMMYFUNCTION("""COMPUTED_VALUE"""),"")</f>
        <v/>
      </c>
      <c r="E2633" t="str">
        <f>IFERROR(__xludf.DUMMYFUNCTION("""COMPUTED_VALUE"""),"")</f>
        <v/>
      </c>
      <c r="F2633" t="str">
        <f>IFERROR(__xludf.DUMMYFUNCTION("""COMPUTED_VALUE"""),"")</f>
        <v/>
      </c>
      <c r="G2633" t="str">
        <f>IFERROR(__xludf.DUMMYFUNCTION("""COMPUTED_VALUE"""),"")</f>
        <v/>
      </c>
      <c r="H2633" s="2" t="str">
        <f>IFERROR(__xludf.DUMMYFUNCTION("""COMPUTED_VALUE"""),"")</f>
        <v/>
      </c>
      <c r="I2633" s="2" t="str">
        <f>IFERROR(__xludf.DUMMYFUNCTION("""COMPUTED_VALUE"""),"")</f>
        <v/>
      </c>
      <c r="J2633" s="2">
        <f>IFERROR(__xludf.DUMMYFUNCTION("""COMPUTED_VALUE"""),0.0)</f>
        <v>0</v>
      </c>
      <c r="K2633" s="5" t="str">
        <f>IFERROR(__xludf.DUMMYFUNCTION("""COMPUTED_VALUE"""),"")</f>
        <v/>
      </c>
      <c r="L2633" t="str">
        <f>IFERROR(__xludf.DUMMYFUNCTION("""COMPUTED_VALUE"""),"")</f>
        <v/>
      </c>
      <c r="M2633" t="str">
        <f>IFERROR(__xludf.DUMMYFUNCTION("""COMPUTED_VALUE"""),"")</f>
        <v/>
      </c>
      <c r="N2633" t="str">
        <f>IFERROR(__xludf.DUMMYFUNCTION("""COMPUTED_VALUE"""),"")</f>
        <v/>
      </c>
      <c r="O2633" t="str">
        <f>IFERROR(__xludf.DUMMYFUNCTION("""COMPUTED_VALUE"""),"")</f>
        <v/>
      </c>
      <c r="P2633" t="str">
        <f>IFERROR(__xludf.DUMMYFUNCTION("""COMPUTED_VALUE"""),"ID ")</f>
        <v>ID </v>
      </c>
    </row>
    <row r="2634">
      <c r="A2634" s="6" t="str">
        <f>IFERROR(__xludf.DUMMYFUNCTION("""COMPUTED_VALUE"""),"")</f>
        <v/>
      </c>
      <c r="C2634" t="str">
        <f>IFERROR(__xludf.DUMMYFUNCTION("""COMPUTED_VALUE"""),"")</f>
        <v/>
      </c>
      <c r="D2634" t="str">
        <f>IFERROR(__xludf.DUMMYFUNCTION("""COMPUTED_VALUE"""),"")</f>
        <v/>
      </c>
      <c r="E2634" t="str">
        <f>IFERROR(__xludf.DUMMYFUNCTION("""COMPUTED_VALUE"""),"")</f>
        <v/>
      </c>
      <c r="F2634" t="str">
        <f>IFERROR(__xludf.DUMMYFUNCTION("""COMPUTED_VALUE"""),"")</f>
        <v/>
      </c>
      <c r="G2634" t="str">
        <f>IFERROR(__xludf.DUMMYFUNCTION("""COMPUTED_VALUE"""),"")</f>
        <v/>
      </c>
      <c r="H2634" s="2" t="str">
        <f>IFERROR(__xludf.DUMMYFUNCTION("""COMPUTED_VALUE"""),"")</f>
        <v/>
      </c>
      <c r="I2634" s="2" t="str">
        <f>IFERROR(__xludf.DUMMYFUNCTION("""COMPUTED_VALUE"""),"")</f>
        <v/>
      </c>
      <c r="J2634" s="2">
        <f>IFERROR(__xludf.DUMMYFUNCTION("""COMPUTED_VALUE"""),0.0)</f>
        <v>0</v>
      </c>
      <c r="K2634" s="5" t="str">
        <f>IFERROR(__xludf.DUMMYFUNCTION("""COMPUTED_VALUE"""),"")</f>
        <v/>
      </c>
      <c r="L2634" t="str">
        <f>IFERROR(__xludf.DUMMYFUNCTION("""COMPUTED_VALUE"""),"")</f>
        <v/>
      </c>
      <c r="M2634" t="str">
        <f>IFERROR(__xludf.DUMMYFUNCTION("""COMPUTED_VALUE"""),"")</f>
        <v/>
      </c>
      <c r="N2634" t="str">
        <f>IFERROR(__xludf.DUMMYFUNCTION("""COMPUTED_VALUE"""),"")</f>
        <v/>
      </c>
      <c r="O2634" t="str">
        <f>IFERROR(__xludf.DUMMYFUNCTION("""COMPUTED_VALUE"""),"")</f>
        <v/>
      </c>
      <c r="P2634" t="str">
        <f>IFERROR(__xludf.DUMMYFUNCTION("""COMPUTED_VALUE"""),"ID ")</f>
        <v>ID </v>
      </c>
    </row>
    <row r="2635">
      <c r="A2635" s="6" t="str">
        <f>IFERROR(__xludf.DUMMYFUNCTION("""COMPUTED_VALUE"""),"")</f>
        <v/>
      </c>
      <c r="C2635" t="str">
        <f>IFERROR(__xludf.DUMMYFUNCTION("""COMPUTED_VALUE"""),"")</f>
        <v/>
      </c>
      <c r="D2635" t="str">
        <f>IFERROR(__xludf.DUMMYFUNCTION("""COMPUTED_VALUE"""),"")</f>
        <v/>
      </c>
      <c r="E2635" t="str">
        <f>IFERROR(__xludf.DUMMYFUNCTION("""COMPUTED_VALUE"""),"")</f>
        <v/>
      </c>
      <c r="F2635" t="str">
        <f>IFERROR(__xludf.DUMMYFUNCTION("""COMPUTED_VALUE"""),"")</f>
        <v/>
      </c>
      <c r="G2635" t="str">
        <f>IFERROR(__xludf.DUMMYFUNCTION("""COMPUTED_VALUE"""),"")</f>
        <v/>
      </c>
      <c r="H2635" s="2" t="str">
        <f>IFERROR(__xludf.DUMMYFUNCTION("""COMPUTED_VALUE"""),"")</f>
        <v/>
      </c>
      <c r="I2635" s="2" t="str">
        <f>IFERROR(__xludf.DUMMYFUNCTION("""COMPUTED_VALUE"""),"")</f>
        <v/>
      </c>
      <c r="J2635" s="2">
        <f>IFERROR(__xludf.DUMMYFUNCTION("""COMPUTED_VALUE"""),0.0)</f>
        <v>0</v>
      </c>
      <c r="K2635" s="5" t="str">
        <f>IFERROR(__xludf.DUMMYFUNCTION("""COMPUTED_VALUE"""),"")</f>
        <v/>
      </c>
      <c r="L2635" t="str">
        <f>IFERROR(__xludf.DUMMYFUNCTION("""COMPUTED_VALUE"""),"")</f>
        <v/>
      </c>
      <c r="M2635" t="str">
        <f>IFERROR(__xludf.DUMMYFUNCTION("""COMPUTED_VALUE"""),"")</f>
        <v/>
      </c>
      <c r="N2635" t="str">
        <f>IFERROR(__xludf.DUMMYFUNCTION("""COMPUTED_VALUE"""),"")</f>
        <v/>
      </c>
      <c r="O2635" t="str">
        <f>IFERROR(__xludf.DUMMYFUNCTION("""COMPUTED_VALUE"""),"")</f>
        <v/>
      </c>
      <c r="P2635" t="str">
        <f>IFERROR(__xludf.DUMMYFUNCTION("""COMPUTED_VALUE"""),"ID ")</f>
        <v>ID </v>
      </c>
    </row>
    <row r="2636">
      <c r="A2636" s="6" t="str">
        <f>IFERROR(__xludf.DUMMYFUNCTION("""COMPUTED_VALUE"""),"")</f>
        <v/>
      </c>
      <c r="C2636" t="str">
        <f>IFERROR(__xludf.DUMMYFUNCTION("""COMPUTED_VALUE"""),"")</f>
        <v/>
      </c>
      <c r="D2636" t="str">
        <f>IFERROR(__xludf.DUMMYFUNCTION("""COMPUTED_VALUE"""),"")</f>
        <v/>
      </c>
      <c r="E2636" t="str">
        <f>IFERROR(__xludf.DUMMYFUNCTION("""COMPUTED_VALUE"""),"")</f>
        <v/>
      </c>
      <c r="F2636" t="str">
        <f>IFERROR(__xludf.DUMMYFUNCTION("""COMPUTED_VALUE"""),"")</f>
        <v/>
      </c>
      <c r="G2636" t="str">
        <f>IFERROR(__xludf.DUMMYFUNCTION("""COMPUTED_VALUE"""),"")</f>
        <v/>
      </c>
      <c r="H2636" s="2" t="str">
        <f>IFERROR(__xludf.DUMMYFUNCTION("""COMPUTED_VALUE"""),"")</f>
        <v/>
      </c>
      <c r="I2636" s="2" t="str">
        <f>IFERROR(__xludf.DUMMYFUNCTION("""COMPUTED_VALUE"""),"")</f>
        <v/>
      </c>
      <c r="J2636" s="2">
        <f>IFERROR(__xludf.DUMMYFUNCTION("""COMPUTED_VALUE"""),0.0)</f>
        <v>0</v>
      </c>
      <c r="K2636" s="5" t="str">
        <f>IFERROR(__xludf.DUMMYFUNCTION("""COMPUTED_VALUE"""),"")</f>
        <v/>
      </c>
      <c r="L2636" t="str">
        <f>IFERROR(__xludf.DUMMYFUNCTION("""COMPUTED_VALUE"""),"")</f>
        <v/>
      </c>
      <c r="M2636" t="str">
        <f>IFERROR(__xludf.DUMMYFUNCTION("""COMPUTED_VALUE"""),"")</f>
        <v/>
      </c>
      <c r="N2636" t="str">
        <f>IFERROR(__xludf.DUMMYFUNCTION("""COMPUTED_VALUE"""),"")</f>
        <v/>
      </c>
      <c r="O2636" t="str">
        <f>IFERROR(__xludf.DUMMYFUNCTION("""COMPUTED_VALUE"""),"")</f>
        <v/>
      </c>
      <c r="P2636" t="str">
        <f>IFERROR(__xludf.DUMMYFUNCTION("""COMPUTED_VALUE"""),"ID ")</f>
        <v>ID </v>
      </c>
    </row>
    <row r="2637">
      <c r="A2637" s="6" t="str">
        <f>IFERROR(__xludf.DUMMYFUNCTION("""COMPUTED_VALUE"""),"")</f>
        <v/>
      </c>
      <c r="C2637" t="str">
        <f>IFERROR(__xludf.DUMMYFUNCTION("""COMPUTED_VALUE"""),"")</f>
        <v/>
      </c>
      <c r="D2637" t="str">
        <f>IFERROR(__xludf.DUMMYFUNCTION("""COMPUTED_VALUE"""),"")</f>
        <v/>
      </c>
      <c r="E2637" t="str">
        <f>IFERROR(__xludf.DUMMYFUNCTION("""COMPUTED_VALUE"""),"")</f>
        <v/>
      </c>
      <c r="F2637" t="str">
        <f>IFERROR(__xludf.DUMMYFUNCTION("""COMPUTED_VALUE"""),"")</f>
        <v/>
      </c>
      <c r="G2637" t="str">
        <f>IFERROR(__xludf.DUMMYFUNCTION("""COMPUTED_VALUE"""),"")</f>
        <v/>
      </c>
      <c r="H2637" s="2" t="str">
        <f>IFERROR(__xludf.DUMMYFUNCTION("""COMPUTED_VALUE"""),"")</f>
        <v/>
      </c>
      <c r="I2637" s="2" t="str">
        <f>IFERROR(__xludf.DUMMYFUNCTION("""COMPUTED_VALUE"""),"")</f>
        <v/>
      </c>
      <c r="J2637" s="2">
        <f>IFERROR(__xludf.DUMMYFUNCTION("""COMPUTED_VALUE"""),0.0)</f>
        <v>0</v>
      </c>
      <c r="K2637" s="5" t="str">
        <f>IFERROR(__xludf.DUMMYFUNCTION("""COMPUTED_VALUE"""),"")</f>
        <v/>
      </c>
      <c r="L2637" t="str">
        <f>IFERROR(__xludf.DUMMYFUNCTION("""COMPUTED_VALUE"""),"")</f>
        <v/>
      </c>
      <c r="M2637" t="str">
        <f>IFERROR(__xludf.DUMMYFUNCTION("""COMPUTED_VALUE"""),"")</f>
        <v/>
      </c>
      <c r="N2637" t="str">
        <f>IFERROR(__xludf.DUMMYFUNCTION("""COMPUTED_VALUE"""),"")</f>
        <v/>
      </c>
      <c r="O2637" t="str">
        <f>IFERROR(__xludf.DUMMYFUNCTION("""COMPUTED_VALUE"""),"")</f>
        <v/>
      </c>
      <c r="P2637" t="str">
        <f>IFERROR(__xludf.DUMMYFUNCTION("""COMPUTED_VALUE"""),"ID ")</f>
        <v>ID </v>
      </c>
    </row>
    <row r="2638">
      <c r="A2638" s="6" t="str">
        <f>IFERROR(__xludf.DUMMYFUNCTION("""COMPUTED_VALUE"""),"")</f>
        <v/>
      </c>
      <c r="C2638" t="str">
        <f>IFERROR(__xludf.DUMMYFUNCTION("""COMPUTED_VALUE"""),"")</f>
        <v/>
      </c>
      <c r="D2638" t="str">
        <f>IFERROR(__xludf.DUMMYFUNCTION("""COMPUTED_VALUE"""),"")</f>
        <v/>
      </c>
      <c r="E2638" t="str">
        <f>IFERROR(__xludf.DUMMYFUNCTION("""COMPUTED_VALUE"""),"")</f>
        <v/>
      </c>
      <c r="F2638" t="str">
        <f>IFERROR(__xludf.DUMMYFUNCTION("""COMPUTED_VALUE"""),"")</f>
        <v/>
      </c>
      <c r="G2638" t="str">
        <f>IFERROR(__xludf.DUMMYFUNCTION("""COMPUTED_VALUE"""),"")</f>
        <v/>
      </c>
      <c r="H2638" s="2" t="str">
        <f>IFERROR(__xludf.DUMMYFUNCTION("""COMPUTED_VALUE"""),"")</f>
        <v/>
      </c>
      <c r="I2638" s="2" t="str">
        <f>IFERROR(__xludf.DUMMYFUNCTION("""COMPUTED_VALUE"""),"")</f>
        <v/>
      </c>
      <c r="J2638" s="2">
        <f>IFERROR(__xludf.DUMMYFUNCTION("""COMPUTED_VALUE"""),0.0)</f>
        <v>0</v>
      </c>
      <c r="K2638" s="5" t="str">
        <f>IFERROR(__xludf.DUMMYFUNCTION("""COMPUTED_VALUE"""),"")</f>
        <v/>
      </c>
      <c r="L2638" t="str">
        <f>IFERROR(__xludf.DUMMYFUNCTION("""COMPUTED_VALUE"""),"")</f>
        <v/>
      </c>
      <c r="M2638" t="str">
        <f>IFERROR(__xludf.DUMMYFUNCTION("""COMPUTED_VALUE"""),"")</f>
        <v/>
      </c>
      <c r="N2638" t="str">
        <f>IFERROR(__xludf.DUMMYFUNCTION("""COMPUTED_VALUE"""),"")</f>
        <v/>
      </c>
      <c r="O2638" t="str">
        <f>IFERROR(__xludf.DUMMYFUNCTION("""COMPUTED_VALUE"""),"")</f>
        <v/>
      </c>
      <c r="P2638" t="str">
        <f>IFERROR(__xludf.DUMMYFUNCTION("""COMPUTED_VALUE"""),"ID ")</f>
        <v>ID </v>
      </c>
    </row>
    <row r="2639">
      <c r="A2639" s="6" t="str">
        <f>IFERROR(__xludf.DUMMYFUNCTION("""COMPUTED_VALUE"""),"")</f>
        <v/>
      </c>
      <c r="C2639" t="str">
        <f>IFERROR(__xludf.DUMMYFUNCTION("""COMPUTED_VALUE"""),"")</f>
        <v/>
      </c>
      <c r="D2639" t="str">
        <f>IFERROR(__xludf.DUMMYFUNCTION("""COMPUTED_VALUE"""),"")</f>
        <v/>
      </c>
      <c r="E2639" t="str">
        <f>IFERROR(__xludf.DUMMYFUNCTION("""COMPUTED_VALUE"""),"")</f>
        <v/>
      </c>
      <c r="F2639" t="str">
        <f>IFERROR(__xludf.DUMMYFUNCTION("""COMPUTED_VALUE"""),"")</f>
        <v/>
      </c>
      <c r="G2639" t="str">
        <f>IFERROR(__xludf.DUMMYFUNCTION("""COMPUTED_VALUE"""),"")</f>
        <v/>
      </c>
      <c r="H2639" s="2" t="str">
        <f>IFERROR(__xludf.DUMMYFUNCTION("""COMPUTED_VALUE"""),"")</f>
        <v/>
      </c>
      <c r="I2639" s="2" t="str">
        <f>IFERROR(__xludf.DUMMYFUNCTION("""COMPUTED_VALUE"""),"")</f>
        <v/>
      </c>
      <c r="J2639" s="2">
        <f>IFERROR(__xludf.DUMMYFUNCTION("""COMPUTED_VALUE"""),0.0)</f>
        <v>0</v>
      </c>
      <c r="K2639" s="5" t="str">
        <f>IFERROR(__xludf.DUMMYFUNCTION("""COMPUTED_VALUE"""),"")</f>
        <v/>
      </c>
      <c r="L2639" t="str">
        <f>IFERROR(__xludf.DUMMYFUNCTION("""COMPUTED_VALUE"""),"")</f>
        <v/>
      </c>
      <c r="M2639" t="str">
        <f>IFERROR(__xludf.DUMMYFUNCTION("""COMPUTED_VALUE"""),"")</f>
        <v/>
      </c>
      <c r="N2639" t="str">
        <f>IFERROR(__xludf.DUMMYFUNCTION("""COMPUTED_VALUE"""),"")</f>
        <v/>
      </c>
      <c r="O2639" t="str">
        <f>IFERROR(__xludf.DUMMYFUNCTION("""COMPUTED_VALUE"""),"")</f>
        <v/>
      </c>
      <c r="P2639" t="str">
        <f>IFERROR(__xludf.DUMMYFUNCTION("""COMPUTED_VALUE"""),"ID ")</f>
        <v>ID </v>
      </c>
    </row>
    <row r="2640">
      <c r="A2640" s="6" t="str">
        <f>IFERROR(__xludf.DUMMYFUNCTION("""COMPUTED_VALUE"""),"")</f>
        <v/>
      </c>
      <c r="C2640" t="str">
        <f>IFERROR(__xludf.DUMMYFUNCTION("""COMPUTED_VALUE"""),"")</f>
        <v/>
      </c>
      <c r="D2640" t="str">
        <f>IFERROR(__xludf.DUMMYFUNCTION("""COMPUTED_VALUE"""),"")</f>
        <v/>
      </c>
      <c r="E2640" t="str">
        <f>IFERROR(__xludf.DUMMYFUNCTION("""COMPUTED_VALUE"""),"")</f>
        <v/>
      </c>
      <c r="F2640" t="str">
        <f>IFERROR(__xludf.DUMMYFUNCTION("""COMPUTED_VALUE"""),"")</f>
        <v/>
      </c>
      <c r="G2640" t="str">
        <f>IFERROR(__xludf.DUMMYFUNCTION("""COMPUTED_VALUE"""),"")</f>
        <v/>
      </c>
      <c r="H2640" s="2" t="str">
        <f>IFERROR(__xludf.DUMMYFUNCTION("""COMPUTED_VALUE"""),"")</f>
        <v/>
      </c>
      <c r="I2640" s="2" t="str">
        <f>IFERROR(__xludf.DUMMYFUNCTION("""COMPUTED_VALUE"""),"")</f>
        <v/>
      </c>
      <c r="J2640" s="2">
        <f>IFERROR(__xludf.DUMMYFUNCTION("""COMPUTED_VALUE"""),0.0)</f>
        <v>0</v>
      </c>
      <c r="K2640" s="5" t="str">
        <f>IFERROR(__xludf.DUMMYFUNCTION("""COMPUTED_VALUE"""),"")</f>
        <v/>
      </c>
      <c r="L2640" t="str">
        <f>IFERROR(__xludf.DUMMYFUNCTION("""COMPUTED_VALUE"""),"")</f>
        <v/>
      </c>
      <c r="M2640" t="str">
        <f>IFERROR(__xludf.DUMMYFUNCTION("""COMPUTED_VALUE"""),"")</f>
        <v/>
      </c>
      <c r="N2640" t="str">
        <f>IFERROR(__xludf.DUMMYFUNCTION("""COMPUTED_VALUE"""),"")</f>
        <v/>
      </c>
      <c r="O2640" t="str">
        <f>IFERROR(__xludf.DUMMYFUNCTION("""COMPUTED_VALUE"""),"")</f>
        <v/>
      </c>
      <c r="P2640" t="str">
        <f>IFERROR(__xludf.DUMMYFUNCTION("""COMPUTED_VALUE"""),"ID ")</f>
        <v>ID </v>
      </c>
    </row>
    <row r="2641">
      <c r="A2641" s="6" t="str">
        <f>IFERROR(__xludf.DUMMYFUNCTION("""COMPUTED_VALUE"""),"")</f>
        <v/>
      </c>
      <c r="C2641" t="str">
        <f>IFERROR(__xludf.DUMMYFUNCTION("""COMPUTED_VALUE"""),"")</f>
        <v/>
      </c>
      <c r="D2641" t="str">
        <f>IFERROR(__xludf.DUMMYFUNCTION("""COMPUTED_VALUE"""),"")</f>
        <v/>
      </c>
      <c r="E2641" t="str">
        <f>IFERROR(__xludf.DUMMYFUNCTION("""COMPUTED_VALUE"""),"")</f>
        <v/>
      </c>
      <c r="F2641" t="str">
        <f>IFERROR(__xludf.DUMMYFUNCTION("""COMPUTED_VALUE"""),"")</f>
        <v/>
      </c>
      <c r="G2641" t="str">
        <f>IFERROR(__xludf.DUMMYFUNCTION("""COMPUTED_VALUE"""),"")</f>
        <v/>
      </c>
      <c r="H2641" s="2" t="str">
        <f>IFERROR(__xludf.DUMMYFUNCTION("""COMPUTED_VALUE"""),"")</f>
        <v/>
      </c>
      <c r="I2641" s="2" t="str">
        <f>IFERROR(__xludf.DUMMYFUNCTION("""COMPUTED_VALUE"""),"")</f>
        <v/>
      </c>
      <c r="J2641" s="2">
        <f>IFERROR(__xludf.DUMMYFUNCTION("""COMPUTED_VALUE"""),0.0)</f>
        <v>0</v>
      </c>
      <c r="K2641" s="5" t="str">
        <f>IFERROR(__xludf.DUMMYFUNCTION("""COMPUTED_VALUE"""),"")</f>
        <v/>
      </c>
      <c r="L2641" t="str">
        <f>IFERROR(__xludf.DUMMYFUNCTION("""COMPUTED_VALUE"""),"")</f>
        <v/>
      </c>
      <c r="M2641" t="str">
        <f>IFERROR(__xludf.DUMMYFUNCTION("""COMPUTED_VALUE"""),"")</f>
        <v/>
      </c>
      <c r="N2641" t="str">
        <f>IFERROR(__xludf.DUMMYFUNCTION("""COMPUTED_VALUE"""),"")</f>
        <v/>
      </c>
      <c r="O2641" t="str">
        <f>IFERROR(__xludf.DUMMYFUNCTION("""COMPUTED_VALUE"""),"")</f>
        <v/>
      </c>
      <c r="P2641" t="str">
        <f>IFERROR(__xludf.DUMMYFUNCTION("""COMPUTED_VALUE"""),"ID ")</f>
        <v>ID </v>
      </c>
    </row>
    <row r="2642">
      <c r="A2642" s="6" t="str">
        <f>IFERROR(__xludf.DUMMYFUNCTION("""COMPUTED_VALUE"""),"")</f>
        <v/>
      </c>
      <c r="C2642" t="str">
        <f>IFERROR(__xludf.DUMMYFUNCTION("""COMPUTED_VALUE"""),"")</f>
        <v/>
      </c>
      <c r="D2642" t="str">
        <f>IFERROR(__xludf.DUMMYFUNCTION("""COMPUTED_VALUE"""),"")</f>
        <v/>
      </c>
      <c r="E2642" t="str">
        <f>IFERROR(__xludf.DUMMYFUNCTION("""COMPUTED_VALUE"""),"")</f>
        <v/>
      </c>
      <c r="F2642" t="str">
        <f>IFERROR(__xludf.DUMMYFUNCTION("""COMPUTED_VALUE"""),"")</f>
        <v/>
      </c>
      <c r="G2642" t="str">
        <f>IFERROR(__xludf.DUMMYFUNCTION("""COMPUTED_VALUE"""),"")</f>
        <v/>
      </c>
      <c r="H2642" s="2" t="str">
        <f>IFERROR(__xludf.DUMMYFUNCTION("""COMPUTED_VALUE"""),"")</f>
        <v/>
      </c>
      <c r="I2642" s="2" t="str">
        <f>IFERROR(__xludf.DUMMYFUNCTION("""COMPUTED_VALUE"""),"")</f>
        <v/>
      </c>
      <c r="J2642" s="2">
        <f>IFERROR(__xludf.DUMMYFUNCTION("""COMPUTED_VALUE"""),0.0)</f>
        <v>0</v>
      </c>
      <c r="K2642" s="5" t="str">
        <f>IFERROR(__xludf.DUMMYFUNCTION("""COMPUTED_VALUE"""),"")</f>
        <v/>
      </c>
      <c r="L2642" t="str">
        <f>IFERROR(__xludf.DUMMYFUNCTION("""COMPUTED_VALUE"""),"")</f>
        <v/>
      </c>
      <c r="M2642" t="str">
        <f>IFERROR(__xludf.DUMMYFUNCTION("""COMPUTED_VALUE"""),"")</f>
        <v/>
      </c>
      <c r="N2642" t="str">
        <f>IFERROR(__xludf.DUMMYFUNCTION("""COMPUTED_VALUE"""),"")</f>
        <v/>
      </c>
      <c r="O2642" t="str">
        <f>IFERROR(__xludf.DUMMYFUNCTION("""COMPUTED_VALUE"""),"")</f>
        <v/>
      </c>
      <c r="P2642" t="str">
        <f>IFERROR(__xludf.DUMMYFUNCTION("""COMPUTED_VALUE"""),"ID ")</f>
        <v>ID </v>
      </c>
    </row>
    <row r="2643">
      <c r="A2643" s="6" t="str">
        <f>IFERROR(__xludf.DUMMYFUNCTION("""COMPUTED_VALUE"""),"")</f>
        <v/>
      </c>
      <c r="C2643" t="str">
        <f>IFERROR(__xludf.DUMMYFUNCTION("""COMPUTED_VALUE"""),"")</f>
        <v/>
      </c>
      <c r="D2643" t="str">
        <f>IFERROR(__xludf.DUMMYFUNCTION("""COMPUTED_VALUE"""),"")</f>
        <v/>
      </c>
      <c r="E2643" t="str">
        <f>IFERROR(__xludf.DUMMYFUNCTION("""COMPUTED_VALUE"""),"")</f>
        <v/>
      </c>
      <c r="F2643" t="str">
        <f>IFERROR(__xludf.DUMMYFUNCTION("""COMPUTED_VALUE"""),"")</f>
        <v/>
      </c>
      <c r="G2643" t="str">
        <f>IFERROR(__xludf.DUMMYFUNCTION("""COMPUTED_VALUE"""),"")</f>
        <v/>
      </c>
      <c r="H2643" s="2" t="str">
        <f>IFERROR(__xludf.DUMMYFUNCTION("""COMPUTED_VALUE"""),"")</f>
        <v/>
      </c>
      <c r="I2643" s="2" t="str">
        <f>IFERROR(__xludf.DUMMYFUNCTION("""COMPUTED_VALUE"""),"")</f>
        <v/>
      </c>
      <c r="J2643" s="2">
        <f>IFERROR(__xludf.DUMMYFUNCTION("""COMPUTED_VALUE"""),0.0)</f>
        <v>0</v>
      </c>
      <c r="K2643" s="5" t="str">
        <f>IFERROR(__xludf.DUMMYFUNCTION("""COMPUTED_VALUE"""),"")</f>
        <v/>
      </c>
      <c r="L2643" t="str">
        <f>IFERROR(__xludf.DUMMYFUNCTION("""COMPUTED_VALUE"""),"")</f>
        <v/>
      </c>
      <c r="M2643" t="str">
        <f>IFERROR(__xludf.DUMMYFUNCTION("""COMPUTED_VALUE"""),"")</f>
        <v/>
      </c>
      <c r="N2643" t="str">
        <f>IFERROR(__xludf.DUMMYFUNCTION("""COMPUTED_VALUE"""),"")</f>
        <v/>
      </c>
      <c r="O2643" t="str">
        <f>IFERROR(__xludf.DUMMYFUNCTION("""COMPUTED_VALUE"""),"")</f>
        <v/>
      </c>
      <c r="P2643" t="str">
        <f>IFERROR(__xludf.DUMMYFUNCTION("""COMPUTED_VALUE"""),"ID ")</f>
        <v>ID </v>
      </c>
    </row>
    <row r="2644">
      <c r="A2644" s="6" t="str">
        <f>IFERROR(__xludf.DUMMYFUNCTION("""COMPUTED_VALUE"""),"")</f>
        <v/>
      </c>
      <c r="C2644" t="str">
        <f>IFERROR(__xludf.DUMMYFUNCTION("""COMPUTED_VALUE"""),"")</f>
        <v/>
      </c>
      <c r="D2644" t="str">
        <f>IFERROR(__xludf.DUMMYFUNCTION("""COMPUTED_VALUE"""),"")</f>
        <v/>
      </c>
      <c r="E2644" t="str">
        <f>IFERROR(__xludf.DUMMYFUNCTION("""COMPUTED_VALUE"""),"")</f>
        <v/>
      </c>
      <c r="F2644" t="str">
        <f>IFERROR(__xludf.DUMMYFUNCTION("""COMPUTED_VALUE"""),"")</f>
        <v/>
      </c>
      <c r="G2644" t="str">
        <f>IFERROR(__xludf.DUMMYFUNCTION("""COMPUTED_VALUE"""),"")</f>
        <v/>
      </c>
      <c r="H2644" s="2" t="str">
        <f>IFERROR(__xludf.DUMMYFUNCTION("""COMPUTED_VALUE"""),"")</f>
        <v/>
      </c>
      <c r="I2644" s="2" t="str">
        <f>IFERROR(__xludf.DUMMYFUNCTION("""COMPUTED_VALUE"""),"")</f>
        <v/>
      </c>
      <c r="J2644" s="2">
        <f>IFERROR(__xludf.DUMMYFUNCTION("""COMPUTED_VALUE"""),0.0)</f>
        <v>0</v>
      </c>
      <c r="K2644" s="5" t="str">
        <f>IFERROR(__xludf.DUMMYFUNCTION("""COMPUTED_VALUE"""),"")</f>
        <v/>
      </c>
      <c r="L2644" t="str">
        <f>IFERROR(__xludf.DUMMYFUNCTION("""COMPUTED_VALUE"""),"")</f>
        <v/>
      </c>
      <c r="M2644" t="str">
        <f>IFERROR(__xludf.DUMMYFUNCTION("""COMPUTED_VALUE"""),"")</f>
        <v/>
      </c>
      <c r="N2644" t="str">
        <f>IFERROR(__xludf.DUMMYFUNCTION("""COMPUTED_VALUE"""),"")</f>
        <v/>
      </c>
      <c r="O2644" t="str">
        <f>IFERROR(__xludf.DUMMYFUNCTION("""COMPUTED_VALUE"""),"")</f>
        <v/>
      </c>
      <c r="P2644" t="str">
        <f>IFERROR(__xludf.DUMMYFUNCTION("""COMPUTED_VALUE"""),"ID ")</f>
        <v>ID </v>
      </c>
    </row>
    <row r="2645">
      <c r="A2645" s="6" t="str">
        <f>IFERROR(__xludf.DUMMYFUNCTION("""COMPUTED_VALUE"""),"")</f>
        <v/>
      </c>
      <c r="C2645" t="str">
        <f>IFERROR(__xludf.DUMMYFUNCTION("""COMPUTED_VALUE"""),"")</f>
        <v/>
      </c>
      <c r="D2645" t="str">
        <f>IFERROR(__xludf.DUMMYFUNCTION("""COMPUTED_VALUE"""),"")</f>
        <v/>
      </c>
      <c r="E2645" t="str">
        <f>IFERROR(__xludf.DUMMYFUNCTION("""COMPUTED_VALUE"""),"")</f>
        <v/>
      </c>
      <c r="F2645" t="str">
        <f>IFERROR(__xludf.DUMMYFUNCTION("""COMPUTED_VALUE"""),"")</f>
        <v/>
      </c>
      <c r="G2645" t="str">
        <f>IFERROR(__xludf.DUMMYFUNCTION("""COMPUTED_VALUE"""),"")</f>
        <v/>
      </c>
      <c r="H2645" s="2" t="str">
        <f>IFERROR(__xludf.DUMMYFUNCTION("""COMPUTED_VALUE"""),"")</f>
        <v/>
      </c>
      <c r="I2645" s="2" t="str">
        <f>IFERROR(__xludf.DUMMYFUNCTION("""COMPUTED_VALUE"""),"")</f>
        <v/>
      </c>
      <c r="J2645" s="2">
        <f>IFERROR(__xludf.DUMMYFUNCTION("""COMPUTED_VALUE"""),0.0)</f>
        <v>0</v>
      </c>
      <c r="K2645" s="5" t="str">
        <f>IFERROR(__xludf.DUMMYFUNCTION("""COMPUTED_VALUE"""),"")</f>
        <v/>
      </c>
      <c r="L2645" t="str">
        <f>IFERROR(__xludf.DUMMYFUNCTION("""COMPUTED_VALUE"""),"")</f>
        <v/>
      </c>
      <c r="M2645" t="str">
        <f>IFERROR(__xludf.DUMMYFUNCTION("""COMPUTED_VALUE"""),"")</f>
        <v/>
      </c>
      <c r="N2645" t="str">
        <f>IFERROR(__xludf.DUMMYFUNCTION("""COMPUTED_VALUE"""),"")</f>
        <v/>
      </c>
      <c r="O2645" t="str">
        <f>IFERROR(__xludf.DUMMYFUNCTION("""COMPUTED_VALUE"""),"")</f>
        <v/>
      </c>
      <c r="P2645" t="str">
        <f>IFERROR(__xludf.DUMMYFUNCTION("""COMPUTED_VALUE"""),"ID ")</f>
        <v>ID </v>
      </c>
    </row>
    <row r="2646">
      <c r="A2646" s="6" t="str">
        <f>IFERROR(__xludf.DUMMYFUNCTION("""COMPUTED_VALUE"""),"")</f>
        <v/>
      </c>
      <c r="C2646" t="str">
        <f>IFERROR(__xludf.DUMMYFUNCTION("""COMPUTED_VALUE"""),"")</f>
        <v/>
      </c>
      <c r="D2646" t="str">
        <f>IFERROR(__xludf.DUMMYFUNCTION("""COMPUTED_VALUE"""),"")</f>
        <v/>
      </c>
      <c r="E2646" t="str">
        <f>IFERROR(__xludf.DUMMYFUNCTION("""COMPUTED_VALUE"""),"")</f>
        <v/>
      </c>
      <c r="F2646" t="str">
        <f>IFERROR(__xludf.DUMMYFUNCTION("""COMPUTED_VALUE"""),"")</f>
        <v/>
      </c>
      <c r="G2646" t="str">
        <f>IFERROR(__xludf.DUMMYFUNCTION("""COMPUTED_VALUE"""),"")</f>
        <v/>
      </c>
      <c r="H2646" s="2" t="str">
        <f>IFERROR(__xludf.DUMMYFUNCTION("""COMPUTED_VALUE"""),"")</f>
        <v/>
      </c>
      <c r="I2646" s="2" t="str">
        <f>IFERROR(__xludf.DUMMYFUNCTION("""COMPUTED_VALUE"""),"")</f>
        <v/>
      </c>
      <c r="J2646" s="2">
        <f>IFERROR(__xludf.DUMMYFUNCTION("""COMPUTED_VALUE"""),0.0)</f>
        <v>0</v>
      </c>
      <c r="K2646" s="5" t="str">
        <f>IFERROR(__xludf.DUMMYFUNCTION("""COMPUTED_VALUE"""),"")</f>
        <v/>
      </c>
      <c r="L2646" t="str">
        <f>IFERROR(__xludf.DUMMYFUNCTION("""COMPUTED_VALUE"""),"")</f>
        <v/>
      </c>
      <c r="M2646" t="str">
        <f>IFERROR(__xludf.DUMMYFUNCTION("""COMPUTED_VALUE"""),"")</f>
        <v/>
      </c>
      <c r="N2646" t="str">
        <f>IFERROR(__xludf.DUMMYFUNCTION("""COMPUTED_VALUE"""),"")</f>
        <v/>
      </c>
      <c r="O2646" t="str">
        <f>IFERROR(__xludf.DUMMYFUNCTION("""COMPUTED_VALUE"""),"")</f>
        <v/>
      </c>
      <c r="P2646" t="str">
        <f>IFERROR(__xludf.DUMMYFUNCTION("""COMPUTED_VALUE"""),"ID ")</f>
        <v>ID </v>
      </c>
    </row>
    <row r="2647">
      <c r="A2647" s="6" t="str">
        <f>IFERROR(__xludf.DUMMYFUNCTION("""COMPUTED_VALUE"""),"")</f>
        <v/>
      </c>
      <c r="C2647" t="str">
        <f>IFERROR(__xludf.DUMMYFUNCTION("""COMPUTED_VALUE"""),"")</f>
        <v/>
      </c>
      <c r="D2647" t="str">
        <f>IFERROR(__xludf.DUMMYFUNCTION("""COMPUTED_VALUE"""),"")</f>
        <v/>
      </c>
      <c r="E2647" t="str">
        <f>IFERROR(__xludf.DUMMYFUNCTION("""COMPUTED_VALUE"""),"")</f>
        <v/>
      </c>
      <c r="F2647" t="str">
        <f>IFERROR(__xludf.DUMMYFUNCTION("""COMPUTED_VALUE"""),"")</f>
        <v/>
      </c>
      <c r="G2647" t="str">
        <f>IFERROR(__xludf.DUMMYFUNCTION("""COMPUTED_VALUE"""),"")</f>
        <v/>
      </c>
      <c r="H2647" s="2" t="str">
        <f>IFERROR(__xludf.DUMMYFUNCTION("""COMPUTED_VALUE"""),"")</f>
        <v/>
      </c>
      <c r="I2647" s="2" t="str">
        <f>IFERROR(__xludf.DUMMYFUNCTION("""COMPUTED_VALUE"""),"")</f>
        <v/>
      </c>
      <c r="J2647" s="2">
        <f>IFERROR(__xludf.DUMMYFUNCTION("""COMPUTED_VALUE"""),0.0)</f>
        <v>0</v>
      </c>
      <c r="K2647" s="5" t="str">
        <f>IFERROR(__xludf.DUMMYFUNCTION("""COMPUTED_VALUE"""),"")</f>
        <v/>
      </c>
      <c r="L2647" t="str">
        <f>IFERROR(__xludf.DUMMYFUNCTION("""COMPUTED_VALUE"""),"")</f>
        <v/>
      </c>
      <c r="M2647" t="str">
        <f>IFERROR(__xludf.DUMMYFUNCTION("""COMPUTED_VALUE"""),"")</f>
        <v/>
      </c>
      <c r="N2647" t="str">
        <f>IFERROR(__xludf.DUMMYFUNCTION("""COMPUTED_VALUE"""),"")</f>
        <v/>
      </c>
      <c r="O2647" t="str">
        <f>IFERROR(__xludf.DUMMYFUNCTION("""COMPUTED_VALUE"""),"")</f>
        <v/>
      </c>
      <c r="P2647" t="str">
        <f>IFERROR(__xludf.DUMMYFUNCTION("""COMPUTED_VALUE"""),"ID ")</f>
        <v>ID </v>
      </c>
    </row>
    <row r="2648">
      <c r="A2648" s="6" t="str">
        <f>IFERROR(__xludf.DUMMYFUNCTION("""COMPUTED_VALUE"""),"")</f>
        <v/>
      </c>
      <c r="C2648" t="str">
        <f>IFERROR(__xludf.DUMMYFUNCTION("""COMPUTED_VALUE"""),"")</f>
        <v/>
      </c>
      <c r="D2648" t="str">
        <f>IFERROR(__xludf.DUMMYFUNCTION("""COMPUTED_VALUE"""),"")</f>
        <v/>
      </c>
      <c r="E2648" t="str">
        <f>IFERROR(__xludf.DUMMYFUNCTION("""COMPUTED_VALUE"""),"")</f>
        <v/>
      </c>
      <c r="F2648" t="str">
        <f>IFERROR(__xludf.DUMMYFUNCTION("""COMPUTED_VALUE"""),"")</f>
        <v/>
      </c>
      <c r="G2648" t="str">
        <f>IFERROR(__xludf.DUMMYFUNCTION("""COMPUTED_VALUE"""),"")</f>
        <v/>
      </c>
      <c r="H2648" s="2" t="str">
        <f>IFERROR(__xludf.DUMMYFUNCTION("""COMPUTED_VALUE"""),"")</f>
        <v/>
      </c>
      <c r="I2648" s="2" t="str">
        <f>IFERROR(__xludf.DUMMYFUNCTION("""COMPUTED_VALUE"""),"")</f>
        <v/>
      </c>
      <c r="J2648" s="2">
        <f>IFERROR(__xludf.DUMMYFUNCTION("""COMPUTED_VALUE"""),0.0)</f>
        <v>0</v>
      </c>
      <c r="K2648" s="5" t="str">
        <f>IFERROR(__xludf.DUMMYFUNCTION("""COMPUTED_VALUE"""),"")</f>
        <v/>
      </c>
      <c r="L2648" t="str">
        <f>IFERROR(__xludf.DUMMYFUNCTION("""COMPUTED_VALUE"""),"")</f>
        <v/>
      </c>
      <c r="M2648" t="str">
        <f>IFERROR(__xludf.DUMMYFUNCTION("""COMPUTED_VALUE"""),"")</f>
        <v/>
      </c>
      <c r="N2648" t="str">
        <f>IFERROR(__xludf.DUMMYFUNCTION("""COMPUTED_VALUE"""),"")</f>
        <v/>
      </c>
      <c r="O2648" t="str">
        <f>IFERROR(__xludf.DUMMYFUNCTION("""COMPUTED_VALUE"""),"")</f>
        <v/>
      </c>
      <c r="P2648" t="str">
        <f>IFERROR(__xludf.DUMMYFUNCTION("""COMPUTED_VALUE"""),"ID ")</f>
        <v>ID </v>
      </c>
    </row>
    <row r="2649">
      <c r="A2649" s="6" t="str">
        <f>IFERROR(__xludf.DUMMYFUNCTION("""COMPUTED_VALUE"""),"")</f>
        <v/>
      </c>
      <c r="C2649" t="str">
        <f>IFERROR(__xludf.DUMMYFUNCTION("""COMPUTED_VALUE"""),"")</f>
        <v/>
      </c>
      <c r="D2649" t="str">
        <f>IFERROR(__xludf.DUMMYFUNCTION("""COMPUTED_VALUE"""),"")</f>
        <v/>
      </c>
      <c r="E2649" t="str">
        <f>IFERROR(__xludf.DUMMYFUNCTION("""COMPUTED_VALUE"""),"")</f>
        <v/>
      </c>
      <c r="F2649" t="str">
        <f>IFERROR(__xludf.DUMMYFUNCTION("""COMPUTED_VALUE"""),"")</f>
        <v/>
      </c>
      <c r="G2649" t="str">
        <f>IFERROR(__xludf.DUMMYFUNCTION("""COMPUTED_VALUE"""),"")</f>
        <v/>
      </c>
      <c r="H2649" s="2" t="str">
        <f>IFERROR(__xludf.DUMMYFUNCTION("""COMPUTED_VALUE"""),"")</f>
        <v/>
      </c>
      <c r="I2649" s="2" t="str">
        <f>IFERROR(__xludf.DUMMYFUNCTION("""COMPUTED_VALUE"""),"")</f>
        <v/>
      </c>
      <c r="J2649" s="2">
        <f>IFERROR(__xludf.DUMMYFUNCTION("""COMPUTED_VALUE"""),0.0)</f>
        <v>0</v>
      </c>
      <c r="K2649" s="5" t="str">
        <f>IFERROR(__xludf.DUMMYFUNCTION("""COMPUTED_VALUE"""),"")</f>
        <v/>
      </c>
      <c r="L2649" t="str">
        <f>IFERROR(__xludf.DUMMYFUNCTION("""COMPUTED_VALUE"""),"")</f>
        <v/>
      </c>
      <c r="M2649" t="str">
        <f>IFERROR(__xludf.DUMMYFUNCTION("""COMPUTED_VALUE"""),"")</f>
        <v/>
      </c>
      <c r="N2649" t="str">
        <f>IFERROR(__xludf.DUMMYFUNCTION("""COMPUTED_VALUE"""),"")</f>
        <v/>
      </c>
      <c r="O2649" t="str">
        <f>IFERROR(__xludf.DUMMYFUNCTION("""COMPUTED_VALUE"""),"")</f>
        <v/>
      </c>
      <c r="P2649" t="str">
        <f>IFERROR(__xludf.DUMMYFUNCTION("""COMPUTED_VALUE"""),"ID ")</f>
        <v>ID </v>
      </c>
    </row>
    <row r="2650">
      <c r="A2650" s="6" t="str">
        <f>IFERROR(__xludf.DUMMYFUNCTION("""COMPUTED_VALUE"""),"")</f>
        <v/>
      </c>
      <c r="C2650" t="str">
        <f>IFERROR(__xludf.DUMMYFUNCTION("""COMPUTED_VALUE"""),"")</f>
        <v/>
      </c>
      <c r="D2650" t="str">
        <f>IFERROR(__xludf.DUMMYFUNCTION("""COMPUTED_VALUE"""),"")</f>
        <v/>
      </c>
      <c r="E2650" t="str">
        <f>IFERROR(__xludf.DUMMYFUNCTION("""COMPUTED_VALUE"""),"")</f>
        <v/>
      </c>
      <c r="F2650" t="str">
        <f>IFERROR(__xludf.DUMMYFUNCTION("""COMPUTED_VALUE"""),"")</f>
        <v/>
      </c>
      <c r="G2650" t="str">
        <f>IFERROR(__xludf.DUMMYFUNCTION("""COMPUTED_VALUE"""),"")</f>
        <v/>
      </c>
      <c r="H2650" s="2" t="str">
        <f>IFERROR(__xludf.DUMMYFUNCTION("""COMPUTED_VALUE"""),"")</f>
        <v/>
      </c>
      <c r="I2650" s="2" t="str">
        <f>IFERROR(__xludf.DUMMYFUNCTION("""COMPUTED_VALUE"""),"")</f>
        <v/>
      </c>
      <c r="J2650" s="2">
        <f>IFERROR(__xludf.DUMMYFUNCTION("""COMPUTED_VALUE"""),0.0)</f>
        <v>0</v>
      </c>
      <c r="K2650" s="5" t="str">
        <f>IFERROR(__xludf.DUMMYFUNCTION("""COMPUTED_VALUE"""),"")</f>
        <v/>
      </c>
      <c r="L2650" t="str">
        <f>IFERROR(__xludf.DUMMYFUNCTION("""COMPUTED_VALUE"""),"")</f>
        <v/>
      </c>
      <c r="M2650" t="str">
        <f>IFERROR(__xludf.DUMMYFUNCTION("""COMPUTED_VALUE"""),"")</f>
        <v/>
      </c>
      <c r="N2650" t="str">
        <f>IFERROR(__xludf.DUMMYFUNCTION("""COMPUTED_VALUE"""),"")</f>
        <v/>
      </c>
      <c r="O2650" t="str">
        <f>IFERROR(__xludf.DUMMYFUNCTION("""COMPUTED_VALUE"""),"")</f>
        <v/>
      </c>
      <c r="P2650" t="str">
        <f>IFERROR(__xludf.DUMMYFUNCTION("""COMPUTED_VALUE"""),"ID ")</f>
        <v>ID </v>
      </c>
    </row>
    <row r="2651">
      <c r="A2651" s="6" t="str">
        <f>IFERROR(__xludf.DUMMYFUNCTION("""COMPUTED_VALUE"""),"")</f>
        <v/>
      </c>
      <c r="C2651" t="str">
        <f>IFERROR(__xludf.DUMMYFUNCTION("""COMPUTED_VALUE"""),"")</f>
        <v/>
      </c>
      <c r="D2651" t="str">
        <f>IFERROR(__xludf.DUMMYFUNCTION("""COMPUTED_VALUE"""),"")</f>
        <v/>
      </c>
      <c r="E2651" t="str">
        <f>IFERROR(__xludf.DUMMYFUNCTION("""COMPUTED_VALUE"""),"")</f>
        <v/>
      </c>
      <c r="F2651" t="str">
        <f>IFERROR(__xludf.DUMMYFUNCTION("""COMPUTED_VALUE"""),"")</f>
        <v/>
      </c>
      <c r="G2651" t="str">
        <f>IFERROR(__xludf.DUMMYFUNCTION("""COMPUTED_VALUE"""),"")</f>
        <v/>
      </c>
      <c r="H2651" s="2" t="str">
        <f>IFERROR(__xludf.DUMMYFUNCTION("""COMPUTED_VALUE"""),"")</f>
        <v/>
      </c>
      <c r="I2651" s="2" t="str">
        <f>IFERROR(__xludf.DUMMYFUNCTION("""COMPUTED_VALUE"""),"")</f>
        <v/>
      </c>
      <c r="J2651" s="2">
        <f>IFERROR(__xludf.DUMMYFUNCTION("""COMPUTED_VALUE"""),0.0)</f>
        <v>0</v>
      </c>
      <c r="K2651" s="5" t="str">
        <f>IFERROR(__xludf.DUMMYFUNCTION("""COMPUTED_VALUE"""),"")</f>
        <v/>
      </c>
      <c r="L2651" t="str">
        <f>IFERROR(__xludf.DUMMYFUNCTION("""COMPUTED_VALUE"""),"")</f>
        <v/>
      </c>
      <c r="M2651" t="str">
        <f>IFERROR(__xludf.DUMMYFUNCTION("""COMPUTED_VALUE"""),"")</f>
        <v/>
      </c>
      <c r="N2651" t="str">
        <f>IFERROR(__xludf.DUMMYFUNCTION("""COMPUTED_VALUE"""),"")</f>
        <v/>
      </c>
      <c r="O2651" t="str">
        <f>IFERROR(__xludf.DUMMYFUNCTION("""COMPUTED_VALUE"""),"")</f>
        <v/>
      </c>
      <c r="P2651" t="str">
        <f>IFERROR(__xludf.DUMMYFUNCTION("""COMPUTED_VALUE"""),"ID ")</f>
        <v>ID </v>
      </c>
    </row>
    <row r="2652">
      <c r="A2652" s="6" t="str">
        <f>IFERROR(__xludf.DUMMYFUNCTION("""COMPUTED_VALUE"""),"")</f>
        <v/>
      </c>
      <c r="C2652" t="str">
        <f>IFERROR(__xludf.DUMMYFUNCTION("""COMPUTED_VALUE"""),"")</f>
        <v/>
      </c>
      <c r="D2652" t="str">
        <f>IFERROR(__xludf.DUMMYFUNCTION("""COMPUTED_VALUE"""),"")</f>
        <v/>
      </c>
      <c r="E2652" t="str">
        <f>IFERROR(__xludf.DUMMYFUNCTION("""COMPUTED_VALUE"""),"")</f>
        <v/>
      </c>
      <c r="F2652" t="str">
        <f>IFERROR(__xludf.DUMMYFUNCTION("""COMPUTED_VALUE"""),"")</f>
        <v/>
      </c>
      <c r="G2652" t="str">
        <f>IFERROR(__xludf.DUMMYFUNCTION("""COMPUTED_VALUE"""),"")</f>
        <v/>
      </c>
      <c r="H2652" s="2" t="str">
        <f>IFERROR(__xludf.DUMMYFUNCTION("""COMPUTED_VALUE"""),"")</f>
        <v/>
      </c>
      <c r="I2652" s="2" t="str">
        <f>IFERROR(__xludf.DUMMYFUNCTION("""COMPUTED_VALUE"""),"")</f>
        <v/>
      </c>
      <c r="J2652" s="2">
        <f>IFERROR(__xludf.DUMMYFUNCTION("""COMPUTED_VALUE"""),0.0)</f>
        <v>0</v>
      </c>
      <c r="K2652" s="5" t="str">
        <f>IFERROR(__xludf.DUMMYFUNCTION("""COMPUTED_VALUE"""),"")</f>
        <v/>
      </c>
      <c r="L2652" t="str">
        <f>IFERROR(__xludf.DUMMYFUNCTION("""COMPUTED_VALUE"""),"")</f>
        <v/>
      </c>
      <c r="M2652" t="str">
        <f>IFERROR(__xludf.DUMMYFUNCTION("""COMPUTED_VALUE"""),"")</f>
        <v/>
      </c>
      <c r="N2652" t="str">
        <f>IFERROR(__xludf.DUMMYFUNCTION("""COMPUTED_VALUE"""),"")</f>
        <v/>
      </c>
      <c r="O2652" t="str">
        <f>IFERROR(__xludf.DUMMYFUNCTION("""COMPUTED_VALUE"""),"")</f>
        <v/>
      </c>
      <c r="P2652" t="str">
        <f>IFERROR(__xludf.DUMMYFUNCTION("""COMPUTED_VALUE"""),"ID ")</f>
        <v>ID </v>
      </c>
    </row>
    <row r="2653">
      <c r="A2653" s="6" t="str">
        <f>IFERROR(__xludf.DUMMYFUNCTION("""COMPUTED_VALUE"""),"")</f>
        <v/>
      </c>
      <c r="C2653" t="str">
        <f>IFERROR(__xludf.DUMMYFUNCTION("""COMPUTED_VALUE"""),"")</f>
        <v/>
      </c>
      <c r="D2653" t="str">
        <f>IFERROR(__xludf.DUMMYFUNCTION("""COMPUTED_VALUE"""),"")</f>
        <v/>
      </c>
      <c r="E2653" t="str">
        <f>IFERROR(__xludf.DUMMYFUNCTION("""COMPUTED_VALUE"""),"")</f>
        <v/>
      </c>
      <c r="F2653" t="str">
        <f>IFERROR(__xludf.DUMMYFUNCTION("""COMPUTED_VALUE"""),"")</f>
        <v/>
      </c>
      <c r="G2653" t="str">
        <f>IFERROR(__xludf.DUMMYFUNCTION("""COMPUTED_VALUE"""),"")</f>
        <v/>
      </c>
      <c r="H2653" s="2" t="str">
        <f>IFERROR(__xludf.DUMMYFUNCTION("""COMPUTED_VALUE"""),"")</f>
        <v/>
      </c>
      <c r="I2653" s="2" t="str">
        <f>IFERROR(__xludf.DUMMYFUNCTION("""COMPUTED_VALUE"""),"")</f>
        <v/>
      </c>
      <c r="J2653" s="2">
        <f>IFERROR(__xludf.DUMMYFUNCTION("""COMPUTED_VALUE"""),0.0)</f>
        <v>0</v>
      </c>
      <c r="K2653" s="5" t="str">
        <f>IFERROR(__xludf.DUMMYFUNCTION("""COMPUTED_VALUE"""),"")</f>
        <v/>
      </c>
      <c r="L2653" t="str">
        <f>IFERROR(__xludf.DUMMYFUNCTION("""COMPUTED_VALUE"""),"")</f>
        <v/>
      </c>
      <c r="M2653" t="str">
        <f>IFERROR(__xludf.DUMMYFUNCTION("""COMPUTED_VALUE"""),"")</f>
        <v/>
      </c>
      <c r="N2653" t="str">
        <f>IFERROR(__xludf.DUMMYFUNCTION("""COMPUTED_VALUE"""),"")</f>
        <v/>
      </c>
      <c r="O2653" t="str">
        <f>IFERROR(__xludf.DUMMYFUNCTION("""COMPUTED_VALUE"""),"")</f>
        <v/>
      </c>
      <c r="P2653" t="str">
        <f>IFERROR(__xludf.DUMMYFUNCTION("""COMPUTED_VALUE"""),"ID ")</f>
        <v>ID </v>
      </c>
    </row>
    <row r="2654">
      <c r="A2654" s="6" t="str">
        <f>IFERROR(__xludf.DUMMYFUNCTION("""COMPUTED_VALUE"""),"")</f>
        <v/>
      </c>
      <c r="C2654" t="str">
        <f>IFERROR(__xludf.DUMMYFUNCTION("""COMPUTED_VALUE"""),"")</f>
        <v/>
      </c>
      <c r="D2654" t="str">
        <f>IFERROR(__xludf.DUMMYFUNCTION("""COMPUTED_VALUE"""),"")</f>
        <v/>
      </c>
      <c r="E2654" t="str">
        <f>IFERROR(__xludf.DUMMYFUNCTION("""COMPUTED_VALUE"""),"")</f>
        <v/>
      </c>
      <c r="F2654" t="str">
        <f>IFERROR(__xludf.DUMMYFUNCTION("""COMPUTED_VALUE"""),"")</f>
        <v/>
      </c>
      <c r="G2654" t="str">
        <f>IFERROR(__xludf.DUMMYFUNCTION("""COMPUTED_VALUE"""),"")</f>
        <v/>
      </c>
      <c r="H2654" s="2" t="str">
        <f>IFERROR(__xludf.DUMMYFUNCTION("""COMPUTED_VALUE"""),"")</f>
        <v/>
      </c>
      <c r="I2654" s="2" t="str">
        <f>IFERROR(__xludf.DUMMYFUNCTION("""COMPUTED_VALUE"""),"")</f>
        <v/>
      </c>
      <c r="J2654" s="2">
        <f>IFERROR(__xludf.DUMMYFUNCTION("""COMPUTED_VALUE"""),0.0)</f>
        <v>0</v>
      </c>
      <c r="K2654" s="5" t="str">
        <f>IFERROR(__xludf.DUMMYFUNCTION("""COMPUTED_VALUE"""),"")</f>
        <v/>
      </c>
      <c r="L2654" t="str">
        <f>IFERROR(__xludf.DUMMYFUNCTION("""COMPUTED_VALUE"""),"")</f>
        <v/>
      </c>
      <c r="M2654" t="str">
        <f>IFERROR(__xludf.DUMMYFUNCTION("""COMPUTED_VALUE"""),"")</f>
        <v/>
      </c>
      <c r="N2654" t="str">
        <f>IFERROR(__xludf.DUMMYFUNCTION("""COMPUTED_VALUE"""),"")</f>
        <v/>
      </c>
      <c r="O2654" t="str">
        <f>IFERROR(__xludf.DUMMYFUNCTION("""COMPUTED_VALUE"""),"")</f>
        <v/>
      </c>
      <c r="P2654" t="str">
        <f>IFERROR(__xludf.DUMMYFUNCTION("""COMPUTED_VALUE"""),"ID ")</f>
        <v>ID </v>
      </c>
    </row>
    <row r="2655">
      <c r="A2655" s="6" t="str">
        <f>IFERROR(__xludf.DUMMYFUNCTION("""COMPUTED_VALUE"""),"")</f>
        <v/>
      </c>
      <c r="C2655" t="str">
        <f>IFERROR(__xludf.DUMMYFUNCTION("""COMPUTED_VALUE"""),"")</f>
        <v/>
      </c>
      <c r="D2655" t="str">
        <f>IFERROR(__xludf.DUMMYFUNCTION("""COMPUTED_VALUE"""),"")</f>
        <v/>
      </c>
      <c r="E2655" t="str">
        <f>IFERROR(__xludf.DUMMYFUNCTION("""COMPUTED_VALUE"""),"")</f>
        <v/>
      </c>
      <c r="F2655" t="str">
        <f>IFERROR(__xludf.DUMMYFUNCTION("""COMPUTED_VALUE"""),"")</f>
        <v/>
      </c>
      <c r="G2655" t="str">
        <f>IFERROR(__xludf.DUMMYFUNCTION("""COMPUTED_VALUE"""),"")</f>
        <v/>
      </c>
      <c r="H2655" s="2" t="str">
        <f>IFERROR(__xludf.DUMMYFUNCTION("""COMPUTED_VALUE"""),"")</f>
        <v/>
      </c>
      <c r="I2655" s="2" t="str">
        <f>IFERROR(__xludf.DUMMYFUNCTION("""COMPUTED_VALUE"""),"")</f>
        <v/>
      </c>
      <c r="J2655" s="2">
        <f>IFERROR(__xludf.DUMMYFUNCTION("""COMPUTED_VALUE"""),0.0)</f>
        <v>0</v>
      </c>
      <c r="K2655" s="5" t="str">
        <f>IFERROR(__xludf.DUMMYFUNCTION("""COMPUTED_VALUE"""),"")</f>
        <v/>
      </c>
      <c r="L2655" t="str">
        <f>IFERROR(__xludf.DUMMYFUNCTION("""COMPUTED_VALUE"""),"")</f>
        <v/>
      </c>
      <c r="M2655" t="str">
        <f>IFERROR(__xludf.DUMMYFUNCTION("""COMPUTED_VALUE"""),"")</f>
        <v/>
      </c>
      <c r="N2655" t="str">
        <f>IFERROR(__xludf.DUMMYFUNCTION("""COMPUTED_VALUE"""),"")</f>
        <v/>
      </c>
      <c r="O2655" t="str">
        <f>IFERROR(__xludf.DUMMYFUNCTION("""COMPUTED_VALUE"""),"")</f>
        <v/>
      </c>
      <c r="P2655" t="str">
        <f>IFERROR(__xludf.DUMMYFUNCTION("""COMPUTED_VALUE"""),"ID ")</f>
        <v>ID </v>
      </c>
    </row>
    <row r="2656">
      <c r="A2656" s="6" t="str">
        <f>IFERROR(__xludf.DUMMYFUNCTION("""COMPUTED_VALUE"""),"")</f>
        <v/>
      </c>
      <c r="C2656" t="str">
        <f>IFERROR(__xludf.DUMMYFUNCTION("""COMPUTED_VALUE"""),"")</f>
        <v/>
      </c>
      <c r="D2656" t="str">
        <f>IFERROR(__xludf.DUMMYFUNCTION("""COMPUTED_VALUE"""),"")</f>
        <v/>
      </c>
      <c r="E2656" t="str">
        <f>IFERROR(__xludf.DUMMYFUNCTION("""COMPUTED_VALUE"""),"")</f>
        <v/>
      </c>
      <c r="F2656" t="str">
        <f>IFERROR(__xludf.DUMMYFUNCTION("""COMPUTED_VALUE"""),"")</f>
        <v/>
      </c>
      <c r="G2656" t="str">
        <f>IFERROR(__xludf.DUMMYFUNCTION("""COMPUTED_VALUE"""),"")</f>
        <v/>
      </c>
      <c r="H2656" s="2" t="str">
        <f>IFERROR(__xludf.DUMMYFUNCTION("""COMPUTED_VALUE"""),"")</f>
        <v/>
      </c>
      <c r="I2656" s="2" t="str">
        <f>IFERROR(__xludf.DUMMYFUNCTION("""COMPUTED_VALUE"""),"")</f>
        <v/>
      </c>
      <c r="J2656" s="2">
        <f>IFERROR(__xludf.DUMMYFUNCTION("""COMPUTED_VALUE"""),0.0)</f>
        <v>0</v>
      </c>
      <c r="K2656" s="5" t="str">
        <f>IFERROR(__xludf.DUMMYFUNCTION("""COMPUTED_VALUE"""),"")</f>
        <v/>
      </c>
      <c r="L2656" t="str">
        <f>IFERROR(__xludf.DUMMYFUNCTION("""COMPUTED_VALUE"""),"")</f>
        <v/>
      </c>
      <c r="M2656" t="str">
        <f>IFERROR(__xludf.DUMMYFUNCTION("""COMPUTED_VALUE"""),"")</f>
        <v/>
      </c>
      <c r="N2656" t="str">
        <f>IFERROR(__xludf.DUMMYFUNCTION("""COMPUTED_VALUE"""),"")</f>
        <v/>
      </c>
      <c r="O2656" t="str">
        <f>IFERROR(__xludf.DUMMYFUNCTION("""COMPUTED_VALUE"""),"")</f>
        <v/>
      </c>
      <c r="P2656" t="str">
        <f>IFERROR(__xludf.DUMMYFUNCTION("""COMPUTED_VALUE"""),"ID ")</f>
        <v>ID </v>
      </c>
    </row>
    <row r="2657">
      <c r="A2657" s="6" t="str">
        <f>IFERROR(__xludf.DUMMYFUNCTION("""COMPUTED_VALUE"""),"")</f>
        <v/>
      </c>
      <c r="C2657" t="str">
        <f>IFERROR(__xludf.DUMMYFUNCTION("""COMPUTED_VALUE"""),"")</f>
        <v/>
      </c>
      <c r="D2657" t="str">
        <f>IFERROR(__xludf.DUMMYFUNCTION("""COMPUTED_VALUE"""),"")</f>
        <v/>
      </c>
      <c r="E2657" t="str">
        <f>IFERROR(__xludf.DUMMYFUNCTION("""COMPUTED_VALUE"""),"")</f>
        <v/>
      </c>
      <c r="F2657" t="str">
        <f>IFERROR(__xludf.DUMMYFUNCTION("""COMPUTED_VALUE"""),"")</f>
        <v/>
      </c>
      <c r="G2657" t="str">
        <f>IFERROR(__xludf.DUMMYFUNCTION("""COMPUTED_VALUE"""),"")</f>
        <v/>
      </c>
      <c r="H2657" s="2" t="str">
        <f>IFERROR(__xludf.DUMMYFUNCTION("""COMPUTED_VALUE"""),"")</f>
        <v/>
      </c>
      <c r="I2657" s="2" t="str">
        <f>IFERROR(__xludf.DUMMYFUNCTION("""COMPUTED_VALUE"""),"")</f>
        <v/>
      </c>
      <c r="J2657" s="2">
        <f>IFERROR(__xludf.DUMMYFUNCTION("""COMPUTED_VALUE"""),0.0)</f>
        <v>0</v>
      </c>
      <c r="K2657" s="5" t="str">
        <f>IFERROR(__xludf.DUMMYFUNCTION("""COMPUTED_VALUE"""),"")</f>
        <v/>
      </c>
      <c r="L2657" t="str">
        <f>IFERROR(__xludf.DUMMYFUNCTION("""COMPUTED_VALUE"""),"")</f>
        <v/>
      </c>
      <c r="M2657" t="str">
        <f>IFERROR(__xludf.DUMMYFUNCTION("""COMPUTED_VALUE"""),"")</f>
        <v/>
      </c>
      <c r="N2657" t="str">
        <f>IFERROR(__xludf.DUMMYFUNCTION("""COMPUTED_VALUE"""),"")</f>
        <v/>
      </c>
      <c r="O2657" t="str">
        <f>IFERROR(__xludf.DUMMYFUNCTION("""COMPUTED_VALUE"""),"")</f>
        <v/>
      </c>
      <c r="P2657" t="str">
        <f>IFERROR(__xludf.DUMMYFUNCTION("""COMPUTED_VALUE"""),"ID ")</f>
        <v>ID </v>
      </c>
    </row>
    <row r="2658">
      <c r="A2658" s="6" t="str">
        <f>IFERROR(__xludf.DUMMYFUNCTION("""COMPUTED_VALUE"""),"")</f>
        <v/>
      </c>
      <c r="C2658" t="str">
        <f>IFERROR(__xludf.DUMMYFUNCTION("""COMPUTED_VALUE"""),"")</f>
        <v/>
      </c>
      <c r="D2658" t="str">
        <f>IFERROR(__xludf.DUMMYFUNCTION("""COMPUTED_VALUE"""),"")</f>
        <v/>
      </c>
      <c r="E2658" t="str">
        <f>IFERROR(__xludf.DUMMYFUNCTION("""COMPUTED_VALUE"""),"")</f>
        <v/>
      </c>
      <c r="F2658" t="str">
        <f>IFERROR(__xludf.DUMMYFUNCTION("""COMPUTED_VALUE"""),"")</f>
        <v/>
      </c>
      <c r="G2658" t="str">
        <f>IFERROR(__xludf.DUMMYFUNCTION("""COMPUTED_VALUE"""),"")</f>
        <v/>
      </c>
      <c r="H2658" s="2" t="str">
        <f>IFERROR(__xludf.DUMMYFUNCTION("""COMPUTED_VALUE"""),"")</f>
        <v/>
      </c>
      <c r="I2658" s="2" t="str">
        <f>IFERROR(__xludf.DUMMYFUNCTION("""COMPUTED_VALUE"""),"")</f>
        <v/>
      </c>
      <c r="J2658" s="2">
        <f>IFERROR(__xludf.DUMMYFUNCTION("""COMPUTED_VALUE"""),0.0)</f>
        <v>0</v>
      </c>
      <c r="K2658" s="5" t="str">
        <f>IFERROR(__xludf.DUMMYFUNCTION("""COMPUTED_VALUE"""),"")</f>
        <v/>
      </c>
      <c r="L2658" t="str">
        <f>IFERROR(__xludf.DUMMYFUNCTION("""COMPUTED_VALUE"""),"")</f>
        <v/>
      </c>
      <c r="M2658" t="str">
        <f>IFERROR(__xludf.DUMMYFUNCTION("""COMPUTED_VALUE"""),"")</f>
        <v/>
      </c>
      <c r="N2658" t="str">
        <f>IFERROR(__xludf.DUMMYFUNCTION("""COMPUTED_VALUE"""),"")</f>
        <v/>
      </c>
      <c r="O2658" t="str">
        <f>IFERROR(__xludf.DUMMYFUNCTION("""COMPUTED_VALUE"""),"")</f>
        <v/>
      </c>
      <c r="P2658" t="str">
        <f>IFERROR(__xludf.DUMMYFUNCTION("""COMPUTED_VALUE"""),"ID ")</f>
        <v>ID </v>
      </c>
    </row>
    <row r="2659">
      <c r="A2659" s="6" t="str">
        <f>IFERROR(__xludf.DUMMYFUNCTION("""COMPUTED_VALUE"""),"")</f>
        <v/>
      </c>
      <c r="C2659" t="str">
        <f>IFERROR(__xludf.DUMMYFUNCTION("""COMPUTED_VALUE"""),"")</f>
        <v/>
      </c>
      <c r="D2659" t="str">
        <f>IFERROR(__xludf.DUMMYFUNCTION("""COMPUTED_VALUE"""),"")</f>
        <v/>
      </c>
      <c r="E2659" t="str">
        <f>IFERROR(__xludf.DUMMYFUNCTION("""COMPUTED_VALUE"""),"")</f>
        <v/>
      </c>
      <c r="F2659" t="str">
        <f>IFERROR(__xludf.DUMMYFUNCTION("""COMPUTED_VALUE"""),"")</f>
        <v/>
      </c>
      <c r="G2659" t="str">
        <f>IFERROR(__xludf.DUMMYFUNCTION("""COMPUTED_VALUE"""),"")</f>
        <v/>
      </c>
      <c r="H2659" s="2" t="str">
        <f>IFERROR(__xludf.DUMMYFUNCTION("""COMPUTED_VALUE"""),"")</f>
        <v/>
      </c>
      <c r="I2659" s="2" t="str">
        <f>IFERROR(__xludf.DUMMYFUNCTION("""COMPUTED_VALUE"""),"")</f>
        <v/>
      </c>
      <c r="J2659" s="2">
        <f>IFERROR(__xludf.DUMMYFUNCTION("""COMPUTED_VALUE"""),0.0)</f>
        <v>0</v>
      </c>
      <c r="K2659" s="5" t="str">
        <f>IFERROR(__xludf.DUMMYFUNCTION("""COMPUTED_VALUE"""),"")</f>
        <v/>
      </c>
      <c r="L2659" t="str">
        <f>IFERROR(__xludf.DUMMYFUNCTION("""COMPUTED_VALUE"""),"")</f>
        <v/>
      </c>
      <c r="M2659" t="str">
        <f>IFERROR(__xludf.DUMMYFUNCTION("""COMPUTED_VALUE"""),"")</f>
        <v/>
      </c>
      <c r="N2659" t="str">
        <f>IFERROR(__xludf.DUMMYFUNCTION("""COMPUTED_VALUE"""),"")</f>
        <v/>
      </c>
      <c r="O2659" t="str">
        <f>IFERROR(__xludf.DUMMYFUNCTION("""COMPUTED_VALUE"""),"")</f>
        <v/>
      </c>
      <c r="P2659" t="str">
        <f>IFERROR(__xludf.DUMMYFUNCTION("""COMPUTED_VALUE"""),"ID ")</f>
        <v>ID </v>
      </c>
    </row>
    <row r="2660">
      <c r="A2660" s="6" t="str">
        <f>IFERROR(__xludf.DUMMYFUNCTION("""COMPUTED_VALUE"""),"")</f>
        <v/>
      </c>
      <c r="C2660" t="str">
        <f>IFERROR(__xludf.DUMMYFUNCTION("""COMPUTED_VALUE"""),"")</f>
        <v/>
      </c>
      <c r="D2660" t="str">
        <f>IFERROR(__xludf.DUMMYFUNCTION("""COMPUTED_VALUE"""),"")</f>
        <v/>
      </c>
      <c r="E2660" t="str">
        <f>IFERROR(__xludf.DUMMYFUNCTION("""COMPUTED_VALUE"""),"")</f>
        <v/>
      </c>
      <c r="F2660" t="str">
        <f>IFERROR(__xludf.DUMMYFUNCTION("""COMPUTED_VALUE"""),"")</f>
        <v/>
      </c>
      <c r="G2660" t="str">
        <f>IFERROR(__xludf.DUMMYFUNCTION("""COMPUTED_VALUE"""),"")</f>
        <v/>
      </c>
      <c r="H2660" s="2" t="str">
        <f>IFERROR(__xludf.DUMMYFUNCTION("""COMPUTED_VALUE"""),"")</f>
        <v/>
      </c>
      <c r="I2660" s="2" t="str">
        <f>IFERROR(__xludf.DUMMYFUNCTION("""COMPUTED_VALUE"""),"")</f>
        <v/>
      </c>
      <c r="J2660" s="2">
        <f>IFERROR(__xludf.DUMMYFUNCTION("""COMPUTED_VALUE"""),0.0)</f>
        <v>0</v>
      </c>
      <c r="K2660" s="5" t="str">
        <f>IFERROR(__xludf.DUMMYFUNCTION("""COMPUTED_VALUE"""),"")</f>
        <v/>
      </c>
      <c r="L2660" t="str">
        <f>IFERROR(__xludf.DUMMYFUNCTION("""COMPUTED_VALUE"""),"")</f>
        <v/>
      </c>
      <c r="M2660" t="str">
        <f>IFERROR(__xludf.DUMMYFUNCTION("""COMPUTED_VALUE"""),"")</f>
        <v/>
      </c>
      <c r="N2660" t="str">
        <f>IFERROR(__xludf.DUMMYFUNCTION("""COMPUTED_VALUE"""),"")</f>
        <v/>
      </c>
      <c r="O2660" t="str">
        <f>IFERROR(__xludf.DUMMYFUNCTION("""COMPUTED_VALUE"""),"")</f>
        <v/>
      </c>
      <c r="P2660" t="str">
        <f>IFERROR(__xludf.DUMMYFUNCTION("""COMPUTED_VALUE"""),"ID ")</f>
        <v>ID </v>
      </c>
    </row>
    <row r="2661">
      <c r="A2661" s="6" t="str">
        <f>IFERROR(__xludf.DUMMYFUNCTION("""COMPUTED_VALUE"""),"")</f>
        <v/>
      </c>
      <c r="C2661" t="str">
        <f>IFERROR(__xludf.DUMMYFUNCTION("""COMPUTED_VALUE"""),"")</f>
        <v/>
      </c>
      <c r="D2661" t="str">
        <f>IFERROR(__xludf.DUMMYFUNCTION("""COMPUTED_VALUE"""),"")</f>
        <v/>
      </c>
      <c r="E2661" t="str">
        <f>IFERROR(__xludf.DUMMYFUNCTION("""COMPUTED_VALUE"""),"")</f>
        <v/>
      </c>
      <c r="F2661" t="str">
        <f>IFERROR(__xludf.DUMMYFUNCTION("""COMPUTED_VALUE"""),"")</f>
        <v/>
      </c>
      <c r="G2661" t="str">
        <f>IFERROR(__xludf.DUMMYFUNCTION("""COMPUTED_VALUE"""),"")</f>
        <v/>
      </c>
      <c r="H2661" s="2" t="str">
        <f>IFERROR(__xludf.DUMMYFUNCTION("""COMPUTED_VALUE"""),"")</f>
        <v/>
      </c>
      <c r="I2661" s="2" t="str">
        <f>IFERROR(__xludf.DUMMYFUNCTION("""COMPUTED_VALUE"""),"")</f>
        <v/>
      </c>
      <c r="J2661" s="2">
        <f>IFERROR(__xludf.DUMMYFUNCTION("""COMPUTED_VALUE"""),0.0)</f>
        <v>0</v>
      </c>
      <c r="K2661" s="5" t="str">
        <f>IFERROR(__xludf.DUMMYFUNCTION("""COMPUTED_VALUE"""),"")</f>
        <v/>
      </c>
      <c r="L2661" t="str">
        <f>IFERROR(__xludf.DUMMYFUNCTION("""COMPUTED_VALUE"""),"")</f>
        <v/>
      </c>
      <c r="M2661" t="str">
        <f>IFERROR(__xludf.DUMMYFUNCTION("""COMPUTED_VALUE"""),"")</f>
        <v/>
      </c>
      <c r="N2661" t="str">
        <f>IFERROR(__xludf.DUMMYFUNCTION("""COMPUTED_VALUE"""),"")</f>
        <v/>
      </c>
      <c r="O2661" t="str">
        <f>IFERROR(__xludf.DUMMYFUNCTION("""COMPUTED_VALUE"""),"")</f>
        <v/>
      </c>
      <c r="P2661" t="str">
        <f>IFERROR(__xludf.DUMMYFUNCTION("""COMPUTED_VALUE"""),"ID ")</f>
        <v>ID </v>
      </c>
    </row>
    <row r="2662">
      <c r="A2662" s="6" t="str">
        <f>IFERROR(__xludf.DUMMYFUNCTION("""COMPUTED_VALUE"""),"")</f>
        <v/>
      </c>
      <c r="C2662" t="str">
        <f>IFERROR(__xludf.DUMMYFUNCTION("""COMPUTED_VALUE"""),"")</f>
        <v/>
      </c>
      <c r="D2662" t="str">
        <f>IFERROR(__xludf.DUMMYFUNCTION("""COMPUTED_VALUE"""),"")</f>
        <v/>
      </c>
      <c r="E2662" t="str">
        <f>IFERROR(__xludf.DUMMYFUNCTION("""COMPUTED_VALUE"""),"")</f>
        <v/>
      </c>
      <c r="F2662" t="str">
        <f>IFERROR(__xludf.DUMMYFUNCTION("""COMPUTED_VALUE"""),"")</f>
        <v/>
      </c>
      <c r="G2662" t="str">
        <f>IFERROR(__xludf.DUMMYFUNCTION("""COMPUTED_VALUE"""),"")</f>
        <v/>
      </c>
      <c r="H2662" s="2" t="str">
        <f>IFERROR(__xludf.DUMMYFUNCTION("""COMPUTED_VALUE"""),"")</f>
        <v/>
      </c>
      <c r="I2662" s="2" t="str">
        <f>IFERROR(__xludf.DUMMYFUNCTION("""COMPUTED_VALUE"""),"")</f>
        <v/>
      </c>
      <c r="J2662" s="2">
        <f>IFERROR(__xludf.DUMMYFUNCTION("""COMPUTED_VALUE"""),0.0)</f>
        <v>0</v>
      </c>
      <c r="K2662" s="5" t="str">
        <f>IFERROR(__xludf.DUMMYFUNCTION("""COMPUTED_VALUE"""),"")</f>
        <v/>
      </c>
      <c r="L2662" t="str">
        <f>IFERROR(__xludf.DUMMYFUNCTION("""COMPUTED_VALUE"""),"")</f>
        <v/>
      </c>
      <c r="M2662" t="str">
        <f>IFERROR(__xludf.DUMMYFUNCTION("""COMPUTED_VALUE"""),"")</f>
        <v/>
      </c>
      <c r="N2662" t="str">
        <f>IFERROR(__xludf.DUMMYFUNCTION("""COMPUTED_VALUE"""),"")</f>
        <v/>
      </c>
      <c r="O2662" t="str">
        <f>IFERROR(__xludf.DUMMYFUNCTION("""COMPUTED_VALUE"""),"")</f>
        <v/>
      </c>
      <c r="P2662" t="str">
        <f>IFERROR(__xludf.DUMMYFUNCTION("""COMPUTED_VALUE"""),"ID ")</f>
        <v>ID </v>
      </c>
    </row>
    <row r="2663">
      <c r="A2663" s="6" t="str">
        <f>IFERROR(__xludf.DUMMYFUNCTION("""COMPUTED_VALUE"""),"")</f>
        <v/>
      </c>
      <c r="C2663" t="str">
        <f>IFERROR(__xludf.DUMMYFUNCTION("""COMPUTED_VALUE"""),"")</f>
        <v/>
      </c>
      <c r="D2663" t="str">
        <f>IFERROR(__xludf.DUMMYFUNCTION("""COMPUTED_VALUE"""),"")</f>
        <v/>
      </c>
      <c r="E2663" t="str">
        <f>IFERROR(__xludf.DUMMYFUNCTION("""COMPUTED_VALUE"""),"")</f>
        <v/>
      </c>
      <c r="F2663" t="str">
        <f>IFERROR(__xludf.DUMMYFUNCTION("""COMPUTED_VALUE"""),"")</f>
        <v/>
      </c>
      <c r="G2663" t="str">
        <f>IFERROR(__xludf.DUMMYFUNCTION("""COMPUTED_VALUE"""),"")</f>
        <v/>
      </c>
      <c r="H2663" s="2" t="str">
        <f>IFERROR(__xludf.DUMMYFUNCTION("""COMPUTED_VALUE"""),"")</f>
        <v/>
      </c>
      <c r="I2663" s="2" t="str">
        <f>IFERROR(__xludf.DUMMYFUNCTION("""COMPUTED_VALUE"""),"")</f>
        <v/>
      </c>
      <c r="J2663" s="2">
        <f>IFERROR(__xludf.DUMMYFUNCTION("""COMPUTED_VALUE"""),0.0)</f>
        <v>0</v>
      </c>
      <c r="K2663" s="5" t="str">
        <f>IFERROR(__xludf.DUMMYFUNCTION("""COMPUTED_VALUE"""),"")</f>
        <v/>
      </c>
      <c r="L2663" t="str">
        <f>IFERROR(__xludf.DUMMYFUNCTION("""COMPUTED_VALUE"""),"")</f>
        <v/>
      </c>
      <c r="M2663" t="str">
        <f>IFERROR(__xludf.DUMMYFUNCTION("""COMPUTED_VALUE"""),"")</f>
        <v/>
      </c>
      <c r="N2663" t="str">
        <f>IFERROR(__xludf.DUMMYFUNCTION("""COMPUTED_VALUE"""),"")</f>
        <v/>
      </c>
      <c r="O2663" t="str">
        <f>IFERROR(__xludf.DUMMYFUNCTION("""COMPUTED_VALUE"""),"")</f>
        <v/>
      </c>
      <c r="P2663" t="str">
        <f>IFERROR(__xludf.DUMMYFUNCTION("""COMPUTED_VALUE"""),"ID ")</f>
        <v>ID </v>
      </c>
    </row>
    <row r="2664">
      <c r="A2664" s="6" t="str">
        <f>IFERROR(__xludf.DUMMYFUNCTION("""COMPUTED_VALUE"""),"")</f>
        <v/>
      </c>
      <c r="C2664" t="str">
        <f>IFERROR(__xludf.DUMMYFUNCTION("""COMPUTED_VALUE"""),"")</f>
        <v/>
      </c>
      <c r="D2664" t="str">
        <f>IFERROR(__xludf.DUMMYFUNCTION("""COMPUTED_VALUE"""),"")</f>
        <v/>
      </c>
      <c r="E2664" t="str">
        <f>IFERROR(__xludf.DUMMYFUNCTION("""COMPUTED_VALUE"""),"")</f>
        <v/>
      </c>
      <c r="F2664" t="str">
        <f>IFERROR(__xludf.DUMMYFUNCTION("""COMPUTED_VALUE"""),"")</f>
        <v/>
      </c>
      <c r="G2664" t="str">
        <f>IFERROR(__xludf.DUMMYFUNCTION("""COMPUTED_VALUE"""),"")</f>
        <v/>
      </c>
      <c r="H2664" s="2" t="str">
        <f>IFERROR(__xludf.DUMMYFUNCTION("""COMPUTED_VALUE"""),"")</f>
        <v/>
      </c>
      <c r="I2664" s="2" t="str">
        <f>IFERROR(__xludf.DUMMYFUNCTION("""COMPUTED_VALUE"""),"")</f>
        <v/>
      </c>
      <c r="J2664" s="2">
        <f>IFERROR(__xludf.DUMMYFUNCTION("""COMPUTED_VALUE"""),0.0)</f>
        <v>0</v>
      </c>
      <c r="K2664" s="5" t="str">
        <f>IFERROR(__xludf.DUMMYFUNCTION("""COMPUTED_VALUE"""),"")</f>
        <v/>
      </c>
      <c r="L2664" t="str">
        <f>IFERROR(__xludf.DUMMYFUNCTION("""COMPUTED_VALUE"""),"")</f>
        <v/>
      </c>
      <c r="M2664" t="str">
        <f>IFERROR(__xludf.DUMMYFUNCTION("""COMPUTED_VALUE"""),"")</f>
        <v/>
      </c>
      <c r="N2664" t="str">
        <f>IFERROR(__xludf.DUMMYFUNCTION("""COMPUTED_VALUE"""),"")</f>
        <v/>
      </c>
      <c r="O2664" t="str">
        <f>IFERROR(__xludf.DUMMYFUNCTION("""COMPUTED_VALUE"""),"")</f>
        <v/>
      </c>
      <c r="P2664" t="str">
        <f>IFERROR(__xludf.DUMMYFUNCTION("""COMPUTED_VALUE"""),"ID ")</f>
        <v>ID </v>
      </c>
    </row>
    <row r="2665">
      <c r="A2665" s="6" t="str">
        <f>IFERROR(__xludf.DUMMYFUNCTION("""COMPUTED_VALUE"""),"")</f>
        <v/>
      </c>
      <c r="C2665" t="str">
        <f>IFERROR(__xludf.DUMMYFUNCTION("""COMPUTED_VALUE"""),"")</f>
        <v/>
      </c>
      <c r="D2665" t="str">
        <f>IFERROR(__xludf.DUMMYFUNCTION("""COMPUTED_VALUE"""),"")</f>
        <v/>
      </c>
      <c r="E2665" t="str">
        <f>IFERROR(__xludf.DUMMYFUNCTION("""COMPUTED_VALUE"""),"")</f>
        <v/>
      </c>
      <c r="F2665" t="str">
        <f>IFERROR(__xludf.DUMMYFUNCTION("""COMPUTED_VALUE"""),"")</f>
        <v/>
      </c>
      <c r="G2665" t="str">
        <f>IFERROR(__xludf.DUMMYFUNCTION("""COMPUTED_VALUE"""),"")</f>
        <v/>
      </c>
      <c r="H2665" s="2" t="str">
        <f>IFERROR(__xludf.DUMMYFUNCTION("""COMPUTED_VALUE"""),"")</f>
        <v/>
      </c>
      <c r="I2665" s="2" t="str">
        <f>IFERROR(__xludf.DUMMYFUNCTION("""COMPUTED_VALUE"""),"")</f>
        <v/>
      </c>
      <c r="J2665" s="2">
        <f>IFERROR(__xludf.DUMMYFUNCTION("""COMPUTED_VALUE"""),0.0)</f>
        <v>0</v>
      </c>
      <c r="K2665" s="5" t="str">
        <f>IFERROR(__xludf.DUMMYFUNCTION("""COMPUTED_VALUE"""),"")</f>
        <v/>
      </c>
      <c r="L2665" t="str">
        <f>IFERROR(__xludf.DUMMYFUNCTION("""COMPUTED_VALUE"""),"")</f>
        <v/>
      </c>
      <c r="M2665" t="str">
        <f>IFERROR(__xludf.DUMMYFUNCTION("""COMPUTED_VALUE"""),"")</f>
        <v/>
      </c>
      <c r="N2665" t="str">
        <f>IFERROR(__xludf.DUMMYFUNCTION("""COMPUTED_VALUE"""),"")</f>
        <v/>
      </c>
      <c r="O2665" t="str">
        <f>IFERROR(__xludf.DUMMYFUNCTION("""COMPUTED_VALUE"""),"")</f>
        <v/>
      </c>
      <c r="P2665" t="str">
        <f>IFERROR(__xludf.DUMMYFUNCTION("""COMPUTED_VALUE"""),"ID ")</f>
        <v>ID </v>
      </c>
    </row>
    <row r="2666">
      <c r="A2666" s="6" t="str">
        <f>IFERROR(__xludf.DUMMYFUNCTION("""COMPUTED_VALUE"""),"")</f>
        <v/>
      </c>
      <c r="C2666" t="str">
        <f>IFERROR(__xludf.DUMMYFUNCTION("""COMPUTED_VALUE"""),"")</f>
        <v/>
      </c>
      <c r="D2666" t="str">
        <f>IFERROR(__xludf.DUMMYFUNCTION("""COMPUTED_VALUE"""),"")</f>
        <v/>
      </c>
      <c r="E2666" t="str">
        <f>IFERROR(__xludf.DUMMYFUNCTION("""COMPUTED_VALUE"""),"")</f>
        <v/>
      </c>
      <c r="F2666" t="str">
        <f>IFERROR(__xludf.DUMMYFUNCTION("""COMPUTED_VALUE"""),"")</f>
        <v/>
      </c>
      <c r="G2666" t="str">
        <f>IFERROR(__xludf.DUMMYFUNCTION("""COMPUTED_VALUE"""),"")</f>
        <v/>
      </c>
      <c r="H2666" s="2" t="str">
        <f>IFERROR(__xludf.DUMMYFUNCTION("""COMPUTED_VALUE"""),"")</f>
        <v/>
      </c>
      <c r="I2666" s="2" t="str">
        <f>IFERROR(__xludf.DUMMYFUNCTION("""COMPUTED_VALUE"""),"")</f>
        <v/>
      </c>
      <c r="J2666" s="2">
        <f>IFERROR(__xludf.DUMMYFUNCTION("""COMPUTED_VALUE"""),0.0)</f>
        <v>0</v>
      </c>
      <c r="K2666" s="5" t="str">
        <f>IFERROR(__xludf.DUMMYFUNCTION("""COMPUTED_VALUE"""),"")</f>
        <v/>
      </c>
      <c r="L2666" t="str">
        <f>IFERROR(__xludf.DUMMYFUNCTION("""COMPUTED_VALUE"""),"")</f>
        <v/>
      </c>
      <c r="M2666" t="str">
        <f>IFERROR(__xludf.DUMMYFUNCTION("""COMPUTED_VALUE"""),"")</f>
        <v/>
      </c>
      <c r="N2666" t="str">
        <f>IFERROR(__xludf.DUMMYFUNCTION("""COMPUTED_VALUE"""),"")</f>
        <v/>
      </c>
      <c r="O2666" t="str">
        <f>IFERROR(__xludf.DUMMYFUNCTION("""COMPUTED_VALUE"""),"")</f>
        <v/>
      </c>
      <c r="P2666" t="str">
        <f>IFERROR(__xludf.DUMMYFUNCTION("""COMPUTED_VALUE"""),"ID ")</f>
        <v>ID </v>
      </c>
    </row>
    <row r="2667">
      <c r="A2667" s="6" t="str">
        <f>IFERROR(__xludf.DUMMYFUNCTION("""COMPUTED_VALUE"""),"")</f>
        <v/>
      </c>
      <c r="C2667" t="str">
        <f>IFERROR(__xludf.DUMMYFUNCTION("""COMPUTED_VALUE"""),"")</f>
        <v/>
      </c>
      <c r="D2667" t="str">
        <f>IFERROR(__xludf.DUMMYFUNCTION("""COMPUTED_VALUE"""),"")</f>
        <v/>
      </c>
      <c r="E2667" t="str">
        <f>IFERROR(__xludf.DUMMYFUNCTION("""COMPUTED_VALUE"""),"")</f>
        <v/>
      </c>
      <c r="F2667" t="str">
        <f>IFERROR(__xludf.DUMMYFUNCTION("""COMPUTED_VALUE"""),"")</f>
        <v/>
      </c>
      <c r="G2667" t="str">
        <f>IFERROR(__xludf.DUMMYFUNCTION("""COMPUTED_VALUE"""),"")</f>
        <v/>
      </c>
      <c r="H2667" s="2" t="str">
        <f>IFERROR(__xludf.DUMMYFUNCTION("""COMPUTED_VALUE"""),"")</f>
        <v/>
      </c>
      <c r="I2667" s="2" t="str">
        <f>IFERROR(__xludf.DUMMYFUNCTION("""COMPUTED_VALUE"""),"")</f>
        <v/>
      </c>
      <c r="J2667" s="2">
        <f>IFERROR(__xludf.DUMMYFUNCTION("""COMPUTED_VALUE"""),0.0)</f>
        <v>0</v>
      </c>
      <c r="K2667" s="5" t="str">
        <f>IFERROR(__xludf.DUMMYFUNCTION("""COMPUTED_VALUE"""),"")</f>
        <v/>
      </c>
      <c r="L2667" t="str">
        <f>IFERROR(__xludf.DUMMYFUNCTION("""COMPUTED_VALUE"""),"")</f>
        <v/>
      </c>
      <c r="M2667" t="str">
        <f>IFERROR(__xludf.DUMMYFUNCTION("""COMPUTED_VALUE"""),"")</f>
        <v/>
      </c>
      <c r="N2667" t="str">
        <f>IFERROR(__xludf.DUMMYFUNCTION("""COMPUTED_VALUE"""),"")</f>
        <v/>
      </c>
      <c r="O2667" t="str">
        <f>IFERROR(__xludf.DUMMYFUNCTION("""COMPUTED_VALUE"""),"")</f>
        <v/>
      </c>
      <c r="P2667" t="str">
        <f>IFERROR(__xludf.DUMMYFUNCTION("""COMPUTED_VALUE"""),"ID ")</f>
        <v>ID </v>
      </c>
    </row>
    <row r="2668">
      <c r="A2668" s="6" t="str">
        <f>IFERROR(__xludf.DUMMYFUNCTION("""COMPUTED_VALUE"""),"")</f>
        <v/>
      </c>
      <c r="C2668" t="str">
        <f>IFERROR(__xludf.DUMMYFUNCTION("""COMPUTED_VALUE"""),"")</f>
        <v/>
      </c>
      <c r="D2668" t="str">
        <f>IFERROR(__xludf.DUMMYFUNCTION("""COMPUTED_VALUE"""),"")</f>
        <v/>
      </c>
      <c r="E2668" t="str">
        <f>IFERROR(__xludf.DUMMYFUNCTION("""COMPUTED_VALUE"""),"")</f>
        <v/>
      </c>
      <c r="F2668" t="str">
        <f>IFERROR(__xludf.DUMMYFUNCTION("""COMPUTED_VALUE"""),"")</f>
        <v/>
      </c>
      <c r="G2668" t="str">
        <f>IFERROR(__xludf.DUMMYFUNCTION("""COMPUTED_VALUE"""),"")</f>
        <v/>
      </c>
      <c r="H2668" s="2" t="str">
        <f>IFERROR(__xludf.DUMMYFUNCTION("""COMPUTED_VALUE"""),"")</f>
        <v/>
      </c>
      <c r="I2668" s="2" t="str">
        <f>IFERROR(__xludf.DUMMYFUNCTION("""COMPUTED_VALUE"""),"")</f>
        <v/>
      </c>
      <c r="J2668" s="2">
        <f>IFERROR(__xludf.DUMMYFUNCTION("""COMPUTED_VALUE"""),0.0)</f>
        <v>0</v>
      </c>
      <c r="K2668" s="5" t="str">
        <f>IFERROR(__xludf.DUMMYFUNCTION("""COMPUTED_VALUE"""),"")</f>
        <v/>
      </c>
      <c r="L2668" t="str">
        <f>IFERROR(__xludf.DUMMYFUNCTION("""COMPUTED_VALUE"""),"")</f>
        <v/>
      </c>
      <c r="M2668" t="str">
        <f>IFERROR(__xludf.DUMMYFUNCTION("""COMPUTED_VALUE"""),"")</f>
        <v/>
      </c>
      <c r="N2668" t="str">
        <f>IFERROR(__xludf.DUMMYFUNCTION("""COMPUTED_VALUE"""),"")</f>
        <v/>
      </c>
      <c r="O2668" t="str">
        <f>IFERROR(__xludf.DUMMYFUNCTION("""COMPUTED_VALUE"""),"")</f>
        <v/>
      </c>
      <c r="P2668" t="str">
        <f>IFERROR(__xludf.DUMMYFUNCTION("""COMPUTED_VALUE"""),"ID ")</f>
        <v>ID </v>
      </c>
    </row>
    <row r="2669">
      <c r="A2669" s="6" t="str">
        <f>IFERROR(__xludf.DUMMYFUNCTION("""COMPUTED_VALUE"""),"")</f>
        <v/>
      </c>
      <c r="C2669" t="str">
        <f>IFERROR(__xludf.DUMMYFUNCTION("""COMPUTED_VALUE"""),"")</f>
        <v/>
      </c>
      <c r="D2669" t="str">
        <f>IFERROR(__xludf.DUMMYFUNCTION("""COMPUTED_VALUE"""),"")</f>
        <v/>
      </c>
      <c r="E2669" t="str">
        <f>IFERROR(__xludf.DUMMYFUNCTION("""COMPUTED_VALUE"""),"")</f>
        <v/>
      </c>
      <c r="F2669" t="str">
        <f>IFERROR(__xludf.DUMMYFUNCTION("""COMPUTED_VALUE"""),"")</f>
        <v/>
      </c>
      <c r="G2669" t="str">
        <f>IFERROR(__xludf.DUMMYFUNCTION("""COMPUTED_VALUE"""),"")</f>
        <v/>
      </c>
      <c r="H2669" s="2" t="str">
        <f>IFERROR(__xludf.DUMMYFUNCTION("""COMPUTED_VALUE"""),"")</f>
        <v/>
      </c>
      <c r="I2669" s="2" t="str">
        <f>IFERROR(__xludf.DUMMYFUNCTION("""COMPUTED_VALUE"""),"")</f>
        <v/>
      </c>
      <c r="J2669" s="2">
        <f>IFERROR(__xludf.DUMMYFUNCTION("""COMPUTED_VALUE"""),0.0)</f>
        <v>0</v>
      </c>
      <c r="K2669" s="5" t="str">
        <f>IFERROR(__xludf.DUMMYFUNCTION("""COMPUTED_VALUE"""),"")</f>
        <v/>
      </c>
      <c r="L2669" t="str">
        <f>IFERROR(__xludf.DUMMYFUNCTION("""COMPUTED_VALUE"""),"")</f>
        <v/>
      </c>
      <c r="M2669" t="str">
        <f>IFERROR(__xludf.DUMMYFUNCTION("""COMPUTED_VALUE"""),"")</f>
        <v/>
      </c>
      <c r="N2669" t="str">
        <f>IFERROR(__xludf.DUMMYFUNCTION("""COMPUTED_VALUE"""),"")</f>
        <v/>
      </c>
      <c r="O2669" t="str">
        <f>IFERROR(__xludf.DUMMYFUNCTION("""COMPUTED_VALUE"""),"")</f>
        <v/>
      </c>
      <c r="P2669" t="str">
        <f>IFERROR(__xludf.DUMMYFUNCTION("""COMPUTED_VALUE"""),"ID ")</f>
        <v>ID </v>
      </c>
    </row>
    <row r="2670">
      <c r="A2670" s="6" t="str">
        <f>IFERROR(__xludf.DUMMYFUNCTION("""COMPUTED_VALUE"""),"")</f>
        <v/>
      </c>
      <c r="C2670" t="str">
        <f>IFERROR(__xludf.DUMMYFUNCTION("""COMPUTED_VALUE"""),"")</f>
        <v/>
      </c>
      <c r="D2670" t="str">
        <f>IFERROR(__xludf.DUMMYFUNCTION("""COMPUTED_VALUE"""),"")</f>
        <v/>
      </c>
      <c r="E2670" t="str">
        <f>IFERROR(__xludf.DUMMYFUNCTION("""COMPUTED_VALUE"""),"")</f>
        <v/>
      </c>
      <c r="F2670" t="str">
        <f>IFERROR(__xludf.DUMMYFUNCTION("""COMPUTED_VALUE"""),"")</f>
        <v/>
      </c>
      <c r="G2670" t="str">
        <f>IFERROR(__xludf.DUMMYFUNCTION("""COMPUTED_VALUE"""),"")</f>
        <v/>
      </c>
      <c r="H2670" s="2" t="str">
        <f>IFERROR(__xludf.DUMMYFUNCTION("""COMPUTED_VALUE"""),"")</f>
        <v/>
      </c>
      <c r="I2670" s="2" t="str">
        <f>IFERROR(__xludf.DUMMYFUNCTION("""COMPUTED_VALUE"""),"")</f>
        <v/>
      </c>
      <c r="J2670" s="2">
        <f>IFERROR(__xludf.DUMMYFUNCTION("""COMPUTED_VALUE"""),0.0)</f>
        <v>0</v>
      </c>
      <c r="K2670" s="5" t="str">
        <f>IFERROR(__xludf.DUMMYFUNCTION("""COMPUTED_VALUE"""),"")</f>
        <v/>
      </c>
      <c r="L2670" t="str">
        <f>IFERROR(__xludf.DUMMYFUNCTION("""COMPUTED_VALUE"""),"")</f>
        <v/>
      </c>
      <c r="M2670" t="str">
        <f>IFERROR(__xludf.DUMMYFUNCTION("""COMPUTED_VALUE"""),"")</f>
        <v/>
      </c>
      <c r="N2670" t="str">
        <f>IFERROR(__xludf.DUMMYFUNCTION("""COMPUTED_VALUE"""),"")</f>
        <v/>
      </c>
      <c r="O2670" t="str">
        <f>IFERROR(__xludf.DUMMYFUNCTION("""COMPUTED_VALUE"""),"")</f>
        <v/>
      </c>
      <c r="P2670" t="str">
        <f>IFERROR(__xludf.DUMMYFUNCTION("""COMPUTED_VALUE"""),"ID ")</f>
        <v>ID </v>
      </c>
    </row>
    <row r="2671">
      <c r="A2671" s="6" t="str">
        <f>IFERROR(__xludf.DUMMYFUNCTION("""COMPUTED_VALUE"""),"")</f>
        <v/>
      </c>
      <c r="C2671" t="str">
        <f>IFERROR(__xludf.DUMMYFUNCTION("""COMPUTED_VALUE"""),"")</f>
        <v/>
      </c>
      <c r="D2671" t="str">
        <f>IFERROR(__xludf.DUMMYFUNCTION("""COMPUTED_VALUE"""),"")</f>
        <v/>
      </c>
      <c r="E2671" t="str">
        <f>IFERROR(__xludf.DUMMYFUNCTION("""COMPUTED_VALUE"""),"")</f>
        <v/>
      </c>
      <c r="F2671" t="str">
        <f>IFERROR(__xludf.DUMMYFUNCTION("""COMPUTED_VALUE"""),"")</f>
        <v/>
      </c>
      <c r="G2671" t="str">
        <f>IFERROR(__xludf.DUMMYFUNCTION("""COMPUTED_VALUE"""),"")</f>
        <v/>
      </c>
      <c r="H2671" s="2" t="str">
        <f>IFERROR(__xludf.DUMMYFUNCTION("""COMPUTED_VALUE"""),"")</f>
        <v/>
      </c>
      <c r="I2671" s="2" t="str">
        <f>IFERROR(__xludf.DUMMYFUNCTION("""COMPUTED_VALUE"""),"")</f>
        <v/>
      </c>
      <c r="J2671" s="2">
        <f>IFERROR(__xludf.DUMMYFUNCTION("""COMPUTED_VALUE"""),0.0)</f>
        <v>0</v>
      </c>
      <c r="K2671" s="5" t="str">
        <f>IFERROR(__xludf.DUMMYFUNCTION("""COMPUTED_VALUE"""),"")</f>
        <v/>
      </c>
      <c r="L2671" t="str">
        <f>IFERROR(__xludf.DUMMYFUNCTION("""COMPUTED_VALUE"""),"")</f>
        <v/>
      </c>
      <c r="M2671" t="str">
        <f>IFERROR(__xludf.DUMMYFUNCTION("""COMPUTED_VALUE"""),"")</f>
        <v/>
      </c>
      <c r="N2671" t="str">
        <f>IFERROR(__xludf.DUMMYFUNCTION("""COMPUTED_VALUE"""),"")</f>
        <v/>
      </c>
      <c r="O2671" t="str">
        <f>IFERROR(__xludf.DUMMYFUNCTION("""COMPUTED_VALUE"""),"")</f>
        <v/>
      </c>
      <c r="P2671" t="str">
        <f>IFERROR(__xludf.DUMMYFUNCTION("""COMPUTED_VALUE"""),"ID ")</f>
        <v>ID </v>
      </c>
    </row>
    <row r="2672">
      <c r="A2672" s="6" t="str">
        <f>IFERROR(__xludf.DUMMYFUNCTION("""COMPUTED_VALUE"""),"")</f>
        <v/>
      </c>
      <c r="C2672" t="str">
        <f>IFERROR(__xludf.DUMMYFUNCTION("""COMPUTED_VALUE"""),"")</f>
        <v/>
      </c>
      <c r="D2672" t="str">
        <f>IFERROR(__xludf.DUMMYFUNCTION("""COMPUTED_VALUE"""),"")</f>
        <v/>
      </c>
      <c r="E2672" t="str">
        <f>IFERROR(__xludf.DUMMYFUNCTION("""COMPUTED_VALUE"""),"")</f>
        <v/>
      </c>
      <c r="F2672" t="str">
        <f>IFERROR(__xludf.DUMMYFUNCTION("""COMPUTED_VALUE"""),"")</f>
        <v/>
      </c>
      <c r="G2672" t="str">
        <f>IFERROR(__xludf.DUMMYFUNCTION("""COMPUTED_VALUE"""),"")</f>
        <v/>
      </c>
      <c r="H2672" s="2" t="str">
        <f>IFERROR(__xludf.DUMMYFUNCTION("""COMPUTED_VALUE"""),"")</f>
        <v/>
      </c>
      <c r="I2672" s="2" t="str">
        <f>IFERROR(__xludf.DUMMYFUNCTION("""COMPUTED_VALUE"""),"")</f>
        <v/>
      </c>
      <c r="J2672" s="2">
        <f>IFERROR(__xludf.DUMMYFUNCTION("""COMPUTED_VALUE"""),0.0)</f>
        <v>0</v>
      </c>
      <c r="K2672" s="5" t="str">
        <f>IFERROR(__xludf.DUMMYFUNCTION("""COMPUTED_VALUE"""),"")</f>
        <v/>
      </c>
      <c r="L2672" t="str">
        <f>IFERROR(__xludf.DUMMYFUNCTION("""COMPUTED_VALUE"""),"")</f>
        <v/>
      </c>
      <c r="M2672" t="str">
        <f>IFERROR(__xludf.DUMMYFUNCTION("""COMPUTED_VALUE"""),"")</f>
        <v/>
      </c>
      <c r="N2672" t="str">
        <f>IFERROR(__xludf.DUMMYFUNCTION("""COMPUTED_VALUE"""),"")</f>
        <v/>
      </c>
      <c r="O2672" t="str">
        <f>IFERROR(__xludf.DUMMYFUNCTION("""COMPUTED_VALUE"""),"")</f>
        <v/>
      </c>
      <c r="P2672" t="str">
        <f>IFERROR(__xludf.DUMMYFUNCTION("""COMPUTED_VALUE"""),"ID ")</f>
        <v>ID </v>
      </c>
    </row>
    <row r="2673">
      <c r="A2673" s="6" t="str">
        <f>IFERROR(__xludf.DUMMYFUNCTION("""COMPUTED_VALUE"""),"")</f>
        <v/>
      </c>
      <c r="C2673" t="str">
        <f>IFERROR(__xludf.DUMMYFUNCTION("""COMPUTED_VALUE"""),"")</f>
        <v/>
      </c>
      <c r="D2673" t="str">
        <f>IFERROR(__xludf.DUMMYFUNCTION("""COMPUTED_VALUE"""),"")</f>
        <v/>
      </c>
      <c r="E2673" t="str">
        <f>IFERROR(__xludf.DUMMYFUNCTION("""COMPUTED_VALUE"""),"")</f>
        <v/>
      </c>
      <c r="F2673" t="str">
        <f>IFERROR(__xludf.DUMMYFUNCTION("""COMPUTED_VALUE"""),"")</f>
        <v/>
      </c>
      <c r="G2673" t="str">
        <f>IFERROR(__xludf.DUMMYFUNCTION("""COMPUTED_VALUE"""),"")</f>
        <v/>
      </c>
      <c r="H2673" s="2" t="str">
        <f>IFERROR(__xludf.DUMMYFUNCTION("""COMPUTED_VALUE"""),"")</f>
        <v/>
      </c>
      <c r="I2673" s="2" t="str">
        <f>IFERROR(__xludf.DUMMYFUNCTION("""COMPUTED_VALUE"""),"")</f>
        <v/>
      </c>
      <c r="J2673" s="2">
        <f>IFERROR(__xludf.DUMMYFUNCTION("""COMPUTED_VALUE"""),0.0)</f>
        <v>0</v>
      </c>
      <c r="K2673" s="5" t="str">
        <f>IFERROR(__xludf.DUMMYFUNCTION("""COMPUTED_VALUE"""),"")</f>
        <v/>
      </c>
      <c r="L2673" t="str">
        <f>IFERROR(__xludf.DUMMYFUNCTION("""COMPUTED_VALUE"""),"")</f>
        <v/>
      </c>
      <c r="M2673" t="str">
        <f>IFERROR(__xludf.DUMMYFUNCTION("""COMPUTED_VALUE"""),"")</f>
        <v/>
      </c>
      <c r="N2673" t="str">
        <f>IFERROR(__xludf.DUMMYFUNCTION("""COMPUTED_VALUE"""),"")</f>
        <v/>
      </c>
      <c r="O2673" t="str">
        <f>IFERROR(__xludf.DUMMYFUNCTION("""COMPUTED_VALUE"""),"")</f>
        <v/>
      </c>
      <c r="P2673" t="str">
        <f>IFERROR(__xludf.DUMMYFUNCTION("""COMPUTED_VALUE"""),"ID ")</f>
        <v>ID </v>
      </c>
    </row>
    <row r="2674">
      <c r="A2674" s="6" t="str">
        <f>IFERROR(__xludf.DUMMYFUNCTION("""COMPUTED_VALUE"""),"")</f>
        <v/>
      </c>
      <c r="C2674" t="str">
        <f>IFERROR(__xludf.DUMMYFUNCTION("""COMPUTED_VALUE"""),"")</f>
        <v/>
      </c>
      <c r="D2674" t="str">
        <f>IFERROR(__xludf.DUMMYFUNCTION("""COMPUTED_VALUE"""),"")</f>
        <v/>
      </c>
      <c r="E2674" t="str">
        <f>IFERROR(__xludf.DUMMYFUNCTION("""COMPUTED_VALUE"""),"")</f>
        <v/>
      </c>
      <c r="F2674" t="str">
        <f>IFERROR(__xludf.DUMMYFUNCTION("""COMPUTED_VALUE"""),"")</f>
        <v/>
      </c>
      <c r="G2674" t="str">
        <f>IFERROR(__xludf.DUMMYFUNCTION("""COMPUTED_VALUE"""),"")</f>
        <v/>
      </c>
      <c r="H2674" s="2" t="str">
        <f>IFERROR(__xludf.DUMMYFUNCTION("""COMPUTED_VALUE"""),"")</f>
        <v/>
      </c>
      <c r="I2674" s="2" t="str">
        <f>IFERROR(__xludf.DUMMYFUNCTION("""COMPUTED_VALUE"""),"")</f>
        <v/>
      </c>
      <c r="J2674" s="2">
        <f>IFERROR(__xludf.DUMMYFUNCTION("""COMPUTED_VALUE"""),0.0)</f>
        <v>0</v>
      </c>
      <c r="K2674" s="5" t="str">
        <f>IFERROR(__xludf.DUMMYFUNCTION("""COMPUTED_VALUE"""),"")</f>
        <v/>
      </c>
      <c r="L2674" t="str">
        <f>IFERROR(__xludf.DUMMYFUNCTION("""COMPUTED_VALUE"""),"")</f>
        <v/>
      </c>
      <c r="M2674" t="str">
        <f>IFERROR(__xludf.DUMMYFUNCTION("""COMPUTED_VALUE"""),"")</f>
        <v/>
      </c>
      <c r="N2674" t="str">
        <f>IFERROR(__xludf.DUMMYFUNCTION("""COMPUTED_VALUE"""),"")</f>
        <v/>
      </c>
      <c r="O2674" t="str">
        <f>IFERROR(__xludf.DUMMYFUNCTION("""COMPUTED_VALUE"""),"")</f>
        <v/>
      </c>
      <c r="P2674" t="str">
        <f>IFERROR(__xludf.DUMMYFUNCTION("""COMPUTED_VALUE"""),"ID ")</f>
        <v>ID </v>
      </c>
    </row>
    <row r="2675">
      <c r="A2675" s="6" t="str">
        <f>IFERROR(__xludf.DUMMYFUNCTION("""COMPUTED_VALUE"""),"")</f>
        <v/>
      </c>
      <c r="C2675" t="str">
        <f>IFERROR(__xludf.DUMMYFUNCTION("""COMPUTED_VALUE"""),"")</f>
        <v/>
      </c>
      <c r="D2675" t="str">
        <f>IFERROR(__xludf.DUMMYFUNCTION("""COMPUTED_VALUE"""),"")</f>
        <v/>
      </c>
      <c r="E2675" t="str">
        <f>IFERROR(__xludf.DUMMYFUNCTION("""COMPUTED_VALUE"""),"")</f>
        <v/>
      </c>
      <c r="F2675" t="str">
        <f>IFERROR(__xludf.DUMMYFUNCTION("""COMPUTED_VALUE"""),"")</f>
        <v/>
      </c>
      <c r="G2675" t="str">
        <f>IFERROR(__xludf.DUMMYFUNCTION("""COMPUTED_VALUE"""),"")</f>
        <v/>
      </c>
      <c r="H2675" s="2" t="str">
        <f>IFERROR(__xludf.DUMMYFUNCTION("""COMPUTED_VALUE"""),"")</f>
        <v/>
      </c>
      <c r="I2675" s="2" t="str">
        <f>IFERROR(__xludf.DUMMYFUNCTION("""COMPUTED_VALUE"""),"")</f>
        <v/>
      </c>
      <c r="J2675" s="2">
        <f>IFERROR(__xludf.DUMMYFUNCTION("""COMPUTED_VALUE"""),0.0)</f>
        <v>0</v>
      </c>
      <c r="K2675" s="5" t="str">
        <f>IFERROR(__xludf.DUMMYFUNCTION("""COMPUTED_VALUE"""),"")</f>
        <v/>
      </c>
      <c r="L2675" t="str">
        <f>IFERROR(__xludf.DUMMYFUNCTION("""COMPUTED_VALUE"""),"")</f>
        <v/>
      </c>
      <c r="M2675" t="str">
        <f>IFERROR(__xludf.DUMMYFUNCTION("""COMPUTED_VALUE"""),"")</f>
        <v/>
      </c>
      <c r="N2675" t="str">
        <f>IFERROR(__xludf.DUMMYFUNCTION("""COMPUTED_VALUE"""),"")</f>
        <v/>
      </c>
      <c r="O2675" t="str">
        <f>IFERROR(__xludf.DUMMYFUNCTION("""COMPUTED_VALUE"""),"")</f>
        <v/>
      </c>
      <c r="P2675" t="str">
        <f>IFERROR(__xludf.DUMMYFUNCTION("""COMPUTED_VALUE"""),"ID ")</f>
        <v>ID </v>
      </c>
    </row>
    <row r="2676">
      <c r="A2676" s="6" t="str">
        <f>IFERROR(__xludf.DUMMYFUNCTION("""COMPUTED_VALUE"""),"")</f>
        <v/>
      </c>
      <c r="C2676" t="str">
        <f>IFERROR(__xludf.DUMMYFUNCTION("""COMPUTED_VALUE"""),"")</f>
        <v/>
      </c>
      <c r="D2676" t="str">
        <f>IFERROR(__xludf.DUMMYFUNCTION("""COMPUTED_VALUE"""),"")</f>
        <v/>
      </c>
      <c r="E2676" t="str">
        <f>IFERROR(__xludf.DUMMYFUNCTION("""COMPUTED_VALUE"""),"")</f>
        <v/>
      </c>
      <c r="F2676" t="str">
        <f>IFERROR(__xludf.DUMMYFUNCTION("""COMPUTED_VALUE"""),"")</f>
        <v/>
      </c>
      <c r="G2676" t="str">
        <f>IFERROR(__xludf.DUMMYFUNCTION("""COMPUTED_VALUE"""),"")</f>
        <v/>
      </c>
      <c r="H2676" s="2" t="str">
        <f>IFERROR(__xludf.DUMMYFUNCTION("""COMPUTED_VALUE"""),"")</f>
        <v/>
      </c>
      <c r="I2676" s="2" t="str">
        <f>IFERROR(__xludf.DUMMYFUNCTION("""COMPUTED_VALUE"""),"")</f>
        <v/>
      </c>
      <c r="J2676" s="2">
        <f>IFERROR(__xludf.DUMMYFUNCTION("""COMPUTED_VALUE"""),0.0)</f>
        <v>0</v>
      </c>
      <c r="K2676" s="5" t="str">
        <f>IFERROR(__xludf.DUMMYFUNCTION("""COMPUTED_VALUE"""),"")</f>
        <v/>
      </c>
      <c r="L2676" t="str">
        <f>IFERROR(__xludf.DUMMYFUNCTION("""COMPUTED_VALUE"""),"")</f>
        <v/>
      </c>
      <c r="M2676" t="str">
        <f>IFERROR(__xludf.DUMMYFUNCTION("""COMPUTED_VALUE"""),"")</f>
        <v/>
      </c>
      <c r="N2676" t="str">
        <f>IFERROR(__xludf.DUMMYFUNCTION("""COMPUTED_VALUE"""),"")</f>
        <v/>
      </c>
      <c r="O2676" t="str">
        <f>IFERROR(__xludf.DUMMYFUNCTION("""COMPUTED_VALUE"""),"")</f>
        <v/>
      </c>
      <c r="P2676" t="str">
        <f>IFERROR(__xludf.DUMMYFUNCTION("""COMPUTED_VALUE"""),"ID ")</f>
        <v>ID </v>
      </c>
    </row>
    <row r="2677">
      <c r="A2677" s="6" t="str">
        <f>IFERROR(__xludf.DUMMYFUNCTION("""COMPUTED_VALUE"""),"")</f>
        <v/>
      </c>
      <c r="C2677" t="str">
        <f>IFERROR(__xludf.DUMMYFUNCTION("""COMPUTED_VALUE"""),"")</f>
        <v/>
      </c>
      <c r="D2677" t="str">
        <f>IFERROR(__xludf.DUMMYFUNCTION("""COMPUTED_VALUE"""),"")</f>
        <v/>
      </c>
      <c r="E2677" t="str">
        <f>IFERROR(__xludf.DUMMYFUNCTION("""COMPUTED_VALUE"""),"")</f>
        <v/>
      </c>
      <c r="F2677" t="str">
        <f>IFERROR(__xludf.DUMMYFUNCTION("""COMPUTED_VALUE"""),"")</f>
        <v/>
      </c>
      <c r="G2677" t="str">
        <f>IFERROR(__xludf.DUMMYFUNCTION("""COMPUTED_VALUE"""),"")</f>
        <v/>
      </c>
      <c r="H2677" s="2" t="str">
        <f>IFERROR(__xludf.DUMMYFUNCTION("""COMPUTED_VALUE"""),"")</f>
        <v/>
      </c>
      <c r="I2677" s="2" t="str">
        <f>IFERROR(__xludf.DUMMYFUNCTION("""COMPUTED_VALUE"""),"")</f>
        <v/>
      </c>
      <c r="J2677" s="2">
        <f>IFERROR(__xludf.DUMMYFUNCTION("""COMPUTED_VALUE"""),0.0)</f>
        <v>0</v>
      </c>
      <c r="K2677" s="5" t="str">
        <f>IFERROR(__xludf.DUMMYFUNCTION("""COMPUTED_VALUE"""),"")</f>
        <v/>
      </c>
      <c r="L2677" t="str">
        <f>IFERROR(__xludf.DUMMYFUNCTION("""COMPUTED_VALUE"""),"")</f>
        <v/>
      </c>
      <c r="M2677" t="str">
        <f>IFERROR(__xludf.DUMMYFUNCTION("""COMPUTED_VALUE"""),"")</f>
        <v/>
      </c>
      <c r="N2677" t="str">
        <f>IFERROR(__xludf.DUMMYFUNCTION("""COMPUTED_VALUE"""),"")</f>
        <v/>
      </c>
      <c r="O2677" t="str">
        <f>IFERROR(__xludf.DUMMYFUNCTION("""COMPUTED_VALUE"""),"")</f>
        <v/>
      </c>
      <c r="P2677" t="str">
        <f>IFERROR(__xludf.DUMMYFUNCTION("""COMPUTED_VALUE"""),"ID ")</f>
        <v>ID </v>
      </c>
    </row>
    <row r="2678">
      <c r="A2678" s="6" t="str">
        <f>IFERROR(__xludf.DUMMYFUNCTION("""COMPUTED_VALUE"""),"")</f>
        <v/>
      </c>
      <c r="C2678" t="str">
        <f>IFERROR(__xludf.DUMMYFUNCTION("""COMPUTED_VALUE"""),"")</f>
        <v/>
      </c>
      <c r="D2678" t="str">
        <f>IFERROR(__xludf.DUMMYFUNCTION("""COMPUTED_VALUE"""),"")</f>
        <v/>
      </c>
      <c r="E2678" t="str">
        <f>IFERROR(__xludf.DUMMYFUNCTION("""COMPUTED_VALUE"""),"")</f>
        <v/>
      </c>
      <c r="F2678" t="str">
        <f>IFERROR(__xludf.DUMMYFUNCTION("""COMPUTED_VALUE"""),"")</f>
        <v/>
      </c>
      <c r="G2678" t="str">
        <f>IFERROR(__xludf.DUMMYFUNCTION("""COMPUTED_VALUE"""),"")</f>
        <v/>
      </c>
      <c r="H2678" s="2" t="str">
        <f>IFERROR(__xludf.DUMMYFUNCTION("""COMPUTED_VALUE"""),"")</f>
        <v/>
      </c>
      <c r="I2678" s="2" t="str">
        <f>IFERROR(__xludf.DUMMYFUNCTION("""COMPUTED_VALUE"""),"")</f>
        <v/>
      </c>
      <c r="J2678" s="2">
        <f>IFERROR(__xludf.DUMMYFUNCTION("""COMPUTED_VALUE"""),0.0)</f>
        <v>0</v>
      </c>
      <c r="K2678" s="5" t="str">
        <f>IFERROR(__xludf.DUMMYFUNCTION("""COMPUTED_VALUE"""),"")</f>
        <v/>
      </c>
      <c r="L2678" t="str">
        <f>IFERROR(__xludf.DUMMYFUNCTION("""COMPUTED_VALUE"""),"")</f>
        <v/>
      </c>
      <c r="M2678" t="str">
        <f>IFERROR(__xludf.DUMMYFUNCTION("""COMPUTED_VALUE"""),"")</f>
        <v/>
      </c>
      <c r="N2678" t="str">
        <f>IFERROR(__xludf.DUMMYFUNCTION("""COMPUTED_VALUE"""),"")</f>
        <v/>
      </c>
      <c r="O2678" t="str">
        <f>IFERROR(__xludf.DUMMYFUNCTION("""COMPUTED_VALUE"""),"")</f>
        <v/>
      </c>
      <c r="P2678" t="str">
        <f>IFERROR(__xludf.DUMMYFUNCTION("""COMPUTED_VALUE"""),"ID ")</f>
        <v>ID </v>
      </c>
    </row>
    <row r="2679">
      <c r="A2679" s="6" t="str">
        <f>IFERROR(__xludf.DUMMYFUNCTION("""COMPUTED_VALUE"""),"")</f>
        <v/>
      </c>
      <c r="C2679" t="str">
        <f>IFERROR(__xludf.DUMMYFUNCTION("""COMPUTED_VALUE"""),"")</f>
        <v/>
      </c>
      <c r="D2679" t="str">
        <f>IFERROR(__xludf.DUMMYFUNCTION("""COMPUTED_VALUE"""),"")</f>
        <v/>
      </c>
      <c r="E2679" t="str">
        <f>IFERROR(__xludf.DUMMYFUNCTION("""COMPUTED_VALUE"""),"")</f>
        <v/>
      </c>
      <c r="F2679" t="str">
        <f>IFERROR(__xludf.DUMMYFUNCTION("""COMPUTED_VALUE"""),"")</f>
        <v/>
      </c>
      <c r="G2679" t="str">
        <f>IFERROR(__xludf.DUMMYFUNCTION("""COMPUTED_VALUE"""),"")</f>
        <v/>
      </c>
      <c r="H2679" s="2" t="str">
        <f>IFERROR(__xludf.DUMMYFUNCTION("""COMPUTED_VALUE"""),"")</f>
        <v/>
      </c>
      <c r="I2679" s="2" t="str">
        <f>IFERROR(__xludf.DUMMYFUNCTION("""COMPUTED_VALUE"""),"")</f>
        <v/>
      </c>
      <c r="J2679" s="2">
        <f>IFERROR(__xludf.DUMMYFUNCTION("""COMPUTED_VALUE"""),0.0)</f>
        <v>0</v>
      </c>
      <c r="K2679" s="5" t="str">
        <f>IFERROR(__xludf.DUMMYFUNCTION("""COMPUTED_VALUE"""),"")</f>
        <v/>
      </c>
      <c r="L2679" t="str">
        <f>IFERROR(__xludf.DUMMYFUNCTION("""COMPUTED_VALUE"""),"")</f>
        <v/>
      </c>
      <c r="M2679" t="str">
        <f>IFERROR(__xludf.DUMMYFUNCTION("""COMPUTED_VALUE"""),"")</f>
        <v/>
      </c>
      <c r="N2679" t="str">
        <f>IFERROR(__xludf.DUMMYFUNCTION("""COMPUTED_VALUE"""),"")</f>
        <v/>
      </c>
      <c r="O2679" t="str">
        <f>IFERROR(__xludf.DUMMYFUNCTION("""COMPUTED_VALUE"""),"")</f>
        <v/>
      </c>
      <c r="P2679" t="str">
        <f>IFERROR(__xludf.DUMMYFUNCTION("""COMPUTED_VALUE"""),"ID ")</f>
        <v>ID </v>
      </c>
    </row>
    <row r="2680">
      <c r="A2680" s="6" t="str">
        <f>IFERROR(__xludf.DUMMYFUNCTION("""COMPUTED_VALUE"""),"")</f>
        <v/>
      </c>
      <c r="C2680" t="str">
        <f>IFERROR(__xludf.DUMMYFUNCTION("""COMPUTED_VALUE"""),"")</f>
        <v/>
      </c>
      <c r="D2680" t="str">
        <f>IFERROR(__xludf.DUMMYFUNCTION("""COMPUTED_VALUE"""),"")</f>
        <v/>
      </c>
      <c r="E2680" t="str">
        <f>IFERROR(__xludf.DUMMYFUNCTION("""COMPUTED_VALUE"""),"")</f>
        <v/>
      </c>
      <c r="F2680" t="str">
        <f>IFERROR(__xludf.DUMMYFUNCTION("""COMPUTED_VALUE"""),"")</f>
        <v/>
      </c>
      <c r="G2680" t="str">
        <f>IFERROR(__xludf.DUMMYFUNCTION("""COMPUTED_VALUE"""),"")</f>
        <v/>
      </c>
      <c r="H2680" s="2" t="str">
        <f>IFERROR(__xludf.DUMMYFUNCTION("""COMPUTED_VALUE"""),"")</f>
        <v/>
      </c>
      <c r="I2680" s="2" t="str">
        <f>IFERROR(__xludf.DUMMYFUNCTION("""COMPUTED_VALUE"""),"")</f>
        <v/>
      </c>
      <c r="J2680" s="2">
        <f>IFERROR(__xludf.DUMMYFUNCTION("""COMPUTED_VALUE"""),0.0)</f>
        <v>0</v>
      </c>
      <c r="K2680" s="5" t="str">
        <f>IFERROR(__xludf.DUMMYFUNCTION("""COMPUTED_VALUE"""),"")</f>
        <v/>
      </c>
      <c r="L2680" t="str">
        <f>IFERROR(__xludf.DUMMYFUNCTION("""COMPUTED_VALUE"""),"")</f>
        <v/>
      </c>
      <c r="M2680" t="str">
        <f>IFERROR(__xludf.DUMMYFUNCTION("""COMPUTED_VALUE"""),"")</f>
        <v/>
      </c>
      <c r="N2680" t="str">
        <f>IFERROR(__xludf.DUMMYFUNCTION("""COMPUTED_VALUE"""),"")</f>
        <v/>
      </c>
      <c r="O2680" t="str">
        <f>IFERROR(__xludf.DUMMYFUNCTION("""COMPUTED_VALUE"""),"")</f>
        <v/>
      </c>
      <c r="P2680" t="str">
        <f>IFERROR(__xludf.DUMMYFUNCTION("""COMPUTED_VALUE"""),"ID ")</f>
        <v>ID </v>
      </c>
    </row>
    <row r="2681">
      <c r="A2681" s="6" t="str">
        <f>IFERROR(__xludf.DUMMYFUNCTION("""COMPUTED_VALUE"""),"")</f>
        <v/>
      </c>
      <c r="C2681" t="str">
        <f>IFERROR(__xludf.DUMMYFUNCTION("""COMPUTED_VALUE"""),"")</f>
        <v/>
      </c>
      <c r="D2681" t="str">
        <f>IFERROR(__xludf.DUMMYFUNCTION("""COMPUTED_VALUE"""),"")</f>
        <v/>
      </c>
      <c r="E2681" t="str">
        <f>IFERROR(__xludf.DUMMYFUNCTION("""COMPUTED_VALUE"""),"")</f>
        <v/>
      </c>
      <c r="F2681" t="str">
        <f>IFERROR(__xludf.DUMMYFUNCTION("""COMPUTED_VALUE"""),"")</f>
        <v/>
      </c>
      <c r="G2681" t="str">
        <f>IFERROR(__xludf.DUMMYFUNCTION("""COMPUTED_VALUE"""),"")</f>
        <v/>
      </c>
      <c r="H2681" s="2" t="str">
        <f>IFERROR(__xludf.DUMMYFUNCTION("""COMPUTED_VALUE"""),"")</f>
        <v/>
      </c>
      <c r="I2681" s="2" t="str">
        <f>IFERROR(__xludf.DUMMYFUNCTION("""COMPUTED_VALUE"""),"")</f>
        <v/>
      </c>
      <c r="J2681" s="2">
        <f>IFERROR(__xludf.DUMMYFUNCTION("""COMPUTED_VALUE"""),0.0)</f>
        <v>0</v>
      </c>
      <c r="K2681" s="5" t="str">
        <f>IFERROR(__xludf.DUMMYFUNCTION("""COMPUTED_VALUE"""),"")</f>
        <v/>
      </c>
      <c r="L2681" t="str">
        <f>IFERROR(__xludf.DUMMYFUNCTION("""COMPUTED_VALUE"""),"")</f>
        <v/>
      </c>
      <c r="M2681" t="str">
        <f>IFERROR(__xludf.DUMMYFUNCTION("""COMPUTED_VALUE"""),"")</f>
        <v/>
      </c>
      <c r="N2681" t="str">
        <f>IFERROR(__xludf.DUMMYFUNCTION("""COMPUTED_VALUE"""),"")</f>
        <v/>
      </c>
      <c r="O2681" t="str">
        <f>IFERROR(__xludf.DUMMYFUNCTION("""COMPUTED_VALUE"""),"")</f>
        <v/>
      </c>
      <c r="P2681" t="str">
        <f>IFERROR(__xludf.DUMMYFUNCTION("""COMPUTED_VALUE"""),"ID ")</f>
        <v>ID </v>
      </c>
    </row>
    <row r="2682">
      <c r="A2682" s="6" t="str">
        <f>IFERROR(__xludf.DUMMYFUNCTION("""COMPUTED_VALUE"""),"")</f>
        <v/>
      </c>
      <c r="C2682" t="str">
        <f>IFERROR(__xludf.DUMMYFUNCTION("""COMPUTED_VALUE"""),"")</f>
        <v/>
      </c>
      <c r="D2682" t="str">
        <f>IFERROR(__xludf.DUMMYFUNCTION("""COMPUTED_VALUE"""),"")</f>
        <v/>
      </c>
      <c r="E2682" t="str">
        <f>IFERROR(__xludf.DUMMYFUNCTION("""COMPUTED_VALUE"""),"")</f>
        <v/>
      </c>
      <c r="F2682" t="str">
        <f>IFERROR(__xludf.DUMMYFUNCTION("""COMPUTED_VALUE"""),"")</f>
        <v/>
      </c>
      <c r="G2682" t="str">
        <f>IFERROR(__xludf.DUMMYFUNCTION("""COMPUTED_VALUE"""),"")</f>
        <v/>
      </c>
      <c r="H2682" s="2" t="str">
        <f>IFERROR(__xludf.DUMMYFUNCTION("""COMPUTED_VALUE"""),"")</f>
        <v/>
      </c>
      <c r="I2682" s="2" t="str">
        <f>IFERROR(__xludf.DUMMYFUNCTION("""COMPUTED_VALUE"""),"")</f>
        <v/>
      </c>
      <c r="J2682" s="2">
        <f>IFERROR(__xludf.DUMMYFUNCTION("""COMPUTED_VALUE"""),0.0)</f>
        <v>0</v>
      </c>
      <c r="K2682" s="5" t="str">
        <f>IFERROR(__xludf.DUMMYFUNCTION("""COMPUTED_VALUE"""),"")</f>
        <v/>
      </c>
      <c r="L2682" t="str">
        <f>IFERROR(__xludf.DUMMYFUNCTION("""COMPUTED_VALUE"""),"")</f>
        <v/>
      </c>
      <c r="M2682" t="str">
        <f>IFERROR(__xludf.DUMMYFUNCTION("""COMPUTED_VALUE"""),"")</f>
        <v/>
      </c>
      <c r="N2682" t="str">
        <f>IFERROR(__xludf.DUMMYFUNCTION("""COMPUTED_VALUE"""),"")</f>
        <v/>
      </c>
      <c r="O2682" t="str">
        <f>IFERROR(__xludf.DUMMYFUNCTION("""COMPUTED_VALUE"""),"")</f>
        <v/>
      </c>
      <c r="P2682" t="str">
        <f>IFERROR(__xludf.DUMMYFUNCTION("""COMPUTED_VALUE"""),"ID ")</f>
        <v>ID </v>
      </c>
    </row>
    <row r="2683">
      <c r="A2683" s="6" t="str">
        <f>IFERROR(__xludf.DUMMYFUNCTION("""COMPUTED_VALUE"""),"")</f>
        <v/>
      </c>
      <c r="C2683" t="str">
        <f>IFERROR(__xludf.DUMMYFUNCTION("""COMPUTED_VALUE"""),"")</f>
        <v/>
      </c>
      <c r="D2683" t="str">
        <f>IFERROR(__xludf.DUMMYFUNCTION("""COMPUTED_VALUE"""),"")</f>
        <v/>
      </c>
      <c r="E2683" t="str">
        <f>IFERROR(__xludf.DUMMYFUNCTION("""COMPUTED_VALUE"""),"")</f>
        <v/>
      </c>
      <c r="F2683" t="str">
        <f>IFERROR(__xludf.DUMMYFUNCTION("""COMPUTED_VALUE"""),"")</f>
        <v/>
      </c>
      <c r="G2683" t="str">
        <f>IFERROR(__xludf.DUMMYFUNCTION("""COMPUTED_VALUE"""),"")</f>
        <v/>
      </c>
      <c r="H2683" s="2" t="str">
        <f>IFERROR(__xludf.DUMMYFUNCTION("""COMPUTED_VALUE"""),"")</f>
        <v/>
      </c>
      <c r="I2683" s="2" t="str">
        <f>IFERROR(__xludf.DUMMYFUNCTION("""COMPUTED_VALUE"""),"")</f>
        <v/>
      </c>
      <c r="J2683" s="2">
        <f>IFERROR(__xludf.DUMMYFUNCTION("""COMPUTED_VALUE"""),0.0)</f>
        <v>0</v>
      </c>
      <c r="K2683" s="5" t="str">
        <f>IFERROR(__xludf.DUMMYFUNCTION("""COMPUTED_VALUE"""),"")</f>
        <v/>
      </c>
      <c r="L2683" t="str">
        <f>IFERROR(__xludf.DUMMYFUNCTION("""COMPUTED_VALUE"""),"")</f>
        <v/>
      </c>
      <c r="M2683" t="str">
        <f>IFERROR(__xludf.DUMMYFUNCTION("""COMPUTED_VALUE"""),"")</f>
        <v/>
      </c>
      <c r="N2683" t="str">
        <f>IFERROR(__xludf.DUMMYFUNCTION("""COMPUTED_VALUE"""),"")</f>
        <v/>
      </c>
      <c r="O2683" t="str">
        <f>IFERROR(__xludf.DUMMYFUNCTION("""COMPUTED_VALUE"""),"")</f>
        <v/>
      </c>
      <c r="P2683" t="str">
        <f>IFERROR(__xludf.DUMMYFUNCTION("""COMPUTED_VALUE"""),"ID ")</f>
        <v>ID </v>
      </c>
    </row>
    <row r="2684">
      <c r="A2684" s="6" t="str">
        <f>IFERROR(__xludf.DUMMYFUNCTION("""COMPUTED_VALUE"""),"")</f>
        <v/>
      </c>
      <c r="C2684" t="str">
        <f>IFERROR(__xludf.DUMMYFUNCTION("""COMPUTED_VALUE"""),"")</f>
        <v/>
      </c>
      <c r="D2684" t="str">
        <f>IFERROR(__xludf.DUMMYFUNCTION("""COMPUTED_VALUE"""),"")</f>
        <v/>
      </c>
      <c r="E2684" t="str">
        <f>IFERROR(__xludf.DUMMYFUNCTION("""COMPUTED_VALUE"""),"")</f>
        <v/>
      </c>
      <c r="F2684" t="str">
        <f>IFERROR(__xludf.DUMMYFUNCTION("""COMPUTED_VALUE"""),"")</f>
        <v/>
      </c>
      <c r="G2684" t="str">
        <f>IFERROR(__xludf.DUMMYFUNCTION("""COMPUTED_VALUE"""),"")</f>
        <v/>
      </c>
      <c r="H2684" s="2" t="str">
        <f>IFERROR(__xludf.DUMMYFUNCTION("""COMPUTED_VALUE"""),"")</f>
        <v/>
      </c>
      <c r="I2684" s="2" t="str">
        <f>IFERROR(__xludf.DUMMYFUNCTION("""COMPUTED_VALUE"""),"")</f>
        <v/>
      </c>
      <c r="J2684" s="2">
        <f>IFERROR(__xludf.DUMMYFUNCTION("""COMPUTED_VALUE"""),0.0)</f>
        <v>0</v>
      </c>
      <c r="K2684" s="5" t="str">
        <f>IFERROR(__xludf.DUMMYFUNCTION("""COMPUTED_VALUE"""),"")</f>
        <v/>
      </c>
      <c r="L2684" t="str">
        <f>IFERROR(__xludf.DUMMYFUNCTION("""COMPUTED_VALUE"""),"")</f>
        <v/>
      </c>
      <c r="M2684" t="str">
        <f>IFERROR(__xludf.DUMMYFUNCTION("""COMPUTED_VALUE"""),"")</f>
        <v/>
      </c>
      <c r="N2684" t="str">
        <f>IFERROR(__xludf.DUMMYFUNCTION("""COMPUTED_VALUE"""),"")</f>
        <v/>
      </c>
      <c r="O2684" t="str">
        <f>IFERROR(__xludf.DUMMYFUNCTION("""COMPUTED_VALUE"""),"")</f>
        <v/>
      </c>
      <c r="P2684" t="str">
        <f>IFERROR(__xludf.DUMMYFUNCTION("""COMPUTED_VALUE"""),"ID ")</f>
        <v>ID </v>
      </c>
    </row>
    <row r="2685">
      <c r="A2685" s="6" t="str">
        <f>IFERROR(__xludf.DUMMYFUNCTION("""COMPUTED_VALUE"""),"")</f>
        <v/>
      </c>
      <c r="C2685" t="str">
        <f>IFERROR(__xludf.DUMMYFUNCTION("""COMPUTED_VALUE"""),"")</f>
        <v/>
      </c>
      <c r="D2685" t="str">
        <f>IFERROR(__xludf.DUMMYFUNCTION("""COMPUTED_VALUE"""),"")</f>
        <v/>
      </c>
      <c r="E2685" t="str">
        <f>IFERROR(__xludf.DUMMYFUNCTION("""COMPUTED_VALUE"""),"")</f>
        <v/>
      </c>
      <c r="F2685" t="str">
        <f>IFERROR(__xludf.DUMMYFUNCTION("""COMPUTED_VALUE"""),"")</f>
        <v/>
      </c>
      <c r="G2685" t="str">
        <f>IFERROR(__xludf.DUMMYFUNCTION("""COMPUTED_VALUE"""),"")</f>
        <v/>
      </c>
      <c r="H2685" s="2" t="str">
        <f>IFERROR(__xludf.DUMMYFUNCTION("""COMPUTED_VALUE"""),"")</f>
        <v/>
      </c>
      <c r="I2685" s="2" t="str">
        <f>IFERROR(__xludf.DUMMYFUNCTION("""COMPUTED_VALUE"""),"")</f>
        <v/>
      </c>
      <c r="J2685" s="2">
        <f>IFERROR(__xludf.DUMMYFUNCTION("""COMPUTED_VALUE"""),0.0)</f>
        <v>0</v>
      </c>
      <c r="K2685" s="5" t="str">
        <f>IFERROR(__xludf.DUMMYFUNCTION("""COMPUTED_VALUE"""),"")</f>
        <v/>
      </c>
      <c r="L2685" t="str">
        <f>IFERROR(__xludf.DUMMYFUNCTION("""COMPUTED_VALUE"""),"")</f>
        <v/>
      </c>
      <c r="M2685" t="str">
        <f>IFERROR(__xludf.DUMMYFUNCTION("""COMPUTED_VALUE"""),"")</f>
        <v/>
      </c>
      <c r="N2685" t="str">
        <f>IFERROR(__xludf.DUMMYFUNCTION("""COMPUTED_VALUE"""),"")</f>
        <v/>
      </c>
      <c r="O2685" t="str">
        <f>IFERROR(__xludf.DUMMYFUNCTION("""COMPUTED_VALUE"""),"")</f>
        <v/>
      </c>
      <c r="P2685" t="str">
        <f>IFERROR(__xludf.DUMMYFUNCTION("""COMPUTED_VALUE"""),"ID ")</f>
        <v>ID </v>
      </c>
    </row>
    <row r="2686">
      <c r="A2686" s="6" t="str">
        <f>IFERROR(__xludf.DUMMYFUNCTION("""COMPUTED_VALUE"""),"")</f>
        <v/>
      </c>
      <c r="C2686" t="str">
        <f>IFERROR(__xludf.DUMMYFUNCTION("""COMPUTED_VALUE"""),"")</f>
        <v/>
      </c>
      <c r="D2686" t="str">
        <f>IFERROR(__xludf.DUMMYFUNCTION("""COMPUTED_VALUE"""),"")</f>
        <v/>
      </c>
      <c r="E2686" t="str">
        <f>IFERROR(__xludf.DUMMYFUNCTION("""COMPUTED_VALUE"""),"")</f>
        <v/>
      </c>
      <c r="F2686" t="str">
        <f>IFERROR(__xludf.DUMMYFUNCTION("""COMPUTED_VALUE"""),"")</f>
        <v/>
      </c>
      <c r="G2686" t="str">
        <f>IFERROR(__xludf.DUMMYFUNCTION("""COMPUTED_VALUE"""),"")</f>
        <v/>
      </c>
      <c r="H2686" s="2" t="str">
        <f>IFERROR(__xludf.DUMMYFUNCTION("""COMPUTED_VALUE"""),"")</f>
        <v/>
      </c>
      <c r="I2686" s="2" t="str">
        <f>IFERROR(__xludf.DUMMYFUNCTION("""COMPUTED_VALUE"""),"")</f>
        <v/>
      </c>
      <c r="J2686" s="2">
        <f>IFERROR(__xludf.DUMMYFUNCTION("""COMPUTED_VALUE"""),0.0)</f>
        <v>0</v>
      </c>
      <c r="K2686" s="5" t="str">
        <f>IFERROR(__xludf.DUMMYFUNCTION("""COMPUTED_VALUE"""),"")</f>
        <v/>
      </c>
      <c r="L2686" t="str">
        <f>IFERROR(__xludf.DUMMYFUNCTION("""COMPUTED_VALUE"""),"")</f>
        <v/>
      </c>
      <c r="M2686" t="str">
        <f>IFERROR(__xludf.DUMMYFUNCTION("""COMPUTED_VALUE"""),"")</f>
        <v/>
      </c>
      <c r="N2686" t="str">
        <f>IFERROR(__xludf.DUMMYFUNCTION("""COMPUTED_VALUE"""),"")</f>
        <v/>
      </c>
      <c r="O2686" t="str">
        <f>IFERROR(__xludf.DUMMYFUNCTION("""COMPUTED_VALUE"""),"")</f>
        <v/>
      </c>
      <c r="P2686" t="str">
        <f>IFERROR(__xludf.DUMMYFUNCTION("""COMPUTED_VALUE"""),"ID ")</f>
        <v>ID </v>
      </c>
    </row>
    <row r="2687">
      <c r="A2687" s="6" t="str">
        <f>IFERROR(__xludf.DUMMYFUNCTION("""COMPUTED_VALUE"""),"")</f>
        <v/>
      </c>
      <c r="C2687" t="str">
        <f>IFERROR(__xludf.DUMMYFUNCTION("""COMPUTED_VALUE"""),"")</f>
        <v/>
      </c>
      <c r="D2687" t="str">
        <f>IFERROR(__xludf.DUMMYFUNCTION("""COMPUTED_VALUE"""),"")</f>
        <v/>
      </c>
      <c r="E2687" t="str">
        <f>IFERROR(__xludf.DUMMYFUNCTION("""COMPUTED_VALUE"""),"")</f>
        <v/>
      </c>
      <c r="F2687" t="str">
        <f>IFERROR(__xludf.DUMMYFUNCTION("""COMPUTED_VALUE"""),"")</f>
        <v/>
      </c>
      <c r="G2687" t="str">
        <f>IFERROR(__xludf.DUMMYFUNCTION("""COMPUTED_VALUE"""),"")</f>
        <v/>
      </c>
      <c r="H2687" s="2" t="str">
        <f>IFERROR(__xludf.DUMMYFUNCTION("""COMPUTED_VALUE"""),"")</f>
        <v/>
      </c>
      <c r="I2687" s="2" t="str">
        <f>IFERROR(__xludf.DUMMYFUNCTION("""COMPUTED_VALUE"""),"")</f>
        <v/>
      </c>
      <c r="J2687" s="2">
        <f>IFERROR(__xludf.DUMMYFUNCTION("""COMPUTED_VALUE"""),0.0)</f>
        <v>0</v>
      </c>
      <c r="K2687" s="5" t="str">
        <f>IFERROR(__xludf.DUMMYFUNCTION("""COMPUTED_VALUE"""),"")</f>
        <v/>
      </c>
      <c r="L2687" t="str">
        <f>IFERROR(__xludf.DUMMYFUNCTION("""COMPUTED_VALUE"""),"")</f>
        <v/>
      </c>
      <c r="M2687" t="str">
        <f>IFERROR(__xludf.DUMMYFUNCTION("""COMPUTED_VALUE"""),"")</f>
        <v/>
      </c>
      <c r="N2687" t="str">
        <f>IFERROR(__xludf.DUMMYFUNCTION("""COMPUTED_VALUE"""),"")</f>
        <v/>
      </c>
      <c r="O2687" t="str">
        <f>IFERROR(__xludf.DUMMYFUNCTION("""COMPUTED_VALUE"""),"")</f>
        <v/>
      </c>
      <c r="P2687" t="str">
        <f>IFERROR(__xludf.DUMMYFUNCTION("""COMPUTED_VALUE"""),"ID ")</f>
        <v>ID </v>
      </c>
    </row>
    <row r="2688">
      <c r="A2688" s="6" t="str">
        <f>IFERROR(__xludf.DUMMYFUNCTION("""COMPUTED_VALUE"""),"")</f>
        <v/>
      </c>
      <c r="C2688" t="str">
        <f>IFERROR(__xludf.DUMMYFUNCTION("""COMPUTED_VALUE"""),"")</f>
        <v/>
      </c>
      <c r="D2688" t="str">
        <f>IFERROR(__xludf.DUMMYFUNCTION("""COMPUTED_VALUE"""),"")</f>
        <v/>
      </c>
      <c r="E2688" t="str">
        <f>IFERROR(__xludf.DUMMYFUNCTION("""COMPUTED_VALUE"""),"")</f>
        <v/>
      </c>
      <c r="F2688" t="str">
        <f>IFERROR(__xludf.DUMMYFUNCTION("""COMPUTED_VALUE"""),"")</f>
        <v/>
      </c>
      <c r="G2688" t="str">
        <f>IFERROR(__xludf.DUMMYFUNCTION("""COMPUTED_VALUE"""),"")</f>
        <v/>
      </c>
      <c r="H2688" s="2" t="str">
        <f>IFERROR(__xludf.DUMMYFUNCTION("""COMPUTED_VALUE"""),"")</f>
        <v/>
      </c>
      <c r="I2688" s="2" t="str">
        <f>IFERROR(__xludf.DUMMYFUNCTION("""COMPUTED_VALUE"""),"")</f>
        <v/>
      </c>
      <c r="J2688" s="2">
        <f>IFERROR(__xludf.DUMMYFUNCTION("""COMPUTED_VALUE"""),0.0)</f>
        <v>0</v>
      </c>
      <c r="K2688" s="5" t="str">
        <f>IFERROR(__xludf.DUMMYFUNCTION("""COMPUTED_VALUE"""),"")</f>
        <v/>
      </c>
      <c r="L2688" t="str">
        <f>IFERROR(__xludf.DUMMYFUNCTION("""COMPUTED_VALUE"""),"")</f>
        <v/>
      </c>
      <c r="M2688" t="str">
        <f>IFERROR(__xludf.DUMMYFUNCTION("""COMPUTED_VALUE"""),"")</f>
        <v/>
      </c>
      <c r="N2688" t="str">
        <f>IFERROR(__xludf.DUMMYFUNCTION("""COMPUTED_VALUE"""),"")</f>
        <v/>
      </c>
      <c r="O2688" t="str">
        <f>IFERROR(__xludf.DUMMYFUNCTION("""COMPUTED_VALUE"""),"")</f>
        <v/>
      </c>
      <c r="P2688" t="str">
        <f>IFERROR(__xludf.DUMMYFUNCTION("""COMPUTED_VALUE"""),"ID ")</f>
        <v>ID </v>
      </c>
    </row>
    <row r="2689">
      <c r="A2689" s="6" t="str">
        <f>IFERROR(__xludf.DUMMYFUNCTION("""COMPUTED_VALUE"""),"")</f>
        <v/>
      </c>
      <c r="C2689" t="str">
        <f>IFERROR(__xludf.DUMMYFUNCTION("""COMPUTED_VALUE"""),"")</f>
        <v/>
      </c>
      <c r="D2689" t="str">
        <f>IFERROR(__xludf.DUMMYFUNCTION("""COMPUTED_VALUE"""),"")</f>
        <v/>
      </c>
      <c r="E2689" t="str">
        <f>IFERROR(__xludf.DUMMYFUNCTION("""COMPUTED_VALUE"""),"")</f>
        <v/>
      </c>
      <c r="F2689" t="str">
        <f>IFERROR(__xludf.DUMMYFUNCTION("""COMPUTED_VALUE"""),"")</f>
        <v/>
      </c>
      <c r="G2689" t="str">
        <f>IFERROR(__xludf.DUMMYFUNCTION("""COMPUTED_VALUE"""),"")</f>
        <v/>
      </c>
      <c r="H2689" s="2" t="str">
        <f>IFERROR(__xludf.DUMMYFUNCTION("""COMPUTED_VALUE"""),"")</f>
        <v/>
      </c>
      <c r="I2689" s="2" t="str">
        <f>IFERROR(__xludf.DUMMYFUNCTION("""COMPUTED_VALUE"""),"")</f>
        <v/>
      </c>
      <c r="J2689" s="2">
        <f>IFERROR(__xludf.DUMMYFUNCTION("""COMPUTED_VALUE"""),0.0)</f>
        <v>0</v>
      </c>
      <c r="K2689" s="5" t="str">
        <f>IFERROR(__xludf.DUMMYFUNCTION("""COMPUTED_VALUE"""),"")</f>
        <v/>
      </c>
      <c r="L2689" t="str">
        <f>IFERROR(__xludf.DUMMYFUNCTION("""COMPUTED_VALUE"""),"")</f>
        <v/>
      </c>
      <c r="M2689" t="str">
        <f>IFERROR(__xludf.DUMMYFUNCTION("""COMPUTED_VALUE"""),"")</f>
        <v/>
      </c>
      <c r="N2689" t="str">
        <f>IFERROR(__xludf.DUMMYFUNCTION("""COMPUTED_VALUE"""),"")</f>
        <v/>
      </c>
      <c r="O2689" t="str">
        <f>IFERROR(__xludf.DUMMYFUNCTION("""COMPUTED_VALUE"""),"")</f>
        <v/>
      </c>
      <c r="P2689" t="str">
        <f>IFERROR(__xludf.DUMMYFUNCTION("""COMPUTED_VALUE"""),"ID ")</f>
        <v>ID </v>
      </c>
    </row>
    <row r="2690">
      <c r="A2690" s="6" t="str">
        <f>IFERROR(__xludf.DUMMYFUNCTION("""COMPUTED_VALUE"""),"")</f>
        <v/>
      </c>
      <c r="C2690" t="str">
        <f>IFERROR(__xludf.DUMMYFUNCTION("""COMPUTED_VALUE"""),"")</f>
        <v/>
      </c>
      <c r="D2690" t="str">
        <f>IFERROR(__xludf.DUMMYFUNCTION("""COMPUTED_VALUE"""),"")</f>
        <v/>
      </c>
      <c r="E2690" t="str">
        <f>IFERROR(__xludf.DUMMYFUNCTION("""COMPUTED_VALUE"""),"")</f>
        <v/>
      </c>
      <c r="F2690" t="str">
        <f>IFERROR(__xludf.DUMMYFUNCTION("""COMPUTED_VALUE"""),"")</f>
        <v/>
      </c>
      <c r="G2690" t="str">
        <f>IFERROR(__xludf.DUMMYFUNCTION("""COMPUTED_VALUE"""),"")</f>
        <v/>
      </c>
      <c r="H2690" s="2" t="str">
        <f>IFERROR(__xludf.DUMMYFUNCTION("""COMPUTED_VALUE"""),"")</f>
        <v/>
      </c>
      <c r="I2690" s="2" t="str">
        <f>IFERROR(__xludf.DUMMYFUNCTION("""COMPUTED_VALUE"""),"")</f>
        <v/>
      </c>
      <c r="J2690" s="2">
        <f>IFERROR(__xludf.DUMMYFUNCTION("""COMPUTED_VALUE"""),0.0)</f>
        <v>0</v>
      </c>
      <c r="K2690" s="5" t="str">
        <f>IFERROR(__xludf.DUMMYFUNCTION("""COMPUTED_VALUE"""),"")</f>
        <v/>
      </c>
      <c r="L2690" t="str">
        <f>IFERROR(__xludf.DUMMYFUNCTION("""COMPUTED_VALUE"""),"")</f>
        <v/>
      </c>
      <c r="M2690" t="str">
        <f>IFERROR(__xludf.DUMMYFUNCTION("""COMPUTED_VALUE"""),"")</f>
        <v/>
      </c>
      <c r="N2690" t="str">
        <f>IFERROR(__xludf.DUMMYFUNCTION("""COMPUTED_VALUE"""),"")</f>
        <v/>
      </c>
      <c r="O2690" t="str">
        <f>IFERROR(__xludf.DUMMYFUNCTION("""COMPUTED_VALUE"""),"")</f>
        <v/>
      </c>
      <c r="P2690" t="str">
        <f>IFERROR(__xludf.DUMMYFUNCTION("""COMPUTED_VALUE"""),"ID ")</f>
        <v>ID </v>
      </c>
    </row>
    <row r="2691">
      <c r="A2691" s="6" t="str">
        <f>IFERROR(__xludf.DUMMYFUNCTION("""COMPUTED_VALUE"""),"")</f>
        <v/>
      </c>
      <c r="C2691" t="str">
        <f>IFERROR(__xludf.DUMMYFUNCTION("""COMPUTED_VALUE"""),"")</f>
        <v/>
      </c>
      <c r="D2691" t="str">
        <f>IFERROR(__xludf.DUMMYFUNCTION("""COMPUTED_VALUE"""),"")</f>
        <v/>
      </c>
      <c r="E2691" t="str">
        <f>IFERROR(__xludf.DUMMYFUNCTION("""COMPUTED_VALUE"""),"")</f>
        <v/>
      </c>
      <c r="F2691" t="str">
        <f>IFERROR(__xludf.DUMMYFUNCTION("""COMPUTED_VALUE"""),"")</f>
        <v/>
      </c>
      <c r="G2691" t="str">
        <f>IFERROR(__xludf.DUMMYFUNCTION("""COMPUTED_VALUE"""),"")</f>
        <v/>
      </c>
      <c r="H2691" s="2" t="str">
        <f>IFERROR(__xludf.DUMMYFUNCTION("""COMPUTED_VALUE"""),"")</f>
        <v/>
      </c>
      <c r="I2691" s="2" t="str">
        <f>IFERROR(__xludf.DUMMYFUNCTION("""COMPUTED_VALUE"""),"")</f>
        <v/>
      </c>
      <c r="J2691" s="2">
        <f>IFERROR(__xludf.DUMMYFUNCTION("""COMPUTED_VALUE"""),0.0)</f>
        <v>0</v>
      </c>
      <c r="K2691" s="5" t="str">
        <f>IFERROR(__xludf.DUMMYFUNCTION("""COMPUTED_VALUE"""),"")</f>
        <v/>
      </c>
      <c r="L2691" t="str">
        <f>IFERROR(__xludf.DUMMYFUNCTION("""COMPUTED_VALUE"""),"")</f>
        <v/>
      </c>
      <c r="M2691" t="str">
        <f>IFERROR(__xludf.DUMMYFUNCTION("""COMPUTED_VALUE"""),"")</f>
        <v/>
      </c>
      <c r="N2691" t="str">
        <f>IFERROR(__xludf.DUMMYFUNCTION("""COMPUTED_VALUE"""),"")</f>
        <v/>
      </c>
      <c r="O2691" t="str">
        <f>IFERROR(__xludf.DUMMYFUNCTION("""COMPUTED_VALUE"""),"")</f>
        <v/>
      </c>
      <c r="P2691" t="str">
        <f>IFERROR(__xludf.DUMMYFUNCTION("""COMPUTED_VALUE"""),"ID ")</f>
        <v>ID </v>
      </c>
    </row>
    <row r="2692">
      <c r="A2692" s="6" t="str">
        <f>IFERROR(__xludf.DUMMYFUNCTION("""COMPUTED_VALUE"""),"")</f>
        <v/>
      </c>
      <c r="C2692" t="str">
        <f>IFERROR(__xludf.DUMMYFUNCTION("""COMPUTED_VALUE"""),"")</f>
        <v/>
      </c>
      <c r="D2692" t="str">
        <f>IFERROR(__xludf.DUMMYFUNCTION("""COMPUTED_VALUE"""),"")</f>
        <v/>
      </c>
      <c r="E2692" t="str">
        <f>IFERROR(__xludf.DUMMYFUNCTION("""COMPUTED_VALUE"""),"")</f>
        <v/>
      </c>
      <c r="F2692" t="str">
        <f>IFERROR(__xludf.DUMMYFUNCTION("""COMPUTED_VALUE"""),"")</f>
        <v/>
      </c>
      <c r="G2692" t="str">
        <f>IFERROR(__xludf.DUMMYFUNCTION("""COMPUTED_VALUE"""),"")</f>
        <v/>
      </c>
      <c r="H2692" s="2" t="str">
        <f>IFERROR(__xludf.DUMMYFUNCTION("""COMPUTED_VALUE"""),"")</f>
        <v/>
      </c>
      <c r="I2692" s="2" t="str">
        <f>IFERROR(__xludf.DUMMYFUNCTION("""COMPUTED_VALUE"""),"")</f>
        <v/>
      </c>
      <c r="J2692" s="2">
        <f>IFERROR(__xludf.DUMMYFUNCTION("""COMPUTED_VALUE"""),0.0)</f>
        <v>0</v>
      </c>
      <c r="K2692" s="5" t="str">
        <f>IFERROR(__xludf.DUMMYFUNCTION("""COMPUTED_VALUE"""),"")</f>
        <v/>
      </c>
      <c r="L2692" t="str">
        <f>IFERROR(__xludf.DUMMYFUNCTION("""COMPUTED_VALUE"""),"")</f>
        <v/>
      </c>
      <c r="M2692" t="str">
        <f>IFERROR(__xludf.DUMMYFUNCTION("""COMPUTED_VALUE"""),"")</f>
        <v/>
      </c>
      <c r="N2692" t="str">
        <f>IFERROR(__xludf.DUMMYFUNCTION("""COMPUTED_VALUE"""),"")</f>
        <v/>
      </c>
      <c r="O2692" t="str">
        <f>IFERROR(__xludf.DUMMYFUNCTION("""COMPUTED_VALUE"""),"")</f>
        <v/>
      </c>
      <c r="P2692" t="str">
        <f>IFERROR(__xludf.DUMMYFUNCTION("""COMPUTED_VALUE"""),"ID ")</f>
        <v>ID </v>
      </c>
    </row>
    <row r="2693">
      <c r="A2693" s="6" t="str">
        <f>IFERROR(__xludf.DUMMYFUNCTION("""COMPUTED_VALUE"""),"")</f>
        <v/>
      </c>
      <c r="C2693" t="str">
        <f>IFERROR(__xludf.DUMMYFUNCTION("""COMPUTED_VALUE"""),"")</f>
        <v/>
      </c>
      <c r="D2693" t="str">
        <f>IFERROR(__xludf.DUMMYFUNCTION("""COMPUTED_VALUE"""),"")</f>
        <v/>
      </c>
      <c r="E2693" t="str">
        <f>IFERROR(__xludf.DUMMYFUNCTION("""COMPUTED_VALUE"""),"")</f>
        <v/>
      </c>
      <c r="F2693" t="str">
        <f>IFERROR(__xludf.DUMMYFUNCTION("""COMPUTED_VALUE"""),"")</f>
        <v/>
      </c>
      <c r="G2693" t="str">
        <f>IFERROR(__xludf.DUMMYFUNCTION("""COMPUTED_VALUE"""),"")</f>
        <v/>
      </c>
      <c r="H2693" s="2" t="str">
        <f>IFERROR(__xludf.DUMMYFUNCTION("""COMPUTED_VALUE"""),"")</f>
        <v/>
      </c>
      <c r="I2693" s="2" t="str">
        <f>IFERROR(__xludf.DUMMYFUNCTION("""COMPUTED_VALUE"""),"")</f>
        <v/>
      </c>
      <c r="J2693" s="2">
        <f>IFERROR(__xludf.DUMMYFUNCTION("""COMPUTED_VALUE"""),0.0)</f>
        <v>0</v>
      </c>
      <c r="K2693" s="5" t="str">
        <f>IFERROR(__xludf.DUMMYFUNCTION("""COMPUTED_VALUE"""),"")</f>
        <v/>
      </c>
      <c r="L2693" t="str">
        <f>IFERROR(__xludf.DUMMYFUNCTION("""COMPUTED_VALUE"""),"")</f>
        <v/>
      </c>
      <c r="M2693" t="str">
        <f>IFERROR(__xludf.DUMMYFUNCTION("""COMPUTED_VALUE"""),"")</f>
        <v/>
      </c>
      <c r="N2693" t="str">
        <f>IFERROR(__xludf.DUMMYFUNCTION("""COMPUTED_VALUE"""),"")</f>
        <v/>
      </c>
      <c r="O2693" t="str">
        <f>IFERROR(__xludf.DUMMYFUNCTION("""COMPUTED_VALUE"""),"")</f>
        <v/>
      </c>
      <c r="P2693" t="str">
        <f>IFERROR(__xludf.DUMMYFUNCTION("""COMPUTED_VALUE"""),"ID ")</f>
        <v>ID </v>
      </c>
    </row>
    <row r="2694">
      <c r="A2694" s="6" t="str">
        <f>IFERROR(__xludf.DUMMYFUNCTION("""COMPUTED_VALUE"""),"")</f>
        <v/>
      </c>
      <c r="C2694" t="str">
        <f>IFERROR(__xludf.DUMMYFUNCTION("""COMPUTED_VALUE"""),"")</f>
        <v/>
      </c>
      <c r="D2694" t="str">
        <f>IFERROR(__xludf.DUMMYFUNCTION("""COMPUTED_VALUE"""),"")</f>
        <v/>
      </c>
      <c r="E2694" t="str">
        <f>IFERROR(__xludf.DUMMYFUNCTION("""COMPUTED_VALUE"""),"")</f>
        <v/>
      </c>
      <c r="F2694" t="str">
        <f>IFERROR(__xludf.DUMMYFUNCTION("""COMPUTED_VALUE"""),"")</f>
        <v/>
      </c>
      <c r="G2694" t="str">
        <f>IFERROR(__xludf.DUMMYFUNCTION("""COMPUTED_VALUE"""),"")</f>
        <v/>
      </c>
      <c r="H2694" s="2" t="str">
        <f>IFERROR(__xludf.DUMMYFUNCTION("""COMPUTED_VALUE"""),"")</f>
        <v/>
      </c>
      <c r="I2694" s="2" t="str">
        <f>IFERROR(__xludf.DUMMYFUNCTION("""COMPUTED_VALUE"""),"")</f>
        <v/>
      </c>
      <c r="J2694" s="2">
        <f>IFERROR(__xludf.DUMMYFUNCTION("""COMPUTED_VALUE"""),0.0)</f>
        <v>0</v>
      </c>
      <c r="K2694" s="5" t="str">
        <f>IFERROR(__xludf.DUMMYFUNCTION("""COMPUTED_VALUE"""),"")</f>
        <v/>
      </c>
      <c r="L2694" t="str">
        <f>IFERROR(__xludf.DUMMYFUNCTION("""COMPUTED_VALUE"""),"")</f>
        <v/>
      </c>
      <c r="M2694" t="str">
        <f>IFERROR(__xludf.DUMMYFUNCTION("""COMPUTED_VALUE"""),"")</f>
        <v/>
      </c>
      <c r="N2694" t="str">
        <f>IFERROR(__xludf.DUMMYFUNCTION("""COMPUTED_VALUE"""),"")</f>
        <v/>
      </c>
      <c r="O2694" t="str">
        <f>IFERROR(__xludf.DUMMYFUNCTION("""COMPUTED_VALUE"""),"")</f>
        <v/>
      </c>
      <c r="P2694" t="str">
        <f>IFERROR(__xludf.DUMMYFUNCTION("""COMPUTED_VALUE"""),"ID ")</f>
        <v>ID </v>
      </c>
    </row>
    <row r="2695">
      <c r="A2695" s="6" t="str">
        <f>IFERROR(__xludf.DUMMYFUNCTION("""COMPUTED_VALUE"""),"")</f>
        <v/>
      </c>
      <c r="C2695" t="str">
        <f>IFERROR(__xludf.DUMMYFUNCTION("""COMPUTED_VALUE"""),"")</f>
        <v/>
      </c>
      <c r="D2695" t="str">
        <f>IFERROR(__xludf.DUMMYFUNCTION("""COMPUTED_VALUE"""),"")</f>
        <v/>
      </c>
      <c r="E2695" t="str">
        <f>IFERROR(__xludf.DUMMYFUNCTION("""COMPUTED_VALUE"""),"")</f>
        <v/>
      </c>
      <c r="F2695" t="str">
        <f>IFERROR(__xludf.DUMMYFUNCTION("""COMPUTED_VALUE"""),"")</f>
        <v/>
      </c>
      <c r="G2695" t="str">
        <f>IFERROR(__xludf.DUMMYFUNCTION("""COMPUTED_VALUE"""),"")</f>
        <v/>
      </c>
      <c r="H2695" s="2" t="str">
        <f>IFERROR(__xludf.DUMMYFUNCTION("""COMPUTED_VALUE"""),"")</f>
        <v/>
      </c>
      <c r="I2695" s="2" t="str">
        <f>IFERROR(__xludf.DUMMYFUNCTION("""COMPUTED_VALUE"""),"")</f>
        <v/>
      </c>
      <c r="J2695" s="2">
        <f>IFERROR(__xludf.DUMMYFUNCTION("""COMPUTED_VALUE"""),0.0)</f>
        <v>0</v>
      </c>
      <c r="K2695" s="5" t="str">
        <f>IFERROR(__xludf.DUMMYFUNCTION("""COMPUTED_VALUE"""),"")</f>
        <v/>
      </c>
      <c r="L2695" t="str">
        <f>IFERROR(__xludf.DUMMYFUNCTION("""COMPUTED_VALUE"""),"")</f>
        <v/>
      </c>
      <c r="M2695" t="str">
        <f>IFERROR(__xludf.DUMMYFUNCTION("""COMPUTED_VALUE"""),"")</f>
        <v/>
      </c>
      <c r="N2695" t="str">
        <f>IFERROR(__xludf.DUMMYFUNCTION("""COMPUTED_VALUE"""),"")</f>
        <v/>
      </c>
      <c r="O2695" t="str">
        <f>IFERROR(__xludf.DUMMYFUNCTION("""COMPUTED_VALUE"""),"")</f>
        <v/>
      </c>
      <c r="P2695" t="str">
        <f>IFERROR(__xludf.DUMMYFUNCTION("""COMPUTED_VALUE"""),"ID ")</f>
        <v>ID </v>
      </c>
    </row>
    <row r="2696">
      <c r="A2696" s="6" t="str">
        <f>IFERROR(__xludf.DUMMYFUNCTION("""COMPUTED_VALUE"""),"")</f>
        <v/>
      </c>
      <c r="C2696" t="str">
        <f>IFERROR(__xludf.DUMMYFUNCTION("""COMPUTED_VALUE"""),"")</f>
        <v/>
      </c>
      <c r="D2696" t="str">
        <f>IFERROR(__xludf.DUMMYFUNCTION("""COMPUTED_VALUE"""),"")</f>
        <v/>
      </c>
      <c r="E2696" t="str">
        <f>IFERROR(__xludf.DUMMYFUNCTION("""COMPUTED_VALUE"""),"")</f>
        <v/>
      </c>
      <c r="F2696" t="str">
        <f>IFERROR(__xludf.DUMMYFUNCTION("""COMPUTED_VALUE"""),"")</f>
        <v/>
      </c>
      <c r="G2696" t="str">
        <f>IFERROR(__xludf.DUMMYFUNCTION("""COMPUTED_VALUE"""),"")</f>
        <v/>
      </c>
      <c r="H2696" s="2" t="str">
        <f>IFERROR(__xludf.DUMMYFUNCTION("""COMPUTED_VALUE"""),"")</f>
        <v/>
      </c>
      <c r="I2696" s="2" t="str">
        <f>IFERROR(__xludf.DUMMYFUNCTION("""COMPUTED_VALUE"""),"")</f>
        <v/>
      </c>
      <c r="J2696" s="2">
        <f>IFERROR(__xludf.DUMMYFUNCTION("""COMPUTED_VALUE"""),0.0)</f>
        <v>0</v>
      </c>
      <c r="K2696" s="5" t="str">
        <f>IFERROR(__xludf.DUMMYFUNCTION("""COMPUTED_VALUE"""),"")</f>
        <v/>
      </c>
      <c r="L2696" t="str">
        <f>IFERROR(__xludf.DUMMYFUNCTION("""COMPUTED_VALUE"""),"")</f>
        <v/>
      </c>
      <c r="M2696" t="str">
        <f>IFERROR(__xludf.DUMMYFUNCTION("""COMPUTED_VALUE"""),"")</f>
        <v/>
      </c>
      <c r="N2696" t="str">
        <f>IFERROR(__xludf.DUMMYFUNCTION("""COMPUTED_VALUE"""),"")</f>
        <v/>
      </c>
      <c r="O2696" t="str">
        <f>IFERROR(__xludf.DUMMYFUNCTION("""COMPUTED_VALUE"""),"")</f>
        <v/>
      </c>
      <c r="P2696" t="str">
        <f>IFERROR(__xludf.DUMMYFUNCTION("""COMPUTED_VALUE"""),"ID ")</f>
        <v>ID </v>
      </c>
    </row>
    <row r="2697">
      <c r="A2697" s="6" t="str">
        <f>IFERROR(__xludf.DUMMYFUNCTION("""COMPUTED_VALUE"""),"")</f>
        <v/>
      </c>
      <c r="C2697" t="str">
        <f>IFERROR(__xludf.DUMMYFUNCTION("""COMPUTED_VALUE"""),"")</f>
        <v/>
      </c>
      <c r="D2697" t="str">
        <f>IFERROR(__xludf.DUMMYFUNCTION("""COMPUTED_VALUE"""),"")</f>
        <v/>
      </c>
      <c r="E2697" t="str">
        <f>IFERROR(__xludf.DUMMYFUNCTION("""COMPUTED_VALUE"""),"")</f>
        <v/>
      </c>
      <c r="F2697" t="str">
        <f>IFERROR(__xludf.DUMMYFUNCTION("""COMPUTED_VALUE"""),"")</f>
        <v/>
      </c>
      <c r="G2697" t="str">
        <f>IFERROR(__xludf.DUMMYFUNCTION("""COMPUTED_VALUE"""),"")</f>
        <v/>
      </c>
      <c r="H2697" s="2" t="str">
        <f>IFERROR(__xludf.DUMMYFUNCTION("""COMPUTED_VALUE"""),"")</f>
        <v/>
      </c>
      <c r="I2697" s="2" t="str">
        <f>IFERROR(__xludf.DUMMYFUNCTION("""COMPUTED_VALUE"""),"")</f>
        <v/>
      </c>
      <c r="J2697" s="2">
        <f>IFERROR(__xludf.DUMMYFUNCTION("""COMPUTED_VALUE"""),0.0)</f>
        <v>0</v>
      </c>
      <c r="K2697" s="5" t="str">
        <f>IFERROR(__xludf.DUMMYFUNCTION("""COMPUTED_VALUE"""),"")</f>
        <v/>
      </c>
      <c r="L2697" t="str">
        <f>IFERROR(__xludf.DUMMYFUNCTION("""COMPUTED_VALUE"""),"")</f>
        <v/>
      </c>
      <c r="M2697" t="str">
        <f>IFERROR(__xludf.DUMMYFUNCTION("""COMPUTED_VALUE"""),"")</f>
        <v/>
      </c>
      <c r="N2697" t="str">
        <f>IFERROR(__xludf.DUMMYFUNCTION("""COMPUTED_VALUE"""),"")</f>
        <v/>
      </c>
      <c r="O2697" t="str">
        <f>IFERROR(__xludf.DUMMYFUNCTION("""COMPUTED_VALUE"""),"")</f>
        <v/>
      </c>
      <c r="P2697" t="str">
        <f>IFERROR(__xludf.DUMMYFUNCTION("""COMPUTED_VALUE"""),"ID ")</f>
        <v>ID </v>
      </c>
    </row>
    <row r="2698">
      <c r="A2698" s="6" t="str">
        <f>IFERROR(__xludf.DUMMYFUNCTION("""COMPUTED_VALUE"""),"")</f>
        <v/>
      </c>
      <c r="C2698" t="str">
        <f>IFERROR(__xludf.DUMMYFUNCTION("""COMPUTED_VALUE"""),"")</f>
        <v/>
      </c>
      <c r="D2698" t="str">
        <f>IFERROR(__xludf.DUMMYFUNCTION("""COMPUTED_VALUE"""),"")</f>
        <v/>
      </c>
      <c r="E2698" t="str">
        <f>IFERROR(__xludf.DUMMYFUNCTION("""COMPUTED_VALUE"""),"")</f>
        <v/>
      </c>
      <c r="F2698" t="str">
        <f>IFERROR(__xludf.DUMMYFUNCTION("""COMPUTED_VALUE"""),"")</f>
        <v/>
      </c>
      <c r="G2698" t="str">
        <f>IFERROR(__xludf.DUMMYFUNCTION("""COMPUTED_VALUE"""),"")</f>
        <v/>
      </c>
      <c r="H2698" s="2" t="str">
        <f>IFERROR(__xludf.DUMMYFUNCTION("""COMPUTED_VALUE"""),"")</f>
        <v/>
      </c>
      <c r="I2698" s="2" t="str">
        <f>IFERROR(__xludf.DUMMYFUNCTION("""COMPUTED_VALUE"""),"")</f>
        <v/>
      </c>
      <c r="J2698" s="2">
        <f>IFERROR(__xludf.DUMMYFUNCTION("""COMPUTED_VALUE"""),0.0)</f>
        <v>0</v>
      </c>
      <c r="K2698" s="5" t="str">
        <f>IFERROR(__xludf.DUMMYFUNCTION("""COMPUTED_VALUE"""),"")</f>
        <v/>
      </c>
      <c r="L2698" t="str">
        <f>IFERROR(__xludf.DUMMYFUNCTION("""COMPUTED_VALUE"""),"")</f>
        <v/>
      </c>
      <c r="M2698" t="str">
        <f>IFERROR(__xludf.DUMMYFUNCTION("""COMPUTED_VALUE"""),"")</f>
        <v/>
      </c>
      <c r="N2698" t="str">
        <f>IFERROR(__xludf.DUMMYFUNCTION("""COMPUTED_VALUE"""),"")</f>
        <v/>
      </c>
      <c r="O2698" t="str">
        <f>IFERROR(__xludf.DUMMYFUNCTION("""COMPUTED_VALUE"""),"")</f>
        <v/>
      </c>
      <c r="P2698" t="str">
        <f>IFERROR(__xludf.DUMMYFUNCTION("""COMPUTED_VALUE"""),"ID ")</f>
        <v>ID </v>
      </c>
    </row>
    <row r="2699">
      <c r="A2699" s="6" t="str">
        <f>IFERROR(__xludf.DUMMYFUNCTION("""COMPUTED_VALUE"""),"")</f>
        <v/>
      </c>
      <c r="C2699" t="str">
        <f>IFERROR(__xludf.DUMMYFUNCTION("""COMPUTED_VALUE"""),"")</f>
        <v/>
      </c>
      <c r="D2699" t="str">
        <f>IFERROR(__xludf.DUMMYFUNCTION("""COMPUTED_VALUE"""),"")</f>
        <v/>
      </c>
      <c r="E2699" t="str">
        <f>IFERROR(__xludf.DUMMYFUNCTION("""COMPUTED_VALUE"""),"")</f>
        <v/>
      </c>
      <c r="F2699" t="str">
        <f>IFERROR(__xludf.DUMMYFUNCTION("""COMPUTED_VALUE"""),"")</f>
        <v/>
      </c>
      <c r="G2699" t="str">
        <f>IFERROR(__xludf.DUMMYFUNCTION("""COMPUTED_VALUE"""),"")</f>
        <v/>
      </c>
      <c r="H2699" s="2" t="str">
        <f>IFERROR(__xludf.DUMMYFUNCTION("""COMPUTED_VALUE"""),"")</f>
        <v/>
      </c>
      <c r="I2699" s="2" t="str">
        <f>IFERROR(__xludf.DUMMYFUNCTION("""COMPUTED_VALUE"""),"")</f>
        <v/>
      </c>
      <c r="J2699" s="2">
        <f>IFERROR(__xludf.DUMMYFUNCTION("""COMPUTED_VALUE"""),0.0)</f>
        <v>0</v>
      </c>
      <c r="K2699" s="5" t="str">
        <f>IFERROR(__xludf.DUMMYFUNCTION("""COMPUTED_VALUE"""),"")</f>
        <v/>
      </c>
      <c r="L2699" t="str">
        <f>IFERROR(__xludf.DUMMYFUNCTION("""COMPUTED_VALUE"""),"")</f>
        <v/>
      </c>
      <c r="M2699" t="str">
        <f>IFERROR(__xludf.DUMMYFUNCTION("""COMPUTED_VALUE"""),"")</f>
        <v/>
      </c>
      <c r="N2699" t="str">
        <f>IFERROR(__xludf.DUMMYFUNCTION("""COMPUTED_VALUE"""),"")</f>
        <v/>
      </c>
      <c r="O2699" t="str">
        <f>IFERROR(__xludf.DUMMYFUNCTION("""COMPUTED_VALUE"""),"")</f>
        <v/>
      </c>
      <c r="P2699" t="str">
        <f>IFERROR(__xludf.DUMMYFUNCTION("""COMPUTED_VALUE"""),"ID ")</f>
        <v>ID </v>
      </c>
    </row>
    <row r="2700">
      <c r="A2700" s="6" t="str">
        <f>IFERROR(__xludf.DUMMYFUNCTION("""COMPUTED_VALUE"""),"")</f>
        <v/>
      </c>
      <c r="C2700" t="str">
        <f>IFERROR(__xludf.DUMMYFUNCTION("""COMPUTED_VALUE"""),"")</f>
        <v/>
      </c>
      <c r="D2700" t="str">
        <f>IFERROR(__xludf.DUMMYFUNCTION("""COMPUTED_VALUE"""),"")</f>
        <v/>
      </c>
      <c r="E2700" t="str">
        <f>IFERROR(__xludf.DUMMYFUNCTION("""COMPUTED_VALUE"""),"")</f>
        <v/>
      </c>
      <c r="F2700" t="str">
        <f>IFERROR(__xludf.DUMMYFUNCTION("""COMPUTED_VALUE"""),"")</f>
        <v/>
      </c>
      <c r="G2700" t="str">
        <f>IFERROR(__xludf.DUMMYFUNCTION("""COMPUTED_VALUE"""),"")</f>
        <v/>
      </c>
      <c r="H2700" s="2" t="str">
        <f>IFERROR(__xludf.DUMMYFUNCTION("""COMPUTED_VALUE"""),"")</f>
        <v/>
      </c>
      <c r="I2700" s="2" t="str">
        <f>IFERROR(__xludf.DUMMYFUNCTION("""COMPUTED_VALUE"""),"")</f>
        <v/>
      </c>
      <c r="J2700" s="2">
        <f>IFERROR(__xludf.DUMMYFUNCTION("""COMPUTED_VALUE"""),0.0)</f>
        <v>0</v>
      </c>
      <c r="K2700" s="5" t="str">
        <f>IFERROR(__xludf.DUMMYFUNCTION("""COMPUTED_VALUE"""),"")</f>
        <v/>
      </c>
      <c r="L2700" t="str">
        <f>IFERROR(__xludf.DUMMYFUNCTION("""COMPUTED_VALUE"""),"")</f>
        <v/>
      </c>
      <c r="M2700" t="str">
        <f>IFERROR(__xludf.DUMMYFUNCTION("""COMPUTED_VALUE"""),"")</f>
        <v/>
      </c>
      <c r="N2700" t="str">
        <f>IFERROR(__xludf.DUMMYFUNCTION("""COMPUTED_VALUE"""),"")</f>
        <v/>
      </c>
      <c r="O2700" t="str">
        <f>IFERROR(__xludf.DUMMYFUNCTION("""COMPUTED_VALUE"""),"")</f>
        <v/>
      </c>
      <c r="P2700" t="str">
        <f>IFERROR(__xludf.DUMMYFUNCTION("""COMPUTED_VALUE"""),"ID ")</f>
        <v>ID </v>
      </c>
    </row>
    <row r="2701">
      <c r="A2701" s="6" t="str">
        <f>IFERROR(__xludf.DUMMYFUNCTION("""COMPUTED_VALUE"""),"")</f>
        <v/>
      </c>
      <c r="C2701" t="str">
        <f>IFERROR(__xludf.DUMMYFUNCTION("""COMPUTED_VALUE"""),"")</f>
        <v/>
      </c>
      <c r="D2701" t="str">
        <f>IFERROR(__xludf.DUMMYFUNCTION("""COMPUTED_VALUE"""),"")</f>
        <v/>
      </c>
      <c r="E2701" t="str">
        <f>IFERROR(__xludf.DUMMYFUNCTION("""COMPUTED_VALUE"""),"")</f>
        <v/>
      </c>
      <c r="F2701" t="str">
        <f>IFERROR(__xludf.DUMMYFUNCTION("""COMPUTED_VALUE"""),"")</f>
        <v/>
      </c>
      <c r="G2701" t="str">
        <f>IFERROR(__xludf.DUMMYFUNCTION("""COMPUTED_VALUE"""),"")</f>
        <v/>
      </c>
      <c r="H2701" s="2" t="str">
        <f>IFERROR(__xludf.DUMMYFUNCTION("""COMPUTED_VALUE"""),"")</f>
        <v/>
      </c>
      <c r="I2701" s="2" t="str">
        <f>IFERROR(__xludf.DUMMYFUNCTION("""COMPUTED_VALUE"""),"")</f>
        <v/>
      </c>
      <c r="J2701" s="2">
        <f>IFERROR(__xludf.DUMMYFUNCTION("""COMPUTED_VALUE"""),0.0)</f>
        <v>0</v>
      </c>
      <c r="K2701" s="5" t="str">
        <f>IFERROR(__xludf.DUMMYFUNCTION("""COMPUTED_VALUE"""),"")</f>
        <v/>
      </c>
      <c r="L2701" t="str">
        <f>IFERROR(__xludf.DUMMYFUNCTION("""COMPUTED_VALUE"""),"")</f>
        <v/>
      </c>
      <c r="M2701" t="str">
        <f>IFERROR(__xludf.DUMMYFUNCTION("""COMPUTED_VALUE"""),"")</f>
        <v/>
      </c>
      <c r="N2701" t="str">
        <f>IFERROR(__xludf.DUMMYFUNCTION("""COMPUTED_VALUE"""),"")</f>
        <v/>
      </c>
      <c r="O2701" t="str">
        <f>IFERROR(__xludf.DUMMYFUNCTION("""COMPUTED_VALUE"""),"")</f>
        <v/>
      </c>
      <c r="P2701" t="str">
        <f>IFERROR(__xludf.DUMMYFUNCTION("""COMPUTED_VALUE"""),"ID ")</f>
        <v>ID </v>
      </c>
    </row>
    <row r="2702">
      <c r="A2702" s="6" t="str">
        <f>IFERROR(__xludf.DUMMYFUNCTION("""COMPUTED_VALUE"""),"")</f>
        <v/>
      </c>
      <c r="C2702" t="str">
        <f>IFERROR(__xludf.DUMMYFUNCTION("""COMPUTED_VALUE"""),"")</f>
        <v/>
      </c>
      <c r="D2702" t="str">
        <f>IFERROR(__xludf.DUMMYFUNCTION("""COMPUTED_VALUE"""),"")</f>
        <v/>
      </c>
      <c r="E2702" t="str">
        <f>IFERROR(__xludf.DUMMYFUNCTION("""COMPUTED_VALUE"""),"")</f>
        <v/>
      </c>
      <c r="F2702" t="str">
        <f>IFERROR(__xludf.DUMMYFUNCTION("""COMPUTED_VALUE"""),"")</f>
        <v/>
      </c>
      <c r="G2702" t="str">
        <f>IFERROR(__xludf.DUMMYFUNCTION("""COMPUTED_VALUE"""),"")</f>
        <v/>
      </c>
      <c r="H2702" s="2" t="str">
        <f>IFERROR(__xludf.DUMMYFUNCTION("""COMPUTED_VALUE"""),"")</f>
        <v/>
      </c>
      <c r="I2702" s="2" t="str">
        <f>IFERROR(__xludf.DUMMYFUNCTION("""COMPUTED_VALUE"""),"")</f>
        <v/>
      </c>
      <c r="J2702" s="2">
        <f>IFERROR(__xludf.DUMMYFUNCTION("""COMPUTED_VALUE"""),0.0)</f>
        <v>0</v>
      </c>
      <c r="K2702" s="5" t="str">
        <f>IFERROR(__xludf.DUMMYFUNCTION("""COMPUTED_VALUE"""),"")</f>
        <v/>
      </c>
      <c r="L2702" t="str">
        <f>IFERROR(__xludf.DUMMYFUNCTION("""COMPUTED_VALUE"""),"")</f>
        <v/>
      </c>
      <c r="M2702" t="str">
        <f>IFERROR(__xludf.DUMMYFUNCTION("""COMPUTED_VALUE"""),"")</f>
        <v/>
      </c>
      <c r="N2702" t="str">
        <f>IFERROR(__xludf.DUMMYFUNCTION("""COMPUTED_VALUE"""),"")</f>
        <v/>
      </c>
      <c r="O2702" t="str">
        <f>IFERROR(__xludf.DUMMYFUNCTION("""COMPUTED_VALUE"""),"")</f>
        <v/>
      </c>
      <c r="P2702" t="str">
        <f>IFERROR(__xludf.DUMMYFUNCTION("""COMPUTED_VALUE"""),"ID ")</f>
        <v>ID </v>
      </c>
    </row>
    <row r="2703">
      <c r="A2703" s="6" t="str">
        <f>IFERROR(__xludf.DUMMYFUNCTION("""COMPUTED_VALUE"""),"")</f>
        <v/>
      </c>
      <c r="C2703" t="str">
        <f>IFERROR(__xludf.DUMMYFUNCTION("""COMPUTED_VALUE"""),"")</f>
        <v/>
      </c>
      <c r="D2703" t="str">
        <f>IFERROR(__xludf.DUMMYFUNCTION("""COMPUTED_VALUE"""),"")</f>
        <v/>
      </c>
      <c r="E2703" t="str">
        <f>IFERROR(__xludf.DUMMYFUNCTION("""COMPUTED_VALUE"""),"")</f>
        <v/>
      </c>
      <c r="F2703" t="str">
        <f>IFERROR(__xludf.DUMMYFUNCTION("""COMPUTED_VALUE"""),"")</f>
        <v/>
      </c>
      <c r="G2703" t="str">
        <f>IFERROR(__xludf.DUMMYFUNCTION("""COMPUTED_VALUE"""),"")</f>
        <v/>
      </c>
      <c r="H2703" s="2" t="str">
        <f>IFERROR(__xludf.DUMMYFUNCTION("""COMPUTED_VALUE"""),"")</f>
        <v/>
      </c>
      <c r="I2703" s="2" t="str">
        <f>IFERROR(__xludf.DUMMYFUNCTION("""COMPUTED_VALUE"""),"")</f>
        <v/>
      </c>
      <c r="J2703" s="2">
        <f>IFERROR(__xludf.DUMMYFUNCTION("""COMPUTED_VALUE"""),0.0)</f>
        <v>0</v>
      </c>
      <c r="K2703" s="5" t="str">
        <f>IFERROR(__xludf.DUMMYFUNCTION("""COMPUTED_VALUE"""),"")</f>
        <v/>
      </c>
      <c r="L2703" t="str">
        <f>IFERROR(__xludf.DUMMYFUNCTION("""COMPUTED_VALUE"""),"")</f>
        <v/>
      </c>
      <c r="M2703" t="str">
        <f>IFERROR(__xludf.DUMMYFUNCTION("""COMPUTED_VALUE"""),"")</f>
        <v/>
      </c>
      <c r="N2703" t="str">
        <f>IFERROR(__xludf.DUMMYFUNCTION("""COMPUTED_VALUE"""),"")</f>
        <v/>
      </c>
      <c r="O2703" t="str">
        <f>IFERROR(__xludf.DUMMYFUNCTION("""COMPUTED_VALUE"""),"")</f>
        <v/>
      </c>
      <c r="P2703" t="str">
        <f>IFERROR(__xludf.DUMMYFUNCTION("""COMPUTED_VALUE"""),"ID ")</f>
        <v>ID </v>
      </c>
    </row>
    <row r="2704">
      <c r="A2704" s="6" t="str">
        <f>IFERROR(__xludf.DUMMYFUNCTION("""COMPUTED_VALUE"""),"")</f>
        <v/>
      </c>
      <c r="C2704" t="str">
        <f>IFERROR(__xludf.DUMMYFUNCTION("""COMPUTED_VALUE"""),"")</f>
        <v/>
      </c>
      <c r="D2704" t="str">
        <f>IFERROR(__xludf.DUMMYFUNCTION("""COMPUTED_VALUE"""),"")</f>
        <v/>
      </c>
      <c r="E2704" t="str">
        <f>IFERROR(__xludf.DUMMYFUNCTION("""COMPUTED_VALUE"""),"")</f>
        <v/>
      </c>
      <c r="F2704" t="str">
        <f>IFERROR(__xludf.DUMMYFUNCTION("""COMPUTED_VALUE"""),"")</f>
        <v/>
      </c>
      <c r="G2704" t="str">
        <f>IFERROR(__xludf.DUMMYFUNCTION("""COMPUTED_VALUE"""),"")</f>
        <v/>
      </c>
      <c r="H2704" s="2" t="str">
        <f>IFERROR(__xludf.DUMMYFUNCTION("""COMPUTED_VALUE"""),"")</f>
        <v/>
      </c>
      <c r="I2704" s="2" t="str">
        <f>IFERROR(__xludf.DUMMYFUNCTION("""COMPUTED_VALUE"""),"")</f>
        <v/>
      </c>
      <c r="J2704" s="2">
        <f>IFERROR(__xludf.DUMMYFUNCTION("""COMPUTED_VALUE"""),0.0)</f>
        <v>0</v>
      </c>
      <c r="K2704" s="5" t="str">
        <f>IFERROR(__xludf.DUMMYFUNCTION("""COMPUTED_VALUE"""),"")</f>
        <v/>
      </c>
      <c r="L2704" t="str">
        <f>IFERROR(__xludf.DUMMYFUNCTION("""COMPUTED_VALUE"""),"")</f>
        <v/>
      </c>
      <c r="M2704" t="str">
        <f>IFERROR(__xludf.DUMMYFUNCTION("""COMPUTED_VALUE"""),"")</f>
        <v/>
      </c>
      <c r="N2704" t="str">
        <f>IFERROR(__xludf.DUMMYFUNCTION("""COMPUTED_VALUE"""),"")</f>
        <v/>
      </c>
      <c r="O2704" t="str">
        <f>IFERROR(__xludf.DUMMYFUNCTION("""COMPUTED_VALUE"""),"")</f>
        <v/>
      </c>
      <c r="P2704" t="str">
        <f>IFERROR(__xludf.DUMMYFUNCTION("""COMPUTED_VALUE"""),"ID ")</f>
        <v>ID </v>
      </c>
    </row>
    <row r="2705">
      <c r="A2705" s="6" t="str">
        <f>IFERROR(__xludf.DUMMYFUNCTION("""COMPUTED_VALUE"""),"")</f>
        <v/>
      </c>
      <c r="C2705" t="str">
        <f>IFERROR(__xludf.DUMMYFUNCTION("""COMPUTED_VALUE"""),"")</f>
        <v/>
      </c>
      <c r="D2705" t="str">
        <f>IFERROR(__xludf.DUMMYFUNCTION("""COMPUTED_VALUE"""),"")</f>
        <v/>
      </c>
      <c r="E2705" t="str">
        <f>IFERROR(__xludf.DUMMYFUNCTION("""COMPUTED_VALUE"""),"")</f>
        <v/>
      </c>
      <c r="F2705" t="str">
        <f>IFERROR(__xludf.DUMMYFUNCTION("""COMPUTED_VALUE"""),"")</f>
        <v/>
      </c>
      <c r="G2705" t="str">
        <f>IFERROR(__xludf.DUMMYFUNCTION("""COMPUTED_VALUE"""),"")</f>
        <v/>
      </c>
      <c r="H2705" s="2" t="str">
        <f>IFERROR(__xludf.DUMMYFUNCTION("""COMPUTED_VALUE"""),"")</f>
        <v/>
      </c>
      <c r="I2705" s="2" t="str">
        <f>IFERROR(__xludf.DUMMYFUNCTION("""COMPUTED_VALUE"""),"")</f>
        <v/>
      </c>
      <c r="J2705" s="2">
        <f>IFERROR(__xludf.DUMMYFUNCTION("""COMPUTED_VALUE"""),0.0)</f>
        <v>0</v>
      </c>
      <c r="K2705" s="5" t="str">
        <f>IFERROR(__xludf.DUMMYFUNCTION("""COMPUTED_VALUE"""),"")</f>
        <v/>
      </c>
      <c r="L2705" t="str">
        <f>IFERROR(__xludf.DUMMYFUNCTION("""COMPUTED_VALUE"""),"")</f>
        <v/>
      </c>
      <c r="M2705" t="str">
        <f>IFERROR(__xludf.DUMMYFUNCTION("""COMPUTED_VALUE"""),"")</f>
        <v/>
      </c>
      <c r="N2705" t="str">
        <f>IFERROR(__xludf.DUMMYFUNCTION("""COMPUTED_VALUE"""),"")</f>
        <v/>
      </c>
      <c r="O2705" t="str">
        <f>IFERROR(__xludf.DUMMYFUNCTION("""COMPUTED_VALUE"""),"")</f>
        <v/>
      </c>
      <c r="P2705" t="str">
        <f>IFERROR(__xludf.DUMMYFUNCTION("""COMPUTED_VALUE"""),"ID ")</f>
        <v>ID </v>
      </c>
    </row>
    <row r="2706">
      <c r="A2706" s="6" t="str">
        <f>IFERROR(__xludf.DUMMYFUNCTION("""COMPUTED_VALUE"""),"")</f>
        <v/>
      </c>
      <c r="C2706" t="str">
        <f>IFERROR(__xludf.DUMMYFUNCTION("""COMPUTED_VALUE"""),"")</f>
        <v/>
      </c>
      <c r="D2706" t="str">
        <f>IFERROR(__xludf.DUMMYFUNCTION("""COMPUTED_VALUE"""),"")</f>
        <v/>
      </c>
      <c r="E2706" t="str">
        <f>IFERROR(__xludf.DUMMYFUNCTION("""COMPUTED_VALUE"""),"")</f>
        <v/>
      </c>
      <c r="F2706" t="str">
        <f>IFERROR(__xludf.DUMMYFUNCTION("""COMPUTED_VALUE"""),"")</f>
        <v/>
      </c>
      <c r="G2706" t="str">
        <f>IFERROR(__xludf.DUMMYFUNCTION("""COMPUTED_VALUE"""),"")</f>
        <v/>
      </c>
      <c r="H2706" s="2" t="str">
        <f>IFERROR(__xludf.DUMMYFUNCTION("""COMPUTED_VALUE"""),"")</f>
        <v/>
      </c>
      <c r="I2706" s="2" t="str">
        <f>IFERROR(__xludf.DUMMYFUNCTION("""COMPUTED_VALUE"""),"")</f>
        <v/>
      </c>
      <c r="J2706" s="2">
        <f>IFERROR(__xludf.DUMMYFUNCTION("""COMPUTED_VALUE"""),0.0)</f>
        <v>0</v>
      </c>
      <c r="K2706" s="5" t="str">
        <f>IFERROR(__xludf.DUMMYFUNCTION("""COMPUTED_VALUE"""),"")</f>
        <v/>
      </c>
      <c r="L2706" t="str">
        <f>IFERROR(__xludf.DUMMYFUNCTION("""COMPUTED_VALUE"""),"")</f>
        <v/>
      </c>
      <c r="M2706" t="str">
        <f>IFERROR(__xludf.DUMMYFUNCTION("""COMPUTED_VALUE"""),"")</f>
        <v/>
      </c>
      <c r="N2706" t="str">
        <f>IFERROR(__xludf.DUMMYFUNCTION("""COMPUTED_VALUE"""),"")</f>
        <v/>
      </c>
      <c r="O2706" t="str">
        <f>IFERROR(__xludf.DUMMYFUNCTION("""COMPUTED_VALUE"""),"")</f>
        <v/>
      </c>
      <c r="P2706" t="str">
        <f>IFERROR(__xludf.DUMMYFUNCTION("""COMPUTED_VALUE"""),"ID ")</f>
        <v>ID </v>
      </c>
    </row>
    <row r="2707">
      <c r="A2707" s="6" t="str">
        <f>IFERROR(__xludf.DUMMYFUNCTION("""COMPUTED_VALUE"""),"")</f>
        <v/>
      </c>
      <c r="C2707" t="str">
        <f>IFERROR(__xludf.DUMMYFUNCTION("""COMPUTED_VALUE"""),"")</f>
        <v/>
      </c>
      <c r="D2707" t="str">
        <f>IFERROR(__xludf.DUMMYFUNCTION("""COMPUTED_VALUE"""),"")</f>
        <v/>
      </c>
      <c r="E2707" t="str">
        <f>IFERROR(__xludf.DUMMYFUNCTION("""COMPUTED_VALUE"""),"")</f>
        <v/>
      </c>
      <c r="F2707" t="str">
        <f>IFERROR(__xludf.DUMMYFUNCTION("""COMPUTED_VALUE"""),"")</f>
        <v/>
      </c>
      <c r="G2707" t="str">
        <f>IFERROR(__xludf.DUMMYFUNCTION("""COMPUTED_VALUE"""),"")</f>
        <v/>
      </c>
      <c r="H2707" s="2" t="str">
        <f>IFERROR(__xludf.DUMMYFUNCTION("""COMPUTED_VALUE"""),"")</f>
        <v/>
      </c>
      <c r="I2707" s="2" t="str">
        <f>IFERROR(__xludf.DUMMYFUNCTION("""COMPUTED_VALUE"""),"")</f>
        <v/>
      </c>
      <c r="J2707" s="2">
        <f>IFERROR(__xludf.DUMMYFUNCTION("""COMPUTED_VALUE"""),0.0)</f>
        <v>0</v>
      </c>
      <c r="K2707" s="5" t="str">
        <f>IFERROR(__xludf.DUMMYFUNCTION("""COMPUTED_VALUE"""),"")</f>
        <v/>
      </c>
      <c r="L2707" t="str">
        <f>IFERROR(__xludf.DUMMYFUNCTION("""COMPUTED_VALUE"""),"")</f>
        <v/>
      </c>
      <c r="M2707" t="str">
        <f>IFERROR(__xludf.DUMMYFUNCTION("""COMPUTED_VALUE"""),"")</f>
        <v/>
      </c>
      <c r="N2707" t="str">
        <f>IFERROR(__xludf.DUMMYFUNCTION("""COMPUTED_VALUE"""),"")</f>
        <v/>
      </c>
      <c r="O2707" t="str">
        <f>IFERROR(__xludf.DUMMYFUNCTION("""COMPUTED_VALUE"""),"")</f>
        <v/>
      </c>
      <c r="P2707" t="str">
        <f>IFERROR(__xludf.DUMMYFUNCTION("""COMPUTED_VALUE"""),"ID ")</f>
        <v>ID </v>
      </c>
    </row>
    <row r="2708">
      <c r="A2708" s="6" t="str">
        <f>IFERROR(__xludf.DUMMYFUNCTION("""COMPUTED_VALUE"""),"")</f>
        <v/>
      </c>
      <c r="C2708" t="str">
        <f>IFERROR(__xludf.DUMMYFUNCTION("""COMPUTED_VALUE"""),"")</f>
        <v/>
      </c>
      <c r="D2708" t="str">
        <f>IFERROR(__xludf.DUMMYFUNCTION("""COMPUTED_VALUE"""),"")</f>
        <v/>
      </c>
      <c r="E2708" t="str">
        <f>IFERROR(__xludf.DUMMYFUNCTION("""COMPUTED_VALUE"""),"")</f>
        <v/>
      </c>
      <c r="F2708" t="str">
        <f>IFERROR(__xludf.DUMMYFUNCTION("""COMPUTED_VALUE"""),"")</f>
        <v/>
      </c>
      <c r="G2708" t="str">
        <f>IFERROR(__xludf.DUMMYFUNCTION("""COMPUTED_VALUE"""),"")</f>
        <v/>
      </c>
      <c r="H2708" s="2" t="str">
        <f>IFERROR(__xludf.DUMMYFUNCTION("""COMPUTED_VALUE"""),"")</f>
        <v/>
      </c>
      <c r="I2708" s="2" t="str">
        <f>IFERROR(__xludf.DUMMYFUNCTION("""COMPUTED_VALUE"""),"")</f>
        <v/>
      </c>
      <c r="J2708" s="2">
        <f>IFERROR(__xludf.DUMMYFUNCTION("""COMPUTED_VALUE"""),0.0)</f>
        <v>0</v>
      </c>
      <c r="K2708" s="5" t="str">
        <f>IFERROR(__xludf.DUMMYFUNCTION("""COMPUTED_VALUE"""),"")</f>
        <v/>
      </c>
      <c r="L2708" t="str">
        <f>IFERROR(__xludf.DUMMYFUNCTION("""COMPUTED_VALUE"""),"")</f>
        <v/>
      </c>
      <c r="M2708" t="str">
        <f>IFERROR(__xludf.DUMMYFUNCTION("""COMPUTED_VALUE"""),"")</f>
        <v/>
      </c>
      <c r="N2708" t="str">
        <f>IFERROR(__xludf.DUMMYFUNCTION("""COMPUTED_VALUE"""),"")</f>
        <v/>
      </c>
      <c r="O2708" t="str">
        <f>IFERROR(__xludf.DUMMYFUNCTION("""COMPUTED_VALUE"""),"")</f>
        <v/>
      </c>
      <c r="P2708" t="str">
        <f>IFERROR(__xludf.DUMMYFUNCTION("""COMPUTED_VALUE"""),"ID ")</f>
        <v>ID </v>
      </c>
    </row>
    <row r="2709">
      <c r="A2709" s="6" t="str">
        <f>IFERROR(__xludf.DUMMYFUNCTION("""COMPUTED_VALUE"""),"")</f>
        <v/>
      </c>
      <c r="C2709" t="str">
        <f>IFERROR(__xludf.DUMMYFUNCTION("""COMPUTED_VALUE"""),"")</f>
        <v/>
      </c>
      <c r="D2709" t="str">
        <f>IFERROR(__xludf.DUMMYFUNCTION("""COMPUTED_VALUE"""),"")</f>
        <v/>
      </c>
      <c r="E2709" t="str">
        <f>IFERROR(__xludf.DUMMYFUNCTION("""COMPUTED_VALUE"""),"")</f>
        <v/>
      </c>
      <c r="F2709" t="str">
        <f>IFERROR(__xludf.DUMMYFUNCTION("""COMPUTED_VALUE"""),"")</f>
        <v/>
      </c>
      <c r="G2709" t="str">
        <f>IFERROR(__xludf.DUMMYFUNCTION("""COMPUTED_VALUE"""),"")</f>
        <v/>
      </c>
      <c r="H2709" s="2" t="str">
        <f>IFERROR(__xludf.DUMMYFUNCTION("""COMPUTED_VALUE"""),"")</f>
        <v/>
      </c>
      <c r="I2709" s="2" t="str">
        <f>IFERROR(__xludf.DUMMYFUNCTION("""COMPUTED_VALUE"""),"")</f>
        <v/>
      </c>
      <c r="J2709" s="2">
        <f>IFERROR(__xludf.DUMMYFUNCTION("""COMPUTED_VALUE"""),0.0)</f>
        <v>0</v>
      </c>
      <c r="K2709" s="5" t="str">
        <f>IFERROR(__xludf.DUMMYFUNCTION("""COMPUTED_VALUE"""),"")</f>
        <v/>
      </c>
      <c r="L2709" t="str">
        <f>IFERROR(__xludf.DUMMYFUNCTION("""COMPUTED_VALUE"""),"")</f>
        <v/>
      </c>
      <c r="M2709" t="str">
        <f>IFERROR(__xludf.DUMMYFUNCTION("""COMPUTED_VALUE"""),"")</f>
        <v/>
      </c>
      <c r="N2709" t="str">
        <f>IFERROR(__xludf.DUMMYFUNCTION("""COMPUTED_VALUE"""),"")</f>
        <v/>
      </c>
      <c r="O2709" t="str">
        <f>IFERROR(__xludf.DUMMYFUNCTION("""COMPUTED_VALUE"""),"")</f>
        <v/>
      </c>
      <c r="P2709" t="str">
        <f>IFERROR(__xludf.DUMMYFUNCTION("""COMPUTED_VALUE"""),"ID ")</f>
        <v>ID </v>
      </c>
    </row>
    <row r="2710">
      <c r="A2710" s="6" t="str">
        <f>IFERROR(__xludf.DUMMYFUNCTION("""COMPUTED_VALUE"""),"")</f>
        <v/>
      </c>
      <c r="C2710" t="str">
        <f>IFERROR(__xludf.DUMMYFUNCTION("""COMPUTED_VALUE"""),"")</f>
        <v/>
      </c>
      <c r="D2710" t="str">
        <f>IFERROR(__xludf.DUMMYFUNCTION("""COMPUTED_VALUE"""),"")</f>
        <v/>
      </c>
      <c r="E2710" t="str">
        <f>IFERROR(__xludf.DUMMYFUNCTION("""COMPUTED_VALUE"""),"")</f>
        <v/>
      </c>
      <c r="F2710" t="str">
        <f>IFERROR(__xludf.DUMMYFUNCTION("""COMPUTED_VALUE"""),"")</f>
        <v/>
      </c>
      <c r="G2710" t="str">
        <f>IFERROR(__xludf.DUMMYFUNCTION("""COMPUTED_VALUE"""),"")</f>
        <v/>
      </c>
      <c r="H2710" s="2" t="str">
        <f>IFERROR(__xludf.DUMMYFUNCTION("""COMPUTED_VALUE"""),"")</f>
        <v/>
      </c>
      <c r="I2710" s="2" t="str">
        <f>IFERROR(__xludf.DUMMYFUNCTION("""COMPUTED_VALUE"""),"")</f>
        <v/>
      </c>
      <c r="J2710" s="2">
        <f>IFERROR(__xludf.DUMMYFUNCTION("""COMPUTED_VALUE"""),0.0)</f>
        <v>0</v>
      </c>
      <c r="K2710" s="5" t="str">
        <f>IFERROR(__xludf.DUMMYFUNCTION("""COMPUTED_VALUE"""),"")</f>
        <v/>
      </c>
      <c r="L2710" t="str">
        <f>IFERROR(__xludf.DUMMYFUNCTION("""COMPUTED_VALUE"""),"")</f>
        <v/>
      </c>
      <c r="M2710" t="str">
        <f>IFERROR(__xludf.DUMMYFUNCTION("""COMPUTED_VALUE"""),"")</f>
        <v/>
      </c>
      <c r="N2710" t="str">
        <f>IFERROR(__xludf.DUMMYFUNCTION("""COMPUTED_VALUE"""),"")</f>
        <v/>
      </c>
      <c r="O2710" t="str">
        <f>IFERROR(__xludf.DUMMYFUNCTION("""COMPUTED_VALUE"""),"")</f>
        <v/>
      </c>
      <c r="P2710" t="str">
        <f>IFERROR(__xludf.DUMMYFUNCTION("""COMPUTED_VALUE"""),"ID ")</f>
        <v>ID </v>
      </c>
    </row>
    <row r="2711">
      <c r="A2711" s="6" t="str">
        <f>IFERROR(__xludf.DUMMYFUNCTION("""COMPUTED_VALUE"""),"")</f>
        <v/>
      </c>
      <c r="C2711" t="str">
        <f>IFERROR(__xludf.DUMMYFUNCTION("""COMPUTED_VALUE"""),"")</f>
        <v/>
      </c>
      <c r="D2711" t="str">
        <f>IFERROR(__xludf.DUMMYFUNCTION("""COMPUTED_VALUE"""),"")</f>
        <v/>
      </c>
      <c r="E2711" t="str">
        <f>IFERROR(__xludf.DUMMYFUNCTION("""COMPUTED_VALUE"""),"")</f>
        <v/>
      </c>
      <c r="F2711" t="str">
        <f>IFERROR(__xludf.DUMMYFUNCTION("""COMPUTED_VALUE"""),"")</f>
        <v/>
      </c>
      <c r="G2711" t="str">
        <f>IFERROR(__xludf.DUMMYFUNCTION("""COMPUTED_VALUE"""),"")</f>
        <v/>
      </c>
      <c r="H2711" s="2" t="str">
        <f>IFERROR(__xludf.DUMMYFUNCTION("""COMPUTED_VALUE"""),"")</f>
        <v/>
      </c>
      <c r="I2711" s="2" t="str">
        <f>IFERROR(__xludf.DUMMYFUNCTION("""COMPUTED_VALUE"""),"")</f>
        <v/>
      </c>
      <c r="J2711" s="2">
        <f>IFERROR(__xludf.DUMMYFUNCTION("""COMPUTED_VALUE"""),0.0)</f>
        <v>0</v>
      </c>
      <c r="K2711" s="5" t="str">
        <f>IFERROR(__xludf.DUMMYFUNCTION("""COMPUTED_VALUE"""),"")</f>
        <v/>
      </c>
      <c r="L2711" t="str">
        <f>IFERROR(__xludf.DUMMYFUNCTION("""COMPUTED_VALUE"""),"")</f>
        <v/>
      </c>
      <c r="M2711" t="str">
        <f>IFERROR(__xludf.DUMMYFUNCTION("""COMPUTED_VALUE"""),"")</f>
        <v/>
      </c>
      <c r="N2711" t="str">
        <f>IFERROR(__xludf.DUMMYFUNCTION("""COMPUTED_VALUE"""),"")</f>
        <v/>
      </c>
      <c r="O2711" t="str">
        <f>IFERROR(__xludf.DUMMYFUNCTION("""COMPUTED_VALUE"""),"")</f>
        <v/>
      </c>
      <c r="P2711" t="str">
        <f>IFERROR(__xludf.DUMMYFUNCTION("""COMPUTED_VALUE"""),"ID ")</f>
        <v>ID </v>
      </c>
    </row>
    <row r="2712">
      <c r="A2712" s="6" t="str">
        <f>IFERROR(__xludf.DUMMYFUNCTION("""COMPUTED_VALUE"""),"")</f>
        <v/>
      </c>
      <c r="C2712" t="str">
        <f>IFERROR(__xludf.DUMMYFUNCTION("""COMPUTED_VALUE"""),"")</f>
        <v/>
      </c>
      <c r="D2712" t="str">
        <f>IFERROR(__xludf.DUMMYFUNCTION("""COMPUTED_VALUE"""),"")</f>
        <v/>
      </c>
      <c r="E2712" t="str">
        <f>IFERROR(__xludf.DUMMYFUNCTION("""COMPUTED_VALUE"""),"")</f>
        <v/>
      </c>
      <c r="F2712" t="str">
        <f>IFERROR(__xludf.DUMMYFUNCTION("""COMPUTED_VALUE"""),"")</f>
        <v/>
      </c>
      <c r="G2712" t="str">
        <f>IFERROR(__xludf.DUMMYFUNCTION("""COMPUTED_VALUE"""),"")</f>
        <v/>
      </c>
      <c r="H2712" s="2" t="str">
        <f>IFERROR(__xludf.DUMMYFUNCTION("""COMPUTED_VALUE"""),"")</f>
        <v/>
      </c>
      <c r="I2712" s="2" t="str">
        <f>IFERROR(__xludf.DUMMYFUNCTION("""COMPUTED_VALUE"""),"")</f>
        <v/>
      </c>
      <c r="J2712" s="2">
        <f>IFERROR(__xludf.DUMMYFUNCTION("""COMPUTED_VALUE"""),0.0)</f>
        <v>0</v>
      </c>
      <c r="K2712" s="5" t="str">
        <f>IFERROR(__xludf.DUMMYFUNCTION("""COMPUTED_VALUE"""),"")</f>
        <v/>
      </c>
      <c r="L2712" t="str">
        <f>IFERROR(__xludf.DUMMYFUNCTION("""COMPUTED_VALUE"""),"")</f>
        <v/>
      </c>
      <c r="M2712" t="str">
        <f>IFERROR(__xludf.DUMMYFUNCTION("""COMPUTED_VALUE"""),"")</f>
        <v/>
      </c>
      <c r="N2712" t="str">
        <f>IFERROR(__xludf.DUMMYFUNCTION("""COMPUTED_VALUE"""),"")</f>
        <v/>
      </c>
      <c r="O2712" t="str">
        <f>IFERROR(__xludf.DUMMYFUNCTION("""COMPUTED_VALUE"""),"")</f>
        <v/>
      </c>
      <c r="P2712" t="str">
        <f>IFERROR(__xludf.DUMMYFUNCTION("""COMPUTED_VALUE"""),"ID ")</f>
        <v>ID </v>
      </c>
    </row>
    <row r="2713">
      <c r="A2713" s="6" t="str">
        <f>IFERROR(__xludf.DUMMYFUNCTION("""COMPUTED_VALUE"""),"")</f>
        <v/>
      </c>
      <c r="C2713" t="str">
        <f>IFERROR(__xludf.DUMMYFUNCTION("""COMPUTED_VALUE"""),"")</f>
        <v/>
      </c>
      <c r="D2713" t="str">
        <f>IFERROR(__xludf.DUMMYFUNCTION("""COMPUTED_VALUE"""),"")</f>
        <v/>
      </c>
      <c r="E2713" t="str">
        <f>IFERROR(__xludf.DUMMYFUNCTION("""COMPUTED_VALUE"""),"")</f>
        <v/>
      </c>
      <c r="F2713" t="str">
        <f>IFERROR(__xludf.DUMMYFUNCTION("""COMPUTED_VALUE"""),"")</f>
        <v/>
      </c>
      <c r="G2713" t="str">
        <f>IFERROR(__xludf.DUMMYFUNCTION("""COMPUTED_VALUE"""),"")</f>
        <v/>
      </c>
      <c r="H2713" s="2" t="str">
        <f>IFERROR(__xludf.DUMMYFUNCTION("""COMPUTED_VALUE"""),"")</f>
        <v/>
      </c>
      <c r="I2713" s="2" t="str">
        <f>IFERROR(__xludf.DUMMYFUNCTION("""COMPUTED_VALUE"""),"")</f>
        <v/>
      </c>
      <c r="J2713" s="2">
        <f>IFERROR(__xludf.DUMMYFUNCTION("""COMPUTED_VALUE"""),0.0)</f>
        <v>0</v>
      </c>
      <c r="K2713" s="5" t="str">
        <f>IFERROR(__xludf.DUMMYFUNCTION("""COMPUTED_VALUE"""),"")</f>
        <v/>
      </c>
      <c r="L2713" t="str">
        <f>IFERROR(__xludf.DUMMYFUNCTION("""COMPUTED_VALUE"""),"")</f>
        <v/>
      </c>
      <c r="M2713" t="str">
        <f>IFERROR(__xludf.DUMMYFUNCTION("""COMPUTED_VALUE"""),"")</f>
        <v/>
      </c>
      <c r="N2713" t="str">
        <f>IFERROR(__xludf.DUMMYFUNCTION("""COMPUTED_VALUE"""),"")</f>
        <v/>
      </c>
      <c r="O2713" t="str">
        <f>IFERROR(__xludf.DUMMYFUNCTION("""COMPUTED_VALUE"""),"")</f>
        <v/>
      </c>
      <c r="P2713" t="str">
        <f>IFERROR(__xludf.DUMMYFUNCTION("""COMPUTED_VALUE"""),"ID ")</f>
        <v>ID </v>
      </c>
    </row>
    <row r="2714">
      <c r="A2714" s="6" t="str">
        <f>IFERROR(__xludf.DUMMYFUNCTION("""COMPUTED_VALUE"""),"")</f>
        <v/>
      </c>
      <c r="C2714" t="str">
        <f>IFERROR(__xludf.DUMMYFUNCTION("""COMPUTED_VALUE"""),"")</f>
        <v/>
      </c>
      <c r="D2714" t="str">
        <f>IFERROR(__xludf.DUMMYFUNCTION("""COMPUTED_VALUE"""),"")</f>
        <v/>
      </c>
      <c r="E2714" t="str">
        <f>IFERROR(__xludf.DUMMYFUNCTION("""COMPUTED_VALUE"""),"")</f>
        <v/>
      </c>
      <c r="F2714" t="str">
        <f>IFERROR(__xludf.DUMMYFUNCTION("""COMPUTED_VALUE"""),"")</f>
        <v/>
      </c>
      <c r="G2714" t="str">
        <f>IFERROR(__xludf.DUMMYFUNCTION("""COMPUTED_VALUE"""),"")</f>
        <v/>
      </c>
      <c r="H2714" s="2" t="str">
        <f>IFERROR(__xludf.DUMMYFUNCTION("""COMPUTED_VALUE"""),"")</f>
        <v/>
      </c>
      <c r="I2714" s="2" t="str">
        <f>IFERROR(__xludf.DUMMYFUNCTION("""COMPUTED_VALUE"""),"")</f>
        <v/>
      </c>
      <c r="J2714" s="2">
        <f>IFERROR(__xludf.DUMMYFUNCTION("""COMPUTED_VALUE"""),0.0)</f>
        <v>0</v>
      </c>
      <c r="K2714" s="5" t="str">
        <f>IFERROR(__xludf.DUMMYFUNCTION("""COMPUTED_VALUE"""),"")</f>
        <v/>
      </c>
      <c r="L2714" t="str">
        <f>IFERROR(__xludf.DUMMYFUNCTION("""COMPUTED_VALUE"""),"")</f>
        <v/>
      </c>
      <c r="M2714" t="str">
        <f>IFERROR(__xludf.DUMMYFUNCTION("""COMPUTED_VALUE"""),"")</f>
        <v/>
      </c>
      <c r="N2714" t="str">
        <f>IFERROR(__xludf.DUMMYFUNCTION("""COMPUTED_VALUE"""),"")</f>
        <v/>
      </c>
      <c r="O2714" t="str">
        <f>IFERROR(__xludf.DUMMYFUNCTION("""COMPUTED_VALUE"""),"")</f>
        <v/>
      </c>
      <c r="P2714" t="str">
        <f>IFERROR(__xludf.DUMMYFUNCTION("""COMPUTED_VALUE"""),"ID ")</f>
        <v>ID </v>
      </c>
    </row>
    <row r="2715">
      <c r="A2715" s="6" t="str">
        <f>IFERROR(__xludf.DUMMYFUNCTION("""COMPUTED_VALUE"""),"")</f>
        <v/>
      </c>
      <c r="C2715" t="str">
        <f>IFERROR(__xludf.DUMMYFUNCTION("""COMPUTED_VALUE"""),"")</f>
        <v/>
      </c>
      <c r="D2715" t="str">
        <f>IFERROR(__xludf.DUMMYFUNCTION("""COMPUTED_VALUE"""),"")</f>
        <v/>
      </c>
      <c r="E2715" t="str">
        <f>IFERROR(__xludf.DUMMYFUNCTION("""COMPUTED_VALUE"""),"")</f>
        <v/>
      </c>
      <c r="F2715" t="str">
        <f>IFERROR(__xludf.DUMMYFUNCTION("""COMPUTED_VALUE"""),"")</f>
        <v/>
      </c>
      <c r="G2715" t="str">
        <f>IFERROR(__xludf.DUMMYFUNCTION("""COMPUTED_VALUE"""),"")</f>
        <v/>
      </c>
      <c r="H2715" s="2" t="str">
        <f>IFERROR(__xludf.DUMMYFUNCTION("""COMPUTED_VALUE"""),"")</f>
        <v/>
      </c>
      <c r="I2715" s="2" t="str">
        <f>IFERROR(__xludf.DUMMYFUNCTION("""COMPUTED_VALUE"""),"")</f>
        <v/>
      </c>
      <c r="J2715" s="2">
        <f>IFERROR(__xludf.DUMMYFUNCTION("""COMPUTED_VALUE"""),0.0)</f>
        <v>0</v>
      </c>
      <c r="K2715" s="5" t="str">
        <f>IFERROR(__xludf.DUMMYFUNCTION("""COMPUTED_VALUE"""),"")</f>
        <v/>
      </c>
      <c r="L2715" t="str">
        <f>IFERROR(__xludf.DUMMYFUNCTION("""COMPUTED_VALUE"""),"")</f>
        <v/>
      </c>
      <c r="M2715" t="str">
        <f>IFERROR(__xludf.DUMMYFUNCTION("""COMPUTED_VALUE"""),"")</f>
        <v/>
      </c>
      <c r="N2715" t="str">
        <f>IFERROR(__xludf.DUMMYFUNCTION("""COMPUTED_VALUE"""),"")</f>
        <v/>
      </c>
      <c r="O2715" t="str">
        <f>IFERROR(__xludf.DUMMYFUNCTION("""COMPUTED_VALUE"""),"")</f>
        <v/>
      </c>
      <c r="P2715" t="str">
        <f>IFERROR(__xludf.DUMMYFUNCTION("""COMPUTED_VALUE"""),"ID ")</f>
        <v>ID </v>
      </c>
    </row>
    <row r="2716">
      <c r="A2716" s="6" t="str">
        <f>IFERROR(__xludf.DUMMYFUNCTION("""COMPUTED_VALUE"""),"")</f>
        <v/>
      </c>
      <c r="C2716" t="str">
        <f>IFERROR(__xludf.DUMMYFUNCTION("""COMPUTED_VALUE"""),"")</f>
        <v/>
      </c>
      <c r="D2716" t="str">
        <f>IFERROR(__xludf.DUMMYFUNCTION("""COMPUTED_VALUE"""),"")</f>
        <v/>
      </c>
      <c r="E2716" t="str">
        <f>IFERROR(__xludf.DUMMYFUNCTION("""COMPUTED_VALUE"""),"")</f>
        <v/>
      </c>
      <c r="F2716" t="str">
        <f>IFERROR(__xludf.DUMMYFUNCTION("""COMPUTED_VALUE"""),"")</f>
        <v/>
      </c>
      <c r="G2716" t="str">
        <f>IFERROR(__xludf.DUMMYFUNCTION("""COMPUTED_VALUE"""),"")</f>
        <v/>
      </c>
      <c r="H2716" s="2" t="str">
        <f>IFERROR(__xludf.DUMMYFUNCTION("""COMPUTED_VALUE"""),"")</f>
        <v/>
      </c>
      <c r="I2716" s="2" t="str">
        <f>IFERROR(__xludf.DUMMYFUNCTION("""COMPUTED_VALUE"""),"")</f>
        <v/>
      </c>
      <c r="J2716" s="2">
        <f>IFERROR(__xludf.DUMMYFUNCTION("""COMPUTED_VALUE"""),0.0)</f>
        <v>0</v>
      </c>
      <c r="K2716" s="5" t="str">
        <f>IFERROR(__xludf.DUMMYFUNCTION("""COMPUTED_VALUE"""),"")</f>
        <v/>
      </c>
      <c r="L2716" t="str">
        <f>IFERROR(__xludf.DUMMYFUNCTION("""COMPUTED_VALUE"""),"")</f>
        <v/>
      </c>
      <c r="M2716" t="str">
        <f>IFERROR(__xludf.DUMMYFUNCTION("""COMPUTED_VALUE"""),"")</f>
        <v/>
      </c>
      <c r="N2716" t="str">
        <f>IFERROR(__xludf.DUMMYFUNCTION("""COMPUTED_VALUE"""),"")</f>
        <v/>
      </c>
      <c r="O2716" t="str">
        <f>IFERROR(__xludf.DUMMYFUNCTION("""COMPUTED_VALUE"""),"")</f>
        <v/>
      </c>
      <c r="P2716" t="str">
        <f>IFERROR(__xludf.DUMMYFUNCTION("""COMPUTED_VALUE"""),"ID ")</f>
        <v>ID </v>
      </c>
    </row>
    <row r="2717">
      <c r="A2717" s="6" t="str">
        <f>IFERROR(__xludf.DUMMYFUNCTION("""COMPUTED_VALUE"""),"")</f>
        <v/>
      </c>
      <c r="C2717" t="str">
        <f>IFERROR(__xludf.DUMMYFUNCTION("""COMPUTED_VALUE"""),"")</f>
        <v/>
      </c>
      <c r="D2717" t="str">
        <f>IFERROR(__xludf.DUMMYFUNCTION("""COMPUTED_VALUE"""),"")</f>
        <v/>
      </c>
      <c r="E2717" t="str">
        <f>IFERROR(__xludf.DUMMYFUNCTION("""COMPUTED_VALUE"""),"")</f>
        <v/>
      </c>
      <c r="F2717" t="str">
        <f>IFERROR(__xludf.DUMMYFUNCTION("""COMPUTED_VALUE"""),"")</f>
        <v/>
      </c>
      <c r="G2717" t="str">
        <f>IFERROR(__xludf.DUMMYFUNCTION("""COMPUTED_VALUE"""),"")</f>
        <v/>
      </c>
      <c r="H2717" s="2" t="str">
        <f>IFERROR(__xludf.DUMMYFUNCTION("""COMPUTED_VALUE"""),"")</f>
        <v/>
      </c>
      <c r="I2717" s="2" t="str">
        <f>IFERROR(__xludf.DUMMYFUNCTION("""COMPUTED_VALUE"""),"")</f>
        <v/>
      </c>
      <c r="J2717" s="2">
        <f>IFERROR(__xludf.DUMMYFUNCTION("""COMPUTED_VALUE"""),0.0)</f>
        <v>0</v>
      </c>
      <c r="K2717" s="5" t="str">
        <f>IFERROR(__xludf.DUMMYFUNCTION("""COMPUTED_VALUE"""),"")</f>
        <v/>
      </c>
      <c r="L2717" t="str">
        <f>IFERROR(__xludf.DUMMYFUNCTION("""COMPUTED_VALUE"""),"")</f>
        <v/>
      </c>
      <c r="M2717" t="str">
        <f>IFERROR(__xludf.DUMMYFUNCTION("""COMPUTED_VALUE"""),"")</f>
        <v/>
      </c>
      <c r="N2717" t="str">
        <f>IFERROR(__xludf.DUMMYFUNCTION("""COMPUTED_VALUE"""),"")</f>
        <v/>
      </c>
      <c r="O2717" t="str">
        <f>IFERROR(__xludf.DUMMYFUNCTION("""COMPUTED_VALUE"""),"")</f>
        <v/>
      </c>
      <c r="P2717" t="str">
        <f>IFERROR(__xludf.DUMMYFUNCTION("""COMPUTED_VALUE"""),"ID ")</f>
        <v>ID </v>
      </c>
    </row>
    <row r="2718">
      <c r="A2718" s="6" t="str">
        <f>IFERROR(__xludf.DUMMYFUNCTION("""COMPUTED_VALUE"""),"")</f>
        <v/>
      </c>
      <c r="C2718" t="str">
        <f>IFERROR(__xludf.DUMMYFUNCTION("""COMPUTED_VALUE"""),"")</f>
        <v/>
      </c>
      <c r="D2718" t="str">
        <f>IFERROR(__xludf.DUMMYFUNCTION("""COMPUTED_VALUE"""),"")</f>
        <v/>
      </c>
      <c r="E2718" t="str">
        <f>IFERROR(__xludf.DUMMYFUNCTION("""COMPUTED_VALUE"""),"")</f>
        <v/>
      </c>
      <c r="F2718" t="str">
        <f>IFERROR(__xludf.DUMMYFUNCTION("""COMPUTED_VALUE"""),"")</f>
        <v/>
      </c>
      <c r="G2718" t="str">
        <f>IFERROR(__xludf.DUMMYFUNCTION("""COMPUTED_VALUE"""),"")</f>
        <v/>
      </c>
      <c r="H2718" s="2" t="str">
        <f>IFERROR(__xludf.DUMMYFUNCTION("""COMPUTED_VALUE"""),"")</f>
        <v/>
      </c>
      <c r="I2718" s="2" t="str">
        <f>IFERROR(__xludf.DUMMYFUNCTION("""COMPUTED_VALUE"""),"")</f>
        <v/>
      </c>
      <c r="J2718" s="2">
        <f>IFERROR(__xludf.DUMMYFUNCTION("""COMPUTED_VALUE"""),0.0)</f>
        <v>0</v>
      </c>
      <c r="K2718" s="5" t="str">
        <f>IFERROR(__xludf.DUMMYFUNCTION("""COMPUTED_VALUE"""),"")</f>
        <v/>
      </c>
      <c r="L2718" t="str">
        <f>IFERROR(__xludf.DUMMYFUNCTION("""COMPUTED_VALUE"""),"")</f>
        <v/>
      </c>
      <c r="M2718" t="str">
        <f>IFERROR(__xludf.DUMMYFUNCTION("""COMPUTED_VALUE"""),"")</f>
        <v/>
      </c>
      <c r="N2718" t="str">
        <f>IFERROR(__xludf.DUMMYFUNCTION("""COMPUTED_VALUE"""),"")</f>
        <v/>
      </c>
      <c r="O2718" t="str">
        <f>IFERROR(__xludf.DUMMYFUNCTION("""COMPUTED_VALUE"""),"")</f>
        <v/>
      </c>
      <c r="P2718" t="str">
        <f>IFERROR(__xludf.DUMMYFUNCTION("""COMPUTED_VALUE"""),"ID ")</f>
        <v>ID </v>
      </c>
    </row>
    <row r="2719">
      <c r="A2719" s="6" t="str">
        <f>IFERROR(__xludf.DUMMYFUNCTION("""COMPUTED_VALUE"""),"")</f>
        <v/>
      </c>
      <c r="C2719" t="str">
        <f>IFERROR(__xludf.DUMMYFUNCTION("""COMPUTED_VALUE"""),"")</f>
        <v/>
      </c>
      <c r="D2719" t="str">
        <f>IFERROR(__xludf.DUMMYFUNCTION("""COMPUTED_VALUE"""),"")</f>
        <v/>
      </c>
      <c r="E2719" t="str">
        <f>IFERROR(__xludf.DUMMYFUNCTION("""COMPUTED_VALUE"""),"")</f>
        <v/>
      </c>
      <c r="F2719" t="str">
        <f>IFERROR(__xludf.DUMMYFUNCTION("""COMPUTED_VALUE"""),"")</f>
        <v/>
      </c>
      <c r="G2719" t="str">
        <f>IFERROR(__xludf.DUMMYFUNCTION("""COMPUTED_VALUE"""),"")</f>
        <v/>
      </c>
      <c r="H2719" s="2" t="str">
        <f>IFERROR(__xludf.DUMMYFUNCTION("""COMPUTED_VALUE"""),"")</f>
        <v/>
      </c>
      <c r="I2719" s="2" t="str">
        <f>IFERROR(__xludf.DUMMYFUNCTION("""COMPUTED_VALUE"""),"")</f>
        <v/>
      </c>
      <c r="J2719" s="2">
        <f>IFERROR(__xludf.DUMMYFUNCTION("""COMPUTED_VALUE"""),0.0)</f>
        <v>0</v>
      </c>
      <c r="K2719" s="5" t="str">
        <f>IFERROR(__xludf.DUMMYFUNCTION("""COMPUTED_VALUE"""),"")</f>
        <v/>
      </c>
      <c r="L2719" t="str">
        <f>IFERROR(__xludf.DUMMYFUNCTION("""COMPUTED_VALUE"""),"")</f>
        <v/>
      </c>
      <c r="M2719" t="str">
        <f>IFERROR(__xludf.DUMMYFUNCTION("""COMPUTED_VALUE"""),"")</f>
        <v/>
      </c>
      <c r="N2719" t="str">
        <f>IFERROR(__xludf.DUMMYFUNCTION("""COMPUTED_VALUE"""),"")</f>
        <v/>
      </c>
      <c r="O2719" t="str">
        <f>IFERROR(__xludf.DUMMYFUNCTION("""COMPUTED_VALUE"""),"")</f>
        <v/>
      </c>
      <c r="P2719" t="str">
        <f>IFERROR(__xludf.DUMMYFUNCTION("""COMPUTED_VALUE"""),"ID ")</f>
        <v>ID </v>
      </c>
    </row>
    <row r="2720">
      <c r="A2720" s="6" t="str">
        <f>IFERROR(__xludf.DUMMYFUNCTION("""COMPUTED_VALUE"""),"")</f>
        <v/>
      </c>
      <c r="C2720" t="str">
        <f>IFERROR(__xludf.DUMMYFUNCTION("""COMPUTED_VALUE"""),"")</f>
        <v/>
      </c>
      <c r="D2720" t="str">
        <f>IFERROR(__xludf.DUMMYFUNCTION("""COMPUTED_VALUE"""),"")</f>
        <v/>
      </c>
      <c r="E2720" t="str">
        <f>IFERROR(__xludf.DUMMYFUNCTION("""COMPUTED_VALUE"""),"")</f>
        <v/>
      </c>
      <c r="F2720" t="str">
        <f>IFERROR(__xludf.DUMMYFUNCTION("""COMPUTED_VALUE"""),"")</f>
        <v/>
      </c>
      <c r="G2720" t="str">
        <f>IFERROR(__xludf.DUMMYFUNCTION("""COMPUTED_VALUE"""),"")</f>
        <v/>
      </c>
      <c r="H2720" s="2" t="str">
        <f>IFERROR(__xludf.DUMMYFUNCTION("""COMPUTED_VALUE"""),"")</f>
        <v/>
      </c>
      <c r="I2720" s="2" t="str">
        <f>IFERROR(__xludf.DUMMYFUNCTION("""COMPUTED_VALUE"""),"")</f>
        <v/>
      </c>
      <c r="J2720" s="2">
        <f>IFERROR(__xludf.DUMMYFUNCTION("""COMPUTED_VALUE"""),0.0)</f>
        <v>0</v>
      </c>
      <c r="K2720" s="5" t="str">
        <f>IFERROR(__xludf.DUMMYFUNCTION("""COMPUTED_VALUE"""),"")</f>
        <v/>
      </c>
      <c r="L2720" t="str">
        <f>IFERROR(__xludf.DUMMYFUNCTION("""COMPUTED_VALUE"""),"")</f>
        <v/>
      </c>
      <c r="M2720" t="str">
        <f>IFERROR(__xludf.DUMMYFUNCTION("""COMPUTED_VALUE"""),"")</f>
        <v/>
      </c>
      <c r="N2720" t="str">
        <f>IFERROR(__xludf.DUMMYFUNCTION("""COMPUTED_VALUE"""),"")</f>
        <v/>
      </c>
      <c r="O2720" t="str">
        <f>IFERROR(__xludf.DUMMYFUNCTION("""COMPUTED_VALUE"""),"")</f>
        <v/>
      </c>
      <c r="P2720" t="str">
        <f>IFERROR(__xludf.DUMMYFUNCTION("""COMPUTED_VALUE"""),"ID ")</f>
        <v>ID </v>
      </c>
    </row>
    <row r="2721">
      <c r="A2721" s="6" t="str">
        <f>IFERROR(__xludf.DUMMYFUNCTION("""COMPUTED_VALUE"""),"")</f>
        <v/>
      </c>
      <c r="C2721" t="str">
        <f>IFERROR(__xludf.DUMMYFUNCTION("""COMPUTED_VALUE"""),"")</f>
        <v/>
      </c>
      <c r="D2721" t="str">
        <f>IFERROR(__xludf.DUMMYFUNCTION("""COMPUTED_VALUE"""),"")</f>
        <v/>
      </c>
      <c r="E2721" t="str">
        <f>IFERROR(__xludf.DUMMYFUNCTION("""COMPUTED_VALUE"""),"")</f>
        <v/>
      </c>
      <c r="F2721" t="str">
        <f>IFERROR(__xludf.DUMMYFUNCTION("""COMPUTED_VALUE"""),"")</f>
        <v/>
      </c>
      <c r="G2721" t="str">
        <f>IFERROR(__xludf.DUMMYFUNCTION("""COMPUTED_VALUE"""),"")</f>
        <v/>
      </c>
      <c r="H2721" s="2" t="str">
        <f>IFERROR(__xludf.DUMMYFUNCTION("""COMPUTED_VALUE"""),"")</f>
        <v/>
      </c>
      <c r="I2721" s="2" t="str">
        <f>IFERROR(__xludf.DUMMYFUNCTION("""COMPUTED_VALUE"""),"")</f>
        <v/>
      </c>
      <c r="J2721" s="2">
        <f>IFERROR(__xludf.DUMMYFUNCTION("""COMPUTED_VALUE"""),0.0)</f>
        <v>0</v>
      </c>
      <c r="K2721" s="5" t="str">
        <f>IFERROR(__xludf.DUMMYFUNCTION("""COMPUTED_VALUE"""),"")</f>
        <v/>
      </c>
      <c r="L2721" t="str">
        <f>IFERROR(__xludf.DUMMYFUNCTION("""COMPUTED_VALUE"""),"")</f>
        <v/>
      </c>
      <c r="M2721" t="str">
        <f>IFERROR(__xludf.DUMMYFUNCTION("""COMPUTED_VALUE"""),"")</f>
        <v/>
      </c>
      <c r="N2721" t="str">
        <f>IFERROR(__xludf.DUMMYFUNCTION("""COMPUTED_VALUE"""),"")</f>
        <v/>
      </c>
      <c r="O2721" t="str">
        <f>IFERROR(__xludf.DUMMYFUNCTION("""COMPUTED_VALUE"""),"")</f>
        <v/>
      </c>
      <c r="P2721" t="str">
        <f>IFERROR(__xludf.DUMMYFUNCTION("""COMPUTED_VALUE"""),"ID ")</f>
        <v>ID </v>
      </c>
    </row>
    <row r="2722">
      <c r="A2722" s="6" t="str">
        <f>IFERROR(__xludf.DUMMYFUNCTION("""COMPUTED_VALUE"""),"")</f>
        <v/>
      </c>
      <c r="C2722" t="str">
        <f>IFERROR(__xludf.DUMMYFUNCTION("""COMPUTED_VALUE"""),"")</f>
        <v/>
      </c>
      <c r="D2722" t="str">
        <f>IFERROR(__xludf.DUMMYFUNCTION("""COMPUTED_VALUE"""),"")</f>
        <v/>
      </c>
      <c r="E2722" t="str">
        <f>IFERROR(__xludf.DUMMYFUNCTION("""COMPUTED_VALUE"""),"")</f>
        <v/>
      </c>
      <c r="F2722" t="str">
        <f>IFERROR(__xludf.DUMMYFUNCTION("""COMPUTED_VALUE"""),"")</f>
        <v/>
      </c>
      <c r="G2722" t="str">
        <f>IFERROR(__xludf.DUMMYFUNCTION("""COMPUTED_VALUE"""),"")</f>
        <v/>
      </c>
      <c r="H2722" s="2" t="str">
        <f>IFERROR(__xludf.DUMMYFUNCTION("""COMPUTED_VALUE"""),"")</f>
        <v/>
      </c>
      <c r="I2722" s="2" t="str">
        <f>IFERROR(__xludf.DUMMYFUNCTION("""COMPUTED_VALUE"""),"")</f>
        <v/>
      </c>
      <c r="J2722" s="2">
        <f>IFERROR(__xludf.DUMMYFUNCTION("""COMPUTED_VALUE"""),0.0)</f>
        <v>0</v>
      </c>
      <c r="K2722" s="5" t="str">
        <f>IFERROR(__xludf.DUMMYFUNCTION("""COMPUTED_VALUE"""),"")</f>
        <v/>
      </c>
      <c r="L2722" t="str">
        <f>IFERROR(__xludf.DUMMYFUNCTION("""COMPUTED_VALUE"""),"")</f>
        <v/>
      </c>
      <c r="M2722" t="str">
        <f>IFERROR(__xludf.DUMMYFUNCTION("""COMPUTED_VALUE"""),"")</f>
        <v/>
      </c>
      <c r="N2722" t="str">
        <f>IFERROR(__xludf.DUMMYFUNCTION("""COMPUTED_VALUE"""),"")</f>
        <v/>
      </c>
      <c r="O2722" t="str">
        <f>IFERROR(__xludf.DUMMYFUNCTION("""COMPUTED_VALUE"""),"")</f>
        <v/>
      </c>
      <c r="P2722" t="str">
        <f>IFERROR(__xludf.DUMMYFUNCTION("""COMPUTED_VALUE"""),"ID ")</f>
        <v>ID </v>
      </c>
    </row>
    <row r="2723">
      <c r="A2723" s="6" t="str">
        <f>IFERROR(__xludf.DUMMYFUNCTION("""COMPUTED_VALUE"""),"")</f>
        <v/>
      </c>
      <c r="C2723" t="str">
        <f>IFERROR(__xludf.DUMMYFUNCTION("""COMPUTED_VALUE"""),"")</f>
        <v/>
      </c>
      <c r="D2723" t="str">
        <f>IFERROR(__xludf.DUMMYFUNCTION("""COMPUTED_VALUE"""),"")</f>
        <v/>
      </c>
      <c r="E2723" t="str">
        <f>IFERROR(__xludf.DUMMYFUNCTION("""COMPUTED_VALUE"""),"")</f>
        <v/>
      </c>
      <c r="F2723" t="str">
        <f>IFERROR(__xludf.DUMMYFUNCTION("""COMPUTED_VALUE"""),"")</f>
        <v/>
      </c>
      <c r="G2723" t="str">
        <f>IFERROR(__xludf.DUMMYFUNCTION("""COMPUTED_VALUE"""),"")</f>
        <v/>
      </c>
      <c r="H2723" s="2" t="str">
        <f>IFERROR(__xludf.DUMMYFUNCTION("""COMPUTED_VALUE"""),"")</f>
        <v/>
      </c>
      <c r="I2723" s="2" t="str">
        <f>IFERROR(__xludf.DUMMYFUNCTION("""COMPUTED_VALUE"""),"")</f>
        <v/>
      </c>
      <c r="J2723" s="2">
        <f>IFERROR(__xludf.DUMMYFUNCTION("""COMPUTED_VALUE"""),0.0)</f>
        <v>0</v>
      </c>
      <c r="K2723" s="5" t="str">
        <f>IFERROR(__xludf.DUMMYFUNCTION("""COMPUTED_VALUE"""),"")</f>
        <v/>
      </c>
      <c r="L2723" t="str">
        <f>IFERROR(__xludf.DUMMYFUNCTION("""COMPUTED_VALUE"""),"")</f>
        <v/>
      </c>
      <c r="M2723" t="str">
        <f>IFERROR(__xludf.DUMMYFUNCTION("""COMPUTED_VALUE"""),"")</f>
        <v/>
      </c>
      <c r="N2723" t="str">
        <f>IFERROR(__xludf.DUMMYFUNCTION("""COMPUTED_VALUE"""),"")</f>
        <v/>
      </c>
      <c r="O2723" t="str">
        <f>IFERROR(__xludf.DUMMYFUNCTION("""COMPUTED_VALUE"""),"")</f>
        <v/>
      </c>
      <c r="P2723" t="str">
        <f>IFERROR(__xludf.DUMMYFUNCTION("""COMPUTED_VALUE"""),"ID ")</f>
        <v>ID </v>
      </c>
    </row>
    <row r="2724">
      <c r="A2724" s="6" t="str">
        <f>IFERROR(__xludf.DUMMYFUNCTION("""COMPUTED_VALUE"""),"")</f>
        <v/>
      </c>
      <c r="C2724" t="str">
        <f>IFERROR(__xludf.DUMMYFUNCTION("""COMPUTED_VALUE"""),"")</f>
        <v/>
      </c>
      <c r="D2724" t="str">
        <f>IFERROR(__xludf.DUMMYFUNCTION("""COMPUTED_VALUE"""),"")</f>
        <v/>
      </c>
      <c r="E2724" t="str">
        <f>IFERROR(__xludf.DUMMYFUNCTION("""COMPUTED_VALUE"""),"")</f>
        <v/>
      </c>
      <c r="F2724" t="str">
        <f>IFERROR(__xludf.DUMMYFUNCTION("""COMPUTED_VALUE"""),"")</f>
        <v/>
      </c>
      <c r="G2724" t="str">
        <f>IFERROR(__xludf.DUMMYFUNCTION("""COMPUTED_VALUE"""),"")</f>
        <v/>
      </c>
      <c r="H2724" s="2" t="str">
        <f>IFERROR(__xludf.DUMMYFUNCTION("""COMPUTED_VALUE"""),"")</f>
        <v/>
      </c>
      <c r="I2724" s="2" t="str">
        <f>IFERROR(__xludf.DUMMYFUNCTION("""COMPUTED_VALUE"""),"")</f>
        <v/>
      </c>
      <c r="J2724" s="2">
        <f>IFERROR(__xludf.DUMMYFUNCTION("""COMPUTED_VALUE"""),0.0)</f>
        <v>0</v>
      </c>
      <c r="K2724" s="5" t="str">
        <f>IFERROR(__xludf.DUMMYFUNCTION("""COMPUTED_VALUE"""),"")</f>
        <v/>
      </c>
      <c r="L2724" t="str">
        <f>IFERROR(__xludf.DUMMYFUNCTION("""COMPUTED_VALUE"""),"")</f>
        <v/>
      </c>
      <c r="M2724" t="str">
        <f>IFERROR(__xludf.DUMMYFUNCTION("""COMPUTED_VALUE"""),"")</f>
        <v/>
      </c>
      <c r="N2724" t="str">
        <f>IFERROR(__xludf.DUMMYFUNCTION("""COMPUTED_VALUE"""),"")</f>
        <v/>
      </c>
      <c r="O2724" t="str">
        <f>IFERROR(__xludf.DUMMYFUNCTION("""COMPUTED_VALUE"""),"")</f>
        <v/>
      </c>
      <c r="P2724" t="str">
        <f>IFERROR(__xludf.DUMMYFUNCTION("""COMPUTED_VALUE"""),"ID ")</f>
        <v>ID </v>
      </c>
    </row>
    <row r="2725">
      <c r="A2725" s="6" t="str">
        <f>IFERROR(__xludf.DUMMYFUNCTION("""COMPUTED_VALUE"""),"")</f>
        <v/>
      </c>
      <c r="C2725" t="str">
        <f>IFERROR(__xludf.DUMMYFUNCTION("""COMPUTED_VALUE"""),"")</f>
        <v/>
      </c>
      <c r="D2725" t="str">
        <f>IFERROR(__xludf.DUMMYFUNCTION("""COMPUTED_VALUE"""),"")</f>
        <v/>
      </c>
      <c r="E2725" t="str">
        <f>IFERROR(__xludf.DUMMYFUNCTION("""COMPUTED_VALUE"""),"")</f>
        <v/>
      </c>
      <c r="F2725" t="str">
        <f>IFERROR(__xludf.DUMMYFUNCTION("""COMPUTED_VALUE"""),"")</f>
        <v/>
      </c>
      <c r="G2725" t="str">
        <f>IFERROR(__xludf.DUMMYFUNCTION("""COMPUTED_VALUE"""),"")</f>
        <v/>
      </c>
      <c r="H2725" s="2" t="str">
        <f>IFERROR(__xludf.DUMMYFUNCTION("""COMPUTED_VALUE"""),"")</f>
        <v/>
      </c>
      <c r="I2725" s="2" t="str">
        <f>IFERROR(__xludf.DUMMYFUNCTION("""COMPUTED_VALUE"""),"")</f>
        <v/>
      </c>
      <c r="J2725" s="2">
        <f>IFERROR(__xludf.DUMMYFUNCTION("""COMPUTED_VALUE"""),0.0)</f>
        <v>0</v>
      </c>
      <c r="K2725" s="5" t="str">
        <f>IFERROR(__xludf.DUMMYFUNCTION("""COMPUTED_VALUE"""),"")</f>
        <v/>
      </c>
      <c r="L2725" t="str">
        <f>IFERROR(__xludf.DUMMYFUNCTION("""COMPUTED_VALUE"""),"")</f>
        <v/>
      </c>
      <c r="M2725" t="str">
        <f>IFERROR(__xludf.DUMMYFUNCTION("""COMPUTED_VALUE"""),"")</f>
        <v/>
      </c>
      <c r="N2725" t="str">
        <f>IFERROR(__xludf.DUMMYFUNCTION("""COMPUTED_VALUE"""),"")</f>
        <v/>
      </c>
      <c r="O2725" t="str">
        <f>IFERROR(__xludf.DUMMYFUNCTION("""COMPUTED_VALUE"""),"")</f>
        <v/>
      </c>
      <c r="P2725" t="str">
        <f>IFERROR(__xludf.DUMMYFUNCTION("""COMPUTED_VALUE"""),"ID ")</f>
        <v>ID </v>
      </c>
    </row>
    <row r="2726">
      <c r="A2726" s="6" t="str">
        <f>IFERROR(__xludf.DUMMYFUNCTION("""COMPUTED_VALUE"""),"")</f>
        <v/>
      </c>
      <c r="C2726" t="str">
        <f>IFERROR(__xludf.DUMMYFUNCTION("""COMPUTED_VALUE"""),"")</f>
        <v/>
      </c>
      <c r="D2726" t="str">
        <f>IFERROR(__xludf.DUMMYFUNCTION("""COMPUTED_VALUE"""),"")</f>
        <v/>
      </c>
      <c r="E2726" t="str">
        <f>IFERROR(__xludf.DUMMYFUNCTION("""COMPUTED_VALUE"""),"")</f>
        <v/>
      </c>
      <c r="F2726" t="str">
        <f>IFERROR(__xludf.DUMMYFUNCTION("""COMPUTED_VALUE"""),"")</f>
        <v/>
      </c>
      <c r="G2726" t="str">
        <f>IFERROR(__xludf.DUMMYFUNCTION("""COMPUTED_VALUE"""),"")</f>
        <v/>
      </c>
      <c r="H2726" s="2" t="str">
        <f>IFERROR(__xludf.DUMMYFUNCTION("""COMPUTED_VALUE"""),"")</f>
        <v/>
      </c>
      <c r="I2726" s="2" t="str">
        <f>IFERROR(__xludf.DUMMYFUNCTION("""COMPUTED_VALUE"""),"")</f>
        <v/>
      </c>
      <c r="J2726" s="2">
        <f>IFERROR(__xludf.DUMMYFUNCTION("""COMPUTED_VALUE"""),0.0)</f>
        <v>0</v>
      </c>
      <c r="K2726" s="5" t="str">
        <f>IFERROR(__xludf.DUMMYFUNCTION("""COMPUTED_VALUE"""),"")</f>
        <v/>
      </c>
      <c r="L2726" t="str">
        <f>IFERROR(__xludf.DUMMYFUNCTION("""COMPUTED_VALUE"""),"")</f>
        <v/>
      </c>
      <c r="M2726" t="str">
        <f>IFERROR(__xludf.DUMMYFUNCTION("""COMPUTED_VALUE"""),"")</f>
        <v/>
      </c>
      <c r="N2726" t="str">
        <f>IFERROR(__xludf.DUMMYFUNCTION("""COMPUTED_VALUE"""),"")</f>
        <v/>
      </c>
      <c r="O2726" t="str">
        <f>IFERROR(__xludf.DUMMYFUNCTION("""COMPUTED_VALUE"""),"")</f>
        <v/>
      </c>
      <c r="P2726" t="str">
        <f>IFERROR(__xludf.DUMMYFUNCTION("""COMPUTED_VALUE"""),"ID ")</f>
        <v>ID </v>
      </c>
    </row>
    <row r="2727">
      <c r="A2727" s="6" t="str">
        <f>IFERROR(__xludf.DUMMYFUNCTION("""COMPUTED_VALUE"""),"")</f>
        <v/>
      </c>
      <c r="C2727" t="str">
        <f>IFERROR(__xludf.DUMMYFUNCTION("""COMPUTED_VALUE"""),"")</f>
        <v/>
      </c>
      <c r="D2727" t="str">
        <f>IFERROR(__xludf.DUMMYFUNCTION("""COMPUTED_VALUE"""),"")</f>
        <v/>
      </c>
      <c r="E2727" t="str">
        <f>IFERROR(__xludf.DUMMYFUNCTION("""COMPUTED_VALUE"""),"")</f>
        <v/>
      </c>
      <c r="F2727" t="str">
        <f>IFERROR(__xludf.DUMMYFUNCTION("""COMPUTED_VALUE"""),"")</f>
        <v/>
      </c>
      <c r="G2727" t="str">
        <f>IFERROR(__xludf.DUMMYFUNCTION("""COMPUTED_VALUE"""),"")</f>
        <v/>
      </c>
      <c r="H2727" s="2" t="str">
        <f>IFERROR(__xludf.DUMMYFUNCTION("""COMPUTED_VALUE"""),"")</f>
        <v/>
      </c>
      <c r="I2727" s="2" t="str">
        <f>IFERROR(__xludf.DUMMYFUNCTION("""COMPUTED_VALUE"""),"")</f>
        <v/>
      </c>
      <c r="J2727" s="2">
        <f>IFERROR(__xludf.DUMMYFUNCTION("""COMPUTED_VALUE"""),0.0)</f>
        <v>0</v>
      </c>
      <c r="K2727" s="5" t="str">
        <f>IFERROR(__xludf.DUMMYFUNCTION("""COMPUTED_VALUE"""),"")</f>
        <v/>
      </c>
      <c r="L2727" t="str">
        <f>IFERROR(__xludf.DUMMYFUNCTION("""COMPUTED_VALUE"""),"")</f>
        <v/>
      </c>
      <c r="M2727" t="str">
        <f>IFERROR(__xludf.DUMMYFUNCTION("""COMPUTED_VALUE"""),"")</f>
        <v/>
      </c>
      <c r="N2727" t="str">
        <f>IFERROR(__xludf.DUMMYFUNCTION("""COMPUTED_VALUE"""),"")</f>
        <v/>
      </c>
      <c r="O2727" t="str">
        <f>IFERROR(__xludf.DUMMYFUNCTION("""COMPUTED_VALUE"""),"")</f>
        <v/>
      </c>
      <c r="P2727" t="str">
        <f>IFERROR(__xludf.DUMMYFUNCTION("""COMPUTED_VALUE"""),"ID ")</f>
        <v>ID </v>
      </c>
    </row>
    <row r="2728">
      <c r="A2728" s="6" t="str">
        <f>IFERROR(__xludf.DUMMYFUNCTION("""COMPUTED_VALUE"""),"")</f>
        <v/>
      </c>
      <c r="C2728" t="str">
        <f>IFERROR(__xludf.DUMMYFUNCTION("""COMPUTED_VALUE"""),"")</f>
        <v/>
      </c>
      <c r="D2728" t="str">
        <f>IFERROR(__xludf.DUMMYFUNCTION("""COMPUTED_VALUE"""),"")</f>
        <v/>
      </c>
      <c r="E2728" t="str">
        <f>IFERROR(__xludf.DUMMYFUNCTION("""COMPUTED_VALUE"""),"")</f>
        <v/>
      </c>
      <c r="F2728" t="str">
        <f>IFERROR(__xludf.DUMMYFUNCTION("""COMPUTED_VALUE"""),"")</f>
        <v/>
      </c>
      <c r="G2728" t="str">
        <f>IFERROR(__xludf.DUMMYFUNCTION("""COMPUTED_VALUE"""),"")</f>
        <v/>
      </c>
      <c r="H2728" s="2" t="str">
        <f>IFERROR(__xludf.DUMMYFUNCTION("""COMPUTED_VALUE"""),"")</f>
        <v/>
      </c>
      <c r="I2728" s="2" t="str">
        <f>IFERROR(__xludf.DUMMYFUNCTION("""COMPUTED_VALUE"""),"")</f>
        <v/>
      </c>
      <c r="J2728" s="2">
        <f>IFERROR(__xludf.DUMMYFUNCTION("""COMPUTED_VALUE"""),0.0)</f>
        <v>0</v>
      </c>
      <c r="K2728" s="5" t="str">
        <f>IFERROR(__xludf.DUMMYFUNCTION("""COMPUTED_VALUE"""),"")</f>
        <v/>
      </c>
      <c r="L2728" t="str">
        <f>IFERROR(__xludf.DUMMYFUNCTION("""COMPUTED_VALUE"""),"")</f>
        <v/>
      </c>
      <c r="M2728" t="str">
        <f>IFERROR(__xludf.DUMMYFUNCTION("""COMPUTED_VALUE"""),"")</f>
        <v/>
      </c>
      <c r="N2728" t="str">
        <f>IFERROR(__xludf.DUMMYFUNCTION("""COMPUTED_VALUE"""),"")</f>
        <v/>
      </c>
      <c r="O2728" t="str">
        <f>IFERROR(__xludf.DUMMYFUNCTION("""COMPUTED_VALUE"""),"")</f>
        <v/>
      </c>
      <c r="P2728" t="str">
        <f>IFERROR(__xludf.DUMMYFUNCTION("""COMPUTED_VALUE"""),"ID ")</f>
        <v>ID </v>
      </c>
    </row>
    <row r="2729">
      <c r="A2729" s="6" t="str">
        <f>IFERROR(__xludf.DUMMYFUNCTION("""COMPUTED_VALUE"""),"")</f>
        <v/>
      </c>
      <c r="C2729" t="str">
        <f>IFERROR(__xludf.DUMMYFUNCTION("""COMPUTED_VALUE"""),"")</f>
        <v/>
      </c>
      <c r="D2729" t="str">
        <f>IFERROR(__xludf.DUMMYFUNCTION("""COMPUTED_VALUE"""),"")</f>
        <v/>
      </c>
      <c r="E2729" t="str">
        <f>IFERROR(__xludf.DUMMYFUNCTION("""COMPUTED_VALUE"""),"")</f>
        <v/>
      </c>
      <c r="F2729" t="str">
        <f>IFERROR(__xludf.DUMMYFUNCTION("""COMPUTED_VALUE"""),"")</f>
        <v/>
      </c>
      <c r="G2729" t="str">
        <f>IFERROR(__xludf.DUMMYFUNCTION("""COMPUTED_VALUE"""),"")</f>
        <v/>
      </c>
      <c r="H2729" s="2" t="str">
        <f>IFERROR(__xludf.DUMMYFUNCTION("""COMPUTED_VALUE"""),"")</f>
        <v/>
      </c>
      <c r="I2729" s="2" t="str">
        <f>IFERROR(__xludf.DUMMYFUNCTION("""COMPUTED_VALUE"""),"")</f>
        <v/>
      </c>
      <c r="J2729" s="2">
        <f>IFERROR(__xludf.DUMMYFUNCTION("""COMPUTED_VALUE"""),0.0)</f>
        <v>0</v>
      </c>
      <c r="K2729" s="5" t="str">
        <f>IFERROR(__xludf.DUMMYFUNCTION("""COMPUTED_VALUE"""),"")</f>
        <v/>
      </c>
      <c r="L2729" t="str">
        <f>IFERROR(__xludf.DUMMYFUNCTION("""COMPUTED_VALUE"""),"")</f>
        <v/>
      </c>
      <c r="M2729" t="str">
        <f>IFERROR(__xludf.DUMMYFUNCTION("""COMPUTED_VALUE"""),"")</f>
        <v/>
      </c>
      <c r="N2729" t="str">
        <f>IFERROR(__xludf.DUMMYFUNCTION("""COMPUTED_VALUE"""),"")</f>
        <v/>
      </c>
      <c r="O2729" t="str">
        <f>IFERROR(__xludf.DUMMYFUNCTION("""COMPUTED_VALUE"""),"")</f>
        <v/>
      </c>
      <c r="P2729" t="str">
        <f>IFERROR(__xludf.DUMMYFUNCTION("""COMPUTED_VALUE"""),"ID ")</f>
        <v>ID </v>
      </c>
    </row>
    <row r="2730">
      <c r="A2730" s="6" t="str">
        <f>IFERROR(__xludf.DUMMYFUNCTION("""COMPUTED_VALUE"""),"")</f>
        <v/>
      </c>
      <c r="C2730" t="str">
        <f>IFERROR(__xludf.DUMMYFUNCTION("""COMPUTED_VALUE"""),"")</f>
        <v/>
      </c>
      <c r="D2730" t="str">
        <f>IFERROR(__xludf.DUMMYFUNCTION("""COMPUTED_VALUE"""),"")</f>
        <v/>
      </c>
      <c r="E2730" t="str">
        <f>IFERROR(__xludf.DUMMYFUNCTION("""COMPUTED_VALUE"""),"")</f>
        <v/>
      </c>
      <c r="F2730" t="str">
        <f>IFERROR(__xludf.DUMMYFUNCTION("""COMPUTED_VALUE"""),"")</f>
        <v/>
      </c>
      <c r="G2730" t="str">
        <f>IFERROR(__xludf.DUMMYFUNCTION("""COMPUTED_VALUE"""),"")</f>
        <v/>
      </c>
      <c r="H2730" s="2" t="str">
        <f>IFERROR(__xludf.DUMMYFUNCTION("""COMPUTED_VALUE"""),"")</f>
        <v/>
      </c>
      <c r="I2730" s="2" t="str">
        <f>IFERROR(__xludf.DUMMYFUNCTION("""COMPUTED_VALUE"""),"")</f>
        <v/>
      </c>
      <c r="J2730" s="2">
        <f>IFERROR(__xludf.DUMMYFUNCTION("""COMPUTED_VALUE"""),0.0)</f>
        <v>0</v>
      </c>
      <c r="K2730" s="5" t="str">
        <f>IFERROR(__xludf.DUMMYFUNCTION("""COMPUTED_VALUE"""),"")</f>
        <v/>
      </c>
      <c r="L2730" t="str">
        <f>IFERROR(__xludf.DUMMYFUNCTION("""COMPUTED_VALUE"""),"")</f>
        <v/>
      </c>
      <c r="M2730" t="str">
        <f>IFERROR(__xludf.DUMMYFUNCTION("""COMPUTED_VALUE"""),"")</f>
        <v/>
      </c>
      <c r="N2730" t="str">
        <f>IFERROR(__xludf.DUMMYFUNCTION("""COMPUTED_VALUE"""),"")</f>
        <v/>
      </c>
      <c r="O2730" t="str">
        <f>IFERROR(__xludf.DUMMYFUNCTION("""COMPUTED_VALUE"""),"")</f>
        <v/>
      </c>
      <c r="P2730" t="str">
        <f>IFERROR(__xludf.DUMMYFUNCTION("""COMPUTED_VALUE"""),"ID ")</f>
        <v>ID </v>
      </c>
    </row>
    <row r="2731">
      <c r="A2731" s="6" t="str">
        <f>IFERROR(__xludf.DUMMYFUNCTION("""COMPUTED_VALUE"""),"")</f>
        <v/>
      </c>
      <c r="C2731" t="str">
        <f>IFERROR(__xludf.DUMMYFUNCTION("""COMPUTED_VALUE"""),"")</f>
        <v/>
      </c>
      <c r="D2731" t="str">
        <f>IFERROR(__xludf.DUMMYFUNCTION("""COMPUTED_VALUE"""),"")</f>
        <v/>
      </c>
      <c r="E2731" t="str">
        <f>IFERROR(__xludf.DUMMYFUNCTION("""COMPUTED_VALUE"""),"")</f>
        <v/>
      </c>
      <c r="F2731" t="str">
        <f>IFERROR(__xludf.DUMMYFUNCTION("""COMPUTED_VALUE"""),"")</f>
        <v/>
      </c>
      <c r="G2731" t="str">
        <f>IFERROR(__xludf.DUMMYFUNCTION("""COMPUTED_VALUE"""),"")</f>
        <v/>
      </c>
      <c r="H2731" s="2" t="str">
        <f>IFERROR(__xludf.DUMMYFUNCTION("""COMPUTED_VALUE"""),"")</f>
        <v/>
      </c>
      <c r="I2731" s="2" t="str">
        <f>IFERROR(__xludf.DUMMYFUNCTION("""COMPUTED_VALUE"""),"")</f>
        <v/>
      </c>
      <c r="J2731" s="2">
        <f>IFERROR(__xludf.DUMMYFUNCTION("""COMPUTED_VALUE"""),0.0)</f>
        <v>0</v>
      </c>
      <c r="K2731" s="5" t="str">
        <f>IFERROR(__xludf.DUMMYFUNCTION("""COMPUTED_VALUE"""),"")</f>
        <v/>
      </c>
      <c r="L2731" t="str">
        <f>IFERROR(__xludf.DUMMYFUNCTION("""COMPUTED_VALUE"""),"")</f>
        <v/>
      </c>
      <c r="M2731" t="str">
        <f>IFERROR(__xludf.DUMMYFUNCTION("""COMPUTED_VALUE"""),"")</f>
        <v/>
      </c>
      <c r="N2731" t="str">
        <f>IFERROR(__xludf.DUMMYFUNCTION("""COMPUTED_VALUE"""),"")</f>
        <v/>
      </c>
      <c r="O2731" t="str">
        <f>IFERROR(__xludf.DUMMYFUNCTION("""COMPUTED_VALUE"""),"")</f>
        <v/>
      </c>
      <c r="P2731" t="str">
        <f>IFERROR(__xludf.DUMMYFUNCTION("""COMPUTED_VALUE"""),"ID ")</f>
        <v>ID </v>
      </c>
    </row>
    <row r="2732">
      <c r="A2732" s="6" t="str">
        <f>IFERROR(__xludf.DUMMYFUNCTION("""COMPUTED_VALUE"""),"")</f>
        <v/>
      </c>
      <c r="C2732" t="str">
        <f>IFERROR(__xludf.DUMMYFUNCTION("""COMPUTED_VALUE"""),"")</f>
        <v/>
      </c>
      <c r="D2732" t="str">
        <f>IFERROR(__xludf.DUMMYFUNCTION("""COMPUTED_VALUE"""),"")</f>
        <v/>
      </c>
      <c r="E2732" t="str">
        <f>IFERROR(__xludf.DUMMYFUNCTION("""COMPUTED_VALUE"""),"")</f>
        <v/>
      </c>
      <c r="F2732" t="str">
        <f>IFERROR(__xludf.DUMMYFUNCTION("""COMPUTED_VALUE"""),"")</f>
        <v/>
      </c>
      <c r="G2732" t="str">
        <f>IFERROR(__xludf.DUMMYFUNCTION("""COMPUTED_VALUE"""),"")</f>
        <v/>
      </c>
      <c r="H2732" s="2" t="str">
        <f>IFERROR(__xludf.DUMMYFUNCTION("""COMPUTED_VALUE"""),"")</f>
        <v/>
      </c>
      <c r="I2732" s="2" t="str">
        <f>IFERROR(__xludf.DUMMYFUNCTION("""COMPUTED_VALUE"""),"")</f>
        <v/>
      </c>
      <c r="J2732" s="2">
        <f>IFERROR(__xludf.DUMMYFUNCTION("""COMPUTED_VALUE"""),0.0)</f>
        <v>0</v>
      </c>
      <c r="K2732" s="5" t="str">
        <f>IFERROR(__xludf.DUMMYFUNCTION("""COMPUTED_VALUE"""),"")</f>
        <v/>
      </c>
      <c r="L2732" t="str">
        <f>IFERROR(__xludf.DUMMYFUNCTION("""COMPUTED_VALUE"""),"")</f>
        <v/>
      </c>
      <c r="M2732" t="str">
        <f>IFERROR(__xludf.DUMMYFUNCTION("""COMPUTED_VALUE"""),"")</f>
        <v/>
      </c>
      <c r="N2732" t="str">
        <f>IFERROR(__xludf.DUMMYFUNCTION("""COMPUTED_VALUE"""),"")</f>
        <v/>
      </c>
      <c r="O2732" t="str">
        <f>IFERROR(__xludf.DUMMYFUNCTION("""COMPUTED_VALUE"""),"")</f>
        <v/>
      </c>
      <c r="P2732" t="str">
        <f>IFERROR(__xludf.DUMMYFUNCTION("""COMPUTED_VALUE"""),"ID ")</f>
        <v>ID </v>
      </c>
    </row>
    <row r="2733">
      <c r="A2733" s="6" t="str">
        <f>IFERROR(__xludf.DUMMYFUNCTION("""COMPUTED_VALUE"""),"")</f>
        <v/>
      </c>
      <c r="C2733" t="str">
        <f>IFERROR(__xludf.DUMMYFUNCTION("""COMPUTED_VALUE"""),"")</f>
        <v/>
      </c>
      <c r="D2733" t="str">
        <f>IFERROR(__xludf.DUMMYFUNCTION("""COMPUTED_VALUE"""),"")</f>
        <v/>
      </c>
      <c r="E2733" t="str">
        <f>IFERROR(__xludf.DUMMYFUNCTION("""COMPUTED_VALUE"""),"")</f>
        <v/>
      </c>
      <c r="F2733" t="str">
        <f>IFERROR(__xludf.DUMMYFUNCTION("""COMPUTED_VALUE"""),"")</f>
        <v/>
      </c>
      <c r="G2733" t="str">
        <f>IFERROR(__xludf.DUMMYFUNCTION("""COMPUTED_VALUE"""),"")</f>
        <v/>
      </c>
      <c r="H2733" s="2" t="str">
        <f>IFERROR(__xludf.DUMMYFUNCTION("""COMPUTED_VALUE"""),"")</f>
        <v/>
      </c>
      <c r="I2733" s="2" t="str">
        <f>IFERROR(__xludf.DUMMYFUNCTION("""COMPUTED_VALUE"""),"")</f>
        <v/>
      </c>
      <c r="J2733" s="2">
        <f>IFERROR(__xludf.DUMMYFUNCTION("""COMPUTED_VALUE"""),0.0)</f>
        <v>0</v>
      </c>
      <c r="K2733" s="5" t="str">
        <f>IFERROR(__xludf.DUMMYFUNCTION("""COMPUTED_VALUE"""),"")</f>
        <v/>
      </c>
      <c r="L2733" t="str">
        <f>IFERROR(__xludf.DUMMYFUNCTION("""COMPUTED_VALUE"""),"")</f>
        <v/>
      </c>
      <c r="M2733" t="str">
        <f>IFERROR(__xludf.DUMMYFUNCTION("""COMPUTED_VALUE"""),"")</f>
        <v/>
      </c>
      <c r="N2733" t="str">
        <f>IFERROR(__xludf.DUMMYFUNCTION("""COMPUTED_VALUE"""),"")</f>
        <v/>
      </c>
      <c r="O2733" t="str">
        <f>IFERROR(__xludf.DUMMYFUNCTION("""COMPUTED_VALUE"""),"")</f>
        <v/>
      </c>
      <c r="P2733" t="str">
        <f>IFERROR(__xludf.DUMMYFUNCTION("""COMPUTED_VALUE"""),"ID ")</f>
        <v>ID </v>
      </c>
    </row>
    <row r="2734">
      <c r="A2734" s="6" t="str">
        <f>IFERROR(__xludf.DUMMYFUNCTION("""COMPUTED_VALUE"""),"")</f>
        <v/>
      </c>
      <c r="C2734" t="str">
        <f>IFERROR(__xludf.DUMMYFUNCTION("""COMPUTED_VALUE"""),"")</f>
        <v/>
      </c>
      <c r="D2734" t="str">
        <f>IFERROR(__xludf.DUMMYFUNCTION("""COMPUTED_VALUE"""),"")</f>
        <v/>
      </c>
      <c r="E2734" t="str">
        <f>IFERROR(__xludf.DUMMYFUNCTION("""COMPUTED_VALUE"""),"")</f>
        <v/>
      </c>
      <c r="F2734" t="str">
        <f>IFERROR(__xludf.DUMMYFUNCTION("""COMPUTED_VALUE"""),"")</f>
        <v/>
      </c>
      <c r="G2734" t="str">
        <f>IFERROR(__xludf.DUMMYFUNCTION("""COMPUTED_VALUE"""),"")</f>
        <v/>
      </c>
      <c r="H2734" s="2" t="str">
        <f>IFERROR(__xludf.DUMMYFUNCTION("""COMPUTED_VALUE"""),"")</f>
        <v/>
      </c>
      <c r="I2734" s="2" t="str">
        <f>IFERROR(__xludf.DUMMYFUNCTION("""COMPUTED_VALUE"""),"")</f>
        <v/>
      </c>
      <c r="J2734" s="2">
        <f>IFERROR(__xludf.DUMMYFUNCTION("""COMPUTED_VALUE"""),0.0)</f>
        <v>0</v>
      </c>
      <c r="K2734" s="5" t="str">
        <f>IFERROR(__xludf.DUMMYFUNCTION("""COMPUTED_VALUE"""),"")</f>
        <v/>
      </c>
      <c r="L2734" t="str">
        <f>IFERROR(__xludf.DUMMYFUNCTION("""COMPUTED_VALUE"""),"")</f>
        <v/>
      </c>
      <c r="M2734" t="str">
        <f>IFERROR(__xludf.DUMMYFUNCTION("""COMPUTED_VALUE"""),"")</f>
        <v/>
      </c>
      <c r="N2734" t="str">
        <f>IFERROR(__xludf.DUMMYFUNCTION("""COMPUTED_VALUE"""),"")</f>
        <v/>
      </c>
      <c r="O2734" t="str">
        <f>IFERROR(__xludf.DUMMYFUNCTION("""COMPUTED_VALUE"""),"")</f>
        <v/>
      </c>
      <c r="P2734" t="str">
        <f>IFERROR(__xludf.DUMMYFUNCTION("""COMPUTED_VALUE"""),"ID ")</f>
        <v>ID </v>
      </c>
    </row>
    <row r="2735">
      <c r="A2735" s="6" t="str">
        <f>IFERROR(__xludf.DUMMYFUNCTION("""COMPUTED_VALUE"""),"")</f>
        <v/>
      </c>
      <c r="C2735" t="str">
        <f>IFERROR(__xludf.DUMMYFUNCTION("""COMPUTED_VALUE"""),"")</f>
        <v/>
      </c>
      <c r="D2735" t="str">
        <f>IFERROR(__xludf.DUMMYFUNCTION("""COMPUTED_VALUE"""),"")</f>
        <v/>
      </c>
      <c r="E2735" t="str">
        <f>IFERROR(__xludf.DUMMYFUNCTION("""COMPUTED_VALUE"""),"")</f>
        <v/>
      </c>
      <c r="F2735" t="str">
        <f>IFERROR(__xludf.DUMMYFUNCTION("""COMPUTED_VALUE"""),"")</f>
        <v/>
      </c>
      <c r="G2735" t="str">
        <f>IFERROR(__xludf.DUMMYFUNCTION("""COMPUTED_VALUE"""),"")</f>
        <v/>
      </c>
      <c r="H2735" s="2" t="str">
        <f>IFERROR(__xludf.DUMMYFUNCTION("""COMPUTED_VALUE"""),"")</f>
        <v/>
      </c>
      <c r="I2735" s="2" t="str">
        <f>IFERROR(__xludf.DUMMYFUNCTION("""COMPUTED_VALUE"""),"")</f>
        <v/>
      </c>
      <c r="J2735" s="2">
        <f>IFERROR(__xludf.DUMMYFUNCTION("""COMPUTED_VALUE"""),0.0)</f>
        <v>0</v>
      </c>
      <c r="K2735" s="5" t="str">
        <f>IFERROR(__xludf.DUMMYFUNCTION("""COMPUTED_VALUE"""),"")</f>
        <v/>
      </c>
      <c r="L2735" t="str">
        <f>IFERROR(__xludf.DUMMYFUNCTION("""COMPUTED_VALUE"""),"")</f>
        <v/>
      </c>
      <c r="M2735" t="str">
        <f>IFERROR(__xludf.DUMMYFUNCTION("""COMPUTED_VALUE"""),"")</f>
        <v/>
      </c>
      <c r="N2735" t="str">
        <f>IFERROR(__xludf.DUMMYFUNCTION("""COMPUTED_VALUE"""),"")</f>
        <v/>
      </c>
      <c r="O2735" t="str">
        <f>IFERROR(__xludf.DUMMYFUNCTION("""COMPUTED_VALUE"""),"")</f>
        <v/>
      </c>
      <c r="P2735" t="str">
        <f>IFERROR(__xludf.DUMMYFUNCTION("""COMPUTED_VALUE"""),"ID ")</f>
        <v>ID </v>
      </c>
    </row>
    <row r="2736">
      <c r="A2736" s="6" t="str">
        <f>IFERROR(__xludf.DUMMYFUNCTION("""COMPUTED_VALUE"""),"")</f>
        <v/>
      </c>
      <c r="C2736" t="str">
        <f>IFERROR(__xludf.DUMMYFUNCTION("""COMPUTED_VALUE"""),"")</f>
        <v/>
      </c>
      <c r="D2736" t="str">
        <f>IFERROR(__xludf.DUMMYFUNCTION("""COMPUTED_VALUE"""),"")</f>
        <v/>
      </c>
      <c r="E2736" t="str">
        <f>IFERROR(__xludf.DUMMYFUNCTION("""COMPUTED_VALUE"""),"")</f>
        <v/>
      </c>
      <c r="F2736" t="str">
        <f>IFERROR(__xludf.DUMMYFUNCTION("""COMPUTED_VALUE"""),"")</f>
        <v/>
      </c>
      <c r="G2736" t="str">
        <f>IFERROR(__xludf.DUMMYFUNCTION("""COMPUTED_VALUE"""),"")</f>
        <v/>
      </c>
      <c r="H2736" s="2" t="str">
        <f>IFERROR(__xludf.DUMMYFUNCTION("""COMPUTED_VALUE"""),"")</f>
        <v/>
      </c>
      <c r="I2736" s="2" t="str">
        <f>IFERROR(__xludf.DUMMYFUNCTION("""COMPUTED_VALUE"""),"")</f>
        <v/>
      </c>
      <c r="J2736" s="2">
        <f>IFERROR(__xludf.DUMMYFUNCTION("""COMPUTED_VALUE"""),0.0)</f>
        <v>0</v>
      </c>
      <c r="K2736" s="5" t="str">
        <f>IFERROR(__xludf.DUMMYFUNCTION("""COMPUTED_VALUE"""),"")</f>
        <v/>
      </c>
      <c r="L2736" t="str">
        <f>IFERROR(__xludf.DUMMYFUNCTION("""COMPUTED_VALUE"""),"")</f>
        <v/>
      </c>
      <c r="M2736" t="str">
        <f>IFERROR(__xludf.DUMMYFUNCTION("""COMPUTED_VALUE"""),"")</f>
        <v/>
      </c>
      <c r="N2736" t="str">
        <f>IFERROR(__xludf.DUMMYFUNCTION("""COMPUTED_VALUE"""),"")</f>
        <v/>
      </c>
      <c r="O2736" t="str">
        <f>IFERROR(__xludf.DUMMYFUNCTION("""COMPUTED_VALUE"""),"")</f>
        <v/>
      </c>
      <c r="P2736" t="str">
        <f>IFERROR(__xludf.DUMMYFUNCTION("""COMPUTED_VALUE"""),"ID ")</f>
        <v>ID </v>
      </c>
    </row>
    <row r="2737">
      <c r="A2737" s="6" t="str">
        <f>IFERROR(__xludf.DUMMYFUNCTION("""COMPUTED_VALUE"""),"")</f>
        <v/>
      </c>
      <c r="C2737" t="str">
        <f>IFERROR(__xludf.DUMMYFUNCTION("""COMPUTED_VALUE"""),"")</f>
        <v/>
      </c>
      <c r="D2737" t="str">
        <f>IFERROR(__xludf.DUMMYFUNCTION("""COMPUTED_VALUE"""),"")</f>
        <v/>
      </c>
      <c r="E2737" t="str">
        <f>IFERROR(__xludf.DUMMYFUNCTION("""COMPUTED_VALUE"""),"")</f>
        <v/>
      </c>
      <c r="F2737" t="str">
        <f>IFERROR(__xludf.DUMMYFUNCTION("""COMPUTED_VALUE"""),"")</f>
        <v/>
      </c>
      <c r="G2737" t="str">
        <f>IFERROR(__xludf.DUMMYFUNCTION("""COMPUTED_VALUE"""),"")</f>
        <v/>
      </c>
      <c r="H2737" s="2" t="str">
        <f>IFERROR(__xludf.DUMMYFUNCTION("""COMPUTED_VALUE"""),"")</f>
        <v/>
      </c>
      <c r="I2737" s="2" t="str">
        <f>IFERROR(__xludf.DUMMYFUNCTION("""COMPUTED_VALUE"""),"")</f>
        <v/>
      </c>
      <c r="J2737" s="2">
        <f>IFERROR(__xludf.DUMMYFUNCTION("""COMPUTED_VALUE"""),0.0)</f>
        <v>0</v>
      </c>
      <c r="K2737" s="5" t="str">
        <f>IFERROR(__xludf.DUMMYFUNCTION("""COMPUTED_VALUE"""),"")</f>
        <v/>
      </c>
      <c r="L2737" t="str">
        <f>IFERROR(__xludf.DUMMYFUNCTION("""COMPUTED_VALUE"""),"")</f>
        <v/>
      </c>
      <c r="M2737" t="str">
        <f>IFERROR(__xludf.DUMMYFUNCTION("""COMPUTED_VALUE"""),"")</f>
        <v/>
      </c>
      <c r="N2737" t="str">
        <f>IFERROR(__xludf.DUMMYFUNCTION("""COMPUTED_VALUE"""),"")</f>
        <v/>
      </c>
      <c r="O2737" t="str">
        <f>IFERROR(__xludf.DUMMYFUNCTION("""COMPUTED_VALUE"""),"")</f>
        <v/>
      </c>
      <c r="P2737" t="str">
        <f>IFERROR(__xludf.DUMMYFUNCTION("""COMPUTED_VALUE"""),"ID ")</f>
        <v>ID </v>
      </c>
    </row>
    <row r="2738">
      <c r="A2738" s="6" t="str">
        <f>IFERROR(__xludf.DUMMYFUNCTION("""COMPUTED_VALUE"""),"")</f>
        <v/>
      </c>
      <c r="C2738" t="str">
        <f>IFERROR(__xludf.DUMMYFUNCTION("""COMPUTED_VALUE"""),"")</f>
        <v/>
      </c>
      <c r="D2738" t="str">
        <f>IFERROR(__xludf.DUMMYFUNCTION("""COMPUTED_VALUE"""),"")</f>
        <v/>
      </c>
      <c r="E2738" t="str">
        <f>IFERROR(__xludf.DUMMYFUNCTION("""COMPUTED_VALUE"""),"")</f>
        <v/>
      </c>
      <c r="F2738" t="str">
        <f>IFERROR(__xludf.DUMMYFUNCTION("""COMPUTED_VALUE"""),"")</f>
        <v/>
      </c>
      <c r="G2738" t="str">
        <f>IFERROR(__xludf.DUMMYFUNCTION("""COMPUTED_VALUE"""),"")</f>
        <v/>
      </c>
      <c r="H2738" s="2" t="str">
        <f>IFERROR(__xludf.DUMMYFUNCTION("""COMPUTED_VALUE"""),"")</f>
        <v/>
      </c>
      <c r="I2738" s="2" t="str">
        <f>IFERROR(__xludf.DUMMYFUNCTION("""COMPUTED_VALUE"""),"")</f>
        <v/>
      </c>
      <c r="J2738" s="2">
        <f>IFERROR(__xludf.DUMMYFUNCTION("""COMPUTED_VALUE"""),0.0)</f>
        <v>0</v>
      </c>
      <c r="K2738" s="5" t="str">
        <f>IFERROR(__xludf.DUMMYFUNCTION("""COMPUTED_VALUE"""),"")</f>
        <v/>
      </c>
      <c r="L2738" t="str">
        <f>IFERROR(__xludf.DUMMYFUNCTION("""COMPUTED_VALUE"""),"")</f>
        <v/>
      </c>
      <c r="M2738" t="str">
        <f>IFERROR(__xludf.DUMMYFUNCTION("""COMPUTED_VALUE"""),"")</f>
        <v/>
      </c>
      <c r="N2738" t="str">
        <f>IFERROR(__xludf.DUMMYFUNCTION("""COMPUTED_VALUE"""),"")</f>
        <v/>
      </c>
      <c r="O2738" t="str">
        <f>IFERROR(__xludf.DUMMYFUNCTION("""COMPUTED_VALUE"""),"")</f>
        <v/>
      </c>
      <c r="P2738" t="str">
        <f>IFERROR(__xludf.DUMMYFUNCTION("""COMPUTED_VALUE"""),"ID ")</f>
        <v>ID </v>
      </c>
    </row>
    <row r="2739">
      <c r="A2739" s="6" t="str">
        <f>IFERROR(__xludf.DUMMYFUNCTION("""COMPUTED_VALUE"""),"")</f>
        <v/>
      </c>
      <c r="C2739" t="str">
        <f>IFERROR(__xludf.DUMMYFUNCTION("""COMPUTED_VALUE"""),"")</f>
        <v/>
      </c>
      <c r="D2739" t="str">
        <f>IFERROR(__xludf.DUMMYFUNCTION("""COMPUTED_VALUE"""),"")</f>
        <v/>
      </c>
      <c r="E2739" t="str">
        <f>IFERROR(__xludf.DUMMYFUNCTION("""COMPUTED_VALUE"""),"")</f>
        <v/>
      </c>
      <c r="F2739" t="str">
        <f>IFERROR(__xludf.DUMMYFUNCTION("""COMPUTED_VALUE"""),"")</f>
        <v/>
      </c>
      <c r="G2739" t="str">
        <f>IFERROR(__xludf.DUMMYFUNCTION("""COMPUTED_VALUE"""),"")</f>
        <v/>
      </c>
      <c r="H2739" s="2" t="str">
        <f>IFERROR(__xludf.DUMMYFUNCTION("""COMPUTED_VALUE"""),"")</f>
        <v/>
      </c>
      <c r="I2739" s="2" t="str">
        <f>IFERROR(__xludf.DUMMYFUNCTION("""COMPUTED_VALUE"""),"")</f>
        <v/>
      </c>
      <c r="J2739" s="2">
        <f>IFERROR(__xludf.DUMMYFUNCTION("""COMPUTED_VALUE"""),0.0)</f>
        <v>0</v>
      </c>
      <c r="K2739" s="5" t="str">
        <f>IFERROR(__xludf.DUMMYFUNCTION("""COMPUTED_VALUE"""),"")</f>
        <v/>
      </c>
      <c r="L2739" t="str">
        <f>IFERROR(__xludf.DUMMYFUNCTION("""COMPUTED_VALUE"""),"")</f>
        <v/>
      </c>
      <c r="M2739" t="str">
        <f>IFERROR(__xludf.DUMMYFUNCTION("""COMPUTED_VALUE"""),"")</f>
        <v/>
      </c>
      <c r="N2739" t="str">
        <f>IFERROR(__xludf.DUMMYFUNCTION("""COMPUTED_VALUE"""),"")</f>
        <v/>
      </c>
      <c r="O2739" t="str">
        <f>IFERROR(__xludf.DUMMYFUNCTION("""COMPUTED_VALUE"""),"")</f>
        <v/>
      </c>
      <c r="P2739" t="str">
        <f>IFERROR(__xludf.DUMMYFUNCTION("""COMPUTED_VALUE"""),"ID ")</f>
        <v>ID </v>
      </c>
    </row>
    <row r="2740">
      <c r="A2740" s="6" t="str">
        <f>IFERROR(__xludf.DUMMYFUNCTION("""COMPUTED_VALUE"""),"")</f>
        <v/>
      </c>
      <c r="C2740" t="str">
        <f>IFERROR(__xludf.DUMMYFUNCTION("""COMPUTED_VALUE"""),"")</f>
        <v/>
      </c>
      <c r="D2740" t="str">
        <f>IFERROR(__xludf.DUMMYFUNCTION("""COMPUTED_VALUE"""),"")</f>
        <v/>
      </c>
      <c r="E2740" t="str">
        <f>IFERROR(__xludf.DUMMYFUNCTION("""COMPUTED_VALUE"""),"")</f>
        <v/>
      </c>
      <c r="F2740" t="str">
        <f>IFERROR(__xludf.DUMMYFUNCTION("""COMPUTED_VALUE"""),"")</f>
        <v/>
      </c>
      <c r="G2740" t="str">
        <f>IFERROR(__xludf.DUMMYFUNCTION("""COMPUTED_VALUE"""),"")</f>
        <v/>
      </c>
      <c r="H2740" s="2" t="str">
        <f>IFERROR(__xludf.DUMMYFUNCTION("""COMPUTED_VALUE"""),"")</f>
        <v/>
      </c>
      <c r="I2740" s="2" t="str">
        <f>IFERROR(__xludf.DUMMYFUNCTION("""COMPUTED_VALUE"""),"")</f>
        <v/>
      </c>
      <c r="J2740" s="2">
        <f>IFERROR(__xludf.DUMMYFUNCTION("""COMPUTED_VALUE"""),0.0)</f>
        <v>0</v>
      </c>
      <c r="K2740" s="5" t="str">
        <f>IFERROR(__xludf.DUMMYFUNCTION("""COMPUTED_VALUE"""),"")</f>
        <v/>
      </c>
      <c r="L2740" t="str">
        <f>IFERROR(__xludf.DUMMYFUNCTION("""COMPUTED_VALUE"""),"")</f>
        <v/>
      </c>
      <c r="M2740" t="str">
        <f>IFERROR(__xludf.DUMMYFUNCTION("""COMPUTED_VALUE"""),"")</f>
        <v/>
      </c>
      <c r="N2740" t="str">
        <f>IFERROR(__xludf.DUMMYFUNCTION("""COMPUTED_VALUE"""),"")</f>
        <v/>
      </c>
      <c r="O2740" t="str">
        <f>IFERROR(__xludf.DUMMYFUNCTION("""COMPUTED_VALUE"""),"")</f>
        <v/>
      </c>
      <c r="P2740" t="str">
        <f>IFERROR(__xludf.DUMMYFUNCTION("""COMPUTED_VALUE"""),"ID ")</f>
        <v>ID </v>
      </c>
    </row>
    <row r="2741">
      <c r="A2741" s="6" t="str">
        <f>IFERROR(__xludf.DUMMYFUNCTION("""COMPUTED_VALUE"""),"")</f>
        <v/>
      </c>
      <c r="C2741" t="str">
        <f>IFERROR(__xludf.DUMMYFUNCTION("""COMPUTED_VALUE"""),"")</f>
        <v/>
      </c>
      <c r="D2741" t="str">
        <f>IFERROR(__xludf.DUMMYFUNCTION("""COMPUTED_VALUE"""),"")</f>
        <v/>
      </c>
      <c r="E2741" t="str">
        <f>IFERROR(__xludf.DUMMYFUNCTION("""COMPUTED_VALUE"""),"")</f>
        <v/>
      </c>
      <c r="F2741" t="str">
        <f>IFERROR(__xludf.DUMMYFUNCTION("""COMPUTED_VALUE"""),"")</f>
        <v/>
      </c>
      <c r="G2741" t="str">
        <f>IFERROR(__xludf.DUMMYFUNCTION("""COMPUTED_VALUE"""),"")</f>
        <v/>
      </c>
      <c r="H2741" s="2" t="str">
        <f>IFERROR(__xludf.DUMMYFUNCTION("""COMPUTED_VALUE"""),"")</f>
        <v/>
      </c>
      <c r="I2741" s="2" t="str">
        <f>IFERROR(__xludf.DUMMYFUNCTION("""COMPUTED_VALUE"""),"")</f>
        <v/>
      </c>
      <c r="J2741" s="2">
        <f>IFERROR(__xludf.DUMMYFUNCTION("""COMPUTED_VALUE"""),0.0)</f>
        <v>0</v>
      </c>
      <c r="K2741" s="5" t="str">
        <f>IFERROR(__xludf.DUMMYFUNCTION("""COMPUTED_VALUE"""),"")</f>
        <v/>
      </c>
      <c r="L2741" t="str">
        <f>IFERROR(__xludf.DUMMYFUNCTION("""COMPUTED_VALUE"""),"")</f>
        <v/>
      </c>
      <c r="M2741" t="str">
        <f>IFERROR(__xludf.DUMMYFUNCTION("""COMPUTED_VALUE"""),"")</f>
        <v/>
      </c>
      <c r="N2741" t="str">
        <f>IFERROR(__xludf.DUMMYFUNCTION("""COMPUTED_VALUE"""),"")</f>
        <v/>
      </c>
      <c r="O2741" t="str">
        <f>IFERROR(__xludf.DUMMYFUNCTION("""COMPUTED_VALUE"""),"")</f>
        <v/>
      </c>
      <c r="P2741" t="str">
        <f>IFERROR(__xludf.DUMMYFUNCTION("""COMPUTED_VALUE"""),"ID ")</f>
        <v>ID </v>
      </c>
    </row>
    <row r="2742">
      <c r="A2742" s="6" t="str">
        <f>IFERROR(__xludf.DUMMYFUNCTION("""COMPUTED_VALUE"""),"")</f>
        <v/>
      </c>
      <c r="C2742" t="str">
        <f>IFERROR(__xludf.DUMMYFUNCTION("""COMPUTED_VALUE"""),"")</f>
        <v/>
      </c>
      <c r="D2742" t="str">
        <f>IFERROR(__xludf.DUMMYFUNCTION("""COMPUTED_VALUE"""),"")</f>
        <v/>
      </c>
      <c r="E2742" t="str">
        <f>IFERROR(__xludf.DUMMYFUNCTION("""COMPUTED_VALUE"""),"")</f>
        <v/>
      </c>
      <c r="F2742" t="str">
        <f>IFERROR(__xludf.DUMMYFUNCTION("""COMPUTED_VALUE"""),"")</f>
        <v/>
      </c>
      <c r="G2742" t="str">
        <f>IFERROR(__xludf.DUMMYFUNCTION("""COMPUTED_VALUE"""),"")</f>
        <v/>
      </c>
      <c r="H2742" s="2" t="str">
        <f>IFERROR(__xludf.DUMMYFUNCTION("""COMPUTED_VALUE"""),"")</f>
        <v/>
      </c>
      <c r="I2742" s="2" t="str">
        <f>IFERROR(__xludf.DUMMYFUNCTION("""COMPUTED_VALUE"""),"")</f>
        <v/>
      </c>
      <c r="J2742" s="2">
        <f>IFERROR(__xludf.DUMMYFUNCTION("""COMPUTED_VALUE"""),0.0)</f>
        <v>0</v>
      </c>
      <c r="K2742" s="5" t="str">
        <f>IFERROR(__xludf.DUMMYFUNCTION("""COMPUTED_VALUE"""),"")</f>
        <v/>
      </c>
      <c r="L2742" t="str">
        <f>IFERROR(__xludf.DUMMYFUNCTION("""COMPUTED_VALUE"""),"")</f>
        <v/>
      </c>
      <c r="M2742" t="str">
        <f>IFERROR(__xludf.DUMMYFUNCTION("""COMPUTED_VALUE"""),"")</f>
        <v/>
      </c>
      <c r="N2742" t="str">
        <f>IFERROR(__xludf.DUMMYFUNCTION("""COMPUTED_VALUE"""),"")</f>
        <v/>
      </c>
      <c r="O2742" t="str">
        <f>IFERROR(__xludf.DUMMYFUNCTION("""COMPUTED_VALUE"""),"")</f>
        <v/>
      </c>
      <c r="P2742" t="str">
        <f>IFERROR(__xludf.DUMMYFUNCTION("""COMPUTED_VALUE"""),"ID ")</f>
        <v>ID </v>
      </c>
    </row>
    <row r="2743">
      <c r="A2743" s="6" t="str">
        <f>IFERROR(__xludf.DUMMYFUNCTION("""COMPUTED_VALUE"""),"")</f>
        <v/>
      </c>
      <c r="C2743" t="str">
        <f>IFERROR(__xludf.DUMMYFUNCTION("""COMPUTED_VALUE"""),"")</f>
        <v/>
      </c>
      <c r="D2743" t="str">
        <f>IFERROR(__xludf.DUMMYFUNCTION("""COMPUTED_VALUE"""),"")</f>
        <v/>
      </c>
      <c r="E2743" t="str">
        <f>IFERROR(__xludf.DUMMYFUNCTION("""COMPUTED_VALUE"""),"")</f>
        <v/>
      </c>
      <c r="F2743" t="str">
        <f>IFERROR(__xludf.DUMMYFUNCTION("""COMPUTED_VALUE"""),"")</f>
        <v/>
      </c>
      <c r="G2743" t="str">
        <f>IFERROR(__xludf.DUMMYFUNCTION("""COMPUTED_VALUE"""),"")</f>
        <v/>
      </c>
      <c r="H2743" s="2" t="str">
        <f>IFERROR(__xludf.DUMMYFUNCTION("""COMPUTED_VALUE"""),"")</f>
        <v/>
      </c>
      <c r="I2743" s="2" t="str">
        <f>IFERROR(__xludf.DUMMYFUNCTION("""COMPUTED_VALUE"""),"")</f>
        <v/>
      </c>
      <c r="J2743" s="2">
        <f>IFERROR(__xludf.DUMMYFUNCTION("""COMPUTED_VALUE"""),0.0)</f>
        <v>0</v>
      </c>
      <c r="K2743" s="5" t="str">
        <f>IFERROR(__xludf.DUMMYFUNCTION("""COMPUTED_VALUE"""),"")</f>
        <v/>
      </c>
      <c r="L2743" t="str">
        <f>IFERROR(__xludf.DUMMYFUNCTION("""COMPUTED_VALUE"""),"")</f>
        <v/>
      </c>
      <c r="M2743" t="str">
        <f>IFERROR(__xludf.DUMMYFUNCTION("""COMPUTED_VALUE"""),"")</f>
        <v/>
      </c>
      <c r="N2743" t="str">
        <f>IFERROR(__xludf.DUMMYFUNCTION("""COMPUTED_VALUE"""),"")</f>
        <v/>
      </c>
      <c r="O2743" t="str">
        <f>IFERROR(__xludf.DUMMYFUNCTION("""COMPUTED_VALUE"""),"")</f>
        <v/>
      </c>
      <c r="P2743" t="str">
        <f>IFERROR(__xludf.DUMMYFUNCTION("""COMPUTED_VALUE"""),"ID ")</f>
        <v>ID </v>
      </c>
    </row>
    <row r="2744">
      <c r="A2744" s="6" t="str">
        <f>IFERROR(__xludf.DUMMYFUNCTION("""COMPUTED_VALUE"""),"")</f>
        <v/>
      </c>
      <c r="C2744" t="str">
        <f>IFERROR(__xludf.DUMMYFUNCTION("""COMPUTED_VALUE"""),"")</f>
        <v/>
      </c>
      <c r="D2744" t="str">
        <f>IFERROR(__xludf.DUMMYFUNCTION("""COMPUTED_VALUE"""),"")</f>
        <v/>
      </c>
      <c r="E2744" t="str">
        <f>IFERROR(__xludf.DUMMYFUNCTION("""COMPUTED_VALUE"""),"")</f>
        <v/>
      </c>
      <c r="F2744" t="str">
        <f>IFERROR(__xludf.DUMMYFUNCTION("""COMPUTED_VALUE"""),"")</f>
        <v/>
      </c>
      <c r="G2744" t="str">
        <f>IFERROR(__xludf.DUMMYFUNCTION("""COMPUTED_VALUE"""),"")</f>
        <v/>
      </c>
      <c r="H2744" s="2" t="str">
        <f>IFERROR(__xludf.DUMMYFUNCTION("""COMPUTED_VALUE"""),"")</f>
        <v/>
      </c>
      <c r="I2744" s="2" t="str">
        <f>IFERROR(__xludf.DUMMYFUNCTION("""COMPUTED_VALUE"""),"")</f>
        <v/>
      </c>
      <c r="J2744" s="2">
        <f>IFERROR(__xludf.DUMMYFUNCTION("""COMPUTED_VALUE"""),0.0)</f>
        <v>0</v>
      </c>
      <c r="K2744" s="5" t="str">
        <f>IFERROR(__xludf.DUMMYFUNCTION("""COMPUTED_VALUE"""),"")</f>
        <v/>
      </c>
      <c r="L2744" t="str">
        <f>IFERROR(__xludf.DUMMYFUNCTION("""COMPUTED_VALUE"""),"")</f>
        <v/>
      </c>
      <c r="M2744" t="str">
        <f>IFERROR(__xludf.DUMMYFUNCTION("""COMPUTED_VALUE"""),"")</f>
        <v/>
      </c>
      <c r="N2744" t="str">
        <f>IFERROR(__xludf.DUMMYFUNCTION("""COMPUTED_VALUE"""),"")</f>
        <v/>
      </c>
      <c r="O2744" t="str">
        <f>IFERROR(__xludf.DUMMYFUNCTION("""COMPUTED_VALUE"""),"")</f>
        <v/>
      </c>
      <c r="P2744" t="str">
        <f>IFERROR(__xludf.DUMMYFUNCTION("""COMPUTED_VALUE"""),"ID ")</f>
        <v>ID </v>
      </c>
    </row>
    <row r="2745">
      <c r="A2745" s="6" t="str">
        <f>IFERROR(__xludf.DUMMYFUNCTION("""COMPUTED_VALUE"""),"")</f>
        <v/>
      </c>
      <c r="C2745" t="str">
        <f>IFERROR(__xludf.DUMMYFUNCTION("""COMPUTED_VALUE"""),"")</f>
        <v/>
      </c>
      <c r="D2745" t="str">
        <f>IFERROR(__xludf.DUMMYFUNCTION("""COMPUTED_VALUE"""),"")</f>
        <v/>
      </c>
      <c r="E2745" t="str">
        <f>IFERROR(__xludf.DUMMYFUNCTION("""COMPUTED_VALUE"""),"")</f>
        <v/>
      </c>
      <c r="F2745" t="str">
        <f>IFERROR(__xludf.DUMMYFUNCTION("""COMPUTED_VALUE"""),"")</f>
        <v/>
      </c>
      <c r="G2745" t="str">
        <f>IFERROR(__xludf.DUMMYFUNCTION("""COMPUTED_VALUE"""),"")</f>
        <v/>
      </c>
      <c r="H2745" s="2" t="str">
        <f>IFERROR(__xludf.DUMMYFUNCTION("""COMPUTED_VALUE"""),"")</f>
        <v/>
      </c>
      <c r="I2745" s="2" t="str">
        <f>IFERROR(__xludf.DUMMYFUNCTION("""COMPUTED_VALUE"""),"")</f>
        <v/>
      </c>
      <c r="J2745" s="2">
        <f>IFERROR(__xludf.DUMMYFUNCTION("""COMPUTED_VALUE"""),0.0)</f>
        <v>0</v>
      </c>
      <c r="K2745" s="5" t="str">
        <f>IFERROR(__xludf.DUMMYFUNCTION("""COMPUTED_VALUE"""),"")</f>
        <v/>
      </c>
      <c r="L2745" t="str">
        <f>IFERROR(__xludf.DUMMYFUNCTION("""COMPUTED_VALUE"""),"")</f>
        <v/>
      </c>
      <c r="M2745" t="str">
        <f>IFERROR(__xludf.DUMMYFUNCTION("""COMPUTED_VALUE"""),"")</f>
        <v/>
      </c>
      <c r="N2745" t="str">
        <f>IFERROR(__xludf.DUMMYFUNCTION("""COMPUTED_VALUE"""),"")</f>
        <v/>
      </c>
      <c r="O2745" t="str">
        <f>IFERROR(__xludf.DUMMYFUNCTION("""COMPUTED_VALUE"""),"")</f>
        <v/>
      </c>
      <c r="P2745" t="str">
        <f>IFERROR(__xludf.DUMMYFUNCTION("""COMPUTED_VALUE"""),"ID ")</f>
        <v>ID </v>
      </c>
    </row>
    <row r="2746">
      <c r="A2746" s="6" t="str">
        <f>IFERROR(__xludf.DUMMYFUNCTION("""COMPUTED_VALUE"""),"")</f>
        <v/>
      </c>
      <c r="C2746" t="str">
        <f>IFERROR(__xludf.DUMMYFUNCTION("""COMPUTED_VALUE"""),"")</f>
        <v/>
      </c>
      <c r="D2746" t="str">
        <f>IFERROR(__xludf.DUMMYFUNCTION("""COMPUTED_VALUE"""),"")</f>
        <v/>
      </c>
      <c r="E2746" t="str">
        <f>IFERROR(__xludf.DUMMYFUNCTION("""COMPUTED_VALUE"""),"")</f>
        <v/>
      </c>
      <c r="F2746" t="str">
        <f>IFERROR(__xludf.DUMMYFUNCTION("""COMPUTED_VALUE"""),"")</f>
        <v/>
      </c>
      <c r="G2746" t="str">
        <f>IFERROR(__xludf.DUMMYFUNCTION("""COMPUTED_VALUE"""),"")</f>
        <v/>
      </c>
      <c r="H2746" s="2" t="str">
        <f>IFERROR(__xludf.DUMMYFUNCTION("""COMPUTED_VALUE"""),"")</f>
        <v/>
      </c>
      <c r="I2746" s="2" t="str">
        <f>IFERROR(__xludf.DUMMYFUNCTION("""COMPUTED_VALUE"""),"")</f>
        <v/>
      </c>
      <c r="J2746" s="2">
        <f>IFERROR(__xludf.DUMMYFUNCTION("""COMPUTED_VALUE"""),0.0)</f>
        <v>0</v>
      </c>
      <c r="K2746" s="5" t="str">
        <f>IFERROR(__xludf.DUMMYFUNCTION("""COMPUTED_VALUE"""),"")</f>
        <v/>
      </c>
      <c r="L2746" t="str">
        <f>IFERROR(__xludf.DUMMYFUNCTION("""COMPUTED_VALUE"""),"")</f>
        <v/>
      </c>
      <c r="M2746" t="str">
        <f>IFERROR(__xludf.DUMMYFUNCTION("""COMPUTED_VALUE"""),"")</f>
        <v/>
      </c>
      <c r="N2746" t="str">
        <f>IFERROR(__xludf.DUMMYFUNCTION("""COMPUTED_VALUE"""),"")</f>
        <v/>
      </c>
      <c r="O2746" t="str">
        <f>IFERROR(__xludf.DUMMYFUNCTION("""COMPUTED_VALUE"""),"")</f>
        <v/>
      </c>
      <c r="P2746" t="str">
        <f>IFERROR(__xludf.DUMMYFUNCTION("""COMPUTED_VALUE"""),"ID ")</f>
        <v>ID </v>
      </c>
    </row>
    <row r="2747">
      <c r="A2747" s="6" t="str">
        <f>IFERROR(__xludf.DUMMYFUNCTION("""COMPUTED_VALUE"""),"")</f>
        <v/>
      </c>
      <c r="C2747" t="str">
        <f>IFERROR(__xludf.DUMMYFUNCTION("""COMPUTED_VALUE"""),"")</f>
        <v/>
      </c>
      <c r="D2747" t="str">
        <f>IFERROR(__xludf.DUMMYFUNCTION("""COMPUTED_VALUE"""),"")</f>
        <v/>
      </c>
      <c r="E2747" t="str">
        <f>IFERROR(__xludf.DUMMYFUNCTION("""COMPUTED_VALUE"""),"")</f>
        <v/>
      </c>
      <c r="F2747" t="str">
        <f>IFERROR(__xludf.DUMMYFUNCTION("""COMPUTED_VALUE"""),"")</f>
        <v/>
      </c>
      <c r="G2747" t="str">
        <f>IFERROR(__xludf.DUMMYFUNCTION("""COMPUTED_VALUE"""),"")</f>
        <v/>
      </c>
      <c r="H2747" s="2" t="str">
        <f>IFERROR(__xludf.DUMMYFUNCTION("""COMPUTED_VALUE"""),"")</f>
        <v/>
      </c>
      <c r="I2747" s="2" t="str">
        <f>IFERROR(__xludf.DUMMYFUNCTION("""COMPUTED_VALUE"""),"")</f>
        <v/>
      </c>
      <c r="J2747" s="2">
        <f>IFERROR(__xludf.DUMMYFUNCTION("""COMPUTED_VALUE"""),0.0)</f>
        <v>0</v>
      </c>
      <c r="K2747" s="5" t="str">
        <f>IFERROR(__xludf.DUMMYFUNCTION("""COMPUTED_VALUE"""),"")</f>
        <v/>
      </c>
      <c r="L2747" t="str">
        <f>IFERROR(__xludf.DUMMYFUNCTION("""COMPUTED_VALUE"""),"")</f>
        <v/>
      </c>
      <c r="M2747" t="str">
        <f>IFERROR(__xludf.DUMMYFUNCTION("""COMPUTED_VALUE"""),"")</f>
        <v/>
      </c>
      <c r="N2747" t="str">
        <f>IFERROR(__xludf.DUMMYFUNCTION("""COMPUTED_VALUE"""),"")</f>
        <v/>
      </c>
      <c r="O2747" t="str">
        <f>IFERROR(__xludf.DUMMYFUNCTION("""COMPUTED_VALUE"""),"")</f>
        <v/>
      </c>
      <c r="P2747" t="str">
        <f>IFERROR(__xludf.DUMMYFUNCTION("""COMPUTED_VALUE"""),"ID ")</f>
        <v>ID </v>
      </c>
    </row>
    <row r="2748">
      <c r="A2748" s="6" t="str">
        <f>IFERROR(__xludf.DUMMYFUNCTION("""COMPUTED_VALUE"""),"")</f>
        <v/>
      </c>
      <c r="C2748" t="str">
        <f>IFERROR(__xludf.DUMMYFUNCTION("""COMPUTED_VALUE"""),"")</f>
        <v/>
      </c>
      <c r="D2748" t="str">
        <f>IFERROR(__xludf.DUMMYFUNCTION("""COMPUTED_VALUE"""),"")</f>
        <v/>
      </c>
      <c r="E2748" t="str">
        <f>IFERROR(__xludf.DUMMYFUNCTION("""COMPUTED_VALUE"""),"")</f>
        <v/>
      </c>
      <c r="F2748" t="str">
        <f>IFERROR(__xludf.DUMMYFUNCTION("""COMPUTED_VALUE"""),"")</f>
        <v/>
      </c>
      <c r="G2748" t="str">
        <f>IFERROR(__xludf.DUMMYFUNCTION("""COMPUTED_VALUE"""),"")</f>
        <v/>
      </c>
      <c r="H2748" s="2" t="str">
        <f>IFERROR(__xludf.DUMMYFUNCTION("""COMPUTED_VALUE"""),"")</f>
        <v/>
      </c>
      <c r="I2748" s="2" t="str">
        <f>IFERROR(__xludf.DUMMYFUNCTION("""COMPUTED_VALUE"""),"")</f>
        <v/>
      </c>
      <c r="J2748" s="2">
        <f>IFERROR(__xludf.DUMMYFUNCTION("""COMPUTED_VALUE"""),0.0)</f>
        <v>0</v>
      </c>
      <c r="K2748" s="5" t="str">
        <f>IFERROR(__xludf.DUMMYFUNCTION("""COMPUTED_VALUE"""),"")</f>
        <v/>
      </c>
      <c r="L2748" t="str">
        <f>IFERROR(__xludf.DUMMYFUNCTION("""COMPUTED_VALUE"""),"")</f>
        <v/>
      </c>
      <c r="M2748" t="str">
        <f>IFERROR(__xludf.DUMMYFUNCTION("""COMPUTED_VALUE"""),"")</f>
        <v/>
      </c>
      <c r="N2748" t="str">
        <f>IFERROR(__xludf.DUMMYFUNCTION("""COMPUTED_VALUE"""),"")</f>
        <v/>
      </c>
      <c r="O2748" t="str">
        <f>IFERROR(__xludf.DUMMYFUNCTION("""COMPUTED_VALUE"""),"")</f>
        <v/>
      </c>
      <c r="P2748" t="str">
        <f>IFERROR(__xludf.DUMMYFUNCTION("""COMPUTED_VALUE"""),"ID ")</f>
        <v>ID </v>
      </c>
    </row>
    <row r="2749">
      <c r="A2749" s="6" t="str">
        <f>IFERROR(__xludf.DUMMYFUNCTION("""COMPUTED_VALUE"""),"")</f>
        <v/>
      </c>
      <c r="C2749" t="str">
        <f>IFERROR(__xludf.DUMMYFUNCTION("""COMPUTED_VALUE"""),"")</f>
        <v/>
      </c>
      <c r="D2749" t="str">
        <f>IFERROR(__xludf.DUMMYFUNCTION("""COMPUTED_VALUE"""),"")</f>
        <v/>
      </c>
      <c r="E2749" t="str">
        <f>IFERROR(__xludf.DUMMYFUNCTION("""COMPUTED_VALUE"""),"")</f>
        <v/>
      </c>
      <c r="F2749" t="str">
        <f>IFERROR(__xludf.DUMMYFUNCTION("""COMPUTED_VALUE"""),"")</f>
        <v/>
      </c>
      <c r="G2749" t="str">
        <f>IFERROR(__xludf.DUMMYFUNCTION("""COMPUTED_VALUE"""),"")</f>
        <v/>
      </c>
      <c r="H2749" s="2" t="str">
        <f>IFERROR(__xludf.DUMMYFUNCTION("""COMPUTED_VALUE"""),"")</f>
        <v/>
      </c>
      <c r="I2749" s="2" t="str">
        <f>IFERROR(__xludf.DUMMYFUNCTION("""COMPUTED_VALUE"""),"")</f>
        <v/>
      </c>
      <c r="J2749" s="2">
        <f>IFERROR(__xludf.DUMMYFUNCTION("""COMPUTED_VALUE"""),0.0)</f>
        <v>0</v>
      </c>
      <c r="K2749" s="5" t="str">
        <f>IFERROR(__xludf.DUMMYFUNCTION("""COMPUTED_VALUE"""),"")</f>
        <v/>
      </c>
      <c r="L2749" t="str">
        <f>IFERROR(__xludf.DUMMYFUNCTION("""COMPUTED_VALUE"""),"")</f>
        <v/>
      </c>
      <c r="M2749" t="str">
        <f>IFERROR(__xludf.DUMMYFUNCTION("""COMPUTED_VALUE"""),"")</f>
        <v/>
      </c>
      <c r="N2749" t="str">
        <f>IFERROR(__xludf.DUMMYFUNCTION("""COMPUTED_VALUE"""),"")</f>
        <v/>
      </c>
      <c r="O2749" t="str">
        <f>IFERROR(__xludf.DUMMYFUNCTION("""COMPUTED_VALUE"""),"")</f>
        <v/>
      </c>
      <c r="P2749" t="str">
        <f>IFERROR(__xludf.DUMMYFUNCTION("""COMPUTED_VALUE"""),"ID ")</f>
        <v>ID </v>
      </c>
    </row>
    <row r="2750">
      <c r="A2750" s="6" t="str">
        <f>IFERROR(__xludf.DUMMYFUNCTION("""COMPUTED_VALUE"""),"")</f>
        <v/>
      </c>
      <c r="C2750" t="str">
        <f>IFERROR(__xludf.DUMMYFUNCTION("""COMPUTED_VALUE"""),"")</f>
        <v/>
      </c>
      <c r="D2750" t="str">
        <f>IFERROR(__xludf.DUMMYFUNCTION("""COMPUTED_VALUE"""),"")</f>
        <v/>
      </c>
      <c r="E2750" t="str">
        <f>IFERROR(__xludf.DUMMYFUNCTION("""COMPUTED_VALUE"""),"")</f>
        <v/>
      </c>
      <c r="F2750" t="str">
        <f>IFERROR(__xludf.DUMMYFUNCTION("""COMPUTED_VALUE"""),"")</f>
        <v/>
      </c>
      <c r="G2750" t="str">
        <f>IFERROR(__xludf.DUMMYFUNCTION("""COMPUTED_VALUE"""),"")</f>
        <v/>
      </c>
      <c r="H2750" s="2" t="str">
        <f>IFERROR(__xludf.DUMMYFUNCTION("""COMPUTED_VALUE"""),"")</f>
        <v/>
      </c>
      <c r="I2750" s="2" t="str">
        <f>IFERROR(__xludf.DUMMYFUNCTION("""COMPUTED_VALUE"""),"")</f>
        <v/>
      </c>
      <c r="J2750" s="2">
        <f>IFERROR(__xludf.DUMMYFUNCTION("""COMPUTED_VALUE"""),0.0)</f>
        <v>0</v>
      </c>
      <c r="K2750" s="5" t="str">
        <f>IFERROR(__xludf.DUMMYFUNCTION("""COMPUTED_VALUE"""),"")</f>
        <v/>
      </c>
      <c r="L2750" t="str">
        <f>IFERROR(__xludf.DUMMYFUNCTION("""COMPUTED_VALUE"""),"")</f>
        <v/>
      </c>
      <c r="M2750" t="str">
        <f>IFERROR(__xludf.DUMMYFUNCTION("""COMPUTED_VALUE"""),"")</f>
        <v/>
      </c>
      <c r="N2750" t="str">
        <f>IFERROR(__xludf.DUMMYFUNCTION("""COMPUTED_VALUE"""),"")</f>
        <v/>
      </c>
      <c r="O2750" t="str">
        <f>IFERROR(__xludf.DUMMYFUNCTION("""COMPUTED_VALUE"""),"")</f>
        <v/>
      </c>
      <c r="P2750" t="str">
        <f>IFERROR(__xludf.DUMMYFUNCTION("""COMPUTED_VALUE"""),"ID ")</f>
        <v>ID </v>
      </c>
    </row>
    <row r="2751">
      <c r="A2751" s="6" t="str">
        <f>IFERROR(__xludf.DUMMYFUNCTION("""COMPUTED_VALUE"""),"")</f>
        <v/>
      </c>
      <c r="C2751" t="str">
        <f>IFERROR(__xludf.DUMMYFUNCTION("""COMPUTED_VALUE"""),"")</f>
        <v/>
      </c>
      <c r="D2751" t="str">
        <f>IFERROR(__xludf.DUMMYFUNCTION("""COMPUTED_VALUE"""),"")</f>
        <v/>
      </c>
      <c r="E2751" t="str">
        <f>IFERROR(__xludf.DUMMYFUNCTION("""COMPUTED_VALUE"""),"")</f>
        <v/>
      </c>
      <c r="F2751" t="str">
        <f>IFERROR(__xludf.DUMMYFUNCTION("""COMPUTED_VALUE"""),"")</f>
        <v/>
      </c>
      <c r="G2751" t="str">
        <f>IFERROR(__xludf.DUMMYFUNCTION("""COMPUTED_VALUE"""),"")</f>
        <v/>
      </c>
      <c r="H2751" s="2" t="str">
        <f>IFERROR(__xludf.DUMMYFUNCTION("""COMPUTED_VALUE"""),"")</f>
        <v/>
      </c>
      <c r="I2751" s="2" t="str">
        <f>IFERROR(__xludf.DUMMYFUNCTION("""COMPUTED_VALUE"""),"")</f>
        <v/>
      </c>
      <c r="J2751" s="2">
        <f>IFERROR(__xludf.DUMMYFUNCTION("""COMPUTED_VALUE"""),0.0)</f>
        <v>0</v>
      </c>
      <c r="K2751" s="5" t="str">
        <f>IFERROR(__xludf.DUMMYFUNCTION("""COMPUTED_VALUE"""),"")</f>
        <v/>
      </c>
      <c r="L2751" t="str">
        <f>IFERROR(__xludf.DUMMYFUNCTION("""COMPUTED_VALUE"""),"")</f>
        <v/>
      </c>
      <c r="M2751" t="str">
        <f>IFERROR(__xludf.DUMMYFUNCTION("""COMPUTED_VALUE"""),"")</f>
        <v/>
      </c>
      <c r="N2751" t="str">
        <f>IFERROR(__xludf.DUMMYFUNCTION("""COMPUTED_VALUE"""),"")</f>
        <v/>
      </c>
      <c r="O2751" t="str">
        <f>IFERROR(__xludf.DUMMYFUNCTION("""COMPUTED_VALUE"""),"")</f>
        <v/>
      </c>
      <c r="P2751" t="str">
        <f>IFERROR(__xludf.DUMMYFUNCTION("""COMPUTED_VALUE"""),"ID ")</f>
        <v>ID </v>
      </c>
    </row>
    <row r="2752">
      <c r="A2752" s="6" t="str">
        <f>IFERROR(__xludf.DUMMYFUNCTION("""COMPUTED_VALUE"""),"")</f>
        <v/>
      </c>
      <c r="C2752" t="str">
        <f>IFERROR(__xludf.DUMMYFUNCTION("""COMPUTED_VALUE"""),"")</f>
        <v/>
      </c>
      <c r="D2752" t="str">
        <f>IFERROR(__xludf.DUMMYFUNCTION("""COMPUTED_VALUE"""),"")</f>
        <v/>
      </c>
      <c r="E2752" t="str">
        <f>IFERROR(__xludf.DUMMYFUNCTION("""COMPUTED_VALUE"""),"")</f>
        <v/>
      </c>
      <c r="F2752" t="str">
        <f>IFERROR(__xludf.DUMMYFUNCTION("""COMPUTED_VALUE"""),"")</f>
        <v/>
      </c>
      <c r="G2752" t="str">
        <f>IFERROR(__xludf.DUMMYFUNCTION("""COMPUTED_VALUE"""),"")</f>
        <v/>
      </c>
      <c r="H2752" s="2" t="str">
        <f>IFERROR(__xludf.DUMMYFUNCTION("""COMPUTED_VALUE"""),"")</f>
        <v/>
      </c>
      <c r="I2752" s="2" t="str">
        <f>IFERROR(__xludf.DUMMYFUNCTION("""COMPUTED_VALUE"""),"")</f>
        <v/>
      </c>
      <c r="J2752" s="2">
        <f>IFERROR(__xludf.DUMMYFUNCTION("""COMPUTED_VALUE"""),0.0)</f>
        <v>0</v>
      </c>
      <c r="K2752" s="5" t="str">
        <f>IFERROR(__xludf.DUMMYFUNCTION("""COMPUTED_VALUE"""),"")</f>
        <v/>
      </c>
      <c r="L2752" t="str">
        <f>IFERROR(__xludf.DUMMYFUNCTION("""COMPUTED_VALUE"""),"")</f>
        <v/>
      </c>
      <c r="M2752" t="str">
        <f>IFERROR(__xludf.DUMMYFUNCTION("""COMPUTED_VALUE"""),"")</f>
        <v/>
      </c>
      <c r="N2752" t="str">
        <f>IFERROR(__xludf.DUMMYFUNCTION("""COMPUTED_VALUE"""),"")</f>
        <v/>
      </c>
      <c r="O2752" t="str">
        <f>IFERROR(__xludf.DUMMYFUNCTION("""COMPUTED_VALUE"""),"")</f>
        <v/>
      </c>
      <c r="P2752" t="str">
        <f>IFERROR(__xludf.DUMMYFUNCTION("""COMPUTED_VALUE"""),"ID ")</f>
        <v>ID </v>
      </c>
    </row>
    <row r="2753">
      <c r="A2753" s="6" t="str">
        <f>IFERROR(__xludf.DUMMYFUNCTION("""COMPUTED_VALUE"""),"")</f>
        <v/>
      </c>
      <c r="C2753" t="str">
        <f>IFERROR(__xludf.DUMMYFUNCTION("""COMPUTED_VALUE"""),"")</f>
        <v/>
      </c>
      <c r="D2753" t="str">
        <f>IFERROR(__xludf.DUMMYFUNCTION("""COMPUTED_VALUE"""),"")</f>
        <v/>
      </c>
      <c r="E2753" t="str">
        <f>IFERROR(__xludf.DUMMYFUNCTION("""COMPUTED_VALUE"""),"")</f>
        <v/>
      </c>
      <c r="F2753" t="str">
        <f>IFERROR(__xludf.DUMMYFUNCTION("""COMPUTED_VALUE"""),"")</f>
        <v/>
      </c>
      <c r="G2753" t="str">
        <f>IFERROR(__xludf.DUMMYFUNCTION("""COMPUTED_VALUE"""),"")</f>
        <v/>
      </c>
      <c r="H2753" s="2" t="str">
        <f>IFERROR(__xludf.DUMMYFUNCTION("""COMPUTED_VALUE"""),"")</f>
        <v/>
      </c>
      <c r="I2753" s="2" t="str">
        <f>IFERROR(__xludf.DUMMYFUNCTION("""COMPUTED_VALUE"""),"")</f>
        <v/>
      </c>
      <c r="J2753" s="2">
        <f>IFERROR(__xludf.DUMMYFUNCTION("""COMPUTED_VALUE"""),0.0)</f>
        <v>0</v>
      </c>
      <c r="K2753" s="5" t="str">
        <f>IFERROR(__xludf.DUMMYFUNCTION("""COMPUTED_VALUE"""),"")</f>
        <v/>
      </c>
      <c r="L2753" t="str">
        <f>IFERROR(__xludf.DUMMYFUNCTION("""COMPUTED_VALUE"""),"")</f>
        <v/>
      </c>
      <c r="M2753" t="str">
        <f>IFERROR(__xludf.DUMMYFUNCTION("""COMPUTED_VALUE"""),"")</f>
        <v/>
      </c>
      <c r="N2753" t="str">
        <f>IFERROR(__xludf.DUMMYFUNCTION("""COMPUTED_VALUE"""),"")</f>
        <v/>
      </c>
      <c r="O2753" t="str">
        <f>IFERROR(__xludf.DUMMYFUNCTION("""COMPUTED_VALUE"""),"")</f>
        <v/>
      </c>
      <c r="P2753" t="str">
        <f>IFERROR(__xludf.DUMMYFUNCTION("""COMPUTED_VALUE"""),"ID ")</f>
        <v>ID </v>
      </c>
    </row>
    <row r="2754">
      <c r="A2754" s="6" t="str">
        <f>IFERROR(__xludf.DUMMYFUNCTION("""COMPUTED_VALUE"""),"")</f>
        <v/>
      </c>
      <c r="C2754" t="str">
        <f>IFERROR(__xludf.DUMMYFUNCTION("""COMPUTED_VALUE"""),"")</f>
        <v/>
      </c>
      <c r="D2754" t="str">
        <f>IFERROR(__xludf.DUMMYFUNCTION("""COMPUTED_VALUE"""),"")</f>
        <v/>
      </c>
      <c r="E2754" t="str">
        <f>IFERROR(__xludf.DUMMYFUNCTION("""COMPUTED_VALUE"""),"")</f>
        <v/>
      </c>
      <c r="F2754" t="str">
        <f>IFERROR(__xludf.DUMMYFUNCTION("""COMPUTED_VALUE"""),"")</f>
        <v/>
      </c>
      <c r="G2754" t="str">
        <f>IFERROR(__xludf.DUMMYFUNCTION("""COMPUTED_VALUE"""),"")</f>
        <v/>
      </c>
      <c r="H2754" s="2" t="str">
        <f>IFERROR(__xludf.DUMMYFUNCTION("""COMPUTED_VALUE"""),"")</f>
        <v/>
      </c>
      <c r="I2754" s="2" t="str">
        <f>IFERROR(__xludf.DUMMYFUNCTION("""COMPUTED_VALUE"""),"")</f>
        <v/>
      </c>
      <c r="J2754" s="2">
        <f>IFERROR(__xludf.DUMMYFUNCTION("""COMPUTED_VALUE"""),0.0)</f>
        <v>0</v>
      </c>
      <c r="K2754" s="5" t="str">
        <f>IFERROR(__xludf.DUMMYFUNCTION("""COMPUTED_VALUE"""),"")</f>
        <v/>
      </c>
      <c r="L2754" t="str">
        <f>IFERROR(__xludf.DUMMYFUNCTION("""COMPUTED_VALUE"""),"")</f>
        <v/>
      </c>
      <c r="M2754" t="str">
        <f>IFERROR(__xludf.DUMMYFUNCTION("""COMPUTED_VALUE"""),"")</f>
        <v/>
      </c>
      <c r="N2754" t="str">
        <f>IFERROR(__xludf.DUMMYFUNCTION("""COMPUTED_VALUE"""),"")</f>
        <v/>
      </c>
      <c r="O2754" t="str">
        <f>IFERROR(__xludf.DUMMYFUNCTION("""COMPUTED_VALUE"""),"")</f>
        <v/>
      </c>
      <c r="P2754" t="str">
        <f>IFERROR(__xludf.DUMMYFUNCTION("""COMPUTED_VALUE"""),"ID ")</f>
        <v>ID </v>
      </c>
    </row>
    <row r="2755">
      <c r="A2755" s="6" t="str">
        <f>IFERROR(__xludf.DUMMYFUNCTION("""COMPUTED_VALUE"""),"")</f>
        <v/>
      </c>
      <c r="C2755" t="str">
        <f>IFERROR(__xludf.DUMMYFUNCTION("""COMPUTED_VALUE"""),"")</f>
        <v/>
      </c>
      <c r="D2755" t="str">
        <f>IFERROR(__xludf.DUMMYFUNCTION("""COMPUTED_VALUE"""),"")</f>
        <v/>
      </c>
      <c r="E2755" t="str">
        <f>IFERROR(__xludf.DUMMYFUNCTION("""COMPUTED_VALUE"""),"")</f>
        <v/>
      </c>
      <c r="F2755" t="str">
        <f>IFERROR(__xludf.DUMMYFUNCTION("""COMPUTED_VALUE"""),"")</f>
        <v/>
      </c>
      <c r="G2755" t="str">
        <f>IFERROR(__xludf.DUMMYFUNCTION("""COMPUTED_VALUE"""),"")</f>
        <v/>
      </c>
      <c r="H2755" s="2" t="str">
        <f>IFERROR(__xludf.DUMMYFUNCTION("""COMPUTED_VALUE"""),"")</f>
        <v/>
      </c>
      <c r="I2755" s="2" t="str">
        <f>IFERROR(__xludf.DUMMYFUNCTION("""COMPUTED_VALUE"""),"")</f>
        <v/>
      </c>
      <c r="J2755" s="2">
        <f>IFERROR(__xludf.DUMMYFUNCTION("""COMPUTED_VALUE"""),0.0)</f>
        <v>0</v>
      </c>
      <c r="K2755" s="5" t="str">
        <f>IFERROR(__xludf.DUMMYFUNCTION("""COMPUTED_VALUE"""),"")</f>
        <v/>
      </c>
      <c r="L2755" t="str">
        <f>IFERROR(__xludf.DUMMYFUNCTION("""COMPUTED_VALUE"""),"")</f>
        <v/>
      </c>
      <c r="M2755" t="str">
        <f>IFERROR(__xludf.DUMMYFUNCTION("""COMPUTED_VALUE"""),"")</f>
        <v/>
      </c>
      <c r="N2755" t="str">
        <f>IFERROR(__xludf.DUMMYFUNCTION("""COMPUTED_VALUE"""),"")</f>
        <v/>
      </c>
      <c r="O2755" t="str">
        <f>IFERROR(__xludf.DUMMYFUNCTION("""COMPUTED_VALUE"""),"")</f>
        <v/>
      </c>
      <c r="P2755" t="str">
        <f>IFERROR(__xludf.DUMMYFUNCTION("""COMPUTED_VALUE"""),"ID ")</f>
        <v>ID </v>
      </c>
    </row>
    <row r="2756">
      <c r="A2756" s="6" t="str">
        <f>IFERROR(__xludf.DUMMYFUNCTION("""COMPUTED_VALUE"""),"")</f>
        <v/>
      </c>
      <c r="C2756" t="str">
        <f>IFERROR(__xludf.DUMMYFUNCTION("""COMPUTED_VALUE"""),"")</f>
        <v/>
      </c>
      <c r="D2756" t="str">
        <f>IFERROR(__xludf.DUMMYFUNCTION("""COMPUTED_VALUE"""),"")</f>
        <v/>
      </c>
      <c r="E2756" t="str">
        <f>IFERROR(__xludf.DUMMYFUNCTION("""COMPUTED_VALUE"""),"")</f>
        <v/>
      </c>
      <c r="F2756" t="str">
        <f>IFERROR(__xludf.DUMMYFUNCTION("""COMPUTED_VALUE"""),"")</f>
        <v/>
      </c>
      <c r="G2756" t="str">
        <f>IFERROR(__xludf.DUMMYFUNCTION("""COMPUTED_VALUE"""),"")</f>
        <v/>
      </c>
      <c r="H2756" s="2" t="str">
        <f>IFERROR(__xludf.DUMMYFUNCTION("""COMPUTED_VALUE"""),"")</f>
        <v/>
      </c>
      <c r="I2756" s="2" t="str">
        <f>IFERROR(__xludf.DUMMYFUNCTION("""COMPUTED_VALUE"""),"")</f>
        <v/>
      </c>
      <c r="J2756" s="2">
        <f>IFERROR(__xludf.DUMMYFUNCTION("""COMPUTED_VALUE"""),0.0)</f>
        <v>0</v>
      </c>
      <c r="K2756" s="5" t="str">
        <f>IFERROR(__xludf.DUMMYFUNCTION("""COMPUTED_VALUE"""),"")</f>
        <v/>
      </c>
      <c r="L2756" t="str">
        <f>IFERROR(__xludf.DUMMYFUNCTION("""COMPUTED_VALUE"""),"")</f>
        <v/>
      </c>
      <c r="M2756" t="str">
        <f>IFERROR(__xludf.DUMMYFUNCTION("""COMPUTED_VALUE"""),"")</f>
        <v/>
      </c>
      <c r="N2756" t="str">
        <f>IFERROR(__xludf.DUMMYFUNCTION("""COMPUTED_VALUE"""),"")</f>
        <v/>
      </c>
      <c r="O2756" t="str">
        <f>IFERROR(__xludf.DUMMYFUNCTION("""COMPUTED_VALUE"""),"")</f>
        <v/>
      </c>
      <c r="P2756" t="str">
        <f>IFERROR(__xludf.DUMMYFUNCTION("""COMPUTED_VALUE"""),"ID ")</f>
        <v>ID </v>
      </c>
    </row>
    <row r="2757">
      <c r="A2757" s="6" t="str">
        <f>IFERROR(__xludf.DUMMYFUNCTION("""COMPUTED_VALUE"""),"")</f>
        <v/>
      </c>
      <c r="C2757" t="str">
        <f>IFERROR(__xludf.DUMMYFUNCTION("""COMPUTED_VALUE"""),"")</f>
        <v/>
      </c>
      <c r="D2757" t="str">
        <f>IFERROR(__xludf.DUMMYFUNCTION("""COMPUTED_VALUE"""),"")</f>
        <v/>
      </c>
      <c r="E2757" t="str">
        <f>IFERROR(__xludf.DUMMYFUNCTION("""COMPUTED_VALUE"""),"")</f>
        <v/>
      </c>
      <c r="F2757" t="str">
        <f>IFERROR(__xludf.DUMMYFUNCTION("""COMPUTED_VALUE"""),"")</f>
        <v/>
      </c>
      <c r="G2757" t="str">
        <f>IFERROR(__xludf.DUMMYFUNCTION("""COMPUTED_VALUE"""),"")</f>
        <v/>
      </c>
      <c r="H2757" s="2" t="str">
        <f>IFERROR(__xludf.DUMMYFUNCTION("""COMPUTED_VALUE"""),"")</f>
        <v/>
      </c>
      <c r="I2757" s="2" t="str">
        <f>IFERROR(__xludf.DUMMYFUNCTION("""COMPUTED_VALUE"""),"")</f>
        <v/>
      </c>
      <c r="J2757" s="2">
        <f>IFERROR(__xludf.DUMMYFUNCTION("""COMPUTED_VALUE"""),0.0)</f>
        <v>0</v>
      </c>
      <c r="K2757" s="5" t="str">
        <f>IFERROR(__xludf.DUMMYFUNCTION("""COMPUTED_VALUE"""),"")</f>
        <v/>
      </c>
      <c r="L2757" t="str">
        <f>IFERROR(__xludf.DUMMYFUNCTION("""COMPUTED_VALUE"""),"")</f>
        <v/>
      </c>
      <c r="M2757" t="str">
        <f>IFERROR(__xludf.DUMMYFUNCTION("""COMPUTED_VALUE"""),"")</f>
        <v/>
      </c>
      <c r="N2757" t="str">
        <f>IFERROR(__xludf.DUMMYFUNCTION("""COMPUTED_VALUE"""),"")</f>
        <v/>
      </c>
      <c r="O2757" t="str">
        <f>IFERROR(__xludf.DUMMYFUNCTION("""COMPUTED_VALUE"""),"")</f>
        <v/>
      </c>
      <c r="P2757" t="str">
        <f>IFERROR(__xludf.DUMMYFUNCTION("""COMPUTED_VALUE"""),"ID ")</f>
        <v>ID </v>
      </c>
    </row>
    <row r="2758">
      <c r="A2758" s="6" t="str">
        <f>IFERROR(__xludf.DUMMYFUNCTION("""COMPUTED_VALUE"""),"")</f>
        <v/>
      </c>
      <c r="C2758" t="str">
        <f>IFERROR(__xludf.DUMMYFUNCTION("""COMPUTED_VALUE"""),"")</f>
        <v/>
      </c>
      <c r="D2758" t="str">
        <f>IFERROR(__xludf.DUMMYFUNCTION("""COMPUTED_VALUE"""),"")</f>
        <v/>
      </c>
      <c r="E2758" t="str">
        <f>IFERROR(__xludf.DUMMYFUNCTION("""COMPUTED_VALUE"""),"")</f>
        <v/>
      </c>
      <c r="F2758" t="str">
        <f>IFERROR(__xludf.DUMMYFUNCTION("""COMPUTED_VALUE"""),"")</f>
        <v/>
      </c>
      <c r="G2758" t="str">
        <f>IFERROR(__xludf.DUMMYFUNCTION("""COMPUTED_VALUE"""),"")</f>
        <v/>
      </c>
      <c r="H2758" s="2" t="str">
        <f>IFERROR(__xludf.DUMMYFUNCTION("""COMPUTED_VALUE"""),"")</f>
        <v/>
      </c>
      <c r="I2758" s="2" t="str">
        <f>IFERROR(__xludf.DUMMYFUNCTION("""COMPUTED_VALUE"""),"")</f>
        <v/>
      </c>
      <c r="J2758" s="2">
        <f>IFERROR(__xludf.DUMMYFUNCTION("""COMPUTED_VALUE"""),0.0)</f>
        <v>0</v>
      </c>
      <c r="K2758" s="5" t="str">
        <f>IFERROR(__xludf.DUMMYFUNCTION("""COMPUTED_VALUE"""),"")</f>
        <v/>
      </c>
      <c r="L2758" t="str">
        <f>IFERROR(__xludf.DUMMYFUNCTION("""COMPUTED_VALUE"""),"")</f>
        <v/>
      </c>
      <c r="M2758" t="str">
        <f>IFERROR(__xludf.DUMMYFUNCTION("""COMPUTED_VALUE"""),"")</f>
        <v/>
      </c>
      <c r="N2758" t="str">
        <f>IFERROR(__xludf.DUMMYFUNCTION("""COMPUTED_VALUE"""),"")</f>
        <v/>
      </c>
      <c r="O2758" t="str">
        <f>IFERROR(__xludf.DUMMYFUNCTION("""COMPUTED_VALUE"""),"")</f>
        <v/>
      </c>
      <c r="P2758" t="str">
        <f>IFERROR(__xludf.DUMMYFUNCTION("""COMPUTED_VALUE"""),"ID ")</f>
        <v>ID </v>
      </c>
    </row>
    <row r="2759">
      <c r="A2759" s="6" t="str">
        <f>IFERROR(__xludf.DUMMYFUNCTION("""COMPUTED_VALUE"""),"")</f>
        <v/>
      </c>
      <c r="C2759" t="str">
        <f>IFERROR(__xludf.DUMMYFUNCTION("""COMPUTED_VALUE"""),"")</f>
        <v/>
      </c>
      <c r="D2759" t="str">
        <f>IFERROR(__xludf.DUMMYFUNCTION("""COMPUTED_VALUE"""),"")</f>
        <v/>
      </c>
      <c r="E2759" t="str">
        <f>IFERROR(__xludf.DUMMYFUNCTION("""COMPUTED_VALUE"""),"")</f>
        <v/>
      </c>
      <c r="F2759" t="str">
        <f>IFERROR(__xludf.DUMMYFUNCTION("""COMPUTED_VALUE"""),"")</f>
        <v/>
      </c>
      <c r="G2759" t="str">
        <f>IFERROR(__xludf.DUMMYFUNCTION("""COMPUTED_VALUE"""),"")</f>
        <v/>
      </c>
      <c r="H2759" s="2" t="str">
        <f>IFERROR(__xludf.DUMMYFUNCTION("""COMPUTED_VALUE"""),"")</f>
        <v/>
      </c>
      <c r="I2759" s="2" t="str">
        <f>IFERROR(__xludf.DUMMYFUNCTION("""COMPUTED_VALUE"""),"")</f>
        <v/>
      </c>
      <c r="J2759" s="2">
        <f>IFERROR(__xludf.DUMMYFUNCTION("""COMPUTED_VALUE"""),0.0)</f>
        <v>0</v>
      </c>
      <c r="K2759" s="5" t="str">
        <f>IFERROR(__xludf.DUMMYFUNCTION("""COMPUTED_VALUE"""),"")</f>
        <v/>
      </c>
      <c r="L2759" t="str">
        <f>IFERROR(__xludf.DUMMYFUNCTION("""COMPUTED_VALUE"""),"")</f>
        <v/>
      </c>
      <c r="M2759" t="str">
        <f>IFERROR(__xludf.DUMMYFUNCTION("""COMPUTED_VALUE"""),"")</f>
        <v/>
      </c>
      <c r="N2759" t="str">
        <f>IFERROR(__xludf.DUMMYFUNCTION("""COMPUTED_VALUE"""),"")</f>
        <v/>
      </c>
      <c r="O2759" t="str">
        <f>IFERROR(__xludf.DUMMYFUNCTION("""COMPUTED_VALUE"""),"")</f>
        <v/>
      </c>
      <c r="P2759" t="str">
        <f>IFERROR(__xludf.DUMMYFUNCTION("""COMPUTED_VALUE"""),"ID ")</f>
        <v>ID </v>
      </c>
    </row>
    <row r="2760">
      <c r="A2760" s="6" t="str">
        <f>IFERROR(__xludf.DUMMYFUNCTION("""COMPUTED_VALUE"""),"")</f>
        <v/>
      </c>
      <c r="C2760" t="str">
        <f>IFERROR(__xludf.DUMMYFUNCTION("""COMPUTED_VALUE"""),"")</f>
        <v/>
      </c>
      <c r="D2760" t="str">
        <f>IFERROR(__xludf.DUMMYFUNCTION("""COMPUTED_VALUE"""),"")</f>
        <v/>
      </c>
      <c r="E2760" t="str">
        <f>IFERROR(__xludf.DUMMYFUNCTION("""COMPUTED_VALUE"""),"")</f>
        <v/>
      </c>
      <c r="F2760" t="str">
        <f>IFERROR(__xludf.DUMMYFUNCTION("""COMPUTED_VALUE"""),"")</f>
        <v/>
      </c>
      <c r="G2760" t="str">
        <f>IFERROR(__xludf.DUMMYFUNCTION("""COMPUTED_VALUE"""),"")</f>
        <v/>
      </c>
      <c r="H2760" s="2" t="str">
        <f>IFERROR(__xludf.DUMMYFUNCTION("""COMPUTED_VALUE"""),"")</f>
        <v/>
      </c>
      <c r="I2760" s="2" t="str">
        <f>IFERROR(__xludf.DUMMYFUNCTION("""COMPUTED_VALUE"""),"")</f>
        <v/>
      </c>
      <c r="J2760" s="2">
        <f>IFERROR(__xludf.DUMMYFUNCTION("""COMPUTED_VALUE"""),0.0)</f>
        <v>0</v>
      </c>
      <c r="K2760" s="5" t="str">
        <f>IFERROR(__xludf.DUMMYFUNCTION("""COMPUTED_VALUE"""),"")</f>
        <v/>
      </c>
      <c r="L2760" t="str">
        <f>IFERROR(__xludf.DUMMYFUNCTION("""COMPUTED_VALUE"""),"")</f>
        <v/>
      </c>
      <c r="M2760" t="str">
        <f>IFERROR(__xludf.DUMMYFUNCTION("""COMPUTED_VALUE"""),"")</f>
        <v/>
      </c>
      <c r="N2760" t="str">
        <f>IFERROR(__xludf.DUMMYFUNCTION("""COMPUTED_VALUE"""),"")</f>
        <v/>
      </c>
      <c r="O2760" t="str">
        <f>IFERROR(__xludf.DUMMYFUNCTION("""COMPUTED_VALUE"""),"")</f>
        <v/>
      </c>
      <c r="P2760" t="str">
        <f>IFERROR(__xludf.DUMMYFUNCTION("""COMPUTED_VALUE"""),"ID ")</f>
        <v>ID </v>
      </c>
    </row>
    <row r="2761">
      <c r="A2761" s="6" t="str">
        <f>IFERROR(__xludf.DUMMYFUNCTION("""COMPUTED_VALUE"""),"")</f>
        <v/>
      </c>
      <c r="C2761" t="str">
        <f>IFERROR(__xludf.DUMMYFUNCTION("""COMPUTED_VALUE"""),"")</f>
        <v/>
      </c>
      <c r="D2761" t="str">
        <f>IFERROR(__xludf.DUMMYFUNCTION("""COMPUTED_VALUE"""),"")</f>
        <v/>
      </c>
      <c r="E2761" t="str">
        <f>IFERROR(__xludf.DUMMYFUNCTION("""COMPUTED_VALUE"""),"")</f>
        <v/>
      </c>
      <c r="F2761" t="str">
        <f>IFERROR(__xludf.DUMMYFUNCTION("""COMPUTED_VALUE"""),"")</f>
        <v/>
      </c>
      <c r="G2761" t="str">
        <f>IFERROR(__xludf.DUMMYFUNCTION("""COMPUTED_VALUE"""),"")</f>
        <v/>
      </c>
      <c r="H2761" s="2" t="str">
        <f>IFERROR(__xludf.DUMMYFUNCTION("""COMPUTED_VALUE"""),"")</f>
        <v/>
      </c>
      <c r="I2761" s="2" t="str">
        <f>IFERROR(__xludf.DUMMYFUNCTION("""COMPUTED_VALUE"""),"")</f>
        <v/>
      </c>
      <c r="J2761" s="2">
        <f>IFERROR(__xludf.DUMMYFUNCTION("""COMPUTED_VALUE"""),0.0)</f>
        <v>0</v>
      </c>
      <c r="K2761" s="5" t="str">
        <f>IFERROR(__xludf.DUMMYFUNCTION("""COMPUTED_VALUE"""),"")</f>
        <v/>
      </c>
      <c r="L2761" t="str">
        <f>IFERROR(__xludf.DUMMYFUNCTION("""COMPUTED_VALUE"""),"")</f>
        <v/>
      </c>
      <c r="M2761" t="str">
        <f>IFERROR(__xludf.DUMMYFUNCTION("""COMPUTED_VALUE"""),"")</f>
        <v/>
      </c>
      <c r="N2761" t="str">
        <f>IFERROR(__xludf.DUMMYFUNCTION("""COMPUTED_VALUE"""),"")</f>
        <v/>
      </c>
      <c r="O2761" t="str">
        <f>IFERROR(__xludf.DUMMYFUNCTION("""COMPUTED_VALUE"""),"")</f>
        <v/>
      </c>
      <c r="P2761" t="str">
        <f>IFERROR(__xludf.DUMMYFUNCTION("""COMPUTED_VALUE"""),"ID ")</f>
        <v>ID </v>
      </c>
    </row>
    <row r="2762">
      <c r="A2762" s="6" t="str">
        <f>IFERROR(__xludf.DUMMYFUNCTION("""COMPUTED_VALUE"""),"")</f>
        <v/>
      </c>
      <c r="C2762" t="str">
        <f>IFERROR(__xludf.DUMMYFUNCTION("""COMPUTED_VALUE"""),"")</f>
        <v/>
      </c>
      <c r="D2762" t="str">
        <f>IFERROR(__xludf.DUMMYFUNCTION("""COMPUTED_VALUE"""),"")</f>
        <v/>
      </c>
      <c r="E2762" t="str">
        <f>IFERROR(__xludf.DUMMYFUNCTION("""COMPUTED_VALUE"""),"")</f>
        <v/>
      </c>
      <c r="F2762" t="str">
        <f>IFERROR(__xludf.DUMMYFUNCTION("""COMPUTED_VALUE"""),"")</f>
        <v/>
      </c>
      <c r="G2762" t="str">
        <f>IFERROR(__xludf.DUMMYFUNCTION("""COMPUTED_VALUE"""),"")</f>
        <v/>
      </c>
      <c r="H2762" s="2" t="str">
        <f>IFERROR(__xludf.DUMMYFUNCTION("""COMPUTED_VALUE"""),"")</f>
        <v/>
      </c>
      <c r="I2762" s="2" t="str">
        <f>IFERROR(__xludf.DUMMYFUNCTION("""COMPUTED_VALUE"""),"")</f>
        <v/>
      </c>
      <c r="J2762" s="2">
        <f>IFERROR(__xludf.DUMMYFUNCTION("""COMPUTED_VALUE"""),0.0)</f>
        <v>0</v>
      </c>
      <c r="K2762" s="5" t="str">
        <f>IFERROR(__xludf.DUMMYFUNCTION("""COMPUTED_VALUE"""),"")</f>
        <v/>
      </c>
      <c r="L2762" t="str">
        <f>IFERROR(__xludf.DUMMYFUNCTION("""COMPUTED_VALUE"""),"")</f>
        <v/>
      </c>
      <c r="M2762" t="str">
        <f>IFERROR(__xludf.DUMMYFUNCTION("""COMPUTED_VALUE"""),"")</f>
        <v/>
      </c>
      <c r="N2762" t="str">
        <f>IFERROR(__xludf.DUMMYFUNCTION("""COMPUTED_VALUE"""),"")</f>
        <v/>
      </c>
      <c r="O2762" t="str">
        <f>IFERROR(__xludf.DUMMYFUNCTION("""COMPUTED_VALUE"""),"")</f>
        <v/>
      </c>
      <c r="P2762" t="str">
        <f>IFERROR(__xludf.DUMMYFUNCTION("""COMPUTED_VALUE"""),"ID ")</f>
        <v>ID </v>
      </c>
    </row>
    <row r="2763">
      <c r="A2763" s="6" t="str">
        <f>IFERROR(__xludf.DUMMYFUNCTION("""COMPUTED_VALUE"""),"")</f>
        <v/>
      </c>
      <c r="C2763" t="str">
        <f>IFERROR(__xludf.DUMMYFUNCTION("""COMPUTED_VALUE"""),"")</f>
        <v/>
      </c>
      <c r="D2763" t="str">
        <f>IFERROR(__xludf.DUMMYFUNCTION("""COMPUTED_VALUE"""),"")</f>
        <v/>
      </c>
      <c r="E2763" t="str">
        <f>IFERROR(__xludf.DUMMYFUNCTION("""COMPUTED_VALUE"""),"")</f>
        <v/>
      </c>
      <c r="F2763" t="str">
        <f>IFERROR(__xludf.DUMMYFUNCTION("""COMPUTED_VALUE"""),"")</f>
        <v/>
      </c>
      <c r="G2763" t="str">
        <f>IFERROR(__xludf.DUMMYFUNCTION("""COMPUTED_VALUE"""),"")</f>
        <v/>
      </c>
      <c r="H2763" s="2" t="str">
        <f>IFERROR(__xludf.DUMMYFUNCTION("""COMPUTED_VALUE"""),"")</f>
        <v/>
      </c>
      <c r="I2763" s="2" t="str">
        <f>IFERROR(__xludf.DUMMYFUNCTION("""COMPUTED_VALUE"""),"")</f>
        <v/>
      </c>
      <c r="J2763" s="2">
        <f>IFERROR(__xludf.DUMMYFUNCTION("""COMPUTED_VALUE"""),0.0)</f>
        <v>0</v>
      </c>
      <c r="K2763" s="5" t="str">
        <f>IFERROR(__xludf.DUMMYFUNCTION("""COMPUTED_VALUE"""),"")</f>
        <v/>
      </c>
      <c r="L2763" t="str">
        <f>IFERROR(__xludf.DUMMYFUNCTION("""COMPUTED_VALUE"""),"")</f>
        <v/>
      </c>
      <c r="M2763" t="str">
        <f>IFERROR(__xludf.DUMMYFUNCTION("""COMPUTED_VALUE"""),"")</f>
        <v/>
      </c>
      <c r="N2763" t="str">
        <f>IFERROR(__xludf.DUMMYFUNCTION("""COMPUTED_VALUE"""),"")</f>
        <v/>
      </c>
      <c r="O2763" t="str">
        <f>IFERROR(__xludf.DUMMYFUNCTION("""COMPUTED_VALUE"""),"")</f>
        <v/>
      </c>
      <c r="P2763" t="str">
        <f>IFERROR(__xludf.DUMMYFUNCTION("""COMPUTED_VALUE"""),"ID ")</f>
        <v>ID </v>
      </c>
    </row>
    <row r="2764">
      <c r="A2764" s="6" t="str">
        <f>IFERROR(__xludf.DUMMYFUNCTION("""COMPUTED_VALUE"""),"")</f>
        <v/>
      </c>
      <c r="C2764" t="str">
        <f>IFERROR(__xludf.DUMMYFUNCTION("""COMPUTED_VALUE"""),"")</f>
        <v/>
      </c>
      <c r="D2764" t="str">
        <f>IFERROR(__xludf.DUMMYFUNCTION("""COMPUTED_VALUE"""),"")</f>
        <v/>
      </c>
      <c r="E2764" t="str">
        <f>IFERROR(__xludf.DUMMYFUNCTION("""COMPUTED_VALUE"""),"")</f>
        <v/>
      </c>
      <c r="F2764" t="str">
        <f>IFERROR(__xludf.DUMMYFUNCTION("""COMPUTED_VALUE"""),"")</f>
        <v/>
      </c>
      <c r="G2764" t="str">
        <f>IFERROR(__xludf.DUMMYFUNCTION("""COMPUTED_VALUE"""),"")</f>
        <v/>
      </c>
      <c r="H2764" s="2" t="str">
        <f>IFERROR(__xludf.DUMMYFUNCTION("""COMPUTED_VALUE"""),"")</f>
        <v/>
      </c>
      <c r="I2764" s="2" t="str">
        <f>IFERROR(__xludf.DUMMYFUNCTION("""COMPUTED_VALUE"""),"")</f>
        <v/>
      </c>
      <c r="J2764" s="2">
        <f>IFERROR(__xludf.DUMMYFUNCTION("""COMPUTED_VALUE"""),0.0)</f>
        <v>0</v>
      </c>
      <c r="K2764" s="5" t="str">
        <f>IFERROR(__xludf.DUMMYFUNCTION("""COMPUTED_VALUE"""),"")</f>
        <v/>
      </c>
      <c r="L2764" t="str">
        <f>IFERROR(__xludf.DUMMYFUNCTION("""COMPUTED_VALUE"""),"")</f>
        <v/>
      </c>
      <c r="M2764" t="str">
        <f>IFERROR(__xludf.DUMMYFUNCTION("""COMPUTED_VALUE"""),"")</f>
        <v/>
      </c>
      <c r="N2764" t="str">
        <f>IFERROR(__xludf.DUMMYFUNCTION("""COMPUTED_VALUE"""),"")</f>
        <v/>
      </c>
      <c r="O2764" t="str">
        <f>IFERROR(__xludf.DUMMYFUNCTION("""COMPUTED_VALUE"""),"")</f>
        <v/>
      </c>
      <c r="P2764" t="str">
        <f>IFERROR(__xludf.DUMMYFUNCTION("""COMPUTED_VALUE"""),"ID ")</f>
        <v>ID </v>
      </c>
    </row>
    <row r="2765">
      <c r="A2765" s="6" t="str">
        <f>IFERROR(__xludf.DUMMYFUNCTION("""COMPUTED_VALUE"""),"")</f>
        <v/>
      </c>
      <c r="C2765" t="str">
        <f>IFERROR(__xludf.DUMMYFUNCTION("""COMPUTED_VALUE"""),"")</f>
        <v/>
      </c>
      <c r="D2765" t="str">
        <f>IFERROR(__xludf.DUMMYFUNCTION("""COMPUTED_VALUE"""),"")</f>
        <v/>
      </c>
      <c r="E2765" t="str">
        <f>IFERROR(__xludf.DUMMYFUNCTION("""COMPUTED_VALUE"""),"")</f>
        <v/>
      </c>
      <c r="F2765" t="str">
        <f>IFERROR(__xludf.DUMMYFUNCTION("""COMPUTED_VALUE"""),"")</f>
        <v/>
      </c>
      <c r="G2765" t="str">
        <f>IFERROR(__xludf.DUMMYFUNCTION("""COMPUTED_VALUE"""),"")</f>
        <v/>
      </c>
      <c r="H2765" s="2" t="str">
        <f>IFERROR(__xludf.DUMMYFUNCTION("""COMPUTED_VALUE"""),"")</f>
        <v/>
      </c>
      <c r="I2765" s="2" t="str">
        <f>IFERROR(__xludf.DUMMYFUNCTION("""COMPUTED_VALUE"""),"")</f>
        <v/>
      </c>
      <c r="J2765" s="2">
        <f>IFERROR(__xludf.DUMMYFUNCTION("""COMPUTED_VALUE"""),0.0)</f>
        <v>0</v>
      </c>
      <c r="K2765" s="5" t="str">
        <f>IFERROR(__xludf.DUMMYFUNCTION("""COMPUTED_VALUE"""),"")</f>
        <v/>
      </c>
      <c r="L2765" t="str">
        <f>IFERROR(__xludf.DUMMYFUNCTION("""COMPUTED_VALUE"""),"")</f>
        <v/>
      </c>
      <c r="M2765" t="str">
        <f>IFERROR(__xludf.DUMMYFUNCTION("""COMPUTED_VALUE"""),"")</f>
        <v/>
      </c>
      <c r="N2765" t="str">
        <f>IFERROR(__xludf.DUMMYFUNCTION("""COMPUTED_VALUE"""),"")</f>
        <v/>
      </c>
      <c r="O2765" t="str">
        <f>IFERROR(__xludf.DUMMYFUNCTION("""COMPUTED_VALUE"""),"")</f>
        <v/>
      </c>
      <c r="P2765" t="str">
        <f>IFERROR(__xludf.DUMMYFUNCTION("""COMPUTED_VALUE"""),"ID ")</f>
        <v>ID </v>
      </c>
    </row>
    <row r="2766">
      <c r="A2766" s="6" t="str">
        <f>IFERROR(__xludf.DUMMYFUNCTION("""COMPUTED_VALUE"""),"")</f>
        <v/>
      </c>
      <c r="C2766" t="str">
        <f>IFERROR(__xludf.DUMMYFUNCTION("""COMPUTED_VALUE"""),"")</f>
        <v/>
      </c>
      <c r="D2766" t="str">
        <f>IFERROR(__xludf.DUMMYFUNCTION("""COMPUTED_VALUE"""),"")</f>
        <v/>
      </c>
      <c r="E2766" t="str">
        <f>IFERROR(__xludf.DUMMYFUNCTION("""COMPUTED_VALUE"""),"")</f>
        <v/>
      </c>
      <c r="F2766" t="str">
        <f>IFERROR(__xludf.DUMMYFUNCTION("""COMPUTED_VALUE"""),"")</f>
        <v/>
      </c>
      <c r="G2766" t="str">
        <f>IFERROR(__xludf.DUMMYFUNCTION("""COMPUTED_VALUE"""),"")</f>
        <v/>
      </c>
      <c r="H2766" s="2" t="str">
        <f>IFERROR(__xludf.DUMMYFUNCTION("""COMPUTED_VALUE"""),"")</f>
        <v/>
      </c>
      <c r="I2766" s="2" t="str">
        <f>IFERROR(__xludf.DUMMYFUNCTION("""COMPUTED_VALUE"""),"")</f>
        <v/>
      </c>
      <c r="J2766" s="2">
        <f>IFERROR(__xludf.DUMMYFUNCTION("""COMPUTED_VALUE"""),0.0)</f>
        <v>0</v>
      </c>
      <c r="K2766" s="5" t="str">
        <f>IFERROR(__xludf.DUMMYFUNCTION("""COMPUTED_VALUE"""),"")</f>
        <v/>
      </c>
      <c r="L2766" t="str">
        <f>IFERROR(__xludf.DUMMYFUNCTION("""COMPUTED_VALUE"""),"")</f>
        <v/>
      </c>
      <c r="M2766" t="str">
        <f>IFERROR(__xludf.DUMMYFUNCTION("""COMPUTED_VALUE"""),"")</f>
        <v/>
      </c>
      <c r="N2766" t="str">
        <f>IFERROR(__xludf.DUMMYFUNCTION("""COMPUTED_VALUE"""),"")</f>
        <v/>
      </c>
      <c r="O2766" t="str">
        <f>IFERROR(__xludf.DUMMYFUNCTION("""COMPUTED_VALUE"""),"")</f>
        <v/>
      </c>
      <c r="P2766" t="str">
        <f>IFERROR(__xludf.DUMMYFUNCTION("""COMPUTED_VALUE"""),"ID ")</f>
        <v>ID </v>
      </c>
    </row>
    <row r="2767">
      <c r="A2767" s="6" t="str">
        <f>IFERROR(__xludf.DUMMYFUNCTION("""COMPUTED_VALUE"""),"")</f>
        <v/>
      </c>
      <c r="C2767" t="str">
        <f>IFERROR(__xludf.DUMMYFUNCTION("""COMPUTED_VALUE"""),"")</f>
        <v/>
      </c>
      <c r="D2767" t="str">
        <f>IFERROR(__xludf.DUMMYFUNCTION("""COMPUTED_VALUE"""),"")</f>
        <v/>
      </c>
      <c r="E2767" t="str">
        <f>IFERROR(__xludf.DUMMYFUNCTION("""COMPUTED_VALUE"""),"")</f>
        <v/>
      </c>
      <c r="F2767" t="str">
        <f>IFERROR(__xludf.DUMMYFUNCTION("""COMPUTED_VALUE"""),"")</f>
        <v/>
      </c>
      <c r="G2767" t="str">
        <f>IFERROR(__xludf.DUMMYFUNCTION("""COMPUTED_VALUE"""),"")</f>
        <v/>
      </c>
      <c r="H2767" s="2" t="str">
        <f>IFERROR(__xludf.DUMMYFUNCTION("""COMPUTED_VALUE"""),"")</f>
        <v/>
      </c>
      <c r="I2767" s="2" t="str">
        <f>IFERROR(__xludf.DUMMYFUNCTION("""COMPUTED_VALUE"""),"")</f>
        <v/>
      </c>
      <c r="J2767" s="2">
        <f>IFERROR(__xludf.DUMMYFUNCTION("""COMPUTED_VALUE"""),0.0)</f>
        <v>0</v>
      </c>
      <c r="K2767" s="5" t="str">
        <f>IFERROR(__xludf.DUMMYFUNCTION("""COMPUTED_VALUE"""),"")</f>
        <v/>
      </c>
      <c r="L2767" t="str">
        <f>IFERROR(__xludf.DUMMYFUNCTION("""COMPUTED_VALUE"""),"")</f>
        <v/>
      </c>
      <c r="M2767" t="str">
        <f>IFERROR(__xludf.DUMMYFUNCTION("""COMPUTED_VALUE"""),"")</f>
        <v/>
      </c>
      <c r="N2767" t="str">
        <f>IFERROR(__xludf.DUMMYFUNCTION("""COMPUTED_VALUE"""),"")</f>
        <v/>
      </c>
      <c r="O2767" t="str">
        <f>IFERROR(__xludf.DUMMYFUNCTION("""COMPUTED_VALUE"""),"")</f>
        <v/>
      </c>
      <c r="P2767" t="str">
        <f>IFERROR(__xludf.DUMMYFUNCTION("""COMPUTED_VALUE"""),"ID ")</f>
        <v>ID </v>
      </c>
    </row>
    <row r="2768">
      <c r="A2768" s="6" t="str">
        <f>IFERROR(__xludf.DUMMYFUNCTION("""COMPUTED_VALUE"""),"")</f>
        <v/>
      </c>
      <c r="C2768" t="str">
        <f>IFERROR(__xludf.DUMMYFUNCTION("""COMPUTED_VALUE"""),"")</f>
        <v/>
      </c>
      <c r="D2768" t="str">
        <f>IFERROR(__xludf.DUMMYFUNCTION("""COMPUTED_VALUE"""),"")</f>
        <v/>
      </c>
      <c r="E2768" t="str">
        <f>IFERROR(__xludf.DUMMYFUNCTION("""COMPUTED_VALUE"""),"")</f>
        <v/>
      </c>
      <c r="F2768" t="str">
        <f>IFERROR(__xludf.DUMMYFUNCTION("""COMPUTED_VALUE"""),"")</f>
        <v/>
      </c>
      <c r="G2768" t="str">
        <f>IFERROR(__xludf.DUMMYFUNCTION("""COMPUTED_VALUE"""),"")</f>
        <v/>
      </c>
      <c r="H2768" s="2" t="str">
        <f>IFERROR(__xludf.DUMMYFUNCTION("""COMPUTED_VALUE"""),"")</f>
        <v/>
      </c>
      <c r="I2768" s="2" t="str">
        <f>IFERROR(__xludf.DUMMYFUNCTION("""COMPUTED_VALUE"""),"")</f>
        <v/>
      </c>
      <c r="J2768" s="2">
        <f>IFERROR(__xludf.DUMMYFUNCTION("""COMPUTED_VALUE"""),0.0)</f>
        <v>0</v>
      </c>
      <c r="K2768" s="5" t="str">
        <f>IFERROR(__xludf.DUMMYFUNCTION("""COMPUTED_VALUE"""),"")</f>
        <v/>
      </c>
      <c r="L2768" t="str">
        <f>IFERROR(__xludf.DUMMYFUNCTION("""COMPUTED_VALUE"""),"")</f>
        <v/>
      </c>
      <c r="M2768" t="str">
        <f>IFERROR(__xludf.DUMMYFUNCTION("""COMPUTED_VALUE"""),"")</f>
        <v/>
      </c>
      <c r="N2768" t="str">
        <f>IFERROR(__xludf.DUMMYFUNCTION("""COMPUTED_VALUE"""),"")</f>
        <v/>
      </c>
      <c r="O2768" t="str">
        <f>IFERROR(__xludf.DUMMYFUNCTION("""COMPUTED_VALUE"""),"")</f>
        <v/>
      </c>
      <c r="P2768" t="str">
        <f>IFERROR(__xludf.DUMMYFUNCTION("""COMPUTED_VALUE"""),"ID ")</f>
        <v>ID </v>
      </c>
    </row>
    <row r="2769">
      <c r="A2769" s="6" t="str">
        <f>IFERROR(__xludf.DUMMYFUNCTION("""COMPUTED_VALUE"""),"")</f>
        <v/>
      </c>
      <c r="C2769" t="str">
        <f>IFERROR(__xludf.DUMMYFUNCTION("""COMPUTED_VALUE"""),"")</f>
        <v/>
      </c>
      <c r="D2769" t="str">
        <f>IFERROR(__xludf.DUMMYFUNCTION("""COMPUTED_VALUE"""),"")</f>
        <v/>
      </c>
      <c r="E2769" t="str">
        <f>IFERROR(__xludf.DUMMYFUNCTION("""COMPUTED_VALUE"""),"")</f>
        <v/>
      </c>
      <c r="F2769" t="str">
        <f>IFERROR(__xludf.DUMMYFUNCTION("""COMPUTED_VALUE"""),"")</f>
        <v/>
      </c>
      <c r="G2769" t="str">
        <f>IFERROR(__xludf.DUMMYFUNCTION("""COMPUTED_VALUE"""),"")</f>
        <v/>
      </c>
      <c r="H2769" s="2" t="str">
        <f>IFERROR(__xludf.DUMMYFUNCTION("""COMPUTED_VALUE"""),"")</f>
        <v/>
      </c>
      <c r="I2769" s="2" t="str">
        <f>IFERROR(__xludf.DUMMYFUNCTION("""COMPUTED_VALUE"""),"")</f>
        <v/>
      </c>
      <c r="J2769" s="2">
        <f>IFERROR(__xludf.DUMMYFUNCTION("""COMPUTED_VALUE"""),0.0)</f>
        <v>0</v>
      </c>
      <c r="K2769" s="5" t="str">
        <f>IFERROR(__xludf.DUMMYFUNCTION("""COMPUTED_VALUE"""),"")</f>
        <v/>
      </c>
      <c r="L2769" t="str">
        <f>IFERROR(__xludf.DUMMYFUNCTION("""COMPUTED_VALUE"""),"")</f>
        <v/>
      </c>
      <c r="M2769" t="str">
        <f>IFERROR(__xludf.DUMMYFUNCTION("""COMPUTED_VALUE"""),"")</f>
        <v/>
      </c>
      <c r="N2769" t="str">
        <f>IFERROR(__xludf.DUMMYFUNCTION("""COMPUTED_VALUE"""),"")</f>
        <v/>
      </c>
      <c r="O2769" t="str">
        <f>IFERROR(__xludf.DUMMYFUNCTION("""COMPUTED_VALUE"""),"")</f>
        <v/>
      </c>
      <c r="P2769" t="str">
        <f>IFERROR(__xludf.DUMMYFUNCTION("""COMPUTED_VALUE"""),"ID ")</f>
        <v>ID </v>
      </c>
    </row>
    <row r="2770">
      <c r="A2770" s="6" t="str">
        <f>IFERROR(__xludf.DUMMYFUNCTION("""COMPUTED_VALUE"""),"")</f>
        <v/>
      </c>
      <c r="C2770" t="str">
        <f>IFERROR(__xludf.DUMMYFUNCTION("""COMPUTED_VALUE"""),"")</f>
        <v/>
      </c>
      <c r="D2770" t="str">
        <f>IFERROR(__xludf.DUMMYFUNCTION("""COMPUTED_VALUE"""),"")</f>
        <v/>
      </c>
      <c r="E2770" t="str">
        <f>IFERROR(__xludf.DUMMYFUNCTION("""COMPUTED_VALUE"""),"")</f>
        <v/>
      </c>
      <c r="F2770" t="str">
        <f>IFERROR(__xludf.DUMMYFUNCTION("""COMPUTED_VALUE"""),"")</f>
        <v/>
      </c>
      <c r="G2770" t="str">
        <f>IFERROR(__xludf.DUMMYFUNCTION("""COMPUTED_VALUE"""),"")</f>
        <v/>
      </c>
      <c r="H2770" s="2" t="str">
        <f>IFERROR(__xludf.DUMMYFUNCTION("""COMPUTED_VALUE"""),"")</f>
        <v/>
      </c>
      <c r="I2770" s="2" t="str">
        <f>IFERROR(__xludf.DUMMYFUNCTION("""COMPUTED_VALUE"""),"")</f>
        <v/>
      </c>
      <c r="J2770" s="2">
        <f>IFERROR(__xludf.DUMMYFUNCTION("""COMPUTED_VALUE"""),0.0)</f>
        <v>0</v>
      </c>
      <c r="K2770" s="5" t="str">
        <f>IFERROR(__xludf.DUMMYFUNCTION("""COMPUTED_VALUE"""),"")</f>
        <v/>
      </c>
      <c r="L2770" t="str">
        <f>IFERROR(__xludf.DUMMYFUNCTION("""COMPUTED_VALUE"""),"")</f>
        <v/>
      </c>
      <c r="M2770" t="str">
        <f>IFERROR(__xludf.DUMMYFUNCTION("""COMPUTED_VALUE"""),"")</f>
        <v/>
      </c>
      <c r="N2770" t="str">
        <f>IFERROR(__xludf.DUMMYFUNCTION("""COMPUTED_VALUE"""),"")</f>
        <v/>
      </c>
      <c r="O2770" t="str">
        <f>IFERROR(__xludf.DUMMYFUNCTION("""COMPUTED_VALUE"""),"")</f>
        <v/>
      </c>
      <c r="P2770" t="str">
        <f>IFERROR(__xludf.DUMMYFUNCTION("""COMPUTED_VALUE"""),"ID ")</f>
        <v>ID </v>
      </c>
    </row>
    <row r="2771">
      <c r="A2771" s="6" t="str">
        <f>IFERROR(__xludf.DUMMYFUNCTION("""COMPUTED_VALUE"""),"")</f>
        <v/>
      </c>
      <c r="C2771" t="str">
        <f>IFERROR(__xludf.DUMMYFUNCTION("""COMPUTED_VALUE"""),"")</f>
        <v/>
      </c>
      <c r="D2771" t="str">
        <f>IFERROR(__xludf.DUMMYFUNCTION("""COMPUTED_VALUE"""),"")</f>
        <v/>
      </c>
      <c r="E2771" t="str">
        <f>IFERROR(__xludf.DUMMYFUNCTION("""COMPUTED_VALUE"""),"")</f>
        <v/>
      </c>
      <c r="F2771" t="str">
        <f>IFERROR(__xludf.DUMMYFUNCTION("""COMPUTED_VALUE"""),"")</f>
        <v/>
      </c>
      <c r="G2771" t="str">
        <f>IFERROR(__xludf.DUMMYFUNCTION("""COMPUTED_VALUE"""),"")</f>
        <v/>
      </c>
      <c r="H2771" s="2" t="str">
        <f>IFERROR(__xludf.DUMMYFUNCTION("""COMPUTED_VALUE"""),"")</f>
        <v/>
      </c>
      <c r="I2771" s="2" t="str">
        <f>IFERROR(__xludf.DUMMYFUNCTION("""COMPUTED_VALUE"""),"")</f>
        <v/>
      </c>
      <c r="J2771" s="2">
        <f>IFERROR(__xludf.DUMMYFUNCTION("""COMPUTED_VALUE"""),0.0)</f>
        <v>0</v>
      </c>
      <c r="K2771" s="5" t="str">
        <f>IFERROR(__xludf.DUMMYFUNCTION("""COMPUTED_VALUE"""),"")</f>
        <v/>
      </c>
      <c r="L2771" t="str">
        <f>IFERROR(__xludf.DUMMYFUNCTION("""COMPUTED_VALUE"""),"")</f>
        <v/>
      </c>
      <c r="M2771" t="str">
        <f>IFERROR(__xludf.DUMMYFUNCTION("""COMPUTED_VALUE"""),"")</f>
        <v/>
      </c>
      <c r="N2771" t="str">
        <f>IFERROR(__xludf.DUMMYFUNCTION("""COMPUTED_VALUE"""),"")</f>
        <v/>
      </c>
      <c r="O2771" t="str">
        <f>IFERROR(__xludf.DUMMYFUNCTION("""COMPUTED_VALUE"""),"")</f>
        <v/>
      </c>
      <c r="P2771" t="str">
        <f>IFERROR(__xludf.DUMMYFUNCTION("""COMPUTED_VALUE"""),"ID ")</f>
        <v>ID </v>
      </c>
    </row>
    <row r="2772">
      <c r="A2772" s="6" t="str">
        <f>IFERROR(__xludf.DUMMYFUNCTION("""COMPUTED_VALUE"""),"")</f>
        <v/>
      </c>
      <c r="C2772" t="str">
        <f>IFERROR(__xludf.DUMMYFUNCTION("""COMPUTED_VALUE"""),"")</f>
        <v/>
      </c>
      <c r="D2772" t="str">
        <f>IFERROR(__xludf.DUMMYFUNCTION("""COMPUTED_VALUE"""),"")</f>
        <v/>
      </c>
      <c r="E2772" t="str">
        <f>IFERROR(__xludf.DUMMYFUNCTION("""COMPUTED_VALUE"""),"")</f>
        <v/>
      </c>
      <c r="F2772" t="str">
        <f>IFERROR(__xludf.DUMMYFUNCTION("""COMPUTED_VALUE"""),"")</f>
        <v/>
      </c>
      <c r="G2772" t="str">
        <f>IFERROR(__xludf.DUMMYFUNCTION("""COMPUTED_VALUE"""),"")</f>
        <v/>
      </c>
      <c r="H2772" s="2" t="str">
        <f>IFERROR(__xludf.DUMMYFUNCTION("""COMPUTED_VALUE"""),"")</f>
        <v/>
      </c>
      <c r="I2772" s="2" t="str">
        <f>IFERROR(__xludf.DUMMYFUNCTION("""COMPUTED_VALUE"""),"")</f>
        <v/>
      </c>
      <c r="J2772" s="2">
        <f>IFERROR(__xludf.DUMMYFUNCTION("""COMPUTED_VALUE"""),0.0)</f>
        <v>0</v>
      </c>
      <c r="K2772" s="5" t="str">
        <f>IFERROR(__xludf.DUMMYFUNCTION("""COMPUTED_VALUE"""),"")</f>
        <v/>
      </c>
      <c r="L2772" t="str">
        <f>IFERROR(__xludf.DUMMYFUNCTION("""COMPUTED_VALUE"""),"")</f>
        <v/>
      </c>
      <c r="M2772" t="str">
        <f>IFERROR(__xludf.DUMMYFUNCTION("""COMPUTED_VALUE"""),"")</f>
        <v/>
      </c>
      <c r="N2772" t="str">
        <f>IFERROR(__xludf.DUMMYFUNCTION("""COMPUTED_VALUE"""),"")</f>
        <v/>
      </c>
      <c r="O2772" t="str">
        <f>IFERROR(__xludf.DUMMYFUNCTION("""COMPUTED_VALUE"""),"")</f>
        <v/>
      </c>
      <c r="P2772" t="str">
        <f>IFERROR(__xludf.DUMMYFUNCTION("""COMPUTED_VALUE"""),"ID ")</f>
        <v>ID </v>
      </c>
    </row>
    <row r="2773">
      <c r="A2773" s="6" t="str">
        <f>IFERROR(__xludf.DUMMYFUNCTION("""COMPUTED_VALUE"""),"")</f>
        <v/>
      </c>
      <c r="C2773" t="str">
        <f>IFERROR(__xludf.DUMMYFUNCTION("""COMPUTED_VALUE"""),"")</f>
        <v/>
      </c>
      <c r="D2773" t="str">
        <f>IFERROR(__xludf.DUMMYFUNCTION("""COMPUTED_VALUE"""),"")</f>
        <v/>
      </c>
      <c r="E2773" t="str">
        <f>IFERROR(__xludf.DUMMYFUNCTION("""COMPUTED_VALUE"""),"")</f>
        <v/>
      </c>
      <c r="F2773" t="str">
        <f>IFERROR(__xludf.DUMMYFUNCTION("""COMPUTED_VALUE"""),"")</f>
        <v/>
      </c>
      <c r="G2773" t="str">
        <f>IFERROR(__xludf.DUMMYFUNCTION("""COMPUTED_VALUE"""),"")</f>
        <v/>
      </c>
      <c r="H2773" s="2" t="str">
        <f>IFERROR(__xludf.DUMMYFUNCTION("""COMPUTED_VALUE"""),"")</f>
        <v/>
      </c>
      <c r="I2773" s="2" t="str">
        <f>IFERROR(__xludf.DUMMYFUNCTION("""COMPUTED_VALUE"""),"")</f>
        <v/>
      </c>
      <c r="J2773" s="2">
        <f>IFERROR(__xludf.DUMMYFUNCTION("""COMPUTED_VALUE"""),0.0)</f>
        <v>0</v>
      </c>
      <c r="K2773" s="5" t="str">
        <f>IFERROR(__xludf.DUMMYFUNCTION("""COMPUTED_VALUE"""),"")</f>
        <v/>
      </c>
      <c r="L2773" t="str">
        <f>IFERROR(__xludf.DUMMYFUNCTION("""COMPUTED_VALUE"""),"")</f>
        <v/>
      </c>
      <c r="M2773" t="str">
        <f>IFERROR(__xludf.DUMMYFUNCTION("""COMPUTED_VALUE"""),"")</f>
        <v/>
      </c>
      <c r="N2773" t="str">
        <f>IFERROR(__xludf.DUMMYFUNCTION("""COMPUTED_VALUE"""),"")</f>
        <v/>
      </c>
      <c r="O2773" t="str">
        <f>IFERROR(__xludf.DUMMYFUNCTION("""COMPUTED_VALUE"""),"")</f>
        <v/>
      </c>
      <c r="P2773" t="str">
        <f>IFERROR(__xludf.DUMMYFUNCTION("""COMPUTED_VALUE"""),"ID ")</f>
        <v>ID </v>
      </c>
    </row>
    <row r="2774">
      <c r="A2774" s="6" t="str">
        <f>IFERROR(__xludf.DUMMYFUNCTION("""COMPUTED_VALUE"""),"")</f>
        <v/>
      </c>
      <c r="C2774" t="str">
        <f>IFERROR(__xludf.DUMMYFUNCTION("""COMPUTED_VALUE"""),"")</f>
        <v/>
      </c>
      <c r="D2774" t="str">
        <f>IFERROR(__xludf.DUMMYFUNCTION("""COMPUTED_VALUE"""),"")</f>
        <v/>
      </c>
      <c r="E2774" t="str">
        <f>IFERROR(__xludf.DUMMYFUNCTION("""COMPUTED_VALUE"""),"")</f>
        <v/>
      </c>
      <c r="F2774" t="str">
        <f>IFERROR(__xludf.DUMMYFUNCTION("""COMPUTED_VALUE"""),"")</f>
        <v/>
      </c>
      <c r="G2774" t="str">
        <f>IFERROR(__xludf.DUMMYFUNCTION("""COMPUTED_VALUE"""),"")</f>
        <v/>
      </c>
      <c r="H2774" s="2" t="str">
        <f>IFERROR(__xludf.DUMMYFUNCTION("""COMPUTED_VALUE"""),"")</f>
        <v/>
      </c>
      <c r="I2774" s="2" t="str">
        <f>IFERROR(__xludf.DUMMYFUNCTION("""COMPUTED_VALUE"""),"")</f>
        <v/>
      </c>
      <c r="J2774" s="2">
        <f>IFERROR(__xludf.DUMMYFUNCTION("""COMPUTED_VALUE"""),0.0)</f>
        <v>0</v>
      </c>
      <c r="K2774" s="5" t="str">
        <f>IFERROR(__xludf.DUMMYFUNCTION("""COMPUTED_VALUE"""),"")</f>
        <v/>
      </c>
      <c r="L2774" t="str">
        <f>IFERROR(__xludf.DUMMYFUNCTION("""COMPUTED_VALUE"""),"")</f>
        <v/>
      </c>
      <c r="M2774" t="str">
        <f>IFERROR(__xludf.DUMMYFUNCTION("""COMPUTED_VALUE"""),"")</f>
        <v/>
      </c>
      <c r="N2774" t="str">
        <f>IFERROR(__xludf.DUMMYFUNCTION("""COMPUTED_VALUE"""),"")</f>
        <v/>
      </c>
      <c r="O2774" t="str">
        <f>IFERROR(__xludf.DUMMYFUNCTION("""COMPUTED_VALUE"""),"")</f>
        <v/>
      </c>
      <c r="P2774" t="str">
        <f>IFERROR(__xludf.DUMMYFUNCTION("""COMPUTED_VALUE"""),"ID ")</f>
        <v>ID </v>
      </c>
    </row>
    <row r="2775">
      <c r="A2775" s="6" t="str">
        <f>IFERROR(__xludf.DUMMYFUNCTION("""COMPUTED_VALUE"""),"")</f>
        <v/>
      </c>
      <c r="C2775" t="str">
        <f>IFERROR(__xludf.DUMMYFUNCTION("""COMPUTED_VALUE"""),"")</f>
        <v/>
      </c>
      <c r="D2775" t="str">
        <f>IFERROR(__xludf.DUMMYFUNCTION("""COMPUTED_VALUE"""),"")</f>
        <v/>
      </c>
      <c r="E2775" t="str">
        <f>IFERROR(__xludf.DUMMYFUNCTION("""COMPUTED_VALUE"""),"")</f>
        <v/>
      </c>
      <c r="F2775" t="str">
        <f>IFERROR(__xludf.DUMMYFUNCTION("""COMPUTED_VALUE"""),"")</f>
        <v/>
      </c>
      <c r="G2775" t="str">
        <f>IFERROR(__xludf.DUMMYFUNCTION("""COMPUTED_VALUE"""),"")</f>
        <v/>
      </c>
      <c r="H2775" s="2" t="str">
        <f>IFERROR(__xludf.DUMMYFUNCTION("""COMPUTED_VALUE"""),"")</f>
        <v/>
      </c>
      <c r="I2775" s="2" t="str">
        <f>IFERROR(__xludf.DUMMYFUNCTION("""COMPUTED_VALUE"""),"")</f>
        <v/>
      </c>
      <c r="J2775" s="2">
        <f>IFERROR(__xludf.DUMMYFUNCTION("""COMPUTED_VALUE"""),0.0)</f>
        <v>0</v>
      </c>
      <c r="K2775" s="5" t="str">
        <f>IFERROR(__xludf.DUMMYFUNCTION("""COMPUTED_VALUE"""),"")</f>
        <v/>
      </c>
      <c r="L2775" t="str">
        <f>IFERROR(__xludf.DUMMYFUNCTION("""COMPUTED_VALUE"""),"")</f>
        <v/>
      </c>
      <c r="M2775" t="str">
        <f>IFERROR(__xludf.DUMMYFUNCTION("""COMPUTED_VALUE"""),"")</f>
        <v/>
      </c>
      <c r="N2775" t="str">
        <f>IFERROR(__xludf.DUMMYFUNCTION("""COMPUTED_VALUE"""),"")</f>
        <v/>
      </c>
      <c r="O2775" t="str">
        <f>IFERROR(__xludf.DUMMYFUNCTION("""COMPUTED_VALUE"""),"")</f>
        <v/>
      </c>
      <c r="P2775" t="str">
        <f>IFERROR(__xludf.DUMMYFUNCTION("""COMPUTED_VALUE"""),"ID ")</f>
        <v>ID </v>
      </c>
    </row>
    <row r="2776">
      <c r="A2776" s="6" t="str">
        <f>IFERROR(__xludf.DUMMYFUNCTION("""COMPUTED_VALUE"""),"")</f>
        <v/>
      </c>
      <c r="C2776" t="str">
        <f>IFERROR(__xludf.DUMMYFUNCTION("""COMPUTED_VALUE"""),"")</f>
        <v/>
      </c>
      <c r="D2776" t="str">
        <f>IFERROR(__xludf.DUMMYFUNCTION("""COMPUTED_VALUE"""),"")</f>
        <v/>
      </c>
      <c r="E2776" t="str">
        <f>IFERROR(__xludf.DUMMYFUNCTION("""COMPUTED_VALUE"""),"")</f>
        <v/>
      </c>
      <c r="F2776" t="str">
        <f>IFERROR(__xludf.DUMMYFUNCTION("""COMPUTED_VALUE"""),"")</f>
        <v/>
      </c>
      <c r="G2776" t="str">
        <f>IFERROR(__xludf.DUMMYFUNCTION("""COMPUTED_VALUE"""),"")</f>
        <v/>
      </c>
      <c r="H2776" s="2" t="str">
        <f>IFERROR(__xludf.DUMMYFUNCTION("""COMPUTED_VALUE"""),"")</f>
        <v/>
      </c>
      <c r="I2776" s="2" t="str">
        <f>IFERROR(__xludf.DUMMYFUNCTION("""COMPUTED_VALUE"""),"")</f>
        <v/>
      </c>
      <c r="J2776" s="2">
        <f>IFERROR(__xludf.DUMMYFUNCTION("""COMPUTED_VALUE"""),0.0)</f>
        <v>0</v>
      </c>
      <c r="K2776" s="5" t="str">
        <f>IFERROR(__xludf.DUMMYFUNCTION("""COMPUTED_VALUE"""),"")</f>
        <v/>
      </c>
      <c r="L2776" t="str">
        <f>IFERROR(__xludf.DUMMYFUNCTION("""COMPUTED_VALUE"""),"")</f>
        <v/>
      </c>
      <c r="M2776" t="str">
        <f>IFERROR(__xludf.DUMMYFUNCTION("""COMPUTED_VALUE"""),"")</f>
        <v/>
      </c>
      <c r="N2776" t="str">
        <f>IFERROR(__xludf.DUMMYFUNCTION("""COMPUTED_VALUE"""),"")</f>
        <v/>
      </c>
      <c r="O2776" t="str">
        <f>IFERROR(__xludf.DUMMYFUNCTION("""COMPUTED_VALUE"""),"")</f>
        <v/>
      </c>
      <c r="P2776" t="str">
        <f>IFERROR(__xludf.DUMMYFUNCTION("""COMPUTED_VALUE"""),"ID ")</f>
        <v>ID </v>
      </c>
    </row>
    <row r="2777">
      <c r="A2777" s="6" t="str">
        <f>IFERROR(__xludf.DUMMYFUNCTION("""COMPUTED_VALUE"""),"")</f>
        <v/>
      </c>
      <c r="C2777" t="str">
        <f>IFERROR(__xludf.DUMMYFUNCTION("""COMPUTED_VALUE"""),"")</f>
        <v/>
      </c>
      <c r="D2777" t="str">
        <f>IFERROR(__xludf.DUMMYFUNCTION("""COMPUTED_VALUE"""),"")</f>
        <v/>
      </c>
      <c r="E2777" t="str">
        <f>IFERROR(__xludf.DUMMYFUNCTION("""COMPUTED_VALUE"""),"")</f>
        <v/>
      </c>
      <c r="F2777" t="str">
        <f>IFERROR(__xludf.DUMMYFUNCTION("""COMPUTED_VALUE"""),"")</f>
        <v/>
      </c>
      <c r="G2777" t="str">
        <f>IFERROR(__xludf.DUMMYFUNCTION("""COMPUTED_VALUE"""),"")</f>
        <v/>
      </c>
      <c r="H2777" s="2" t="str">
        <f>IFERROR(__xludf.DUMMYFUNCTION("""COMPUTED_VALUE"""),"")</f>
        <v/>
      </c>
      <c r="I2777" s="2" t="str">
        <f>IFERROR(__xludf.DUMMYFUNCTION("""COMPUTED_VALUE"""),"")</f>
        <v/>
      </c>
      <c r="J2777" s="2">
        <f>IFERROR(__xludf.DUMMYFUNCTION("""COMPUTED_VALUE"""),0.0)</f>
        <v>0</v>
      </c>
      <c r="K2777" s="5" t="str">
        <f>IFERROR(__xludf.DUMMYFUNCTION("""COMPUTED_VALUE"""),"")</f>
        <v/>
      </c>
      <c r="L2777" t="str">
        <f>IFERROR(__xludf.DUMMYFUNCTION("""COMPUTED_VALUE"""),"")</f>
        <v/>
      </c>
      <c r="M2777" t="str">
        <f>IFERROR(__xludf.DUMMYFUNCTION("""COMPUTED_VALUE"""),"")</f>
        <v/>
      </c>
      <c r="N2777" t="str">
        <f>IFERROR(__xludf.DUMMYFUNCTION("""COMPUTED_VALUE"""),"")</f>
        <v/>
      </c>
      <c r="O2777" t="str">
        <f>IFERROR(__xludf.DUMMYFUNCTION("""COMPUTED_VALUE"""),"")</f>
        <v/>
      </c>
      <c r="P2777" t="str">
        <f>IFERROR(__xludf.DUMMYFUNCTION("""COMPUTED_VALUE"""),"ID ")</f>
        <v>ID </v>
      </c>
    </row>
    <row r="2778">
      <c r="A2778" s="6" t="str">
        <f>IFERROR(__xludf.DUMMYFUNCTION("""COMPUTED_VALUE"""),"")</f>
        <v/>
      </c>
      <c r="C2778" t="str">
        <f>IFERROR(__xludf.DUMMYFUNCTION("""COMPUTED_VALUE"""),"")</f>
        <v/>
      </c>
      <c r="D2778" t="str">
        <f>IFERROR(__xludf.DUMMYFUNCTION("""COMPUTED_VALUE"""),"")</f>
        <v/>
      </c>
      <c r="E2778" t="str">
        <f>IFERROR(__xludf.DUMMYFUNCTION("""COMPUTED_VALUE"""),"")</f>
        <v/>
      </c>
      <c r="F2778" t="str">
        <f>IFERROR(__xludf.DUMMYFUNCTION("""COMPUTED_VALUE"""),"")</f>
        <v/>
      </c>
      <c r="G2778" t="str">
        <f>IFERROR(__xludf.DUMMYFUNCTION("""COMPUTED_VALUE"""),"")</f>
        <v/>
      </c>
      <c r="H2778" s="2" t="str">
        <f>IFERROR(__xludf.DUMMYFUNCTION("""COMPUTED_VALUE"""),"")</f>
        <v/>
      </c>
      <c r="I2778" s="2" t="str">
        <f>IFERROR(__xludf.DUMMYFUNCTION("""COMPUTED_VALUE"""),"")</f>
        <v/>
      </c>
      <c r="J2778" s="2">
        <f>IFERROR(__xludf.DUMMYFUNCTION("""COMPUTED_VALUE"""),0.0)</f>
        <v>0</v>
      </c>
      <c r="K2778" s="5" t="str">
        <f>IFERROR(__xludf.DUMMYFUNCTION("""COMPUTED_VALUE"""),"")</f>
        <v/>
      </c>
      <c r="L2778" t="str">
        <f>IFERROR(__xludf.DUMMYFUNCTION("""COMPUTED_VALUE"""),"")</f>
        <v/>
      </c>
      <c r="M2778" t="str">
        <f>IFERROR(__xludf.DUMMYFUNCTION("""COMPUTED_VALUE"""),"")</f>
        <v/>
      </c>
      <c r="N2778" t="str">
        <f>IFERROR(__xludf.DUMMYFUNCTION("""COMPUTED_VALUE"""),"")</f>
        <v/>
      </c>
      <c r="O2778" t="str">
        <f>IFERROR(__xludf.DUMMYFUNCTION("""COMPUTED_VALUE"""),"")</f>
        <v/>
      </c>
      <c r="P2778" t="str">
        <f>IFERROR(__xludf.DUMMYFUNCTION("""COMPUTED_VALUE"""),"ID ")</f>
        <v>ID </v>
      </c>
    </row>
    <row r="2779">
      <c r="A2779" s="6" t="str">
        <f>IFERROR(__xludf.DUMMYFUNCTION("""COMPUTED_VALUE"""),"")</f>
        <v/>
      </c>
      <c r="C2779" t="str">
        <f>IFERROR(__xludf.DUMMYFUNCTION("""COMPUTED_VALUE"""),"")</f>
        <v/>
      </c>
      <c r="D2779" t="str">
        <f>IFERROR(__xludf.DUMMYFUNCTION("""COMPUTED_VALUE"""),"")</f>
        <v/>
      </c>
      <c r="E2779" t="str">
        <f>IFERROR(__xludf.DUMMYFUNCTION("""COMPUTED_VALUE"""),"")</f>
        <v/>
      </c>
      <c r="F2779" t="str">
        <f>IFERROR(__xludf.DUMMYFUNCTION("""COMPUTED_VALUE"""),"")</f>
        <v/>
      </c>
      <c r="G2779" t="str">
        <f>IFERROR(__xludf.DUMMYFUNCTION("""COMPUTED_VALUE"""),"")</f>
        <v/>
      </c>
      <c r="H2779" s="2" t="str">
        <f>IFERROR(__xludf.DUMMYFUNCTION("""COMPUTED_VALUE"""),"")</f>
        <v/>
      </c>
      <c r="I2779" s="2" t="str">
        <f>IFERROR(__xludf.DUMMYFUNCTION("""COMPUTED_VALUE"""),"")</f>
        <v/>
      </c>
      <c r="J2779" s="2">
        <f>IFERROR(__xludf.DUMMYFUNCTION("""COMPUTED_VALUE"""),0.0)</f>
        <v>0</v>
      </c>
      <c r="K2779" s="5" t="str">
        <f>IFERROR(__xludf.DUMMYFUNCTION("""COMPUTED_VALUE"""),"")</f>
        <v/>
      </c>
      <c r="L2779" t="str">
        <f>IFERROR(__xludf.DUMMYFUNCTION("""COMPUTED_VALUE"""),"")</f>
        <v/>
      </c>
      <c r="M2779" t="str">
        <f>IFERROR(__xludf.DUMMYFUNCTION("""COMPUTED_VALUE"""),"")</f>
        <v/>
      </c>
      <c r="N2779" t="str">
        <f>IFERROR(__xludf.DUMMYFUNCTION("""COMPUTED_VALUE"""),"")</f>
        <v/>
      </c>
      <c r="O2779" t="str">
        <f>IFERROR(__xludf.DUMMYFUNCTION("""COMPUTED_VALUE"""),"")</f>
        <v/>
      </c>
      <c r="P2779" t="str">
        <f>IFERROR(__xludf.DUMMYFUNCTION("""COMPUTED_VALUE"""),"ID ")</f>
        <v>ID </v>
      </c>
    </row>
    <row r="2780">
      <c r="A2780" s="6" t="str">
        <f>IFERROR(__xludf.DUMMYFUNCTION("""COMPUTED_VALUE"""),"")</f>
        <v/>
      </c>
      <c r="C2780" t="str">
        <f>IFERROR(__xludf.DUMMYFUNCTION("""COMPUTED_VALUE"""),"")</f>
        <v/>
      </c>
      <c r="D2780" t="str">
        <f>IFERROR(__xludf.DUMMYFUNCTION("""COMPUTED_VALUE"""),"")</f>
        <v/>
      </c>
      <c r="E2780" t="str">
        <f>IFERROR(__xludf.DUMMYFUNCTION("""COMPUTED_VALUE"""),"")</f>
        <v/>
      </c>
      <c r="F2780" t="str">
        <f>IFERROR(__xludf.DUMMYFUNCTION("""COMPUTED_VALUE"""),"")</f>
        <v/>
      </c>
      <c r="G2780" t="str">
        <f>IFERROR(__xludf.DUMMYFUNCTION("""COMPUTED_VALUE"""),"")</f>
        <v/>
      </c>
      <c r="H2780" s="2" t="str">
        <f>IFERROR(__xludf.DUMMYFUNCTION("""COMPUTED_VALUE"""),"")</f>
        <v/>
      </c>
      <c r="I2780" s="2" t="str">
        <f>IFERROR(__xludf.DUMMYFUNCTION("""COMPUTED_VALUE"""),"")</f>
        <v/>
      </c>
      <c r="J2780" s="2">
        <f>IFERROR(__xludf.DUMMYFUNCTION("""COMPUTED_VALUE"""),0.0)</f>
        <v>0</v>
      </c>
      <c r="K2780" s="5" t="str">
        <f>IFERROR(__xludf.DUMMYFUNCTION("""COMPUTED_VALUE"""),"")</f>
        <v/>
      </c>
      <c r="L2780" t="str">
        <f>IFERROR(__xludf.DUMMYFUNCTION("""COMPUTED_VALUE"""),"")</f>
        <v/>
      </c>
      <c r="M2780" t="str">
        <f>IFERROR(__xludf.DUMMYFUNCTION("""COMPUTED_VALUE"""),"")</f>
        <v/>
      </c>
      <c r="N2780" t="str">
        <f>IFERROR(__xludf.DUMMYFUNCTION("""COMPUTED_VALUE"""),"")</f>
        <v/>
      </c>
      <c r="O2780" t="str">
        <f>IFERROR(__xludf.DUMMYFUNCTION("""COMPUTED_VALUE"""),"")</f>
        <v/>
      </c>
      <c r="P2780" t="str">
        <f>IFERROR(__xludf.DUMMYFUNCTION("""COMPUTED_VALUE"""),"ID ")</f>
        <v>ID </v>
      </c>
    </row>
    <row r="2781">
      <c r="A2781" s="6" t="str">
        <f>IFERROR(__xludf.DUMMYFUNCTION("""COMPUTED_VALUE"""),"")</f>
        <v/>
      </c>
      <c r="C2781" t="str">
        <f>IFERROR(__xludf.DUMMYFUNCTION("""COMPUTED_VALUE"""),"")</f>
        <v/>
      </c>
      <c r="D2781" t="str">
        <f>IFERROR(__xludf.DUMMYFUNCTION("""COMPUTED_VALUE"""),"")</f>
        <v/>
      </c>
      <c r="E2781" t="str">
        <f>IFERROR(__xludf.DUMMYFUNCTION("""COMPUTED_VALUE"""),"")</f>
        <v/>
      </c>
      <c r="F2781" t="str">
        <f>IFERROR(__xludf.DUMMYFUNCTION("""COMPUTED_VALUE"""),"")</f>
        <v/>
      </c>
      <c r="G2781" t="str">
        <f>IFERROR(__xludf.DUMMYFUNCTION("""COMPUTED_VALUE"""),"")</f>
        <v/>
      </c>
      <c r="H2781" s="2" t="str">
        <f>IFERROR(__xludf.DUMMYFUNCTION("""COMPUTED_VALUE"""),"")</f>
        <v/>
      </c>
      <c r="I2781" s="2" t="str">
        <f>IFERROR(__xludf.DUMMYFUNCTION("""COMPUTED_VALUE"""),"")</f>
        <v/>
      </c>
      <c r="J2781" s="2">
        <f>IFERROR(__xludf.DUMMYFUNCTION("""COMPUTED_VALUE"""),0.0)</f>
        <v>0</v>
      </c>
      <c r="K2781" s="5" t="str">
        <f>IFERROR(__xludf.DUMMYFUNCTION("""COMPUTED_VALUE"""),"")</f>
        <v/>
      </c>
      <c r="L2781" t="str">
        <f>IFERROR(__xludf.DUMMYFUNCTION("""COMPUTED_VALUE"""),"")</f>
        <v/>
      </c>
      <c r="M2781" t="str">
        <f>IFERROR(__xludf.DUMMYFUNCTION("""COMPUTED_VALUE"""),"")</f>
        <v/>
      </c>
      <c r="N2781" t="str">
        <f>IFERROR(__xludf.DUMMYFUNCTION("""COMPUTED_VALUE"""),"")</f>
        <v/>
      </c>
      <c r="O2781" t="str">
        <f>IFERROR(__xludf.DUMMYFUNCTION("""COMPUTED_VALUE"""),"")</f>
        <v/>
      </c>
      <c r="P2781" t="str">
        <f>IFERROR(__xludf.DUMMYFUNCTION("""COMPUTED_VALUE"""),"ID ")</f>
        <v>ID </v>
      </c>
    </row>
    <row r="2782">
      <c r="A2782" s="6" t="str">
        <f>IFERROR(__xludf.DUMMYFUNCTION("""COMPUTED_VALUE"""),"")</f>
        <v/>
      </c>
      <c r="C2782" t="str">
        <f>IFERROR(__xludf.DUMMYFUNCTION("""COMPUTED_VALUE"""),"")</f>
        <v/>
      </c>
      <c r="D2782" t="str">
        <f>IFERROR(__xludf.DUMMYFUNCTION("""COMPUTED_VALUE"""),"")</f>
        <v/>
      </c>
      <c r="E2782" t="str">
        <f>IFERROR(__xludf.DUMMYFUNCTION("""COMPUTED_VALUE"""),"")</f>
        <v/>
      </c>
      <c r="F2782" t="str">
        <f>IFERROR(__xludf.DUMMYFUNCTION("""COMPUTED_VALUE"""),"")</f>
        <v/>
      </c>
      <c r="G2782" t="str">
        <f>IFERROR(__xludf.DUMMYFUNCTION("""COMPUTED_VALUE"""),"")</f>
        <v/>
      </c>
      <c r="H2782" s="2" t="str">
        <f>IFERROR(__xludf.DUMMYFUNCTION("""COMPUTED_VALUE"""),"")</f>
        <v/>
      </c>
      <c r="I2782" s="2" t="str">
        <f>IFERROR(__xludf.DUMMYFUNCTION("""COMPUTED_VALUE"""),"")</f>
        <v/>
      </c>
      <c r="J2782" s="2">
        <f>IFERROR(__xludf.DUMMYFUNCTION("""COMPUTED_VALUE"""),0.0)</f>
        <v>0</v>
      </c>
      <c r="K2782" s="5" t="str">
        <f>IFERROR(__xludf.DUMMYFUNCTION("""COMPUTED_VALUE"""),"")</f>
        <v/>
      </c>
      <c r="L2782" t="str">
        <f>IFERROR(__xludf.DUMMYFUNCTION("""COMPUTED_VALUE"""),"")</f>
        <v/>
      </c>
      <c r="M2782" t="str">
        <f>IFERROR(__xludf.DUMMYFUNCTION("""COMPUTED_VALUE"""),"")</f>
        <v/>
      </c>
      <c r="N2782" t="str">
        <f>IFERROR(__xludf.DUMMYFUNCTION("""COMPUTED_VALUE"""),"")</f>
        <v/>
      </c>
      <c r="O2782" t="str">
        <f>IFERROR(__xludf.DUMMYFUNCTION("""COMPUTED_VALUE"""),"")</f>
        <v/>
      </c>
      <c r="P2782" t="str">
        <f>IFERROR(__xludf.DUMMYFUNCTION("""COMPUTED_VALUE"""),"ID ")</f>
        <v>ID </v>
      </c>
    </row>
    <row r="2783">
      <c r="A2783" s="6" t="str">
        <f>IFERROR(__xludf.DUMMYFUNCTION("""COMPUTED_VALUE"""),"")</f>
        <v/>
      </c>
      <c r="C2783" t="str">
        <f>IFERROR(__xludf.DUMMYFUNCTION("""COMPUTED_VALUE"""),"")</f>
        <v/>
      </c>
      <c r="D2783" t="str">
        <f>IFERROR(__xludf.DUMMYFUNCTION("""COMPUTED_VALUE"""),"")</f>
        <v/>
      </c>
      <c r="E2783" t="str">
        <f>IFERROR(__xludf.DUMMYFUNCTION("""COMPUTED_VALUE"""),"")</f>
        <v/>
      </c>
      <c r="F2783" t="str">
        <f>IFERROR(__xludf.DUMMYFUNCTION("""COMPUTED_VALUE"""),"")</f>
        <v/>
      </c>
      <c r="G2783" t="str">
        <f>IFERROR(__xludf.DUMMYFUNCTION("""COMPUTED_VALUE"""),"")</f>
        <v/>
      </c>
      <c r="H2783" s="2" t="str">
        <f>IFERROR(__xludf.DUMMYFUNCTION("""COMPUTED_VALUE"""),"")</f>
        <v/>
      </c>
      <c r="I2783" s="2" t="str">
        <f>IFERROR(__xludf.DUMMYFUNCTION("""COMPUTED_VALUE"""),"")</f>
        <v/>
      </c>
      <c r="J2783" s="2">
        <f>IFERROR(__xludf.DUMMYFUNCTION("""COMPUTED_VALUE"""),0.0)</f>
        <v>0</v>
      </c>
      <c r="K2783" s="5" t="str">
        <f>IFERROR(__xludf.DUMMYFUNCTION("""COMPUTED_VALUE"""),"")</f>
        <v/>
      </c>
      <c r="L2783" t="str">
        <f>IFERROR(__xludf.DUMMYFUNCTION("""COMPUTED_VALUE"""),"")</f>
        <v/>
      </c>
      <c r="M2783" t="str">
        <f>IFERROR(__xludf.DUMMYFUNCTION("""COMPUTED_VALUE"""),"")</f>
        <v/>
      </c>
      <c r="N2783" t="str">
        <f>IFERROR(__xludf.DUMMYFUNCTION("""COMPUTED_VALUE"""),"")</f>
        <v/>
      </c>
      <c r="O2783" t="str">
        <f>IFERROR(__xludf.DUMMYFUNCTION("""COMPUTED_VALUE"""),"")</f>
        <v/>
      </c>
      <c r="P2783" t="str">
        <f>IFERROR(__xludf.DUMMYFUNCTION("""COMPUTED_VALUE"""),"ID ")</f>
        <v>ID </v>
      </c>
    </row>
    <row r="2784">
      <c r="A2784" s="6" t="str">
        <f>IFERROR(__xludf.DUMMYFUNCTION("""COMPUTED_VALUE"""),"")</f>
        <v/>
      </c>
      <c r="C2784" t="str">
        <f>IFERROR(__xludf.DUMMYFUNCTION("""COMPUTED_VALUE"""),"")</f>
        <v/>
      </c>
      <c r="D2784" t="str">
        <f>IFERROR(__xludf.DUMMYFUNCTION("""COMPUTED_VALUE"""),"")</f>
        <v/>
      </c>
      <c r="E2784" t="str">
        <f>IFERROR(__xludf.DUMMYFUNCTION("""COMPUTED_VALUE"""),"")</f>
        <v/>
      </c>
      <c r="F2784" t="str">
        <f>IFERROR(__xludf.DUMMYFUNCTION("""COMPUTED_VALUE"""),"")</f>
        <v/>
      </c>
      <c r="G2784" t="str">
        <f>IFERROR(__xludf.DUMMYFUNCTION("""COMPUTED_VALUE"""),"")</f>
        <v/>
      </c>
      <c r="H2784" s="2" t="str">
        <f>IFERROR(__xludf.DUMMYFUNCTION("""COMPUTED_VALUE"""),"")</f>
        <v/>
      </c>
      <c r="I2784" s="2" t="str">
        <f>IFERROR(__xludf.DUMMYFUNCTION("""COMPUTED_VALUE"""),"")</f>
        <v/>
      </c>
      <c r="J2784" s="2">
        <f>IFERROR(__xludf.DUMMYFUNCTION("""COMPUTED_VALUE"""),0.0)</f>
        <v>0</v>
      </c>
      <c r="K2784" s="5" t="str">
        <f>IFERROR(__xludf.DUMMYFUNCTION("""COMPUTED_VALUE"""),"")</f>
        <v/>
      </c>
      <c r="L2784" t="str">
        <f>IFERROR(__xludf.DUMMYFUNCTION("""COMPUTED_VALUE"""),"")</f>
        <v/>
      </c>
      <c r="M2784" t="str">
        <f>IFERROR(__xludf.DUMMYFUNCTION("""COMPUTED_VALUE"""),"")</f>
        <v/>
      </c>
      <c r="N2784" t="str">
        <f>IFERROR(__xludf.DUMMYFUNCTION("""COMPUTED_VALUE"""),"")</f>
        <v/>
      </c>
      <c r="O2784" t="str">
        <f>IFERROR(__xludf.DUMMYFUNCTION("""COMPUTED_VALUE"""),"")</f>
        <v/>
      </c>
      <c r="P2784" t="str">
        <f>IFERROR(__xludf.DUMMYFUNCTION("""COMPUTED_VALUE"""),"ID ")</f>
        <v>ID </v>
      </c>
    </row>
    <row r="2785">
      <c r="A2785" s="6" t="str">
        <f>IFERROR(__xludf.DUMMYFUNCTION("""COMPUTED_VALUE"""),"")</f>
        <v/>
      </c>
      <c r="C2785" t="str">
        <f>IFERROR(__xludf.DUMMYFUNCTION("""COMPUTED_VALUE"""),"")</f>
        <v/>
      </c>
      <c r="D2785" t="str">
        <f>IFERROR(__xludf.DUMMYFUNCTION("""COMPUTED_VALUE"""),"")</f>
        <v/>
      </c>
      <c r="E2785" t="str">
        <f>IFERROR(__xludf.DUMMYFUNCTION("""COMPUTED_VALUE"""),"")</f>
        <v/>
      </c>
      <c r="F2785" t="str">
        <f>IFERROR(__xludf.DUMMYFUNCTION("""COMPUTED_VALUE"""),"")</f>
        <v/>
      </c>
      <c r="G2785" t="str">
        <f>IFERROR(__xludf.DUMMYFUNCTION("""COMPUTED_VALUE"""),"")</f>
        <v/>
      </c>
      <c r="H2785" s="2" t="str">
        <f>IFERROR(__xludf.DUMMYFUNCTION("""COMPUTED_VALUE"""),"")</f>
        <v/>
      </c>
      <c r="I2785" s="2" t="str">
        <f>IFERROR(__xludf.DUMMYFUNCTION("""COMPUTED_VALUE"""),"")</f>
        <v/>
      </c>
      <c r="J2785" s="2">
        <f>IFERROR(__xludf.DUMMYFUNCTION("""COMPUTED_VALUE"""),0.0)</f>
        <v>0</v>
      </c>
      <c r="K2785" s="5" t="str">
        <f>IFERROR(__xludf.DUMMYFUNCTION("""COMPUTED_VALUE"""),"")</f>
        <v/>
      </c>
      <c r="L2785" t="str">
        <f>IFERROR(__xludf.DUMMYFUNCTION("""COMPUTED_VALUE"""),"")</f>
        <v/>
      </c>
      <c r="M2785" t="str">
        <f>IFERROR(__xludf.DUMMYFUNCTION("""COMPUTED_VALUE"""),"")</f>
        <v/>
      </c>
      <c r="N2785" t="str">
        <f>IFERROR(__xludf.DUMMYFUNCTION("""COMPUTED_VALUE"""),"")</f>
        <v/>
      </c>
      <c r="O2785" t="str">
        <f>IFERROR(__xludf.DUMMYFUNCTION("""COMPUTED_VALUE"""),"")</f>
        <v/>
      </c>
      <c r="P2785" t="str">
        <f>IFERROR(__xludf.DUMMYFUNCTION("""COMPUTED_VALUE"""),"ID ")</f>
        <v>ID </v>
      </c>
    </row>
    <row r="2786">
      <c r="A2786" s="6" t="str">
        <f>IFERROR(__xludf.DUMMYFUNCTION("""COMPUTED_VALUE"""),"")</f>
        <v/>
      </c>
      <c r="C2786" t="str">
        <f>IFERROR(__xludf.DUMMYFUNCTION("""COMPUTED_VALUE"""),"")</f>
        <v/>
      </c>
      <c r="D2786" t="str">
        <f>IFERROR(__xludf.DUMMYFUNCTION("""COMPUTED_VALUE"""),"")</f>
        <v/>
      </c>
      <c r="E2786" t="str">
        <f>IFERROR(__xludf.DUMMYFUNCTION("""COMPUTED_VALUE"""),"")</f>
        <v/>
      </c>
      <c r="F2786" t="str">
        <f>IFERROR(__xludf.DUMMYFUNCTION("""COMPUTED_VALUE"""),"")</f>
        <v/>
      </c>
      <c r="G2786" t="str">
        <f>IFERROR(__xludf.DUMMYFUNCTION("""COMPUTED_VALUE"""),"")</f>
        <v/>
      </c>
      <c r="H2786" s="2" t="str">
        <f>IFERROR(__xludf.DUMMYFUNCTION("""COMPUTED_VALUE"""),"")</f>
        <v/>
      </c>
      <c r="I2786" s="2" t="str">
        <f>IFERROR(__xludf.DUMMYFUNCTION("""COMPUTED_VALUE"""),"")</f>
        <v/>
      </c>
      <c r="J2786" s="2">
        <f>IFERROR(__xludf.DUMMYFUNCTION("""COMPUTED_VALUE"""),0.0)</f>
        <v>0</v>
      </c>
      <c r="K2786" s="5" t="str">
        <f>IFERROR(__xludf.DUMMYFUNCTION("""COMPUTED_VALUE"""),"")</f>
        <v/>
      </c>
      <c r="L2786" t="str">
        <f>IFERROR(__xludf.DUMMYFUNCTION("""COMPUTED_VALUE"""),"")</f>
        <v/>
      </c>
      <c r="M2786" t="str">
        <f>IFERROR(__xludf.DUMMYFUNCTION("""COMPUTED_VALUE"""),"")</f>
        <v/>
      </c>
      <c r="N2786" t="str">
        <f>IFERROR(__xludf.DUMMYFUNCTION("""COMPUTED_VALUE"""),"")</f>
        <v/>
      </c>
      <c r="O2786" t="str">
        <f>IFERROR(__xludf.DUMMYFUNCTION("""COMPUTED_VALUE"""),"")</f>
        <v/>
      </c>
      <c r="P2786" t="str">
        <f>IFERROR(__xludf.DUMMYFUNCTION("""COMPUTED_VALUE"""),"ID ")</f>
        <v>ID </v>
      </c>
    </row>
    <row r="2787">
      <c r="A2787" s="6" t="str">
        <f>IFERROR(__xludf.DUMMYFUNCTION("""COMPUTED_VALUE"""),"")</f>
        <v/>
      </c>
      <c r="C2787" t="str">
        <f>IFERROR(__xludf.DUMMYFUNCTION("""COMPUTED_VALUE"""),"")</f>
        <v/>
      </c>
      <c r="D2787" t="str">
        <f>IFERROR(__xludf.DUMMYFUNCTION("""COMPUTED_VALUE"""),"")</f>
        <v/>
      </c>
      <c r="E2787" t="str">
        <f>IFERROR(__xludf.DUMMYFUNCTION("""COMPUTED_VALUE"""),"")</f>
        <v/>
      </c>
      <c r="F2787" t="str">
        <f>IFERROR(__xludf.DUMMYFUNCTION("""COMPUTED_VALUE"""),"")</f>
        <v/>
      </c>
      <c r="G2787" t="str">
        <f>IFERROR(__xludf.DUMMYFUNCTION("""COMPUTED_VALUE"""),"")</f>
        <v/>
      </c>
      <c r="H2787" s="2" t="str">
        <f>IFERROR(__xludf.DUMMYFUNCTION("""COMPUTED_VALUE"""),"")</f>
        <v/>
      </c>
      <c r="I2787" s="2" t="str">
        <f>IFERROR(__xludf.DUMMYFUNCTION("""COMPUTED_VALUE"""),"")</f>
        <v/>
      </c>
      <c r="J2787" s="2">
        <f>IFERROR(__xludf.DUMMYFUNCTION("""COMPUTED_VALUE"""),0.0)</f>
        <v>0</v>
      </c>
      <c r="K2787" s="5" t="str">
        <f>IFERROR(__xludf.DUMMYFUNCTION("""COMPUTED_VALUE"""),"")</f>
        <v/>
      </c>
      <c r="L2787" t="str">
        <f>IFERROR(__xludf.DUMMYFUNCTION("""COMPUTED_VALUE"""),"")</f>
        <v/>
      </c>
      <c r="M2787" t="str">
        <f>IFERROR(__xludf.DUMMYFUNCTION("""COMPUTED_VALUE"""),"")</f>
        <v/>
      </c>
      <c r="N2787" t="str">
        <f>IFERROR(__xludf.DUMMYFUNCTION("""COMPUTED_VALUE"""),"")</f>
        <v/>
      </c>
      <c r="O2787" t="str">
        <f>IFERROR(__xludf.DUMMYFUNCTION("""COMPUTED_VALUE"""),"")</f>
        <v/>
      </c>
      <c r="P2787" t="str">
        <f>IFERROR(__xludf.DUMMYFUNCTION("""COMPUTED_VALUE"""),"ID ")</f>
        <v>ID </v>
      </c>
    </row>
    <row r="2788">
      <c r="A2788" s="6" t="str">
        <f>IFERROR(__xludf.DUMMYFUNCTION("""COMPUTED_VALUE"""),"")</f>
        <v/>
      </c>
      <c r="C2788" t="str">
        <f>IFERROR(__xludf.DUMMYFUNCTION("""COMPUTED_VALUE"""),"")</f>
        <v/>
      </c>
      <c r="D2788" t="str">
        <f>IFERROR(__xludf.DUMMYFUNCTION("""COMPUTED_VALUE"""),"")</f>
        <v/>
      </c>
      <c r="E2788" t="str">
        <f>IFERROR(__xludf.DUMMYFUNCTION("""COMPUTED_VALUE"""),"")</f>
        <v/>
      </c>
      <c r="F2788" t="str">
        <f>IFERROR(__xludf.DUMMYFUNCTION("""COMPUTED_VALUE"""),"")</f>
        <v/>
      </c>
      <c r="G2788" t="str">
        <f>IFERROR(__xludf.DUMMYFUNCTION("""COMPUTED_VALUE"""),"")</f>
        <v/>
      </c>
      <c r="H2788" s="2" t="str">
        <f>IFERROR(__xludf.DUMMYFUNCTION("""COMPUTED_VALUE"""),"")</f>
        <v/>
      </c>
      <c r="I2788" s="2" t="str">
        <f>IFERROR(__xludf.DUMMYFUNCTION("""COMPUTED_VALUE"""),"")</f>
        <v/>
      </c>
      <c r="J2788" s="2">
        <f>IFERROR(__xludf.DUMMYFUNCTION("""COMPUTED_VALUE"""),0.0)</f>
        <v>0</v>
      </c>
      <c r="K2788" s="5" t="str">
        <f>IFERROR(__xludf.DUMMYFUNCTION("""COMPUTED_VALUE"""),"")</f>
        <v/>
      </c>
      <c r="L2788" t="str">
        <f>IFERROR(__xludf.DUMMYFUNCTION("""COMPUTED_VALUE"""),"")</f>
        <v/>
      </c>
      <c r="M2788" t="str">
        <f>IFERROR(__xludf.DUMMYFUNCTION("""COMPUTED_VALUE"""),"")</f>
        <v/>
      </c>
      <c r="N2788" t="str">
        <f>IFERROR(__xludf.DUMMYFUNCTION("""COMPUTED_VALUE"""),"")</f>
        <v/>
      </c>
      <c r="O2788" t="str">
        <f>IFERROR(__xludf.DUMMYFUNCTION("""COMPUTED_VALUE"""),"")</f>
        <v/>
      </c>
      <c r="P2788" t="str">
        <f>IFERROR(__xludf.DUMMYFUNCTION("""COMPUTED_VALUE"""),"ID ")</f>
        <v>ID </v>
      </c>
    </row>
    <row r="2789">
      <c r="A2789" s="6" t="str">
        <f>IFERROR(__xludf.DUMMYFUNCTION("""COMPUTED_VALUE"""),"")</f>
        <v/>
      </c>
      <c r="C2789" t="str">
        <f>IFERROR(__xludf.DUMMYFUNCTION("""COMPUTED_VALUE"""),"")</f>
        <v/>
      </c>
      <c r="D2789" t="str">
        <f>IFERROR(__xludf.DUMMYFUNCTION("""COMPUTED_VALUE"""),"")</f>
        <v/>
      </c>
      <c r="E2789" t="str">
        <f>IFERROR(__xludf.DUMMYFUNCTION("""COMPUTED_VALUE"""),"")</f>
        <v/>
      </c>
      <c r="F2789" t="str">
        <f>IFERROR(__xludf.DUMMYFUNCTION("""COMPUTED_VALUE"""),"")</f>
        <v/>
      </c>
      <c r="G2789" t="str">
        <f>IFERROR(__xludf.DUMMYFUNCTION("""COMPUTED_VALUE"""),"")</f>
        <v/>
      </c>
      <c r="H2789" s="2" t="str">
        <f>IFERROR(__xludf.DUMMYFUNCTION("""COMPUTED_VALUE"""),"")</f>
        <v/>
      </c>
      <c r="I2789" s="2" t="str">
        <f>IFERROR(__xludf.DUMMYFUNCTION("""COMPUTED_VALUE"""),"")</f>
        <v/>
      </c>
      <c r="J2789" s="2">
        <f>IFERROR(__xludf.DUMMYFUNCTION("""COMPUTED_VALUE"""),0.0)</f>
        <v>0</v>
      </c>
      <c r="K2789" s="5" t="str">
        <f>IFERROR(__xludf.DUMMYFUNCTION("""COMPUTED_VALUE"""),"")</f>
        <v/>
      </c>
      <c r="L2789" t="str">
        <f>IFERROR(__xludf.DUMMYFUNCTION("""COMPUTED_VALUE"""),"")</f>
        <v/>
      </c>
      <c r="M2789" t="str">
        <f>IFERROR(__xludf.DUMMYFUNCTION("""COMPUTED_VALUE"""),"")</f>
        <v/>
      </c>
      <c r="N2789" t="str">
        <f>IFERROR(__xludf.DUMMYFUNCTION("""COMPUTED_VALUE"""),"")</f>
        <v/>
      </c>
      <c r="O2789" t="str">
        <f>IFERROR(__xludf.DUMMYFUNCTION("""COMPUTED_VALUE"""),"")</f>
        <v/>
      </c>
      <c r="P2789" t="str">
        <f>IFERROR(__xludf.DUMMYFUNCTION("""COMPUTED_VALUE"""),"ID ")</f>
        <v>ID </v>
      </c>
    </row>
    <row r="2790">
      <c r="A2790" s="6" t="str">
        <f>IFERROR(__xludf.DUMMYFUNCTION("""COMPUTED_VALUE"""),"")</f>
        <v/>
      </c>
      <c r="C2790" t="str">
        <f>IFERROR(__xludf.DUMMYFUNCTION("""COMPUTED_VALUE"""),"")</f>
        <v/>
      </c>
      <c r="D2790" t="str">
        <f>IFERROR(__xludf.DUMMYFUNCTION("""COMPUTED_VALUE"""),"")</f>
        <v/>
      </c>
      <c r="E2790" t="str">
        <f>IFERROR(__xludf.DUMMYFUNCTION("""COMPUTED_VALUE"""),"")</f>
        <v/>
      </c>
      <c r="F2790" t="str">
        <f>IFERROR(__xludf.DUMMYFUNCTION("""COMPUTED_VALUE"""),"")</f>
        <v/>
      </c>
      <c r="G2790" t="str">
        <f>IFERROR(__xludf.DUMMYFUNCTION("""COMPUTED_VALUE"""),"")</f>
        <v/>
      </c>
      <c r="H2790" s="2" t="str">
        <f>IFERROR(__xludf.DUMMYFUNCTION("""COMPUTED_VALUE"""),"")</f>
        <v/>
      </c>
      <c r="I2790" s="2" t="str">
        <f>IFERROR(__xludf.DUMMYFUNCTION("""COMPUTED_VALUE"""),"")</f>
        <v/>
      </c>
      <c r="J2790" s="2">
        <f>IFERROR(__xludf.DUMMYFUNCTION("""COMPUTED_VALUE"""),0.0)</f>
        <v>0</v>
      </c>
      <c r="K2790" s="5" t="str">
        <f>IFERROR(__xludf.DUMMYFUNCTION("""COMPUTED_VALUE"""),"")</f>
        <v/>
      </c>
      <c r="L2790" t="str">
        <f>IFERROR(__xludf.DUMMYFUNCTION("""COMPUTED_VALUE"""),"")</f>
        <v/>
      </c>
      <c r="M2790" t="str">
        <f>IFERROR(__xludf.DUMMYFUNCTION("""COMPUTED_VALUE"""),"")</f>
        <v/>
      </c>
      <c r="N2790" t="str">
        <f>IFERROR(__xludf.DUMMYFUNCTION("""COMPUTED_VALUE"""),"")</f>
        <v/>
      </c>
      <c r="O2790" t="str">
        <f>IFERROR(__xludf.DUMMYFUNCTION("""COMPUTED_VALUE"""),"")</f>
        <v/>
      </c>
      <c r="P2790" t="str">
        <f>IFERROR(__xludf.DUMMYFUNCTION("""COMPUTED_VALUE"""),"ID ")</f>
        <v>ID </v>
      </c>
    </row>
    <row r="2791">
      <c r="A2791" s="6" t="str">
        <f>IFERROR(__xludf.DUMMYFUNCTION("""COMPUTED_VALUE"""),"")</f>
        <v/>
      </c>
      <c r="C2791" t="str">
        <f>IFERROR(__xludf.DUMMYFUNCTION("""COMPUTED_VALUE"""),"")</f>
        <v/>
      </c>
      <c r="D2791" t="str">
        <f>IFERROR(__xludf.DUMMYFUNCTION("""COMPUTED_VALUE"""),"")</f>
        <v/>
      </c>
      <c r="E2791" t="str">
        <f>IFERROR(__xludf.DUMMYFUNCTION("""COMPUTED_VALUE"""),"")</f>
        <v/>
      </c>
      <c r="F2791" t="str">
        <f>IFERROR(__xludf.DUMMYFUNCTION("""COMPUTED_VALUE"""),"")</f>
        <v/>
      </c>
      <c r="G2791" t="str">
        <f>IFERROR(__xludf.DUMMYFUNCTION("""COMPUTED_VALUE"""),"")</f>
        <v/>
      </c>
      <c r="H2791" s="2" t="str">
        <f>IFERROR(__xludf.DUMMYFUNCTION("""COMPUTED_VALUE"""),"")</f>
        <v/>
      </c>
      <c r="I2791" s="2" t="str">
        <f>IFERROR(__xludf.DUMMYFUNCTION("""COMPUTED_VALUE"""),"")</f>
        <v/>
      </c>
      <c r="J2791" s="2">
        <f>IFERROR(__xludf.DUMMYFUNCTION("""COMPUTED_VALUE"""),0.0)</f>
        <v>0</v>
      </c>
      <c r="K2791" s="5" t="str">
        <f>IFERROR(__xludf.DUMMYFUNCTION("""COMPUTED_VALUE"""),"")</f>
        <v/>
      </c>
      <c r="L2791" t="str">
        <f>IFERROR(__xludf.DUMMYFUNCTION("""COMPUTED_VALUE"""),"")</f>
        <v/>
      </c>
      <c r="M2791" t="str">
        <f>IFERROR(__xludf.DUMMYFUNCTION("""COMPUTED_VALUE"""),"")</f>
        <v/>
      </c>
      <c r="N2791" t="str">
        <f>IFERROR(__xludf.DUMMYFUNCTION("""COMPUTED_VALUE"""),"")</f>
        <v/>
      </c>
      <c r="O2791" t="str">
        <f>IFERROR(__xludf.DUMMYFUNCTION("""COMPUTED_VALUE"""),"")</f>
        <v/>
      </c>
      <c r="P2791" t="str">
        <f>IFERROR(__xludf.DUMMYFUNCTION("""COMPUTED_VALUE"""),"ID ")</f>
        <v>ID </v>
      </c>
    </row>
    <row r="2792">
      <c r="A2792" s="6" t="str">
        <f>IFERROR(__xludf.DUMMYFUNCTION("""COMPUTED_VALUE"""),"")</f>
        <v/>
      </c>
      <c r="C2792" t="str">
        <f>IFERROR(__xludf.DUMMYFUNCTION("""COMPUTED_VALUE"""),"")</f>
        <v/>
      </c>
      <c r="D2792" t="str">
        <f>IFERROR(__xludf.DUMMYFUNCTION("""COMPUTED_VALUE"""),"")</f>
        <v/>
      </c>
      <c r="E2792" t="str">
        <f>IFERROR(__xludf.DUMMYFUNCTION("""COMPUTED_VALUE"""),"")</f>
        <v/>
      </c>
      <c r="F2792" t="str">
        <f>IFERROR(__xludf.DUMMYFUNCTION("""COMPUTED_VALUE"""),"")</f>
        <v/>
      </c>
      <c r="G2792" t="str">
        <f>IFERROR(__xludf.DUMMYFUNCTION("""COMPUTED_VALUE"""),"")</f>
        <v/>
      </c>
      <c r="H2792" s="2" t="str">
        <f>IFERROR(__xludf.DUMMYFUNCTION("""COMPUTED_VALUE"""),"")</f>
        <v/>
      </c>
      <c r="I2792" s="2" t="str">
        <f>IFERROR(__xludf.DUMMYFUNCTION("""COMPUTED_VALUE"""),"")</f>
        <v/>
      </c>
      <c r="J2792" s="2">
        <f>IFERROR(__xludf.DUMMYFUNCTION("""COMPUTED_VALUE"""),0.0)</f>
        <v>0</v>
      </c>
      <c r="K2792" s="5" t="str">
        <f>IFERROR(__xludf.DUMMYFUNCTION("""COMPUTED_VALUE"""),"")</f>
        <v/>
      </c>
      <c r="L2792" t="str">
        <f>IFERROR(__xludf.DUMMYFUNCTION("""COMPUTED_VALUE"""),"")</f>
        <v/>
      </c>
      <c r="M2792" t="str">
        <f>IFERROR(__xludf.DUMMYFUNCTION("""COMPUTED_VALUE"""),"")</f>
        <v/>
      </c>
      <c r="N2792" t="str">
        <f>IFERROR(__xludf.DUMMYFUNCTION("""COMPUTED_VALUE"""),"")</f>
        <v/>
      </c>
      <c r="O2792" t="str">
        <f>IFERROR(__xludf.DUMMYFUNCTION("""COMPUTED_VALUE"""),"")</f>
        <v/>
      </c>
      <c r="P2792" t="str">
        <f>IFERROR(__xludf.DUMMYFUNCTION("""COMPUTED_VALUE"""),"ID ")</f>
        <v>ID </v>
      </c>
    </row>
    <row r="2793">
      <c r="A2793" s="6" t="str">
        <f>IFERROR(__xludf.DUMMYFUNCTION("""COMPUTED_VALUE"""),"")</f>
        <v/>
      </c>
      <c r="C2793" t="str">
        <f>IFERROR(__xludf.DUMMYFUNCTION("""COMPUTED_VALUE"""),"")</f>
        <v/>
      </c>
      <c r="D2793" t="str">
        <f>IFERROR(__xludf.DUMMYFUNCTION("""COMPUTED_VALUE"""),"")</f>
        <v/>
      </c>
      <c r="E2793" t="str">
        <f>IFERROR(__xludf.DUMMYFUNCTION("""COMPUTED_VALUE"""),"")</f>
        <v/>
      </c>
      <c r="F2793" t="str">
        <f>IFERROR(__xludf.DUMMYFUNCTION("""COMPUTED_VALUE"""),"")</f>
        <v/>
      </c>
      <c r="G2793" t="str">
        <f>IFERROR(__xludf.DUMMYFUNCTION("""COMPUTED_VALUE"""),"")</f>
        <v/>
      </c>
      <c r="H2793" s="2" t="str">
        <f>IFERROR(__xludf.DUMMYFUNCTION("""COMPUTED_VALUE"""),"")</f>
        <v/>
      </c>
      <c r="I2793" s="2" t="str">
        <f>IFERROR(__xludf.DUMMYFUNCTION("""COMPUTED_VALUE"""),"")</f>
        <v/>
      </c>
      <c r="J2793" s="2">
        <f>IFERROR(__xludf.DUMMYFUNCTION("""COMPUTED_VALUE"""),0.0)</f>
        <v>0</v>
      </c>
      <c r="K2793" s="5" t="str">
        <f>IFERROR(__xludf.DUMMYFUNCTION("""COMPUTED_VALUE"""),"")</f>
        <v/>
      </c>
      <c r="L2793" t="str">
        <f>IFERROR(__xludf.DUMMYFUNCTION("""COMPUTED_VALUE"""),"")</f>
        <v/>
      </c>
      <c r="M2793" t="str">
        <f>IFERROR(__xludf.DUMMYFUNCTION("""COMPUTED_VALUE"""),"")</f>
        <v/>
      </c>
      <c r="N2793" t="str">
        <f>IFERROR(__xludf.DUMMYFUNCTION("""COMPUTED_VALUE"""),"")</f>
        <v/>
      </c>
      <c r="O2793" t="str">
        <f>IFERROR(__xludf.DUMMYFUNCTION("""COMPUTED_VALUE"""),"")</f>
        <v/>
      </c>
      <c r="P2793" t="str">
        <f>IFERROR(__xludf.DUMMYFUNCTION("""COMPUTED_VALUE"""),"ID ")</f>
        <v>ID </v>
      </c>
    </row>
    <row r="2794">
      <c r="A2794" s="6" t="str">
        <f>IFERROR(__xludf.DUMMYFUNCTION("""COMPUTED_VALUE"""),"")</f>
        <v/>
      </c>
      <c r="C2794" t="str">
        <f>IFERROR(__xludf.DUMMYFUNCTION("""COMPUTED_VALUE"""),"")</f>
        <v/>
      </c>
      <c r="D2794" t="str">
        <f>IFERROR(__xludf.DUMMYFUNCTION("""COMPUTED_VALUE"""),"")</f>
        <v/>
      </c>
      <c r="E2794" t="str">
        <f>IFERROR(__xludf.DUMMYFUNCTION("""COMPUTED_VALUE"""),"")</f>
        <v/>
      </c>
      <c r="F2794" t="str">
        <f>IFERROR(__xludf.DUMMYFUNCTION("""COMPUTED_VALUE"""),"")</f>
        <v/>
      </c>
      <c r="G2794" t="str">
        <f>IFERROR(__xludf.DUMMYFUNCTION("""COMPUTED_VALUE"""),"")</f>
        <v/>
      </c>
      <c r="H2794" s="2" t="str">
        <f>IFERROR(__xludf.DUMMYFUNCTION("""COMPUTED_VALUE"""),"")</f>
        <v/>
      </c>
      <c r="I2794" s="2" t="str">
        <f>IFERROR(__xludf.DUMMYFUNCTION("""COMPUTED_VALUE"""),"")</f>
        <v/>
      </c>
      <c r="J2794" s="2">
        <f>IFERROR(__xludf.DUMMYFUNCTION("""COMPUTED_VALUE"""),0.0)</f>
        <v>0</v>
      </c>
      <c r="K2794" s="5" t="str">
        <f>IFERROR(__xludf.DUMMYFUNCTION("""COMPUTED_VALUE"""),"")</f>
        <v/>
      </c>
      <c r="L2794" t="str">
        <f>IFERROR(__xludf.DUMMYFUNCTION("""COMPUTED_VALUE"""),"")</f>
        <v/>
      </c>
      <c r="M2794" t="str">
        <f>IFERROR(__xludf.DUMMYFUNCTION("""COMPUTED_VALUE"""),"")</f>
        <v/>
      </c>
      <c r="N2794" t="str">
        <f>IFERROR(__xludf.DUMMYFUNCTION("""COMPUTED_VALUE"""),"")</f>
        <v/>
      </c>
      <c r="O2794" t="str">
        <f>IFERROR(__xludf.DUMMYFUNCTION("""COMPUTED_VALUE"""),"")</f>
        <v/>
      </c>
      <c r="P2794" t="str">
        <f>IFERROR(__xludf.DUMMYFUNCTION("""COMPUTED_VALUE"""),"ID ")</f>
        <v>ID </v>
      </c>
    </row>
    <row r="2795">
      <c r="A2795" s="6" t="str">
        <f>IFERROR(__xludf.DUMMYFUNCTION("""COMPUTED_VALUE"""),"")</f>
        <v/>
      </c>
      <c r="C2795" t="str">
        <f>IFERROR(__xludf.DUMMYFUNCTION("""COMPUTED_VALUE"""),"")</f>
        <v/>
      </c>
      <c r="D2795" t="str">
        <f>IFERROR(__xludf.DUMMYFUNCTION("""COMPUTED_VALUE"""),"")</f>
        <v/>
      </c>
      <c r="E2795" t="str">
        <f>IFERROR(__xludf.DUMMYFUNCTION("""COMPUTED_VALUE"""),"")</f>
        <v/>
      </c>
      <c r="F2795" t="str">
        <f>IFERROR(__xludf.DUMMYFUNCTION("""COMPUTED_VALUE"""),"")</f>
        <v/>
      </c>
      <c r="G2795" t="str">
        <f>IFERROR(__xludf.DUMMYFUNCTION("""COMPUTED_VALUE"""),"")</f>
        <v/>
      </c>
      <c r="H2795" s="2" t="str">
        <f>IFERROR(__xludf.DUMMYFUNCTION("""COMPUTED_VALUE"""),"")</f>
        <v/>
      </c>
      <c r="I2795" s="2" t="str">
        <f>IFERROR(__xludf.DUMMYFUNCTION("""COMPUTED_VALUE"""),"")</f>
        <v/>
      </c>
      <c r="J2795" s="2">
        <f>IFERROR(__xludf.DUMMYFUNCTION("""COMPUTED_VALUE"""),0.0)</f>
        <v>0</v>
      </c>
      <c r="K2795" s="5" t="str">
        <f>IFERROR(__xludf.DUMMYFUNCTION("""COMPUTED_VALUE"""),"")</f>
        <v/>
      </c>
      <c r="L2795" t="str">
        <f>IFERROR(__xludf.DUMMYFUNCTION("""COMPUTED_VALUE"""),"")</f>
        <v/>
      </c>
      <c r="M2795" t="str">
        <f>IFERROR(__xludf.DUMMYFUNCTION("""COMPUTED_VALUE"""),"")</f>
        <v/>
      </c>
      <c r="N2795" t="str">
        <f>IFERROR(__xludf.DUMMYFUNCTION("""COMPUTED_VALUE"""),"")</f>
        <v/>
      </c>
      <c r="O2795" t="str">
        <f>IFERROR(__xludf.DUMMYFUNCTION("""COMPUTED_VALUE"""),"")</f>
        <v/>
      </c>
      <c r="P2795" t="str">
        <f>IFERROR(__xludf.DUMMYFUNCTION("""COMPUTED_VALUE"""),"ID ")</f>
        <v>ID </v>
      </c>
    </row>
    <row r="2796">
      <c r="A2796" s="6" t="str">
        <f>IFERROR(__xludf.DUMMYFUNCTION("""COMPUTED_VALUE"""),"")</f>
        <v/>
      </c>
      <c r="C2796" t="str">
        <f>IFERROR(__xludf.DUMMYFUNCTION("""COMPUTED_VALUE"""),"")</f>
        <v/>
      </c>
      <c r="D2796" t="str">
        <f>IFERROR(__xludf.DUMMYFUNCTION("""COMPUTED_VALUE"""),"")</f>
        <v/>
      </c>
      <c r="E2796" t="str">
        <f>IFERROR(__xludf.DUMMYFUNCTION("""COMPUTED_VALUE"""),"")</f>
        <v/>
      </c>
      <c r="F2796" t="str">
        <f>IFERROR(__xludf.DUMMYFUNCTION("""COMPUTED_VALUE"""),"")</f>
        <v/>
      </c>
      <c r="G2796" t="str">
        <f>IFERROR(__xludf.DUMMYFUNCTION("""COMPUTED_VALUE"""),"")</f>
        <v/>
      </c>
      <c r="H2796" s="2" t="str">
        <f>IFERROR(__xludf.DUMMYFUNCTION("""COMPUTED_VALUE"""),"")</f>
        <v/>
      </c>
      <c r="I2796" s="2" t="str">
        <f>IFERROR(__xludf.DUMMYFUNCTION("""COMPUTED_VALUE"""),"")</f>
        <v/>
      </c>
      <c r="J2796" s="2">
        <f>IFERROR(__xludf.DUMMYFUNCTION("""COMPUTED_VALUE"""),0.0)</f>
        <v>0</v>
      </c>
      <c r="K2796" s="5" t="str">
        <f>IFERROR(__xludf.DUMMYFUNCTION("""COMPUTED_VALUE"""),"")</f>
        <v/>
      </c>
      <c r="L2796" t="str">
        <f>IFERROR(__xludf.DUMMYFUNCTION("""COMPUTED_VALUE"""),"")</f>
        <v/>
      </c>
      <c r="M2796" t="str">
        <f>IFERROR(__xludf.DUMMYFUNCTION("""COMPUTED_VALUE"""),"")</f>
        <v/>
      </c>
      <c r="N2796" t="str">
        <f>IFERROR(__xludf.DUMMYFUNCTION("""COMPUTED_VALUE"""),"")</f>
        <v/>
      </c>
      <c r="O2796" t="str">
        <f>IFERROR(__xludf.DUMMYFUNCTION("""COMPUTED_VALUE"""),"")</f>
        <v/>
      </c>
      <c r="P2796" t="str">
        <f>IFERROR(__xludf.DUMMYFUNCTION("""COMPUTED_VALUE"""),"ID ")</f>
        <v>ID </v>
      </c>
    </row>
    <row r="2797">
      <c r="A2797" s="6" t="str">
        <f>IFERROR(__xludf.DUMMYFUNCTION("""COMPUTED_VALUE"""),"")</f>
        <v/>
      </c>
      <c r="C2797" t="str">
        <f>IFERROR(__xludf.DUMMYFUNCTION("""COMPUTED_VALUE"""),"")</f>
        <v/>
      </c>
      <c r="D2797" t="str">
        <f>IFERROR(__xludf.DUMMYFUNCTION("""COMPUTED_VALUE"""),"")</f>
        <v/>
      </c>
      <c r="E2797" t="str">
        <f>IFERROR(__xludf.DUMMYFUNCTION("""COMPUTED_VALUE"""),"")</f>
        <v/>
      </c>
      <c r="F2797" t="str">
        <f>IFERROR(__xludf.DUMMYFUNCTION("""COMPUTED_VALUE"""),"")</f>
        <v/>
      </c>
      <c r="G2797" t="str">
        <f>IFERROR(__xludf.DUMMYFUNCTION("""COMPUTED_VALUE"""),"")</f>
        <v/>
      </c>
      <c r="H2797" s="2" t="str">
        <f>IFERROR(__xludf.DUMMYFUNCTION("""COMPUTED_VALUE"""),"")</f>
        <v/>
      </c>
      <c r="I2797" s="2" t="str">
        <f>IFERROR(__xludf.DUMMYFUNCTION("""COMPUTED_VALUE"""),"")</f>
        <v/>
      </c>
      <c r="J2797" s="2">
        <f>IFERROR(__xludf.DUMMYFUNCTION("""COMPUTED_VALUE"""),0.0)</f>
        <v>0</v>
      </c>
      <c r="K2797" s="5" t="str">
        <f>IFERROR(__xludf.DUMMYFUNCTION("""COMPUTED_VALUE"""),"")</f>
        <v/>
      </c>
      <c r="L2797" t="str">
        <f>IFERROR(__xludf.DUMMYFUNCTION("""COMPUTED_VALUE"""),"")</f>
        <v/>
      </c>
      <c r="M2797" t="str">
        <f>IFERROR(__xludf.DUMMYFUNCTION("""COMPUTED_VALUE"""),"")</f>
        <v/>
      </c>
      <c r="N2797" t="str">
        <f>IFERROR(__xludf.DUMMYFUNCTION("""COMPUTED_VALUE"""),"")</f>
        <v/>
      </c>
      <c r="O2797" t="str">
        <f>IFERROR(__xludf.DUMMYFUNCTION("""COMPUTED_VALUE"""),"")</f>
        <v/>
      </c>
      <c r="P2797" t="str">
        <f>IFERROR(__xludf.DUMMYFUNCTION("""COMPUTED_VALUE"""),"ID ")</f>
        <v>ID </v>
      </c>
    </row>
    <row r="2798">
      <c r="A2798" s="6" t="str">
        <f>IFERROR(__xludf.DUMMYFUNCTION("""COMPUTED_VALUE"""),"")</f>
        <v/>
      </c>
      <c r="C2798" t="str">
        <f>IFERROR(__xludf.DUMMYFUNCTION("""COMPUTED_VALUE"""),"")</f>
        <v/>
      </c>
      <c r="D2798" t="str">
        <f>IFERROR(__xludf.DUMMYFUNCTION("""COMPUTED_VALUE"""),"")</f>
        <v/>
      </c>
      <c r="E2798" t="str">
        <f>IFERROR(__xludf.DUMMYFUNCTION("""COMPUTED_VALUE"""),"")</f>
        <v/>
      </c>
      <c r="F2798" t="str">
        <f>IFERROR(__xludf.DUMMYFUNCTION("""COMPUTED_VALUE"""),"")</f>
        <v/>
      </c>
      <c r="G2798" t="str">
        <f>IFERROR(__xludf.DUMMYFUNCTION("""COMPUTED_VALUE"""),"")</f>
        <v/>
      </c>
      <c r="H2798" s="2" t="str">
        <f>IFERROR(__xludf.DUMMYFUNCTION("""COMPUTED_VALUE"""),"")</f>
        <v/>
      </c>
      <c r="I2798" s="2" t="str">
        <f>IFERROR(__xludf.DUMMYFUNCTION("""COMPUTED_VALUE"""),"")</f>
        <v/>
      </c>
      <c r="J2798" s="2">
        <f>IFERROR(__xludf.DUMMYFUNCTION("""COMPUTED_VALUE"""),0.0)</f>
        <v>0</v>
      </c>
      <c r="K2798" s="5" t="str">
        <f>IFERROR(__xludf.DUMMYFUNCTION("""COMPUTED_VALUE"""),"")</f>
        <v/>
      </c>
      <c r="L2798" t="str">
        <f>IFERROR(__xludf.DUMMYFUNCTION("""COMPUTED_VALUE"""),"")</f>
        <v/>
      </c>
      <c r="M2798" t="str">
        <f>IFERROR(__xludf.DUMMYFUNCTION("""COMPUTED_VALUE"""),"")</f>
        <v/>
      </c>
      <c r="N2798" t="str">
        <f>IFERROR(__xludf.DUMMYFUNCTION("""COMPUTED_VALUE"""),"")</f>
        <v/>
      </c>
      <c r="O2798" t="str">
        <f>IFERROR(__xludf.DUMMYFUNCTION("""COMPUTED_VALUE"""),"")</f>
        <v/>
      </c>
      <c r="P2798" t="str">
        <f>IFERROR(__xludf.DUMMYFUNCTION("""COMPUTED_VALUE"""),"ID ")</f>
        <v>ID </v>
      </c>
    </row>
    <row r="2799">
      <c r="A2799" s="6" t="str">
        <f>IFERROR(__xludf.DUMMYFUNCTION("""COMPUTED_VALUE"""),"")</f>
        <v/>
      </c>
      <c r="C2799" t="str">
        <f>IFERROR(__xludf.DUMMYFUNCTION("""COMPUTED_VALUE"""),"")</f>
        <v/>
      </c>
      <c r="D2799" t="str">
        <f>IFERROR(__xludf.DUMMYFUNCTION("""COMPUTED_VALUE"""),"")</f>
        <v/>
      </c>
      <c r="E2799" t="str">
        <f>IFERROR(__xludf.DUMMYFUNCTION("""COMPUTED_VALUE"""),"")</f>
        <v/>
      </c>
      <c r="F2799" t="str">
        <f>IFERROR(__xludf.DUMMYFUNCTION("""COMPUTED_VALUE"""),"")</f>
        <v/>
      </c>
      <c r="G2799" t="str">
        <f>IFERROR(__xludf.DUMMYFUNCTION("""COMPUTED_VALUE"""),"")</f>
        <v/>
      </c>
      <c r="H2799" s="2" t="str">
        <f>IFERROR(__xludf.DUMMYFUNCTION("""COMPUTED_VALUE"""),"")</f>
        <v/>
      </c>
      <c r="I2799" s="2" t="str">
        <f>IFERROR(__xludf.DUMMYFUNCTION("""COMPUTED_VALUE"""),"")</f>
        <v/>
      </c>
      <c r="J2799" s="2">
        <f>IFERROR(__xludf.DUMMYFUNCTION("""COMPUTED_VALUE"""),0.0)</f>
        <v>0</v>
      </c>
      <c r="K2799" s="5" t="str">
        <f>IFERROR(__xludf.DUMMYFUNCTION("""COMPUTED_VALUE"""),"")</f>
        <v/>
      </c>
      <c r="L2799" t="str">
        <f>IFERROR(__xludf.DUMMYFUNCTION("""COMPUTED_VALUE"""),"")</f>
        <v/>
      </c>
      <c r="M2799" t="str">
        <f>IFERROR(__xludf.DUMMYFUNCTION("""COMPUTED_VALUE"""),"")</f>
        <v/>
      </c>
      <c r="N2799" t="str">
        <f>IFERROR(__xludf.DUMMYFUNCTION("""COMPUTED_VALUE"""),"")</f>
        <v/>
      </c>
      <c r="O2799" t="str">
        <f>IFERROR(__xludf.DUMMYFUNCTION("""COMPUTED_VALUE"""),"")</f>
        <v/>
      </c>
      <c r="P2799" t="str">
        <f>IFERROR(__xludf.DUMMYFUNCTION("""COMPUTED_VALUE"""),"ID ")</f>
        <v>ID </v>
      </c>
    </row>
    <row r="2800">
      <c r="A2800" s="6" t="str">
        <f>IFERROR(__xludf.DUMMYFUNCTION("""COMPUTED_VALUE"""),"")</f>
        <v/>
      </c>
      <c r="C2800" t="str">
        <f>IFERROR(__xludf.DUMMYFUNCTION("""COMPUTED_VALUE"""),"")</f>
        <v/>
      </c>
      <c r="D2800" t="str">
        <f>IFERROR(__xludf.DUMMYFUNCTION("""COMPUTED_VALUE"""),"")</f>
        <v/>
      </c>
      <c r="E2800" t="str">
        <f>IFERROR(__xludf.DUMMYFUNCTION("""COMPUTED_VALUE"""),"")</f>
        <v/>
      </c>
      <c r="F2800" t="str">
        <f>IFERROR(__xludf.DUMMYFUNCTION("""COMPUTED_VALUE"""),"")</f>
        <v/>
      </c>
      <c r="G2800" t="str">
        <f>IFERROR(__xludf.DUMMYFUNCTION("""COMPUTED_VALUE"""),"")</f>
        <v/>
      </c>
      <c r="H2800" s="2" t="str">
        <f>IFERROR(__xludf.DUMMYFUNCTION("""COMPUTED_VALUE"""),"")</f>
        <v/>
      </c>
      <c r="I2800" s="2" t="str">
        <f>IFERROR(__xludf.DUMMYFUNCTION("""COMPUTED_VALUE"""),"")</f>
        <v/>
      </c>
      <c r="J2800" s="2">
        <f>IFERROR(__xludf.DUMMYFUNCTION("""COMPUTED_VALUE"""),0.0)</f>
        <v>0</v>
      </c>
      <c r="K2800" s="5" t="str">
        <f>IFERROR(__xludf.DUMMYFUNCTION("""COMPUTED_VALUE"""),"")</f>
        <v/>
      </c>
      <c r="L2800" t="str">
        <f>IFERROR(__xludf.DUMMYFUNCTION("""COMPUTED_VALUE"""),"")</f>
        <v/>
      </c>
      <c r="M2800" t="str">
        <f>IFERROR(__xludf.DUMMYFUNCTION("""COMPUTED_VALUE"""),"")</f>
        <v/>
      </c>
      <c r="N2800" t="str">
        <f>IFERROR(__xludf.DUMMYFUNCTION("""COMPUTED_VALUE"""),"")</f>
        <v/>
      </c>
      <c r="O2800" t="str">
        <f>IFERROR(__xludf.DUMMYFUNCTION("""COMPUTED_VALUE"""),"")</f>
        <v/>
      </c>
      <c r="P2800" t="str">
        <f>IFERROR(__xludf.DUMMYFUNCTION("""COMPUTED_VALUE"""),"ID ")</f>
        <v>ID </v>
      </c>
    </row>
    <row r="2801">
      <c r="A2801" s="6" t="str">
        <f>IFERROR(__xludf.DUMMYFUNCTION("""COMPUTED_VALUE"""),"")</f>
        <v/>
      </c>
      <c r="C2801" t="str">
        <f>IFERROR(__xludf.DUMMYFUNCTION("""COMPUTED_VALUE"""),"")</f>
        <v/>
      </c>
      <c r="D2801" t="str">
        <f>IFERROR(__xludf.DUMMYFUNCTION("""COMPUTED_VALUE"""),"")</f>
        <v/>
      </c>
      <c r="E2801" t="str">
        <f>IFERROR(__xludf.DUMMYFUNCTION("""COMPUTED_VALUE"""),"")</f>
        <v/>
      </c>
      <c r="F2801" t="str">
        <f>IFERROR(__xludf.DUMMYFUNCTION("""COMPUTED_VALUE"""),"")</f>
        <v/>
      </c>
      <c r="G2801" t="str">
        <f>IFERROR(__xludf.DUMMYFUNCTION("""COMPUTED_VALUE"""),"")</f>
        <v/>
      </c>
      <c r="H2801" s="2" t="str">
        <f>IFERROR(__xludf.DUMMYFUNCTION("""COMPUTED_VALUE"""),"")</f>
        <v/>
      </c>
      <c r="I2801" s="2" t="str">
        <f>IFERROR(__xludf.DUMMYFUNCTION("""COMPUTED_VALUE"""),"")</f>
        <v/>
      </c>
      <c r="J2801" s="2">
        <f>IFERROR(__xludf.DUMMYFUNCTION("""COMPUTED_VALUE"""),0.0)</f>
        <v>0</v>
      </c>
      <c r="K2801" s="5" t="str">
        <f>IFERROR(__xludf.DUMMYFUNCTION("""COMPUTED_VALUE"""),"")</f>
        <v/>
      </c>
      <c r="L2801" t="str">
        <f>IFERROR(__xludf.DUMMYFUNCTION("""COMPUTED_VALUE"""),"")</f>
        <v/>
      </c>
      <c r="M2801" t="str">
        <f>IFERROR(__xludf.DUMMYFUNCTION("""COMPUTED_VALUE"""),"")</f>
        <v/>
      </c>
      <c r="N2801" t="str">
        <f>IFERROR(__xludf.DUMMYFUNCTION("""COMPUTED_VALUE"""),"")</f>
        <v/>
      </c>
      <c r="O2801" t="str">
        <f>IFERROR(__xludf.DUMMYFUNCTION("""COMPUTED_VALUE"""),"")</f>
        <v/>
      </c>
      <c r="P2801" t="str">
        <f>IFERROR(__xludf.DUMMYFUNCTION("""COMPUTED_VALUE"""),"ID ")</f>
        <v>ID </v>
      </c>
    </row>
    <row r="2802">
      <c r="A2802" s="6" t="str">
        <f>IFERROR(__xludf.DUMMYFUNCTION("""COMPUTED_VALUE"""),"")</f>
        <v/>
      </c>
      <c r="C2802" t="str">
        <f>IFERROR(__xludf.DUMMYFUNCTION("""COMPUTED_VALUE"""),"")</f>
        <v/>
      </c>
      <c r="D2802" t="str">
        <f>IFERROR(__xludf.DUMMYFUNCTION("""COMPUTED_VALUE"""),"")</f>
        <v/>
      </c>
      <c r="E2802" t="str">
        <f>IFERROR(__xludf.DUMMYFUNCTION("""COMPUTED_VALUE"""),"")</f>
        <v/>
      </c>
      <c r="F2802" t="str">
        <f>IFERROR(__xludf.DUMMYFUNCTION("""COMPUTED_VALUE"""),"")</f>
        <v/>
      </c>
      <c r="G2802" t="str">
        <f>IFERROR(__xludf.DUMMYFUNCTION("""COMPUTED_VALUE"""),"")</f>
        <v/>
      </c>
      <c r="H2802" s="2" t="str">
        <f>IFERROR(__xludf.DUMMYFUNCTION("""COMPUTED_VALUE"""),"")</f>
        <v/>
      </c>
      <c r="I2802" s="2" t="str">
        <f>IFERROR(__xludf.DUMMYFUNCTION("""COMPUTED_VALUE"""),"")</f>
        <v/>
      </c>
      <c r="J2802" s="2">
        <f>IFERROR(__xludf.DUMMYFUNCTION("""COMPUTED_VALUE"""),0.0)</f>
        <v>0</v>
      </c>
      <c r="K2802" s="5" t="str">
        <f>IFERROR(__xludf.DUMMYFUNCTION("""COMPUTED_VALUE"""),"")</f>
        <v/>
      </c>
      <c r="L2802" t="str">
        <f>IFERROR(__xludf.DUMMYFUNCTION("""COMPUTED_VALUE"""),"")</f>
        <v/>
      </c>
      <c r="M2802" t="str">
        <f>IFERROR(__xludf.DUMMYFUNCTION("""COMPUTED_VALUE"""),"")</f>
        <v/>
      </c>
      <c r="N2802" t="str">
        <f>IFERROR(__xludf.DUMMYFUNCTION("""COMPUTED_VALUE"""),"")</f>
        <v/>
      </c>
      <c r="O2802" t="str">
        <f>IFERROR(__xludf.DUMMYFUNCTION("""COMPUTED_VALUE"""),"")</f>
        <v/>
      </c>
      <c r="P2802" t="str">
        <f>IFERROR(__xludf.DUMMYFUNCTION("""COMPUTED_VALUE"""),"ID ")</f>
        <v>ID </v>
      </c>
    </row>
    <row r="2803">
      <c r="A2803" s="6" t="str">
        <f>IFERROR(__xludf.DUMMYFUNCTION("""COMPUTED_VALUE"""),"")</f>
        <v/>
      </c>
      <c r="C2803" t="str">
        <f>IFERROR(__xludf.DUMMYFUNCTION("""COMPUTED_VALUE"""),"")</f>
        <v/>
      </c>
      <c r="D2803" t="str">
        <f>IFERROR(__xludf.DUMMYFUNCTION("""COMPUTED_VALUE"""),"")</f>
        <v/>
      </c>
      <c r="E2803" t="str">
        <f>IFERROR(__xludf.DUMMYFUNCTION("""COMPUTED_VALUE"""),"")</f>
        <v/>
      </c>
      <c r="F2803" t="str">
        <f>IFERROR(__xludf.DUMMYFUNCTION("""COMPUTED_VALUE"""),"")</f>
        <v/>
      </c>
      <c r="G2803" t="str">
        <f>IFERROR(__xludf.DUMMYFUNCTION("""COMPUTED_VALUE"""),"")</f>
        <v/>
      </c>
      <c r="H2803" s="2" t="str">
        <f>IFERROR(__xludf.DUMMYFUNCTION("""COMPUTED_VALUE"""),"")</f>
        <v/>
      </c>
      <c r="I2803" s="2" t="str">
        <f>IFERROR(__xludf.DUMMYFUNCTION("""COMPUTED_VALUE"""),"")</f>
        <v/>
      </c>
      <c r="J2803" s="2">
        <f>IFERROR(__xludf.DUMMYFUNCTION("""COMPUTED_VALUE"""),0.0)</f>
        <v>0</v>
      </c>
      <c r="K2803" s="5" t="str">
        <f>IFERROR(__xludf.DUMMYFUNCTION("""COMPUTED_VALUE"""),"")</f>
        <v/>
      </c>
      <c r="L2803" t="str">
        <f>IFERROR(__xludf.DUMMYFUNCTION("""COMPUTED_VALUE"""),"")</f>
        <v/>
      </c>
      <c r="M2803" t="str">
        <f>IFERROR(__xludf.DUMMYFUNCTION("""COMPUTED_VALUE"""),"")</f>
        <v/>
      </c>
      <c r="N2803" t="str">
        <f>IFERROR(__xludf.DUMMYFUNCTION("""COMPUTED_VALUE"""),"")</f>
        <v/>
      </c>
      <c r="O2803" t="str">
        <f>IFERROR(__xludf.DUMMYFUNCTION("""COMPUTED_VALUE"""),"")</f>
        <v/>
      </c>
      <c r="P2803" t="str">
        <f>IFERROR(__xludf.DUMMYFUNCTION("""COMPUTED_VALUE"""),"ID ")</f>
        <v>ID </v>
      </c>
    </row>
    <row r="2804">
      <c r="A2804" s="6" t="str">
        <f>IFERROR(__xludf.DUMMYFUNCTION("""COMPUTED_VALUE"""),"")</f>
        <v/>
      </c>
      <c r="C2804" t="str">
        <f>IFERROR(__xludf.DUMMYFUNCTION("""COMPUTED_VALUE"""),"")</f>
        <v/>
      </c>
      <c r="D2804" t="str">
        <f>IFERROR(__xludf.DUMMYFUNCTION("""COMPUTED_VALUE"""),"")</f>
        <v/>
      </c>
      <c r="E2804" t="str">
        <f>IFERROR(__xludf.DUMMYFUNCTION("""COMPUTED_VALUE"""),"")</f>
        <v/>
      </c>
      <c r="F2804" t="str">
        <f>IFERROR(__xludf.DUMMYFUNCTION("""COMPUTED_VALUE"""),"")</f>
        <v/>
      </c>
      <c r="G2804" t="str">
        <f>IFERROR(__xludf.DUMMYFUNCTION("""COMPUTED_VALUE"""),"")</f>
        <v/>
      </c>
      <c r="H2804" s="2" t="str">
        <f>IFERROR(__xludf.DUMMYFUNCTION("""COMPUTED_VALUE"""),"")</f>
        <v/>
      </c>
      <c r="I2804" s="2" t="str">
        <f>IFERROR(__xludf.DUMMYFUNCTION("""COMPUTED_VALUE"""),"")</f>
        <v/>
      </c>
      <c r="J2804" s="2">
        <f>IFERROR(__xludf.DUMMYFUNCTION("""COMPUTED_VALUE"""),0.0)</f>
        <v>0</v>
      </c>
      <c r="K2804" s="5" t="str">
        <f>IFERROR(__xludf.DUMMYFUNCTION("""COMPUTED_VALUE"""),"")</f>
        <v/>
      </c>
      <c r="L2804" t="str">
        <f>IFERROR(__xludf.DUMMYFUNCTION("""COMPUTED_VALUE"""),"")</f>
        <v/>
      </c>
      <c r="M2804" t="str">
        <f>IFERROR(__xludf.DUMMYFUNCTION("""COMPUTED_VALUE"""),"")</f>
        <v/>
      </c>
      <c r="N2804" t="str">
        <f>IFERROR(__xludf.DUMMYFUNCTION("""COMPUTED_VALUE"""),"")</f>
        <v/>
      </c>
      <c r="O2804" t="str">
        <f>IFERROR(__xludf.DUMMYFUNCTION("""COMPUTED_VALUE"""),"")</f>
        <v/>
      </c>
      <c r="P2804" t="str">
        <f>IFERROR(__xludf.DUMMYFUNCTION("""COMPUTED_VALUE"""),"ID ")</f>
        <v>ID </v>
      </c>
    </row>
    <row r="2805">
      <c r="A2805" s="6" t="str">
        <f>IFERROR(__xludf.DUMMYFUNCTION("""COMPUTED_VALUE"""),"")</f>
        <v/>
      </c>
      <c r="C2805" t="str">
        <f>IFERROR(__xludf.DUMMYFUNCTION("""COMPUTED_VALUE"""),"")</f>
        <v/>
      </c>
      <c r="D2805" t="str">
        <f>IFERROR(__xludf.DUMMYFUNCTION("""COMPUTED_VALUE"""),"")</f>
        <v/>
      </c>
      <c r="E2805" t="str">
        <f>IFERROR(__xludf.DUMMYFUNCTION("""COMPUTED_VALUE"""),"")</f>
        <v/>
      </c>
      <c r="F2805" t="str">
        <f>IFERROR(__xludf.DUMMYFUNCTION("""COMPUTED_VALUE"""),"")</f>
        <v/>
      </c>
      <c r="G2805" t="str">
        <f>IFERROR(__xludf.DUMMYFUNCTION("""COMPUTED_VALUE"""),"")</f>
        <v/>
      </c>
      <c r="H2805" s="2" t="str">
        <f>IFERROR(__xludf.DUMMYFUNCTION("""COMPUTED_VALUE"""),"")</f>
        <v/>
      </c>
      <c r="I2805" s="2" t="str">
        <f>IFERROR(__xludf.DUMMYFUNCTION("""COMPUTED_VALUE"""),"")</f>
        <v/>
      </c>
      <c r="J2805" s="2">
        <f>IFERROR(__xludf.DUMMYFUNCTION("""COMPUTED_VALUE"""),0.0)</f>
        <v>0</v>
      </c>
      <c r="K2805" s="5" t="str">
        <f>IFERROR(__xludf.DUMMYFUNCTION("""COMPUTED_VALUE"""),"")</f>
        <v/>
      </c>
      <c r="L2805" t="str">
        <f>IFERROR(__xludf.DUMMYFUNCTION("""COMPUTED_VALUE"""),"")</f>
        <v/>
      </c>
      <c r="M2805" t="str">
        <f>IFERROR(__xludf.DUMMYFUNCTION("""COMPUTED_VALUE"""),"")</f>
        <v/>
      </c>
      <c r="N2805" t="str">
        <f>IFERROR(__xludf.DUMMYFUNCTION("""COMPUTED_VALUE"""),"")</f>
        <v/>
      </c>
      <c r="O2805" t="str">
        <f>IFERROR(__xludf.DUMMYFUNCTION("""COMPUTED_VALUE"""),"")</f>
        <v/>
      </c>
      <c r="P2805" t="str">
        <f>IFERROR(__xludf.DUMMYFUNCTION("""COMPUTED_VALUE"""),"ID ")</f>
        <v>ID </v>
      </c>
    </row>
    <row r="2806">
      <c r="A2806" s="6" t="str">
        <f>IFERROR(__xludf.DUMMYFUNCTION("""COMPUTED_VALUE"""),"")</f>
        <v/>
      </c>
      <c r="C2806" t="str">
        <f>IFERROR(__xludf.DUMMYFUNCTION("""COMPUTED_VALUE"""),"")</f>
        <v/>
      </c>
      <c r="D2806" t="str">
        <f>IFERROR(__xludf.DUMMYFUNCTION("""COMPUTED_VALUE"""),"")</f>
        <v/>
      </c>
      <c r="E2806" t="str">
        <f>IFERROR(__xludf.DUMMYFUNCTION("""COMPUTED_VALUE"""),"")</f>
        <v/>
      </c>
      <c r="F2806" t="str">
        <f>IFERROR(__xludf.DUMMYFUNCTION("""COMPUTED_VALUE"""),"")</f>
        <v/>
      </c>
      <c r="G2806" t="str">
        <f>IFERROR(__xludf.DUMMYFUNCTION("""COMPUTED_VALUE"""),"")</f>
        <v/>
      </c>
      <c r="H2806" s="2" t="str">
        <f>IFERROR(__xludf.DUMMYFUNCTION("""COMPUTED_VALUE"""),"")</f>
        <v/>
      </c>
      <c r="I2806" s="2" t="str">
        <f>IFERROR(__xludf.DUMMYFUNCTION("""COMPUTED_VALUE"""),"")</f>
        <v/>
      </c>
      <c r="J2806" s="2">
        <f>IFERROR(__xludf.DUMMYFUNCTION("""COMPUTED_VALUE"""),0.0)</f>
        <v>0</v>
      </c>
      <c r="K2806" s="5" t="str">
        <f>IFERROR(__xludf.DUMMYFUNCTION("""COMPUTED_VALUE"""),"")</f>
        <v/>
      </c>
      <c r="L2806" t="str">
        <f>IFERROR(__xludf.DUMMYFUNCTION("""COMPUTED_VALUE"""),"")</f>
        <v/>
      </c>
      <c r="M2806" t="str">
        <f>IFERROR(__xludf.DUMMYFUNCTION("""COMPUTED_VALUE"""),"")</f>
        <v/>
      </c>
      <c r="N2806" t="str">
        <f>IFERROR(__xludf.DUMMYFUNCTION("""COMPUTED_VALUE"""),"")</f>
        <v/>
      </c>
      <c r="O2806" t="str">
        <f>IFERROR(__xludf.DUMMYFUNCTION("""COMPUTED_VALUE"""),"")</f>
        <v/>
      </c>
      <c r="P2806" t="str">
        <f>IFERROR(__xludf.DUMMYFUNCTION("""COMPUTED_VALUE"""),"ID ")</f>
        <v>ID </v>
      </c>
    </row>
    <row r="2807">
      <c r="A2807" s="6" t="str">
        <f>IFERROR(__xludf.DUMMYFUNCTION("""COMPUTED_VALUE"""),"")</f>
        <v/>
      </c>
      <c r="C2807" t="str">
        <f>IFERROR(__xludf.DUMMYFUNCTION("""COMPUTED_VALUE"""),"")</f>
        <v/>
      </c>
      <c r="D2807" t="str">
        <f>IFERROR(__xludf.DUMMYFUNCTION("""COMPUTED_VALUE"""),"")</f>
        <v/>
      </c>
      <c r="E2807" t="str">
        <f>IFERROR(__xludf.DUMMYFUNCTION("""COMPUTED_VALUE"""),"")</f>
        <v/>
      </c>
      <c r="F2807" t="str">
        <f>IFERROR(__xludf.DUMMYFUNCTION("""COMPUTED_VALUE"""),"")</f>
        <v/>
      </c>
      <c r="G2807" t="str">
        <f>IFERROR(__xludf.DUMMYFUNCTION("""COMPUTED_VALUE"""),"")</f>
        <v/>
      </c>
      <c r="H2807" s="2" t="str">
        <f>IFERROR(__xludf.DUMMYFUNCTION("""COMPUTED_VALUE"""),"")</f>
        <v/>
      </c>
      <c r="I2807" s="2" t="str">
        <f>IFERROR(__xludf.DUMMYFUNCTION("""COMPUTED_VALUE"""),"")</f>
        <v/>
      </c>
      <c r="J2807" s="2">
        <f>IFERROR(__xludf.DUMMYFUNCTION("""COMPUTED_VALUE"""),0.0)</f>
        <v>0</v>
      </c>
      <c r="K2807" s="5" t="str">
        <f>IFERROR(__xludf.DUMMYFUNCTION("""COMPUTED_VALUE"""),"")</f>
        <v/>
      </c>
      <c r="L2807" t="str">
        <f>IFERROR(__xludf.DUMMYFUNCTION("""COMPUTED_VALUE"""),"")</f>
        <v/>
      </c>
      <c r="M2807" t="str">
        <f>IFERROR(__xludf.DUMMYFUNCTION("""COMPUTED_VALUE"""),"")</f>
        <v/>
      </c>
      <c r="N2807" t="str">
        <f>IFERROR(__xludf.DUMMYFUNCTION("""COMPUTED_VALUE"""),"")</f>
        <v/>
      </c>
      <c r="O2807" t="str">
        <f>IFERROR(__xludf.DUMMYFUNCTION("""COMPUTED_VALUE"""),"")</f>
        <v/>
      </c>
      <c r="P2807" t="str">
        <f>IFERROR(__xludf.DUMMYFUNCTION("""COMPUTED_VALUE"""),"ID ")</f>
        <v>ID </v>
      </c>
    </row>
    <row r="2808">
      <c r="A2808" s="6" t="str">
        <f>IFERROR(__xludf.DUMMYFUNCTION("""COMPUTED_VALUE"""),"")</f>
        <v/>
      </c>
      <c r="C2808" t="str">
        <f>IFERROR(__xludf.DUMMYFUNCTION("""COMPUTED_VALUE"""),"")</f>
        <v/>
      </c>
      <c r="D2808" t="str">
        <f>IFERROR(__xludf.DUMMYFUNCTION("""COMPUTED_VALUE"""),"")</f>
        <v/>
      </c>
      <c r="E2808" t="str">
        <f>IFERROR(__xludf.DUMMYFUNCTION("""COMPUTED_VALUE"""),"")</f>
        <v/>
      </c>
      <c r="F2808" t="str">
        <f>IFERROR(__xludf.DUMMYFUNCTION("""COMPUTED_VALUE"""),"")</f>
        <v/>
      </c>
      <c r="G2808" t="str">
        <f>IFERROR(__xludf.DUMMYFUNCTION("""COMPUTED_VALUE"""),"")</f>
        <v/>
      </c>
      <c r="H2808" s="2" t="str">
        <f>IFERROR(__xludf.DUMMYFUNCTION("""COMPUTED_VALUE"""),"")</f>
        <v/>
      </c>
      <c r="I2808" s="2" t="str">
        <f>IFERROR(__xludf.DUMMYFUNCTION("""COMPUTED_VALUE"""),"")</f>
        <v/>
      </c>
      <c r="J2808" s="2">
        <f>IFERROR(__xludf.DUMMYFUNCTION("""COMPUTED_VALUE"""),0.0)</f>
        <v>0</v>
      </c>
      <c r="K2808" s="5" t="str">
        <f>IFERROR(__xludf.DUMMYFUNCTION("""COMPUTED_VALUE"""),"")</f>
        <v/>
      </c>
      <c r="L2808" t="str">
        <f>IFERROR(__xludf.DUMMYFUNCTION("""COMPUTED_VALUE"""),"")</f>
        <v/>
      </c>
      <c r="M2808" t="str">
        <f>IFERROR(__xludf.DUMMYFUNCTION("""COMPUTED_VALUE"""),"")</f>
        <v/>
      </c>
      <c r="N2808" t="str">
        <f>IFERROR(__xludf.DUMMYFUNCTION("""COMPUTED_VALUE"""),"")</f>
        <v/>
      </c>
      <c r="O2808" t="str">
        <f>IFERROR(__xludf.DUMMYFUNCTION("""COMPUTED_VALUE"""),"")</f>
        <v/>
      </c>
      <c r="P2808" t="str">
        <f>IFERROR(__xludf.DUMMYFUNCTION("""COMPUTED_VALUE"""),"ID ")</f>
        <v>ID </v>
      </c>
    </row>
    <row r="2809">
      <c r="A2809" s="6" t="str">
        <f>IFERROR(__xludf.DUMMYFUNCTION("""COMPUTED_VALUE"""),"")</f>
        <v/>
      </c>
      <c r="C2809" t="str">
        <f>IFERROR(__xludf.DUMMYFUNCTION("""COMPUTED_VALUE"""),"")</f>
        <v/>
      </c>
      <c r="D2809" t="str">
        <f>IFERROR(__xludf.DUMMYFUNCTION("""COMPUTED_VALUE"""),"")</f>
        <v/>
      </c>
      <c r="E2809" t="str">
        <f>IFERROR(__xludf.DUMMYFUNCTION("""COMPUTED_VALUE"""),"")</f>
        <v/>
      </c>
      <c r="F2809" t="str">
        <f>IFERROR(__xludf.DUMMYFUNCTION("""COMPUTED_VALUE"""),"")</f>
        <v/>
      </c>
      <c r="G2809" t="str">
        <f>IFERROR(__xludf.DUMMYFUNCTION("""COMPUTED_VALUE"""),"")</f>
        <v/>
      </c>
      <c r="H2809" s="2" t="str">
        <f>IFERROR(__xludf.DUMMYFUNCTION("""COMPUTED_VALUE"""),"")</f>
        <v/>
      </c>
      <c r="I2809" s="2" t="str">
        <f>IFERROR(__xludf.DUMMYFUNCTION("""COMPUTED_VALUE"""),"")</f>
        <v/>
      </c>
      <c r="J2809" s="2">
        <f>IFERROR(__xludf.DUMMYFUNCTION("""COMPUTED_VALUE"""),0.0)</f>
        <v>0</v>
      </c>
      <c r="K2809" s="5" t="str">
        <f>IFERROR(__xludf.DUMMYFUNCTION("""COMPUTED_VALUE"""),"")</f>
        <v/>
      </c>
      <c r="L2809" t="str">
        <f>IFERROR(__xludf.DUMMYFUNCTION("""COMPUTED_VALUE"""),"")</f>
        <v/>
      </c>
      <c r="M2809" t="str">
        <f>IFERROR(__xludf.DUMMYFUNCTION("""COMPUTED_VALUE"""),"")</f>
        <v/>
      </c>
      <c r="N2809" t="str">
        <f>IFERROR(__xludf.DUMMYFUNCTION("""COMPUTED_VALUE"""),"")</f>
        <v/>
      </c>
      <c r="O2809" t="str">
        <f>IFERROR(__xludf.DUMMYFUNCTION("""COMPUTED_VALUE"""),"")</f>
        <v/>
      </c>
      <c r="P2809" t="str">
        <f>IFERROR(__xludf.DUMMYFUNCTION("""COMPUTED_VALUE"""),"ID ")</f>
        <v>ID </v>
      </c>
    </row>
    <row r="2810">
      <c r="A2810" s="6" t="str">
        <f>IFERROR(__xludf.DUMMYFUNCTION("""COMPUTED_VALUE"""),"")</f>
        <v/>
      </c>
      <c r="C2810" t="str">
        <f>IFERROR(__xludf.DUMMYFUNCTION("""COMPUTED_VALUE"""),"")</f>
        <v/>
      </c>
      <c r="D2810" t="str">
        <f>IFERROR(__xludf.DUMMYFUNCTION("""COMPUTED_VALUE"""),"")</f>
        <v/>
      </c>
      <c r="E2810" t="str">
        <f>IFERROR(__xludf.DUMMYFUNCTION("""COMPUTED_VALUE"""),"")</f>
        <v/>
      </c>
      <c r="F2810" t="str">
        <f>IFERROR(__xludf.DUMMYFUNCTION("""COMPUTED_VALUE"""),"")</f>
        <v/>
      </c>
      <c r="G2810" t="str">
        <f>IFERROR(__xludf.DUMMYFUNCTION("""COMPUTED_VALUE"""),"")</f>
        <v/>
      </c>
      <c r="H2810" s="2" t="str">
        <f>IFERROR(__xludf.DUMMYFUNCTION("""COMPUTED_VALUE"""),"")</f>
        <v/>
      </c>
      <c r="I2810" s="2" t="str">
        <f>IFERROR(__xludf.DUMMYFUNCTION("""COMPUTED_VALUE"""),"")</f>
        <v/>
      </c>
      <c r="J2810" s="2">
        <f>IFERROR(__xludf.DUMMYFUNCTION("""COMPUTED_VALUE"""),0.0)</f>
        <v>0</v>
      </c>
      <c r="K2810" s="5" t="str">
        <f>IFERROR(__xludf.DUMMYFUNCTION("""COMPUTED_VALUE"""),"")</f>
        <v/>
      </c>
      <c r="L2810" t="str">
        <f>IFERROR(__xludf.DUMMYFUNCTION("""COMPUTED_VALUE"""),"")</f>
        <v/>
      </c>
      <c r="M2810" t="str">
        <f>IFERROR(__xludf.DUMMYFUNCTION("""COMPUTED_VALUE"""),"")</f>
        <v/>
      </c>
      <c r="N2810" t="str">
        <f>IFERROR(__xludf.DUMMYFUNCTION("""COMPUTED_VALUE"""),"")</f>
        <v/>
      </c>
      <c r="O2810" t="str">
        <f>IFERROR(__xludf.DUMMYFUNCTION("""COMPUTED_VALUE"""),"")</f>
        <v/>
      </c>
      <c r="P2810" t="str">
        <f>IFERROR(__xludf.DUMMYFUNCTION("""COMPUTED_VALUE"""),"ID ")</f>
        <v>ID </v>
      </c>
    </row>
    <row r="2811">
      <c r="A2811" s="6" t="str">
        <f>IFERROR(__xludf.DUMMYFUNCTION("""COMPUTED_VALUE"""),"")</f>
        <v/>
      </c>
      <c r="C2811" t="str">
        <f>IFERROR(__xludf.DUMMYFUNCTION("""COMPUTED_VALUE"""),"")</f>
        <v/>
      </c>
      <c r="D2811" t="str">
        <f>IFERROR(__xludf.DUMMYFUNCTION("""COMPUTED_VALUE"""),"")</f>
        <v/>
      </c>
      <c r="E2811" t="str">
        <f>IFERROR(__xludf.DUMMYFUNCTION("""COMPUTED_VALUE"""),"")</f>
        <v/>
      </c>
      <c r="F2811" t="str">
        <f>IFERROR(__xludf.DUMMYFUNCTION("""COMPUTED_VALUE"""),"")</f>
        <v/>
      </c>
      <c r="G2811" t="str">
        <f>IFERROR(__xludf.DUMMYFUNCTION("""COMPUTED_VALUE"""),"")</f>
        <v/>
      </c>
      <c r="H2811" s="2" t="str">
        <f>IFERROR(__xludf.DUMMYFUNCTION("""COMPUTED_VALUE"""),"")</f>
        <v/>
      </c>
      <c r="I2811" s="2" t="str">
        <f>IFERROR(__xludf.DUMMYFUNCTION("""COMPUTED_VALUE"""),"")</f>
        <v/>
      </c>
      <c r="J2811" s="2">
        <f>IFERROR(__xludf.DUMMYFUNCTION("""COMPUTED_VALUE"""),0.0)</f>
        <v>0</v>
      </c>
      <c r="K2811" s="5" t="str">
        <f>IFERROR(__xludf.DUMMYFUNCTION("""COMPUTED_VALUE"""),"")</f>
        <v/>
      </c>
      <c r="L2811" t="str">
        <f>IFERROR(__xludf.DUMMYFUNCTION("""COMPUTED_VALUE"""),"")</f>
        <v/>
      </c>
      <c r="M2811" t="str">
        <f>IFERROR(__xludf.DUMMYFUNCTION("""COMPUTED_VALUE"""),"")</f>
        <v/>
      </c>
      <c r="N2811" t="str">
        <f>IFERROR(__xludf.DUMMYFUNCTION("""COMPUTED_VALUE"""),"")</f>
        <v/>
      </c>
      <c r="O2811" t="str">
        <f>IFERROR(__xludf.DUMMYFUNCTION("""COMPUTED_VALUE"""),"")</f>
        <v/>
      </c>
      <c r="P2811" t="str">
        <f>IFERROR(__xludf.DUMMYFUNCTION("""COMPUTED_VALUE"""),"ID ")</f>
        <v>ID </v>
      </c>
    </row>
    <row r="2812">
      <c r="A2812" s="6" t="str">
        <f>IFERROR(__xludf.DUMMYFUNCTION("""COMPUTED_VALUE"""),"")</f>
        <v/>
      </c>
      <c r="C2812" t="str">
        <f>IFERROR(__xludf.DUMMYFUNCTION("""COMPUTED_VALUE"""),"")</f>
        <v/>
      </c>
      <c r="D2812" t="str">
        <f>IFERROR(__xludf.DUMMYFUNCTION("""COMPUTED_VALUE"""),"")</f>
        <v/>
      </c>
      <c r="E2812" t="str">
        <f>IFERROR(__xludf.DUMMYFUNCTION("""COMPUTED_VALUE"""),"")</f>
        <v/>
      </c>
      <c r="F2812" t="str">
        <f>IFERROR(__xludf.DUMMYFUNCTION("""COMPUTED_VALUE"""),"")</f>
        <v/>
      </c>
      <c r="G2812" t="str">
        <f>IFERROR(__xludf.DUMMYFUNCTION("""COMPUTED_VALUE"""),"")</f>
        <v/>
      </c>
      <c r="H2812" s="2" t="str">
        <f>IFERROR(__xludf.DUMMYFUNCTION("""COMPUTED_VALUE"""),"")</f>
        <v/>
      </c>
      <c r="I2812" s="2" t="str">
        <f>IFERROR(__xludf.DUMMYFUNCTION("""COMPUTED_VALUE"""),"")</f>
        <v/>
      </c>
      <c r="J2812" s="2">
        <f>IFERROR(__xludf.DUMMYFUNCTION("""COMPUTED_VALUE"""),0.0)</f>
        <v>0</v>
      </c>
      <c r="K2812" s="5" t="str">
        <f>IFERROR(__xludf.DUMMYFUNCTION("""COMPUTED_VALUE"""),"")</f>
        <v/>
      </c>
      <c r="L2812" t="str">
        <f>IFERROR(__xludf.DUMMYFUNCTION("""COMPUTED_VALUE"""),"")</f>
        <v/>
      </c>
      <c r="M2812" t="str">
        <f>IFERROR(__xludf.DUMMYFUNCTION("""COMPUTED_VALUE"""),"")</f>
        <v/>
      </c>
      <c r="N2812" t="str">
        <f>IFERROR(__xludf.DUMMYFUNCTION("""COMPUTED_VALUE"""),"")</f>
        <v/>
      </c>
      <c r="O2812" t="str">
        <f>IFERROR(__xludf.DUMMYFUNCTION("""COMPUTED_VALUE"""),"")</f>
        <v/>
      </c>
      <c r="P2812" t="str">
        <f>IFERROR(__xludf.DUMMYFUNCTION("""COMPUTED_VALUE"""),"ID ")</f>
        <v>ID </v>
      </c>
    </row>
    <row r="2813">
      <c r="A2813" s="6" t="str">
        <f>IFERROR(__xludf.DUMMYFUNCTION("""COMPUTED_VALUE"""),"")</f>
        <v/>
      </c>
      <c r="C2813" t="str">
        <f>IFERROR(__xludf.DUMMYFUNCTION("""COMPUTED_VALUE"""),"")</f>
        <v/>
      </c>
      <c r="D2813" t="str">
        <f>IFERROR(__xludf.DUMMYFUNCTION("""COMPUTED_VALUE"""),"")</f>
        <v/>
      </c>
      <c r="E2813" t="str">
        <f>IFERROR(__xludf.DUMMYFUNCTION("""COMPUTED_VALUE"""),"")</f>
        <v/>
      </c>
      <c r="F2813" t="str">
        <f>IFERROR(__xludf.DUMMYFUNCTION("""COMPUTED_VALUE"""),"")</f>
        <v/>
      </c>
      <c r="G2813" t="str">
        <f>IFERROR(__xludf.DUMMYFUNCTION("""COMPUTED_VALUE"""),"")</f>
        <v/>
      </c>
      <c r="H2813" s="2" t="str">
        <f>IFERROR(__xludf.DUMMYFUNCTION("""COMPUTED_VALUE"""),"")</f>
        <v/>
      </c>
      <c r="I2813" s="2" t="str">
        <f>IFERROR(__xludf.DUMMYFUNCTION("""COMPUTED_VALUE"""),"")</f>
        <v/>
      </c>
      <c r="J2813" s="2">
        <f>IFERROR(__xludf.DUMMYFUNCTION("""COMPUTED_VALUE"""),0.0)</f>
        <v>0</v>
      </c>
      <c r="K2813" s="5" t="str">
        <f>IFERROR(__xludf.DUMMYFUNCTION("""COMPUTED_VALUE"""),"")</f>
        <v/>
      </c>
      <c r="L2813" t="str">
        <f>IFERROR(__xludf.DUMMYFUNCTION("""COMPUTED_VALUE"""),"")</f>
        <v/>
      </c>
      <c r="M2813" t="str">
        <f>IFERROR(__xludf.DUMMYFUNCTION("""COMPUTED_VALUE"""),"")</f>
        <v/>
      </c>
      <c r="N2813" t="str">
        <f>IFERROR(__xludf.DUMMYFUNCTION("""COMPUTED_VALUE"""),"")</f>
        <v/>
      </c>
      <c r="O2813" t="str">
        <f>IFERROR(__xludf.DUMMYFUNCTION("""COMPUTED_VALUE"""),"")</f>
        <v/>
      </c>
      <c r="P2813" t="str">
        <f>IFERROR(__xludf.DUMMYFUNCTION("""COMPUTED_VALUE"""),"ID ")</f>
        <v>ID </v>
      </c>
    </row>
    <row r="2814">
      <c r="A2814" s="6" t="str">
        <f>IFERROR(__xludf.DUMMYFUNCTION("""COMPUTED_VALUE"""),"")</f>
        <v/>
      </c>
      <c r="C2814" t="str">
        <f>IFERROR(__xludf.DUMMYFUNCTION("""COMPUTED_VALUE"""),"")</f>
        <v/>
      </c>
      <c r="D2814" t="str">
        <f>IFERROR(__xludf.DUMMYFUNCTION("""COMPUTED_VALUE"""),"")</f>
        <v/>
      </c>
      <c r="E2814" t="str">
        <f>IFERROR(__xludf.DUMMYFUNCTION("""COMPUTED_VALUE"""),"")</f>
        <v/>
      </c>
      <c r="F2814" t="str">
        <f>IFERROR(__xludf.DUMMYFUNCTION("""COMPUTED_VALUE"""),"")</f>
        <v/>
      </c>
      <c r="G2814" t="str">
        <f>IFERROR(__xludf.DUMMYFUNCTION("""COMPUTED_VALUE"""),"")</f>
        <v/>
      </c>
      <c r="H2814" s="2" t="str">
        <f>IFERROR(__xludf.DUMMYFUNCTION("""COMPUTED_VALUE"""),"")</f>
        <v/>
      </c>
      <c r="I2814" s="2" t="str">
        <f>IFERROR(__xludf.DUMMYFUNCTION("""COMPUTED_VALUE"""),"")</f>
        <v/>
      </c>
      <c r="J2814" s="2">
        <f>IFERROR(__xludf.DUMMYFUNCTION("""COMPUTED_VALUE"""),0.0)</f>
        <v>0</v>
      </c>
      <c r="K2814" s="5" t="str">
        <f>IFERROR(__xludf.DUMMYFUNCTION("""COMPUTED_VALUE"""),"")</f>
        <v/>
      </c>
      <c r="L2814" t="str">
        <f>IFERROR(__xludf.DUMMYFUNCTION("""COMPUTED_VALUE"""),"")</f>
        <v/>
      </c>
      <c r="M2814" t="str">
        <f>IFERROR(__xludf.DUMMYFUNCTION("""COMPUTED_VALUE"""),"")</f>
        <v/>
      </c>
      <c r="N2814" t="str">
        <f>IFERROR(__xludf.DUMMYFUNCTION("""COMPUTED_VALUE"""),"")</f>
        <v/>
      </c>
      <c r="O2814" t="str">
        <f>IFERROR(__xludf.DUMMYFUNCTION("""COMPUTED_VALUE"""),"")</f>
        <v/>
      </c>
      <c r="P2814" t="str">
        <f>IFERROR(__xludf.DUMMYFUNCTION("""COMPUTED_VALUE"""),"ID ")</f>
        <v>ID </v>
      </c>
    </row>
    <row r="2815">
      <c r="A2815" s="6" t="str">
        <f>IFERROR(__xludf.DUMMYFUNCTION("""COMPUTED_VALUE"""),"")</f>
        <v/>
      </c>
      <c r="C2815" t="str">
        <f>IFERROR(__xludf.DUMMYFUNCTION("""COMPUTED_VALUE"""),"")</f>
        <v/>
      </c>
      <c r="D2815" t="str">
        <f>IFERROR(__xludf.DUMMYFUNCTION("""COMPUTED_VALUE"""),"")</f>
        <v/>
      </c>
      <c r="E2815" t="str">
        <f>IFERROR(__xludf.DUMMYFUNCTION("""COMPUTED_VALUE"""),"")</f>
        <v/>
      </c>
      <c r="F2815" t="str">
        <f>IFERROR(__xludf.DUMMYFUNCTION("""COMPUTED_VALUE"""),"")</f>
        <v/>
      </c>
      <c r="G2815" t="str">
        <f>IFERROR(__xludf.DUMMYFUNCTION("""COMPUTED_VALUE"""),"")</f>
        <v/>
      </c>
      <c r="H2815" s="2" t="str">
        <f>IFERROR(__xludf.DUMMYFUNCTION("""COMPUTED_VALUE"""),"")</f>
        <v/>
      </c>
      <c r="I2815" s="2" t="str">
        <f>IFERROR(__xludf.DUMMYFUNCTION("""COMPUTED_VALUE"""),"")</f>
        <v/>
      </c>
      <c r="J2815" s="2">
        <f>IFERROR(__xludf.DUMMYFUNCTION("""COMPUTED_VALUE"""),0.0)</f>
        <v>0</v>
      </c>
      <c r="K2815" s="5" t="str">
        <f>IFERROR(__xludf.DUMMYFUNCTION("""COMPUTED_VALUE"""),"")</f>
        <v/>
      </c>
      <c r="L2815" t="str">
        <f>IFERROR(__xludf.DUMMYFUNCTION("""COMPUTED_VALUE"""),"")</f>
        <v/>
      </c>
      <c r="M2815" t="str">
        <f>IFERROR(__xludf.DUMMYFUNCTION("""COMPUTED_VALUE"""),"")</f>
        <v/>
      </c>
      <c r="N2815" t="str">
        <f>IFERROR(__xludf.DUMMYFUNCTION("""COMPUTED_VALUE"""),"")</f>
        <v/>
      </c>
      <c r="O2815" t="str">
        <f>IFERROR(__xludf.DUMMYFUNCTION("""COMPUTED_VALUE"""),"")</f>
        <v/>
      </c>
      <c r="P2815" t="str">
        <f>IFERROR(__xludf.DUMMYFUNCTION("""COMPUTED_VALUE"""),"ID ")</f>
        <v>ID </v>
      </c>
    </row>
    <row r="2816">
      <c r="A2816" s="6" t="str">
        <f>IFERROR(__xludf.DUMMYFUNCTION("""COMPUTED_VALUE"""),"")</f>
        <v/>
      </c>
      <c r="C2816" t="str">
        <f>IFERROR(__xludf.DUMMYFUNCTION("""COMPUTED_VALUE"""),"")</f>
        <v/>
      </c>
      <c r="D2816" t="str">
        <f>IFERROR(__xludf.DUMMYFUNCTION("""COMPUTED_VALUE"""),"")</f>
        <v/>
      </c>
      <c r="E2816" t="str">
        <f>IFERROR(__xludf.DUMMYFUNCTION("""COMPUTED_VALUE"""),"")</f>
        <v/>
      </c>
      <c r="F2816" t="str">
        <f>IFERROR(__xludf.DUMMYFUNCTION("""COMPUTED_VALUE"""),"")</f>
        <v/>
      </c>
      <c r="G2816" t="str">
        <f>IFERROR(__xludf.DUMMYFUNCTION("""COMPUTED_VALUE"""),"")</f>
        <v/>
      </c>
      <c r="H2816" s="2" t="str">
        <f>IFERROR(__xludf.DUMMYFUNCTION("""COMPUTED_VALUE"""),"")</f>
        <v/>
      </c>
      <c r="I2816" s="2" t="str">
        <f>IFERROR(__xludf.DUMMYFUNCTION("""COMPUTED_VALUE"""),"")</f>
        <v/>
      </c>
      <c r="J2816" s="2">
        <f>IFERROR(__xludf.DUMMYFUNCTION("""COMPUTED_VALUE"""),0.0)</f>
        <v>0</v>
      </c>
      <c r="K2816" s="5" t="str">
        <f>IFERROR(__xludf.DUMMYFUNCTION("""COMPUTED_VALUE"""),"")</f>
        <v/>
      </c>
      <c r="L2816" t="str">
        <f>IFERROR(__xludf.DUMMYFUNCTION("""COMPUTED_VALUE"""),"")</f>
        <v/>
      </c>
      <c r="M2816" t="str">
        <f>IFERROR(__xludf.DUMMYFUNCTION("""COMPUTED_VALUE"""),"")</f>
        <v/>
      </c>
      <c r="N2816" t="str">
        <f>IFERROR(__xludf.DUMMYFUNCTION("""COMPUTED_VALUE"""),"")</f>
        <v/>
      </c>
      <c r="O2816" t="str">
        <f>IFERROR(__xludf.DUMMYFUNCTION("""COMPUTED_VALUE"""),"")</f>
        <v/>
      </c>
      <c r="P2816" t="str">
        <f>IFERROR(__xludf.DUMMYFUNCTION("""COMPUTED_VALUE"""),"ID ")</f>
        <v>ID </v>
      </c>
    </row>
    <row r="2817">
      <c r="A2817" s="6" t="str">
        <f>IFERROR(__xludf.DUMMYFUNCTION("""COMPUTED_VALUE"""),"")</f>
        <v/>
      </c>
      <c r="C2817" t="str">
        <f>IFERROR(__xludf.DUMMYFUNCTION("""COMPUTED_VALUE"""),"")</f>
        <v/>
      </c>
      <c r="D2817" t="str">
        <f>IFERROR(__xludf.DUMMYFUNCTION("""COMPUTED_VALUE"""),"")</f>
        <v/>
      </c>
      <c r="E2817" t="str">
        <f>IFERROR(__xludf.DUMMYFUNCTION("""COMPUTED_VALUE"""),"")</f>
        <v/>
      </c>
      <c r="F2817" t="str">
        <f>IFERROR(__xludf.DUMMYFUNCTION("""COMPUTED_VALUE"""),"")</f>
        <v/>
      </c>
      <c r="G2817" t="str">
        <f>IFERROR(__xludf.DUMMYFUNCTION("""COMPUTED_VALUE"""),"")</f>
        <v/>
      </c>
      <c r="H2817" s="2" t="str">
        <f>IFERROR(__xludf.DUMMYFUNCTION("""COMPUTED_VALUE"""),"")</f>
        <v/>
      </c>
      <c r="I2817" s="2" t="str">
        <f>IFERROR(__xludf.DUMMYFUNCTION("""COMPUTED_VALUE"""),"")</f>
        <v/>
      </c>
      <c r="J2817" s="2">
        <f>IFERROR(__xludf.DUMMYFUNCTION("""COMPUTED_VALUE"""),0.0)</f>
        <v>0</v>
      </c>
      <c r="K2817" s="5" t="str">
        <f>IFERROR(__xludf.DUMMYFUNCTION("""COMPUTED_VALUE"""),"")</f>
        <v/>
      </c>
      <c r="L2817" t="str">
        <f>IFERROR(__xludf.DUMMYFUNCTION("""COMPUTED_VALUE"""),"")</f>
        <v/>
      </c>
      <c r="M2817" t="str">
        <f>IFERROR(__xludf.DUMMYFUNCTION("""COMPUTED_VALUE"""),"")</f>
        <v/>
      </c>
      <c r="N2817" t="str">
        <f>IFERROR(__xludf.DUMMYFUNCTION("""COMPUTED_VALUE"""),"")</f>
        <v/>
      </c>
      <c r="O2817" t="str">
        <f>IFERROR(__xludf.DUMMYFUNCTION("""COMPUTED_VALUE"""),"")</f>
        <v/>
      </c>
      <c r="P2817" t="str">
        <f>IFERROR(__xludf.DUMMYFUNCTION("""COMPUTED_VALUE"""),"ID ")</f>
        <v>ID </v>
      </c>
    </row>
    <row r="2818">
      <c r="A2818" s="6" t="str">
        <f>IFERROR(__xludf.DUMMYFUNCTION("""COMPUTED_VALUE"""),"")</f>
        <v/>
      </c>
      <c r="C2818" t="str">
        <f>IFERROR(__xludf.DUMMYFUNCTION("""COMPUTED_VALUE"""),"")</f>
        <v/>
      </c>
      <c r="D2818" t="str">
        <f>IFERROR(__xludf.DUMMYFUNCTION("""COMPUTED_VALUE"""),"")</f>
        <v/>
      </c>
      <c r="E2818" t="str">
        <f>IFERROR(__xludf.DUMMYFUNCTION("""COMPUTED_VALUE"""),"")</f>
        <v/>
      </c>
      <c r="F2818" t="str">
        <f>IFERROR(__xludf.DUMMYFUNCTION("""COMPUTED_VALUE"""),"")</f>
        <v/>
      </c>
      <c r="G2818" t="str">
        <f>IFERROR(__xludf.DUMMYFUNCTION("""COMPUTED_VALUE"""),"")</f>
        <v/>
      </c>
      <c r="H2818" s="2" t="str">
        <f>IFERROR(__xludf.DUMMYFUNCTION("""COMPUTED_VALUE"""),"")</f>
        <v/>
      </c>
      <c r="I2818" s="2" t="str">
        <f>IFERROR(__xludf.DUMMYFUNCTION("""COMPUTED_VALUE"""),"")</f>
        <v/>
      </c>
      <c r="J2818" s="2">
        <f>IFERROR(__xludf.DUMMYFUNCTION("""COMPUTED_VALUE"""),0.0)</f>
        <v>0</v>
      </c>
      <c r="K2818" s="5" t="str">
        <f>IFERROR(__xludf.DUMMYFUNCTION("""COMPUTED_VALUE"""),"")</f>
        <v/>
      </c>
      <c r="L2818" t="str">
        <f>IFERROR(__xludf.DUMMYFUNCTION("""COMPUTED_VALUE"""),"")</f>
        <v/>
      </c>
      <c r="M2818" t="str">
        <f>IFERROR(__xludf.DUMMYFUNCTION("""COMPUTED_VALUE"""),"")</f>
        <v/>
      </c>
      <c r="N2818" t="str">
        <f>IFERROR(__xludf.DUMMYFUNCTION("""COMPUTED_VALUE"""),"")</f>
        <v/>
      </c>
      <c r="O2818" t="str">
        <f>IFERROR(__xludf.DUMMYFUNCTION("""COMPUTED_VALUE"""),"")</f>
        <v/>
      </c>
      <c r="P2818" t="str">
        <f>IFERROR(__xludf.DUMMYFUNCTION("""COMPUTED_VALUE"""),"ID ")</f>
        <v>ID </v>
      </c>
    </row>
    <row r="2819">
      <c r="A2819" s="6" t="str">
        <f>IFERROR(__xludf.DUMMYFUNCTION("""COMPUTED_VALUE"""),"")</f>
        <v/>
      </c>
      <c r="C2819" t="str">
        <f>IFERROR(__xludf.DUMMYFUNCTION("""COMPUTED_VALUE"""),"")</f>
        <v/>
      </c>
      <c r="D2819" t="str">
        <f>IFERROR(__xludf.DUMMYFUNCTION("""COMPUTED_VALUE"""),"")</f>
        <v/>
      </c>
      <c r="E2819" t="str">
        <f>IFERROR(__xludf.DUMMYFUNCTION("""COMPUTED_VALUE"""),"")</f>
        <v/>
      </c>
      <c r="F2819" t="str">
        <f>IFERROR(__xludf.DUMMYFUNCTION("""COMPUTED_VALUE"""),"")</f>
        <v/>
      </c>
      <c r="G2819" t="str">
        <f>IFERROR(__xludf.DUMMYFUNCTION("""COMPUTED_VALUE"""),"")</f>
        <v/>
      </c>
      <c r="H2819" s="2" t="str">
        <f>IFERROR(__xludf.DUMMYFUNCTION("""COMPUTED_VALUE"""),"")</f>
        <v/>
      </c>
      <c r="I2819" s="2" t="str">
        <f>IFERROR(__xludf.DUMMYFUNCTION("""COMPUTED_VALUE"""),"")</f>
        <v/>
      </c>
      <c r="J2819" s="2">
        <f>IFERROR(__xludf.DUMMYFUNCTION("""COMPUTED_VALUE"""),0.0)</f>
        <v>0</v>
      </c>
      <c r="K2819" s="5" t="str">
        <f>IFERROR(__xludf.DUMMYFUNCTION("""COMPUTED_VALUE"""),"")</f>
        <v/>
      </c>
      <c r="L2819" t="str">
        <f>IFERROR(__xludf.DUMMYFUNCTION("""COMPUTED_VALUE"""),"")</f>
        <v/>
      </c>
      <c r="M2819" t="str">
        <f>IFERROR(__xludf.DUMMYFUNCTION("""COMPUTED_VALUE"""),"")</f>
        <v/>
      </c>
      <c r="N2819" t="str">
        <f>IFERROR(__xludf.DUMMYFUNCTION("""COMPUTED_VALUE"""),"")</f>
        <v/>
      </c>
      <c r="O2819" t="str">
        <f>IFERROR(__xludf.DUMMYFUNCTION("""COMPUTED_VALUE"""),"")</f>
        <v/>
      </c>
      <c r="P2819" t="str">
        <f>IFERROR(__xludf.DUMMYFUNCTION("""COMPUTED_VALUE"""),"ID ")</f>
        <v>ID </v>
      </c>
    </row>
    <row r="2820">
      <c r="A2820" s="6" t="str">
        <f>IFERROR(__xludf.DUMMYFUNCTION("""COMPUTED_VALUE"""),"")</f>
        <v/>
      </c>
      <c r="C2820" t="str">
        <f>IFERROR(__xludf.DUMMYFUNCTION("""COMPUTED_VALUE"""),"")</f>
        <v/>
      </c>
      <c r="D2820" t="str">
        <f>IFERROR(__xludf.DUMMYFUNCTION("""COMPUTED_VALUE"""),"")</f>
        <v/>
      </c>
      <c r="E2820" t="str">
        <f>IFERROR(__xludf.DUMMYFUNCTION("""COMPUTED_VALUE"""),"")</f>
        <v/>
      </c>
      <c r="F2820" t="str">
        <f>IFERROR(__xludf.DUMMYFUNCTION("""COMPUTED_VALUE"""),"")</f>
        <v/>
      </c>
      <c r="G2820" t="str">
        <f>IFERROR(__xludf.DUMMYFUNCTION("""COMPUTED_VALUE"""),"")</f>
        <v/>
      </c>
      <c r="H2820" s="2" t="str">
        <f>IFERROR(__xludf.DUMMYFUNCTION("""COMPUTED_VALUE"""),"")</f>
        <v/>
      </c>
      <c r="I2820" s="2" t="str">
        <f>IFERROR(__xludf.DUMMYFUNCTION("""COMPUTED_VALUE"""),"")</f>
        <v/>
      </c>
      <c r="J2820" s="2">
        <f>IFERROR(__xludf.DUMMYFUNCTION("""COMPUTED_VALUE"""),0.0)</f>
        <v>0</v>
      </c>
      <c r="K2820" s="5" t="str">
        <f>IFERROR(__xludf.DUMMYFUNCTION("""COMPUTED_VALUE"""),"")</f>
        <v/>
      </c>
      <c r="L2820" t="str">
        <f>IFERROR(__xludf.DUMMYFUNCTION("""COMPUTED_VALUE"""),"")</f>
        <v/>
      </c>
      <c r="M2820" t="str">
        <f>IFERROR(__xludf.DUMMYFUNCTION("""COMPUTED_VALUE"""),"")</f>
        <v/>
      </c>
      <c r="N2820" t="str">
        <f>IFERROR(__xludf.DUMMYFUNCTION("""COMPUTED_VALUE"""),"")</f>
        <v/>
      </c>
      <c r="O2820" t="str">
        <f>IFERROR(__xludf.DUMMYFUNCTION("""COMPUTED_VALUE"""),"")</f>
        <v/>
      </c>
      <c r="P2820" t="str">
        <f>IFERROR(__xludf.DUMMYFUNCTION("""COMPUTED_VALUE"""),"ID ")</f>
        <v>ID </v>
      </c>
    </row>
    <row r="2821">
      <c r="A2821" s="6" t="str">
        <f>IFERROR(__xludf.DUMMYFUNCTION("""COMPUTED_VALUE"""),"")</f>
        <v/>
      </c>
      <c r="C2821" t="str">
        <f>IFERROR(__xludf.DUMMYFUNCTION("""COMPUTED_VALUE"""),"")</f>
        <v/>
      </c>
      <c r="D2821" t="str">
        <f>IFERROR(__xludf.DUMMYFUNCTION("""COMPUTED_VALUE"""),"")</f>
        <v/>
      </c>
      <c r="E2821" t="str">
        <f>IFERROR(__xludf.DUMMYFUNCTION("""COMPUTED_VALUE"""),"")</f>
        <v/>
      </c>
      <c r="F2821" t="str">
        <f>IFERROR(__xludf.DUMMYFUNCTION("""COMPUTED_VALUE"""),"")</f>
        <v/>
      </c>
      <c r="G2821" t="str">
        <f>IFERROR(__xludf.DUMMYFUNCTION("""COMPUTED_VALUE"""),"")</f>
        <v/>
      </c>
      <c r="H2821" s="2" t="str">
        <f>IFERROR(__xludf.DUMMYFUNCTION("""COMPUTED_VALUE"""),"")</f>
        <v/>
      </c>
      <c r="I2821" s="2" t="str">
        <f>IFERROR(__xludf.DUMMYFUNCTION("""COMPUTED_VALUE"""),"")</f>
        <v/>
      </c>
      <c r="J2821" s="2">
        <f>IFERROR(__xludf.DUMMYFUNCTION("""COMPUTED_VALUE"""),0.0)</f>
        <v>0</v>
      </c>
      <c r="K2821" s="5" t="str">
        <f>IFERROR(__xludf.DUMMYFUNCTION("""COMPUTED_VALUE"""),"")</f>
        <v/>
      </c>
      <c r="L2821" t="str">
        <f>IFERROR(__xludf.DUMMYFUNCTION("""COMPUTED_VALUE"""),"")</f>
        <v/>
      </c>
      <c r="M2821" t="str">
        <f>IFERROR(__xludf.DUMMYFUNCTION("""COMPUTED_VALUE"""),"")</f>
        <v/>
      </c>
      <c r="N2821" t="str">
        <f>IFERROR(__xludf.DUMMYFUNCTION("""COMPUTED_VALUE"""),"")</f>
        <v/>
      </c>
      <c r="O2821" t="str">
        <f>IFERROR(__xludf.DUMMYFUNCTION("""COMPUTED_VALUE"""),"")</f>
        <v/>
      </c>
      <c r="P2821" t="str">
        <f>IFERROR(__xludf.DUMMYFUNCTION("""COMPUTED_VALUE"""),"ID ")</f>
        <v>ID </v>
      </c>
    </row>
    <row r="2822">
      <c r="A2822" s="6" t="str">
        <f>IFERROR(__xludf.DUMMYFUNCTION("""COMPUTED_VALUE"""),"")</f>
        <v/>
      </c>
      <c r="C2822" t="str">
        <f>IFERROR(__xludf.DUMMYFUNCTION("""COMPUTED_VALUE"""),"")</f>
        <v/>
      </c>
      <c r="D2822" t="str">
        <f>IFERROR(__xludf.DUMMYFUNCTION("""COMPUTED_VALUE"""),"")</f>
        <v/>
      </c>
      <c r="E2822" t="str">
        <f>IFERROR(__xludf.DUMMYFUNCTION("""COMPUTED_VALUE"""),"")</f>
        <v/>
      </c>
      <c r="F2822" t="str">
        <f>IFERROR(__xludf.DUMMYFUNCTION("""COMPUTED_VALUE"""),"")</f>
        <v/>
      </c>
      <c r="G2822" t="str">
        <f>IFERROR(__xludf.DUMMYFUNCTION("""COMPUTED_VALUE"""),"")</f>
        <v/>
      </c>
      <c r="H2822" s="2" t="str">
        <f>IFERROR(__xludf.DUMMYFUNCTION("""COMPUTED_VALUE"""),"")</f>
        <v/>
      </c>
      <c r="I2822" s="2" t="str">
        <f>IFERROR(__xludf.DUMMYFUNCTION("""COMPUTED_VALUE"""),"")</f>
        <v/>
      </c>
      <c r="J2822" s="2">
        <f>IFERROR(__xludf.DUMMYFUNCTION("""COMPUTED_VALUE"""),0.0)</f>
        <v>0</v>
      </c>
      <c r="K2822" s="5" t="str">
        <f>IFERROR(__xludf.DUMMYFUNCTION("""COMPUTED_VALUE"""),"")</f>
        <v/>
      </c>
      <c r="L2822" t="str">
        <f>IFERROR(__xludf.DUMMYFUNCTION("""COMPUTED_VALUE"""),"")</f>
        <v/>
      </c>
      <c r="M2822" t="str">
        <f>IFERROR(__xludf.DUMMYFUNCTION("""COMPUTED_VALUE"""),"")</f>
        <v/>
      </c>
      <c r="N2822" t="str">
        <f>IFERROR(__xludf.DUMMYFUNCTION("""COMPUTED_VALUE"""),"")</f>
        <v/>
      </c>
      <c r="O2822" t="str">
        <f>IFERROR(__xludf.DUMMYFUNCTION("""COMPUTED_VALUE"""),"")</f>
        <v/>
      </c>
      <c r="P2822" t="str">
        <f>IFERROR(__xludf.DUMMYFUNCTION("""COMPUTED_VALUE"""),"ID ")</f>
        <v>ID </v>
      </c>
    </row>
    <row r="2823">
      <c r="A2823" s="6" t="str">
        <f>IFERROR(__xludf.DUMMYFUNCTION("""COMPUTED_VALUE"""),"")</f>
        <v/>
      </c>
      <c r="C2823" t="str">
        <f>IFERROR(__xludf.DUMMYFUNCTION("""COMPUTED_VALUE"""),"")</f>
        <v/>
      </c>
      <c r="D2823" t="str">
        <f>IFERROR(__xludf.DUMMYFUNCTION("""COMPUTED_VALUE"""),"")</f>
        <v/>
      </c>
      <c r="E2823" t="str">
        <f>IFERROR(__xludf.DUMMYFUNCTION("""COMPUTED_VALUE"""),"")</f>
        <v/>
      </c>
      <c r="F2823" t="str">
        <f>IFERROR(__xludf.DUMMYFUNCTION("""COMPUTED_VALUE"""),"")</f>
        <v/>
      </c>
      <c r="G2823" t="str">
        <f>IFERROR(__xludf.DUMMYFUNCTION("""COMPUTED_VALUE"""),"")</f>
        <v/>
      </c>
      <c r="H2823" s="2" t="str">
        <f>IFERROR(__xludf.DUMMYFUNCTION("""COMPUTED_VALUE"""),"")</f>
        <v/>
      </c>
      <c r="I2823" s="2" t="str">
        <f>IFERROR(__xludf.DUMMYFUNCTION("""COMPUTED_VALUE"""),"")</f>
        <v/>
      </c>
      <c r="J2823" s="2">
        <f>IFERROR(__xludf.DUMMYFUNCTION("""COMPUTED_VALUE"""),0.0)</f>
        <v>0</v>
      </c>
      <c r="K2823" s="5" t="str">
        <f>IFERROR(__xludf.DUMMYFUNCTION("""COMPUTED_VALUE"""),"")</f>
        <v/>
      </c>
      <c r="L2823" t="str">
        <f>IFERROR(__xludf.DUMMYFUNCTION("""COMPUTED_VALUE"""),"")</f>
        <v/>
      </c>
      <c r="M2823" t="str">
        <f>IFERROR(__xludf.DUMMYFUNCTION("""COMPUTED_VALUE"""),"")</f>
        <v/>
      </c>
      <c r="N2823" t="str">
        <f>IFERROR(__xludf.DUMMYFUNCTION("""COMPUTED_VALUE"""),"")</f>
        <v/>
      </c>
      <c r="O2823" t="str">
        <f>IFERROR(__xludf.DUMMYFUNCTION("""COMPUTED_VALUE"""),"")</f>
        <v/>
      </c>
      <c r="P2823" t="str">
        <f>IFERROR(__xludf.DUMMYFUNCTION("""COMPUTED_VALUE"""),"ID ")</f>
        <v>ID </v>
      </c>
    </row>
    <row r="2824">
      <c r="A2824" s="6" t="str">
        <f>IFERROR(__xludf.DUMMYFUNCTION("""COMPUTED_VALUE"""),"")</f>
        <v/>
      </c>
      <c r="C2824" t="str">
        <f>IFERROR(__xludf.DUMMYFUNCTION("""COMPUTED_VALUE"""),"")</f>
        <v/>
      </c>
      <c r="D2824" t="str">
        <f>IFERROR(__xludf.DUMMYFUNCTION("""COMPUTED_VALUE"""),"")</f>
        <v/>
      </c>
      <c r="E2824" t="str">
        <f>IFERROR(__xludf.DUMMYFUNCTION("""COMPUTED_VALUE"""),"")</f>
        <v/>
      </c>
      <c r="F2824" t="str">
        <f>IFERROR(__xludf.DUMMYFUNCTION("""COMPUTED_VALUE"""),"")</f>
        <v/>
      </c>
      <c r="G2824" t="str">
        <f>IFERROR(__xludf.DUMMYFUNCTION("""COMPUTED_VALUE"""),"")</f>
        <v/>
      </c>
      <c r="H2824" s="2" t="str">
        <f>IFERROR(__xludf.DUMMYFUNCTION("""COMPUTED_VALUE"""),"")</f>
        <v/>
      </c>
      <c r="I2824" s="2" t="str">
        <f>IFERROR(__xludf.DUMMYFUNCTION("""COMPUTED_VALUE"""),"")</f>
        <v/>
      </c>
      <c r="J2824" s="2">
        <f>IFERROR(__xludf.DUMMYFUNCTION("""COMPUTED_VALUE"""),0.0)</f>
        <v>0</v>
      </c>
      <c r="K2824" s="5" t="str">
        <f>IFERROR(__xludf.DUMMYFUNCTION("""COMPUTED_VALUE"""),"")</f>
        <v/>
      </c>
      <c r="L2824" t="str">
        <f>IFERROR(__xludf.DUMMYFUNCTION("""COMPUTED_VALUE"""),"")</f>
        <v/>
      </c>
      <c r="M2824" t="str">
        <f>IFERROR(__xludf.DUMMYFUNCTION("""COMPUTED_VALUE"""),"")</f>
        <v/>
      </c>
      <c r="N2824" t="str">
        <f>IFERROR(__xludf.DUMMYFUNCTION("""COMPUTED_VALUE"""),"")</f>
        <v/>
      </c>
      <c r="O2824" t="str">
        <f>IFERROR(__xludf.DUMMYFUNCTION("""COMPUTED_VALUE"""),"")</f>
        <v/>
      </c>
      <c r="P2824" t="str">
        <f>IFERROR(__xludf.DUMMYFUNCTION("""COMPUTED_VALUE"""),"ID ")</f>
        <v>ID </v>
      </c>
    </row>
    <row r="2825">
      <c r="A2825" s="6" t="str">
        <f>IFERROR(__xludf.DUMMYFUNCTION("""COMPUTED_VALUE"""),"")</f>
        <v/>
      </c>
      <c r="C2825" t="str">
        <f>IFERROR(__xludf.DUMMYFUNCTION("""COMPUTED_VALUE"""),"")</f>
        <v/>
      </c>
      <c r="D2825" t="str">
        <f>IFERROR(__xludf.DUMMYFUNCTION("""COMPUTED_VALUE"""),"")</f>
        <v/>
      </c>
      <c r="E2825" t="str">
        <f>IFERROR(__xludf.DUMMYFUNCTION("""COMPUTED_VALUE"""),"")</f>
        <v/>
      </c>
      <c r="F2825" t="str">
        <f>IFERROR(__xludf.DUMMYFUNCTION("""COMPUTED_VALUE"""),"")</f>
        <v/>
      </c>
      <c r="G2825" t="str">
        <f>IFERROR(__xludf.DUMMYFUNCTION("""COMPUTED_VALUE"""),"")</f>
        <v/>
      </c>
      <c r="H2825" s="2" t="str">
        <f>IFERROR(__xludf.DUMMYFUNCTION("""COMPUTED_VALUE"""),"")</f>
        <v/>
      </c>
      <c r="I2825" s="2" t="str">
        <f>IFERROR(__xludf.DUMMYFUNCTION("""COMPUTED_VALUE"""),"")</f>
        <v/>
      </c>
      <c r="J2825" s="2">
        <f>IFERROR(__xludf.DUMMYFUNCTION("""COMPUTED_VALUE"""),0.0)</f>
        <v>0</v>
      </c>
      <c r="K2825" s="5" t="str">
        <f>IFERROR(__xludf.DUMMYFUNCTION("""COMPUTED_VALUE"""),"")</f>
        <v/>
      </c>
      <c r="L2825" t="str">
        <f>IFERROR(__xludf.DUMMYFUNCTION("""COMPUTED_VALUE"""),"")</f>
        <v/>
      </c>
      <c r="M2825" t="str">
        <f>IFERROR(__xludf.DUMMYFUNCTION("""COMPUTED_VALUE"""),"")</f>
        <v/>
      </c>
      <c r="N2825" t="str">
        <f>IFERROR(__xludf.DUMMYFUNCTION("""COMPUTED_VALUE"""),"")</f>
        <v/>
      </c>
      <c r="O2825" t="str">
        <f>IFERROR(__xludf.DUMMYFUNCTION("""COMPUTED_VALUE"""),"")</f>
        <v/>
      </c>
      <c r="P2825" t="str">
        <f>IFERROR(__xludf.DUMMYFUNCTION("""COMPUTED_VALUE"""),"ID ")</f>
        <v>ID </v>
      </c>
    </row>
    <row r="2826">
      <c r="A2826" s="6" t="str">
        <f>IFERROR(__xludf.DUMMYFUNCTION("""COMPUTED_VALUE"""),"")</f>
        <v/>
      </c>
      <c r="C2826" t="str">
        <f>IFERROR(__xludf.DUMMYFUNCTION("""COMPUTED_VALUE"""),"")</f>
        <v/>
      </c>
      <c r="D2826" t="str">
        <f>IFERROR(__xludf.DUMMYFUNCTION("""COMPUTED_VALUE"""),"")</f>
        <v/>
      </c>
      <c r="E2826" t="str">
        <f>IFERROR(__xludf.DUMMYFUNCTION("""COMPUTED_VALUE"""),"")</f>
        <v/>
      </c>
      <c r="F2826" t="str">
        <f>IFERROR(__xludf.DUMMYFUNCTION("""COMPUTED_VALUE"""),"")</f>
        <v/>
      </c>
      <c r="G2826" t="str">
        <f>IFERROR(__xludf.DUMMYFUNCTION("""COMPUTED_VALUE"""),"")</f>
        <v/>
      </c>
      <c r="H2826" s="2" t="str">
        <f>IFERROR(__xludf.DUMMYFUNCTION("""COMPUTED_VALUE"""),"")</f>
        <v/>
      </c>
      <c r="I2826" s="2" t="str">
        <f>IFERROR(__xludf.DUMMYFUNCTION("""COMPUTED_VALUE"""),"")</f>
        <v/>
      </c>
      <c r="J2826" s="2">
        <f>IFERROR(__xludf.DUMMYFUNCTION("""COMPUTED_VALUE"""),0.0)</f>
        <v>0</v>
      </c>
      <c r="K2826" s="5" t="str">
        <f>IFERROR(__xludf.DUMMYFUNCTION("""COMPUTED_VALUE"""),"")</f>
        <v/>
      </c>
      <c r="L2826" t="str">
        <f>IFERROR(__xludf.DUMMYFUNCTION("""COMPUTED_VALUE"""),"")</f>
        <v/>
      </c>
      <c r="M2826" t="str">
        <f>IFERROR(__xludf.DUMMYFUNCTION("""COMPUTED_VALUE"""),"")</f>
        <v/>
      </c>
      <c r="N2826" t="str">
        <f>IFERROR(__xludf.DUMMYFUNCTION("""COMPUTED_VALUE"""),"")</f>
        <v/>
      </c>
      <c r="O2826" t="str">
        <f>IFERROR(__xludf.DUMMYFUNCTION("""COMPUTED_VALUE"""),"")</f>
        <v/>
      </c>
      <c r="P2826" t="str">
        <f>IFERROR(__xludf.DUMMYFUNCTION("""COMPUTED_VALUE"""),"ID ")</f>
        <v>ID </v>
      </c>
    </row>
    <row r="2827">
      <c r="A2827" s="6" t="str">
        <f>IFERROR(__xludf.DUMMYFUNCTION("""COMPUTED_VALUE"""),"")</f>
        <v/>
      </c>
      <c r="C2827" t="str">
        <f>IFERROR(__xludf.DUMMYFUNCTION("""COMPUTED_VALUE"""),"")</f>
        <v/>
      </c>
      <c r="D2827" t="str">
        <f>IFERROR(__xludf.DUMMYFUNCTION("""COMPUTED_VALUE"""),"")</f>
        <v/>
      </c>
      <c r="E2827" t="str">
        <f>IFERROR(__xludf.DUMMYFUNCTION("""COMPUTED_VALUE"""),"")</f>
        <v/>
      </c>
      <c r="F2827" t="str">
        <f>IFERROR(__xludf.DUMMYFUNCTION("""COMPUTED_VALUE"""),"")</f>
        <v/>
      </c>
      <c r="G2827" t="str">
        <f>IFERROR(__xludf.DUMMYFUNCTION("""COMPUTED_VALUE"""),"")</f>
        <v/>
      </c>
      <c r="H2827" s="2" t="str">
        <f>IFERROR(__xludf.DUMMYFUNCTION("""COMPUTED_VALUE"""),"")</f>
        <v/>
      </c>
      <c r="I2827" s="2" t="str">
        <f>IFERROR(__xludf.DUMMYFUNCTION("""COMPUTED_VALUE"""),"")</f>
        <v/>
      </c>
      <c r="J2827" s="2">
        <f>IFERROR(__xludf.DUMMYFUNCTION("""COMPUTED_VALUE"""),0.0)</f>
        <v>0</v>
      </c>
      <c r="K2827" s="5" t="str">
        <f>IFERROR(__xludf.DUMMYFUNCTION("""COMPUTED_VALUE"""),"")</f>
        <v/>
      </c>
      <c r="L2827" t="str">
        <f>IFERROR(__xludf.DUMMYFUNCTION("""COMPUTED_VALUE"""),"")</f>
        <v/>
      </c>
      <c r="M2827" t="str">
        <f>IFERROR(__xludf.DUMMYFUNCTION("""COMPUTED_VALUE"""),"")</f>
        <v/>
      </c>
      <c r="N2827" t="str">
        <f>IFERROR(__xludf.DUMMYFUNCTION("""COMPUTED_VALUE"""),"")</f>
        <v/>
      </c>
      <c r="O2827" t="str">
        <f>IFERROR(__xludf.DUMMYFUNCTION("""COMPUTED_VALUE"""),"")</f>
        <v/>
      </c>
      <c r="P2827" t="str">
        <f>IFERROR(__xludf.DUMMYFUNCTION("""COMPUTED_VALUE"""),"ID ")</f>
        <v>ID </v>
      </c>
    </row>
    <row r="2828">
      <c r="A2828" s="6" t="str">
        <f>IFERROR(__xludf.DUMMYFUNCTION("""COMPUTED_VALUE"""),"")</f>
        <v/>
      </c>
      <c r="C2828" t="str">
        <f>IFERROR(__xludf.DUMMYFUNCTION("""COMPUTED_VALUE"""),"")</f>
        <v/>
      </c>
      <c r="D2828" t="str">
        <f>IFERROR(__xludf.DUMMYFUNCTION("""COMPUTED_VALUE"""),"")</f>
        <v/>
      </c>
      <c r="E2828" t="str">
        <f>IFERROR(__xludf.DUMMYFUNCTION("""COMPUTED_VALUE"""),"")</f>
        <v/>
      </c>
      <c r="F2828" t="str">
        <f>IFERROR(__xludf.DUMMYFUNCTION("""COMPUTED_VALUE"""),"")</f>
        <v/>
      </c>
      <c r="G2828" t="str">
        <f>IFERROR(__xludf.DUMMYFUNCTION("""COMPUTED_VALUE"""),"")</f>
        <v/>
      </c>
      <c r="H2828" s="2" t="str">
        <f>IFERROR(__xludf.DUMMYFUNCTION("""COMPUTED_VALUE"""),"")</f>
        <v/>
      </c>
      <c r="I2828" s="2" t="str">
        <f>IFERROR(__xludf.DUMMYFUNCTION("""COMPUTED_VALUE"""),"")</f>
        <v/>
      </c>
      <c r="J2828" s="2">
        <f>IFERROR(__xludf.DUMMYFUNCTION("""COMPUTED_VALUE"""),0.0)</f>
        <v>0</v>
      </c>
      <c r="K2828" s="5" t="str">
        <f>IFERROR(__xludf.DUMMYFUNCTION("""COMPUTED_VALUE"""),"")</f>
        <v/>
      </c>
      <c r="L2828" t="str">
        <f>IFERROR(__xludf.DUMMYFUNCTION("""COMPUTED_VALUE"""),"")</f>
        <v/>
      </c>
      <c r="M2828" t="str">
        <f>IFERROR(__xludf.DUMMYFUNCTION("""COMPUTED_VALUE"""),"")</f>
        <v/>
      </c>
      <c r="N2828" t="str">
        <f>IFERROR(__xludf.DUMMYFUNCTION("""COMPUTED_VALUE"""),"")</f>
        <v/>
      </c>
      <c r="O2828" t="str">
        <f>IFERROR(__xludf.DUMMYFUNCTION("""COMPUTED_VALUE"""),"")</f>
        <v/>
      </c>
      <c r="P2828" t="str">
        <f>IFERROR(__xludf.DUMMYFUNCTION("""COMPUTED_VALUE"""),"ID ")</f>
        <v>ID </v>
      </c>
    </row>
    <row r="2829">
      <c r="A2829" s="6" t="str">
        <f>IFERROR(__xludf.DUMMYFUNCTION("""COMPUTED_VALUE"""),"")</f>
        <v/>
      </c>
      <c r="C2829" t="str">
        <f>IFERROR(__xludf.DUMMYFUNCTION("""COMPUTED_VALUE"""),"")</f>
        <v/>
      </c>
      <c r="D2829" t="str">
        <f>IFERROR(__xludf.DUMMYFUNCTION("""COMPUTED_VALUE"""),"")</f>
        <v/>
      </c>
      <c r="E2829" t="str">
        <f>IFERROR(__xludf.DUMMYFUNCTION("""COMPUTED_VALUE"""),"")</f>
        <v/>
      </c>
      <c r="F2829" t="str">
        <f>IFERROR(__xludf.DUMMYFUNCTION("""COMPUTED_VALUE"""),"")</f>
        <v/>
      </c>
      <c r="G2829" t="str">
        <f>IFERROR(__xludf.DUMMYFUNCTION("""COMPUTED_VALUE"""),"")</f>
        <v/>
      </c>
      <c r="H2829" s="2" t="str">
        <f>IFERROR(__xludf.DUMMYFUNCTION("""COMPUTED_VALUE"""),"")</f>
        <v/>
      </c>
      <c r="I2829" s="2" t="str">
        <f>IFERROR(__xludf.DUMMYFUNCTION("""COMPUTED_VALUE"""),"")</f>
        <v/>
      </c>
      <c r="J2829" s="2">
        <f>IFERROR(__xludf.DUMMYFUNCTION("""COMPUTED_VALUE"""),0.0)</f>
        <v>0</v>
      </c>
      <c r="K2829" s="5" t="str">
        <f>IFERROR(__xludf.DUMMYFUNCTION("""COMPUTED_VALUE"""),"")</f>
        <v/>
      </c>
      <c r="L2829" t="str">
        <f>IFERROR(__xludf.DUMMYFUNCTION("""COMPUTED_VALUE"""),"")</f>
        <v/>
      </c>
      <c r="M2829" t="str">
        <f>IFERROR(__xludf.DUMMYFUNCTION("""COMPUTED_VALUE"""),"")</f>
        <v/>
      </c>
      <c r="N2829" t="str">
        <f>IFERROR(__xludf.DUMMYFUNCTION("""COMPUTED_VALUE"""),"")</f>
        <v/>
      </c>
      <c r="O2829" t="str">
        <f>IFERROR(__xludf.DUMMYFUNCTION("""COMPUTED_VALUE"""),"")</f>
        <v/>
      </c>
      <c r="P2829" t="str">
        <f>IFERROR(__xludf.DUMMYFUNCTION("""COMPUTED_VALUE"""),"ID ")</f>
        <v>ID </v>
      </c>
    </row>
    <row r="2830">
      <c r="A2830" s="6" t="str">
        <f>IFERROR(__xludf.DUMMYFUNCTION("""COMPUTED_VALUE"""),"")</f>
        <v/>
      </c>
      <c r="C2830" t="str">
        <f>IFERROR(__xludf.DUMMYFUNCTION("""COMPUTED_VALUE"""),"")</f>
        <v/>
      </c>
      <c r="D2830" t="str">
        <f>IFERROR(__xludf.DUMMYFUNCTION("""COMPUTED_VALUE"""),"")</f>
        <v/>
      </c>
      <c r="E2830" t="str">
        <f>IFERROR(__xludf.DUMMYFUNCTION("""COMPUTED_VALUE"""),"")</f>
        <v/>
      </c>
      <c r="F2830" t="str">
        <f>IFERROR(__xludf.DUMMYFUNCTION("""COMPUTED_VALUE"""),"")</f>
        <v/>
      </c>
      <c r="G2830" t="str">
        <f>IFERROR(__xludf.DUMMYFUNCTION("""COMPUTED_VALUE"""),"")</f>
        <v/>
      </c>
      <c r="H2830" s="2" t="str">
        <f>IFERROR(__xludf.DUMMYFUNCTION("""COMPUTED_VALUE"""),"")</f>
        <v/>
      </c>
      <c r="I2830" s="2" t="str">
        <f>IFERROR(__xludf.DUMMYFUNCTION("""COMPUTED_VALUE"""),"")</f>
        <v/>
      </c>
      <c r="J2830" s="2">
        <f>IFERROR(__xludf.DUMMYFUNCTION("""COMPUTED_VALUE"""),0.0)</f>
        <v>0</v>
      </c>
      <c r="K2830" s="5" t="str">
        <f>IFERROR(__xludf.DUMMYFUNCTION("""COMPUTED_VALUE"""),"")</f>
        <v/>
      </c>
      <c r="L2830" t="str">
        <f>IFERROR(__xludf.DUMMYFUNCTION("""COMPUTED_VALUE"""),"")</f>
        <v/>
      </c>
      <c r="M2830" t="str">
        <f>IFERROR(__xludf.DUMMYFUNCTION("""COMPUTED_VALUE"""),"")</f>
        <v/>
      </c>
      <c r="N2830" t="str">
        <f>IFERROR(__xludf.DUMMYFUNCTION("""COMPUTED_VALUE"""),"")</f>
        <v/>
      </c>
      <c r="O2830" t="str">
        <f>IFERROR(__xludf.DUMMYFUNCTION("""COMPUTED_VALUE"""),"")</f>
        <v/>
      </c>
      <c r="P2830" t="str">
        <f>IFERROR(__xludf.DUMMYFUNCTION("""COMPUTED_VALUE"""),"ID ")</f>
        <v>ID </v>
      </c>
    </row>
    <row r="2831">
      <c r="A2831" s="6" t="str">
        <f>IFERROR(__xludf.DUMMYFUNCTION("""COMPUTED_VALUE"""),"")</f>
        <v/>
      </c>
      <c r="C2831" t="str">
        <f>IFERROR(__xludf.DUMMYFUNCTION("""COMPUTED_VALUE"""),"")</f>
        <v/>
      </c>
      <c r="D2831" t="str">
        <f>IFERROR(__xludf.DUMMYFUNCTION("""COMPUTED_VALUE"""),"")</f>
        <v/>
      </c>
      <c r="E2831" t="str">
        <f>IFERROR(__xludf.DUMMYFUNCTION("""COMPUTED_VALUE"""),"")</f>
        <v/>
      </c>
      <c r="F2831" t="str">
        <f>IFERROR(__xludf.DUMMYFUNCTION("""COMPUTED_VALUE"""),"")</f>
        <v/>
      </c>
      <c r="G2831" t="str">
        <f>IFERROR(__xludf.DUMMYFUNCTION("""COMPUTED_VALUE"""),"")</f>
        <v/>
      </c>
      <c r="H2831" s="2" t="str">
        <f>IFERROR(__xludf.DUMMYFUNCTION("""COMPUTED_VALUE"""),"")</f>
        <v/>
      </c>
      <c r="I2831" s="2" t="str">
        <f>IFERROR(__xludf.DUMMYFUNCTION("""COMPUTED_VALUE"""),"")</f>
        <v/>
      </c>
      <c r="J2831" s="2">
        <f>IFERROR(__xludf.DUMMYFUNCTION("""COMPUTED_VALUE"""),0.0)</f>
        <v>0</v>
      </c>
      <c r="K2831" s="5" t="str">
        <f>IFERROR(__xludf.DUMMYFUNCTION("""COMPUTED_VALUE"""),"")</f>
        <v/>
      </c>
      <c r="L2831" t="str">
        <f>IFERROR(__xludf.DUMMYFUNCTION("""COMPUTED_VALUE"""),"")</f>
        <v/>
      </c>
      <c r="M2831" t="str">
        <f>IFERROR(__xludf.DUMMYFUNCTION("""COMPUTED_VALUE"""),"")</f>
        <v/>
      </c>
      <c r="N2831" t="str">
        <f>IFERROR(__xludf.DUMMYFUNCTION("""COMPUTED_VALUE"""),"")</f>
        <v/>
      </c>
      <c r="O2831" t="str">
        <f>IFERROR(__xludf.DUMMYFUNCTION("""COMPUTED_VALUE"""),"")</f>
        <v/>
      </c>
      <c r="P2831" t="str">
        <f>IFERROR(__xludf.DUMMYFUNCTION("""COMPUTED_VALUE"""),"ID ")</f>
        <v>ID </v>
      </c>
    </row>
    <row r="2832">
      <c r="A2832" s="6" t="str">
        <f>IFERROR(__xludf.DUMMYFUNCTION("""COMPUTED_VALUE"""),"")</f>
        <v/>
      </c>
      <c r="C2832" t="str">
        <f>IFERROR(__xludf.DUMMYFUNCTION("""COMPUTED_VALUE"""),"")</f>
        <v/>
      </c>
      <c r="D2832" t="str">
        <f>IFERROR(__xludf.DUMMYFUNCTION("""COMPUTED_VALUE"""),"")</f>
        <v/>
      </c>
      <c r="E2832" t="str">
        <f>IFERROR(__xludf.DUMMYFUNCTION("""COMPUTED_VALUE"""),"")</f>
        <v/>
      </c>
      <c r="F2832" t="str">
        <f>IFERROR(__xludf.DUMMYFUNCTION("""COMPUTED_VALUE"""),"")</f>
        <v/>
      </c>
      <c r="G2832" t="str">
        <f>IFERROR(__xludf.DUMMYFUNCTION("""COMPUTED_VALUE"""),"")</f>
        <v/>
      </c>
      <c r="H2832" s="2" t="str">
        <f>IFERROR(__xludf.DUMMYFUNCTION("""COMPUTED_VALUE"""),"")</f>
        <v/>
      </c>
      <c r="I2832" s="2" t="str">
        <f>IFERROR(__xludf.DUMMYFUNCTION("""COMPUTED_VALUE"""),"")</f>
        <v/>
      </c>
      <c r="J2832" s="2">
        <f>IFERROR(__xludf.DUMMYFUNCTION("""COMPUTED_VALUE"""),0.0)</f>
        <v>0</v>
      </c>
      <c r="K2832" s="5" t="str">
        <f>IFERROR(__xludf.DUMMYFUNCTION("""COMPUTED_VALUE"""),"")</f>
        <v/>
      </c>
      <c r="L2832" t="str">
        <f>IFERROR(__xludf.DUMMYFUNCTION("""COMPUTED_VALUE"""),"")</f>
        <v/>
      </c>
      <c r="M2832" t="str">
        <f>IFERROR(__xludf.DUMMYFUNCTION("""COMPUTED_VALUE"""),"")</f>
        <v/>
      </c>
      <c r="N2832" t="str">
        <f>IFERROR(__xludf.DUMMYFUNCTION("""COMPUTED_VALUE"""),"")</f>
        <v/>
      </c>
      <c r="O2832" t="str">
        <f>IFERROR(__xludf.DUMMYFUNCTION("""COMPUTED_VALUE"""),"")</f>
        <v/>
      </c>
      <c r="P2832" t="str">
        <f>IFERROR(__xludf.DUMMYFUNCTION("""COMPUTED_VALUE"""),"ID ")</f>
        <v>ID </v>
      </c>
    </row>
    <row r="2833">
      <c r="A2833" s="6" t="str">
        <f>IFERROR(__xludf.DUMMYFUNCTION("""COMPUTED_VALUE"""),"")</f>
        <v/>
      </c>
      <c r="C2833" t="str">
        <f>IFERROR(__xludf.DUMMYFUNCTION("""COMPUTED_VALUE"""),"")</f>
        <v/>
      </c>
      <c r="D2833" t="str">
        <f>IFERROR(__xludf.DUMMYFUNCTION("""COMPUTED_VALUE"""),"")</f>
        <v/>
      </c>
      <c r="E2833" t="str">
        <f>IFERROR(__xludf.DUMMYFUNCTION("""COMPUTED_VALUE"""),"")</f>
        <v/>
      </c>
      <c r="F2833" t="str">
        <f>IFERROR(__xludf.DUMMYFUNCTION("""COMPUTED_VALUE"""),"")</f>
        <v/>
      </c>
      <c r="G2833" t="str">
        <f>IFERROR(__xludf.DUMMYFUNCTION("""COMPUTED_VALUE"""),"")</f>
        <v/>
      </c>
      <c r="H2833" s="2" t="str">
        <f>IFERROR(__xludf.DUMMYFUNCTION("""COMPUTED_VALUE"""),"")</f>
        <v/>
      </c>
      <c r="I2833" s="2" t="str">
        <f>IFERROR(__xludf.DUMMYFUNCTION("""COMPUTED_VALUE"""),"")</f>
        <v/>
      </c>
      <c r="J2833" s="2">
        <f>IFERROR(__xludf.DUMMYFUNCTION("""COMPUTED_VALUE"""),0.0)</f>
        <v>0</v>
      </c>
      <c r="K2833" s="5" t="str">
        <f>IFERROR(__xludf.DUMMYFUNCTION("""COMPUTED_VALUE"""),"")</f>
        <v/>
      </c>
      <c r="L2833" t="str">
        <f>IFERROR(__xludf.DUMMYFUNCTION("""COMPUTED_VALUE"""),"")</f>
        <v/>
      </c>
      <c r="M2833" t="str">
        <f>IFERROR(__xludf.DUMMYFUNCTION("""COMPUTED_VALUE"""),"")</f>
        <v/>
      </c>
      <c r="N2833" t="str">
        <f>IFERROR(__xludf.DUMMYFUNCTION("""COMPUTED_VALUE"""),"")</f>
        <v/>
      </c>
      <c r="O2833" t="str">
        <f>IFERROR(__xludf.DUMMYFUNCTION("""COMPUTED_VALUE"""),"")</f>
        <v/>
      </c>
      <c r="P2833" t="str">
        <f>IFERROR(__xludf.DUMMYFUNCTION("""COMPUTED_VALUE"""),"ID ")</f>
        <v>ID </v>
      </c>
    </row>
    <row r="2834">
      <c r="A2834" s="6" t="str">
        <f>IFERROR(__xludf.DUMMYFUNCTION("""COMPUTED_VALUE"""),"")</f>
        <v/>
      </c>
      <c r="C2834" t="str">
        <f>IFERROR(__xludf.DUMMYFUNCTION("""COMPUTED_VALUE"""),"")</f>
        <v/>
      </c>
      <c r="D2834" t="str">
        <f>IFERROR(__xludf.DUMMYFUNCTION("""COMPUTED_VALUE"""),"")</f>
        <v/>
      </c>
      <c r="E2834" t="str">
        <f>IFERROR(__xludf.DUMMYFUNCTION("""COMPUTED_VALUE"""),"")</f>
        <v/>
      </c>
      <c r="F2834" t="str">
        <f>IFERROR(__xludf.DUMMYFUNCTION("""COMPUTED_VALUE"""),"")</f>
        <v/>
      </c>
      <c r="G2834" t="str">
        <f>IFERROR(__xludf.DUMMYFUNCTION("""COMPUTED_VALUE"""),"")</f>
        <v/>
      </c>
      <c r="H2834" s="2" t="str">
        <f>IFERROR(__xludf.DUMMYFUNCTION("""COMPUTED_VALUE"""),"")</f>
        <v/>
      </c>
      <c r="I2834" s="2" t="str">
        <f>IFERROR(__xludf.DUMMYFUNCTION("""COMPUTED_VALUE"""),"")</f>
        <v/>
      </c>
      <c r="J2834" s="2">
        <f>IFERROR(__xludf.DUMMYFUNCTION("""COMPUTED_VALUE"""),0.0)</f>
        <v>0</v>
      </c>
      <c r="K2834" s="5" t="str">
        <f>IFERROR(__xludf.DUMMYFUNCTION("""COMPUTED_VALUE"""),"")</f>
        <v/>
      </c>
      <c r="L2834" t="str">
        <f>IFERROR(__xludf.DUMMYFUNCTION("""COMPUTED_VALUE"""),"")</f>
        <v/>
      </c>
      <c r="M2834" t="str">
        <f>IFERROR(__xludf.DUMMYFUNCTION("""COMPUTED_VALUE"""),"")</f>
        <v/>
      </c>
      <c r="N2834" t="str">
        <f>IFERROR(__xludf.DUMMYFUNCTION("""COMPUTED_VALUE"""),"")</f>
        <v/>
      </c>
      <c r="O2834" t="str">
        <f>IFERROR(__xludf.DUMMYFUNCTION("""COMPUTED_VALUE"""),"")</f>
        <v/>
      </c>
      <c r="P2834" t="str">
        <f>IFERROR(__xludf.DUMMYFUNCTION("""COMPUTED_VALUE"""),"ID ")</f>
        <v>ID </v>
      </c>
    </row>
    <row r="2835">
      <c r="A2835" s="6" t="str">
        <f>IFERROR(__xludf.DUMMYFUNCTION("""COMPUTED_VALUE"""),"")</f>
        <v/>
      </c>
      <c r="C2835" t="str">
        <f>IFERROR(__xludf.DUMMYFUNCTION("""COMPUTED_VALUE"""),"")</f>
        <v/>
      </c>
      <c r="D2835" t="str">
        <f>IFERROR(__xludf.DUMMYFUNCTION("""COMPUTED_VALUE"""),"")</f>
        <v/>
      </c>
      <c r="E2835" t="str">
        <f>IFERROR(__xludf.DUMMYFUNCTION("""COMPUTED_VALUE"""),"")</f>
        <v/>
      </c>
      <c r="F2835" t="str">
        <f>IFERROR(__xludf.DUMMYFUNCTION("""COMPUTED_VALUE"""),"")</f>
        <v/>
      </c>
      <c r="G2835" t="str">
        <f>IFERROR(__xludf.DUMMYFUNCTION("""COMPUTED_VALUE"""),"")</f>
        <v/>
      </c>
      <c r="H2835" s="2" t="str">
        <f>IFERROR(__xludf.DUMMYFUNCTION("""COMPUTED_VALUE"""),"")</f>
        <v/>
      </c>
      <c r="I2835" s="2" t="str">
        <f>IFERROR(__xludf.DUMMYFUNCTION("""COMPUTED_VALUE"""),"")</f>
        <v/>
      </c>
      <c r="J2835" s="2">
        <f>IFERROR(__xludf.DUMMYFUNCTION("""COMPUTED_VALUE"""),0.0)</f>
        <v>0</v>
      </c>
      <c r="K2835" s="5" t="str">
        <f>IFERROR(__xludf.DUMMYFUNCTION("""COMPUTED_VALUE"""),"")</f>
        <v/>
      </c>
      <c r="L2835" t="str">
        <f>IFERROR(__xludf.DUMMYFUNCTION("""COMPUTED_VALUE"""),"")</f>
        <v/>
      </c>
      <c r="M2835" t="str">
        <f>IFERROR(__xludf.DUMMYFUNCTION("""COMPUTED_VALUE"""),"")</f>
        <v/>
      </c>
      <c r="N2835" t="str">
        <f>IFERROR(__xludf.DUMMYFUNCTION("""COMPUTED_VALUE"""),"")</f>
        <v/>
      </c>
      <c r="O2835" t="str">
        <f>IFERROR(__xludf.DUMMYFUNCTION("""COMPUTED_VALUE"""),"")</f>
        <v/>
      </c>
      <c r="P2835" t="str">
        <f>IFERROR(__xludf.DUMMYFUNCTION("""COMPUTED_VALUE"""),"ID ")</f>
        <v>ID </v>
      </c>
    </row>
    <row r="2836">
      <c r="A2836" s="6" t="str">
        <f>IFERROR(__xludf.DUMMYFUNCTION("""COMPUTED_VALUE"""),"")</f>
        <v/>
      </c>
      <c r="C2836" t="str">
        <f>IFERROR(__xludf.DUMMYFUNCTION("""COMPUTED_VALUE"""),"")</f>
        <v/>
      </c>
      <c r="D2836" t="str">
        <f>IFERROR(__xludf.DUMMYFUNCTION("""COMPUTED_VALUE"""),"")</f>
        <v/>
      </c>
      <c r="E2836" t="str">
        <f>IFERROR(__xludf.DUMMYFUNCTION("""COMPUTED_VALUE"""),"")</f>
        <v/>
      </c>
      <c r="F2836" t="str">
        <f>IFERROR(__xludf.DUMMYFUNCTION("""COMPUTED_VALUE"""),"")</f>
        <v/>
      </c>
      <c r="G2836" t="str">
        <f>IFERROR(__xludf.DUMMYFUNCTION("""COMPUTED_VALUE"""),"")</f>
        <v/>
      </c>
      <c r="H2836" s="2" t="str">
        <f>IFERROR(__xludf.DUMMYFUNCTION("""COMPUTED_VALUE"""),"")</f>
        <v/>
      </c>
      <c r="I2836" s="2" t="str">
        <f>IFERROR(__xludf.DUMMYFUNCTION("""COMPUTED_VALUE"""),"")</f>
        <v/>
      </c>
      <c r="J2836" s="2">
        <f>IFERROR(__xludf.DUMMYFUNCTION("""COMPUTED_VALUE"""),0.0)</f>
        <v>0</v>
      </c>
      <c r="K2836" s="5" t="str">
        <f>IFERROR(__xludf.DUMMYFUNCTION("""COMPUTED_VALUE"""),"")</f>
        <v/>
      </c>
      <c r="L2836" t="str">
        <f>IFERROR(__xludf.DUMMYFUNCTION("""COMPUTED_VALUE"""),"")</f>
        <v/>
      </c>
      <c r="M2836" t="str">
        <f>IFERROR(__xludf.DUMMYFUNCTION("""COMPUTED_VALUE"""),"")</f>
        <v/>
      </c>
      <c r="N2836" t="str">
        <f>IFERROR(__xludf.DUMMYFUNCTION("""COMPUTED_VALUE"""),"")</f>
        <v/>
      </c>
      <c r="O2836" t="str">
        <f>IFERROR(__xludf.DUMMYFUNCTION("""COMPUTED_VALUE"""),"")</f>
        <v/>
      </c>
      <c r="P2836" t="str">
        <f>IFERROR(__xludf.DUMMYFUNCTION("""COMPUTED_VALUE"""),"ID ")</f>
        <v>ID </v>
      </c>
    </row>
    <row r="2837">
      <c r="A2837" s="6" t="str">
        <f>IFERROR(__xludf.DUMMYFUNCTION("""COMPUTED_VALUE"""),"")</f>
        <v/>
      </c>
      <c r="C2837" t="str">
        <f>IFERROR(__xludf.DUMMYFUNCTION("""COMPUTED_VALUE"""),"")</f>
        <v/>
      </c>
      <c r="D2837" t="str">
        <f>IFERROR(__xludf.DUMMYFUNCTION("""COMPUTED_VALUE"""),"")</f>
        <v/>
      </c>
      <c r="E2837" t="str">
        <f>IFERROR(__xludf.DUMMYFUNCTION("""COMPUTED_VALUE"""),"")</f>
        <v/>
      </c>
      <c r="F2837" t="str">
        <f>IFERROR(__xludf.DUMMYFUNCTION("""COMPUTED_VALUE"""),"")</f>
        <v/>
      </c>
      <c r="G2837" t="str">
        <f>IFERROR(__xludf.DUMMYFUNCTION("""COMPUTED_VALUE"""),"")</f>
        <v/>
      </c>
      <c r="H2837" s="2" t="str">
        <f>IFERROR(__xludf.DUMMYFUNCTION("""COMPUTED_VALUE"""),"")</f>
        <v/>
      </c>
      <c r="I2837" s="2" t="str">
        <f>IFERROR(__xludf.DUMMYFUNCTION("""COMPUTED_VALUE"""),"")</f>
        <v/>
      </c>
      <c r="J2837" s="2">
        <f>IFERROR(__xludf.DUMMYFUNCTION("""COMPUTED_VALUE"""),0.0)</f>
        <v>0</v>
      </c>
      <c r="K2837" s="5" t="str">
        <f>IFERROR(__xludf.DUMMYFUNCTION("""COMPUTED_VALUE"""),"")</f>
        <v/>
      </c>
      <c r="L2837" t="str">
        <f>IFERROR(__xludf.DUMMYFUNCTION("""COMPUTED_VALUE"""),"")</f>
        <v/>
      </c>
      <c r="M2837" t="str">
        <f>IFERROR(__xludf.DUMMYFUNCTION("""COMPUTED_VALUE"""),"")</f>
        <v/>
      </c>
      <c r="N2837" t="str">
        <f>IFERROR(__xludf.DUMMYFUNCTION("""COMPUTED_VALUE"""),"")</f>
        <v/>
      </c>
      <c r="O2837" t="str">
        <f>IFERROR(__xludf.DUMMYFUNCTION("""COMPUTED_VALUE"""),"")</f>
        <v/>
      </c>
      <c r="P2837" t="str">
        <f>IFERROR(__xludf.DUMMYFUNCTION("""COMPUTED_VALUE"""),"ID ")</f>
        <v>ID </v>
      </c>
    </row>
    <row r="2838">
      <c r="A2838" s="6" t="str">
        <f>IFERROR(__xludf.DUMMYFUNCTION("""COMPUTED_VALUE"""),"")</f>
        <v/>
      </c>
      <c r="C2838" t="str">
        <f>IFERROR(__xludf.DUMMYFUNCTION("""COMPUTED_VALUE"""),"")</f>
        <v/>
      </c>
      <c r="D2838" t="str">
        <f>IFERROR(__xludf.DUMMYFUNCTION("""COMPUTED_VALUE"""),"")</f>
        <v/>
      </c>
      <c r="E2838" t="str">
        <f>IFERROR(__xludf.DUMMYFUNCTION("""COMPUTED_VALUE"""),"")</f>
        <v/>
      </c>
      <c r="F2838" t="str">
        <f>IFERROR(__xludf.DUMMYFUNCTION("""COMPUTED_VALUE"""),"")</f>
        <v/>
      </c>
      <c r="G2838" t="str">
        <f>IFERROR(__xludf.DUMMYFUNCTION("""COMPUTED_VALUE"""),"")</f>
        <v/>
      </c>
      <c r="H2838" s="2" t="str">
        <f>IFERROR(__xludf.DUMMYFUNCTION("""COMPUTED_VALUE"""),"")</f>
        <v/>
      </c>
      <c r="I2838" s="2" t="str">
        <f>IFERROR(__xludf.DUMMYFUNCTION("""COMPUTED_VALUE"""),"")</f>
        <v/>
      </c>
      <c r="J2838" s="2">
        <f>IFERROR(__xludf.DUMMYFUNCTION("""COMPUTED_VALUE"""),0.0)</f>
        <v>0</v>
      </c>
      <c r="K2838" s="5" t="str">
        <f>IFERROR(__xludf.DUMMYFUNCTION("""COMPUTED_VALUE"""),"")</f>
        <v/>
      </c>
      <c r="L2838" t="str">
        <f>IFERROR(__xludf.DUMMYFUNCTION("""COMPUTED_VALUE"""),"")</f>
        <v/>
      </c>
      <c r="M2838" t="str">
        <f>IFERROR(__xludf.DUMMYFUNCTION("""COMPUTED_VALUE"""),"")</f>
        <v/>
      </c>
      <c r="N2838" t="str">
        <f>IFERROR(__xludf.DUMMYFUNCTION("""COMPUTED_VALUE"""),"")</f>
        <v/>
      </c>
      <c r="O2838" t="str">
        <f>IFERROR(__xludf.DUMMYFUNCTION("""COMPUTED_VALUE"""),"")</f>
        <v/>
      </c>
      <c r="P2838" t="str">
        <f>IFERROR(__xludf.DUMMYFUNCTION("""COMPUTED_VALUE"""),"ID ")</f>
        <v>ID </v>
      </c>
    </row>
    <row r="2839">
      <c r="A2839" s="6" t="str">
        <f>IFERROR(__xludf.DUMMYFUNCTION("""COMPUTED_VALUE"""),"")</f>
        <v/>
      </c>
      <c r="C2839" t="str">
        <f>IFERROR(__xludf.DUMMYFUNCTION("""COMPUTED_VALUE"""),"")</f>
        <v/>
      </c>
      <c r="D2839" t="str">
        <f>IFERROR(__xludf.DUMMYFUNCTION("""COMPUTED_VALUE"""),"")</f>
        <v/>
      </c>
      <c r="E2839" t="str">
        <f>IFERROR(__xludf.DUMMYFUNCTION("""COMPUTED_VALUE"""),"")</f>
        <v/>
      </c>
      <c r="F2839" t="str">
        <f>IFERROR(__xludf.DUMMYFUNCTION("""COMPUTED_VALUE"""),"")</f>
        <v/>
      </c>
      <c r="G2839" t="str">
        <f>IFERROR(__xludf.DUMMYFUNCTION("""COMPUTED_VALUE"""),"")</f>
        <v/>
      </c>
      <c r="H2839" s="2" t="str">
        <f>IFERROR(__xludf.DUMMYFUNCTION("""COMPUTED_VALUE"""),"")</f>
        <v/>
      </c>
      <c r="I2839" s="2" t="str">
        <f>IFERROR(__xludf.DUMMYFUNCTION("""COMPUTED_VALUE"""),"")</f>
        <v/>
      </c>
      <c r="J2839" s="2">
        <f>IFERROR(__xludf.DUMMYFUNCTION("""COMPUTED_VALUE"""),0.0)</f>
        <v>0</v>
      </c>
      <c r="K2839" s="5" t="str">
        <f>IFERROR(__xludf.DUMMYFUNCTION("""COMPUTED_VALUE"""),"")</f>
        <v/>
      </c>
      <c r="L2839" t="str">
        <f>IFERROR(__xludf.DUMMYFUNCTION("""COMPUTED_VALUE"""),"")</f>
        <v/>
      </c>
      <c r="M2839" t="str">
        <f>IFERROR(__xludf.DUMMYFUNCTION("""COMPUTED_VALUE"""),"")</f>
        <v/>
      </c>
      <c r="N2839" t="str">
        <f>IFERROR(__xludf.DUMMYFUNCTION("""COMPUTED_VALUE"""),"")</f>
        <v/>
      </c>
      <c r="O2839" t="str">
        <f>IFERROR(__xludf.DUMMYFUNCTION("""COMPUTED_VALUE"""),"")</f>
        <v/>
      </c>
      <c r="P2839" t="str">
        <f>IFERROR(__xludf.DUMMYFUNCTION("""COMPUTED_VALUE"""),"ID ")</f>
        <v>ID </v>
      </c>
    </row>
    <row r="2840">
      <c r="A2840" s="6" t="str">
        <f>IFERROR(__xludf.DUMMYFUNCTION("""COMPUTED_VALUE"""),"")</f>
        <v/>
      </c>
      <c r="C2840" t="str">
        <f>IFERROR(__xludf.DUMMYFUNCTION("""COMPUTED_VALUE"""),"")</f>
        <v/>
      </c>
      <c r="D2840" t="str">
        <f>IFERROR(__xludf.DUMMYFUNCTION("""COMPUTED_VALUE"""),"")</f>
        <v/>
      </c>
      <c r="E2840" t="str">
        <f>IFERROR(__xludf.DUMMYFUNCTION("""COMPUTED_VALUE"""),"")</f>
        <v/>
      </c>
      <c r="F2840" t="str">
        <f>IFERROR(__xludf.DUMMYFUNCTION("""COMPUTED_VALUE"""),"")</f>
        <v/>
      </c>
      <c r="G2840" t="str">
        <f>IFERROR(__xludf.DUMMYFUNCTION("""COMPUTED_VALUE"""),"")</f>
        <v/>
      </c>
      <c r="H2840" s="2" t="str">
        <f>IFERROR(__xludf.DUMMYFUNCTION("""COMPUTED_VALUE"""),"")</f>
        <v/>
      </c>
      <c r="I2840" s="2" t="str">
        <f>IFERROR(__xludf.DUMMYFUNCTION("""COMPUTED_VALUE"""),"")</f>
        <v/>
      </c>
      <c r="J2840" s="2">
        <f>IFERROR(__xludf.DUMMYFUNCTION("""COMPUTED_VALUE"""),0.0)</f>
        <v>0</v>
      </c>
      <c r="K2840" s="5" t="str">
        <f>IFERROR(__xludf.DUMMYFUNCTION("""COMPUTED_VALUE"""),"")</f>
        <v/>
      </c>
      <c r="L2840" t="str">
        <f>IFERROR(__xludf.DUMMYFUNCTION("""COMPUTED_VALUE"""),"")</f>
        <v/>
      </c>
      <c r="M2840" t="str">
        <f>IFERROR(__xludf.DUMMYFUNCTION("""COMPUTED_VALUE"""),"")</f>
        <v/>
      </c>
      <c r="N2840" t="str">
        <f>IFERROR(__xludf.DUMMYFUNCTION("""COMPUTED_VALUE"""),"")</f>
        <v/>
      </c>
      <c r="O2840" t="str">
        <f>IFERROR(__xludf.DUMMYFUNCTION("""COMPUTED_VALUE"""),"")</f>
        <v/>
      </c>
      <c r="P2840" t="str">
        <f>IFERROR(__xludf.DUMMYFUNCTION("""COMPUTED_VALUE"""),"ID ")</f>
        <v>ID </v>
      </c>
    </row>
    <row r="2841">
      <c r="A2841" s="6" t="str">
        <f>IFERROR(__xludf.DUMMYFUNCTION("""COMPUTED_VALUE"""),"")</f>
        <v/>
      </c>
      <c r="C2841" t="str">
        <f>IFERROR(__xludf.DUMMYFUNCTION("""COMPUTED_VALUE"""),"")</f>
        <v/>
      </c>
      <c r="D2841" t="str">
        <f>IFERROR(__xludf.DUMMYFUNCTION("""COMPUTED_VALUE"""),"")</f>
        <v/>
      </c>
      <c r="E2841" t="str">
        <f>IFERROR(__xludf.DUMMYFUNCTION("""COMPUTED_VALUE"""),"")</f>
        <v/>
      </c>
      <c r="F2841" t="str">
        <f>IFERROR(__xludf.DUMMYFUNCTION("""COMPUTED_VALUE"""),"")</f>
        <v/>
      </c>
      <c r="G2841" t="str">
        <f>IFERROR(__xludf.DUMMYFUNCTION("""COMPUTED_VALUE"""),"")</f>
        <v/>
      </c>
      <c r="H2841" s="2" t="str">
        <f>IFERROR(__xludf.DUMMYFUNCTION("""COMPUTED_VALUE"""),"")</f>
        <v/>
      </c>
      <c r="I2841" s="2" t="str">
        <f>IFERROR(__xludf.DUMMYFUNCTION("""COMPUTED_VALUE"""),"")</f>
        <v/>
      </c>
      <c r="J2841" s="2">
        <f>IFERROR(__xludf.DUMMYFUNCTION("""COMPUTED_VALUE"""),0.0)</f>
        <v>0</v>
      </c>
      <c r="K2841" s="5" t="str">
        <f>IFERROR(__xludf.DUMMYFUNCTION("""COMPUTED_VALUE"""),"")</f>
        <v/>
      </c>
      <c r="L2841" t="str">
        <f>IFERROR(__xludf.DUMMYFUNCTION("""COMPUTED_VALUE"""),"")</f>
        <v/>
      </c>
      <c r="M2841" t="str">
        <f>IFERROR(__xludf.DUMMYFUNCTION("""COMPUTED_VALUE"""),"")</f>
        <v/>
      </c>
      <c r="N2841" t="str">
        <f>IFERROR(__xludf.DUMMYFUNCTION("""COMPUTED_VALUE"""),"")</f>
        <v/>
      </c>
      <c r="O2841" t="str">
        <f>IFERROR(__xludf.DUMMYFUNCTION("""COMPUTED_VALUE"""),"")</f>
        <v/>
      </c>
      <c r="P2841" t="str">
        <f>IFERROR(__xludf.DUMMYFUNCTION("""COMPUTED_VALUE"""),"ID ")</f>
        <v>ID </v>
      </c>
    </row>
    <row r="2842">
      <c r="A2842" s="6" t="str">
        <f>IFERROR(__xludf.DUMMYFUNCTION("""COMPUTED_VALUE"""),"")</f>
        <v/>
      </c>
      <c r="C2842" t="str">
        <f>IFERROR(__xludf.DUMMYFUNCTION("""COMPUTED_VALUE"""),"")</f>
        <v/>
      </c>
      <c r="D2842" t="str">
        <f>IFERROR(__xludf.DUMMYFUNCTION("""COMPUTED_VALUE"""),"")</f>
        <v/>
      </c>
      <c r="E2842" t="str">
        <f>IFERROR(__xludf.DUMMYFUNCTION("""COMPUTED_VALUE"""),"")</f>
        <v/>
      </c>
      <c r="F2842" t="str">
        <f>IFERROR(__xludf.DUMMYFUNCTION("""COMPUTED_VALUE"""),"")</f>
        <v/>
      </c>
      <c r="G2842" t="str">
        <f>IFERROR(__xludf.DUMMYFUNCTION("""COMPUTED_VALUE"""),"")</f>
        <v/>
      </c>
      <c r="H2842" s="2" t="str">
        <f>IFERROR(__xludf.DUMMYFUNCTION("""COMPUTED_VALUE"""),"")</f>
        <v/>
      </c>
      <c r="I2842" s="2" t="str">
        <f>IFERROR(__xludf.DUMMYFUNCTION("""COMPUTED_VALUE"""),"")</f>
        <v/>
      </c>
      <c r="J2842" s="2">
        <f>IFERROR(__xludf.DUMMYFUNCTION("""COMPUTED_VALUE"""),0.0)</f>
        <v>0</v>
      </c>
      <c r="K2842" s="5" t="str">
        <f>IFERROR(__xludf.DUMMYFUNCTION("""COMPUTED_VALUE"""),"")</f>
        <v/>
      </c>
      <c r="L2842" t="str">
        <f>IFERROR(__xludf.DUMMYFUNCTION("""COMPUTED_VALUE"""),"")</f>
        <v/>
      </c>
      <c r="M2842" t="str">
        <f>IFERROR(__xludf.DUMMYFUNCTION("""COMPUTED_VALUE"""),"")</f>
        <v/>
      </c>
      <c r="N2842" t="str">
        <f>IFERROR(__xludf.DUMMYFUNCTION("""COMPUTED_VALUE"""),"")</f>
        <v/>
      </c>
      <c r="O2842" t="str">
        <f>IFERROR(__xludf.DUMMYFUNCTION("""COMPUTED_VALUE"""),"")</f>
        <v/>
      </c>
      <c r="P2842" t="str">
        <f>IFERROR(__xludf.DUMMYFUNCTION("""COMPUTED_VALUE"""),"ID ")</f>
        <v>ID </v>
      </c>
    </row>
    <row r="2843">
      <c r="A2843" s="6" t="str">
        <f>IFERROR(__xludf.DUMMYFUNCTION("""COMPUTED_VALUE"""),"")</f>
        <v/>
      </c>
      <c r="C2843" t="str">
        <f>IFERROR(__xludf.DUMMYFUNCTION("""COMPUTED_VALUE"""),"")</f>
        <v/>
      </c>
      <c r="D2843" t="str">
        <f>IFERROR(__xludf.DUMMYFUNCTION("""COMPUTED_VALUE"""),"")</f>
        <v/>
      </c>
      <c r="E2843" t="str">
        <f>IFERROR(__xludf.DUMMYFUNCTION("""COMPUTED_VALUE"""),"")</f>
        <v/>
      </c>
      <c r="F2843" t="str">
        <f>IFERROR(__xludf.DUMMYFUNCTION("""COMPUTED_VALUE"""),"")</f>
        <v/>
      </c>
      <c r="G2843" t="str">
        <f>IFERROR(__xludf.DUMMYFUNCTION("""COMPUTED_VALUE"""),"")</f>
        <v/>
      </c>
      <c r="H2843" s="2" t="str">
        <f>IFERROR(__xludf.DUMMYFUNCTION("""COMPUTED_VALUE"""),"")</f>
        <v/>
      </c>
      <c r="I2843" s="2" t="str">
        <f>IFERROR(__xludf.DUMMYFUNCTION("""COMPUTED_VALUE"""),"")</f>
        <v/>
      </c>
      <c r="J2843" s="2">
        <f>IFERROR(__xludf.DUMMYFUNCTION("""COMPUTED_VALUE"""),0.0)</f>
        <v>0</v>
      </c>
      <c r="K2843" s="5" t="str">
        <f>IFERROR(__xludf.DUMMYFUNCTION("""COMPUTED_VALUE"""),"")</f>
        <v/>
      </c>
      <c r="L2843" t="str">
        <f>IFERROR(__xludf.DUMMYFUNCTION("""COMPUTED_VALUE"""),"")</f>
        <v/>
      </c>
      <c r="M2843" t="str">
        <f>IFERROR(__xludf.DUMMYFUNCTION("""COMPUTED_VALUE"""),"")</f>
        <v/>
      </c>
      <c r="N2843" t="str">
        <f>IFERROR(__xludf.DUMMYFUNCTION("""COMPUTED_VALUE"""),"")</f>
        <v/>
      </c>
      <c r="O2843" t="str">
        <f>IFERROR(__xludf.DUMMYFUNCTION("""COMPUTED_VALUE"""),"")</f>
        <v/>
      </c>
      <c r="P2843" t="str">
        <f>IFERROR(__xludf.DUMMYFUNCTION("""COMPUTED_VALUE"""),"ID ")</f>
        <v>ID </v>
      </c>
    </row>
    <row r="2844">
      <c r="A2844" s="6" t="str">
        <f>IFERROR(__xludf.DUMMYFUNCTION("""COMPUTED_VALUE"""),"")</f>
        <v/>
      </c>
      <c r="C2844" t="str">
        <f>IFERROR(__xludf.DUMMYFUNCTION("""COMPUTED_VALUE"""),"")</f>
        <v/>
      </c>
      <c r="D2844" t="str">
        <f>IFERROR(__xludf.DUMMYFUNCTION("""COMPUTED_VALUE"""),"")</f>
        <v/>
      </c>
      <c r="E2844" t="str">
        <f>IFERROR(__xludf.DUMMYFUNCTION("""COMPUTED_VALUE"""),"")</f>
        <v/>
      </c>
      <c r="F2844" t="str">
        <f>IFERROR(__xludf.DUMMYFUNCTION("""COMPUTED_VALUE"""),"")</f>
        <v/>
      </c>
      <c r="G2844" t="str">
        <f>IFERROR(__xludf.DUMMYFUNCTION("""COMPUTED_VALUE"""),"")</f>
        <v/>
      </c>
      <c r="H2844" s="2" t="str">
        <f>IFERROR(__xludf.DUMMYFUNCTION("""COMPUTED_VALUE"""),"")</f>
        <v/>
      </c>
      <c r="I2844" s="2" t="str">
        <f>IFERROR(__xludf.DUMMYFUNCTION("""COMPUTED_VALUE"""),"")</f>
        <v/>
      </c>
      <c r="J2844" s="2">
        <f>IFERROR(__xludf.DUMMYFUNCTION("""COMPUTED_VALUE"""),0.0)</f>
        <v>0</v>
      </c>
      <c r="K2844" s="5" t="str">
        <f>IFERROR(__xludf.DUMMYFUNCTION("""COMPUTED_VALUE"""),"")</f>
        <v/>
      </c>
      <c r="L2844" t="str">
        <f>IFERROR(__xludf.DUMMYFUNCTION("""COMPUTED_VALUE"""),"")</f>
        <v/>
      </c>
      <c r="M2844" t="str">
        <f>IFERROR(__xludf.DUMMYFUNCTION("""COMPUTED_VALUE"""),"")</f>
        <v/>
      </c>
      <c r="N2844" t="str">
        <f>IFERROR(__xludf.DUMMYFUNCTION("""COMPUTED_VALUE"""),"")</f>
        <v/>
      </c>
      <c r="O2844" t="str">
        <f>IFERROR(__xludf.DUMMYFUNCTION("""COMPUTED_VALUE"""),"")</f>
        <v/>
      </c>
      <c r="P2844" t="str">
        <f>IFERROR(__xludf.DUMMYFUNCTION("""COMPUTED_VALUE"""),"ID ")</f>
        <v>ID </v>
      </c>
    </row>
    <row r="2845">
      <c r="A2845" s="6" t="str">
        <f>IFERROR(__xludf.DUMMYFUNCTION("""COMPUTED_VALUE"""),"")</f>
        <v/>
      </c>
      <c r="C2845" t="str">
        <f>IFERROR(__xludf.DUMMYFUNCTION("""COMPUTED_VALUE"""),"")</f>
        <v/>
      </c>
      <c r="D2845" t="str">
        <f>IFERROR(__xludf.DUMMYFUNCTION("""COMPUTED_VALUE"""),"")</f>
        <v/>
      </c>
      <c r="E2845" t="str">
        <f>IFERROR(__xludf.DUMMYFUNCTION("""COMPUTED_VALUE"""),"")</f>
        <v/>
      </c>
      <c r="F2845" t="str">
        <f>IFERROR(__xludf.DUMMYFUNCTION("""COMPUTED_VALUE"""),"")</f>
        <v/>
      </c>
      <c r="G2845" t="str">
        <f>IFERROR(__xludf.DUMMYFUNCTION("""COMPUTED_VALUE"""),"")</f>
        <v/>
      </c>
      <c r="H2845" s="2" t="str">
        <f>IFERROR(__xludf.DUMMYFUNCTION("""COMPUTED_VALUE"""),"")</f>
        <v/>
      </c>
      <c r="I2845" s="2" t="str">
        <f>IFERROR(__xludf.DUMMYFUNCTION("""COMPUTED_VALUE"""),"")</f>
        <v/>
      </c>
      <c r="J2845" s="2">
        <f>IFERROR(__xludf.DUMMYFUNCTION("""COMPUTED_VALUE"""),0.0)</f>
        <v>0</v>
      </c>
      <c r="K2845" s="5" t="str">
        <f>IFERROR(__xludf.DUMMYFUNCTION("""COMPUTED_VALUE"""),"")</f>
        <v/>
      </c>
      <c r="L2845" t="str">
        <f>IFERROR(__xludf.DUMMYFUNCTION("""COMPUTED_VALUE"""),"")</f>
        <v/>
      </c>
      <c r="M2845" t="str">
        <f>IFERROR(__xludf.DUMMYFUNCTION("""COMPUTED_VALUE"""),"")</f>
        <v/>
      </c>
      <c r="N2845" t="str">
        <f>IFERROR(__xludf.DUMMYFUNCTION("""COMPUTED_VALUE"""),"")</f>
        <v/>
      </c>
      <c r="O2845" t="str">
        <f>IFERROR(__xludf.DUMMYFUNCTION("""COMPUTED_VALUE"""),"")</f>
        <v/>
      </c>
      <c r="P2845" t="str">
        <f>IFERROR(__xludf.DUMMYFUNCTION("""COMPUTED_VALUE"""),"ID ")</f>
        <v>ID </v>
      </c>
    </row>
    <row r="2846">
      <c r="A2846" s="6" t="str">
        <f>IFERROR(__xludf.DUMMYFUNCTION("""COMPUTED_VALUE"""),"")</f>
        <v/>
      </c>
      <c r="C2846" t="str">
        <f>IFERROR(__xludf.DUMMYFUNCTION("""COMPUTED_VALUE"""),"")</f>
        <v/>
      </c>
      <c r="D2846" t="str">
        <f>IFERROR(__xludf.DUMMYFUNCTION("""COMPUTED_VALUE"""),"")</f>
        <v/>
      </c>
      <c r="E2846" t="str">
        <f>IFERROR(__xludf.DUMMYFUNCTION("""COMPUTED_VALUE"""),"")</f>
        <v/>
      </c>
      <c r="F2846" t="str">
        <f>IFERROR(__xludf.DUMMYFUNCTION("""COMPUTED_VALUE"""),"")</f>
        <v/>
      </c>
      <c r="G2846" t="str">
        <f>IFERROR(__xludf.DUMMYFUNCTION("""COMPUTED_VALUE"""),"")</f>
        <v/>
      </c>
      <c r="H2846" s="2" t="str">
        <f>IFERROR(__xludf.DUMMYFUNCTION("""COMPUTED_VALUE"""),"")</f>
        <v/>
      </c>
      <c r="I2846" s="2" t="str">
        <f>IFERROR(__xludf.DUMMYFUNCTION("""COMPUTED_VALUE"""),"")</f>
        <v/>
      </c>
      <c r="J2846" s="2">
        <f>IFERROR(__xludf.DUMMYFUNCTION("""COMPUTED_VALUE"""),0.0)</f>
        <v>0</v>
      </c>
      <c r="K2846" s="5" t="str">
        <f>IFERROR(__xludf.DUMMYFUNCTION("""COMPUTED_VALUE"""),"")</f>
        <v/>
      </c>
      <c r="L2846" t="str">
        <f>IFERROR(__xludf.DUMMYFUNCTION("""COMPUTED_VALUE"""),"")</f>
        <v/>
      </c>
      <c r="M2846" t="str">
        <f>IFERROR(__xludf.DUMMYFUNCTION("""COMPUTED_VALUE"""),"")</f>
        <v/>
      </c>
      <c r="N2846" t="str">
        <f>IFERROR(__xludf.DUMMYFUNCTION("""COMPUTED_VALUE"""),"")</f>
        <v/>
      </c>
      <c r="O2846" t="str">
        <f>IFERROR(__xludf.DUMMYFUNCTION("""COMPUTED_VALUE"""),"")</f>
        <v/>
      </c>
      <c r="P2846" t="str">
        <f>IFERROR(__xludf.DUMMYFUNCTION("""COMPUTED_VALUE"""),"ID ")</f>
        <v>ID </v>
      </c>
    </row>
    <row r="2847">
      <c r="A2847" s="6" t="str">
        <f>IFERROR(__xludf.DUMMYFUNCTION("""COMPUTED_VALUE"""),"")</f>
        <v/>
      </c>
      <c r="C2847" t="str">
        <f>IFERROR(__xludf.DUMMYFUNCTION("""COMPUTED_VALUE"""),"")</f>
        <v/>
      </c>
      <c r="D2847" t="str">
        <f>IFERROR(__xludf.DUMMYFUNCTION("""COMPUTED_VALUE"""),"")</f>
        <v/>
      </c>
      <c r="E2847" t="str">
        <f>IFERROR(__xludf.DUMMYFUNCTION("""COMPUTED_VALUE"""),"")</f>
        <v/>
      </c>
      <c r="F2847" t="str">
        <f>IFERROR(__xludf.DUMMYFUNCTION("""COMPUTED_VALUE"""),"")</f>
        <v/>
      </c>
      <c r="G2847" t="str">
        <f>IFERROR(__xludf.DUMMYFUNCTION("""COMPUTED_VALUE"""),"")</f>
        <v/>
      </c>
      <c r="H2847" s="2" t="str">
        <f>IFERROR(__xludf.DUMMYFUNCTION("""COMPUTED_VALUE"""),"")</f>
        <v/>
      </c>
      <c r="I2847" s="2" t="str">
        <f>IFERROR(__xludf.DUMMYFUNCTION("""COMPUTED_VALUE"""),"")</f>
        <v/>
      </c>
      <c r="J2847" s="2">
        <f>IFERROR(__xludf.DUMMYFUNCTION("""COMPUTED_VALUE"""),0.0)</f>
        <v>0</v>
      </c>
      <c r="K2847" s="5" t="str">
        <f>IFERROR(__xludf.DUMMYFUNCTION("""COMPUTED_VALUE"""),"")</f>
        <v/>
      </c>
      <c r="L2847" t="str">
        <f>IFERROR(__xludf.DUMMYFUNCTION("""COMPUTED_VALUE"""),"")</f>
        <v/>
      </c>
      <c r="M2847" t="str">
        <f>IFERROR(__xludf.DUMMYFUNCTION("""COMPUTED_VALUE"""),"")</f>
        <v/>
      </c>
      <c r="N2847" t="str">
        <f>IFERROR(__xludf.DUMMYFUNCTION("""COMPUTED_VALUE"""),"")</f>
        <v/>
      </c>
      <c r="O2847" t="str">
        <f>IFERROR(__xludf.DUMMYFUNCTION("""COMPUTED_VALUE"""),"")</f>
        <v/>
      </c>
      <c r="P2847" t="str">
        <f>IFERROR(__xludf.DUMMYFUNCTION("""COMPUTED_VALUE"""),"ID ")</f>
        <v>ID </v>
      </c>
    </row>
    <row r="2848">
      <c r="A2848" s="6" t="str">
        <f>IFERROR(__xludf.DUMMYFUNCTION("""COMPUTED_VALUE"""),"")</f>
        <v/>
      </c>
      <c r="C2848" t="str">
        <f>IFERROR(__xludf.DUMMYFUNCTION("""COMPUTED_VALUE"""),"")</f>
        <v/>
      </c>
      <c r="D2848" t="str">
        <f>IFERROR(__xludf.DUMMYFUNCTION("""COMPUTED_VALUE"""),"")</f>
        <v/>
      </c>
      <c r="E2848" t="str">
        <f>IFERROR(__xludf.DUMMYFUNCTION("""COMPUTED_VALUE"""),"")</f>
        <v/>
      </c>
      <c r="F2848" t="str">
        <f>IFERROR(__xludf.DUMMYFUNCTION("""COMPUTED_VALUE"""),"")</f>
        <v/>
      </c>
      <c r="G2848" t="str">
        <f>IFERROR(__xludf.DUMMYFUNCTION("""COMPUTED_VALUE"""),"")</f>
        <v/>
      </c>
      <c r="H2848" s="2" t="str">
        <f>IFERROR(__xludf.DUMMYFUNCTION("""COMPUTED_VALUE"""),"")</f>
        <v/>
      </c>
      <c r="I2848" s="2" t="str">
        <f>IFERROR(__xludf.DUMMYFUNCTION("""COMPUTED_VALUE"""),"")</f>
        <v/>
      </c>
      <c r="J2848" s="2">
        <f>IFERROR(__xludf.DUMMYFUNCTION("""COMPUTED_VALUE"""),0.0)</f>
        <v>0</v>
      </c>
      <c r="K2848" s="5" t="str">
        <f>IFERROR(__xludf.DUMMYFUNCTION("""COMPUTED_VALUE"""),"")</f>
        <v/>
      </c>
      <c r="L2848" t="str">
        <f>IFERROR(__xludf.DUMMYFUNCTION("""COMPUTED_VALUE"""),"")</f>
        <v/>
      </c>
      <c r="M2848" t="str">
        <f>IFERROR(__xludf.DUMMYFUNCTION("""COMPUTED_VALUE"""),"")</f>
        <v/>
      </c>
      <c r="N2848" t="str">
        <f>IFERROR(__xludf.DUMMYFUNCTION("""COMPUTED_VALUE"""),"")</f>
        <v/>
      </c>
      <c r="O2848" t="str">
        <f>IFERROR(__xludf.DUMMYFUNCTION("""COMPUTED_VALUE"""),"")</f>
        <v/>
      </c>
      <c r="P2848" t="str">
        <f>IFERROR(__xludf.DUMMYFUNCTION("""COMPUTED_VALUE"""),"ID ")</f>
        <v>ID </v>
      </c>
    </row>
    <row r="2849">
      <c r="A2849" s="6" t="str">
        <f>IFERROR(__xludf.DUMMYFUNCTION("""COMPUTED_VALUE"""),"")</f>
        <v/>
      </c>
      <c r="C2849" t="str">
        <f>IFERROR(__xludf.DUMMYFUNCTION("""COMPUTED_VALUE"""),"")</f>
        <v/>
      </c>
      <c r="D2849" t="str">
        <f>IFERROR(__xludf.DUMMYFUNCTION("""COMPUTED_VALUE"""),"")</f>
        <v/>
      </c>
      <c r="E2849" t="str">
        <f>IFERROR(__xludf.DUMMYFUNCTION("""COMPUTED_VALUE"""),"")</f>
        <v/>
      </c>
      <c r="F2849" t="str">
        <f>IFERROR(__xludf.DUMMYFUNCTION("""COMPUTED_VALUE"""),"")</f>
        <v/>
      </c>
      <c r="G2849" t="str">
        <f>IFERROR(__xludf.DUMMYFUNCTION("""COMPUTED_VALUE"""),"")</f>
        <v/>
      </c>
      <c r="H2849" s="2" t="str">
        <f>IFERROR(__xludf.DUMMYFUNCTION("""COMPUTED_VALUE"""),"")</f>
        <v/>
      </c>
      <c r="I2849" s="2" t="str">
        <f>IFERROR(__xludf.DUMMYFUNCTION("""COMPUTED_VALUE"""),"")</f>
        <v/>
      </c>
      <c r="J2849" s="2">
        <f>IFERROR(__xludf.DUMMYFUNCTION("""COMPUTED_VALUE"""),0.0)</f>
        <v>0</v>
      </c>
      <c r="K2849" s="5" t="str">
        <f>IFERROR(__xludf.DUMMYFUNCTION("""COMPUTED_VALUE"""),"")</f>
        <v/>
      </c>
      <c r="L2849" t="str">
        <f>IFERROR(__xludf.DUMMYFUNCTION("""COMPUTED_VALUE"""),"")</f>
        <v/>
      </c>
      <c r="M2849" t="str">
        <f>IFERROR(__xludf.DUMMYFUNCTION("""COMPUTED_VALUE"""),"")</f>
        <v/>
      </c>
      <c r="N2849" t="str">
        <f>IFERROR(__xludf.DUMMYFUNCTION("""COMPUTED_VALUE"""),"")</f>
        <v/>
      </c>
      <c r="O2849" t="str">
        <f>IFERROR(__xludf.DUMMYFUNCTION("""COMPUTED_VALUE"""),"")</f>
        <v/>
      </c>
      <c r="P2849" t="str">
        <f>IFERROR(__xludf.DUMMYFUNCTION("""COMPUTED_VALUE"""),"ID ")</f>
        <v>ID </v>
      </c>
    </row>
    <row r="2850">
      <c r="A2850" s="6" t="str">
        <f>IFERROR(__xludf.DUMMYFUNCTION("""COMPUTED_VALUE"""),"")</f>
        <v/>
      </c>
      <c r="C2850" t="str">
        <f>IFERROR(__xludf.DUMMYFUNCTION("""COMPUTED_VALUE"""),"")</f>
        <v/>
      </c>
      <c r="D2850" t="str">
        <f>IFERROR(__xludf.DUMMYFUNCTION("""COMPUTED_VALUE"""),"")</f>
        <v/>
      </c>
      <c r="E2850" t="str">
        <f>IFERROR(__xludf.DUMMYFUNCTION("""COMPUTED_VALUE"""),"")</f>
        <v/>
      </c>
      <c r="F2850" t="str">
        <f>IFERROR(__xludf.DUMMYFUNCTION("""COMPUTED_VALUE"""),"")</f>
        <v/>
      </c>
      <c r="G2850" t="str">
        <f>IFERROR(__xludf.DUMMYFUNCTION("""COMPUTED_VALUE"""),"")</f>
        <v/>
      </c>
      <c r="H2850" s="2" t="str">
        <f>IFERROR(__xludf.DUMMYFUNCTION("""COMPUTED_VALUE"""),"")</f>
        <v/>
      </c>
      <c r="I2850" s="2" t="str">
        <f>IFERROR(__xludf.DUMMYFUNCTION("""COMPUTED_VALUE"""),"")</f>
        <v/>
      </c>
      <c r="J2850" s="2">
        <f>IFERROR(__xludf.DUMMYFUNCTION("""COMPUTED_VALUE"""),0.0)</f>
        <v>0</v>
      </c>
      <c r="K2850" s="5" t="str">
        <f>IFERROR(__xludf.DUMMYFUNCTION("""COMPUTED_VALUE"""),"")</f>
        <v/>
      </c>
      <c r="L2850" t="str">
        <f>IFERROR(__xludf.DUMMYFUNCTION("""COMPUTED_VALUE"""),"")</f>
        <v/>
      </c>
      <c r="M2850" t="str">
        <f>IFERROR(__xludf.DUMMYFUNCTION("""COMPUTED_VALUE"""),"")</f>
        <v/>
      </c>
      <c r="N2850" t="str">
        <f>IFERROR(__xludf.DUMMYFUNCTION("""COMPUTED_VALUE"""),"")</f>
        <v/>
      </c>
      <c r="O2850" t="str">
        <f>IFERROR(__xludf.DUMMYFUNCTION("""COMPUTED_VALUE"""),"")</f>
        <v/>
      </c>
      <c r="P2850" t="str">
        <f>IFERROR(__xludf.DUMMYFUNCTION("""COMPUTED_VALUE"""),"ID ")</f>
        <v>ID </v>
      </c>
    </row>
    <row r="2851">
      <c r="A2851" s="6" t="str">
        <f>IFERROR(__xludf.DUMMYFUNCTION("""COMPUTED_VALUE"""),"")</f>
        <v/>
      </c>
      <c r="C2851" t="str">
        <f>IFERROR(__xludf.DUMMYFUNCTION("""COMPUTED_VALUE"""),"")</f>
        <v/>
      </c>
      <c r="D2851" t="str">
        <f>IFERROR(__xludf.DUMMYFUNCTION("""COMPUTED_VALUE"""),"")</f>
        <v/>
      </c>
      <c r="E2851" t="str">
        <f>IFERROR(__xludf.DUMMYFUNCTION("""COMPUTED_VALUE"""),"")</f>
        <v/>
      </c>
      <c r="F2851" t="str">
        <f>IFERROR(__xludf.DUMMYFUNCTION("""COMPUTED_VALUE"""),"")</f>
        <v/>
      </c>
      <c r="G2851" t="str">
        <f>IFERROR(__xludf.DUMMYFUNCTION("""COMPUTED_VALUE"""),"")</f>
        <v/>
      </c>
      <c r="H2851" s="2" t="str">
        <f>IFERROR(__xludf.DUMMYFUNCTION("""COMPUTED_VALUE"""),"")</f>
        <v/>
      </c>
      <c r="I2851" s="2" t="str">
        <f>IFERROR(__xludf.DUMMYFUNCTION("""COMPUTED_VALUE"""),"")</f>
        <v/>
      </c>
      <c r="J2851" s="2">
        <f>IFERROR(__xludf.DUMMYFUNCTION("""COMPUTED_VALUE"""),0.0)</f>
        <v>0</v>
      </c>
      <c r="K2851" s="5" t="str">
        <f>IFERROR(__xludf.DUMMYFUNCTION("""COMPUTED_VALUE"""),"")</f>
        <v/>
      </c>
      <c r="L2851" t="str">
        <f>IFERROR(__xludf.DUMMYFUNCTION("""COMPUTED_VALUE"""),"")</f>
        <v/>
      </c>
      <c r="M2851" t="str">
        <f>IFERROR(__xludf.DUMMYFUNCTION("""COMPUTED_VALUE"""),"")</f>
        <v/>
      </c>
      <c r="N2851" t="str">
        <f>IFERROR(__xludf.DUMMYFUNCTION("""COMPUTED_VALUE"""),"")</f>
        <v/>
      </c>
      <c r="O2851" t="str">
        <f>IFERROR(__xludf.DUMMYFUNCTION("""COMPUTED_VALUE"""),"")</f>
        <v/>
      </c>
      <c r="P2851" t="str">
        <f>IFERROR(__xludf.DUMMYFUNCTION("""COMPUTED_VALUE"""),"ID ")</f>
        <v>ID </v>
      </c>
    </row>
    <row r="2852">
      <c r="A2852" s="6" t="str">
        <f>IFERROR(__xludf.DUMMYFUNCTION("""COMPUTED_VALUE"""),"")</f>
        <v/>
      </c>
      <c r="C2852" t="str">
        <f>IFERROR(__xludf.DUMMYFUNCTION("""COMPUTED_VALUE"""),"")</f>
        <v/>
      </c>
      <c r="D2852" t="str">
        <f>IFERROR(__xludf.DUMMYFUNCTION("""COMPUTED_VALUE"""),"")</f>
        <v/>
      </c>
      <c r="E2852" t="str">
        <f>IFERROR(__xludf.DUMMYFUNCTION("""COMPUTED_VALUE"""),"")</f>
        <v/>
      </c>
      <c r="F2852" t="str">
        <f>IFERROR(__xludf.DUMMYFUNCTION("""COMPUTED_VALUE"""),"")</f>
        <v/>
      </c>
      <c r="G2852" t="str">
        <f>IFERROR(__xludf.DUMMYFUNCTION("""COMPUTED_VALUE"""),"")</f>
        <v/>
      </c>
      <c r="H2852" s="2" t="str">
        <f>IFERROR(__xludf.DUMMYFUNCTION("""COMPUTED_VALUE"""),"")</f>
        <v/>
      </c>
      <c r="I2852" s="2" t="str">
        <f>IFERROR(__xludf.DUMMYFUNCTION("""COMPUTED_VALUE"""),"")</f>
        <v/>
      </c>
      <c r="J2852" s="2">
        <f>IFERROR(__xludf.DUMMYFUNCTION("""COMPUTED_VALUE"""),0.0)</f>
        <v>0</v>
      </c>
      <c r="K2852" s="5" t="str">
        <f>IFERROR(__xludf.DUMMYFUNCTION("""COMPUTED_VALUE"""),"")</f>
        <v/>
      </c>
      <c r="L2852" t="str">
        <f>IFERROR(__xludf.DUMMYFUNCTION("""COMPUTED_VALUE"""),"")</f>
        <v/>
      </c>
      <c r="M2852" t="str">
        <f>IFERROR(__xludf.DUMMYFUNCTION("""COMPUTED_VALUE"""),"")</f>
        <v/>
      </c>
      <c r="N2852" t="str">
        <f>IFERROR(__xludf.DUMMYFUNCTION("""COMPUTED_VALUE"""),"")</f>
        <v/>
      </c>
      <c r="O2852" t="str">
        <f>IFERROR(__xludf.DUMMYFUNCTION("""COMPUTED_VALUE"""),"")</f>
        <v/>
      </c>
      <c r="P2852" t="str">
        <f>IFERROR(__xludf.DUMMYFUNCTION("""COMPUTED_VALUE"""),"ID ")</f>
        <v>ID </v>
      </c>
    </row>
    <row r="2853">
      <c r="A2853" s="6" t="str">
        <f>IFERROR(__xludf.DUMMYFUNCTION("""COMPUTED_VALUE"""),"")</f>
        <v/>
      </c>
      <c r="C2853" t="str">
        <f>IFERROR(__xludf.DUMMYFUNCTION("""COMPUTED_VALUE"""),"")</f>
        <v/>
      </c>
      <c r="D2853" t="str">
        <f>IFERROR(__xludf.DUMMYFUNCTION("""COMPUTED_VALUE"""),"")</f>
        <v/>
      </c>
      <c r="E2853" t="str">
        <f>IFERROR(__xludf.DUMMYFUNCTION("""COMPUTED_VALUE"""),"")</f>
        <v/>
      </c>
      <c r="F2853" t="str">
        <f>IFERROR(__xludf.DUMMYFUNCTION("""COMPUTED_VALUE"""),"")</f>
        <v/>
      </c>
      <c r="G2853" t="str">
        <f>IFERROR(__xludf.DUMMYFUNCTION("""COMPUTED_VALUE"""),"")</f>
        <v/>
      </c>
      <c r="H2853" s="2" t="str">
        <f>IFERROR(__xludf.DUMMYFUNCTION("""COMPUTED_VALUE"""),"")</f>
        <v/>
      </c>
      <c r="I2853" s="2" t="str">
        <f>IFERROR(__xludf.DUMMYFUNCTION("""COMPUTED_VALUE"""),"")</f>
        <v/>
      </c>
      <c r="J2853" s="2">
        <f>IFERROR(__xludf.DUMMYFUNCTION("""COMPUTED_VALUE"""),0.0)</f>
        <v>0</v>
      </c>
      <c r="K2853" s="5" t="str">
        <f>IFERROR(__xludf.DUMMYFUNCTION("""COMPUTED_VALUE"""),"")</f>
        <v/>
      </c>
      <c r="L2853" t="str">
        <f>IFERROR(__xludf.DUMMYFUNCTION("""COMPUTED_VALUE"""),"")</f>
        <v/>
      </c>
      <c r="M2853" t="str">
        <f>IFERROR(__xludf.DUMMYFUNCTION("""COMPUTED_VALUE"""),"")</f>
        <v/>
      </c>
      <c r="N2853" t="str">
        <f>IFERROR(__xludf.DUMMYFUNCTION("""COMPUTED_VALUE"""),"")</f>
        <v/>
      </c>
      <c r="O2853" t="str">
        <f>IFERROR(__xludf.DUMMYFUNCTION("""COMPUTED_VALUE"""),"")</f>
        <v/>
      </c>
      <c r="P2853" t="str">
        <f>IFERROR(__xludf.DUMMYFUNCTION("""COMPUTED_VALUE"""),"ID ")</f>
        <v>ID </v>
      </c>
    </row>
    <row r="2854">
      <c r="A2854" s="6" t="str">
        <f>IFERROR(__xludf.DUMMYFUNCTION("""COMPUTED_VALUE"""),"")</f>
        <v/>
      </c>
      <c r="C2854" t="str">
        <f>IFERROR(__xludf.DUMMYFUNCTION("""COMPUTED_VALUE"""),"")</f>
        <v/>
      </c>
      <c r="D2854" t="str">
        <f>IFERROR(__xludf.DUMMYFUNCTION("""COMPUTED_VALUE"""),"")</f>
        <v/>
      </c>
      <c r="E2854" t="str">
        <f>IFERROR(__xludf.DUMMYFUNCTION("""COMPUTED_VALUE"""),"")</f>
        <v/>
      </c>
      <c r="F2854" t="str">
        <f>IFERROR(__xludf.DUMMYFUNCTION("""COMPUTED_VALUE"""),"")</f>
        <v/>
      </c>
      <c r="G2854" t="str">
        <f>IFERROR(__xludf.DUMMYFUNCTION("""COMPUTED_VALUE"""),"")</f>
        <v/>
      </c>
      <c r="H2854" s="2" t="str">
        <f>IFERROR(__xludf.DUMMYFUNCTION("""COMPUTED_VALUE"""),"")</f>
        <v/>
      </c>
      <c r="I2854" s="2" t="str">
        <f>IFERROR(__xludf.DUMMYFUNCTION("""COMPUTED_VALUE"""),"")</f>
        <v/>
      </c>
      <c r="J2854" s="2">
        <f>IFERROR(__xludf.DUMMYFUNCTION("""COMPUTED_VALUE"""),0.0)</f>
        <v>0</v>
      </c>
      <c r="K2854" s="5" t="str">
        <f>IFERROR(__xludf.DUMMYFUNCTION("""COMPUTED_VALUE"""),"")</f>
        <v/>
      </c>
      <c r="L2854" t="str">
        <f>IFERROR(__xludf.DUMMYFUNCTION("""COMPUTED_VALUE"""),"")</f>
        <v/>
      </c>
      <c r="M2854" t="str">
        <f>IFERROR(__xludf.DUMMYFUNCTION("""COMPUTED_VALUE"""),"")</f>
        <v/>
      </c>
      <c r="N2854" t="str">
        <f>IFERROR(__xludf.DUMMYFUNCTION("""COMPUTED_VALUE"""),"")</f>
        <v/>
      </c>
      <c r="O2854" t="str">
        <f>IFERROR(__xludf.DUMMYFUNCTION("""COMPUTED_VALUE"""),"")</f>
        <v/>
      </c>
      <c r="P2854" t="str">
        <f>IFERROR(__xludf.DUMMYFUNCTION("""COMPUTED_VALUE"""),"ID ")</f>
        <v>ID </v>
      </c>
    </row>
    <row r="2855">
      <c r="A2855" s="6" t="str">
        <f>IFERROR(__xludf.DUMMYFUNCTION("""COMPUTED_VALUE"""),"")</f>
        <v/>
      </c>
      <c r="C2855" t="str">
        <f>IFERROR(__xludf.DUMMYFUNCTION("""COMPUTED_VALUE"""),"")</f>
        <v/>
      </c>
      <c r="D2855" t="str">
        <f>IFERROR(__xludf.DUMMYFUNCTION("""COMPUTED_VALUE"""),"")</f>
        <v/>
      </c>
      <c r="E2855" t="str">
        <f>IFERROR(__xludf.DUMMYFUNCTION("""COMPUTED_VALUE"""),"")</f>
        <v/>
      </c>
      <c r="F2855" t="str">
        <f>IFERROR(__xludf.DUMMYFUNCTION("""COMPUTED_VALUE"""),"")</f>
        <v/>
      </c>
      <c r="G2855" t="str">
        <f>IFERROR(__xludf.DUMMYFUNCTION("""COMPUTED_VALUE"""),"")</f>
        <v/>
      </c>
      <c r="H2855" s="2" t="str">
        <f>IFERROR(__xludf.DUMMYFUNCTION("""COMPUTED_VALUE"""),"")</f>
        <v/>
      </c>
      <c r="I2855" s="2" t="str">
        <f>IFERROR(__xludf.DUMMYFUNCTION("""COMPUTED_VALUE"""),"")</f>
        <v/>
      </c>
      <c r="J2855" s="2">
        <f>IFERROR(__xludf.DUMMYFUNCTION("""COMPUTED_VALUE"""),0.0)</f>
        <v>0</v>
      </c>
      <c r="K2855" s="5" t="str">
        <f>IFERROR(__xludf.DUMMYFUNCTION("""COMPUTED_VALUE"""),"")</f>
        <v/>
      </c>
      <c r="L2855" t="str">
        <f>IFERROR(__xludf.DUMMYFUNCTION("""COMPUTED_VALUE"""),"")</f>
        <v/>
      </c>
      <c r="M2855" t="str">
        <f>IFERROR(__xludf.DUMMYFUNCTION("""COMPUTED_VALUE"""),"")</f>
        <v/>
      </c>
      <c r="N2855" t="str">
        <f>IFERROR(__xludf.DUMMYFUNCTION("""COMPUTED_VALUE"""),"")</f>
        <v/>
      </c>
      <c r="O2855" t="str">
        <f>IFERROR(__xludf.DUMMYFUNCTION("""COMPUTED_VALUE"""),"")</f>
        <v/>
      </c>
      <c r="P2855" t="str">
        <f>IFERROR(__xludf.DUMMYFUNCTION("""COMPUTED_VALUE"""),"ID ")</f>
        <v>ID </v>
      </c>
    </row>
    <row r="2856">
      <c r="A2856" s="6" t="str">
        <f>IFERROR(__xludf.DUMMYFUNCTION("""COMPUTED_VALUE"""),"")</f>
        <v/>
      </c>
      <c r="C2856" t="str">
        <f>IFERROR(__xludf.DUMMYFUNCTION("""COMPUTED_VALUE"""),"")</f>
        <v/>
      </c>
      <c r="D2856" t="str">
        <f>IFERROR(__xludf.DUMMYFUNCTION("""COMPUTED_VALUE"""),"")</f>
        <v/>
      </c>
      <c r="E2856" t="str">
        <f>IFERROR(__xludf.DUMMYFUNCTION("""COMPUTED_VALUE"""),"")</f>
        <v/>
      </c>
      <c r="F2856" t="str">
        <f>IFERROR(__xludf.DUMMYFUNCTION("""COMPUTED_VALUE"""),"")</f>
        <v/>
      </c>
      <c r="G2856" t="str">
        <f>IFERROR(__xludf.DUMMYFUNCTION("""COMPUTED_VALUE"""),"")</f>
        <v/>
      </c>
      <c r="H2856" s="2" t="str">
        <f>IFERROR(__xludf.DUMMYFUNCTION("""COMPUTED_VALUE"""),"")</f>
        <v/>
      </c>
      <c r="I2856" s="2" t="str">
        <f>IFERROR(__xludf.DUMMYFUNCTION("""COMPUTED_VALUE"""),"")</f>
        <v/>
      </c>
      <c r="J2856" s="2">
        <f>IFERROR(__xludf.DUMMYFUNCTION("""COMPUTED_VALUE"""),0.0)</f>
        <v>0</v>
      </c>
      <c r="K2856" s="5" t="str">
        <f>IFERROR(__xludf.DUMMYFUNCTION("""COMPUTED_VALUE"""),"")</f>
        <v/>
      </c>
      <c r="L2856" t="str">
        <f>IFERROR(__xludf.DUMMYFUNCTION("""COMPUTED_VALUE"""),"")</f>
        <v/>
      </c>
      <c r="M2856" t="str">
        <f>IFERROR(__xludf.DUMMYFUNCTION("""COMPUTED_VALUE"""),"")</f>
        <v/>
      </c>
      <c r="N2856" t="str">
        <f>IFERROR(__xludf.DUMMYFUNCTION("""COMPUTED_VALUE"""),"")</f>
        <v/>
      </c>
      <c r="O2856" t="str">
        <f>IFERROR(__xludf.DUMMYFUNCTION("""COMPUTED_VALUE"""),"")</f>
        <v/>
      </c>
      <c r="P2856" t="str">
        <f>IFERROR(__xludf.DUMMYFUNCTION("""COMPUTED_VALUE"""),"ID ")</f>
        <v>ID </v>
      </c>
    </row>
    <row r="2857">
      <c r="A2857" s="6" t="str">
        <f>IFERROR(__xludf.DUMMYFUNCTION("""COMPUTED_VALUE"""),"")</f>
        <v/>
      </c>
      <c r="C2857" t="str">
        <f>IFERROR(__xludf.DUMMYFUNCTION("""COMPUTED_VALUE"""),"")</f>
        <v/>
      </c>
      <c r="D2857" t="str">
        <f>IFERROR(__xludf.DUMMYFUNCTION("""COMPUTED_VALUE"""),"")</f>
        <v/>
      </c>
      <c r="E2857" t="str">
        <f>IFERROR(__xludf.DUMMYFUNCTION("""COMPUTED_VALUE"""),"")</f>
        <v/>
      </c>
      <c r="F2857" t="str">
        <f>IFERROR(__xludf.DUMMYFUNCTION("""COMPUTED_VALUE"""),"")</f>
        <v/>
      </c>
      <c r="G2857" t="str">
        <f>IFERROR(__xludf.DUMMYFUNCTION("""COMPUTED_VALUE"""),"")</f>
        <v/>
      </c>
      <c r="H2857" s="2" t="str">
        <f>IFERROR(__xludf.DUMMYFUNCTION("""COMPUTED_VALUE"""),"")</f>
        <v/>
      </c>
      <c r="I2857" s="2" t="str">
        <f>IFERROR(__xludf.DUMMYFUNCTION("""COMPUTED_VALUE"""),"")</f>
        <v/>
      </c>
      <c r="J2857" s="2">
        <f>IFERROR(__xludf.DUMMYFUNCTION("""COMPUTED_VALUE"""),0.0)</f>
        <v>0</v>
      </c>
      <c r="K2857" s="5" t="str">
        <f>IFERROR(__xludf.DUMMYFUNCTION("""COMPUTED_VALUE"""),"")</f>
        <v/>
      </c>
      <c r="L2857" t="str">
        <f>IFERROR(__xludf.DUMMYFUNCTION("""COMPUTED_VALUE"""),"")</f>
        <v/>
      </c>
      <c r="M2857" t="str">
        <f>IFERROR(__xludf.DUMMYFUNCTION("""COMPUTED_VALUE"""),"")</f>
        <v/>
      </c>
      <c r="N2857" t="str">
        <f>IFERROR(__xludf.DUMMYFUNCTION("""COMPUTED_VALUE"""),"")</f>
        <v/>
      </c>
      <c r="O2857" t="str">
        <f>IFERROR(__xludf.DUMMYFUNCTION("""COMPUTED_VALUE"""),"")</f>
        <v/>
      </c>
      <c r="P2857" t="str">
        <f>IFERROR(__xludf.DUMMYFUNCTION("""COMPUTED_VALUE"""),"ID ")</f>
        <v>ID </v>
      </c>
    </row>
    <row r="2858">
      <c r="A2858" s="6" t="str">
        <f>IFERROR(__xludf.DUMMYFUNCTION("""COMPUTED_VALUE"""),"")</f>
        <v/>
      </c>
      <c r="C2858" t="str">
        <f>IFERROR(__xludf.DUMMYFUNCTION("""COMPUTED_VALUE"""),"")</f>
        <v/>
      </c>
      <c r="D2858" t="str">
        <f>IFERROR(__xludf.DUMMYFUNCTION("""COMPUTED_VALUE"""),"")</f>
        <v/>
      </c>
      <c r="E2858" t="str">
        <f>IFERROR(__xludf.DUMMYFUNCTION("""COMPUTED_VALUE"""),"")</f>
        <v/>
      </c>
      <c r="F2858" t="str">
        <f>IFERROR(__xludf.DUMMYFUNCTION("""COMPUTED_VALUE"""),"")</f>
        <v/>
      </c>
      <c r="G2858" t="str">
        <f>IFERROR(__xludf.DUMMYFUNCTION("""COMPUTED_VALUE"""),"")</f>
        <v/>
      </c>
      <c r="H2858" s="2" t="str">
        <f>IFERROR(__xludf.DUMMYFUNCTION("""COMPUTED_VALUE"""),"")</f>
        <v/>
      </c>
      <c r="I2858" s="2" t="str">
        <f>IFERROR(__xludf.DUMMYFUNCTION("""COMPUTED_VALUE"""),"")</f>
        <v/>
      </c>
      <c r="J2858" s="2">
        <f>IFERROR(__xludf.DUMMYFUNCTION("""COMPUTED_VALUE"""),0.0)</f>
        <v>0</v>
      </c>
      <c r="K2858" s="5" t="str">
        <f>IFERROR(__xludf.DUMMYFUNCTION("""COMPUTED_VALUE"""),"")</f>
        <v/>
      </c>
      <c r="L2858" t="str">
        <f>IFERROR(__xludf.DUMMYFUNCTION("""COMPUTED_VALUE"""),"")</f>
        <v/>
      </c>
      <c r="M2858" t="str">
        <f>IFERROR(__xludf.DUMMYFUNCTION("""COMPUTED_VALUE"""),"")</f>
        <v/>
      </c>
      <c r="N2858" t="str">
        <f>IFERROR(__xludf.DUMMYFUNCTION("""COMPUTED_VALUE"""),"")</f>
        <v/>
      </c>
      <c r="O2858" t="str">
        <f>IFERROR(__xludf.DUMMYFUNCTION("""COMPUTED_VALUE"""),"")</f>
        <v/>
      </c>
      <c r="P2858" t="str">
        <f>IFERROR(__xludf.DUMMYFUNCTION("""COMPUTED_VALUE"""),"ID ")</f>
        <v>ID </v>
      </c>
    </row>
    <row r="2859">
      <c r="A2859" s="6" t="str">
        <f>IFERROR(__xludf.DUMMYFUNCTION("""COMPUTED_VALUE"""),"")</f>
        <v/>
      </c>
      <c r="C2859" t="str">
        <f>IFERROR(__xludf.DUMMYFUNCTION("""COMPUTED_VALUE"""),"")</f>
        <v/>
      </c>
      <c r="D2859" t="str">
        <f>IFERROR(__xludf.DUMMYFUNCTION("""COMPUTED_VALUE"""),"")</f>
        <v/>
      </c>
      <c r="E2859" t="str">
        <f>IFERROR(__xludf.DUMMYFUNCTION("""COMPUTED_VALUE"""),"")</f>
        <v/>
      </c>
      <c r="F2859" t="str">
        <f>IFERROR(__xludf.DUMMYFUNCTION("""COMPUTED_VALUE"""),"")</f>
        <v/>
      </c>
      <c r="G2859" t="str">
        <f>IFERROR(__xludf.DUMMYFUNCTION("""COMPUTED_VALUE"""),"")</f>
        <v/>
      </c>
      <c r="H2859" s="2" t="str">
        <f>IFERROR(__xludf.DUMMYFUNCTION("""COMPUTED_VALUE"""),"")</f>
        <v/>
      </c>
      <c r="I2859" s="2" t="str">
        <f>IFERROR(__xludf.DUMMYFUNCTION("""COMPUTED_VALUE"""),"")</f>
        <v/>
      </c>
      <c r="J2859" s="2">
        <f>IFERROR(__xludf.DUMMYFUNCTION("""COMPUTED_VALUE"""),0.0)</f>
        <v>0</v>
      </c>
      <c r="K2859" s="5" t="str">
        <f>IFERROR(__xludf.DUMMYFUNCTION("""COMPUTED_VALUE"""),"")</f>
        <v/>
      </c>
      <c r="L2859" t="str">
        <f>IFERROR(__xludf.DUMMYFUNCTION("""COMPUTED_VALUE"""),"")</f>
        <v/>
      </c>
      <c r="M2859" t="str">
        <f>IFERROR(__xludf.DUMMYFUNCTION("""COMPUTED_VALUE"""),"")</f>
        <v/>
      </c>
      <c r="N2859" t="str">
        <f>IFERROR(__xludf.DUMMYFUNCTION("""COMPUTED_VALUE"""),"")</f>
        <v/>
      </c>
      <c r="O2859" t="str">
        <f>IFERROR(__xludf.DUMMYFUNCTION("""COMPUTED_VALUE"""),"")</f>
        <v/>
      </c>
      <c r="P2859" t="str">
        <f>IFERROR(__xludf.DUMMYFUNCTION("""COMPUTED_VALUE"""),"ID ")</f>
        <v>ID </v>
      </c>
    </row>
    <row r="2860">
      <c r="A2860" s="6" t="str">
        <f>IFERROR(__xludf.DUMMYFUNCTION("""COMPUTED_VALUE"""),"")</f>
        <v/>
      </c>
      <c r="C2860" t="str">
        <f>IFERROR(__xludf.DUMMYFUNCTION("""COMPUTED_VALUE"""),"")</f>
        <v/>
      </c>
      <c r="D2860" t="str">
        <f>IFERROR(__xludf.DUMMYFUNCTION("""COMPUTED_VALUE"""),"")</f>
        <v/>
      </c>
      <c r="E2860" t="str">
        <f>IFERROR(__xludf.DUMMYFUNCTION("""COMPUTED_VALUE"""),"")</f>
        <v/>
      </c>
      <c r="F2860" t="str">
        <f>IFERROR(__xludf.DUMMYFUNCTION("""COMPUTED_VALUE"""),"")</f>
        <v/>
      </c>
      <c r="G2860" t="str">
        <f>IFERROR(__xludf.DUMMYFUNCTION("""COMPUTED_VALUE"""),"")</f>
        <v/>
      </c>
      <c r="H2860" s="2" t="str">
        <f>IFERROR(__xludf.DUMMYFUNCTION("""COMPUTED_VALUE"""),"")</f>
        <v/>
      </c>
      <c r="I2860" s="2" t="str">
        <f>IFERROR(__xludf.DUMMYFUNCTION("""COMPUTED_VALUE"""),"")</f>
        <v/>
      </c>
      <c r="J2860" s="2">
        <f>IFERROR(__xludf.DUMMYFUNCTION("""COMPUTED_VALUE"""),0.0)</f>
        <v>0</v>
      </c>
      <c r="K2860" s="5" t="str">
        <f>IFERROR(__xludf.DUMMYFUNCTION("""COMPUTED_VALUE"""),"")</f>
        <v/>
      </c>
      <c r="L2860" t="str">
        <f>IFERROR(__xludf.DUMMYFUNCTION("""COMPUTED_VALUE"""),"")</f>
        <v/>
      </c>
      <c r="M2860" t="str">
        <f>IFERROR(__xludf.DUMMYFUNCTION("""COMPUTED_VALUE"""),"")</f>
        <v/>
      </c>
      <c r="N2860" t="str">
        <f>IFERROR(__xludf.DUMMYFUNCTION("""COMPUTED_VALUE"""),"")</f>
        <v/>
      </c>
      <c r="O2860" t="str">
        <f>IFERROR(__xludf.DUMMYFUNCTION("""COMPUTED_VALUE"""),"")</f>
        <v/>
      </c>
      <c r="P2860" t="str">
        <f>IFERROR(__xludf.DUMMYFUNCTION("""COMPUTED_VALUE"""),"ID ")</f>
        <v>ID </v>
      </c>
    </row>
    <row r="2861">
      <c r="A2861" s="6" t="str">
        <f>IFERROR(__xludf.DUMMYFUNCTION("""COMPUTED_VALUE"""),"")</f>
        <v/>
      </c>
      <c r="C2861" t="str">
        <f>IFERROR(__xludf.DUMMYFUNCTION("""COMPUTED_VALUE"""),"")</f>
        <v/>
      </c>
      <c r="D2861" t="str">
        <f>IFERROR(__xludf.DUMMYFUNCTION("""COMPUTED_VALUE"""),"")</f>
        <v/>
      </c>
      <c r="E2861" t="str">
        <f>IFERROR(__xludf.DUMMYFUNCTION("""COMPUTED_VALUE"""),"")</f>
        <v/>
      </c>
      <c r="F2861" t="str">
        <f>IFERROR(__xludf.DUMMYFUNCTION("""COMPUTED_VALUE"""),"")</f>
        <v/>
      </c>
      <c r="G2861" t="str">
        <f>IFERROR(__xludf.DUMMYFUNCTION("""COMPUTED_VALUE"""),"")</f>
        <v/>
      </c>
      <c r="H2861" s="2" t="str">
        <f>IFERROR(__xludf.DUMMYFUNCTION("""COMPUTED_VALUE"""),"")</f>
        <v/>
      </c>
      <c r="I2861" s="2" t="str">
        <f>IFERROR(__xludf.DUMMYFUNCTION("""COMPUTED_VALUE"""),"")</f>
        <v/>
      </c>
      <c r="J2861" s="2">
        <f>IFERROR(__xludf.DUMMYFUNCTION("""COMPUTED_VALUE"""),0.0)</f>
        <v>0</v>
      </c>
      <c r="K2861" s="5" t="str">
        <f>IFERROR(__xludf.DUMMYFUNCTION("""COMPUTED_VALUE"""),"")</f>
        <v/>
      </c>
      <c r="L2861" t="str">
        <f>IFERROR(__xludf.DUMMYFUNCTION("""COMPUTED_VALUE"""),"")</f>
        <v/>
      </c>
      <c r="M2861" t="str">
        <f>IFERROR(__xludf.DUMMYFUNCTION("""COMPUTED_VALUE"""),"")</f>
        <v/>
      </c>
      <c r="N2861" t="str">
        <f>IFERROR(__xludf.DUMMYFUNCTION("""COMPUTED_VALUE"""),"")</f>
        <v/>
      </c>
      <c r="O2861" t="str">
        <f>IFERROR(__xludf.DUMMYFUNCTION("""COMPUTED_VALUE"""),"")</f>
        <v/>
      </c>
      <c r="P2861" t="str">
        <f>IFERROR(__xludf.DUMMYFUNCTION("""COMPUTED_VALUE"""),"ID ")</f>
        <v>ID </v>
      </c>
    </row>
    <row r="2862">
      <c r="A2862" s="6" t="str">
        <f>IFERROR(__xludf.DUMMYFUNCTION("""COMPUTED_VALUE"""),"")</f>
        <v/>
      </c>
      <c r="C2862" t="str">
        <f>IFERROR(__xludf.DUMMYFUNCTION("""COMPUTED_VALUE"""),"")</f>
        <v/>
      </c>
      <c r="D2862" t="str">
        <f>IFERROR(__xludf.DUMMYFUNCTION("""COMPUTED_VALUE"""),"")</f>
        <v/>
      </c>
      <c r="E2862" t="str">
        <f>IFERROR(__xludf.DUMMYFUNCTION("""COMPUTED_VALUE"""),"")</f>
        <v/>
      </c>
      <c r="F2862" t="str">
        <f>IFERROR(__xludf.DUMMYFUNCTION("""COMPUTED_VALUE"""),"")</f>
        <v/>
      </c>
      <c r="G2862" t="str">
        <f>IFERROR(__xludf.DUMMYFUNCTION("""COMPUTED_VALUE"""),"")</f>
        <v/>
      </c>
      <c r="H2862" s="2" t="str">
        <f>IFERROR(__xludf.DUMMYFUNCTION("""COMPUTED_VALUE"""),"")</f>
        <v/>
      </c>
      <c r="I2862" s="2" t="str">
        <f>IFERROR(__xludf.DUMMYFUNCTION("""COMPUTED_VALUE"""),"")</f>
        <v/>
      </c>
      <c r="J2862" s="2">
        <f>IFERROR(__xludf.DUMMYFUNCTION("""COMPUTED_VALUE"""),0.0)</f>
        <v>0</v>
      </c>
      <c r="K2862" s="5" t="str">
        <f>IFERROR(__xludf.DUMMYFUNCTION("""COMPUTED_VALUE"""),"")</f>
        <v/>
      </c>
      <c r="L2862" t="str">
        <f>IFERROR(__xludf.DUMMYFUNCTION("""COMPUTED_VALUE"""),"")</f>
        <v/>
      </c>
      <c r="M2862" t="str">
        <f>IFERROR(__xludf.DUMMYFUNCTION("""COMPUTED_VALUE"""),"")</f>
        <v/>
      </c>
      <c r="N2862" t="str">
        <f>IFERROR(__xludf.DUMMYFUNCTION("""COMPUTED_VALUE"""),"")</f>
        <v/>
      </c>
      <c r="O2862" t="str">
        <f>IFERROR(__xludf.DUMMYFUNCTION("""COMPUTED_VALUE"""),"")</f>
        <v/>
      </c>
      <c r="P2862" t="str">
        <f>IFERROR(__xludf.DUMMYFUNCTION("""COMPUTED_VALUE"""),"ID ")</f>
        <v>ID </v>
      </c>
    </row>
    <row r="2863">
      <c r="A2863" s="6" t="str">
        <f>IFERROR(__xludf.DUMMYFUNCTION("""COMPUTED_VALUE"""),"")</f>
        <v/>
      </c>
      <c r="C2863" t="str">
        <f>IFERROR(__xludf.DUMMYFUNCTION("""COMPUTED_VALUE"""),"")</f>
        <v/>
      </c>
      <c r="D2863" t="str">
        <f>IFERROR(__xludf.DUMMYFUNCTION("""COMPUTED_VALUE"""),"")</f>
        <v/>
      </c>
      <c r="E2863" t="str">
        <f>IFERROR(__xludf.DUMMYFUNCTION("""COMPUTED_VALUE"""),"")</f>
        <v/>
      </c>
      <c r="F2863" t="str">
        <f>IFERROR(__xludf.DUMMYFUNCTION("""COMPUTED_VALUE"""),"")</f>
        <v/>
      </c>
      <c r="G2863" t="str">
        <f>IFERROR(__xludf.DUMMYFUNCTION("""COMPUTED_VALUE"""),"")</f>
        <v/>
      </c>
      <c r="H2863" s="2" t="str">
        <f>IFERROR(__xludf.DUMMYFUNCTION("""COMPUTED_VALUE"""),"")</f>
        <v/>
      </c>
      <c r="I2863" s="2" t="str">
        <f>IFERROR(__xludf.DUMMYFUNCTION("""COMPUTED_VALUE"""),"")</f>
        <v/>
      </c>
      <c r="J2863" s="2">
        <f>IFERROR(__xludf.DUMMYFUNCTION("""COMPUTED_VALUE"""),0.0)</f>
        <v>0</v>
      </c>
      <c r="K2863" s="5" t="str">
        <f>IFERROR(__xludf.DUMMYFUNCTION("""COMPUTED_VALUE"""),"")</f>
        <v/>
      </c>
      <c r="L2863" t="str">
        <f>IFERROR(__xludf.DUMMYFUNCTION("""COMPUTED_VALUE"""),"")</f>
        <v/>
      </c>
      <c r="M2863" t="str">
        <f>IFERROR(__xludf.DUMMYFUNCTION("""COMPUTED_VALUE"""),"")</f>
        <v/>
      </c>
      <c r="N2863" t="str">
        <f>IFERROR(__xludf.DUMMYFUNCTION("""COMPUTED_VALUE"""),"")</f>
        <v/>
      </c>
      <c r="O2863" t="str">
        <f>IFERROR(__xludf.DUMMYFUNCTION("""COMPUTED_VALUE"""),"")</f>
        <v/>
      </c>
      <c r="P2863" t="str">
        <f>IFERROR(__xludf.DUMMYFUNCTION("""COMPUTED_VALUE"""),"ID ")</f>
        <v>ID </v>
      </c>
    </row>
    <row r="2864">
      <c r="A2864" s="6" t="str">
        <f>IFERROR(__xludf.DUMMYFUNCTION("""COMPUTED_VALUE"""),"")</f>
        <v/>
      </c>
      <c r="C2864" t="str">
        <f>IFERROR(__xludf.DUMMYFUNCTION("""COMPUTED_VALUE"""),"")</f>
        <v/>
      </c>
      <c r="D2864" t="str">
        <f>IFERROR(__xludf.DUMMYFUNCTION("""COMPUTED_VALUE"""),"")</f>
        <v/>
      </c>
      <c r="E2864" t="str">
        <f>IFERROR(__xludf.DUMMYFUNCTION("""COMPUTED_VALUE"""),"")</f>
        <v/>
      </c>
      <c r="F2864" t="str">
        <f>IFERROR(__xludf.DUMMYFUNCTION("""COMPUTED_VALUE"""),"")</f>
        <v/>
      </c>
      <c r="G2864" t="str">
        <f>IFERROR(__xludf.DUMMYFUNCTION("""COMPUTED_VALUE"""),"")</f>
        <v/>
      </c>
      <c r="H2864" s="2" t="str">
        <f>IFERROR(__xludf.DUMMYFUNCTION("""COMPUTED_VALUE"""),"")</f>
        <v/>
      </c>
      <c r="I2864" s="2" t="str">
        <f>IFERROR(__xludf.DUMMYFUNCTION("""COMPUTED_VALUE"""),"")</f>
        <v/>
      </c>
      <c r="J2864" s="2">
        <f>IFERROR(__xludf.DUMMYFUNCTION("""COMPUTED_VALUE"""),0.0)</f>
        <v>0</v>
      </c>
      <c r="K2864" s="5" t="str">
        <f>IFERROR(__xludf.DUMMYFUNCTION("""COMPUTED_VALUE"""),"")</f>
        <v/>
      </c>
      <c r="L2864" t="str">
        <f>IFERROR(__xludf.DUMMYFUNCTION("""COMPUTED_VALUE"""),"")</f>
        <v/>
      </c>
      <c r="M2864" t="str">
        <f>IFERROR(__xludf.DUMMYFUNCTION("""COMPUTED_VALUE"""),"")</f>
        <v/>
      </c>
      <c r="N2864" t="str">
        <f>IFERROR(__xludf.DUMMYFUNCTION("""COMPUTED_VALUE"""),"")</f>
        <v/>
      </c>
      <c r="O2864" t="str">
        <f>IFERROR(__xludf.DUMMYFUNCTION("""COMPUTED_VALUE"""),"")</f>
        <v/>
      </c>
      <c r="P2864" t="str">
        <f>IFERROR(__xludf.DUMMYFUNCTION("""COMPUTED_VALUE"""),"ID ")</f>
        <v>ID </v>
      </c>
    </row>
    <row r="2865">
      <c r="A2865" s="6" t="str">
        <f>IFERROR(__xludf.DUMMYFUNCTION("""COMPUTED_VALUE"""),"")</f>
        <v/>
      </c>
      <c r="C2865" t="str">
        <f>IFERROR(__xludf.DUMMYFUNCTION("""COMPUTED_VALUE"""),"")</f>
        <v/>
      </c>
      <c r="D2865" t="str">
        <f>IFERROR(__xludf.DUMMYFUNCTION("""COMPUTED_VALUE"""),"")</f>
        <v/>
      </c>
      <c r="E2865" t="str">
        <f>IFERROR(__xludf.DUMMYFUNCTION("""COMPUTED_VALUE"""),"")</f>
        <v/>
      </c>
      <c r="F2865" t="str">
        <f>IFERROR(__xludf.DUMMYFUNCTION("""COMPUTED_VALUE"""),"")</f>
        <v/>
      </c>
      <c r="G2865" t="str">
        <f>IFERROR(__xludf.DUMMYFUNCTION("""COMPUTED_VALUE"""),"")</f>
        <v/>
      </c>
      <c r="H2865" s="2" t="str">
        <f>IFERROR(__xludf.DUMMYFUNCTION("""COMPUTED_VALUE"""),"")</f>
        <v/>
      </c>
      <c r="I2865" s="2" t="str">
        <f>IFERROR(__xludf.DUMMYFUNCTION("""COMPUTED_VALUE"""),"")</f>
        <v/>
      </c>
      <c r="J2865" s="2">
        <f>IFERROR(__xludf.DUMMYFUNCTION("""COMPUTED_VALUE"""),0.0)</f>
        <v>0</v>
      </c>
      <c r="K2865" s="5" t="str">
        <f>IFERROR(__xludf.DUMMYFUNCTION("""COMPUTED_VALUE"""),"")</f>
        <v/>
      </c>
      <c r="L2865" t="str">
        <f>IFERROR(__xludf.DUMMYFUNCTION("""COMPUTED_VALUE"""),"")</f>
        <v/>
      </c>
      <c r="M2865" t="str">
        <f>IFERROR(__xludf.DUMMYFUNCTION("""COMPUTED_VALUE"""),"")</f>
        <v/>
      </c>
      <c r="N2865" t="str">
        <f>IFERROR(__xludf.DUMMYFUNCTION("""COMPUTED_VALUE"""),"")</f>
        <v/>
      </c>
      <c r="O2865" t="str">
        <f>IFERROR(__xludf.DUMMYFUNCTION("""COMPUTED_VALUE"""),"")</f>
        <v/>
      </c>
      <c r="P2865" t="str">
        <f>IFERROR(__xludf.DUMMYFUNCTION("""COMPUTED_VALUE"""),"ID ")</f>
        <v>ID </v>
      </c>
    </row>
    <row r="2866">
      <c r="A2866" s="6" t="str">
        <f>IFERROR(__xludf.DUMMYFUNCTION("""COMPUTED_VALUE"""),"")</f>
        <v/>
      </c>
      <c r="C2866" t="str">
        <f>IFERROR(__xludf.DUMMYFUNCTION("""COMPUTED_VALUE"""),"")</f>
        <v/>
      </c>
      <c r="D2866" t="str">
        <f>IFERROR(__xludf.DUMMYFUNCTION("""COMPUTED_VALUE"""),"")</f>
        <v/>
      </c>
      <c r="E2866" t="str">
        <f>IFERROR(__xludf.DUMMYFUNCTION("""COMPUTED_VALUE"""),"")</f>
        <v/>
      </c>
      <c r="F2866" t="str">
        <f>IFERROR(__xludf.DUMMYFUNCTION("""COMPUTED_VALUE"""),"")</f>
        <v/>
      </c>
      <c r="G2866" t="str">
        <f>IFERROR(__xludf.DUMMYFUNCTION("""COMPUTED_VALUE"""),"")</f>
        <v/>
      </c>
      <c r="H2866" s="2" t="str">
        <f>IFERROR(__xludf.DUMMYFUNCTION("""COMPUTED_VALUE"""),"")</f>
        <v/>
      </c>
      <c r="I2866" s="2" t="str">
        <f>IFERROR(__xludf.DUMMYFUNCTION("""COMPUTED_VALUE"""),"")</f>
        <v/>
      </c>
      <c r="J2866" s="2">
        <f>IFERROR(__xludf.DUMMYFUNCTION("""COMPUTED_VALUE"""),0.0)</f>
        <v>0</v>
      </c>
      <c r="K2866" s="5" t="str">
        <f>IFERROR(__xludf.DUMMYFUNCTION("""COMPUTED_VALUE"""),"")</f>
        <v/>
      </c>
      <c r="L2866" t="str">
        <f>IFERROR(__xludf.DUMMYFUNCTION("""COMPUTED_VALUE"""),"")</f>
        <v/>
      </c>
      <c r="M2866" t="str">
        <f>IFERROR(__xludf.DUMMYFUNCTION("""COMPUTED_VALUE"""),"")</f>
        <v/>
      </c>
      <c r="N2866" t="str">
        <f>IFERROR(__xludf.DUMMYFUNCTION("""COMPUTED_VALUE"""),"")</f>
        <v/>
      </c>
      <c r="O2866" t="str">
        <f>IFERROR(__xludf.DUMMYFUNCTION("""COMPUTED_VALUE"""),"")</f>
        <v/>
      </c>
      <c r="P2866" t="str">
        <f>IFERROR(__xludf.DUMMYFUNCTION("""COMPUTED_VALUE"""),"ID ")</f>
        <v>ID </v>
      </c>
    </row>
    <row r="2867">
      <c r="A2867" s="6" t="str">
        <f>IFERROR(__xludf.DUMMYFUNCTION("""COMPUTED_VALUE"""),"")</f>
        <v/>
      </c>
      <c r="C2867" t="str">
        <f>IFERROR(__xludf.DUMMYFUNCTION("""COMPUTED_VALUE"""),"")</f>
        <v/>
      </c>
      <c r="D2867" t="str">
        <f>IFERROR(__xludf.DUMMYFUNCTION("""COMPUTED_VALUE"""),"")</f>
        <v/>
      </c>
      <c r="E2867" t="str">
        <f>IFERROR(__xludf.DUMMYFUNCTION("""COMPUTED_VALUE"""),"")</f>
        <v/>
      </c>
      <c r="F2867" t="str">
        <f>IFERROR(__xludf.DUMMYFUNCTION("""COMPUTED_VALUE"""),"")</f>
        <v/>
      </c>
      <c r="G2867" t="str">
        <f>IFERROR(__xludf.DUMMYFUNCTION("""COMPUTED_VALUE"""),"")</f>
        <v/>
      </c>
      <c r="H2867" s="2" t="str">
        <f>IFERROR(__xludf.DUMMYFUNCTION("""COMPUTED_VALUE"""),"")</f>
        <v/>
      </c>
      <c r="I2867" s="2" t="str">
        <f>IFERROR(__xludf.DUMMYFUNCTION("""COMPUTED_VALUE"""),"")</f>
        <v/>
      </c>
      <c r="J2867" s="2">
        <f>IFERROR(__xludf.DUMMYFUNCTION("""COMPUTED_VALUE"""),0.0)</f>
        <v>0</v>
      </c>
      <c r="K2867" s="5" t="str">
        <f>IFERROR(__xludf.DUMMYFUNCTION("""COMPUTED_VALUE"""),"")</f>
        <v/>
      </c>
      <c r="L2867" t="str">
        <f>IFERROR(__xludf.DUMMYFUNCTION("""COMPUTED_VALUE"""),"")</f>
        <v/>
      </c>
      <c r="M2867" t="str">
        <f>IFERROR(__xludf.DUMMYFUNCTION("""COMPUTED_VALUE"""),"")</f>
        <v/>
      </c>
      <c r="N2867" t="str">
        <f>IFERROR(__xludf.DUMMYFUNCTION("""COMPUTED_VALUE"""),"")</f>
        <v/>
      </c>
      <c r="O2867" t="str">
        <f>IFERROR(__xludf.DUMMYFUNCTION("""COMPUTED_VALUE"""),"")</f>
        <v/>
      </c>
      <c r="P2867" t="str">
        <f>IFERROR(__xludf.DUMMYFUNCTION("""COMPUTED_VALUE"""),"ID ")</f>
        <v>ID </v>
      </c>
    </row>
    <row r="2868">
      <c r="A2868" s="6" t="str">
        <f>IFERROR(__xludf.DUMMYFUNCTION("""COMPUTED_VALUE"""),"")</f>
        <v/>
      </c>
      <c r="C2868" t="str">
        <f>IFERROR(__xludf.DUMMYFUNCTION("""COMPUTED_VALUE"""),"")</f>
        <v/>
      </c>
      <c r="D2868" t="str">
        <f>IFERROR(__xludf.DUMMYFUNCTION("""COMPUTED_VALUE"""),"")</f>
        <v/>
      </c>
      <c r="E2868" t="str">
        <f>IFERROR(__xludf.DUMMYFUNCTION("""COMPUTED_VALUE"""),"")</f>
        <v/>
      </c>
      <c r="F2868" t="str">
        <f>IFERROR(__xludf.DUMMYFUNCTION("""COMPUTED_VALUE"""),"")</f>
        <v/>
      </c>
      <c r="G2868" t="str">
        <f>IFERROR(__xludf.DUMMYFUNCTION("""COMPUTED_VALUE"""),"")</f>
        <v/>
      </c>
      <c r="H2868" s="2" t="str">
        <f>IFERROR(__xludf.DUMMYFUNCTION("""COMPUTED_VALUE"""),"")</f>
        <v/>
      </c>
      <c r="I2868" s="2" t="str">
        <f>IFERROR(__xludf.DUMMYFUNCTION("""COMPUTED_VALUE"""),"")</f>
        <v/>
      </c>
      <c r="J2868" s="2">
        <f>IFERROR(__xludf.DUMMYFUNCTION("""COMPUTED_VALUE"""),0.0)</f>
        <v>0</v>
      </c>
      <c r="K2868" s="5" t="str">
        <f>IFERROR(__xludf.DUMMYFUNCTION("""COMPUTED_VALUE"""),"")</f>
        <v/>
      </c>
      <c r="L2868" t="str">
        <f>IFERROR(__xludf.DUMMYFUNCTION("""COMPUTED_VALUE"""),"")</f>
        <v/>
      </c>
      <c r="M2868" t="str">
        <f>IFERROR(__xludf.DUMMYFUNCTION("""COMPUTED_VALUE"""),"")</f>
        <v/>
      </c>
      <c r="N2868" t="str">
        <f>IFERROR(__xludf.DUMMYFUNCTION("""COMPUTED_VALUE"""),"")</f>
        <v/>
      </c>
      <c r="O2868" t="str">
        <f>IFERROR(__xludf.DUMMYFUNCTION("""COMPUTED_VALUE"""),"")</f>
        <v/>
      </c>
      <c r="P2868" t="str">
        <f>IFERROR(__xludf.DUMMYFUNCTION("""COMPUTED_VALUE"""),"ID ")</f>
        <v>ID </v>
      </c>
    </row>
    <row r="2869">
      <c r="A2869" s="6" t="str">
        <f>IFERROR(__xludf.DUMMYFUNCTION("""COMPUTED_VALUE"""),"")</f>
        <v/>
      </c>
      <c r="C2869" t="str">
        <f>IFERROR(__xludf.DUMMYFUNCTION("""COMPUTED_VALUE"""),"")</f>
        <v/>
      </c>
      <c r="D2869" t="str">
        <f>IFERROR(__xludf.DUMMYFUNCTION("""COMPUTED_VALUE"""),"")</f>
        <v/>
      </c>
      <c r="E2869" t="str">
        <f>IFERROR(__xludf.DUMMYFUNCTION("""COMPUTED_VALUE"""),"")</f>
        <v/>
      </c>
      <c r="F2869" t="str">
        <f>IFERROR(__xludf.DUMMYFUNCTION("""COMPUTED_VALUE"""),"")</f>
        <v/>
      </c>
      <c r="G2869" t="str">
        <f>IFERROR(__xludf.DUMMYFUNCTION("""COMPUTED_VALUE"""),"")</f>
        <v/>
      </c>
      <c r="H2869" s="2" t="str">
        <f>IFERROR(__xludf.DUMMYFUNCTION("""COMPUTED_VALUE"""),"")</f>
        <v/>
      </c>
      <c r="I2869" s="2" t="str">
        <f>IFERROR(__xludf.DUMMYFUNCTION("""COMPUTED_VALUE"""),"")</f>
        <v/>
      </c>
      <c r="J2869" s="2">
        <f>IFERROR(__xludf.DUMMYFUNCTION("""COMPUTED_VALUE"""),0.0)</f>
        <v>0</v>
      </c>
      <c r="K2869" s="5" t="str">
        <f>IFERROR(__xludf.DUMMYFUNCTION("""COMPUTED_VALUE"""),"")</f>
        <v/>
      </c>
      <c r="L2869" t="str">
        <f>IFERROR(__xludf.DUMMYFUNCTION("""COMPUTED_VALUE"""),"")</f>
        <v/>
      </c>
      <c r="M2869" t="str">
        <f>IFERROR(__xludf.DUMMYFUNCTION("""COMPUTED_VALUE"""),"")</f>
        <v/>
      </c>
      <c r="N2869" t="str">
        <f>IFERROR(__xludf.DUMMYFUNCTION("""COMPUTED_VALUE"""),"")</f>
        <v/>
      </c>
      <c r="O2869" t="str">
        <f>IFERROR(__xludf.DUMMYFUNCTION("""COMPUTED_VALUE"""),"")</f>
        <v/>
      </c>
      <c r="P2869" t="str">
        <f>IFERROR(__xludf.DUMMYFUNCTION("""COMPUTED_VALUE"""),"ID ")</f>
        <v>ID </v>
      </c>
    </row>
    <row r="2870">
      <c r="A2870" s="6" t="str">
        <f>IFERROR(__xludf.DUMMYFUNCTION("""COMPUTED_VALUE"""),"")</f>
        <v/>
      </c>
      <c r="C2870" t="str">
        <f>IFERROR(__xludf.DUMMYFUNCTION("""COMPUTED_VALUE"""),"")</f>
        <v/>
      </c>
      <c r="D2870" t="str">
        <f>IFERROR(__xludf.DUMMYFUNCTION("""COMPUTED_VALUE"""),"")</f>
        <v/>
      </c>
      <c r="E2870" t="str">
        <f>IFERROR(__xludf.DUMMYFUNCTION("""COMPUTED_VALUE"""),"")</f>
        <v/>
      </c>
      <c r="F2870" t="str">
        <f>IFERROR(__xludf.DUMMYFUNCTION("""COMPUTED_VALUE"""),"")</f>
        <v/>
      </c>
      <c r="G2870" t="str">
        <f>IFERROR(__xludf.DUMMYFUNCTION("""COMPUTED_VALUE"""),"")</f>
        <v/>
      </c>
      <c r="H2870" s="2" t="str">
        <f>IFERROR(__xludf.DUMMYFUNCTION("""COMPUTED_VALUE"""),"")</f>
        <v/>
      </c>
      <c r="I2870" s="2" t="str">
        <f>IFERROR(__xludf.DUMMYFUNCTION("""COMPUTED_VALUE"""),"")</f>
        <v/>
      </c>
      <c r="J2870" s="2">
        <f>IFERROR(__xludf.DUMMYFUNCTION("""COMPUTED_VALUE"""),0.0)</f>
        <v>0</v>
      </c>
      <c r="K2870" s="5" t="str">
        <f>IFERROR(__xludf.DUMMYFUNCTION("""COMPUTED_VALUE"""),"")</f>
        <v/>
      </c>
      <c r="L2870" t="str">
        <f>IFERROR(__xludf.DUMMYFUNCTION("""COMPUTED_VALUE"""),"")</f>
        <v/>
      </c>
      <c r="M2870" t="str">
        <f>IFERROR(__xludf.DUMMYFUNCTION("""COMPUTED_VALUE"""),"")</f>
        <v/>
      </c>
      <c r="N2870" t="str">
        <f>IFERROR(__xludf.DUMMYFUNCTION("""COMPUTED_VALUE"""),"")</f>
        <v/>
      </c>
      <c r="O2870" t="str">
        <f>IFERROR(__xludf.DUMMYFUNCTION("""COMPUTED_VALUE"""),"")</f>
        <v/>
      </c>
      <c r="P2870" t="str">
        <f>IFERROR(__xludf.DUMMYFUNCTION("""COMPUTED_VALUE"""),"ID ")</f>
        <v>ID </v>
      </c>
    </row>
    <row r="2871">
      <c r="A2871" s="6" t="str">
        <f>IFERROR(__xludf.DUMMYFUNCTION("""COMPUTED_VALUE"""),"")</f>
        <v/>
      </c>
      <c r="C2871" t="str">
        <f>IFERROR(__xludf.DUMMYFUNCTION("""COMPUTED_VALUE"""),"")</f>
        <v/>
      </c>
      <c r="D2871" t="str">
        <f>IFERROR(__xludf.DUMMYFUNCTION("""COMPUTED_VALUE"""),"")</f>
        <v/>
      </c>
      <c r="E2871" t="str">
        <f>IFERROR(__xludf.DUMMYFUNCTION("""COMPUTED_VALUE"""),"")</f>
        <v/>
      </c>
      <c r="F2871" t="str">
        <f>IFERROR(__xludf.DUMMYFUNCTION("""COMPUTED_VALUE"""),"")</f>
        <v/>
      </c>
      <c r="G2871" t="str">
        <f>IFERROR(__xludf.DUMMYFUNCTION("""COMPUTED_VALUE"""),"")</f>
        <v/>
      </c>
      <c r="H2871" s="2" t="str">
        <f>IFERROR(__xludf.DUMMYFUNCTION("""COMPUTED_VALUE"""),"")</f>
        <v/>
      </c>
      <c r="I2871" s="2" t="str">
        <f>IFERROR(__xludf.DUMMYFUNCTION("""COMPUTED_VALUE"""),"")</f>
        <v/>
      </c>
      <c r="J2871" s="2">
        <f>IFERROR(__xludf.DUMMYFUNCTION("""COMPUTED_VALUE"""),0.0)</f>
        <v>0</v>
      </c>
      <c r="K2871" s="5" t="str">
        <f>IFERROR(__xludf.DUMMYFUNCTION("""COMPUTED_VALUE"""),"")</f>
        <v/>
      </c>
      <c r="L2871" t="str">
        <f>IFERROR(__xludf.DUMMYFUNCTION("""COMPUTED_VALUE"""),"")</f>
        <v/>
      </c>
      <c r="M2871" t="str">
        <f>IFERROR(__xludf.DUMMYFUNCTION("""COMPUTED_VALUE"""),"")</f>
        <v/>
      </c>
      <c r="N2871" t="str">
        <f>IFERROR(__xludf.DUMMYFUNCTION("""COMPUTED_VALUE"""),"")</f>
        <v/>
      </c>
      <c r="O2871" t="str">
        <f>IFERROR(__xludf.DUMMYFUNCTION("""COMPUTED_VALUE"""),"")</f>
        <v/>
      </c>
      <c r="P2871" t="str">
        <f>IFERROR(__xludf.DUMMYFUNCTION("""COMPUTED_VALUE"""),"ID ")</f>
        <v>ID </v>
      </c>
    </row>
    <row r="2872">
      <c r="A2872" s="6" t="str">
        <f>IFERROR(__xludf.DUMMYFUNCTION("""COMPUTED_VALUE"""),"")</f>
        <v/>
      </c>
      <c r="C2872" t="str">
        <f>IFERROR(__xludf.DUMMYFUNCTION("""COMPUTED_VALUE"""),"")</f>
        <v/>
      </c>
      <c r="D2872" t="str">
        <f>IFERROR(__xludf.DUMMYFUNCTION("""COMPUTED_VALUE"""),"")</f>
        <v/>
      </c>
      <c r="E2872" t="str">
        <f>IFERROR(__xludf.DUMMYFUNCTION("""COMPUTED_VALUE"""),"")</f>
        <v/>
      </c>
      <c r="F2872" t="str">
        <f>IFERROR(__xludf.DUMMYFUNCTION("""COMPUTED_VALUE"""),"")</f>
        <v/>
      </c>
      <c r="G2872" t="str">
        <f>IFERROR(__xludf.DUMMYFUNCTION("""COMPUTED_VALUE"""),"")</f>
        <v/>
      </c>
      <c r="H2872" s="2" t="str">
        <f>IFERROR(__xludf.DUMMYFUNCTION("""COMPUTED_VALUE"""),"")</f>
        <v/>
      </c>
      <c r="I2872" s="2" t="str">
        <f>IFERROR(__xludf.DUMMYFUNCTION("""COMPUTED_VALUE"""),"")</f>
        <v/>
      </c>
      <c r="J2872" s="2">
        <f>IFERROR(__xludf.DUMMYFUNCTION("""COMPUTED_VALUE"""),0.0)</f>
        <v>0</v>
      </c>
      <c r="K2872" s="5" t="str">
        <f>IFERROR(__xludf.DUMMYFUNCTION("""COMPUTED_VALUE"""),"")</f>
        <v/>
      </c>
      <c r="L2872" t="str">
        <f>IFERROR(__xludf.DUMMYFUNCTION("""COMPUTED_VALUE"""),"")</f>
        <v/>
      </c>
      <c r="M2872" t="str">
        <f>IFERROR(__xludf.DUMMYFUNCTION("""COMPUTED_VALUE"""),"")</f>
        <v/>
      </c>
      <c r="N2872" t="str">
        <f>IFERROR(__xludf.DUMMYFUNCTION("""COMPUTED_VALUE"""),"")</f>
        <v/>
      </c>
      <c r="O2872" t="str">
        <f>IFERROR(__xludf.DUMMYFUNCTION("""COMPUTED_VALUE"""),"")</f>
        <v/>
      </c>
      <c r="P2872" t="str">
        <f>IFERROR(__xludf.DUMMYFUNCTION("""COMPUTED_VALUE"""),"ID ")</f>
        <v>ID </v>
      </c>
    </row>
    <row r="2873">
      <c r="A2873" s="6" t="str">
        <f>IFERROR(__xludf.DUMMYFUNCTION("""COMPUTED_VALUE"""),"")</f>
        <v/>
      </c>
      <c r="C2873" t="str">
        <f>IFERROR(__xludf.DUMMYFUNCTION("""COMPUTED_VALUE"""),"")</f>
        <v/>
      </c>
      <c r="D2873" t="str">
        <f>IFERROR(__xludf.DUMMYFUNCTION("""COMPUTED_VALUE"""),"")</f>
        <v/>
      </c>
      <c r="E2873" t="str">
        <f>IFERROR(__xludf.DUMMYFUNCTION("""COMPUTED_VALUE"""),"")</f>
        <v/>
      </c>
      <c r="F2873" t="str">
        <f>IFERROR(__xludf.DUMMYFUNCTION("""COMPUTED_VALUE"""),"")</f>
        <v/>
      </c>
      <c r="G2873" t="str">
        <f>IFERROR(__xludf.DUMMYFUNCTION("""COMPUTED_VALUE"""),"")</f>
        <v/>
      </c>
      <c r="H2873" s="2" t="str">
        <f>IFERROR(__xludf.DUMMYFUNCTION("""COMPUTED_VALUE"""),"")</f>
        <v/>
      </c>
      <c r="I2873" s="2" t="str">
        <f>IFERROR(__xludf.DUMMYFUNCTION("""COMPUTED_VALUE"""),"")</f>
        <v/>
      </c>
      <c r="J2873" s="2">
        <f>IFERROR(__xludf.DUMMYFUNCTION("""COMPUTED_VALUE"""),0.0)</f>
        <v>0</v>
      </c>
      <c r="K2873" s="5" t="str">
        <f>IFERROR(__xludf.DUMMYFUNCTION("""COMPUTED_VALUE"""),"")</f>
        <v/>
      </c>
      <c r="L2873" t="str">
        <f>IFERROR(__xludf.DUMMYFUNCTION("""COMPUTED_VALUE"""),"")</f>
        <v/>
      </c>
      <c r="M2873" t="str">
        <f>IFERROR(__xludf.DUMMYFUNCTION("""COMPUTED_VALUE"""),"")</f>
        <v/>
      </c>
      <c r="N2873" t="str">
        <f>IFERROR(__xludf.DUMMYFUNCTION("""COMPUTED_VALUE"""),"")</f>
        <v/>
      </c>
      <c r="O2873" t="str">
        <f>IFERROR(__xludf.DUMMYFUNCTION("""COMPUTED_VALUE"""),"")</f>
        <v/>
      </c>
      <c r="P2873" t="str">
        <f>IFERROR(__xludf.DUMMYFUNCTION("""COMPUTED_VALUE"""),"ID ")</f>
        <v>ID </v>
      </c>
    </row>
    <row r="2874">
      <c r="A2874" s="6" t="str">
        <f>IFERROR(__xludf.DUMMYFUNCTION("""COMPUTED_VALUE"""),"")</f>
        <v/>
      </c>
      <c r="C2874" t="str">
        <f>IFERROR(__xludf.DUMMYFUNCTION("""COMPUTED_VALUE"""),"")</f>
        <v/>
      </c>
      <c r="D2874" t="str">
        <f>IFERROR(__xludf.DUMMYFUNCTION("""COMPUTED_VALUE"""),"")</f>
        <v/>
      </c>
      <c r="E2874" t="str">
        <f>IFERROR(__xludf.DUMMYFUNCTION("""COMPUTED_VALUE"""),"")</f>
        <v/>
      </c>
      <c r="F2874" t="str">
        <f>IFERROR(__xludf.DUMMYFUNCTION("""COMPUTED_VALUE"""),"")</f>
        <v/>
      </c>
      <c r="G2874" t="str">
        <f>IFERROR(__xludf.DUMMYFUNCTION("""COMPUTED_VALUE"""),"")</f>
        <v/>
      </c>
      <c r="H2874" s="2" t="str">
        <f>IFERROR(__xludf.DUMMYFUNCTION("""COMPUTED_VALUE"""),"")</f>
        <v/>
      </c>
      <c r="I2874" s="2" t="str">
        <f>IFERROR(__xludf.DUMMYFUNCTION("""COMPUTED_VALUE"""),"")</f>
        <v/>
      </c>
      <c r="J2874" s="2">
        <f>IFERROR(__xludf.DUMMYFUNCTION("""COMPUTED_VALUE"""),0.0)</f>
        <v>0</v>
      </c>
      <c r="K2874" s="5" t="str">
        <f>IFERROR(__xludf.DUMMYFUNCTION("""COMPUTED_VALUE"""),"")</f>
        <v/>
      </c>
      <c r="L2874" t="str">
        <f>IFERROR(__xludf.DUMMYFUNCTION("""COMPUTED_VALUE"""),"")</f>
        <v/>
      </c>
      <c r="M2874" t="str">
        <f>IFERROR(__xludf.DUMMYFUNCTION("""COMPUTED_VALUE"""),"")</f>
        <v/>
      </c>
      <c r="N2874" t="str">
        <f>IFERROR(__xludf.DUMMYFUNCTION("""COMPUTED_VALUE"""),"")</f>
        <v/>
      </c>
      <c r="O2874" t="str">
        <f>IFERROR(__xludf.DUMMYFUNCTION("""COMPUTED_VALUE"""),"")</f>
        <v/>
      </c>
      <c r="P2874" t="str">
        <f>IFERROR(__xludf.DUMMYFUNCTION("""COMPUTED_VALUE"""),"ID ")</f>
        <v>ID </v>
      </c>
    </row>
    <row r="2875">
      <c r="A2875" s="6" t="str">
        <f>IFERROR(__xludf.DUMMYFUNCTION("""COMPUTED_VALUE"""),"")</f>
        <v/>
      </c>
      <c r="C2875" t="str">
        <f>IFERROR(__xludf.DUMMYFUNCTION("""COMPUTED_VALUE"""),"")</f>
        <v/>
      </c>
      <c r="D2875" t="str">
        <f>IFERROR(__xludf.DUMMYFUNCTION("""COMPUTED_VALUE"""),"")</f>
        <v/>
      </c>
      <c r="E2875" t="str">
        <f>IFERROR(__xludf.DUMMYFUNCTION("""COMPUTED_VALUE"""),"")</f>
        <v/>
      </c>
      <c r="F2875" t="str">
        <f>IFERROR(__xludf.DUMMYFUNCTION("""COMPUTED_VALUE"""),"")</f>
        <v/>
      </c>
      <c r="G2875" t="str">
        <f>IFERROR(__xludf.DUMMYFUNCTION("""COMPUTED_VALUE"""),"")</f>
        <v/>
      </c>
      <c r="H2875" s="2" t="str">
        <f>IFERROR(__xludf.DUMMYFUNCTION("""COMPUTED_VALUE"""),"")</f>
        <v/>
      </c>
      <c r="I2875" s="2" t="str">
        <f>IFERROR(__xludf.DUMMYFUNCTION("""COMPUTED_VALUE"""),"")</f>
        <v/>
      </c>
      <c r="J2875" s="2">
        <f>IFERROR(__xludf.DUMMYFUNCTION("""COMPUTED_VALUE"""),0.0)</f>
        <v>0</v>
      </c>
      <c r="K2875" s="5" t="str">
        <f>IFERROR(__xludf.DUMMYFUNCTION("""COMPUTED_VALUE"""),"")</f>
        <v/>
      </c>
      <c r="L2875" t="str">
        <f>IFERROR(__xludf.DUMMYFUNCTION("""COMPUTED_VALUE"""),"")</f>
        <v/>
      </c>
      <c r="M2875" t="str">
        <f>IFERROR(__xludf.DUMMYFUNCTION("""COMPUTED_VALUE"""),"")</f>
        <v/>
      </c>
      <c r="N2875" t="str">
        <f>IFERROR(__xludf.DUMMYFUNCTION("""COMPUTED_VALUE"""),"")</f>
        <v/>
      </c>
      <c r="O2875" t="str">
        <f>IFERROR(__xludf.DUMMYFUNCTION("""COMPUTED_VALUE"""),"")</f>
        <v/>
      </c>
      <c r="P2875" t="str">
        <f>IFERROR(__xludf.DUMMYFUNCTION("""COMPUTED_VALUE"""),"ID ")</f>
        <v>ID </v>
      </c>
    </row>
    <row r="2876">
      <c r="A2876" s="6" t="str">
        <f>IFERROR(__xludf.DUMMYFUNCTION("""COMPUTED_VALUE"""),"")</f>
        <v/>
      </c>
      <c r="C2876" t="str">
        <f>IFERROR(__xludf.DUMMYFUNCTION("""COMPUTED_VALUE"""),"")</f>
        <v/>
      </c>
      <c r="D2876" t="str">
        <f>IFERROR(__xludf.DUMMYFUNCTION("""COMPUTED_VALUE"""),"")</f>
        <v/>
      </c>
      <c r="E2876" t="str">
        <f>IFERROR(__xludf.DUMMYFUNCTION("""COMPUTED_VALUE"""),"")</f>
        <v/>
      </c>
      <c r="F2876" t="str">
        <f>IFERROR(__xludf.DUMMYFUNCTION("""COMPUTED_VALUE"""),"")</f>
        <v/>
      </c>
      <c r="G2876" t="str">
        <f>IFERROR(__xludf.DUMMYFUNCTION("""COMPUTED_VALUE"""),"")</f>
        <v/>
      </c>
      <c r="H2876" s="2" t="str">
        <f>IFERROR(__xludf.DUMMYFUNCTION("""COMPUTED_VALUE"""),"")</f>
        <v/>
      </c>
      <c r="I2876" s="2" t="str">
        <f>IFERROR(__xludf.DUMMYFUNCTION("""COMPUTED_VALUE"""),"")</f>
        <v/>
      </c>
      <c r="J2876" s="2">
        <f>IFERROR(__xludf.DUMMYFUNCTION("""COMPUTED_VALUE"""),0.0)</f>
        <v>0</v>
      </c>
      <c r="K2876" s="5" t="str">
        <f>IFERROR(__xludf.DUMMYFUNCTION("""COMPUTED_VALUE"""),"")</f>
        <v/>
      </c>
      <c r="L2876" t="str">
        <f>IFERROR(__xludf.DUMMYFUNCTION("""COMPUTED_VALUE"""),"")</f>
        <v/>
      </c>
      <c r="M2876" t="str">
        <f>IFERROR(__xludf.DUMMYFUNCTION("""COMPUTED_VALUE"""),"")</f>
        <v/>
      </c>
      <c r="N2876" t="str">
        <f>IFERROR(__xludf.DUMMYFUNCTION("""COMPUTED_VALUE"""),"")</f>
        <v/>
      </c>
      <c r="O2876" t="str">
        <f>IFERROR(__xludf.DUMMYFUNCTION("""COMPUTED_VALUE"""),"")</f>
        <v/>
      </c>
      <c r="P2876" t="str">
        <f>IFERROR(__xludf.DUMMYFUNCTION("""COMPUTED_VALUE"""),"ID ")</f>
        <v>ID </v>
      </c>
    </row>
    <row r="2877">
      <c r="A2877" s="6" t="str">
        <f>IFERROR(__xludf.DUMMYFUNCTION("""COMPUTED_VALUE"""),"")</f>
        <v/>
      </c>
      <c r="C2877" t="str">
        <f>IFERROR(__xludf.DUMMYFUNCTION("""COMPUTED_VALUE"""),"")</f>
        <v/>
      </c>
      <c r="D2877" t="str">
        <f>IFERROR(__xludf.DUMMYFUNCTION("""COMPUTED_VALUE"""),"")</f>
        <v/>
      </c>
      <c r="E2877" t="str">
        <f>IFERROR(__xludf.DUMMYFUNCTION("""COMPUTED_VALUE"""),"")</f>
        <v/>
      </c>
      <c r="F2877" t="str">
        <f>IFERROR(__xludf.DUMMYFUNCTION("""COMPUTED_VALUE"""),"")</f>
        <v/>
      </c>
      <c r="G2877" t="str">
        <f>IFERROR(__xludf.DUMMYFUNCTION("""COMPUTED_VALUE"""),"")</f>
        <v/>
      </c>
      <c r="H2877" s="2" t="str">
        <f>IFERROR(__xludf.DUMMYFUNCTION("""COMPUTED_VALUE"""),"")</f>
        <v/>
      </c>
      <c r="I2877" s="2" t="str">
        <f>IFERROR(__xludf.DUMMYFUNCTION("""COMPUTED_VALUE"""),"")</f>
        <v/>
      </c>
      <c r="J2877" s="2">
        <f>IFERROR(__xludf.DUMMYFUNCTION("""COMPUTED_VALUE"""),0.0)</f>
        <v>0</v>
      </c>
      <c r="K2877" s="5" t="str">
        <f>IFERROR(__xludf.DUMMYFUNCTION("""COMPUTED_VALUE"""),"")</f>
        <v/>
      </c>
      <c r="L2877" t="str">
        <f>IFERROR(__xludf.DUMMYFUNCTION("""COMPUTED_VALUE"""),"")</f>
        <v/>
      </c>
      <c r="M2877" t="str">
        <f>IFERROR(__xludf.DUMMYFUNCTION("""COMPUTED_VALUE"""),"")</f>
        <v/>
      </c>
      <c r="N2877" t="str">
        <f>IFERROR(__xludf.DUMMYFUNCTION("""COMPUTED_VALUE"""),"")</f>
        <v/>
      </c>
      <c r="O2877" t="str">
        <f>IFERROR(__xludf.DUMMYFUNCTION("""COMPUTED_VALUE"""),"")</f>
        <v/>
      </c>
      <c r="P2877" t="str">
        <f>IFERROR(__xludf.DUMMYFUNCTION("""COMPUTED_VALUE"""),"ID ")</f>
        <v>ID </v>
      </c>
    </row>
    <row r="2878">
      <c r="A2878" s="6" t="str">
        <f>IFERROR(__xludf.DUMMYFUNCTION("""COMPUTED_VALUE"""),"")</f>
        <v/>
      </c>
      <c r="C2878" t="str">
        <f>IFERROR(__xludf.DUMMYFUNCTION("""COMPUTED_VALUE"""),"")</f>
        <v/>
      </c>
      <c r="D2878" t="str">
        <f>IFERROR(__xludf.DUMMYFUNCTION("""COMPUTED_VALUE"""),"")</f>
        <v/>
      </c>
      <c r="E2878" t="str">
        <f>IFERROR(__xludf.DUMMYFUNCTION("""COMPUTED_VALUE"""),"")</f>
        <v/>
      </c>
      <c r="F2878" t="str">
        <f>IFERROR(__xludf.DUMMYFUNCTION("""COMPUTED_VALUE"""),"")</f>
        <v/>
      </c>
      <c r="G2878" t="str">
        <f>IFERROR(__xludf.DUMMYFUNCTION("""COMPUTED_VALUE"""),"")</f>
        <v/>
      </c>
      <c r="H2878" s="2" t="str">
        <f>IFERROR(__xludf.DUMMYFUNCTION("""COMPUTED_VALUE"""),"")</f>
        <v/>
      </c>
      <c r="I2878" s="2" t="str">
        <f>IFERROR(__xludf.DUMMYFUNCTION("""COMPUTED_VALUE"""),"")</f>
        <v/>
      </c>
      <c r="J2878" s="2">
        <f>IFERROR(__xludf.DUMMYFUNCTION("""COMPUTED_VALUE"""),0.0)</f>
        <v>0</v>
      </c>
      <c r="K2878" s="5" t="str">
        <f>IFERROR(__xludf.DUMMYFUNCTION("""COMPUTED_VALUE"""),"")</f>
        <v/>
      </c>
      <c r="L2878" t="str">
        <f>IFERROR(__xludf.DUMMYFUNCTION("""COMPUTED_VALUE"""),"")</f>
        <v/>
      </c>
      <c r="M2878" t="str">
        <f>IFERROR(__xludf.DUMMYFUNCTION("""COMPUTED_VALUE"""),"")</f>
        <v/>
      </c>
      <c r="N2878" t="str">
        <f>IFERROR(__xludf.DUMMYFUNCTION("""COMPUTED_VALUE"""),"")</f>
        <v/>
      </c>
      <c r="O2878" t="str">
        <f>IFERROR(__xludf.DUMMYFUNCTION("""COMPUTED_VALUE"""),"")</f>
        <v/>
      </c>
      <c r="P2878" t="str">
        <f>IFERROR(__xludf.DUMMYFUNCTION("""COMPUTED_VALUE"""),"ID ")</f>
        <v>ID </v>
      </c>
    </row>
    <row r="2879">
      <c r="A2879" s="6" t="str">
        <f>IFERROR(__xludf.DUMMYFUNCTION("""COMPUTED_VALUE"""),"")</f>
        <v/>
      </c>
      <c r="C2879" t="str">
        <f>IFERROR(__xludf.DUMMYFUNCTION("""COMPUTED_VALUE"""),"")</f>
        <v/>
      </c>
      <c r="D2879" t="str">
        <f>IFERROR(__xludf.DUMMYFUNCTION("""COMPUTED_VALUE"""),"")</f>
        <v/>
      </c>
      <c r="E2879" t="str">
        <f>IFERROR(__xludf.DUMMYFUNCTION("""COMPUTED_VALUE"""),"")</f>
        <v/>
      </c>
      <c r="F2879" t="str">
        <f>IFERROR(__xludf.DUMMYFUNCTION("""COMPUTED_VALUE"""),"")</f>
        <v/>
      </c>
      <c r="G2879" t="str">
        <f>IFERROR(__xludf.DUMMYFUNCTION("""COMPUTED_VALUE"""),"")</f>
        <v/>
      </c>
      <c r="H2879" s="2" t="str">
        <f>IFERROR(__xludf.DUMMYFUNCTION("""COMPUTED_VALUE"""),"")</f>
        <v/>
      </c>
      <c r="I2879" s="2" t="str">
        <f>IFERROR(__xludf.DUMMYFUNCTION("""COMPUTED_VALUE"""),"")</f>
        <v/>
      </c>
      <c r="J2879" s="2">
        <f>IFERROR(__xludf.DUMMYFUNCTION("""COMPUTED_VALUE"""),0.0)</f>
        <v>0</v>
      </c>
      <c r="K2879" s="5" t="str">
        <f>IFERROR(__xludf.DUMMYFUNCTION("""COMPUTED_VALUE"""),"")</f>
        <v/>
      </c>
      <c r="L2879" t="str">
        <f>IFERROR(__xludf.DUMMYFUNCTION("""COMPUTED_VALUE"""),"")</f>
        <v/>
      </c>
      <c r="M2879" t="str">
        <f>IFERROR(__xludf.DUMMYFUNCTION("""COMPUTED_VALUE"""),"")</f>
        <v/>
      </c>
      <c r="N2879" t="str">
        <f>IFERROR(__xludf.DUMMYFUNCTION("""COMPUTED_VALUE"""),"")</f>
        <v/>
      </c>
      <c r="O2879" t="str">
        <f>IFERROR(__xludf.DUMMYFUNCTION("""COMPUTED_VALUE"""),"")</f>
        <v/>
      </c>
      <c r="P2879" t="str">
        <f>IFERROR(__xludf.DUMMYFUNCTION("""COMPUTED_VALUE"""),"ID ")</f>
        <v>ID </v>
      </c>
    </row>
    <row r="2880">
      <c r="A2880" s="6" t="str">
        <f>IFERROR(__xludf.DUMMYFUNCTION("""COMPUTED_VALUE"""),"")</f>
        <v/>
      </c>
      <c r="C2880" t="str">
        <f>IFERROR(__xludf.DUMMYFUNCTION("""COMPUTED_VALUE"""),"")</f>
        <v/>
      </c>
      <c r="D2880" t="str">
        <f>IFERROR(__xludf.DUMMYFUNCTION("""COMPUTED_VALUE"""),"")</f>
        <v/>
      </c>
      <c r="E2880" t="str">
        <f>IFERROR(__xludf.DUMMYFUNCTION("""COMPUTED_VALUE"""),"")</f>
        <v/>
      </c>
      <c r="F2880" t="str">
        <f>IFERROR(__xludf.DUMMYFUNCTION("""COMPUTED_VALUE"""),"")</f>
        <v/>
      </c>
      <c r="G2880" t="str">
        <f>IFERROR(__xludf.DUMMYFUNCTION("""COMPUTED_VALUE"""),"")</f>
        <v/>
      </c>
      <c r="H2880" s="2" t="str">
        <f>IFERROR(__xludf.DUMMYFUNCTION("""COMPUTED_VALUE"""),"")</f>
        <v/>
      </c>
      <c r="I2880" s="2" t="str">
        <f>IFERROR(__xludf.DUMMYFUNCTION("""COMPUTED_VALUE"""),"")</f>
        <v/>
      </c>
      <c r="J2880" s="2">
        <f>IFERROR(__xludf.DUMMYFUNCTION("""COMPUTED_VALUE"""),0.0)</f>
        <v>0</v>
      </c>
      <c r="K2880" s="5" t="str">
        <f>IFERROR(__xludf.DUMMYFUNCTION("""COMPUTED_VALUE"""),"")</f>
        <v/>
      </c>
      <c r="L2880" t="str">
        <f>IFERROR(__xludf.DUMMYFUNCTION("""COMPUTED_VALUE"""),"")</f>
        <v/>
      </c>
      <c r="M2880" t="str">
        <f>IFERROR(__xludf.DUMMYFUNCTION("""COMPUTED_VALUE"""),"")</f>
        <v/>
      </c>
      <c r="N2880" t="str">
        <f>IFERROR(__xludf.DUMMYFUNCTION("""COMPUTED_VALUE"""),"")</f>
        <v/>
      </c>
      <c r="O2880" t="str">
        <f>IFERROR(__xludf.DUMMYFUNCTION("""COMPUTED_VALUE"""),"")</f>
        <v/>
      </c>
      <c r="P2880" t="str">
        <f>IFERROR(__xludf.DUMMYFUNCTION("""COMPUTED_VALUE"""),"ID ")</f>
        <v>ID </v>
      </c>
    </row>
    <row r="2881">
      <c r="A2881" s="6" t="str">
        <f>IFERROR(__xludf.DUMMYFUNCTION("""COMPUTED_VALUE"""),"")</f>
        <v/>
      </c>
      <c r="C2881" t="str">
        <f>IFERROR(__xludf.DUMMYFUNCTION("""COMPUTED_VALUE"""),"")</f>
        <v/>
      </c>
      <c r="D2881" t="str">
        <f>IFERROR(__xludf.DUMMYFUNCTION("""COMPUTED_VALUE"""),"")</f>
        <v/>
      </c>
      <c r="E2881" t="str">
        <f>IFERROR(__xludf.DUMMYFUNCTION("""COMPUTED_VALUE"""),"")</f>
        <v/>
      </c>
      <c r="F2881" t="str">
        <f>IFERROR(__xludf.DUMMYFUNCTION("""COMPUTED_VALUE"""),"")</f>
        <v/>
      </c>
      <c r="G2881" t="str">
        <f>IFERROR(__xludf.DUMMYFUNCTION("""COMPUTED_VALUE"""),"")</f>
        <v/>
      </c>
      <c r="H2881" s="2" t="str">
        <f>IFERROR(__xludf.DUMMYFUNCTION("""COMPUTED_VALUE"""),"")</f>
        <v/>
      </c>
      <c r="I2881" s="2" t="str">
        <f>IFERROR(__xludf.DUMMYFUNCTION("""COMPUTED_VALUE"""),"")</f>
        <v/>
      </c>
      <c r="J2881" s="2">
        <f>IFERROR(__xludf.DUMMYFUNCTION("""COMPUTED_VALUE"""),0.0)</f>
        <v>0</v>
      </c>
      <c r="K2881" s="5" t="str">
        <f>IFERROR(__xludf.DUMMYFUNCTION("""COMPUTED_VALUE"""),"")</f>
        <v/>
      </c>
      <c r="L2881" t="str">
        <f>IFERROR(__xludf.DUMMYFUNCTION("""COMPUTED_VALUE"""),"")</f>
        <v/>
      </c>
      <c r="M2881" t="str">
        <f>IFERROR(__xludf.DUMMYFUNCTION("""COMPUTED_VALUE"""),"")</f>
        <v/>
      </c>
      <c r="N2881" t="str">
        <f>IFERROR(__xludf.DUMMYFUNCTION("""COMPUTED_VALUE"""),"")</f>
        <v/>
      </c>
      <c r="O2881" t="str">
        <f>IFERROR(__xludf.DUMMYFUNCTION("""COMPUTED_VALUE"""),"")</f>
        <v/>
      </c>
      <c r="P2881" t="str">
        <f>IFERROR(__xludf.DUMMYFUNCTION("""COMPUTED_VALUE"""),"ID ")</f>
        <v>ID </v>
      </c>
    </row>
    <row r="2882">
      <c r="A2882" s="6" t="str">
        <f>IFERROR(__xludf.DUMMYFUNCTION("""COMPUTED_VALUE"""),"")</f>
        <v/>
      </c>
      <c r="C2882" t="str">
        <f>IFERROR(__xludf.DUMMYFUNCTION("""COMPUTED_VALUE"""),"")</f>
        <v/>
      </c>
      <c r="D2882" t="str">
        <f>IFERROR(__xludf.DUMMYFUNCTION("""COMPUTED_VALUE"""),"")</f>
        <v/>
      </c>
      <c r="E2882" t="str">
        <f>IFERROR(__xludf.DUMMYFUNCTION("""COMPUTED_VALUE"""),"")</f>
        <v/>
      </c>
      <c r="F2882" t="str">
        <f>IFERROR(__xludf.DUMMYFUNCTION("""COMPUTED_VALUE"""),"")</f>
        <v/>
      </c>
      <c r="G2882" t="str">
        <f>IFERROR(__xludf.DUMMYFUNCTION("""COMPUTED_VALUE"""),"")</f>
        <v/>
      </c>
      <c r="H2882" s="2" t="str">
        <f>IFERROR(__xludf.DUMMYFUNCTION("""COMPUTED_VALUE"""),"")</f>
        <v/>
      </c>
      <c r="I2882" s="2" t="str">
        <f>IFERROR(__xludf.DUMMYFUNCTION("""COMPUTED_VALUE"""),"")</f>
        <v/>
      </c>
      <c r="J2882" s="2">
        <f>IFERROR(__xludf.DUMMYFUNCTION("""COMPUTED_VALUE"""),0.0)</f>
        <v>0</v>
      </c>
      <c r="K2882" s="5" t="str">
        <f>IFERROR(__xludf.DUMMYFUNCTION("""COMPUTED_VALUE"""),"")</f>
        <v/>
      </c>
      <c r="L2882" t="str">
        <f>IFERROR(__xludf.DUMMYFUNCTION("""COMPUTED_VALUE"""),"")</f>
        <v/>
      </c>
      <c r="M2882" t="str">
        <f>IFERROR(__xludf.DUMMYFUNCTION("""COMPUTED_VALUE"""),"")</f>
        <v/>
      </c>
      <c r="N2882" t="str">
        <f>IFERROR(__xludf.DUMMYFUNCTION("""COMPUTED_VALUE"""),"")</f>
        <v/>
      </c>
      <c r="O2882" t="str">
        <f>IFERROR(__xludf.DUMMYFUNCTION("""COMPUTED_VALUE"""),"")</f>
        <v/>
      </c>
      <c r="P2882" t="str">
        <f>IFERROR(__xludf.DUMMYFUNCTION("""COMPUTED_VALUE"""),"ID ")</f>
        <v>ID </v>
      </c>
    </row>
    <row r="2883">
      <c r="A2883" s="6" t="str">
        <f>IFERROR(__xludf.DUMMYFUNCTION("""COMPUTED_VALUE"""),"")</f>
        <v/>
      </c>
      <c r="C2883" t="str">
        <f>IFERROR(__xludf.DUMMYFUNCTION("""COMPUTED_VALUE"""),"")</f>
        <v/>
      </c>
      <c r="D2883" t="str">
        <f>IFERROR(__xludf.DUMMYFUNCTION("""COMPUTED_VALUE"""),"")</f>
        <v/>
      </c>
      <c r="E2883" t="str">
        <f>IFERROR(__xludf.DUMMYFUNCTION("""COMPUTED_VALUE"""),"")</f>
        <v/>
      </c>
      <c r="F2883" t="str">
        <f>IFERROR(__xludf.DUMMYFUNCTION("""COMPUTED_VALUE"""),"")</f>
        <v/>
      </c>
      <c r="G2883" t="str">
        <f>IFERROR(__xludf.DUMMYFUNCTION("""COMPUTED_VALUE"""),"")</f>
        <v/>
      </c>
      <c r="H2883" s="2" t="str">
        <f>IFERROR(__xludf.DUMMYFUNCTION("""COMPUTED_VALUE"""),"")</f>
        <v/>
      </c>
      <c r="I2883" s="2" t="str">
        <f>IFERROR(__xludf.DUMMYFUNCTION("""COMPUTED_VALUE"""),"")</f>
        <v/>
      </c>
      <c r="J2883" s="2">
        <f>IFERROR(__xludf.DUMMYFUNCTION("""COMPUTED_VALUE"""),0.0)</f>
        <v>0</v>
      </c>
      <c r="K2883" s="5" t="str">
        <f>IFERROR(__xludf.DUMMYFUNCTION("""COMPUTED_VALUE"""),"")</f>
        <v/>
      </c>
      <c r="L2883" t="str">
        <f>IFERROR(__xludf.DUMMYFUNCTION("""COMPUTED_VALUE"""),"")</f>
        <v/>
      </c>
      <c r="M2883" t="str">
        <f>IFERROR(__xludf.DUMMYFUNCTION("""COMPUTED_VALUE"""),"")</f>
        <v/>
      </c>
      <c r="N2883" t="str">
        <f>IFERROR(__xludf.DUMMYFUNCTION("""COMPUTED_VALUE"""),"")</f>
        <v/>
      </c>
      <c r="O2883" t="str">
        <f>IFERROR(__xludf.DUMMYFUNCTION("""COMPUTED_VALUE"""),"")</f>
        <v/>
      </c>
      <c r="P2883" t="str">
        <f>IFERROR(__xludf.DUMMYFUNCTION("""COMPUTED_VALUE"""),"ID ")</f>
        <v>ID </v>
      </c>
    </row>
    <row r="2884">
      <c r="A2884" s="6" t="str">
        <f>IFERROR(__xludf.DUMMYFUNCTION("""COMPUTED_VALUE"""),"")</f>
        <v/>
      </c>
      <c r="C2884" t="str">
        <f>IFERROR(__xludf.DUMMYFUNCTION("""COMPUTED_VALUE"""),"")</f>
        <v/>
      </c>
      <c r="D2884" t="str">
        <f>IFERROR(__xludf.DUMMYFUNCTION("""COMPUTED_VALUE"""),"")</f>
        <v/>
      </c>
      <c r="E2884" t="str">
        <f>IFERROR(__xludf.DUMMYFUNCTION("""COMPUTED_VALUE"""),"")</f>
        <v/>
      </c>
      <c r="F2884" t="str">
        <f>IFERROR(__xludf.DUMMYFUNCTION("""COMPUTED_VALUE"""),"")</f>
        <v/>
      </c>
      <c r="G2884" t="str">
        <f>IFERROR(__xludf.DUMMYFUNCTION("""COMPUTED_VALUE"""),"")</f>
        <v/>
      </c>
      <c r="H2884" s="2" t="str">
        <f>IFERROR(__xludf.DUMMYFUNCTION("""COMPUTED_VALUE"""),"")</f>
        <v/>
      </c>
      <c r="I2884" s="2" t="str">
        <f>IFERROR(__xludf.DUMMYFUNCTION("""COMPUTED_VALUE"""),"")</f>
        <v/>
      </c>
      <c r="J2884" s="2">
        <f>IFERROR(__xludf.DUMMYFUNCTION("""COMPUTED_VALUE"""),0.0)</f>
        <v>0</v>
      </c>
      <c r="K2884" s="5" t="str">
        <f>IFERROR(__xludf.DUMMYFUNCTION("""COMPUTED_VALUE"""),"")</f>
        <v/>
      </c>
      <c r="L2884" t="str">
        <f>IFERROR(__xludf.DUMMYFUNCTION("""COMPUTED_VALUE"""),"")</f>
        <v/>
      </c>
      <c r="M2884" t="str">
        <f>IFERROR(__xludf.DUMMYFUNCTION("""COMPUTED_VALUE"""),"")</f>
        <v/>
      </c>
      <c r="N2884" t="str">
        <f>IFERROR(__xludf.DUMMYFUNCTION("""COMPUTED_VALUE"""),"")</f>
        <v/>
      </c>
      <c r="O2884" t="str">
        <f>IFERROR(__xludf.DUMMYFUNCTION("""COMPUTED_VALUE"""),"")</f>
        <v/>
      </c>
      <c r="P2884" t="str">
        <f>IFERROR(__xludf.DUMMYFUNCTION("""COMPUTED_VALUE"""),"ID ")</f>
        <v>ID </v>
      </c>
    </row>
    <row r="2885">
      <c r="A2885" s="6" t="str">
        <f>IFERROR(__xludf.DUMMYFUNCTION("""COMPUTED_VALUE"""),"")</f>
        <v/>
      </c>
      <c r="C2885" t="str">
        <f>IFERROR(__xludf.DUMMYFUNCTION("""COMPUTED_VALUE"""),"")</f>
        <v/>
      </c>
      <c r="D2885" t="str">
        <f>IFERROR(__xludf.DUMMYFUNCTION("""COMPUTED_VALUE"""),"")</f>
        <v/>
      </c>
      <c r="E2885" t="str">
        <f>IFERROR(__xludf.DUMMYFUNCTION("""COMPUTED_VALUE"""),"")</f>
        <v/>
      </c>
      <c r="F2885" t="str">
        <f>IFERROR(__xludf.DUMMYFUNCTION("""COMPUTED_VALUE"""),"")</f>
        <v/>
      </c>
      <c r="G2885" t="str">
        <f>IFERROR(__xludf.DUMMYFUNCTION("""COMPUTED_VALUE"""),"")</f>
        <v/>
      </c>
      <c r="H2885" s="2" t="str">
        <f>IFERROR(__xludf.DUMMYFUNCTION("""COMPUTED_VALUE"""),"")</f>
        <v/>
      </c>
      <c r="I2885" s="2" t="str">
        <f>IFERROR(__xludf.DUMMYFUNCTION("""COMPUTED_VALUE"""),"")</f>
        <v/>
      </c>
      <c r="J2885" s="2">
        <f>IFERROR(__xludf.DUMMYFUNCTION("""COMPUTED_VALUE"""),0.0)</f>
        <v>0</v>
      </c>
      <c r="K2885" s="5" t="str">
        <f>IFERROR(__xludf.DUMMYFUNCTION("""COMPUTED_VALUE"""),"")</f>
        <v/>
      </c>
      <c r="L2885" t="str">
        <f>IFERROR(__xludf.DUMMYFUNCTION("""COMPUTED_VALUE"""),"")</f>
        <v/>
      </c>
      <c r="M2885" t="str">
        <f>IFERROR(__xludf.DUMMYFUNCTION("""COMPUTED_VALUE"""),"")</f>
        <v/>
      </c>
      <c r="N2885" t="str">
        <f>IFERROR(__xludf.DUMMYFUNCTION("""COMPUTED_VALUE"""),"")</f>
        <v/>
      </c>
      <c r="O2885" t="str">
        <f>IFERROR(__xludf.DUMMYFUNCTION("""COMPUTED_VALUE"""),"")</f>
        <v/>
      </c>
      <c r="P2885" t="str">
        <f>IFERROR(__xludf.DUMMYFUNCTION("""COMPUTED_VALUE"""),"ID ")</f>
        <v>ID </v>
      </c>
    </row>
    <row r="2886">
      <c r="A2886" s="6" t="str">
        <f>IFERROR(__xludf.DUMMYFUNCTION("""COMPUTED_VALUE"""),"")</f>
        <v/>
      </c>
      <c r="C2886" t="str">
        <f>IFERROR(__xludf.DUMMYFUNCTION("""COMPUTED_VALUE"""),"")</f>
        <v/>
      </c>
      <c r="D2886" t="str">
        <f>IFERROR(__xludf.DUMMYFUNCTION("""COMPUTED_VALUE"""),"")</f>
        <v/>
      </c>
      <c r="E2886" t="str">
        <f>IFERROR(__xludf.DUMMYFUNCTION("""COMPUTED_VALUE"""),"")</f>
        <v/>
      </c>
      <c r="F2886" t="str">
        <f>IFERROR(__xludf.DUMMYFUNCTION("""COMPUTED_VALUE"""),"")</f>
        <v/>
      </c>
      <c r="G2886" t="str">
        <f>IFERROR(__xludf.DUMMYFUNCTION("""COMPUTED_VALUE"""),"")</f>
        <v/>
      </c>
      <c r="H2886" s="2" t="str">
        <f>IFERROR(__xludf.DUMMYFUNCTION("""COMPUTED_VALUE"""),"")</f>
        <v/>
      </c>
      <c r="I2886" s="2" t="str">
        <f>IFERROR(__xludf.DUMMYFUNCTION("""COMPUTED_VALUE"""),"")</f>
        <v/>
      </c>
      <c r="J2886" s="2">
        <f>IFERROR(__xludf.DUMMYFUNCTION("""COMPUTED_VALUE"""),0.0)</f>
        <v>0</v>
      </c>
      <c r="K2886" s="5" t="str">
        <f>IFERROR(__xludf.DUMMYFUNCTION("""COMPUTED_VALUE"""),"")</f>
        <v/>
      </c>
      <c r="L2886" t="str">
        <f>IFERROR(__xludf.DUMMYFUNCTION("""COMPUTED_VALUE"""),"")</f>
        <v/>
      </c>
      <c r="M2886" t="str">
        <f>IFERROR(__xludf.DUMMYFUNCTION("""COMPUTED_VALUE"""),"")</f>
        <v/>
      </c>
      <c r="N2886" t="str">
        <f>IFERROR(__xludf.DUMMYFUNCTION("""COMPUTED_VALUE"""),"")</f>
        <v/>
      </c>
      <c r="O2886" t="str">
        <f>IFERROR(__xludf.DUMMYFUNCTION("""COMPUTED_VALUE"""),"")</f>
        <v/>
      </c>
      <c r="P2886" t="str">
        <f>IFERROR(__xludf.DUMMYFUNCTION("""COMPUTED_VALUE"""),"ID ")</f>
        <v>ID </v>
      </c>
    </row>
    <row r="2887">
      <c r="A2887" s="6" t="str">
        <f>IFERROR(__xludf.DUMMYFUNCTION("""COMPUTED_VALUE"""),"")</f>
        <v/>
      </c>
      <c r="C2887" t="str">
        <f>IFERROR(__xludf.DUMMYFUNCTION("""COMPUTED_VALUE"""),"")</f>
        <v/>
      </c>
      <c r="D2887" t="str">
        <f>IFERROR(__xludf.DUMMYFUNCTION("""COMPUTED_VALUE"""),"")</f>
        <v/>
      </c>
      <c r="E2887" t="str">
        <f>IFERROR(__xludf.DUMMYFUNCTION("""COMPUTED_VALUE"""),"")</f>
        <v/>
      </c>
      <c r="F2887" t="str">
        <f>IFERROR(__xludf.DUMMYFUNCTION("""COMPUTED_VALUE"""),"")</f>
        <v/>
      </c>
      <c r="G2887" t="str">
        <f>IFERROR(__xludf.DUMMYFUNCTION("""COMPUTED_VALUE"""),"")</f>
        <v/>
      </c>
      <c r="H2887" s="2" t="str">
        <f>IFERROR(__xludf.DUMMYFUNCTION("""COMPUTED_VALUE"""),"")</f>
        <v/>
      </c>
      <c r="I2887" s="2" t="str">
        <f>IFERROR(__xludf.DUMMYFUNCTION("""COMPUTED_VALUE"""),"")</f>
        <v/>
      </c>
      <c r="J2887" s="2">
        <f>IFERROR(__xludf.DUMMYFUNCTION("""COMPUTED_VALUE"""),0.0)</f>
        <v>0</v>
      </c>
      <c r="K2887" s="5" t="str">
        <f>IFERROR(__xludf.DUMMYFUNCTION("""COMPUTED_VALUE"""),"")</f>
        <v/>
      </c>
      <c r="L2887" t="str">
        <f>IFERROR(__xludf.DUMMYFUNCTION("""COMPUTED_VALUE"""),"")</f>
        <v/>
      </c>
      <c r="M2887" t="str">
        <f>IFERROR(__xludf.DUMMYFUNCTION("""COMPUTED_VALUE"""),"")</f>
        <v/>
      </c>
      <c r="N2887" t="str">
        <f>IFERROR(__xludf.DUMMYFUNCTION("""COMPUTED_VALUE"""),"")</f>
        <v/>
      </c>
      <c r="O2887" t="str">
        <f>IFERROR(__xludf.DUMMYFUNCTION("""COMPUTED_VALUE"""),"")</f>
        <v/>
      </c>
      <c r="P2887" t="str">
        <f>IFERROR(__xludf.DUMMYFUNCTION("""COMPUTED_VALUE"""),"ID ")</f>
        <v>ID </v>
      </c>
    </row>
    <row r="2888">
      <c r="A2888" s="6" t="str">
        <f>IFERROR(__xludf.DUMMYFUNCTION("""COMPUTED_VALUE"""),"")</f>
        <v/>
      </c>
      <c r="C2888" t="str">
        <f>IFERROR(__xludf.DUMMYFUNCTION("""COMPUTED_VALUE"""),"")</f>
        <v/>
      </c>
      <c r="D2888" t="str">
        <f>IFERROR(__xludf.DUMMYFUNCTION("""COMPUTED_VALUE"""),"")</f>
        <v/>
      </c>
      <c r="E2888" t="str">
        <f>IFERROR(__xludf.DUMMYFUNCTION("""COMPUTED_VALUE"""),"")</f>
        <v/>
      </c>
      <c r="F2888" t="str">
        <f>IFERROR(__xludf.DUMMYFUNCTION("""COMPUTED_VALUE"""),"")</f>
        <v/>
      </c>
      <c r="G2888" t="str">
        <f>IFERROR(__xludf.DUMMYFUNCTION("""COMPUTED_VALUE"""),"")</f>
        <v/>
      </c>
      <c r="H2888" s="2" t="str">
        <f>IFERROR(__xludf.DUMMYFUNCTION("""COMPUTED_VALUE"""),"")</f>
        <v/>
      </c>
      <c r="I2888" s="2" t="str">
        <f>IFERROR(__xludf.DUMMYFUNCTION("""COMPUTED_VALUE"""),"")</f>
        <v/>
      </c>
      <c r="J2888" s="2">
        <f>IFERROR(__xludf.DUMMYFUNCTION("""COMPUTED_VALUE"""),0.0)</f>
        <v>0</v>
      </c>
      <c r="K2888" s="5" t="str">
        <f>IFERROR(__xludf.DUMMYFUNCTION("""COMPUTED_VALUE"""),"")</f>
        <v/>
      </c>
      <c r="L2888" t="str">
        <f>IFERROR(__xludf.DUMMYFUNCTION("""COMPUTED_VALUE"""),"")</f>
        <v/>
      </c>
      <c r="M2888" t="str">
        <f>IFERROR(__xludf.DUMMYFUNCTION("""COMPUTED_VALUE"""),"")</f>
        <v/>
      </c>
      <c r="N2888" t="str">
        <f>IFERROR(__xludf.DUMMYFUNCTION("""COMPUTED_VALUE"""),"")</f>
        <v/>
      </c>
      <c r="O2888" t="str">
        <f>IFERROR(__xludf.DUMMYFUNCTION("""COMPUTED_VALUE"""),"")</f>
        <v/>
      </c>
      <c r="P2888" t="str">
        <f>IFERROR(__xludf.DUMMYFUNCTION("""COMPUTED_VALUE"""),"ID ")</f>
        <v>ID </v>
      </c>
    </row>
    <row r="2889">
      <c r="A2889" s="6" t="str">
        <f>IFERROR(__xludf.DUMMYFUNCTION("""COMPUTED_VALUE"""),"")</f>
        <v/>
      </c>
      <c r="C2889" t="str">
        <f>IFERROR(__xludf.DUMMYFUNCTION("""COMPUTED_VALUE"""),"")</f>
        <v/>
      </c>
      <c r="D2889" t="str">
        <f>IFERROR(__xludf.DUMMYFUNCTION("""COMPUTED_VALUE"""),"")</f>
        <v/>
      </c>
      <c r="E2889" t="str">
        <f>IFERROR(__xludf.DUMMYFUNCTION("""COMPUTED_VALUE"""),"")</f>
        <v/>
      </c>
      <c r="F2889" t="str">
        <f>IFERROR(__xludf.DUMMYFUNCTION("""COMPUTED_VALUE"""),"")</f>
        <v/>
      </c>
      <c r="G2889" t="str">
        <f>IFERROR(__xludf.DUMMYFUNCTION("""COMPUTED_VALUE"""),"")</f>
        <v/>
      </c>
      <c r="H2889" s="2" t="str">
        <f>IFERROR(__xludf.DUMMYFUNCTION("""COMPUTED_VALUE"""),"")</f>
        <v/>
      </c>
      <c r="I2889" s="2" t="str">
        <f>IFERROR(__xludf.DUMMYFUNCTION("""COMPUTED_VALUE"""),"")</f>
        <v/>
      </c>
      <c r="J2889" s="2">
        <f>IFERROR(__xludf.DUMMYFUNCTION("""COMPUTED_VALUE"""),0.0)</f>
        <v>0</v>
      </c>
      <c r="K2889" s="5" t="str">
        <f>IFERROR(__xludf.DUMMYFUNCTION("""COMPUTED_VALUE"""),"")</f>
        <v/>
      </c>
      <c r="L2889" t="str">
        <f>IFERROR(__xludf.DUMMYFUNCTION("""COMPUTED_VALUE"""),"")</f>
        <v/>
      </c>
      <c r="M2889" t="str">
        <f>IFERROR(__xludf.DUMMYFUNCTION("""COMPUTED_VALUE"""),"")</f>
        <v/>
      </c>
      <c r="N2889" t="str">
        <f>IFERROR(__xludf.DUMMYFUNCTION("""COMPUTED_VALUE"""),"")</f>
        <v/>
      </c>
      <c r="O2889" t="str">
        <f>IFERROR(__xludf.DUMMYFUNCTION("""COMPUTED_VALUE"""),"")</f>
        <v/>
      </c>
      <c r="P2889" t="str">
        <f>IFERROR(__xludf.DUMMYFUNCTION("""COMPUTED_VALUE"""),"ID ")</f>
        <v>ID </v>
      </c>
    </row>
    <row r="2890">
      <c r="A2890" s="6" t="str">
        <f>IFERROR(__xludf.DUMMYFUNCTION("""COMPUTED_VALUE"""),"")</f>
        <v/>
      </c>
      <c r="C2890" t="str">
        <f>IFERROR(__xludf.DUMMYFUNCTION("""COMPUTED_VALUE"""),"")</f>
        <v/>
      </c>
      <c r="D2890" t="str">
        <f>IFERROR(__xludf.DUMMYFUNCTION("""COMPUTED_VALUE"""),"")</f>
        <v/>
      </c>
      <c r="E2890" t="str">
        <f>IFERROR(__xludf.DUMMYFUNCTION("""COMPUTED_VALUE"""),"")</f>
        <v/>
      </c>
      <c r="F2890" t="str">
        <f>IFERROR(__xludf.DUMMYFUNCTION("""COMPUTED_VALUE"""),"")</f>
        <v/>
      </c>
      <c r="G2890" t="str">
        <f>IFERROR(__xludf.DUMMYFUNCTION("""COMPUTED_VALUE"""),"")</f>
        <v/>
      </c>
      <c r="H2890" s="2" t="str">
        <f>IFERROR(__xludf.DUMMYFUNCTION("""COMPUTED_VALUE"""),"")</f>
        <v/>
      </c>
      <c r="I2890" s="2" t="str">
        <f>IFERROR(__xludf.DUMMYFUNCTION("""COMPUTED_VALUE"""),"")</f>
        <v/>
      </c>
      <c r="J2890" s="2">
        <f>IFERROR(__xludf.DUMMYFUNCTION("""COMPUTED_VALUE"""),0.0)</f>
        <v>0</v>
      </c>
      <c r="K2890" s="5" t="str">
        <f>IFERROR(__xludf.DUMMYFUNCTION("""COMPUTED_VALUE"""),"")</f>
        <v/>
      </c>
      <c r="L2890" t="str">
        <f>IFERROR(__xludf.DUMMYFUNCTION("""COMPUTED_VALUE"""),"")</f>
        <v/>
      </c>
      <c r="M2890" t="str">
        <f>IFERROR(__xludf.DUMMYFUNCTION("""COMPUTED_VALUE"""),"")</f>
        <v/>
      </c>
      <c r="N2890" t="str">
        <f>IFERROR(__xludf.DUMMYFUNCTION("""COMPUTED_VALUE"""),"")</f>
        <v/>
      </c>
      <c r="O2890" t="str">
        <f>IFERROR(__xludf.DUMMYFUNCTION("""COMPUTED_VALUE"""),"")</f>
        <v/>
      </c>
      <c r="P2890" t="str">
        <f>IFERROR(__xludf.DUMMYFUNCTION("""COMPUTED_VALUE"""),"ID ")</f>
        <v>ID </v>
      </c>
    </row>
    <row r="2891">
      <c r="A2891" s="6" t="str">
        <f>IFERROR(__xludf.DUMMYFUNCTION("""COMPUTED_VALUE"""),"")</f>
        <v/>
      </c>
      <c r="C2891" t="str">
        <f>IFERROR(__xludf.DUMMYFUNCTION("""COMPUTED_VALUE"""),"")</f>
        <v/>
      </c>
      <c r="D2891" t="str">
        <f>IFERROR(__xludf.DUMMYFUNCTION("""COMPUTED_VALUE"""),"")</f>
        <v/>
      </c>
      <c r="E2891" t="str">
        <f>IFERROR(__xludf.DUMMYFUNCTION("""COMPUTED_VALUE"""),"")</f>
        <v/>
      </c>
      <c r="F2891" t="str">
        <f>IFERROR(__xludf.DUMMYFUNCTION("""COMPUTED_VALUE"""),"")</f>
        <v/>
      </c>
      <c r="G2891" t="str">
        <f>IFERROR(__xludf.DUMMYFUNCTION("""COMPUTED_VALUE"""),"")</f>
        <v/>
      </c>
      <c r="H2891" s="2" t="str">
        <f>IFERROR(__xludf.DUMMYFUNCTION("""COMPUTED_VALUE"""),"")</f>
        <v/>
      </c>
      <c r="I2891" s="2" t="str">
        <f>IFERROR(__xludf.DUMMYFUNCTION("""COMPUTED_VALUE"""),"")</f>
        <v/>
      </c>
      <c r="J2891" s="2">
        <f>IFERROR(__xludf.DUMMYFUNCTION("""COMPUTED_VALUE"""),0.0)</f>
        <v>0</v>
      </c>
      <c r="K2891" s="5" t="str">
        <f>IFERROR(__xludf.DUMMYFUNCTION("""COMPUTED_VALUE"""),"")</f>
        <v/>
      </c>
      <c r="L2891" t="str">
        <f>IFERROR(__xludf.DUMMYFUNCTION("""COMPUTED_VALUE"""),"")</f>
        <v/>
      </c>
      <c r="M2891" t="str">
        <f>IFERROR(__xludf.DUMMYFUNCTION("""COMPUTED_VALUE"""),"")</f>
        <v/>
      </c>
      <c r="N2891" t="str">
        <f>IFERROR(__xludf.DUMMYFUNCTION("""COMPUTED_VALUE"""),"")</f>
        <v/>
      </c>
      <c r="O2891" t="str">
        <f>IFERROR(__xludf.DUMMYFUNCTION("""COMPUTED_VALUE"""),"")</f>
        <v/>
      </c>
      <c r="P2891" t="str">
        <f>IFERROR(__xludf.DUMMYFUNCTION("""COMPUTED_VALUE"""),"ID ")</f>
        <v>ID </v>
      </c>
    </row>
    <row r="2892">
      <c r="A2892" s="6" t="str">
        <f>IFERROR(__xludf.DUMMYFUNCTION("""COMPUTED_VALUE"""),"")</f>
        <v/>
      </c>
      <c r="C2892" t="str">
        <f>IFERROR(__xludf.DUMMYFUNCTION("""COMPUTED_VALUE"""),"")</f>
        <v/>
      </c>
      <c r="D2892" t="str">
        <f>IFERROR(__xludf.DUMMYFUNCTION("""COMPUTED_VALUE"""),"")</f>
        <v/>
      </c>
      <c r="E2892" t="str">
        <f>IFERROR(__xludf.DUMMYFUNCTION("""COMPUTED_VALUE"""),"")</f>
        <v/>
      </c>
      <c r="F2892" t="str">
        <f>IFERROR(__xludf.DUMMYFUNCTION("""COMPUTED_VALUE"""),"")</f>
        <v/>
      </c>
      <c r="G2892" t="str">
        <f>IFERROR(__xludf.DUMMYFUNCTION("""COMPUTED_VALUE"""),"")</f>
        <v/>
      </c>
      <c r="H2892" s="2" t="str">
        <f>IFERROR(__xludf.DUMMYFUNCTION("""COMPUTED_VALUE"""),"")</f>
        <v/>
      </c>
      <c r="I2892" s="2" t="str">
        <f>IFERROR(__xludf.DUMMYFUNCTION("""COMPUTED_VALUE"""),"")</f>
        <v/>
      </c>
      <c r="J2892" s="2">
        <f>IFERROR(__xludf.DUMMYFUNCTION("""COMPUTED_VALUE"""),0.0)</f>
        <v>0</v>
      </c>
      <c r="K2892" s="5" t="str">
        <f>IFERROR(__xludf.DUMMYFUNCTION("""COMPUTED_VALUE"""),"")</f>
        <v/>
      </c>
      <c r="L2892" t="str">
        <f>IFERROR(__xludf.DUMMYFUNCTION("""COMPUTED_VALUE"""),"")</f>
        <v/>
      </c>
      <c r="M2892" t="str">
        <f>IFERROR(__xludf.DUMMYFUNCTION("""COMPUTED_VALUE"""),"")</f>
        <v/>
      </c>
      <c r="N2892" t="str">
        <f>IFERROR(__xludf.DUMMYFUNCTION("""COMPUTED_VALUE"""),"")</f>
        <v/>
      </c>
      <c r="O2892" t="str">
        <f>IFERROR(__xludf.DUMMYFUNCTION("""COMPUTED_VALUE"""),"")</f>
        <v/>
      </c>
      <c r="P2892" t="str">
        <f>IFERROR(__xludf.DUMMYFUNCTION("""COMPUTED_VALUE"""),"ID ")</f>
        <v>ID </v>
      </c>
    </row>
    <row r="2893">
      <c r="A2893" s="6" t="str">
        <f>IFERROR(__xludf.DUMMYFUNCTION("""COMPUTED_VALUE"""),"")</f>
        <v/>
      </c>
      <c r="C2893" t="str">
        <f>IFERROR(__xludf.DUMMYFUNCTION("""COMPUTED_VALUE"""),"")</f>
        <v/>
      </c>
      <c r="D2893" t="str">
        <f>IFERROR(__xludf.DUMMYFUNCTION("""COMPUTED_VALUE"""),"")</f>
        <v/>
      </c>
      <c r="E2893" t="str">
        <f>IFERROR(__xludf.DUMMYFUNCTION("""COMPUTED_VALUE"""),"")</f>
        <v/>
      </c>
      <c r="F2893" t="str">
        <f>IFERROR(__xludf.DUMMYFUNCTION("""COMPUTED_VALUE"""),"")</f>
        <v/>
      </c>
      <c r="G2893" t="str">
        <f>IFERROR(__xludf.DUMMYFUNCTION("""COMPUTED_VALUE"""),"")</f>
        <v/>
      </c>
      <c r="H2893" s="2" t="str">
        <f>IFERROR(__xludf.DUMMYFUNCTION("""COMPUTED_VALUE"""),"")</f>
        <v/>
      </c>
      <c r="I2893" s="2" t="str">
        <f>IFERROR(__xludf.DUMMYFUNCTION("""COMPUTED_VALUE"""),"")</f>
        <v/>
      </c>
      <c r="J2893" s="2">
        <f>IFERROR(__xludf.DUMMYFUNCTION("""COMPUTED_VALUE"""),0.0)</f>
        <v>0</v>
      </c>
      <c r="K2893" s="5" t="str">
        <f>IFERROR(__xludf.DUMMYFUNCTION("""COMPUTED_VALUE"""),"")</f>
        <v/>
      </c>
      <c r="L2893" t="str">
        <f>IFERROR(__xludf.DUMMYFUNCTION("""COMPUTED_VALUE"""),"")</f>
        <v/>
      </c>
      <c r="M2893" t="str">
        <f>IFERROR(__xludf.DUMMYFUNCTION("""COMPUTED_VALUE"""),"")</f>
        <v/>
      </c>
      <c r="N2893" t="str">
        <f>IFERROR(__xludf.DUMMYFUNCTION("""COMPUTED_VALUE"""),"")</f>
        <v/>
      </c>
      <c r="O2893" t="str">
        <f>IFERROR(__xludf.DUMMYFUNCTION("""COMPUTED_VALUE"""),"")</f>
        <v/>
      </c>
      <c r="P2893" t="str">
        <f>IFERROR(__xludf.DUMMYFUNCTION("""COMPUTED_VALUE"""),"ID ")</f>
        <v>ID </v>
      </c>
    </row>
    <row r="2894">
      <c r="A2894" s="6" t="str">
        <f>IFERROR(__xludf.DUMMYFUNCTION("""COMPUTED_VALUE"""),"")</f>
        <v/>
      </c>
      <c r="C2894" t="str">
        <f>IFERROR(__xludf.DUMMYFUNCTION("""COMPUTED_VALUE"""),"")</f>
        <v/>
      </c>
      <c r="D2894" t="str">
        <f>IFERROR(__xludf.DUMMYFUNCTION("""COMPUTED_VALUE"""),"")</f>
        <v/>
      </c>
      <c r="E2894" t="str">
        <f>IFERROR(__xludf.DUMMYFUNCTION("""COMPUTED_VALUE"""),"")</f>
        <v/>
      </c>
      <c r="F2894" t="str">
        <f>IFERROR(__xludf.DUMMYFUNCTION("""COMPUTED_VALUE"""),"")</f>
        <v/>
      </c>
      <c r="G2894" t="str">
        <f>IFERROR(__xludf.DUMMYFUNCTION("""COMPUTED_VALUE"""),"")</f>
        <v/>
      </c>
      <c r="H2894" s="2" t="str">
        <f>IFERROR(__xludf.DUMMYFUNCTION("""COMPUTED_VALUE"""),"")</f>
        <v/>
      </c>
      <c r="I2894" s="2" t="str">
        <f>IFERROR(__xludf.DUMMYFUNCTION("""COMPUTED_VALUE"""),"")</f>
        <v/>
      </c>
      <c r="J2894" s="2">
        <f>IFERROR(__xludf.DUMMYFUNCTION("""COMPUTED_VALUE"""),0.0)</f>
        <v>0</v>
      </c>
      <c r="K2894" s="5" t="str">
        <f>IFERROR(__xludf.DUMMYFUNCTION("""COMPUTED_VALUE"""),"")</f>
        <v/>
      </c>
      <c r="L2894" t="str">
        <f>IFERROR(__xludf.DUMMYFUNCTION("""COMPUTED_VALUE"""),"")</f>
        <v/>
      </c>
      <c r="M2894" t="str">
        <f>IFERROR(__xludf.DUMMYFUNCTION("""COMPUTED_VALUE"""),"")</f>
        <v/>
      </c>
      <c r="N2894" t="str">
        <f>IFERROR(__xludf.DUMMYFUNCTION("""COMPUTED_VALUE"""),"")</f>
        <v/>
      </c>
      <c r="O2894" t="str">
        <f>IFERROR(__xludf.DUMMYFUNCTION("""COMPUTED_VALUE"""),"")</f>
        <v/>
      </c>
      <c r="P2894" t="str">
        <f>IFERROR(__xludf.DUMMYFUNCTION("""COMPUTED_VALUE"""),"ID ")</f>
        <v>ID </v>
      </c>
    </row>
    <row r="2895">
      <c r="A2895" s="6" t="str">
        <f>IFERROR(__xludf.DUMMYFUNCTION("""COMPUTED_VALUE"""),"")</f>
        <v/>
      </c>
      <c r="C2895" t="str">
        <f>IFERROR(__xludf.DUMMYFUNCTION("""COMPUTED_VALUE"""),"")</f>
        <v/>
      </c>
      <c r="D2895" t="str">
        <f>IFERROR(__xludf.DUMMYFUNCTION("""COMPUTED_VALUE"""),"")</f>
        <v/>
      </c>
      <c r="E2895" t="str">
        <f>IFERROR(__xludf.DUMMYFUNCTION("""COMPUTED_VALUE"""),"")</f>
        <v/>
      </c>
      <c r="F2895" t="str">
        <f>IFERROR(__xludf.DUMMYFUNCTION("""COMPUTED_VALUE"""),"")</f>
        <v/>
      </c>
      <c r="G2895" t="str">
        <f>IFERROR(__xludf.DUMMYFUNCTION("""COMPUTED_VALUE"""),"")</f>
        <v/>
      </c>
      <c r="H2895" s="2" t="str">
        <f>IFERROR(__xludf.DUMMYFUNCTION("""COMPUTED_VALUE"""),"")</f>
        <v/>
      </c>
      <c r="I2895" s="2" t="str">
        <f>IFERROR(__xludf.DUMMYFUNCTION("""COMPUTED_VALUE"""),"")</f>
        <v/>
      </c>
      <c r="J2895" s="2">
        <f>IFERROR(__xludf.DUMMYFUNCTION("""COMPUTED_VALUE"""),0.0)</f>
        <v>0</v>
      </c>
      <c r="K2895" s="5" t="str">
        <f>IFERROR(__xludf.DUMMYFUNCTION("""COMPUTED_VALUE"""),"")</f>
        <v/>
      </c>
      <c r="L2895" t="str">
        <f>IFERROR(__xludf.DUMMYFUNCTION("""COMPUTED_VALUE"""),"")</f>
        <v/>
      </c>
      <c r="M2895" t="str">
        <f>IFERROR(__xludf.DUMMYFUNCTION("""COMPUTED_VALUE"""),"")</f>
        <v/>
      </c>
      <c r="N2895" t="str">
        <f>IFERROR(__xludf.DUMMYFUNCTION("""COMPUTED_VALUE"""),"")</f>
        <v/>
      </c>
      <c r="O2895" t="str">
        <f>IFERROR(__xludf.DUMMYFUNCTION("""COMPUTED_VALUE"""),"")</f>
        <v/>
      </c>
      <c r="P2895" t="str">
        <f>IFERROR(__xludf.DUMMYFUNCTION("""COMPUTED_VALUE"""),"ID ")</f>
        <v>ID </v>
      </c>
    </row>
    <row r="2896">
      <c r="A2896" s="6" t="str">
        <f>IFERROR(__xludf.DUMMYFUNCTION("""COMPUTED_VALUE"""),"")</f>
        <v/>
      </c>
      <c r="C2896" t="str">
        <f>IFERROR(__xludf.DUMMYFUNCTION("""COMPUTED_VALUE"""),"")</f>
        <v/>
      </c>
      <c r="D2896" t="str">
        <f>IFERROR(__xludf.DUMMYFUNCTION("""COMPUTED_VALUE"""),"")</f>
        <v/>
      </c>
      <c r="E2896" t="str">
        <f>IFERROR(__xludf.DUMMYFUNCTION("""COMPUTED_VALUE"""),"")</f>
        <v/>
      </c>
      <c r="F2896" t="str">
        <f>IFERROR(__xludf.DUMMYFUNCTION("""COMPUTED_VALUE"""),"")</f>
        <v/>
      </c>
      <c r="G2896" t="str">
        <f>IFERROR(__xludf.DUMMYFUNCTION("""COMPUTED_VALUE"""),"")</f>
        <v/>
      </c>
      <c r="H2896" s="2" t="str">
        <f>IFERROR(__xludf.DUMMYFUNCTION("""COMPUTED_VALUE"""),"")</f>
        <v/>
      </c>
      <c r="I2896" s="2" t="str">
        <f>IFERROR(__xludf.DUMMYFUNCTION("""COMPUTED_VALUE"""),"")</f>
        <v/>
      </c>
      <c r="J2896" s="2">
        <f>IFERROR(__xludf.DUMMYFUNCTION("""COMPUTED_VALUE"""),0.0)</f>
        <v>0</v>
      </c>
      <c r="K2896" s="5" t="str">
        <f>IFERROR(__xludf.DUMMYFUNCTION("""COMPUTED_VALUE"""),"")</f>
        <v/>
      </c>
      <c r="L2896" t="str">
        <f>IFERROR(__xludf.DUMMYFUNCTION("""COMPUTED_VALUE"""),"")</f>
        <v/>
      </c>
      <c r="M2896" t="str">
        <f>IFERROR(__xludf.DUMMYFUNCTION("""COMPUTED_VALUE"""),"")</f>
        <v/>
      </c>
      <c r="N2896" t="str">
        <f>IFERROR(__xludf.DUMMYFUNCTION("""COMPUTED_VALUE"""),"")</f>
        <v/>
      </c>
      <c r="O2896" t="str">
        <f>IFERROR(__xludf.DUMMYFUNCTION("""COMPUTED_VALUE"""),"")</f>
        <v/>
      </c>
      <c r="P2896" t="str">
        <f>IFERROR(__xludf.DUMMYFUNCTION("""COMPUTED_VALUE"""),"ID ")</f>
        <v>ID </v>
      </c>
    </row>
    <row r="2897">
      <c r="A2897" s="6" t="str">
        <f>IFERROR(__xludf.DUMMYFUNCTION("""COMPUTED_VALUE"""),"")</f>
        <v/>
      </c>
      <c r="C2897" t="str">
        <f>IFERROR(__xludf.DUMMYFUNCTION("""COMPUTED_VALUE"""),"")</f>
        <v/>
      </c>
      <c r="D2897" t="str">
        <f>IFERROR(__xludf.DUMMYFUNCTION("""COMPUTED_VALUE"""),"")</f>
        <v/>
      </c>
      <c r="E2897" t="str">
        <f>IFERROR(__xludf.DUMMYFUNCTION("""COMPUTED_VALUE"""),"")</f>
        <v/>
      </c>
      <c r="F2897" t="str">
        <f>IFERROR(__xludf.DUMMYFUNCTION("""COMPUTED_VALUE"""),"")</f>
        <v/>
      </c>
      <c r="G2897" t="str">
        <f>IFERROR(__xludf.DUMMYFUNCTION("""COMPUTED_VALUE"""),"")</f>
        <v/>
      </c>
      <c r="H2897" s="2" t="str">
        <f>IFERROR(__xludf.DUMMYFUNCTION("""COMPUTED_VALUE"""),"")</f>
        <v/>
      </c>
      <c r="I2897" s="2" t="str">
        <f>IFERROR(__xludf.DUMMYFUNCTION("""COMPUTED_VALUE"""),"")</f>
        <v/>
      </c>
      <c r="J2897" s="2">
        <f>IFERROR(__xludf.DUMMYFUNCTION("""COMPUTED_VALUE"""),0.0)</f>
        <v>0</v>
      </c>
      <c r="K2897" s="5" t="str">
        <f>IFERROR(__xludf.DUMMYFUNCTION("""COMPUTED_VALUE"""),"")</f>
        <v/>
      </c>
      <c r="L2897" t="str">
        <f>IFERROR(__xludf.DUMMYFUNCTION("""COMPUTED_VALUE"""),"")</f>
        <v/>
      </c>
      <c r="M2897" t="str">
        <f>IFERROR(__xludf.DUMMYFUNCTION("""COMPUTED_VALUE"""),"")</f>
        <v/>
      </c>
      <c r="N2897" t="str">
        <f>IFERROR(__xludf.DUMMYFUNCTION("""COMPUTED_VALUE"""),"")</f>
        <v/>
      </c>
      <c r="O2897" t="str">
        <f>IFERROR(__xludf.DUMMYFUNCTION("""COMPUTED_VALUE"""),"")</f>
        <v/>
      </c>
      <c r="P2897" t="str">
        <f>IFERROR(__xludf.DUMMYFUNCTION("""COMPUTED_VALUE"""),"ID ")</f>
        <v>ID </v>
      </c>
    </row>
    <row r="2898">
      <c r="A2898" s="6" t="str">
        <f>IFERROR(__xludf.DUMMYFUNCTION("""COMPUTED_VALUE"""),"")</f>
        <v/>
      </c>
      <c r="C2898" t="str">
        <f>IFERROR(__xludf.DUMMYFUNCTION("""COMPUTED_VALUE"""),"")</f>
        <v/>
      </c>
      <c r="D2898" t="str">
        <f>IFERROR(__xludf.DUMMYFUNCTION("""COMPUTED_VALUE"""),"")</f>
        <v/>
      </c>
      <c r="E2898" t="str">
        <f>IFERROR(__xludf.DUMMYFUNCTION("""COMPUTED_VALUE"""),"")</f>
        <v/>
      </c>
      <c r="F2898" t="str">
        <f>IFERROR(__xludf.DUMMYFUNCTION("""COMPUTED_VALUE"""),"")</f>
        <v/>
      </c>
      <c r="G2898" t="str">
        <f>IFERROR(__xludf.DUMMYFUNCTION("""COMPUTED_VALUE"""),"")</f>
        <v/>
      </c>
      <c r="H2898" s="2" t="str">
        <f>IFERROR(__xludf.DUMMYFUNCTION("""COMPUTED_VALUE"""),"")</f>
        <v/>
      </c>
      <c r="I2898" s="2" t="str">
        <f>IFERROR(__xludf.DUMMYFUNCTION("""COMPUTED_VALUE"""),"")</f>
        <v/>
      </c>
      <c r="J2898" s="2">
        <f>IFERROR(__xludf.DUMMYFUNCTION("""COMPUTED_VALUE"""),0.0)</f>
        <v>0</v>
      </c>
      <c r="K2898" s="5" t="str">
        <f>IFERROR(__xludf.DUMMYFUNCTION("""COMPUTED_VALUE"""),"")</f>
        <v/>
      </c>
      <c r="L2898" t="str">
        <f>IFERROR(__xludf.DUMMYFUNCTION("""COMPUTED_VALUE"""),"")</f>
        <v/>
      </c>
      <c r="M2898" t="str">
        <f>IFERROR(__xludf.DUMMYFUNCTION("""COMPUTED_VALUE"""),"")</f>
        <v/>
      </c>
      <c r="N2898" t="str">
        <f>IFERROR(__xludf.DUMMYFUNCTION("""COMPUTED_VALUE"""),"")</f>
        <v/>
      </c>
      <c r="O2898" t="str">
        <f>IFERROR(__xludf.DUMMYFUNCTION("""COMPUTED_VALUE"""),"")</f>
        <v/>
      </c>
      <c r="P2898" t="str">
        <f>IFERROR(__xludf.DUMMYFUNCTION("""COMPUTED_VALUE"""),"ID ")</f>
        <v>ID </v>
      </c>
    </row>
    <row r="2899">
      <c r="A2899" s="6" t="str">
        <f>IFERROR(__xludf.DUMMYFUNCTION("""COMPUTED_VALUE"""),"")</f>
        <v/>
      </c>
      <c r="C2899" t="str">
        <f>IFERROR(__xludf.DUMMYFUNCTION("""COMPUTED_VALUE"""),"")</f>
        <v/>
      </c>
      <c r="D2899" t="str">
        <f>IFERROR(__xludf.DUMMYFUNCTION("""COMPUTED_VALUE"""),"")</f>
        <v/>
      </c>
      <c r="E2899" t="str">
        <f>IFERROR(__xludf.DUMMYFUNCTION("""COMPUTED_VALUE"""),"")</f>
        <v/>
      </c>
      <c r="F2899" t="str">
        <f>IFERROR(__xludf.DUMMYFUNCTION("""COMPUTED_VALUE"""),"")</f>
        <v/>
      </c>
      <c r="G2899" t="str">
        <f>IFERROR(__xludf.DUMMYFUNCTION("""COMPUTED_VALUE"""),"")</f>
        <v/>
      </c>
      <c r="H2899" s="2" t="str">
        <f>IFERROR(__xludf.DUMMYFUNCTION("""COMPUTED_VALUE"""),"")</f>
        <v/>
      </c>
      <c r="I2899" s="2" t="str">
        <f>IFERROR(__xludf.DUMMYFUNCTION("""COMPUTED_VALUE"""),"")</f>
        <v/>
      </c>
      <c r="J2899" s="2">
        <f>IFERROR(__xludf.DUMMYFUNCTION("""COMPUTED_VALUE"""),0.0)</f>
        <v>0</v>
      </c>
      <c r="K2899" s="5" t="str">
        <f>IFERROR(__xludf.DUMMYFUNCTION("""COMPUTED_VALUE"""),"")</f>
        <v/>
      </c>
      <c r="L2899" t="str">
        <f>IFERROR(__xludf.DUMMYFUNCTION("""COMPUTED_VALUE"""),"")</f>
        <v/>
      </c>
      <c r="M2899" t="str">
        <f>IFERROR(__xludf.DUMMYFUNCTION("""COMPUTED_VALUE"""),"")</f>
        <v/>
      </c>
      <c r="N2899" t="str">
        <f>IFERROR(__xludf.DUMMYFUNCTION("""COMPUTED_VALUE"""),"")</f>
        <v/>
      </c>
      <c r="O2899" t="str">
        <f>IFERROR(__xludf.DUMMYFUNCTION("""COMPUTED_VALUE"""),"")</f>
        <v/>
      </c>
      <c r="P2899" t="str">
        <f>IFERROR(__xludf.DUMMYFUNCTION("""COMPUTED_VALUE"""),"ID ")</f>
        <v>ID </v>
      </c>
    </row>
    <row r="2900">
      <c r="A2900" s="6" t="str">
        <f>IFERROR(__xludf.DUMMYFUNCTION("""COMPUTED_VALUE"""),"")</f>
        <v/>
      </c>
      <c r="C2900" t="str">
        <f>IFERROR(__xludf.DUMMYFUNCTION("""COMPUTED_VALUE"""),"")</f>
        <v/>
      </c>
      <c r="D2900" t="str">
        <f>IFERROR(__xludf.DUMMYFUNCTION("""COMPUTED_VALUE"""),"")</f>
        <v/>
      </c>
      <c r="E2900" t="str">
        <f>IFERROR(__xludf.DUMMYFUNCTION("""COMPUTED_VALUE"""),"")</f>
        <v/>
      </c>
      <c r="F2900" t="str">
        <f>IFERROR(__xludf.DUMMYFUNCTION("""COMPUTED_VALUE"""),"")</f>
        <v/>
      </c>
      <c r="G2900" t="str">
        <f>IFERROR(__xludf.DUMMYFUNCTION("""COMPUTED_VALUE"""),"")</f>
        <v/>
      </c>
      <c r="H2900" s="2" t="str">
        <f>IFERROR(__xludf.DUMMYFUNCTION("""COMPUTED_VALUE"""),"")</f>
        <v/>
      </c>
      <c r="I2900" s="2" t="str">
        <f>IFERROR(__xludf.DUMMYFUNCTION("""COMPUTED_VALUE"""),"")</f>
        <v/>
      </c>
      <c r="J2900" s="2">
        <f>IFERROR(__xludf.DUMMYFUNCTION("""COMPUTED_VALUE"""),0.0)</f>
        <v>0</v>
      </c>
      <c r="K2900" s="5" t="str">
        <f>IFERROR(__xludf.DUMMYFUNCTION("""COMPUTED_VALUE"""),"")</f>
        <v/>
      </c>
      <c r="L2900" t="str">
        <f>IFERROR(__xludf.DUMMYFUNCTION("""COMPUTED_VALUE"""),"")</f>
        <v/>
      </c>
      <c r="M2900" t="str">
        <f>IFERROR(__xludf.DUMMYFUNCTION("""COMPUTED_VALUE"""),"")</f>
        <v/>
      </c>
      <c r="N2900" t="str">
        <f>IFERROR(__xludf.DUMMYFUNCTION("""COMPUTED_VALUE"""),"")</f>
        <v/>
      </c>
      <c r="O2900" t="str">
        <f>IFERROR(__xludf.DUMMYFUNCTION("""COMPUTED_VALUE"""),"")</f>
        <v/>
      </c>
      <c r="P2900" t="str">
        <f>IFERROR(__xludf.DUMMYFUNCTION("""COMPUTED_VALUE"""),"ID ")</f>
        <v>ID </v>
      </c>
    </row>
    <row r="2901">
      <c r="A2901" s="6" t="str">
        <f>IFERROR(__xludf.DUMMYFUNCTION("""COMPUTED_VALUE"""),"")</f>
        <v/>
      </c>
      <c r="C2901" t="str">
        <f>IFERROR(__xludf.DUMMYFUNCTION("""COMPUTED_VALUE"""),"")</f>
        <v/>
      </c>
      <c r="D2901" t="str">
        <f>IFERROR(__xludf.DUMMYFUNCTION("""COMPUTED_VALUE"""),"")</f>
        <v/>
      </c>
      <c r="E2901" t="str">
        <f>IFERROR(__xludf.DUMMYFUNCTION("""COMPUTED_VALUE"""),"")</f>
        <v/>
      </c>
      <c r="F2901" t="str">
        <f>IFERROR(__xludf.DUMMYFUNCTION("""COMPUTED_VALUE"""),"")</f>
        <v/>
      </c>
      <c r="G2901" t="str">
        <f>IFERROR(__xludf.DUMMYFUNCTION("""COMPUTED_VALUE"""),"")</f>
        <v/>
      </c>
      <c r="H2901" s="2" t="str">
        <f>IFERROR(__xludf.DUMMYFUNCTION("""COMPUTED_VALUE"""),"")</f>
        <v/>
      </c>
      <c r="I2901" s="2" t="str">
        <f>IFERROR(__xludf.DUMMYFUNCTION("""COMPUTED_VALUE"""),"")</f>
        <v/>
      </c>
      <c r="J2901" s="2">
        <f>IFERROR(__xludf.DUMMYFUNCTION("""COMPUTED_VALUE"""),0.0)</f>
        <v>0</v>
      </c>
      <c r="K2901" s="5" t="str">
        <f>IFERROR(__xludf.DUMMYFUNCTION("""COMPUTED_VALUE"""),"")</f>
        <v/>
      </c>
      <c r="L2901" t="str">
        <f>IFERROR(__xludf.DUMMYFUNCTION("""COMPUTED_VALUE"""),"")</f>
        <v/>
      </c>
      <c r="M2901" t="str">
        <f>IFERROR(__xludf.DUMMYFUNCTION("""COMPUTED_VALUE"""),"")</f>
        <v/>
      </c>
      <c r="N2901" t="str">
        <f>IFERROR(__xludf.DUMMYFUNCTION("""COMPUTED_VALUE"""),"")</f>
        <v/>
      </c>
      <c r="O2901" t="str">
        <f>IFERROR(__xludf.DUMMYFUNCTION("""COMPUTED_VALUE"""),"")</f>
        <v/>
      </c>
      <c r="P2901" t="str">
        <f>IFERROR(__xludf.DUMMYFUNCTION("""COMPUTED_VALUE"""),"ID ")</f>
        <v>ID </v>
      </c>
    </row>
    <row r="2902">
      <c r="A2902" s="6" t="str">
        <f>IFERROR(__xludf.DUMMYFUNCTION("""COMPUTED_VALUE"""),"")</f>
        <v/>
      </c>
      <c r="C2902" t="str">
        <f>IFERROR(__xludf.DUMMYFUNCTION("""COMPUTED_VALUE"""),"")</f>
        <v/>
      </c>
      <c r="D2902" t="str">
        <f>IFERROR(__xludf.DUMMYFUNCTION("""COMPUTED_VALUE"""),"")</f>
        <v/>
      </c>
      <c r="E2902" t="str">
        <f>IFERROR(__xludf.DUMMYFUNCTION("""COMPUTED_VALUE"""),"")</f>
        <v/>
      </c>
      <c r="F2902" t="str">
        <f>IFERROR(__xludf.DUMMYFUNCTION("""COMPUTED_VALUE"""),"")</f>
        <v/>
      </c>
      <c r="G2902" t="str">
        <f>IFERROR(__xludf.DUMMYFUNCTION("""COMPUTED_VALUE"""),"")</f>
        <v/>
      </c>
      <c r="H2902" s="2" t="str">
        <f>IFERROR(__xludf.DUMMYFUNCTION("""COMPUTED_VALUE"""),"")</f>
        <v/>
      </c>
      <c r="I2902" s="2" t="str">
        <f>IFERROR(__xludf.DUMMYFUNCTION("""COMPUTED_VALUE"""),"")</f>
        <v/>
      </c>
      <c r="J2902" s="2">
        <f>IFERROR(__xludf.DUMMYFUNCTION("""COMPUTED_VALUE"""),0.0)</f>
        <v>0</v>
      </c>
      <c r="K2902" s="5" t="str">
        <f>IFERROR(__xludf.DUMMYFUNCTION("""COMPUTED_VALUE"""),"")</f>
        <v/>
      </c>
      <c r="L2902" t="str">
        <f>IFERROR(__xludf.DUMMYFUNCTION("""COMPUTED_VALUE"""),"")</f>
        <v/>
      </c>
      <c r="M2902" t="str">
        <f>IFERROR(__xludf.DUMMYFUNCTION("""COMPUTED_VALUE"""),"")</f>
        <v/>
      </c>
      <c r="N2902" t="str">
        <f>IFERROR(__xludf.DUMMYFUNCTION("""COMPUTED_VALUE"""),"")</f>
        <v/>
      </c>
      <c r="O2902" t="str">
        <f>IFERROR(__xludf.DUMMYFUNCTION("""COMPUTED_VALUE"""),"")</f>
        <v/>
      </c>
      <c r="P2902" t="str">
        <f>IFERROR(__xludf.DUMMYFUNCTION("""COMPUTED_VALUE"""),"ID ")</f>
        <v>ID </v>
      </c>
    </row>
    <row r="2903">
      <c r="A2903" s="6" t="str">
        <f>IFERROR(__xludf.DUMMYFUNCTION("""COMPUTED_VALUE"""),"")</f>
        <v/>
      </c>
      <c r="C2903" t="str">
        <f>IFERROR(__xludf.DUMMYFUNCTION("""COMPUTED_VALUE"""),"")</f>
        <v/>
      </c>
      <c r="D2903" t="str">
        <f>IFERROR(__xludf.DUMMYFUNCTION("""COMPUTED_VALUE"""),"")</f>
        <v/>
      </c>
      <c r="E2903" t="str">
        <f>IFERROR(__xludf.DUMMYFUNCTION("""COMPUTED_VALUE"""),"")</f>
        <v/>
      </c>
      <c r="F2903" t="str">
        <f>IFERROR(__xludf.DUMMYFUNCTION("""COMPUTED_VALUE"""),"")</f>
        <v/>
      </c>
      <c r="G2903" t="str">
        <f>IFERROR(__xludf.DUMMYFUNCTION("""COMPUTED_VALUE"""),"")</f>
        <v/>
      </c>
      <c r="H2903" s="2" t="str">
        <f>IFERROR(__xludf.DUMMYFUNCTION("""COMPUTED_VALUE"""),"")</f>
        <v/>
      </c>
      <c r="I2903" s="2" t="str">
        <f>IFERROR(__xludf.DUMMYFUNCTION("""COMPUTED_VALUE"""),"")</f>
        <v/>
      </c>
      <c r="J2903" s="2">
        <f>IFERROR(__xludf.DUMMYFUNCTION("""COMPUTED_VALUE"""),0.0)</f>
        <v>0</v>
      </c>
      <c r="K2903" s="5" t="str">
        <f>IFERROR(__xludf.DUMMYFUNCTION("""COMPUTED_VALUE"""),"")</f>
        <v/>
      </c>
      <c r="L2903" t="str">
        <f>IFERROR(__xludf.DUMMYFUNCTION("""COMPUTED_VALUE"""),"")</f>
        <v/>
      </c>
      <c r="M2903" t="str">
        <f>IFERROR(__xludf.DUMMYFUNCTION("""COMPUTED_VALUE"""),"")</f>
        <v/>
      </c>
      <c r="N2903" t="str">
        <f>IFERROR(__xludf.DUMMYFUNCTION("""COMPUTED_VALUE"""),"")</f>
        <v/>
      </c>
      <c r="O2903" t="str">
        <f>IFERROR(__xludf.DUMMYFUNCTION("""COMPUTED_VALUE"""),"")</f>
        <v/>
      </c>
      <c r="P2903" t="str">
        <f>IFERROR(__xludf.DUMMYFUNCTION("""COMPUTED_VALUE"""),"ID ")</f>
        <v>ID </v>
      </c>
    </row>
    <row r="2904">
      <c r="A2904" s="6" t="str">
        <f>IFERROR(__xludf.DUMMYFUNCTION("""COMPUTED_VALUE"""),"")</f>
        <v/>
      </c>
      <c r="C2904" t="str">
        <f>IFERROR(__xludf.DUMMYFUNCTION("""COMPUTED_VALUE"""),"")</f>
        <v/>
      </c>
      <c r="D2904" t="str">
        <f>IFERROR(__xludf.DUMMYFUNCTION("""COMPUTED_VALUE"""),"")</f>
        <v/>
      </c>
      <c r="E2904" t="str">
        <f>IFERROR(__xludf.DUMMYFUNCTION("""COMPUTED_VALUE"""),"")</f>
        <v/>
      </c>
      <c r="F2904" t="str">
        <f>IFERROR(__xludf.DUMMYFUNCTION("""COMPUTED_VALUE"""),"")</f>
        <v/>
      </c>
      <c r="G2904" t="str">
        <f>IFERROR(__xludf.DUMMYFUNCTION("""COMPUTED_VALUE"""),"")</f>
        <v/>
      </c>
      <c r="H2904" s="2" t="str">
        <f>IFERROR(__xludf.DUMMYFUNCTION("""COMPUTED_VALUE"""),"")</f>
        <v/>
      </c>
      <c r="I2904" s="2" t="str">
        <f>IFERROR(__xludf.DUMMYFUNCTION("""COMPUTED_VALUE"""),"")</f>
        <v/>
      </c>
      <c r="J2904" s="2">
        <f>IFERROR(__xludf.DUMMYFUNCTION("""COMPUTED_VALUE"""),0.0)</f>
        <v>0</v>
      </c>
      <c r="K2904" s="5" t="str">
        <f>IFERROR(__xludf.DUMMYFUNCTION("""COMPUTED_VALUE"""),"")</f>
        <v/>
      </c>
      <c r="L2904" t="str">
        <f>IFERROR(__xludf.DUMMYFUNCTION("""COMPUTED_VALUE"""),"")</f>
        <v/>
      </c>
      <c r="M2904" t="str">
        <f>IFERROR(__xludf.DUMMYFUNCTION("""COMPUTED_VALUE"""),"")</f>
        <v/>
      </c>
      <c r="N2904" t="str">
        <f>IFERROR(__xludf.DUMMYFUNCTION("""COMPUTED_VALUE"""),"")</f>
        <v/>
      </c>
      <c r="O2904" t="str">
        <f>IFERROR(__xludf.DUMMYFUNCTION("""COMPUTED_VALUE"""),"")</f>
        <v/>
      </c>
      <c r="P2904" t="str">
        <f>IFERROR(__xludf.DUMMYFUNCTION("""COMPUTED_VALUE"""),"ID ")</f>
        <v>ID </v>
      </c>
    </row>
    <row r="2905">
      <c r="A2905" s="6" t="str">
        <f>IFERROR(__xludf.DUMMYFUNCTION("""COMPUTED_VALUE"""),"")</f>
        <v/>
      </c>
      <c r="C2905" t="str">
        <f>IFERROR(__xludf.DUMMYFUNCTION("""COMPUTED_VALUE"""),"")</f>
        <v/>
      </c>
      <c r="D2905" t="str">
        <f>IFERROR(__xludf.DUMMYFUNCTION("""COMPUTED_VALUE"""),"")</f>
        <v/>
      </c>
      <c r="E2905" t="str">
        <f>IFERROR(__xludf.DUMMYFUNCTION("""COMPUTED_VALUE"""),"")</f>
        <v/>
      </c>
      <c r="F2905" t="str">
        <f>IFERROR(__xludf.DUMMYFUNCTION("""COMPUTED_VALUE"""),"")</f>
        <v/>
      </c>
      <c r="G2905" t="str">
        <f>IFERROR(__xludf.DUMMYFUNCTION("""COMPUTED_VALUE"""),"")</f>
        <v/>
      </c>
      <c r="H2905" s="2" t="str">
        <f>IFERROR(__xludf.DUMMYFUNCTION("""COMPUTED_VALUE"""),"")</f>
        <v/>
      </c>
      <c r="I2905" s="2" t="str">
        <f>IFERROR(__xludf.DUMMYFUNCTION("""COMPUTED_VALUE"""),"")</f>
        <v/>
      </c>
      <c r="J2905" s="2">
        <f>IFERROR(__xludf.DUMMYFUNCTION("""COMPUTED_VALUE"""),0.0)</f>
        <v>0</v>
      </c>
      <c r="K2905" s="5" t="str">
        <f>IFERROR(__xludf.DUMMYFUNCTION("""COMPUTED_VALUE"""),"")</f>
        <v/>
      </c>
      <c r="L2905" t="str">
        <f>IFERROR(__xludf.DUMMYFUNCTION("""COMPUTED_VALUE"""),"")</f>
        <v/>
      </c>
      <c r="M2905" t="str">
        <f>IFERROR(__xludf.DUMMYFUNCTION("""COMPUTED_VALUE"""),"")</f>
        <v/>
      </c>
      <c r="N2905" t="str">
        <f>IFERROR(__xludf.DUMMYFUNCTION("""COMPUTED_VALUE"""),"")</f>
        <v/>
      </c>
      <c r="O2905" t="str">
        <f>IFERROR(__xludf.DUMMYFUNCTION("""COMPUTED_VALUE"""),"")</f>
        <v/>
      </c>
      <c r="P2905" t="str">
        <f>IFERROR(__xludf.DUMMYFUNCTION("""COMPUTED_VALUE"""),"ID ")</f>
        <v>ID </v>
      </c>
    </row>
    <row r="2906">
      <c r="A2906" s="6" t="str">
        <f>IFERROR(__xludf.DUMMYFUNCTION("""COMPUTED_VALUE"""),"")</f>
        <v/>
      </c>
      <c r="C2906" t="str">
        <f>IFERROR(__xludf.DUMMYFUNCTION("""COMPUTED_VALUE"""),"")</f>
        <v/>
      </c>
      <c r="D2906" t="str">
        <f>IFERROR(__xludf.DUMMYFUNCTION("""COMPUTED_VALUE"""),"")</f>
        <v/>
      </c>
      <c r="E2906" t="str">
        <f>IFERROR(__xludf.DUMMYFUNCTION("""COMPUTED_VALUE"""),"")</f>
        <v/>
      </c>
      <c r="F2906" t="str">
        <f>IFERROR(__xludf.DUMMYFUNCTION("""COMPUTED_VALUE"""),"")</f>
        <v/>
      </c>
      <c r="G2906" t="str">
        <f>IFERROR(__xludf.DUMMYFUNCTION("""COMPUTED_VALUE"""),"")</f>
        <v/>
      </c>
      <c r="H2906" s="2" t="str">
        <f>IFERROR(__xludf.DUMMYFUNCTION("""COMPUTED_VALUE"""),"")</f>
        <v/>
      </c>
      <c r="I2906" s="2" t="str">
        <f>IFERROR(__xludf.DUMMYFUNCTION("""COMPUTED_VALUE"""),"")</f>
        <v/>
      </c>
      <c r="J2906" s="2">
        <f>IFERROR(__xludf.DUMMYFUNCTION("""COMPUTED_VALUE"""),0.0)</f>
        <v>0</v>
      </c>
      <c r="K2906" s="5" t="str">
        <f>IFERROR(__xludf.DUMMYFUNCTION("""COMPUTED_VALUE"""),"")</f>
        <v/>
      </c>
      <c r="L2906" t="str">
        <f>IFERROR(__xludf.DUMMYFUNCTION("""COMPUTED_VALUE"""),"")</f>
        <v/>
      </c>
      <c r="M2906" t="str">
        <f>IFERROR(__xludf.DUMMYFUNCTION("""COMPUTED_VALUE"""),"")</f>
        <v/>
      </c>
      <c r="N2906" t="str">
        <f>IFERROR(__xludf.DUMMYFUNCTION("""COMPUTED_VALUE"""),"")</f>
        <v/>
      </c>
      <c r="O2906" t="str">
        <f>IFERROR(__xludf.DUMMYFUNCTION("""COMPUTED_VALUE"""),"")</f>
        <v/>
      </c>
      <c r="P2906" t="str">
        <f>IFERROR(__xludf.DUMMYFUNCTION("""COMPUTED_VALUE"""),"ID ")</f>
        <v>ID </v>
      </c>
    </row>
    <row r="2907">
      <c r="A2907" s="6" t="str">
        <f>IFERROR(__xludf.DUMMYFUNCTION("""COMPUTED_VALUE"""),"")</f>
        <v/>
      </c>
      <c r="C2907" t="str">
        <f>IFERROR(__xludf.DUMMYFUNCTION("""COMPUTED_VALUE"""),"")</f>
        <v/>
      </c>
      <c r="D2907" t="str">
        <f>IFERROR(__xludf.DUMMYFUNCTION("""COMPUTED_VALUE"""),"")</f>
        <v/>
      </c>
      <c r="E2907" t="str">
        <f>IFERROR(__xludf.DUMMYFUNCTION("""COMPUTED_VALUE"""),"")</f>
        <v/>
      </c>
      <c r="F2907" t="str">
        <f>IFERROR(__xludf.DUMMYFUNCTION("""COMPUTED_VALUE"""),"")</f>
        <v/>
      </c>
      <c r="G2907" t="str">
        <f>IFERROR(__xludf.DUMMYFUNCTION("""COMPUTED_VALUE"""),"")</f>
        <v/>
      </c>
      <c r="H2907" s="2" t="str">
        <f>IFERROR(__xludf.DUMMYFUNCTION("""COMPUTED_VALUE"""),"")</f>
        <v/>
      </c>
      <c r="I2907" s="2" t="str">
        <f>IFERROR(__xludf.DUMMYFUNCTION("""COMPUTED_VALUE"""),"")</f>
        <v/>
      </c>
      <c r="J2907" s="2">
        <f>IFERROR(__xludf.DUMMYFUNCTION("""COMPUTED_VALUE"""),0.0)</f>
        <v>0</v>
      </c>
      <c r="K2907" s="5" t="str">
        <f>IFERROR(__xludf.DUMMYFUNCTION("""COMPUTED_VALUE"""),"")</f>
        <v/>
      </c>
      <c r="L2907" t="str">
        <f>IFERROR(__xludf.DUMMYFUNCTION("""COMPUTED_VALUE"""),"")</f>
        <v/>
      </c>
      <c r="M2907" t="str">
        <f>IFERROR(__xludf.DUMMYFUNCTION("""COMPUTED_VALUE"""),"")</f>
        <v/>
      </c>
      <c r="N2907" t="str">
        <f>IFERROR(__xludf.DUMMYFUNCTION("""COMPUTED_VALUE"""),"")</f>
        <v/>
      </c>
      <c r="O2907" t="str">
        <f>IFERROR(__xludf.DUMMYFUNCTION("""COMPUTED_VALUE"""),"")</f>
        <v/>
      </c>
      <c r="P2907" t="str">
        <f>IFERROR(__xludf.DUMMYFUNCTION("""COMPUTED_VALUE"""),"ID ")</f>
        <v>ID </v>
      </c>
    </row>
    <row r="2908">
      <c r="A2908" s="6" t="str">
        <f>IFERROR(__xludf.DUMMYFUNCTION("""COMPUTED_VALUE"""),"")</f>
        <v/>
      </c>
      <c r="C2908" t="str">
        <f>IFERROR(__xludf.DUMMYFUNCTION("""COMPUTED_VALUE"""),"")</f>
        <v/>
      </c>
      <c r="D2908" t="str">
        <f>IFERROR(__xludf.DUMMYFUNCTION("""COMPUTED_VALUE"""),"")</f>
        <v/>
      </c>
      <c r="E2908" t="str">
        <f>IFERROR(__xludf.DUMMYFUNCTION("""COMPUTED_VALUE"""),"")</f>
        <v/>
      </c>
      <c r="F2908" t="str">
        <f>IFERROR(__xludf.DUMMYFUNCTION("""COMPUTED_VALUE"""),"")</f>
        <v/>
      </c>
      <c r="G2908" t="str">
        <f>IFERROR(__xludf.DUMMYFUNCTION("""COMPUTED_VALUE"""),"")</f>
        <v/>
      </c>
      <c r="H2908" s="2" t="str">
        <f>IFERROR(__xludf.DUMMYFUNCTION("""COMPUTED_VALUE"""),"")</f>
        <v/>
      </c>
      <c r="I2908" s="2" t="str">
        <f>IFERROR(__xludf.DUMMYFUNCTION("""COMPUTED_VALUE"""),"")</f>
        <v/>
      </c>
      <c r="J2908" s="2">
        <f>IFERROR(__xludf.DUMMYFUNCTION("""COMPUTED_VALUE"""),0.0)</f>
        <v>0</v>
      </c>
      <c r="K2908" s="5" t="str">
        <f>IFERROR(__xludf.DUMMYFUNCTION("""COMPUTED_VALUE"""),"")</f>
        <v/>
      </c>
      <c r="L2908" t="str">
        <f>IFERROR(__xludf.DUMMYFUNCTION("""COMPUTED_VALUE"""),"")</f>
        <v/>
      </c>
      <c r="M2908" t="str">
        <f>IFERROR(__xludf.DUMMYFUNCTION("""COMPUTED_VALUE"""),"")</f>
        <v/>
      </c>
      <c r="N2908" t="str">
        <f>IFERROR(__xludf.DUMMYFUNCTION("""COMPUTED_VALUE"""),"")</f>
        <v/>
      </c>
      <c r="O2908" t="str">
        <f>IFERROR(__xludf.DUMMYFUNCTION("""COMPUTED_VALUE"""),"")</f>
        <v/>
      </c>
      <c r="P2908" t="str">
        <f>IFERROR(__xludf.DUMMYFUNCTION("""COMPUTED_VALUE"""),"ID ")</f>
        <v>ID </v>
      </c>
    </row>
    <row r="2909">
      <c r="A2909" s="6" t="str">
        <f>IFERROR(__xludf.DUMMYFUNCTION("""COMPUTED_VALUE"""),"")</f>
        <v/>
      </c>
      <c r="C2909" t="str">
        <f>IFERROR(__xludf.DUMMYFUNCTION("""COMPUTED_VALUE"""),"")</f>
        <v/>
      </c>
      <c r="D2909" t="str">
        <f>IFERROR(__xludf.DUMMYFUNCTION("""COMPUTED_VALUE"""),"")</f>
        <v/>
      </c>
      <c r="E2909" t="str">
        <f>IFERROR(__xludf.DUMMYFUNCTION("""COMPUTED_VALUE"""),"")</f>
        <v/>
      </c>
      <c r="F2909" t="str">
        <f>IFERROR(__xludf.DUMMYFUNCTION("""COMPUTED_VALUE"""),"")</f>
        <v/>
      </c>
      <c r="G2909" t="str">
        <f>IFERROR(__xludf.DUMMYFUNCTION("""COMPUTED_VALUE"""),"")</f>
        <v/>
      </c>
      <c r="H2909" s="2" t="str">
        <f>IFERROR(__xludf.DUMMYFUNCTION("""COMPUTED_VALUE"""),"")</f>
        <v/>
      </c>
      <c r="I2909" s="2" t="str">
        <f>IFERROR(__xludf.DUMMYFUNCTION("""COMPUTED_VALUE"""),"")</f>
        <v/>
      </c>
      <c r="J2909" s="2">
        <f>IFERROR(__xludf.DUMMYFUNCTION("""COMPUTED_VALUE"""),0.0)</f>
        <v>0</v>
      </c>
      <c r="K2909" s="5" t="str">
        <f>IFERROR(__xludf.DUMMYFUNCTION("""COMPUTED_VALUE"""),"")</f>
        <v/>
      </c>
      <c r="L2909" t="str">
        <f>IFERROR(__xludf.DUMMYFUNCTION("""COMPUTED_VALUE"""),"")</f>
        <v/>
      </c>
      <c r="M2909" t="str">
        <f>IFERROR(__xludf.DUMMYFUNCTION("""COMPUTED_VALUE"""),"")</f>
        <v/>
      </c>
      <c r="N2909" t="str">
        <f>IFERROR(__xludf.DUMMYFUNCTION("""COMPUTED_VALUE"""),"")</f>
        <v/>
      </c>
      <c r="O2909" t="str">
        <f>IFERROR(__xludf.DUMMYFUNCTION("""COMPUTED_VALUE"""),"")</f>
        <v/>
      </c>
      <c r="P2909" t="str">
        <f>IFERROR(__xludf.DUMMYFUNCTION("""COMPUTED_VALUE"""),"ID ")</f>
        <v>ID </v>
      </c>
    </row>
    <row r="2910">
      <c r="A2910" s="6" t="str">
        <f>IFERROR(__xludf.DUMMYFUNCTION("""COMPUTED_VALUE"""),"")</f>
        <v/>
      </c>
      <c r="C2910" t="str">
        <f>IFERROR(__xludf.DUMMYFUNCTION("""COMPUTED_VALUE"""),"")</f>
        <v/>
      </c>
      <c r="D2910" t="str">
        <f>IFERROR(__xludf.DUMMYFUNCTION("""COMPUTED_VALUE"""),"")</f>
        <v/>
      </c>
      <c r="E2910" t="str">
        <f>IFERROR(__xludf.DUMMYFUNCTION("""COMPUTED_VALUE"""),"")</f>
        <v/>
      </c>
      <c r="F2910" t="str">
        <f>IFERROR(__xludf.DUMMYFUNCTION("""COMPUTED_VALUE"""),"")</f>
        <v/>
      </c>
      <c r="G2910" t="str">
        <f>IFERROR(__xludf.DUMMYFUNCTION("""COMPUTED_VALUE"""),"")</f>
        <v/>
      </c>
      <c r="H2910" s="2" t="str">
        <f>IFERROR(__xludf.DUMMYFUNCTION("""COMPUTED_VALUE"""),"")</f>
        <v/>
      </c>
      <c r="I2910" s="2" t="str">
        <f>IFERROR(__xludf.DUMMYFUNCTION("""COMPUTED_VALUE"""),"")</f>
        <v/>
      </c>
      <c r="J2910" s="2">
        <f>IFERROR(__xludf.DUMMYFUNCTION("""COMPUTED_VALUE"""),0.0)</f>
        <v>0</v>
      </c>
      <c r="K2910" s="5" t="str">
        <f>IFERROR(__xludf.DUMMYFUNCTION("""COMPUTED_VALUE"""),"")</f>
        <v/>
      </c>
      <c r="L2910" t="str">
        <f>IFERROR(__xludf.DUMMYFUNCTION("""COMPUTED_VALUE"""),"")</f>
        <v/>
      </c>
      <c r="M2910" t="str">
        <f>IFERROR(__xludf.DUMMYFUNCTION("""COMPUTED_VALUE"""),"")</f>
        <v/>
      </c>
      <c r="N2910" t="str">
        <f>IFERROR(__xludf.DUMMYFUNCTION("""COMPUTED_VALUE"""),"")</f>
        <v/>
      </c>
      <c r="O2910" t="str">
        <f>IFERROR(__xludf.DUMMYFUNCTION("""COMPUTED_VALUE"""),"")</f>
        <v/>
      </c>
      <c r="P2910" t="str">
        <f>IFERROR(__xludf.DUMMYFUNCTION("""COMPUTED_VALUE"""),"ID ")</f>
        <v>ID </v>
      </c>
    </row>
    <row r="2911">
      <c r="A2911" s="6" t="str">
        <f>IFERROR(__xludf.DUMMYFUNCTION("""COMPUTED_VALUE"""),"")</f>
        <v/>
      </c>
      <c r="C2911" t="str">
        <f>IFERROR(__xludf.DUMMYFUNCTION("""COMPUTED_VALUE"""),"")</f>
        <v/>
      </c>
      <c r="D2911" t="str">
        <f>IFERROR(__xludf.DUMMYFUNCTION("""COMPUTED_VALUE"""),"")</f>
        <v/>
      </c>
      <c r="E2911" t="str">
        <f>IFERROR(__xludf.DUMMYFUNCTION("""COMPUTED_VALUE"""),"")</f>
        <v/>
      </c>
      <c r="F2911" t="str">
        <f>IFERROR(__xludf.DUMMYFUNCTION("""COMPUTED_VALUE"""),"")</f>
        <v/>
      </c>
      <c r="G2911" t="str">
        <f>IFERROR(__xludf.DUMMYFUNCTION("""COMPUTED_VALUE"""),"")</f>
        <v/>
      </c>
      <c r="H2911" s="2" t="str">
        <f>IFERROR(__xludf.DUMMYFUNCTION("""COMPUTED_VALUE"""),"")</f>
        <v/>
      </c>
      <c r="I2911" s="2" t="str">
        <f>IFERROR(__xludf.DUMMYFUNCTION("""COMPUTED_VALUE"""),"")</f>
        <v/>
      </c>
      <c r="J2911" s="2">
        <f>IFERROR(__xludf.DUMMYFUNCTION("""COMPUTED_VALUE"""),0.0)</f>
        <v>0</v>
      </c>
      <c r="K2911" s="5" t="str">
        <f>IFERROR(__xludf.DUMMYFUNCTION("""COMPUTED_VALUE"""),"")</f>
        <v/>
      </c>
      <c r="L2911" t="str">
        <f>IFERROR(__xludf.DUMMYFUNCTION("""COMPUTED_VALUE"""),"")</f>
        <v/>
      </c>
      <c r="M2911" t="str">
        <f>IFERROR(__xludf.DUMMYFUNCTION("""COMPUTED_VALUE"""),"")</f>
        <v/>
      </c>
      <c r="N2911" t="str">
        <f>IFERROR(__xludf.DUMMYFUNCTION("""COMPUTED_VALUE"""),"")</f>
        <v/>
      </c>
      <c r="O2911" t="str">
        <f>IFERROR(__xludf.DUMMYFUNCTION("""COMPUTED_VALUE"""),"")</f>
        <v/>
      </c>
      <c r="P2911" t="str">
        <f>IFERROR(__xludf.DUMMYFUNCTION("""COMPUTED_VALUE"""),"ID ")</f>
        <v>ID </v>
      </c>
    </row>
    <row r="2912">
      <c r="A2912" s="6" t="str">
        <f>IFERROR(__xludf.DUMMYFUNCTION("""COMPUTED_VALUE"""),"")</f>
        <v/>
      </c>
      <c r="C2912" t="str">
        <f>IFERROR(__xludf.DUMMYFUNCTION("""COMPUTED_VALUE"""),"")</f>
        <v/>
      </c>
      <c r="D2912" t="str">
        <f>IFERROR(__xludf.DUMMYFUNCTION("""COMPUTED_VALUE"""),"")</f>
        <v/>
      </c>
      <c r="E2912" t="str">
        <f>IFERROR(__xludf.DUMMYFUNCTION("""COMPUTED_VALUE"""),"")</f>
        <v/>
      </c>
      <c r="F2912" t="str">
        <f>IFERROR(__xludf.DUMMYFUNCTION("""COMPUTED_VALUE"""),"")</f>
        <v/>
      </c>
      <c r="G2912" t="str">
        <f>IFERROR(__xludf.DUMMYFUNCTION("""COMPUTED_VALUE"""),"")</f>
        <v/>
      </c>
      <c r="H2912" s="2" t="str">
        <f>IFERROR(__xludf.DUMMYFUNCTION("""COMPUTED_VALUE"""),"")</f>
        <v/>
      </c>
      <c r="I2912" s="2" t="str">
        <f>IFERROR(__xludf.DUMMYFUNCTION("""COMPUTED_VALUE"""),"")</f>
        <v/>
      </c>
      <c r="J2912" s="2">
        <f>IFERROR(__xludf.DUMMYFUNCTION("""COMPUTED_VALUE"""),0.0)</f>
        <v>0</v>
      </c>
      <c r="K2912" s="5" t="str">
        <f>IFERROR(__xludf.DUMMYFUNCTION("""COMPUTED_VALUE"""),"")</f>
        <v/>
      </c>
      <c r="L2912" t="str">
        <f>IFERROR(__xludf.DUMMYFUNCTION("""COMPUTED_VALUE"""),"")</f>
        <v/>
      </c>
      <c r="M2912" t="str">
        <f>IFERROR(__xludf.DUMMYFUNCTION("""COMPUTED_VALUE"""),"")</f>
        <v/>
      </c>
      <c r="N2912" t="str">
        <f>IFERROR(__xludf.DUMMYFUNCTION("""COMPUTED_VALUE"""),"")</f>
        <v/>
      </c>
      <c r="O2912" t="str">
        <f>IFERROR(__xludf.DUMMYFUNCTION("""COMPUTED_VALUE"""),"")</f>
        <v/>
      </c>
      <c r="P2912" t="str">
        <f>IFERROR(__xludf.DUMMYFUNCTION("""COMPUTED_VALUE"""),"ID ")</f>
        <v>ID </v>
      </c>
    </row>
    <row r="2913">
      <c r="A2913" s="6" t="str">
        <f>IFERROR(__xludf.DUMMYFUNCTION("""COMPUTED_VALUE"""),"")</f>
        <v/>
      </c>
      <c r="C2913" t="str">
        <f>IFERROR(__xludf.DUMMYFUNCTION("""COMPUTED_VALUE"""),"")</f>
        <v/>
      </c>
      <c r="D2913" t="str">
        <f>IFERROR(__xludf.DUMMYFUNCTION("""COMPUTED_VALUE"""),"")</f>
        <v/>
      </c>
      <c r="E2913" t="str">
        <f>IFERROR(__xludf.DUMMYFUNCTION("""COMPUTED_VALUE"""),"")</f>
        <v/>
      </c>
      <c r="F2913" t="str">
        <f>IFERROR(__xludf.DUMMYFUNCTION("""COMPUTED_VALUE"""),"")</f>
        <v/>
      </c>
      <c r="G2913" t="str">
        <f>IFERROR(__xludf.DUMMYFUNCTION("""COMPUTED_VALUE"""),"")</f>
        <v/>
      </c>
      <c r="H2913" s="2" t="str">
        <f>IFERROR(__xludf.DUMMYFUNCTION("""COMPUTED_VALUE"""),"")</f>
        <v/>
      </c>
      <c r="I2913" s="2" t="str">
        <f>IFERROR(__xludf.DUMMYFUNCTION("""COMPUTED_VALUE"""),"")</f>
        <v/>
      </c>
      <c r="J2913" s="2">
        <f>IFERROR(__xludf.DUMMYFUNCTION("""COMPUTED_VALUE"""),0.0)</f>
        <v>0</v>
      </c>
      <c r="K2913" s="5" t="str">
        <f>IFERROR(__xludf.DUMMYFUNCTION("""COMPUTED_VALUE"""),"")</f>
        <v/>
      </c>
      <c r="L2913" t="str">
        <f>IFERROR(__xludf.DUMMYFUNCTION("""COMPUTED_VALUE"""),"")</f>
        <v/>
      </c>
      <c r="M2913" t="str">
        <f>IFERROR(__xludf.DUMMYFUNCTION("""COMPUTED_VALUE"""),"")</f>
        <v/>
      </c>
      <c r="N2913" t="str">
        <f>IFERROR(__xludf.DUMMYFUNCTION("""COMPUTED_VALUE"""),"")</f>
        <v/>
      </c>
      <c r="O2913" t="str">
        <f>IFERROR(__xludf.DUMMYFUNCTION("""COMPUTED_VALUE"""),"")</f>
        <v/>
      </c>
      <c r="P2913" t="str">
        <f>IFERROR(__xludf.DUMMYFUNCTION("""COMPUTED_VALUE"""),"ID ")</f>
        <v>ID </v>
      </c>
    </row>
    <row r="2914">
      <c r="A2914" s="6" t="str">
        <f>IFERROR(__xludf.DUMMYFUNCTION("""COMPUTED_VALUE"""),"")</f>
        <v/>
      </c>
      <c r="C2914" t="str">
        <f>IFERROR(__xludf.DUMMYFUNCTION("""COMPUTED_VALUE"""),"")</f>
        <v/>
      </c>
      <c r="D2914" t="str">
        <f>IFERROR(__xludf.DUMMYFUNCTION("""COMPUTED_VALUE"""),"")</f>
        <v/>
      </c>
      <c r="E2914" t="str">
        <f>IFERROR(__xludf.DUMMYFUNCTION("""COMPUTED_VALUE"""),"")</f>
        <v/>
      </c>
      <c r="F2914" t="str">
        <f>IFERROR(__xludf.DUMMYFUNCTION("""COMPUTED_VALUE"""),"")</f>
        <v/>
      </c>
      <c r="G2914" t="str">
        <f>IFERROR(__xludf.DUMMYFUNCTION("""COMPUTED_VALUE"""),"")</f>
        <v/>
      </c>
      <c r="H2914" s="2" t="str">
        <f>IFERROR(__xludf.DUMMYFUNCTION("""COMPUTED_VALUE"""),"")</f>
        <v/>
      </c>
      <c r="I2914" s="2" t="str">
        <f>IFERROR(__xludf.DUMMYFUNCTION("""COMPUTED_VALUE"""),"")</f>
        <v/>
      </c>
      <c r="J2914" s="2">
        <f>IFERROR(__xludf.DUMMYFUNCTION("""COMPUTED_VALUE"""),0.0)</f>
        <v>0</v>
      </c>
      <c r="K2914" s="5" t="str">
        <f>IFERROR(__xludf.DUMMYFUNCTION("""COMPUTED_VALUE"""),"")</f>
        <v/>
      </c>
      <c r="L2914" t="str">
        <f>IFERROR(__xludf.DUMMYFUNCTION("""COMPUTED_VALUE"""),"")</f>
        <v/>
      </c>
      <c r="M2914" t="str">
        <f>IFERROR(__xludf.DUMMYFUNCTION("""COMPUTED_VALUE"""),"")</f>
        <v/>
      </c>
      <c r="N2914" t="str">
        <f>IFERROR(__xludf.DUMMYFUNCTION("""COMPUTED_VALUE"""),"")</f>
        <v/>
      </c>
      <c r="O2914" t="str">
        <f>IFERROR(__xludf.DUMMYFUNCTION("""COMPUTED_VALUE"""),"")</f>
        <v/>
      </c>
      <c r="P2914" t="str">
        <f>IFERROR(__xludf.DUMMYFUNCTION("""COMPUTED_VALUE"""),"ID ")</f>
        <v>ID </v>
      </c>
    </row>
    <row r="2915">
      <c r="A2915" s="6" t="str">
        <f>IFERROR(__xludf.DUMMYFUNCTION("""COMPUTED_VALUE"""),"")</f>
        <v/>
      </c>
      <c r="C2915" t="str">
        <f>IFERROR(__xludf.DUMMYFUNCTION("""COMPUTED_VALUE"""),"")</f>
        <v/>
      </c>
      <c r="D2915" t="str">
        <f>IFERROR(__xludf.DUMMYFUNCTION("""COMPUTED_VALUE"""),"")</f>
        <v/>
      </c>
      <c r="E2915" t="str">
        <f>IFERROR(__xludf.DUMMYFUNCTION("""COMPUTED_VALUE"""),"")</f>
        <v/>
      </c>
      <c r="F2915" t="str">
        <f>IFERROR(__xludf.DUMMYFUNCTION("""COMPUTED_VALUE"""),"")</f>
        <v/>
      </c>
      <c r="G2915" t="str">
        <f>IFERROR(__xludf.DUMMYFUNCTION("""COMPUTED_VALUE"""),"")</f>
        <v/>
      </c>
      <c r="H2915" s="2" t="str">
        <f>IFERROR(__xludf.DUMMYFUNCTION("""COMPUTED_VALUE"""),"")</f>
        <v/>
      </c>
      <c r="I2915" s="2" t="str">
        <f>IFERROR(__xludf.DUMMYFUNCTION("""COMPUTED_VALUE"""),"")</f>
        <v/>
      </c>
      <c r="J2915" s="2">
        <f>IFERROR(__xludf.DUMMYFUNCTION("""COMPUTED_VALUE"""),0.0)</f>
        <v>0</v>
      </c>
      <c r="K2915" s="5" t="str">
        <f>IFERROR(__xludf.DUMMYFUNCTION("""COMPUTED_VALUE"""),"")</f>
        <v/>
      </c>
      <c r="L2915" t="str">
        <f>IFERROR(__xludf.DUMMYFUNCTION("""COMPUTED_VALUE"""),"")</f>
        <v/>
      </c>
      <c r="M2915" t="str">
        <f>IFERROR(__xludf.DUMMYFUNCTION("""COMPUTED_VALUE"""),"")</f>
        <v/>
      </c>
      <c r="N2915" t="str">
        <f>IFERROR(__xludf.DUMMYFUNCTION("""COMPUTED_VALUE"""),"")</f>
        <v/>
      </c>
      <c r="O2915" t="str">
        <f>IFERROR(__xludf.DUMMYFUNCTION("""COMPUTED_VALUE"""),"")</f>
        <v/>
      </c>
      <c r="P2915" t="str">
        <f>IFERROR(__xludf.DUMMYFUNCTION("""COMPUTED_VALUE"""),"ID ")</f>
        <v>ID </v>
      </c>
    </row>
    <row r="2916">
      <c r="A2916" s="6" t="str">
        <f>IFERROR(__xludf.DUMMYFUNCTION("""COMPUTED_VALUE"""),"")</f>
        <v/>
      </c>
      <c r="C2916" t="str">
        <f>IFERROR(__xludf.DUMMYFUNCTION("""COMPUTED_VALUE"""),"")</f>
        <v/>
      </c>
      <c r="D2916" t="str">
        <f>IFERROR(__xludf.DUMMYFUNCTION("""COMPUTED_VALUE"""),"")</f>
        <v/>
      </c>
      <c r="E2916" t="str">
        <f>IFERROR(__xludf.DUMMYFUNCTION("""COMPUTED_VALUE"""),"")</f>
        <v/>
      </c>
      <c r="F2916" t="str">
        <f>IFERROR(__xludf.DUMMYFUNCTION("""COMPUTED_VALUE"""),"")</f>
        <v/>
      </c>
      <c r="G2916" t="str">
        <f>IFERROR(__xludf.DUMMYFUNCTION("""COMPUTED_VALUE"""),"")</f>
        <v/>
      </c>
      <c r="H2916" s="2" t="str">
        <f>IFERROR(__xludf.DUMMYFUNCTION("""COMPUTED_VALUE"""),"")</f>
        <v/>
      </c>
      <c r="I2916" s="2" t="str">
        <f>IFERROR(__xludf.DUMMYFUNCTION("""COMPUTED_VALUE"""),"")</f>
        <v/>
      </c>
      <c r="J2916" s="2">
        <f>IFERROR(__xludf.DUMMYFUNCTION("""COMPUTED_VALUE"""),0.0)</f>
        <v>0</v>
      </c>
      <c r="K2916" s="5" t="str">
        <f>IFERROR(__xludf.DUMMYFUNCTION("""COMPUTED_VALUE"""),"")</f>
        <v/>
      </c>
      <c r="L2916" t="str">
        <f>IFERROR(__xludf.DUMMYFUNCTION("""COMPUTED_VALUE"""),"")</f>
        <v/>
      </c>
      <c r="M2916" t="str">
        <f>IFERROR(__xludf.DUMMYFUNCTION("""COMPUTED_VALUE"""),"")</f>
        <v/>
      </c>
      <c r="N2916" t="str">
        <f>IFERROR(__xludf.DUMMYFUNCTION("""COMPUTED_VALUE"""),"")</f>
        <v/>
      </c>
      <c r="O2916" t="str">
        <f>IFERROR(__xludf.DUMMYFUNCTION("""COMPUTED_VALUE"""),"")</f>
        <v/>
      </c>
      <c r="P2916" t="str">
        <f>IFERROR(__xludf.DUMMYFUNCTION("""COMPUTED_VALUE"""),"ID ")</f>
        <v>ID </v>
      </c>
    </row>
    <row r="2917">
      <c r="A2917" s="6" t="str">
        <f>IFERROR(__xludf.DUMMYFUNCTION("""COMPUTED_VALUE"""),"")</f>
        <v/>
      </c>
      <c r="C2917" t="str">
        <f>IFERROR(__xludf.DUMMYFUNCTION("""COMPUTED_VALUE"""),"")</f>
        <v/>
      </c>
      <c r="D2917" t="str">
        <f>IFERROR(__xludf.DUMMYFUNCTION("""COMPUTED_VALUE"""),"")</f>
        <v/>
      </c>
      <c r="E2917" t="str">
        <f>IFERROR(__xludf.DUMMYFUNCTION("""COMPUTED_VALUE"""),"")</f>
        <v/>
      </c>
      <c r="F2917" t="str">
        <f>IFERROR(__xludf.DUMMYFUNCTION("""COMPUTED_VALUE"""),"")</f>
        <v/>
      </c>
      <c r="G2917" t="str">
        <f>IFERROR(__xludf.DUMMYFUNCTION("""COMPUTED_VALUE"""),"")</f>
        <v/>
      </c>
      <c r="H2917" s="2" t="str">
        <f>IFERROR(__xludf.DUMMYFUNCTION("""COMPUTED_VALUE"""),"")</f>
        <v/>
      </c>
      <c r="I2917" s="2" t="str">
        <f>IFERROR(__xludf.DUMMYFUNCTION("""COMPUTED_VALUE"""),"")</f>
        <v/>
      </c>
      <c r="J2917" s="2">
        <f>IFERROR(__xludf.DUMMYFUNCTION("""COMPUTED_VALUE"""),0.0)</f>
        <v>0</v>
      </c>
      <c r="K2917" s="5" t="str">
        <f>IFERROR(__xludf.DUMMYFUNCTION("""COMPUTED_VALUE"""),"")</f>
        <v/>
      </c>
      <c r="L2917" t="str">
        <f>IFERROR(__xludf.DUMMYFUNCTION("""COMPUTED_VALUE"""),"")</f>
        <v/>
      </c>
      <c r="M2917" t="str">
        <f>IFERROR(__xludf.DUMMYFUNCTION("""COMPUTED_VALUE"""),"")</f>
        <v/>
      </c>
      <c r="N2917" t="str">
        <f>IFERROR(__xludf.DUMMYFUNCTION("""COMPUTED_VALUE"""),"")</f>
        <v/>
      </c>
      <c r="O2917" t="str">
        <f>IFERROR(__xludf.DUMMYFUNCTION("""COMPUTED_VALUE"""),"")</f>
        <v/>
      </c>
      <c r="P2917" t="str">
        <f>IFERROR(__xludf.DUMMYFUNCTION("""COMPUTED_VALUE"""),"ID ")</f>
        <v>ID </v>
      </c>
    </row>
    <row r="2918">
      <c r="A2918" s="6" t="str">
        <f>IFERROR(__xludf.DUMMYFUNCTION("""COMPUTED_VALUE"""),"")</f>
        <v/>
      </c>
      <c r="C2918" t="str">
        <f>IFERROR(__xludf.DUMMYFUNCTION("""COMPUTED_VALUE"""),"")</f>
        <v/>
      </c>
      <c r="D2918" t="str">
        <f>IFERROR(__xludf.DUMMYFUNCTION("""COMPUTED_VALUE"""),"")</f>
        <v/>
      </c>
      <c r="E2918" t="str">
        <f>IFERROR(__xludf.DUMMYFUNCTION("""COMPUTED_VALUE"""),"")</f>
        <v/>
      </c>
      <c r="F2918" t="str">
        <f>IFERROR(__xludf.DUMMYFUNCTION("""COMPUTED_VALUE"""),"")</f>
        <v/>
      </c>
      <c r="G2918" t="str">
        <f>IFERROR(__xludf.DUMMYFUNCTION("""COMPUTED_VALUE"""),"")</f>
        <v/>
      </c>
      <c r="H2918" s="2" t="str">
        <f>IFERROR(__xludf.DUMMYFUNCTION("""COMPUTED_VALUE"""),"")</f>
        <v/>
      </c>
      <c r="I2918" s="2" t="str">
        <f>IFERROR(__xludf.DUMMYFUNCTION("""COMPUTED_VALUE"""),"")</f>
        <v/>
      </c>
      <c r="J2918" s="2">
        <f>IFERROR(__xludf.DUMMYFUNCTION("""COMPUTED_VALUE"""),0.0)</f>
        <v>0</v>
      </c>
      <c r="K2918" s="5" t="str">
        <f>IFERROR(__xludf.DUMMYFUNCTION("""COMPUTED_VALUE"""),"")</f>
        <v/>
      </c>
      <c r="L2918" t="str">
        <f>IFERROR(__xludf.DUMMYFUNCTION("""COMPUTED_VALUE"""),"")</f>
        <v/>
      </c>
      <c r="M2918" t="str">
        <f>IFERROR(__xludf.DUMMYFUNCTION("""COMPUTED_VALUE"""),"")</f>
        <v/>
      </c>
      <c r="N2918" t="str">
        <f>IFERROR(__xludf.DUMMYFUNCTION("""COMPUTED_VALUE"""),"")</f>
        <v/>
      </c>
      <c r="O2918" t="str">
        <f>IFERROR(__xludf.DUMMYFUNCTION("""COMPUTED_VALUE"""),"")</f>
        <v/>
      </c>
      <c r="P2918" t="str">
        <f>IFERROR(__xludf.DUMMYFUNCTION("""COMPUTED_VALUE"""),"ID ")</f>
        <v>ID </v>
      </c>
    </row>
    <row r="2919">
      <c r="A2919" s="6" t="str">
        <f>IFERROR(__xludf.DUMMYFUNCTION("""COMPUTED_VALUE"""),"")</f>
        <v/>
      </c>
      <c r="C2919" t="str">
        <f>IFERROR(__xludf.DUMMYFUNCTION("""COMPUTED_VALUE"""),"")</f>
        <v/>
      </c>
      <c r="D2919" t="str">
        <f>IFERROR(__xludf.DUMMYFUNCTION("""COMPUTED_VALUE"""),"")</f>
        <v/>
      </c>
      <c r="E2919" t="str">
        <f>IFERROR(__xludf.DUMMYFUNCTION("""COMPUTED_VALUE"""),"")</f>
        <v/>
      </c>
      <c r="F2919" t="str">
        <f>IFERROR(__xludf.DUMMYFUNCTION("""COMPUTED_VALUE"""),"")</f>
        <v/>
      </c>
      <c r="G2919" t="str">
        <f>IFERROR(__xludf.DUMMYFUNCTION("""COMPUTED_VALUE"""),"")</f>
        <v/>
      </c>
      <c r="H2919" s="2" t="str">
        <f>IFERROR(__xludf.DUMMYFUNCTION("""COMPUTED_VALUE"""),"")</f>
        <v/>
      </c>
      <c r="I2919" s="2" t="str">
        <f>IFERROR(__xludf.DUMMYFUNCTION("""COMPUTED_VALUE"""),"")</f>
        <v/>
      </c>
      <c r="J2919" s="2">
        <f>IFERROR(__xludf.DUMMYFUNCTION("""COMPUTED_VALUE"""),0.0)</f>
        <v>0</v>
      </c>
      <c r="K2919" s="5" t="str">
        <f>IFERROR(__xludf.DUMMYFUNCTION("""COMPUTED_VALUE"""),"")</f>
        <v/>
      </c>
      <c r="L2919" t="str">
        <f>IFERROR(__xludf.DUMMYFUNCTION("""COMPUTED_VALUE"""),"")</f>
        <v/>
      </c>
      <c r="M2919" t="str">
        <f>IFERROR(__xludf.DUMMYFUNCTION("""COMPUTED_VALUE"""),"")</f>
        <v/>
      </c>
      <c r="N2919" t="str">
        <f>IFERROR(__xludf.DUMMYFUNCTION("""COMPUTED_VALUE"""),"")</f>
        <v/>
      </c>
      <c r="O2919" t="str">
        <f>IFERROR(__xludf.DUMMYFUNCTION("""COMPUTED_VALUE"""),"")</f>
        <v/>
      </c>
      <c r="P2919" t="str">
        <f>IFERROR(__xludf.DUMMYFUNCTION("""COMPUTED_VALUE"""),"ID ")</f>
        <v>ID </v>
      </c>
    </row>
    <row r="2920">
      <c r="A2920" s="6" t="str">
        <f>IFERROR(__xludf.DUMMYFUNCTION("""COMPUTED_VALUE"""),"")</f>
        <v/>
      </c>
      <c r="C2920" t="str">
        <f>IFERROR(__xludf.DUMMYFUNCTION("""COMPUTED_VALUE"""),"")</f>
        <v/>
      </c>
      <c r="D2920" t="str">
        <f>IFERROR(__xludf.DUMMYFUNCTION("""COMPUTED_VALUE"""),"")</f>
        <v/>
      </c>
      <c r="E2920" t="str">
        <f>IFERROR(__xludf.DUMMYFUNCTION("""COMPUTED_VALUE"""),"")</f>
        <v/>
      </c>
      <c r="F2920" t="str">
        <f>IFERROR(__xludf.DUMMYFUNCTION("""COMPUTED_VALUE"""),"")</f>
        <v/>
      </c>
      <c r="G2920" t="str">
        <f>IFERROR(__xludf.DUMMYFUNCTION("""COMPUTED_VALUE"""),"")</f>
        <v/>
      </c>
      <c r="H2920" s="2" t="str">
        <f>IFERROR(__xludf.DUMMYFUNCTION("""COMPUTED_VALUE"""),"")</f>
        <v/>
      </c>
      <c r="I2920" s="2" t="str">
        <f>IFERROR(__xludf.DUMMYFUNCTION("""COMPUTED_VALUE"""),"")</f>
        <v/>
      </c>
      <c r="J2920" s="2">
        <f>IFERROR(__xludf.DUMMYFUNCTION("""COMPUTED_VALUE"""),0.0)</f>
        <v>0</v>
      </c>
      <c r="K2920" s="5" t="str">
        <f>IFERROR(__xludf.DUMMYFUNCTION("""COMPUTED_VALUE"""),"")</f>
        <v/>
      </c>
      <c r="L2920" t="str">
        <f>IFERROR(__xludf.DUMMYFUNCTION("""COMPUTED_VALUE"""),"")</f>
        <v/>
      </c>
      <c r="M2920" t="str">
        <f>IFERROR(__xludf.DUMMYFUNCTION("""COMPUTED_VALUE"""),"")</f>
        <v/>
      </c>
      <c r="N2920" t="str">
        <f>IFERROR(__xludf.DUMMYFUNCTION("""COMPUTED_VALUE"""),"")</f>
        <v/>
      </c>
      <c r="O2920" t="str">
        <f>IFERROR(__xludf.DUMMYFUNCTION("""COMPUTED_VALUE"""),"")</f>
        <v/>
      </c>
      <c r="P2920" t="str">
        <f>IFERROR(__xludf.DUMMYFUNCTION("""COMPUTED_VALUE"""),"ID ")</f>
        <v>ID </v>
      </c>
    </row>
    <row r="2921">
      <c r="A2921" s="6" t="str">
        <f>IFERROR(__xludf.DUMMYFUNCTION("""COMPUTED_VALUE"""),"")</f>
        <v/>
      </c>
      <c r="C2921" t="str">
        <f>IFERROR(__xludf.DUMMYFUNCTION("""COMPUTED_VALUE"""),"")</f>
        <v/>
      </c>
      <c r="D2921" t="str">
        <f>IFERROR(__xludf.DUMMYFUNCTION("""COMPUTED_VALUE"""),"")</f>
        <v/>
      </c>
      <c r="E2921" t="str">
        <f>IFERROR(__xludf.DUMMYFUNCTION("""COMPUTED_VALUE"""),"")</f>
        <v/>
      </c>
      <c r="F2921" t="str">
        <f>IFERROR(__xludf.DUMMYFUNCTION("""COMPUTED_VALUE"""),"")</f>
        <v/>
      </c>
      <c r="G2921" t="str">
        <f>IFERROR(__xludf.DUMMYFUNCTION("""COMPUTED_VALUE"""),"")</f>
        <v/>
      </c>
      <c r="H2921" s="2" t="str">
        <f>IFERROR(__xludf.DUMMYFUNCTION("""COMPUTED_VALUE"""),"")</f>
        <v/>
      </c>
      <c r="I2921" s="2" t="str">
        <f>IFERROR(__xludf.DUMMYFUNCTION("""COMPUTED_VALUE"""),"")</f>
        <v/>
      </c>
      <c r="J2921" s="2">
        <f>IFERROR(__xludf.DUMMYFUNCTION("""COMPUTED_VALUE"""),0.0)</f>
        <v>0</v>
      </c>
      <c r="K2921" s="5" t="str">
        <f>IFERROR(__xludf.DUMMYFUNCTION("""COMPUTED_VALUE"""),"")</f>
        <v/>
      </c>
      <c r="L2921" t="str">
        <f>IFERROR(__xludf.DUMMYFUNCTION("""COMPUTED_VALUE"""),"")</f>
        <v/>
      </c>
      <c r="M2921" t="str">
        <f>IFERROR(__xludf.DUMMYFUNCTION("""COMPUTED_VALUE"""),"")</f>
        <v/>
      </c>
      <c r="N2921" t="str">
        <f>IFERROR(__xludf.DUMMYFUNCTION("""COMPUTED_VALUE"""),"")</f>
        <v/>
      </c>
      <c r="O2921" t="str">
        <f>IFERROR(__xludf.DUMMYFUNCTION("""COMPUTED_VALUE"""),"")</f>
        <v/>
      </c>
      <c r="P2921" t="str">
        <f>IFERROR(__xludf.DUMMYFUNCTION("""COMPUTED_VALUE"""),"ID ")</f>
        <v>ID </v>
      </c>
    </row>
    <row r="2922">
      <c r="A2922" s="6" t="str">
        <f>IFERROR(__xludf.DUMMYFUNCTION("""COMPUTED_VALUE"""),"")</f>
        <v/>
      </c>
      <c r="C2922" t="str">
        <f>IFERROR(__xludf.DUMMYFUNCTION("""COMPUTED_VALUE"""),"")</f>
        <v/>
      </c>
      <c r="D2922" t="str">
        <f>IFERROR(__xludf.DUMMYFUNCTION("""COMPUTED_VALUE"""),"")</f>
        <v/>
      </c>
      <c r="E2922" t="str">
        <f>IFERROR(__xludf.DUMMYFUNCTION("""COMPUTED_VALUE"""),"")</f>
        <v/>
      </c>
      <c r="F2922" t="str">
        <f>IFERROR(__xludf.DUMMYFUNCTION("""COMPUTED_VALUE"""),"")</f>
        <v/>
      </c>
      <c r="G2922" t="str">
        <f>IFERROR(__xludf.DUMMYFUNCTION("""COMPUTED_VALUE"""),"")</f>
        <v/>
      </c>
      <c r="H2922" s="2" t="str">
        <f>IFERROR(__xludf.DUMMYFUNCTION("""COMPUTED_VALUE"""),"")</f>
        <v/>
      </c>
      <c r="I2922" s="2" t="str">
        <f>IFERROR(__xludf.DUMMYFUNCTION("""COMPUTED_VALUE"""),"")</f>
        <v/>
      </c>
      <c r="J2922" s="2">
        <f>IFERROR(__xludf.DUMMYFUNCTION("""COMPUTED_VALUE"""),0.0)</f>
        <v>0</v>
      </c>
      <c r="K2922" s="5" t="str">
        <f>IFERROR(__xludf.DUMMYFUNCTION("""COMPUTED_VALUE"""),"")</f>
        <v/>
      </c>
      <c r="L2922" t="str">
        <f>IFERROR(__xludf.DUMMYFUNCTION("""COMPUTED_VALUE"""),"")</f>
        <v/>
      </c>
      <c r="M2922" t="str">
        <f>IFERROR(__xludf.DUMMYFUNCTION("""COMPUTED_VALUE"""),"")</f>
        <v/>
      </c>
      <c r="N2922" t="str">
        <f>IFERROR(__xludf.DUMMYFUNCTION("""COMPUTED_VALUE"""),"")</f>
        <v/>
      </c>
      <c r="O2922" t="str">
        <f>IFERROR(__xludf.DUMMYFUNCTION("""COMPUTED_VALUE"""),"")</f>
        <v/>
      </c>
      <c r="P2922" t="str">
        <f>IFERROR(__xludf.DUMMYFUNCTION("""COMPUTED_VALUE"""),"ID ")</f>
        <v>ID </v>
      </c>
    </row>
    <row r="2923">
      <c r="A2923" s="6" t="str">
        <f>IFERROR(__xludf.DUMMYFUNCTION("""COMPUTED_VALUE"""),"")</f>
        <v/>
      </c>
      <c r="C2923" t="str">
        <f>IFERROR(__xludf.DUMMYFUNCTION("""COMPUTED_VALUE"""),"")</f>
        <v/>
      </c>
      <c r="D2923" t="str">
        <f>IFERROR(__xludf.DUMMYFUNCTION("""COMPUTED_VALUE"""),"")</f>
        <v/>
      </c>
      <c r="E2923" t="str">
        <f>IFERROR(__xludf.DUMMYFUNCTION("""COMPUTED_VALUE"""),"")</f>
        <v/>
      </c>
      <c r="F2923" t="str">
        <f>IFERROR(__xludf.DUMMYFUNCTION("""COMPUTED_VALUE"""),"")</f>
        <v/>
      </c>
      <c r="G2923" t="str">
        <f>IFERROR(__xludf.DUMMYFUNCTION("""COMPUTED_VALUE"""),"")</f>
        <v/>
      </c>
      <c r="H2923" s="2" t="str">
        <f>IFERROR(__xludf.DUMMYFUNCTION("""COMPUTED_VALUE"""),"")</f>
        <v/>
      </c>
      <c r="I2923" s="2" t="str">
        <f>IFERROR(__xludf.DUMMYFUNCTION("""COMPUTED_VALUE"""),"")</f>
        <v/>
      </c>
      <c r="J2923" s="2">
        <f>IFERROR(__xludf.DUMMYFUNCTION("""COMPUTED_VALUE"""),0.0)</f>
        <v>0</v>
      </c>
      <c r="K2923" s="5" t="str">
        <f>IFERROR(__xludf.DUMMYFUNCTION("""COMPUTED_VALUE"""),"")</f>
        <v/>
      </c>
      <c r="L2923" t="str">
        <f>IFERROR(__xludf.DUMMYFUNCTION("""COMPUTED_VALUE"""),"")</f>
        <v/>
      </c>
      <c r="M2923" t="str">
        <f>IFERROR(__xludf.DUMMYFUNCTION("""COMPUTED_VALUE"""),"")</f>
        <v/>
      </c>
      <c r="N2923" t="str">
        <f>IFERROR(__xludf.DUMMYFUNCTION("""COMPUTED_VALUE"""),"")</f>
        <v/>
      </c>
      <c r="O2923" t="str">
        <f>IFERROR(__xludf.DUMMYFUNCTION("""COMPUTED_VALUE"""),"")</f>
        <v/>
      </c>
      <c r="P2923" t="str">
        <f>IFERROR(__xludf.DUMMYFUNCTION("""COMPUTED_VALUE"""),"ID ")</f>
        <v>ID </v>
      </c>
    </row>
    <row r="2924">
      <c r="A2924" s="6" t="str">
        <f>IFERROR(__xludf.DUMMYFUNCTION("""COMPUTED_VALUE"""),"")</f>
        <v/>
      </c>
      <c r="C2924" t="str">
        <f>IFERROR(__xludf.DUMMYFUNCTION("""COMPUTED_VALUE"""),"")</f>
        <v/>
      </c>
      <c r="D2924" t="str">
        <f>IFERROR(__xludf.DUMMYFUNCTION("""COMPUTED_VALUE"""),"")</f>
        <v/>
      </c>
      <c r="E2924" t="str">
        <f>IFERROR(__xludf.DUMMYFUNCTION("""COMPUTED_VALUE"""),"")</f>
        <v/>
      </c>
      <c r="F2924" t="str">
        <f>IFERROR(__xludf.DUMMYFUNCTION("""COMPUTED_VALUE"""),"")</f>
        <v/>
      </c>
      <c r="G2924" t="str">
        <f>IFERROR(__xludf.DUMMYFUNCTION("""COMPUTED_VALUE"""),"")</f>
        <v/>
      </c>
      <c r="H2924" s="2" t="str">
        <f>IFERROR(__xludf.DUMMYFUNCTION("""COMPUTED_VALUE"""),"")</f>
        <v/>
      </c>
      <c r="I2924" s="2" t="str">
        <f>IFERROR(__xludf.DUMMYFUNCTION("""COMPUTED_VALUE"""),"")</f>
        <v/>
      </c>
      <c r="J2924" s="2">
        <f>IFERROR(__xludf.DUMMYFUNCTION("""COMPUTED_VALUE"""),0.0)</f>
        <v>0</v>
      </c>
      <c r="K2924" s="5" t="str">
        <f>IFERROR(__xludf.DUMMYFUNCTION("""COMPUTED_VALUE"""),"")</f>
        <v/>
      </c>
      <c r="L2924" t="str">
        <f>IFERROR(__xludf.DUMMYFUNCTION("""COMPUTED_VALUE"""),"")</f>
        <v/>
      </c>
      <c r="M2924" t="str">
        <f>IFERROR(__xludf.DUMMYFUNCTION("""COMPUTED_VALUE"""),"")</f>
        <v/>
      </c>
      <c r="N2924" t="str">
        <f>IFERROR(__xludf.DUMMYFUNCTION("""COMPUTED_VALUE"""),"")</f>
        <v/>
      </c>
      <c r="O2924" t="str">
        <f>IFERROR(__xludf.DUMMYFUNCTION("""COMPUTED_VALUE"""),"")</f>
        <v/>
      </c>
      <c r="P2924" t="str">
        <f>IFERROR(__xludf.DUMMYFUNCTION("""COMPUTED_VALUE"""),"ID ")</f>
        <v>ID </v>
      </c>
    </row>
    <row r="2925">
      <c r="A2925" s="6" t="str">
        <f>IFERROR(__xludf.DUMMYFUNCTION("""COMPUTED_VALUE"""),"")</f>
        <v/>
      </c>
      <c r="C2925" t="str">
        <f>IFERROR(__xludf.DUMMYFUNCTION("""COMPUTED_VALUE"""),"")</f>
        <v/>
      </c>
      <c r="D2925" t="str">
        <f>IFERROR(__xludf.DUMMYFUNCTION("""COMPUTED_VALUE"""),"")</f>
        <v/>
      </c>
      <c r="E2925" t="str">
        <f>IFERROR(__xludf.DUMMYFUNCTION("""COMPUTED_VALUE"""),"")</f>
        <v/>
      </c>
      <c r="F2925" t="str">
        <f>IFERROR(__xludf.DUMMYFUNCTION("""COMPUTED_VALUE"""),"")</f>
        <v/>
      </c>
      <c r="G2925" t="str">
        <f>IFERROR(__xludf.DUMMYFUNCTION("""COMPUTED_VALUE"""),"")</f>
        <v/>
      </c>
      <c r="H2925" s="2" t="str">
        <f>IFERROR(__xludf.DUMMYFUNCTION("""COMPUTED_VALUE"""),"")</f>
        <v/>
      </c>
      <c r="I2925" s="2" t="str">
        <f>IFERROR(__xludf.DUMMYFUNCTION("""COMPUTED_VALUE"""),"")</f>
        <v/>
      </c>
      <c r="J2925" s="2">
        <f>IFERROR(__xludf.DUMMYFUNCTION("""COMPUTED_VALUE"""),0.0)</f>
        <v>0</v>
      </c>
      <c r="K2925" s="5" t="str">
        <f>IFERROR(__xludf.DUMMYFUNCTION("""COMPUTED_VALUE"""),"")</f>
        <v/>
      </c>
      <c r="L2925" t="str">
        <f>IFERROR(__xludf.DUMMYFUNCTION("""COMPUTED_VALUE"""),"")</f>
        <v/>
      </c>
      <c r="M2925" t="str">
        <f>IFERROR(__xludf.DUMMYFUNCTION("""COMPUTED_VALUE"""),"")</f>
        <v/>
      </c>
      <c r="N2925" t="str">
        <f>IFERROR(__xludf.DUMMYFUNCTION("""COMPUTED_VALUE"""),"")</f>
        <v/>
      </c>
      <c r="O2925" t="str">
        <f>IFERROR(__xludf.DUMMYFUNCTION("""COMPUTED_VALUE"""),"")</f>
        <v/>
      </c>
      <c r="P2925" t="str">
        <f>IFERROR(__xludf.DUMMYFUNCTION("""COMPUTED_VALUE"""),"ID ")</f>
        <v>ID </v>
      </c>
    </row>
    <row r="2926">
      <c r="A2926" s="6" t="str">
        <f>IFERROR(__xludf.DUMMYFUNCTION("""COMPUTED_VALUE"""),"")</f>
        <v/>
      </c>
      <c r="C2926" t="str">
        <f>IFERROR(__xludf.DUMMYFUNCTION("""COMPUTED_VALUE"""),"")</f>
        <v/>
      </c>
      <c r="D2926" t="str">
        <f>IFERROR(__xludf.DUMMYFUNCTION("""COMPUTED_VALUE"""),"")</f>
        <v/>
      </c>
      <c r="E2926" t="str">
        <f>IFERROR(__xludf.DUMMYFUNCTION("""COMPUTED_VALUE"""),"")</f>
        <v/>
      </c>
      <c r="F2926" t="str">
        <f>IFERROR(__xludf.DUMMYFUNCTION("""COMPUTED_VALUE"""),"")</f>
        <v/>
      </c>
      <c r="G2926" t="str">
        <f>IFERROR(__xludf.DUMMYFUNCTION("""COMPUTED_VALUE"""),"")</f>
        <v/>
      </c>
      <c r="H2926" s="2" t="str">
        <f>IFERROR(__xludf.DUMMYFUNCTION("""COMPUTED_VALUE"""),"")</f>
        <v/>
      </c>
      <c r="I2926" s="2" t="str">
        <f>IFERROR(__xludf.DUMMYFUNCTION("""COMPUTED_VALUE"""),"")</f>
        <v/>
      </c>
      <c r="J2926" s="2">
        <f>IFERROR(__xludf.DUMMYFUNCTION("""COMPUTED_VALUE"""),0.0)</f>
        <v>0</v>
      </c>
      <c r="K2926" s="5" t="str">
        <f>IFERROR(__xludf.DUMMYFUNCTION("""COMPUTED_VALUE"""),"")</f>
        <v/>
      </c>
      <c r="L2926" t="str">
        <f>IFERROR(__xludf.DUMMYFUNCTION("""COMPUTED_VALUE"""),"")</f>
        <v/>
      </c>
      <c r="M2926" t="str">
        <f>IFERROR(__xludf.DUMMYFUNCTION("""COMPUTED_VALUE"""),"")</f>
        <v/>
      </c>
      <c r="N2926" t="str">
        <f>IFERROR(__xludf.DUMMYFUNCTION("""COMPUTED_VALUE"""),"")</f>
        <v/>
      </c>
      <c r="O2926" t="str">
        <f>IFERROR(__xludf.DUMMYFUNCTION("""COMPUTED_VALUE"""),"")</f>
        <v/>
      </c>
      <c r="P2926" t="str">
        <f>IFERROR(__xludf.DUMMYFUNCTION("""COMPUTED_VALUE"""),"ID ")</f>
        <v>ID </v>
      </c>
    </row>
    <row r="2927">
      <c r="A2927" s="6" t="str">
        <f>IFERROR(__xludf.DUMMYFUNCTION("""COMPUTED_VALUE"""),"")</f>
        <v/>
      </c>
      <c r="C2927" t="str">
        <f>IFERROR(__xludf.DUMMYFUNCTION("""COMPUTED_VALUE"""),"")</f>
        <v/>
      </c>
      <c r="D2927" t="str">
        <f>IFERROR(__xludf.DUMMYFUNCTION("""COMPUTED_VALUE"""),"")</f>
        <v/>
      </c>
      <c r="E2927" t="str">
        <f>IFERROR(__xludf.DUMMYFUNCTION("""COMPUTED_VALUE"""),"")</f>
        <v/>
      </c>
      <c r="F2927" t="str">
        <f>IFERROR(__xludf.DUMMYFUNCTION("""COMPUTED_VALUE"""),"")</f>
        <v/>
      </c>
      <c r="G2927" t="str">
        <f>IFERROR(__xludf.DUMMYFUNCTION("""COMPUTED_VALUE"""),"")</f>
        <v/>
      </c>
      <c r="H2927" s="2" t="str">
        <f>IFERROR(__xludf.DUMMYFUNCTION("""COMPUTED_VALUE"""),"")</f>
        <v/>
      </c>
      <c r="I2927" s="2" t="str">
        <f>IFERROR(__xludf.DUMMYFUNCTION("""COMPUTED_VALUE"""),"")</f>
        <v/>
      </c>
      <c r="J2927" s="2">
        <f>IFERROR(__xludf.DUMMYFUNCTION("""COMPUTED_VALUE"""),0.0)</f>
        <v>0</v>
      </c>
      <c r="K2927" s="5" t="str">
        <f>IFERROR(__xludf.DUMMYFUNCTION("""COMPUTED_VALUE"""),"")</f>
        <v/>
      </c>
      <c r="L2927" t="str">
        <f>IFERROR(__xludf.DUMMYFUNCTION("""COMPUTED_VALUE"""),"")</f>
        <v/>
      </c>
      <c r="M2927" t="str">
        <f>IFERROR(__xludf.DUMMYFUNCTION("""COMPUTED_VALUE"""),"")</f>
        <v/>
      </c>
      <c r="N2927" t="str">
        <f>IFERROR(__xludf.DUMMYFUNCTION("""COMPUTED_VALUE"""),"")</f>
        <v/>
      </c>
      <c r="O2927" t="str">
        <f>IFERROR(__xludf.DUMMYFUNCTION("""COMPUTED_VALUE"""),"")</f>
        <v/>
      </c>
      <c r="P2927" t="str">
        <f>IFERROR(__xludf.DUMMYFUNCTION("""COMPUTED_VALUE"""),"ID ")</f>
        <v>ID </v>
      </c>
    </row>
    <row r="2928">
      <c r="A2928" s="6" t="str">
        <f>IFERROR(__xludf.DUMMYFUNCTION("""COMPUTED_VALUE"""),"")</f>
        <v/>
      </c>
      <c r="C2928" t="str">
        <f>IFERROR(__xludf.DUMMYFUNCTION("""COMPUTED_VALUE"""),"")</f>
        <v/>
      </c>
      <c r="D2928" t="str">
        <f>IFERROR(__xludf.DUMMYFUNCTION("""COMPUTED_VALUE"""),"")</f>
        <v/>
      </c>
      <c r="E2928" t="str">
        <f>IFERROR(__xludf.DUMMYFUNCTION("""COMPUTED_VALUE"""),"")</f>
        <v/>
      </c>
      <c r="F2928" t="str">
        <f>IFERROR(__xludf.DUMMYFUNCTION("""COMPUTED_VALUE"""),"")</f>
        <v/>
      </c>
      <c r="G2928" t="str">
        <f>IFERROR(__xludf.DUMMYFUNCTION("""COMPUTED_VALUE"""),"")</f>
        <v/>
      </c>
      <c r="H2928" s="2" t="str">
        <f>IFERROR(__xludf.DUMMYFUNCTION("""COMPUTED_VALUE"""),"")</f>
        <v/>
      </c>
      <c r="I2928" s="2" t="str">
        <f>IFERROR(__xludf.DUMMYFUNCTION("""COMPUTED_VALUE"""),"")</f>
        <v/>
      </c>
      <c r="J2928" s="2">
        <f>IFERROR(__xludf.DUMMYFUNCTION("""COMPUTED_VALUE"""),0.0)</f>
        <v>0</v>
      </c>
      <c r="K2928" s="5" t="str">
        <f>IFERROR(__xludf.DUMMYFUNCTION("""COMPUTED_VALUE"""),"")</f>
        <v/>
      </c>
      <c r="L2928" t="str">
        <f>IFERROR(__xludf.DUMMYFUNCTION("""COMPUTED_VALUE"""),"")</f>
        <v/>
      </c>
      <c r="M2928" t="str">
        <f>IFERROR(__xludf.DUMMYFUNCTION("""COMPUTED_VALUE"""),"")</f>
        <v/>
      </c>
      <c r="N2928" t="str">
        <f>IFERROR(__xludf.DUMMYFUNCTION("""COMPUTED_VALUE"""),"")</f>
        <v/>
      </c>
      <c r="O2928" t="str">
        <f>IFERROR(__xludf.DUMMYFUNCTION("""COMPUTED_VALUE"""),"")</f>
        <v/>
      </c>
      <c r="P2928" t="str">
        <f>IFERROR(__xludf.DUMMYFUNCTION("""COMPUTED_VALUE"""),"ID ")</f>
        <v>ID </v>
      </c>
    </row>
    <row r="2929">
      <c r="A2929" s="6" t="str">
        <f>IFERROR(__xludf.DUMMYFUNCTION("""COMPUTED_VALUE"""),"")</f>
        <v/>
      </c>
      <c r="C2929" t="str">
        <f>IFERROR(__xludf.DUMMYFUNCTION("""COMPUTED_VALUE"""),"")</f>
        <v/>
      </c>
      <c r="D2929" t="str">
        <f>IFERROR(__xludf.DUMMYFUNCTION("""COMPUTED_VALUE"""),"")</f>
        <v/>
      </c>
      <c r="E2929" t="str">
        <f>IFERROR(__xludf.DUMMYFUNCTION("""COMPUTED_VALUE"""),"")</f>
        <v/>
      </c>
      <c r="F2929" t="str">
        <f>IFERROR(__xludf.DUMMYFUNCTION("""COMPUTED_VALUE"""),"")</f>
        <v/>
      </c>
      <c r="G2929" t="str">
        <f>IFERROR(__xludf.DUMMYFUNCTION("""COMPUTED_VALUE"""),"")</f>
        <v/>
      </c>
      <c r="H2929" s="2" t="str">
        <f>IFERROR(__xludf.DUMMYFUNCTION("""COMPUTED_VALUE"""),"")</f>
        <v/>
      </c>
      <c r="I2929" s="2" t="str">
        <f>IFERROR(__xludf.DUMMYFUNCTION("""COMPUTED_VALUE"""),"")</f>
        <v/>
      </c>
      <c r="J2929" s="2">
        <f>IFERROR(__xludf.DUMMYFUNCTION("""COMPUTED_VALUE"""),0.0)</f>
        <v>0</v>
      </c>
      <c r="K2929" s="5" t="str">
        <f>IFERROR(__xludf.DUMMYFUNCTION("""COMPUTED_VALUE"""),"")</f>
        <v/>
      </c>
      <c r="L2929" t="str">
        <f>IFERROR(__xludf.DUMMYFUNCTION("""COMPUTED_VALUE"""),"")</f>
        <v/>
      </c>
      <c r="M2929" t="str">
        <f>IFERROR(__xludf.DUMMYFUNCTION("""COMPUTED_VALUE"""),"")</f>
        <v/>
      </c>
      <c r="N2929" t="str">
        <f>IFERROR(__xludf.DUMMYFUNCTION("""COMPUTED_VALUE"""),"")</f>
        <v/>
      </c>
      <c r="O2929" t="str">
        <f>IFERROR(__xludf.DUMMYFUNCTION("""COMPUTED_VALUE"""),"")</f>
        <v/>
      </c>
      <c r="P2929" t="str">
        <f>IFERROR(__xludf.DUMMYFUNCTION("""COMPUTED_VALUE"""),"ID ")</f>
        <v>ID </v>
      </c>
    </row>
    <row r="2930">
      <c r="A2930" s="6" t="str">
        <f>IFERROR(__xludf.DUMMYFUNCTION("""COMPUTED_VALUE"""),"")</f>
        <v/>
      </c>
      <c r="C2930" t="str">
        <f>IFERROR(__xludf.DUMMYFUNCTION("""COMPUTED_VALUE"""),"")</f>
        <v/>
      </c>
      <c r="D2930" t="str">
        <f>IFERROR(__xludf.DUMMYFUNCTION("""COMPUTED_VALUE"""),"")</f>
        <v/>
      </c>
      <c r="E2930" t="str">
        <f>IFERROR(__xludf.DUMMYFUNCTION("""COMPUTED_VALUE"""),"")</f>
        <v/>
      </c>
      <c r="F2930" t="str">
        <f>IFERROR(__xludf.DUMMYFUNCTION("""COMPUTED_VALUE"""),"")</f>
        <v/>
      </c>
      <c r="G2930" t="str">
        <f>IFERROR(__xludf.DUMMYFUNCTION("""COMPUTED_VALUE"""),"")</f>
        <v/>
      </c>
      <c r="H2930" s="2" t="str">
        <f>IFERROR(__xludf.DUMMYFUNCTION("""COMPUTED_VALUE"""),"")</f>
        <v/>
      </c>
      <c r="I2930" s="2" t="str">
        <f>IFERROR(__xludf.DUMMYFUNCTION("""COMPUTED_VALUE"""),"")</f>
        <v/>
      </c>
      <c r="J2930" s="2">
        <f>IFERROR(__xludf.DUMMYFUNCTION("""COMPUTED_VALUE"""),0.0)</f>
        <v>0</v>
      </c>
      <c r="K2930" s="5" t="str">
        <f>IFERROR(__xludf.DUMMYFUNCTION("""COMPUTED_VALUE"""),"")</f>
        <v/>
      </c>
      <c r="L2930" t="str">
        <f>IFERROR(__xludf.DUMMYFUNCTION("""COMPUTED_VALUE"""),"")</f>
        <v/>
      </c>
      <c r="M2930" t="str">
        <f>IFERROR(__xludf.DUMMYFUNCTION("""COMPUTED_VALUE"""),"")</f>
        <v/>
      </c>
      <c r="N2930" t="str">
        <f>IFERROR(__xludf.DUMMYFUNCTION("""COMPUTED_VALUE"""),"")</f>
        <v/>
      </c>
      <c r="O2930" t="str">
        <f>IFERROR(__xludf.DUMMYFUNCTION("""COMPUTED_VALUE"""),"")</f>
        <v/>
      </c>
      <c r="P2930" t="str">
        <f>IFERROR(__xludf.DUMMYFUNCTION("""COMPUTED_VALUE"""),"ID ")</f>
        <v>ID </v>
      </c>
    </row>
    <row r="2931">
      <c r="A2931" s="6" t="str">
        <f>IFERROR(__xludf.DUMMYFUNCTION("""COMPUTED_VALUE"""),"")</f>
        <v/>
      </c>
      <c r="C2931" t="str">
        <f>IFERROR(__xludf.DUMMYFUNCTION("""COMPUTED_VALUE"""),"")</f>
        <v/>
      </c>
      <c r="D2931" t="str">
        <f>IFERROR(__xludf.DUMMYFUNCTION("""COMPUTED_VALUE"""),"")</f>
        <v/>
      </c>
      <c r="E2931" t="str">
        <f>IFERROR(__xludf.DUMMYFUNCTION("""COMPUTED_VALUE"""),"")</f>
        <v/>
      </c>
      <c r="F2931" t="str">
        <f>IFERROR(__xludf.DUMMYFUNCTION("""COMPUTED_VALUE"""),"")</f>
        <v/>
      </c>
      <c r="G2931" t="str">
        <f>IFERROR(__xludf.DUMMYFUNCTION("""COMPUTED_VALUE"""),"")</f>
        <v/>
      </c>
      <c r="H2931" s="2" t="str">
        <f>IFERROR(__xludf.DUMMYFUNCTION("""COMPUTED_VALUE"""),"")</f>
        <v/>
      </c>
      <c r="I2931" s="2" t="str">
        <f>IFERROR(__xludf.DUMMYFUNCTION("""COMPUTED_VALUE"""),"")</f>
        <v/>
      </c>
      <c r="J2931" s="2">
        <f>IFERROR(__xludf.DUMMYFUNCTION("""COMPUTED_VALUE"""),0.0)</f>
        <v>0</v>
      </c>
      <c r="K2931" s="5" t="str">
        <f>IFERROR(__xludf.DUMMYFUNCTION("""COMPUTED_VALUE"""),"")</f>
        <v/>
      </c>
      <c r="L2931" t="str">
        <f>IFERROR(__xludf.DUMMYFUNCTION("""COMPUTED_VALUE"""),"")</f>
        <v/>
      </c>
      <c r="M2931" t="str">
        <f>IFERROR(__xludf.DUMMYFUNCTION("""COMPUTED_VALUE"""),"")</f>
        <v/>
      </c>
      <c r="N2931" t="str">
        <f>IFERROR(__xludf.DUMMYFUNCTION("""COMPUTED_VALUE"""),"")</f>
        <v/>
      </c>
      <c r="O2931" t="str">
        <f>IFERROR(__xludf.DUMMYFUNCTION("""COMPUTED_VALUE"""),"")</f>
        <v/>
      </c>
      <c r="P2931" t="str">
        <f>IFERROR(__xludf.DUMMYFUNCTION("""COMPUTED_VALUE"""),"ID ")</f>
        <v>ID </v>
      </c>
    </row>
    <row r="2932">
      <c r="A2932" s="6" t="str">
        <f>IFERROR(__xludf.DUMMYFUNCTION("""COMPUTED_VALUE"""),"")</f>
        <v/>
      </c>
      <c r="C2932" t="str">
        <f>IFERROR(__xludf.DUMMYFUNCTION("""COMPUTED_VALUE"""),"")</f>
        <v/>
      </c>
      <c r="D2932" t="str">
        <f>IFERROR(__xludf.DUMMYFUNCTION("""COMPUTED_VALUE"""),"")</f>
        <v/>
      </c>
      <c r="E2932" t="str">
        <f>IFERROR(__xludf.DUMMYFUNCTION("""COMPUTED_VALUE"""),"")</f>
        <v/>
      </c>
      <c r="F2932" t="str">
        <f>IFERROR(__xludf.DUMMYFUNCTION("""COMPUTED_VALUE"""),"")</f>
        <v/>
      </c>
      <c r="G2932" t="str">
        <f>IFERROR(__xludf.DUMMYFUNCTION("""COMPUTED_VALUE"""),"")</f>
        <v/>
      </c>
      <c r="H2932" s="2" t="str">
        <f>IFERROR(__xludf.DUMMYFUNCTION("""COMPUTED_VALUE"""),"")</f>
        <v/>
      </c>
      <c r="I2932" s="2" t="str">
        <f>IFERROR(__xludf.DUMMYFUNCTION("""COMPUTED_VALUE"""),"")</f>
        <v/>
      </c>
      <c r="J2932" s="2">
        <f>IFERROR(__xludf.DUMMYFUNCTION("""COMPUTED_VALUE"""),0.0)</f>
        <v>0</v>
      </c>
      <c r="K2932" s="5" t="str">
        <f>IFERROR(__xludf.DUMMYFUNCTION("""COMPUTED_VALUE"""),"")</f>
        <v/>
      </c>
      <c r="L2932" t="str">
        <f>IFERROR(__xludf.DUMMYFUNCTION("""COMPUTED_VALUE"""),"")</f>
        <v/>
      </c>
      <c r="M2932" t="str">
        <f>IFERROR(__xludf.DUMMYFUNCTION("""COMPUTED_VALUE"""),"")</f>
        <v/>
      </c>
      <c r="N2932" t="str">
        <f>IFERROR(__xludf.DUMMYFUNCTION("""COMPUTED_VALUE"""),"")</f>
        <v/>
      </c>
      <c r="O2932" t="str">
        <f>IFERROR(__xludf.DUMMYFUNCTION("""COMPUTED_VALUE"""),"")</f>
        <v/>
      </c>
      <c r="P2932" t="str">
        <f>IFERROR(__xludf.DUMMYFUNCTION("""COMPUTED_VALUE"""),"ID ")</f>
        <v>ID </v>
      </c>
    </row>
    <row r="2933">
      <c r="A2933" s="6" t="str">
        <f>IFERROR(__xludf.DUMMYFUNCTION("""COMPUTED_VALUE"""),"")</f>
        <v/>
      </c>
      <c r="C2933" t="str">
        <f>IFERROR(__xludf.DUMMYFUNCTION("""COMPUTED_VALUE"""),"")</f>
        <v/>
      </c>
      <c r="D2933" t="str">
        <f>IFERROR(__xludf.DUMMYFUNCTION("""COMPUTED_VALUE"""),"")</f>
        <v/>
      </c>
      <c r="E2933" t="str">
        <f>IFERROR(__xludf.DUMMYFUNCTION("""COMPUTED_VALUE"""),"")</f>
        <v/>
      </c>
      <c r="F2933" t="str">
        <f>IFERROR(__xludf.DUMMYFUNCTION("""COMPUTED_VALUE"""),"")</f>
        <v/>
      </c>
      <c r="G2933" t="str">
        <f>IFERROR(__xludf.DUMMYFUNCTION("""COMPUTED_VALUE"""),"")</f>
        <v/>
      </c>
      <c r="H2933" s="2" t="str">
        <f>IFERROR(__xludf.DUMMYFUNCTION("""COMPUTED_VALUE"""),"")</f>
        <v/>
      </c>
      <c r="I2933" s="2" t="str">
        <f>IFERROR(__xludf.DUMMYFUNCTION("""COMPUTED_VALUE"""),"")</f>
        <v/>
      </c>
      <c r="J2933" s="2">
        <f>IFERROR(__xludf.DUMMYFUNCTION("""COMPUTED_VALUE"""),0.0)</f>
        <v>0</v>
      </c>
      <c r="K2933" s="5" t="str">
        <f>IFERROR(__xludf.DUMMYFUNCTION("""COMPUTED_VALUE"""),"")</f>
        <v/>
      </c>
      <c r="L2933" t="str">
        <f>IFERROR(__xludf.DUMMYFUNCTION("""COMPUTED_VALUE"""),"")</f>
        <v/>
      </c>
      <c r="M2933" t="str">
        <f>IFERROR(__xludf.DUMMYFUNCTION("""COMPUTED_VALUE"""),"")</f>
        <v/>
      </c>
      <c r="N2933" t="str">
        <f>IFERROR(__xludf.DUMMYFUNCTION("""COMPUTED_VALUE"""),"")</f>
        <v/>
      </c>
      <c r="O2933" t="str">
        <f>IFERROR(__xludf.DUMMYFUNCTION("""COMPUTED_VALUE"""),"")</f>
        <v/>
      </c>
      <c r="P2933" t="str">
        <f>IFERROR(__xludf.DUMMYFUNCTION("""COMPUTED_VALUE"""),"ID ")</f>
        <v>ID </v>
      </c>
    </row>
    <row r="2934">
      <c r="A2934" s="6" t="str">
        <f>IFERROR(__xludf.DUMMYFUNCTION("""COMPUTED_VALUE"""),"")</f>
        <v/>
      </c>
      <c r="C2934" t="str">
        <f>IFERROR(__xludf.DUMMYFUNCTION("""COMPUTED_VALUE"""),"")</f>
        <v/>
      </c>
      <c r="D2934" t="str">
        <f>IFERROR(__xludf.DUMMYFUNCTION("""COMPUTED_VALUE"""),"")</f>
        <v/>
      </c>
      <c r="E2934" t="str">
        <f>IFERROR(__xludf.DUMMYFUNCTION("""COMPUTED_VALUE"""),"")</f>
        <v/>
      </c>
      <c r="F2934" t="str">
        <f>IFERROR(__xludf.DUMMYFUNCTION("""COMPUTED_VALUE"""),"")</f>
        <v/>
      </c>
      <c r="G2934" t="str">
        <f>IFERROR(__xludf.DUMMYFUNCTION("""COMPUTED_VALUE"""),"")</f>
        <v/>
      </c>
      <c r="H2934" s="2" t="str">
        <f>IFERROR(__xludf.DUMMYFUNCTION("""COMPUTED_VALUE"""),"")</f>
        <v/>
      </c>
      <c r="I2934" s="2" t="str">
        <f>IFERROR(__xludf.DUMMYFUNCTION("""COMPUTED_VALUE"""),"")</f>
        <v/>
      </c>
      <c r="J2934" s="2">
        <f>IFERROR(__xludf.DUMMYFUNCTION("""COMPUTED_VALUE"""),0.0)</f>
        <v>0</v>
      </c>
      <c r="K2934" s="5" t="str">
        <f>IFERROR(__xludf.DUMMYFUNCTION("""COMPUTED_VALUE"""),"")</f>
        <v/>
      </c>
      <c r="L2934" t="str">
        <f>IFERROR(__xludf.DUMMYFUNCTION("""COMPUTED_VALUE"""),"")</f>
        <v/>
      </c>
      <c r="M2934" t="str">
        <f>IFERROR(__xludf.DUMMYFUNCTION("""COMPUTED_VALUE"""),"")</f>
        <v/>
      </c>
      <c r="N2934" t="str">
        <f>IFERROR(__xludf.DUMMYFUNCTION("""COMPUTED_VALUE"""),"")</f>
        <v/>
      </c>
      <c r="O2934" t="str">
        <f>IFERROR(__xludf.DUMMYFUNCTION("""COMPUTED_VALUE"""),"")</f>
        <v/>
      </c>
      <c r="P2934" t="str">
        <f>IFERROR(__xludf.DUMMYFUNCTION("""COMPUTED_VALUE"""),"ID ")</f>
        <v>ID </v>
      </c>
    </row>
    <row r="2935">
      <c r="A2935" s="6" t="str">
        <f>IFERROR(__xludf.DUMMYFUNCTION("""COMPUTED_VALUE"""),"")</f>
        <v/>
      </c>
      <c r="C2935" t="str">
        <f>IFERROR(__xludf.DUMMYFUNCTION("""COMPUTED_VALUE"""),"")</f>
        <v/>
      </c>
      <c r="D2935" t="str">
        <f>IFERROR(__xludf.DUMMYFUNCTION("""COMPUTED_VALUE"""),"")</f>
        <v/>
      </c>
      <c r="E2935" t="str">
        <f>IFERROR(__xludf.DUMMYFUNCTION("""COMPUTED_VALUE"""),"")</f>
        <v/>
      </c>
      <c r="F2935" t="str">
        <f>IFERROR(__xludf.DUMMYFUNCTION("""COMPUTED_VALUE"""),"")</f>
        <v/>
      </c>
      <c r="G2935" t="str">
        <f>IFERROR(__xludf.DUMMYFUNCTION("""COMPUTED_VALUE"""),"")</f>
        <v/>
      </c>
      <c r="H2935" s="2" t="str">
        <f>IFERROR(__xludf.DUMMYFUNCTION("""COMPUTED_VALUE"""),"")</f>
        <v/>
      </c>
      <c r="I2935" s="2" t="str">
        <f>IFERROR(__xludf.DUMMYFUNCTION("""COMPUTED_VALUE"""),"")</f>
        <v/>
      </c>
      <c r="J2935" s="2">
        <f>IFERROR(__xludf.DUMMYFUNCTION("""COMPUTED_VALUE"""),0.0)</f>
        <v>0</v>
      </c>
      <c r="K2935" s="5" t="str">
        <f>IFERROR(__xludf.DUMMYFUNCTION("""COMPUTED_VALUE"""),"")</f>
        <v/>
      </c>
      <c r="L2935" t="str">
        <f>IFERROR(__xludf.DUMMYFUNCTION("""COMPUTED_VALUE"""),"")</f>
        <v/>
      </c>
      <c r="M2935" t="str">
        <f>IFERROR(__xludf.DUMMYFUNCTION("""COMPUTED_VALUE"""),"")</f>
        <v/>
      </c>
      <c r="N2935" t="str">
        <f>IFERROR(__xludf.DUMMYFUNCTION("""COMPUTED_VALUE"""),"")</f>
        <v/>
      </c>
      <c r="O2935" t="str">
        <f>IFERROR(__xludf.DUMMYFUNCTION("""COMPUTED_VALUE"""),"")</f>
        <v/>
      </c>
      <c r="P2935" t="str">
        <f>IFERROR(__xludf.DUMMYFUNCTION("""COMPUTED_VALUE"""),"ID ")</f>
        <v>ID </v>
      </c>
    </row>
    <row r="2936">
      <c r="A2936" s="6" t="str">
        <f>IFERROR(__xludf.DUMMYFUNCTION("""COMPUTED_VALUE"""),"")</f>
        <v/>
      </c>
      <c r="C2936" t="str">
        <f>IFERROR(__xludf.DUMMYFUNCTION("""COMPUTED_VALUE"""),"")</f>
        <v/>
      </c>
      <c r="D2936" t="str">
        <f>IFERROR(__xludf.DUMMYFUNCTION("""COMPUTED_VALUE"""),"")</f>
        <v/>
      </c>
      <c r="E2936" t="str">
        <f>IFERROR(__xludf.DUMMYFUNCTION("""COMPUTED_VALUE"""),"")</f>
        <v/>
      </c>
      <c r="F2936" t="str">
        <f>IFERROR(__xludf.DUMMYFUNCTION("""COMPUTED_VALUE"""),"")</f>
        <v/>
      </c>
      <c r="G2936" t="str">
        <f>IFERROR(__xludf.DUMMYFUNCTION("""COMPUTED_VALUE"""),"")</f>
        <v/>
      </c>
      <c r="H2936" s="2" t="str">
        <f>IFERROR(__xludf.DUMMYFUNCTION("""COMPUTED_VALUE"""),"")</f>
        <v/>
      </c>
      <c r="I2936" s="2" t="str">
        <f>IFERROR(__xludf.DUMMYFUNCTION("""COMPUTED_VALUE"""),"")</f>
        <v/>
      </c>
      <c r="J2936" s="2">
        <f>IFERROR(__xludf.DUMMYFUNCTION("""COMPUTED_VALUE"""),0.0)</f>
        <v>0</v>
      </c>
      <c r="K2936" s="5" t="str">
        <f>IFERROR(__xludf.DUMMYFUNCTION("""COMPUTED_VALUE"""),"")</f>
        <v/>
      </c>
      <c r="L2936" t="str">
        <f>IFERROR(__xludf.DUMMYFUNCTION("""COMPUTED_VALUE"""),"")</f>
        <v/>
      </c>
      <c r="M2936" t="str">
        <f>IFERROR(__xludf.DUMMYFUNCTION("""COMPUTED_VALUE"""),"")</f>
        <v/>
      </c>
      <c r="N2936" t="str">
        <f>IFERROR(__xludf.DUMMYFUNCTION("""COMPUTED_VALUE"""),"")</f>
        <v/>
      </c>
      <c r="O2936" t="str">
        <f>IFERROR(__xludf.DUMMYFUNCTION("""COMPUTED_VALUE"""),"")</f>
        <v/>
      </c>
      <c r="P2936" t="str">
        <f>IFERROR(__xludf.DUMMYFUNCTION("""COMPUTED_VALUE"""),"ID ")</f>
        <v>ID </v>
      </c>
    </row>
    <row r="2937">
      <c r="A2937" s="6" t="str">
        <f>IFERROR(__xludf.DUMMYFUNCTION("""COMPUTED_VALUE"""),"")</f>
        <v/>
      </c>
      <c r="C2937" t="str">
        <f>IFERROR(__xludf.DUMMYFUNCTION("""COMPUTED_VALUE"""),"")</f>
        <v/>
      </c>
      <c r="D2937" t="str">
        <f>IFERROR(__xludf.DUMMYFUNCTION("""COMPUTED_VALUE"""),"")</f>
        <v/>
      </c>
      <c r="E2937" t="str">
        <f>IFERROR(__xludf.DUMMYFUNCTION("""COMPUTED_VALUE"""),"")</f>
        <v/>
      </c>
      <c r="F2937" t="str">
        <f>IFERROR(__xludf.DUMMYFUNCTION("""COMPUTED_VALUE"""),"")</f>
        <v/>
      </c>
      <c r="G2937" t="str">
        <f>IFERROR(__xludf.DUMMYFUNCTION("""COMPUTED_VALUE"""),"")</f>
        <v/>
      </c>
      <c r="H2937" s="2" t="str">
        <f>IFERROR(__xludf.DUMMYFUNCTION("""COMPUTED_VALUE"""),"")</f>
        <v/>
      </c>
      <c r="I2937" s="2" t="str">
        <f>IFERROR(__xludf.DUMMYFUNCTION("""COMPUTED_VALUE"""),"")</f>
        <v/>
      </c>
      <c r="J2937" s="2">
        <f>IFERROR(__xludf.DUMMYFUNCTION("""COMPUTED_VALUE"""),0.0)</f>
        <v>0</v>
      </c>
      <c r="K2937" s="5" t="str">
        <f>IFERROR(__xludf.DUMMYFUNCTION("""COMPUTED_VALUE"""),"")</f>
        <v/>
      </c>
      <c r="L2937" t="str">
        <f>IFERROR(__xludf.DUMMYFUNCTION("""COMPUTED_VALUE"""),"")</f>
        <v/>
      </c>
      <c r="M2937" t="str">
        <f>IFERROR(__xludf.DUMMYFUNCTION("""COMPUTED_VALUE"""),"")</f>
        <v/>
      </c>
      <c r="N2937" t="str">
        <f>IFERROR(__xludf.DUMMYFUNCTION("""COMPUTED_VALUE"""),"")</f>
        <v/>
      </c>
      <c r="O2937" t="str">
        <f>IFERROR(__xludf.DUMMYFUNCTION("""COMPUTED_VALUE"""),"")</f>
        <v/>
      </c>
      <c r="P2937" t="str">
        <f>IFERROR(__xludf.DUMMYFUNCTION("""COMPUTED_VALUE"""),"ID ")</f>
        <v>ID </v>
      </c>
    </row>
    <row r="2938">
      <c r="A2938" s="6" t="str">
        <f>IFERROR(__xludf.DUMMYFUNCTION("""COMPUTED_VALUE"""),"")</f>
        <v/>
      </c>
      <c r="C2938" t="str">
        <f>IFERROR(__xludf.DUMMYFUNCTION("""COMPUTED_VALUE"""),"")</f>
        <v/>
      </c>
      <c r="D2938" t="str">
        <f>IFERROR(__xludf.DUMMYFUNCTION("""COMPUTED_VALUE"""),"")</f>
        <v/>
      </c>
      <c r="E2938" t="str">
        <f>IFERROR(__xludf.DUMMYFUNCTION("""COMPUTED_VALUE"""),"")</f>
        <v/>
      </c>
      <c r="F2938" t="str">
        <f>IFERROR(__xludf.DUMMYFUNCTION("""COMPUTED_VALUE"""),"")</f>
        <v/>
      </c>
      <c r="G2938" t="str">
        <f>IFERROR(__xludf.DUMMYFUNCTION("""COMPUTED_VALUE"""),"")</f>
        <v/>
      </c>
      <c r="H2938" s="2" t="str">
        <f>IFERROR(__xludf.DUMMYFUNCTION("""COMPUTED_VALUE"""),"")</f>
        <v/>
      </c>
      <c r="I2938" s="2" t="str">
        <f>IFERROR(__xludf.DUMMYFUNCTION("""COMPUTED_VALUE"""),"")</f>
        <v/>
      </c>
      <c r="J2938" s="2">
        <f>IFERROR(__xludf.DUMMYFUNCTION("""COMPUTED_VALUE"""),0.0)</f>
        <v>0</v>
      </c>
      <c r="K2938" s="5" t="str">
        <f>IFERROR(__xludf.DUMMYFUNCTION("""COMPUTED_VALUE"""),"")</f>
        <v/>
      </c>
      <c r="L2938" t="str">
        <f>IFERROR(__xludf.DUMMYFUNCTION("""COMPUTED_VALUE"""),"")</f>
        <v/>
      </c>
      <c r="M2938" t="str">
        <f>IFERROR(__xludf.DUMMYFUNCTION("""COMPUTED_VALUE"""),"")</f>
        <v/>
      </c>
      <c r="N2938" t="str">
        <f>IFERROR(__xludf.DUMMYFUNCTION("""COMPUTED_VALUE"""),"")</f>
        <v/>
      </c>
      <c r="O2938" t="str">
        <f>IFERROR(__xludf.DUMMYFUNCTION("""COMPUTED_VALUE"""),"")</f>
        <v/>
      </c>
      <c r="P2938" t="str">
        <f>IFERROR(__xludf.DUMMYFUNCTION("""COMPUTED_VALUE"""),"ID ")</f>
        <v>ID </v>
      </c>
    </row>
    <row r="2939">
      <c r="A2939" s="6" t="str">
        <f>IFERROR(__xludf.DUMMYFUNCTION("""COMPUTED_VALUE"""),"")</f>
        <v/>
      </c>
      <c r="C2939" t="str">
        <f>IFERROR(__xludf.DUMMYFUNCTION("""COMPUTED_VALUE"""),"")</f>
        <v/>
      </c>
      <c r="D2939" t="str">
        <f>IFERROR(__xludf.DUMMYFUNCTION("""COMPUTED_VALUE"""),"")</f>
        <v/>
      </c>
      <c r="E2939" t="str">
        <f>IFERROR(__xludf.DUMMYFUNCTION("""COMPUTED_VALUE"""),"")</f>
        <v/>
      </c>
      <c r="F2939" t="str">
        <f>IFERROR(__xludf.DUMMYFUNCTION("""COMPUTED_VALUE"""),"")</f>
        <v/>
      </c>
      <c r="G2939" t="str">
        <f>IFERROR(__xludf.DUMMYFUNCTION("""COMPUTED_VALUE"""),"")</f>
        <v/>
      </c>
      <c r="H2939" s="2" t="str">
        <f>IFERROR(__xludf.DUMMYFUNCTION("""COMPUTED_VALUE"""),"")</f>
        <v/>
      </c>
      <c r="I2939" s="2" t="str">
        <f>IFERROR(__xludf.DUMMYFUNCTION("""COMPUTED_VALUE"""),"")</f>
        <v/>
      </c>
      <c r="J2939" s="2">
        <f>IFERROR(__xludf.DUMMYFUNCTION("""COMPUTED_VALUE"""),0.0)</f>
        <v>0</v>
      </c>
      <c r="K2939" s="5" t="str">
        <f>IFERROR(__xludf.DUMMYFUNCTION("""COMPUTED_VALUE"""),"")</f>
        <v/>
      </c>
      <c r="L2939" t="str">
        <f>IFERROR(__xludf.DUMMYFUNCTION("""COMPUTED_VALUE"""),"")</f>
        <v/>
      </c>
      <c r="M2939" t="str">
        <f>IFERROR(__xludf.DUMMYFUNCTION("""COMPUTED_VALUE"""),"")</f>
        <v/>
      </c>
      <c r="N2939" t="str">
        <f>IFERROR(__xludf.DUMMYFUNCTION("""COMPUTED_VALUE"""),"")</f>
        <v/>
      </c>
      <c r="O2939" t="str">
        <f>IFERROR(__xludf.DUMMYFUNCTION("""COMPUTED_VALUE"""),"")</f>
        <v/>
      </c>
      <c r="P2939" t="str">
        <f>IFERROR(__xludf.DUMMYFUNCTION("""COMPUTED_VALUE"""),"ID ")</f>
        <v>ID </v>
      </c>
    </row>
    <row r="2940">
      <c r="A2940" s="6" t="str">
        <f>IFERROR(__xludf.DUMMYFUNCTION("""COMPUTED_VALUE"""),"")</f>
        <v/>
      </c>
      <c r="C2940" t="str">
        <f>IFERROR(__xludf.DUMMYFUNCTION("""COMPUTED_VALUE"""),"")</f>
        <v/>
      </c>
      <c r="D2940" t="str">
        <f>IFERROR(__xludf.DUMMYFUNCTION("""COMPUTED_VALUE"""),"")</f>
        <v/>
      </c>
      <c r="E2940" t="str">
        <f>IFERROR(__xludf.DUMMYFUNCTION("""COMPUTED_VALUE"""),"")</f>
        <v/>
      </c>
      <c r="F2940" t="str">
        <f>IFERROR(__xludf.DUMMYFUNCTION("""COMPUTED_VALUE"""),"")</f>
        <v/>
      </c>
      <c r="G2940" t="str">
        <f>IFERROR(__xludf.DUMMYFUNCTION("""COMPUTED_VALUE"""),"")</f>
        <v/>
      </c>
      <c r="H2940" s="2" t="str">
        <f>IFERROR(__xludf.DUMMYFUNCTION("""COMPUTED_VALUE"""),"")</f>
        <v/>
      </c>
      <c r="I2940" s="2" t="str">
        <f>IFERROR(__xludf.DUMMYFUNCTION("""COMPUTED_VALUE"""),"")</f>
        <v/>
      </c>
      <c r="J2940" s="2">
        <f>IFERROR(__xludf.DUMMYFUNCTION("""COMPUTED_VALUE"""),0.0)</f>
        <v>0</v>
      </c>
      <c r="K2940" s="5" t="str">
        <f>IFERROR(__xludf.DUMMYFUNCTION("""COMPUTED_VALUE"""),"")</f>
        <v/>
      </c>
      <c r="L2940" t="str">
        <f>IFERROR(__xludf.DUMMYFUNCTION("""COMPUTED_VALUE"""),"")</f>
        <v/>
      </c>
      <c r="M2940" t="str">
        <f>IFERROR(__xludf.DUMMYFUNCTION("""COMPUTED_VALUE"""),"")</f>
        <v/>
      </c>
      <c r="N2940" t="str">
        <f>IFERROR(__xludf.DUMMYFUNCTION("""COMPUTED_VALUE"""),"")</f>
        <v/>
      </c>
      <c r="O2940" t="str">
        <f>IFERROR(__xludf.DUMMYFUNCTION("""COMPUTED_VALUE"""),"")</f>
        <v/>
      </c>
      <c r="P2940" t="str">
        <f>IFERROR(__xludf.DUMMYFUNCTION("""COMPUTED_VALUE"""),"ID ")</f>
        <v>ID </v>
      </c>
    </row>
    <row r="2941">
      <c r="A2941" s="6" t="str">
        <f>IFERROR(__xludf.DUMMYFUNCTION("""COMPUTED_VALUE"""),"")</f>
        <v/>
      </c>
      <c r="C2941" t="str">
        <f>IFERROR(__xludf.DUMMYFUNCTION("""COMPUTED_VALUE"""),"")</f>
        <v/>
      </c>
      <c r="D2941" t="str">
        <f>IFERROR(__xludf.DUMMYFUNCTION("""COMPUTED_VALUE"""),"")</f>
        <v/>
      </c>
      <c r="E2941" t="str">
        <f>IFERROR(__xludf.DUMMYFUNCTION("""COMPUTED_VALUE"""),"")</f>
        <v/>
      </c>
      <c r="F2941" t="str">
        <f>IFERROR(__xludf.DUMMYFUNCTION("""COMPUTED_VALUE"""),"")</f>
        <v/>
      </c>
      <c r="G2941" t="str">
        <f>IFERROR(__xludf.DUMMYFUNCTION("""COMPUTED_VALUE"""),"")</f>
        <v/>
      </c>
      <c r="H2941" s="2" t="str">
        <f>IFERROR(__xludf.DUMMYFUNCTION("""COMPUTED_VALUE"""),"")</f>
        <v/>
      </c>
      <c r="I2941" s="2" t="str">
        <f>IFERROR(__xludf.DUMMYFUNCTION("""COMPUTED_VALUE"""),"")</f>
        <v/>
      </c>
      <c r="J2941" s="2">
        <f>IFERROR(__xludf.DUMMYFUNCTION("""COMPUTED_VALUE"""),0.0)</f>
        <v>0</v>
      </c>
      <c r="K2941" s="5" t="str">
        <f>IFERROR(__xludf.DUMMYFUNCTION("""COMPUTED_VALUE"""),"")</f>
        <v/>
      </c>
      <c r="L2941" t="str">
        <f>IFERROR(__xludf.DUMMYFUNCTION("""COMPUTED_VALUE"""),"")</f>
        <v/>
      </c>
      <c r="M2941" t="str">
        <f>IFERROR(__xludf.DUMMYFUNCTION("""COMPUTED_VALUE"""),"")</f>
        <v/>
      </c>
      <c r="N2941" t="str">
        <f>IFERROR(__xludf.DUMMYFUNCTION("""COMPUTED_VALUE"""),"")</f>
        <v/>
      </c>
      <c r="O2941" t="str">
        <f>IFERROR(__xludf.DUMMYFUNCTION("""COMPUTED_VALUE"""),"")</f>
        <v/>
      </c>
      <c r="P2941" t="str">
        <f>IFERROR(__xludf.DUMMYFUNCTION("""COMPUTED_VALUE"""),"ID ")</f>
        <v>ID </v>
      </c>
    </row>
    <row r="2942">
      <c r="A2942" s="6" t="str">
        <f>IFERROR(__xludf.DUMMYFUNCTION("""COMPUTED_VALUE"""),"")</f>
        <v/>
      </c>
      <c r="C2942" t="str">
        <f>IFERROR(__xludf.DUMMYFUNCTION("""COMPUTED_VALUE"""),"")</f>
        <v/>
      </c>
      <c r="D2942" t="str">
        <f>IFERROR(__xludf.DUMMYFUNCTION("""COMPUTED_VALUE"""),"")</f>
        <v/>
      </c>
      <c r="E2942" t="str">
        <f>IFERROR(__xludf.DUMMYFUNCTION("""COMPUTED_VALUE"""),"")</f>
        <v/>
      </c>
      <c r="F2942" t="str">
        <f>IFERROR(__xludf.DUMMYFUNCTION("""COMPUTED_VALUE"""),"")</f>
        <v/>
      </c>
      <c r="G2942" t="str">
        <f>IFERROR(__xludf.DUMMYFUNCTION("""COMPUTED_VALUE"""),"")</f>
        <v/>
      </c>
      <c r="H2942" s="2" t="str">
        <f>IFERROR(__xludf.DUMMYFUNCTION("""COMPUTED_VALUE"""),"")</f>
        <v/>
      </c>
      <c r="I2942" s="2" t="str">
        <f>IFERROR(__xludf.DUMMYFUNCTION("""COMPUTED_VALUE"""),"")</f>
        <v/>
      </c>
      <c r="J2942" s="2">
        <f>IFERROR(__xludf.DUMMYFUNCTION("""COMPUTED_VALUE"""),0.0)</f>
        <v>0</v>
      </c>
      <c r="K2942" s="5" t="str">
        <f>IFERROR(__xludf.DUMMYFUNCTION("""COMPUTED_VALUE"""),"")</f>
        <v/>
      </c>
      <c r="L2942" t="str">
        <f>IFERROR(__xludf.DUMMYFUNCTION("""COMPUTED_VALUE"""),"")</f>
        <v/>
      </c>
      <c r="M2942" t="str">
        <f>IFERROR(__xludf.DUMMYFUNCTION("""COMPUTED_VALUE"""),"")</f>
        <v/>
      </c>
      <c r="N2942" t="str">
        <f>IFERROR(__xludf.DUMMYFUNCTION("""COMPUTED_VALUE"""),"")</f>
        <v/>
      </c>
      <c r="O2942" t="str">
        <f>IFERROR(__xludf.DUMMYFUNCTION("""COMPUTED_VALUE"""),"")</f>
        <v/>
      </c>
      <c r="P2942" t="str">
        <f>IFERROR(__xludf.DUMMYFUNCTION("""COMPUTED_VALUE"""),"ID ")</f>
        <v>ID </v>
      </c>
    </row>
    <row r="2943">
      <c r="A2943" s="6" t="str">
        <f>IFERROR(__xludf.DUMMYFUNCTION("""COMPUTED_VALUE"""),"")</f>
        <v/>
      </c>
      <c r="C2943" t="str">
        <f>IFERROR(__xludf.DUMMYFUNCTION("""COMPUTED_VALUE"""),"")</f>
        <v/>
      </c>
      <c r="D2943" t="str">
        <f>IFERROR(__xludf.DUMMYFUNCTION("""COMPUTED_VALUE"""),"")</f>
        <v/>
      </c>
      <c r="E2943" t="str">
        <f>IFERROR(__xludf.DUMMYFUNCTION("""COMPUTED_VALUE"""),"")</f>
        <v/>
      </c>
      <c r="F2943" t="str">
        <f>IFERROR(__xludf.DUMMYFUNCTION("""COMPUTED_VALUE"""),"")</f>
        <v/>
      </c>
      <c r="G2943" t="str">
        <f>IFERROR(__xludf.DUMMYFUNCTION("""COMPUTED_VALUE"""),"")</f>
        <v/>
      </c>
      <c r="H2943" s="2" t="str">
        <f>IFERROR(__xludf.DUMMYFUNCTION("""COMPUTED_VALUE"""),"")</f>
        <v/>
      </c>
      <c r="I2943" s="2" t="str">
        <f>IFERROR(__xludf.DUMMYFUNCTION("""COMPUTED_VALUE"""),"")</f>
        <v/>
      </c>
      <c r="J2943" s="2">
        <f>IFERROR(__xludf.DUMMYFUNCTION("""COMPUTED_VALUE"""),0.0)</f>
        <v>0</v>
      </c>
      <c r="K2943" s="5" t="str">
        <f>IFERROR(__xludf.DUMMYFUNCTION("""COMPUTED_VALUE"""),"")</f>
        <v/>
      </c>
      <c r="L2943" t="str">
        <f>IFERROR(__xludf.DUMMYFUNCTION("""COMPUTED_VALUE"""),"")</f>
        <v/>
      </c>
      <c r="M2943" t="str">
        <f>IFERROR(__xludf.DUMMYFUNCTION("""COMPUTED_VALUE"""),"")</f>
        <v/>
      </c>
      <c r="N2943" t="str">
        <f>IFERROR(__xludf.DUMMYFUNCTION("""COMPUTED_VALUE"""),"")</f>
        <v/>
      </c>
      <c r="O2943" t="str">
        <f>IFERROR(__xludf.DUMMYFUNCTION("""COMPUTED_VALUE"""),"")</f>
        <v/>
      </c>
      <c r="P2943" t="str">
        <f>IFERROR(__xludf.DUMMYFUNCTION("""COMPUTED_VALUE"""),"ID ")</f>
        <v>ID </v>
      </c>
    </row>
    <row r="2944">
      <c r="A2944" s="6" t="str">
        <f>IFERROR(__xludf.DUMMYFUNCTION("""COMPUTED_VALUE"""),"")</f>
        <v/>
      </c>
      <c r="C2944" t="str">
        <f>IFERROR(__xludf.DUMMYFUNCTION("""COMPUTED_VALUE"""),"")</f>
        <v/>
      </c>
      <c r="D2944" t="str">
        <f>IFERROR(__xludf.DUMMYFUNCTION("""COMPUTED_VALUE"""),"")</f>
        <v/>
      </c>
      <c r="E2944" t="str">
        <f>IFERROR(__xludf.DUMMYFUNCTION("""COMPUTED_VALUE"""),"")</f>
        <v/>
      </c>
      <c r="F2944" t="str">
        <f>IFERROR(__xludf.DUMMYFUNCTION("""COMPUTED_VALUE"""),"")</f>
        <v/>
      </c>
      <c r="G2944" t="str">
        <f>IFERROR(__xludf.DUMMYFUNCTION("""COMPUTED_VALUE"""),"")</f>
        <v/>
      </c>
      <c r="H2944" s="2" t="str">
        <f>IFERROR(__xludf.DUMMYFUNCTION("""COMPUTED_VALUE"""),"")</f>
        <v/>
      </c>
      <c r="I2944" s="2" t="str">
        <f>IFERROR(__xludf.DUMMYFUNCTION("""COMPUTED_VALUE"""),"")</f>
        <v/>
      </c>
      <c r="J2944" s="2">
        <f>IFERROR(__xludf.DUMMYFUNCTION("""COMPUTED_VALUE"""),0.0)</f>
        <v>0</v>
      </c>
      <c r="K2944" s="5" t="str">
        <f>IFERROR(__xludf.DUMMYFUNCTION("""COMPUTED_VALUE"""),"")</f>
        <v/>
      </c>
      <c r="L2944" t="str">
        <f>IFERROR(__xludf.DUMMYFUNCTION("""COMPUTED_VALUE"""),"")</f>
        <v/>
      </c>
      <c r="M2944" t="str">
        <f>IFERROR(__xludf.DUMMYFUNCTION("""COMPUTED_VALUE"""),"")</f>
        <v/>
      </c>
      <c r="N2944" t="str">
        <f>IFERROR(__xludf.DUMMYFUNCTION("""COMPUTED_VALUE"""),"")</f>
        <v/>
      </c>
      <c r="O2944" t="str">
        <f>IFERROR(__xludf.DUMMYFUNCTION("""COMPUTED_VALUE"""),"")</f>
        <v/>
      </c>
      <c r="P2944" t="str">
        <f>IFERROR(__xludf.DUMMYFUNCTION("""COMPUTED_VALUE"""),"ID ")</f>
        <v>ID </v>
      </c>
    </row>
    <row r="2945">
      <c r="A2945" s="6" t="str">
        <f>IFERROR(__xludf.DUMMYFUNCTION("""COMPUTED_VALUE"""),"")</f>
        <v/>
      </c>
      <c r="C2945" t="str">
        <f>IFERROR(__xludf.DUMMYFUNCTION("""COMPUTED_VALUE"""),"")</f>
        <v/>
      </c>
      <c r="D2945" t="str">
        <f>IFERROR(__xludf.DUMMYFUNCTION("""COMPUTED_VALUE"""),"")</f>
        <v/>
      </c>
      <c r="E2945" t="str">
        <f>IFERROR(__xludf.DUMMYFUNCTION("""COMPUTED_VALUE"""),"")</f>
        <v/>
      </c>
      <c r="F2945" t="str">
        <f>IFERROR(__xludf.DUMMYFUNCTION("""COMPUTED_VALUE"""),"")</f>
        <v/>
      </c>
      <c r="G2945" t="str">
        <f>IFERROR(__xludf.DUMMYFUNCTION("""COMPUTED_VALUE"""),"")</f>
        <v/>
      </c>
      <c r="H2945" s="2" t="str">
        <f>IFERROR(__xludf.DUMMYFUNCTION("""COMPUTED_VALUE"""),"")</f>
        <v/>
      </c>
      <c r="I2945" s="2" t="str">
        <f>IFERROR(__xludf.DUMMYFUNCTION("""COMPUTED_VALUE"""),"")</f>
        <v/>
      </c>
      <c r="J2945" s="2">
        <f>IFERROR(__xludf.DUMMYFUNCTION("""COMPUTED_VALUE"""),0.0)</f>
        <v>0</v>
      </c>
      <c r="K2945" s="5" t="str">
        <f>IFERROR(__xludf.DUMMYFUNCTION("""COMPUTED_VALUE"""),"")</f>
        <v/>
      </c>
      <c r="L2945" t="str">
        <f>IFERROR(__xludf.DUMMYFUNCTION("""COMPUTED_VALUE"""),"")</f>
        <v/>
      </c>
      <c r="M2945" t="str">
        <f>IFERROR(__xludf.DUMMYFUNCTION("""COMPUTED_VALUE"""),"")</f>
        <v/>
      </c>
      <c r="N2945" t="str">
        <f>IFERROR(__xludf.DUMMYFUNCTION("""COMPUTED_VALUE"""),"")</f>
        <v/>
      </c>
      <c r="O2945" t="str">
        <f>IFERROR(__xludf.DUMMYFUNCTION("""COMPUTED_VALUE"""),"")</f>
        <v/>
      </c>
      <c r="P2945" t="str">
        <f>IFERROR(__xludf.DUMMYFUNCTION("""COMPUTED_VALUE"""),"ID ")</f>
        <v>ID </v>
      </c>
    </row>
    <row r="2946">
      <c r="A2946" s="6" t="str">
        <f>IFERROR(__xludf.DUMMYFUNCTION("""COMPUTED_VALUE"""),"")</f>
        <v/>
      </c>
      <c r="C2946" t="str">
        <f>IFERROR(__xludf.DUMMYFUNCTION("""COMPUTED_VALUE"""),"")</f>
        <v/>
      </c>
      <c r="D2946" t="str">
        <f>IFERROR(__xludf.DUMMYFUNCTION("""COMPUTED_VALUE"""),"")</f>
        <v/>
      </c>
      <c r="E2946" t="str">
        <f>IFERROR(__xludf.DUMMYFUNCTION("""COMPUTED_VALUE"""),"")</f>
        <v/>
      </c>
      <c r="F2946" t="str">
        <f>IFERROR(__xludf.DUMMYFUNCTION("""COMPUTED_VALUE"""),"")</f>
        <v/>
      </c>
      <c r="G2946" t="str">
        <f>IFERROR(__xludf.DUMMYFUNCTION("""COMPUTED_VALUE"""),"")</f>
        <v/>
      </c>
      <c r="H2946" s="2" t="str">
        <f>IFERROR(__xludf.DUMMYFUNCTION("""COMPUTED_VALUE"""),"")</f>
        <v/>
      </c>
      <c r="I2946" s="2" t="str">
        <f>IFERROR(__xludf.DUMMYFUNCTION("""COMPUTED_VALUE"""),"")</f>
        <v/>
      </c>
      <c r="J2946" s="2">
        <f>IFERROR(__xludf.DUMMYFUNCTION("""COMPUTED_VALUE"""),0.0)</f>
        <v>0</v>
      </c>
      <c r="K2946" s="5" t="str">
        <f>IFERROR(__xludf.DUMMYFUNCTION("""COMPUTED_VALUE"""),"")</f>
        <v/>
      </c>
      <c r="L2946" t="str">
        <f>IFERROR(__xludf.DUMMYFUNCTION("""COMPUTED_VALUE"""),"")</f>
        <v/>
      </c>
      <c r="M2946" t="str">
        <f>IFERROR(__xludf.DUMMYFUNCTION("""COMPUTED_VALUE"""),"")</f>
        <v/>
      </c>
      <c r="N2946" t="str">
        <f>IFERROR(__xludf.DUMMYFUNCTION("""COMPUTED_VALUE"""),"")</f>
        <v/>
      </c>
      <c r="O2946" t="str">
        <f>IFERROR(__xludf.DUMMYFUNCTION("""COMPUTED_VALUE"""),"")</f>
        <v/>
      </c>
      <c r="P2946" t="str">
        <f>IFERROR(__xludf.DUMMYFUNCTION("""COMPUTED_VALUE"""),"ID ")</f>
        <v>ID </v>
      </c>
    </row>
    <row r="2947">
      <c r="A2947" s="6" t="str">
        <f>IFERROR(__xludf.DUMMYFUNCTION("""COMPUTED_VALUE"""),"")</f>
        <v/>
      </c>
      <c r="C2947" t="str">
        <f>IFERROR(__xludf.DUMMYFUNCTION("""COMPUTED_VALUE"""),"")</f>
        <v/>
      </c>
      <c r="D2947" t="str">
        <f>IFERROR(__xludf.DUMMYFUNCTION("""COMPUTED_VALUE"""),"")</f>
        <v/>
      </c>
      <c r="E2947" t="str">
        <f>IFERROR(__xludf.DUMMYFUNCTION("""COMPUTED_VALUE"""),"")</f>
        <v/>
      </c>
      <c r="F2947" t="str">
        <f>IFERROR(__xludf.DUMMYFUNCTION("""COMPUTED_VALUE"""),"")</f>
        <v/>
      </c>
      <c r="G2947" t="str">
        <f>IFERROR(__xludf.DUMMYFUNCTION("""COMPUTED_VALUE"""),"")</f>
        <v/>
      </c>
      <c r="H2947" s="2" t="str">
        <f>IFERROR(__xludf.DUMMYFUNCTION("""COMPUTED_VALUE"""),"")</f>
        <v/>
      </c>
      <c r="I2947" s="2" t="str">
        <f>IFERROR(__xludf.DUMMYFUNCTION("""COMPUTED_VALUE"""),"")</f>
        <v/>
      </c>
      <c r="J2947" s="2">
        <f>IFERROR(__xludf.DUMMYFUNCTION("""COMPUTED_VALUE"""),0.0)</f>
        <v>0</v>
      </c>
      <c r="K2947" s="5" t="str">
        <f>IFERROR(__xludf.DUMMYFUNCTION("""COMPUTED_VALUE"""),"")</f>
        <v/>
      </c>
      <c r="L2947" t="str">
        <f>IFERROR(__xludf.DUMMYFUNCTION("""COMPUTED_VALUE"""),"")</f>
        <v/>
      </c>
      <c r="M2947" t="str">
        <f>IFERROR(__xludf.DUMMYFUNCTION("""COMPUTED_VALUE"""),"")</f>
        <v/>
      </c>
      <c r="N2947" t="str">
        <f>IFERROR(__xludf.DUMMYFUNCTION("""COMPUTED_VALUE"""),"")</f>
        <v/>
      </c>
      <c r="O2947" t="str">
        <f>IFERROR(__xludf.DUMMYFUNCTION("""COMPUTED_VALUE"""),"")</f>
        <v/>
      </c>
      <c r="P2947" t="str">
        <f>IFERROR(__xludf.DUMMYFUNCTION("""COMPUTED_VALUE"""),"ID ")</f>
        <v>ID </v>
      </c>
    </row>
    <row r="2948">
      <c r="A2948" s="6" t="str">
        <f>IFERROR(__xludf.DUMMYFUNCTION("""COMPUTED_VALUE"""),"")</f>
        <v/>
      </c>
      <c r="C2948" t="str">
        <f>IFERROR(__xludf.DUMMYFUNCTION("""COMPUTED_VALUE"""),"")</f>
        <v/>
      </c>
      <c r="D2948" t="str">
        <f>IFERROR(__xludf.DUMMYFUNCTION("""COMPUTED_VALUE"""),"")</f>
        <v/>
      </c>
      <c r="E2948" t="str">
        <f>IFERROR(__xludf.DUMMYFUNCTION("""COMPUTED_VALUE"""),"")</f>
        <v/>
      </c>
      <c r="F2948" t="str">
        <f>IFERROR(__xludf.DUMMYFUNCTION("""COMPUTED_VALUE"""),"")</f>
        <v/>
      </c>
      <c r="G2948" t="str">
        <f>IFERROR(__xludf.DUMMYFUNCTION("""COMPUTED_VALUE"""),"")</f>
        <v/>
      </c>
      <c r="H2948" s="2" t="str">
        <f>IFERROR(__xludf.DUMMYFUNCTION("""COMPUTED_VALUE"""),"")</f>
        <v/>
      </c>
      <c r="I2948" s="2" t="str">
        <f>IFERROR(__xludf.DUMMYFUNCTION("""COMPUTED_VALUE"""),"")</f>
        <v/>
      </c>
      <c r="J2948" s="2">
        <f>IFERROR(__xludf.DUMMYFUNCTION("""COMPUTED_VALUE"""),0.0)</f>
        <v>0</v>
      </c>
      <c r="K2948" s="5" t="str">
        <f>IFERROR(__xludf.DUMMYFUNCTION("""COMPUTED_VALUE"""),"")</f>
        <v/>
      </c>
      <c r="L2948" t="str">
        <f>IFERROR(__xludf.DUMMYFUNCTION("""COMPUTED_VALUE"""),"")</f>
        <v/>
      </c>
      <c r="M2948" t="str">
        <f>IFERROR(__xludf.DUMMYFUNCTION("""COMPUTED_VALUE"""),"")</f>
        <v/>
      </c>
      <c r="N2948" t="str">
        <f>IFERROR(__xludf.DUMMYFUNCTION("""COMPUTED_VALUE"""),"")</f>
        <v/>
      </c>
      <c r="O2948" t="str">
        <f>IFERROR(__xludf.DUMMYFUNCTION("""COMPUTED_VALUE"""),"")</f>
        <v/>
      </c>
      <c r="P2948" t="str">
        <f>IFERROR(__xludf.DUMMYFUNCTION("""COMPUTED_VALUE"""),"ID ")</f>
        <v>ID </v>
      </c>
    </row>
    <row r="2949">
      <c r="A2949" s="6" t="str">
        <f>IFERROR(__xludf.DUMMYFUNCTION("""COMPUTED_VALUE"""),"")</f>
        <v/>
      </c>
      <c r="C2949" t="str">
        <f>IFERROR(__xludf.DUMMYFUNCTION("""COMPUTED_VALUE"""),"")</f>
        <v/>
      </c>
      <c r="D2949" t="str">
        <f>IFERROR(__xludf.DUMMYFUNCTION("""COMPUTED_VALUE"""),"")</f>
        <v/>
      </c>
      <c r="E2949" t="str">
        <f>IFERROR(__xludf.DUMMYFUNCTION("""COMPUTED_VALUE"""),"")</f>
        <v/>
      </c>
      <c r="F2949" t="str">
        <f>IFERROR(__xludf.DUMMYFUNCTION("""COMPUTED_VALUE"""),"")</f>
        <v/>
      </c>
      <c r="G2949" t="str">
        <f>IFERROR(__xludf.DUMMYFUNCTION("""COMPUTED_VALUE"""),"")</f>
        <v/>
      </c>
      <c r="H2949" s="2" t="str">
        <f>IFERROR(__xludf.DUMMYFUNCTION("""COMPUTED_VALUE"""),"")</f>
        <v/>
      </c>
      <c r="I2949" s="2" t="str">
        <f>IFERROR(__xludf.DUMMYFUNCTION("""COMPUTED_VALUE"""),"")</f>
        <v/>
      </c>
      <c r="J2949" s="2">
        <f>IFERROR(__xludf.DUMMYFUNCTION("""COMPUTED_VALUE"""),0.0)</f>
        <v>0</v>
      </c>
      <c r="K2949" s="5" t="str">
        <f>IFERROR(__xludf.DUMMYFUNCTION("""COMPUTED_VALUE"""),"")</f>
        <v/>
      </c>
      <c r="L2949" t="str">
        <f>IFERROR(__xludf.DUMMYFUNCTION("""COMPUTED_VALUE"""),"")</f>
        <v/>
      </c>
      <c r="M2949" t="str">
        <f>IFERROR(__xludf.DUMMYFUNCTION("""COMPUTED_VALUE"""),"")</f>
        <v/>
      </c>
      <c r="N2949" t="str">
        <f>IFERROR(__xludf.DUMMYFUNCTION("""COMPUTED_VALUE"""),"")</f>
        <v/>
      </c>
      <c r="O2949" t="str">
        <f>IFERROR(__xludf.DUMMYFUNCTION("""COMPUTED_VALUE"""),"")</f>
        <v/>
      </c>
      <c r="P2949" t="str">
        <f>IFERROR(__xludf.DUMMYFUNCTION("""COMPUTED_VALUE"""),"ID ")</f>
        <v>ID </v>
      </c>
    </row>
    <row r="2950">
      <c r="A2950" s="6" t="str">
        <f>IFERROR(__xludf.DUMMYFUNCTION("""COMPUTED_VALUE"""),"")</f>
        <v/>
      </c>
      <c r="C2950" t="str">
        <f>IFERROR(__xludf.DUMMYFUNCTION("""COMPUTED_VALUE"""),"")</f>
        <v/>
      </c>
      <c r="D2950" t="str">
        <f>IFERROR(__xludf.DUMMYFUNCTION("""COMPUTED_VALUE"""),"")</f>
        <v/>
      </c>
      <c r="E2950" t="str">
        <f>IFERROR(__xludf.DUMMYFUNCTION("""COMPUTED_VALUE"""),"")</f>
        <v/>
      </c>
      <c r="F2950" t="str">
        <f>IFERROR(__xludf.DUMMYFUNCTION("""COMPUTED_VALUE"""),"")</f>
        <v/>
      </c>
      <c r="G2950" t="str">
        <f>IFERROR(__xludf.DUMMYFUNCTION("""COMPUTED_VALUE"""),"")</f>
        <v/>
      </c>
      <c r="H2950" s="2" t="str">
        <f>IFERROR(__xludf.DUMMYFUNCTION("""COMPUTED_VALUE"""),"")</f>
        <v/>
      </c>
      <c r="I2950" s="2" t="str">
        <f>IFERROR(__xludf.DUMMYFUNCTION("""COMPUTED_VALUE"""),"")</f>
        <v/>
      </c>
      <c r="J2950" s="2">
        <f>IFERROR(__xludf.DUMMYFUNCTION("""COMPUTED_VALUE"""),0.0)</f>
        <v>0</v>
      </c>
      <c r="K2950" s="5" t="str">
        <f>IFERROR(__xludf.DUMMYFUNCTION("""COMPUTED_VALUE"""),"")</f>
        <v/>
      </c>
      <c r="L2950" t="str">
        <f>IFERROR(__xludf.DUMMYFUNCTION("""COMPUTED_VALUE"""),"")</f>
        <v/>
      </c>
      <c r="M2950" t="str">
        <f>IFERROR(__xludf.DUMMYFUNCTION("""COMPUTED_VALUE"""),"")</f>
        <v/>
      </c>
      <c r="N2950" t="str">
        <f>IFERROR(__xludf.DUMMYFUNCTION("""COMPUTED_VALUE"""),"")</f>
        <v/>
      </c>
      <c r="O2950" t="str">
        <f>IFERROR(__xludf.DUMMYFUNCTION("""COMPUTED_VALUE"""),"")</f>
        <v/>
      </c>
      <c r="P2950" t="str">
        <f>IFERROR(__xludf.DUMMYFUNCTION("""COMPUTED_VALUE"""),"ID ")</f>
        <v>ID </v>
      </c>
    </row>
    <row r="2951">
      <c r="A2951" s="6" t="str">
        <f>IFERROR(__xludf.DUMMYFUNCTION("""COMPUTED_VALUE"""),"")</f>
        <v/>
      </c>
      <c r="C2951" t="str">
        <f>IFERROR(__xludf.DUMMYFUNCTION("""COMPUTED_VALUE"""),"")</f>
        <v/>
      </c>
      <c r="D2951" t="str">
        <f>IFERROR(__xludf.DUMMYFUNCTION("""COMPUTED_VALUE"""),"")</f>
        <v/>
      </c>
      <c r="E2951" t="str">
        <f>IFERROR(__xludf.DUMMYFUNCTION("""COMPUTED_VALUE"""),"")</f>
        <v/>
      </c>
      <c r="F2951" t="str">
        <f>IFERROR(__xludf.DUMMYFUNCTION("""COMPUTED_VALUE"""),"")</f>
        <v/>
      </c>
      <c r="G2951" t="str">
        <f>IFERROR(__xludf.DUMMYFUNCTION("""COMPUTED_VALUE"""),"")</f>
        <v/>
      </c>
      <c r="H2951" s="2" t="str">
        <f>IFERROR(__xludf.DUMMYFUNCTION("""COMPUTED_VALUE"""),"")</f>
        <v/>
      </c>
      <c r="I2951" s="2" t="str">
        <f>IFERROR(__xludf.DUMMYFUNCTION("""COMPUTED_VALUE"""),"")</f>
        <v/>
      </c>
      <c r="J2951" s="2">
        <f>IFERROR(__xludf.DUMMYFUNCTION("""COMPUTED_VALUE"""),0.0)</f>
        <v>0</v>
      </c>
      <c r="K2951" s="5" t="str">
        <f>IFERROR(__xludf.DUMMYFUNCTION("""COMPUTED_VALUE"""),"")</f>
        <v/>
      </c>
      <c r="L2951" t="str">
        <f>IFERROR(__xludf.DUMMYFUNCTION("""COMPUTED_VALUE"""),"")</f>
        <v/>
      </c>
      <c r="M2951" t="str">
        <f>IFERROR(__xludf.DUMMYFUNCTION("""COMPUTED_VALUE"""),"")</f>
        <v/>
      </c>
      <c r="N2951" t="str">
        <f>IFERROR(__xludf.DUMMYFUNCTION("""COMPUTED_VALUE"""),"")</f>
        <v/>
      </c>
      <c r="O2951" t="str">
        <f>IFERROR(__xludf.DUMMYFUNCTION("""COMPUTED_VALUE"""),"")</f>
        <v/>
      </c>
      <c r="P2951" t="str">
        <f>IFERROR(__xludf.DUMMYFUNCTION("""COMPUTED_VALUE"""),"ID ")</f>
        <v>ID </v>
      </c>
    </row>
    <row r="2952">
      <c r="A2952" s="6" t="str">
        <f>IFERROR(__xludf.DUMMYFUNCTION("""COMPUTED_VALUE"""),"")</f>
        <v/>
      </c>
      <c r="C2952" t="str">
        <f>IFERROR(__xludf.DUMMYFUNCTION("""COMPUTED_VALUE"""),"")</f>
        <v/>
      </c>
      <c r="D2952" t="str">
        <f>IFERROR(__xludf.DUMMYFUNCTION("""COMPUTED_VALUE"""),"")</f>
        <v/>
      </c>
      <c r="E2952" t="str">
        <f>IFERROR(__xludf.DUMMYFUNCTION("""COMPUTED_VALUE"""),"")</f>
        <v/>
      </c>
      <c r="F2952" t="str">
        <f>IFERROR(__xludf.DUMMYFUNCTION("""COMPUTED_VALUE"""),"")</f>
        <v/>
      </c>
      <c r="G2952" t="str">
        <f>IFERROR(__xludf.DUMMYFUNCTION("""COMPUTED_VALUE"""),"")</f>
        <v/>
      </c>
      <c r="H2952" s="2" t="str">
        <f>IFERROR(__xludf.DUMMYFUNCTION("""COMPUTED_VALUE"""),"")</f>
        <v/>
      </c>
      <c r="I2952" s="2" t="str">
        <f>IFERROR(__xludf.DUMMYFUNCTION("""COMPUTED_VALUE"""),"")</f>
        <v/>
      </c>
      <c r="J2952" s="2">
        <f>IFERROR(__xludf.DUMMYFUNCTION("""COMPUTED_VALUE"""),0.0)</f>
        <v>0</v>
      </c>
      <c r="K2952" s="5" t="str">
        <f>IFERROR(__xludf.DUMMYFUNCTION("""COMPUTED_VALUE"""),"")</f>
        <v/>
      </c>
      <c r="L2952" t="str">
        <f>IFERROR(__xludf.DUMMYFUNCTION("""COMPUTED_VALUE"""),"")</f>
        <v/>
      </c>
      <c r="M2952" t="str">
        <f>IFERROR(__xludf.DUMMYFUNCTION("""COMPUTED_VALUE"""),"")</f>
        <v/>
      </c>
      <c r="N2952" t="str">
        <f>IFERROR(__xludf.DUMMYFUNCTION("""COMPUTED_VALUE"""),"")</f>
        <v/>
      </c>
      <c r="O2952" t="str">
        <f>IFERROR(__xludf.DUMMYFUNCTION("""COMPUTED_VALUE"""),"")</f>
        <v/>
      </c>
      <c r="P2952" t="str">
        <f>IFERROR(__xludf.DUMMYFUNCTION("""COMPUTED_VALUE"""),"ID ")</f>
        <v>ID </v>
      </c>
    </row>
    <row r="2953">
      <c r="A2953" s="6" t="str">
        <f>IFERROR(__xludf.DUMMYFUNCTION("""COMPUTED_VALUE"""),"")</f>
        <v/>
      </c>
      <c r="C2953" t="str">
        <f>IFERROR(__xludf.DUMMYFUNCTION("""COMPUTED_VALUE"""),"")</f>
        <v/>
      </c>
      <c r="D2953" t="str">
        <f>IFERROR(__xludf.DUMMYFUNCTION("""COMPUTED_VALUE"""),"")</f>
        <v/>
      </c>
      <c r="E2953" t="str">
        <f>IFERROR(__xludf.DUMMYFUNCTION("""COMPUTED_VALUE"""),"")</f>
        <v/>
      </c>
      <c r="F2953" t="str">
        <f>IFERROR(__xludf.DUMMYFUNCTION("""COMPUTED_VALUE"""),"")</f>
        <v/>
      </c>
      <c r="G2953" t="str">
        <f>IFERROR(__xludf.DUMMYFUNCTION("""COMPUTED_VALUE"""),"")</f>
        <v/>
      </c>
      <c r="H2953" s="2" t="str">
        <f>IFERROR(__xludf.DUMMYFUNCTION("""COMPUTED_VALUE"""),"")</f>
        <v/>
      </c>
      <c r="I2953" s="2" t="str">
        <f>IFERROR(__xludf.DUMMYFUNCTION("""COMPUTED_VALUE"""),"")</f>
        <v/>
      </c>
      <c r="J2953" s="2">
        <f>IFERROR(__xludf.DUMMYFUNCTION("""COMPUTED_VALUE"""),0.0)</f>
        <v>0</v>
      </c>
      <c r="K2953" s="5" t="str">
        <f>IFERROR(__xludf.DUMMYFUNCTION("""COMPUTED_VALUE"""),"")</f>
        <v/>
      </c>
      <c r="L2953" t="str">
        <f>IFERROR(__xludf.DUMMYFUNCTION("""COMPUTED_VALUE"""),"")</f>
        <v/>
      </c>
      <c r="M2953" t="str">
        <f>IFERROR(__xludf.DUMMYFUNCTION("""COMPUTED_VALUE"""),"")</f>
        <v/>
      </c>
      <c r="N2953" t="str">
        <f>IFERROR(__xludf.DUMMYFUNCTION("""COMPUTED_VALUE"""),"")</f>
        <v/>
      </c>
      <c r="O2953" t="str">
        <f>IFERROR(__xludf.DUMMYFUNCTION("""COMPUTED_VALUE"""),"")</f>
        <v/>
      </c>
      <c r="P2953" t="str">
        <f>IFERROR(__xludf.DUMMYFUNCTION("""COMPUTED_VALUE"""),"ID ")</f>
        <v>ID </v>
      </c>
    </row>
    <row r="2954">
      <c r="A2954" s="6" t="str">
        <f>IFERROR(__xludf.DUMMYFUNCTION("""COMPUTED_VALUE"""),"")</f>
        <v/>
      </c>
      <c r="C2954" t="str">
        <f>IFERROR(__xludf.DUMMYFUNCTION("""COMPUTED_VALUE"""),"")</f>
        <v/>
      </c>
      <c r="D2954" t="str">
        <f>IFERROR(__xludf.DUMMYFUNCTION("""COMPUTED_VALUE"""),"")</f>
        <v/>
      </c>
      <c r="E2954" t="str">
        <f>IFERROR(__xludf.DUMMYFUNCTION("""COMPUTED_VALUE"""),"")</f>
        <v/>
      </c>
      <c r="F2954" t="str">
        <f>IFERROR(__xludf.DUMMYFUNCTION("""COMPUTED_VALUE"""),"")</f>
        <v/>
      </c>
      <c r="G2954" t="str">
        <f>IFERROR(__xludf.DUMMYFUNCTION("""COMPUTED_VALUE"""),"")</f>
        <v/>
      </c>
      <c r="H2954" s="2" t="str">
        <f>IFERROR(__xludf.DUMMYFUNCTION("""COMPUTED_VALUE"""),"")</f>
        <v/>
      </c>
      <c r="I2954" s="2" t="str">
        <f>IFERROR(__xludf.DUMMYFUNCTION("""COMPUTED_VALUE"""),"")</f>
        <v/>
      </c>
      <c r="J2954" s="2">
        <f>IFERROR(__xludf.DUMMYFUNCTION("""COMPUTED_VALUE"""),0.0)</f>
        <v>0</v>
      </c>
      <c r="K2954" s="5" t="str">
        <f>IFERROR(__xludf.DUMMYFUNCTION("""COMPUTED_VALUE"""),"")</f>
        <v/>
      </c>
      <c r="L2954" t="str">
        <f>IFERROR(__xludf.DUMMYFUNCTION("""COMPUTED_VALUE"""),"")</f>
        <v/>
      </c>
      <c r="M2954" t="str">
        <f>IFERROR(__xludf.DUMMYFUNCTION("""COMPUTED_VALUE"""),"")</f>
        <v/>
      </c>
      <c r="N2954" t="str">
        <f>IFERROR(__xludf.DUMMYFUNCTION("""COMPUTED_VALUE"""),"")</f>
        <v/>
      </c>
      <c r="O2954" t="str">
        <f>IFERROR(__xludf.DUMMYFUNCTION("""COMPUTED_VALUE"""),"")</f>
        <v/>
      </c>
      <c r="P2954" t="str">
        <f>IFERROR(__xludf.DUMMYFUNCTION("""COMPUTED_VALUE"""),"ID ")</f>
        <v>ID </v>
      </c>
    </row>
    <row r="2955">
      <c r="A2955" s="6" t="str">
        <f>IFERROR(__xludf.DUMMYFUNCTION("""COMPUTED_VALUE"""),"")</f>
        <v/>
      </c>
      <c r="C2955" t="str">
        <f>IFERROR(__xludf.DUMMYFUNCTION("""COMPUTED_VALUE"""),"")</f>
        <v/>
      </c>
      <c r="D2955" t="str">
        <f>IFERROR(__xludf.DUMMYFUNCTION("""COMPUTED_VALUE"""),"")</f>
        <v/>
      </c>
      <c r="E2955" t="str">
        <f>IFERROR(__xludf.DUMMYFUNCTION("""COMPUTED_VALUE"""),"")</f>
        <v/>
      </c>
      <c r="F2955" t="str">
        <f>IFERROR(__xludf.DUMMYFUNCTION("""COMPUTED_VALUE"""),"")</f>
        <v/>
      </c>
      <c r="G2955" t="str">
        <f>IFERROR(__xludf.DUMMYFUNCTION("""COMPUTED_VALUE"""),"")</f>
        <v/>
      </c>
      <c r="H2955" s="2" t="str">
        <f>IFERROR(__xludf.DUMMYFUNCTION("""COMPUTED_VALUE"""),"")</f>
        <v/>
      </c>
      <c r="I2955" s="2" t="str">
        <f>IFERROR(__xludf.DUMMYFUNCTION("""COMPUTED_VALUE"""),"")</f>
        <v/>
      </c>
      <c r="J2955" s="2">
        <f>IFERROR(__xludf.DUMMYFUNCTION("""COMPUTED_VALUE"""),0.0)</f>
        <v>0</v>
      </c>
      <c r="K2955" s="5" t="str">
        <f>IFERROR(__xludf.DUMMYFUNCTION("""COMPUTED_VALUE"""),"")</f>
        <v/>
      </c>
      <c r="L2955" t="str">
        <f>IFERROR(__xludf.DUMMYFUNCTION("""COMPUTED_VALUE"""),"")</f>
        <v/>
      </c>
      <c r="M2955" t="str">
        <f>IFERROR(__xludf.DUMMYFUNCTION("""COMPUTED_VALUE"""),"")</f>
        <v/>
      </c>
      <c r="N2955" t="str">
        <f>IFERROR(__xludf.DUMMYFUNCTION("""COMPUTED_VALUE"""),"")</f>
        <v/>
      </c>
      <c r="O2955" t="str">
        <f>IFERROR(__xludf.DUMMYFUNCTION("""COMPUTED_VALUE"""),"")</f>
        <v/>
      </c>
      <c r="P2955" t="str">
        <f>IFERROR(__xludf.DUMMYFUNCTION("""COMPUTED_VALUE"""),"ID ")</f>
        <v>ID </v>
      </c>
    </row>
    <row r="2956">
      <c r="A2956" s="6" t="str">
        <f>IFERROR(__xludf.DUMMYFUNCTION("""COMPUTED_VALUE"""),"")</f>
        <v/>
      </c>
      <c r="C2956" t="str">
        <f>IFERROR(__xludf.DUMMYFUNCTION("""COMPUTED_VALUE"""),"")</f>
        <v/>
      </c>
      <c r="D2956" t="str">
        <f>IFERROR(__xludf.DUMMYFUNCTION("""COMPUTED_VALUE"""),"")</f>
        <v/>
      </c>
      <c r="E2956" t="str">
        <f>IFERROR(__xludf.DUMMYFUNCTION("""COMPUTED_VALUE"""),"")</f>
        <v/>
      </c>
      <c r="F2956" t="str">
        <f>IFERROR(__xludf.DUMMYFUNCTION("""COMPUTED_VALUE"""),"")</f>
        <v/>
      </c>
      <c r="G2956" t="str">
        <f>IFERROR(__xludf.DUMMYFUNCTION("""COMPUTED_VALUE"""),"")</f>
        <v/>
      </c>
      <c r="H2956" s="2" t="str">
        <f>IFERROR(__xludf.DUMMYFUNCTION("""COMPUTED_VALUE"""),"")</f>
        <v/>
      </c>
      <c r="I2956" s="2" t="str">
        <f>IFERROR(__xludf.DUMMYFUNCTION("""COMPUTED_VALUE"""),"")</f>
        <v/>
      </c>
      <c r="J2956" s="2">
        <f>IFERROR(__xludf.DUMMYFUNCTION("""COMPUTED_VALUE"""),0.0)</f>
        <v>0</v>
      </c>
      <c r="K2956" s="5" t="str">
        <f>IFERROR(__xludf.DUMMYFUNCTION("""COMPUTED_VALUE"""),"")</f>
        <v/>
      </c>
      <c r="L2956" t="str">
        <f>IFERROR(__xludf.DUMMYFUNCTION("""COMPUTED_VALUE"""),"")</f>
        <v/>
      </c>
      <c r="M2956" t="str">
        <f>IFERROR(__xludf.DUMMYFUNCTION("""COMPUTED_VALUE"""),"")</f>
        <v/>
      </c>
      <c r="N2956" t="str">
        <f>IFERROR(__xludf.DUMMYFUNCTION("""COMPUTED_VALUE"""),"")</f>
        <v/>
      </c>
      <c r="O2956" t="str">
        <f>IFERROR(__xludf.DUMMYFUNCTION("""COMPUTED_VALUE"""),"")</f>
        <v/>
      </c>
      <c r="P2956" t="str">
        <f>IFERROR(__xludf.DUMMYFUNCTION("""COMPUTED_VALUE"""),"ID ")</f>
        <v>ID </v>
      </c>
    </row>
    <row r="2957">
      <c r="A2957" s="6" t="str">
        <f>IFERROR(__xludf.DUMMYFUNCTION("""COMPUTED_VALUE"""),"")</f>
        <v/>
      </c>
      <c r="C2957" t="str">
        <f>IFERROR(__xludf.DUMMYFUNCTION("""COMPUTED_VALUE"""),"")</f>
        <v/>
      </c>
      <c r="D2957" t="str">
        <f>IFERROR(__xludf.DUMMYFUNCTION("""COMPUTED_VALUE"""),"")</f>
        <v/>
      </c>
      <c r="E2957" t="str">
        <f>IFERROR(__xludf.DUMMYFUNCTION("""COMPUTED_VALUE"""),"")</f>
        <v/>
      </c>
      <c r="F2957" t="str">
        <f>IFERROR(__xludf.DUMMYFUNCTION("""COMPUTED_VALUE"""),"")</f>
        <v/>
      </c>
      <c r="G2957" t="str">
        <f>IFERROR(__xludf.DUMMYFUNCTION("""COMPUTED_VALUE"""),"")</f>
        <v/>
      </c>
      <c r="H2957" s="2" t="str">
        <f>IFERROR(__xludf.DUMMYFUNCTION("""COMPUTED_VALUE"""),"")</f>
        <v/>
      </c>
      <c r="I2957" s="2" t="str">
        <f>IFERROR(__xludf.DUMMYFUNCTION("""COMPUTED_VALUE"""),"")</f>
        <v/>
      </c>
      <c r="J2957" s="2">
        <f>IFERROR(__xludf.DUMMYFUNCTION("""COMPUTED_VALUE"""),0.0)</f>
        <v>0</v>
      </c>
      <c r="K2957" s="5" t="str">
        <f>IFERROR(__xludf.DUMMYFUNCTION("""COMPUTED_VALUE"""),"")</f>
        <v/>
      </c>
      <c r="L2957" t="str">
        <f>IFERROR(__xludf.DUMMYFUNCTION("""COMPUTED_VALUE"""),"")</f>
        <v/>
      </c>
      <c r="M2957" t="str">
        <f>IFERROR(__xludf.DUMMYFUNCTION("""COMPUTED_VALUE"""),"")</f>
        <v/>
      </c>
      <c r="N2957" t="str">
        <f>IFERROR(__xludf.DUMMYFUNCTION("""COMPUTED_VALUE"""),"")</f>
        <v/>
      </c>
      <c r="O2957" t="str">
        <f>IFERROR(__xludf.DUMMYFUNCTION("""COMPUTED_VALUE"""),"")</f>
        <v/>
      </c>
      <c r="P2957" t="str">
        <f>IFERROR(__xludf.DUMMYFUNCTION("""COMPUTED_VALUE"""),"ID ")</f>
        <v>ID </v>
      </c>
    </row>
    <row r="2958">
      <c r="A2958" s="6" t="str">
        <f>IFERROR(__xludf.DUMMYFUNCTION("""COMPUTED_VALUE"""),"")</f>
        <v/>
      </c>
      <c r="C2958" t="str">
        <f>IFERROR(__xludf.DUMMYFUNCTION("""COMPUTED_VALUE"""),"")</f>
        <v/>
      </c>
      <c r="D2958" t="str">
        <f>IFERROR(__xludf.DUMMYFUNCTION("""COMPUTED_VALUE"""),"")</f>
        <v/>
      </c>
      <c r="E2958" t="str">
        <f>IFERROR(__xludf.DUMMYFUNCTION("""COMPUTED_VALUE"""),"")</f>
        <v/>
      </c>
      <c r="F2958" t="str">
        <f>IFERROR(__xludf.DUMMYFUNCTION("""COMPUTED_VALUE"""),"")</f>
        <v/>
      </c>
      <c r="G2958" t="str">
        <f>IFERROR(__xludf.DUMMYFUNCTION("""COMPUTED_VALUE"""),"")</f>
        <v/>
      </c>
      <c r="H2958" s="2" t="str">
        <f>IFERROR(__xludf.DUMMYFUNCTION("""COMPUTED_VALUE"""),"")</f>
        <v/>
      </c>
      <c r="I2958" s="2" t="str">
        <f>IFERROR(__xludf.DUMMYFUNCTION("""COMPUTED_VALUE"""),"")</f>
        <v/>
      </c>
      <c r="J2958" s="2">
        <f>IFERROR(__xludf.DUMMYFUNCTION("""COMPUTED_VALUE"""),0.0)</f>
        <v>0</v>
      </c>
      <c r="K2958" s="5" t="str">
        <f>IFERROR(__xludf.DUMMYFUNCTION("""COMPUTED_VALUE"""),"")</f>
        <v/>
      </c>
      <c r="L2958" t="str">
        <f>IFERROR(__xludf.DUMMYFUNCTION("""COMPUTED_VALUE"""),"")</f>
        <v/>
      </c>
      <c r="M2958" t="str">
        <f>IFERROR(__xludf.DUMMYFUNCTION("""COMPUTED_VALUE"""),"")</f>
        <v/>
      </c>
      <c r="N2958" t="str">
        <f>IFERROR(__xludf.DUMMYFUNCTION("""COMPUTED_VALUE"""),"")</f>
        <v/>
      </c>
      <c r="O2958" t="str">
        <f>IFERROR(__xludf.DUMMYFUNCTION("""COMPUTED_VALUE"""),"")</f>
        <v/>
      </c>
      <c r="P2958" t="str">
        <f>IFERROR(__xludf.DUMMYFUNCTION("""COMPUTED_VALUE"""),"ID ")</f>
        <v>ID </v>
      </c>
    </row>
    <row r="2959">
      <c r="A2959" s="6" t="str">
        <f>IFERROR(__xludf.DUMMYFUNCTION("""COMPUTED_VALUE"""),"")</f>
        <v/>
      </c>
      <c r="C2959" t="str">
        <f>IFERROR(__xludf.DUMMYFUNCTION("""COMPUTED_VALUE"""),"")</f>
        <v/>
      </c>
      <c r="D2959" t="str">
        <f>IFERROR(__xludf.DUMMYFUNCTION("""COMPUTED_VALUE"""),"")</f>
        <v/>
      </c>
      <c r="E2959" t="str">
        <f>IFERROR(__xludf.DUMMYFUNCTION("""COMPUTED_VALUE"""),"")</f>
        <v/>
      </c>
      <c r="F2959" t="str">
        <f>IFERROR(__xludf.DUMMYFUNCTION("""COMPUTED_VALUE"""),"")</f>
        <v/>
      </c>
      <c r="G2959" t="str">
        <f>IFERROR(__xludf.DUMMYFUNCTION("""COMPUTED_VALUE"""),"")</f>
        <v/>
      </c>
      <c r="H2959" s="2" t="str">
        <f>IFERROR(__xludf.DUMMYFUNCTION("""COMPUTED_VALUE"""),"")</f>
        <v/>
      </c>
      <c r="I2959" s="2" t="str">
        <f>IFERROR(__xludf.DUMMYFUNCTION("""COMPUTED_VALUE"""),"")</f>
        <v/>
      </c>
      <c r="J2959" s="2">
        <f>IFERROR(__xludf.DUMMYFUNCTION("""COMPUTED_VALUE"""),0.0)</f>
        <v>0</v>
      </c>
      <c r="K2959" s="5" t="str">
        <f>IFERROR(__xludf.DUMMYFUNCTION("""COMPUTED_VALUE"""),"")</f>
        <v/>
      </c>
      <c r="L2959" t="str">
        <f>IFERROR(__xludf.DUMMYFUNCTION("""COMPUTED_VALUE"""),"")</f>
        <v/>
      </c>
      <c r="M2959" t="str">
        <f>IFERROR(__xludf.DUMMYFUNCTION("""COMPUTED_VALUE"""),"")</f>
        <v/>
      </c>
      <c r="N2959" t="str">
        <f>IFERROR(__xludf.DUMMYFUNCTION("""COMPUTED_VALUE"""),"")</f>
        <v/>
      </c>
      <c r="O2959" t="str">
        <f>IFERROR(__xludf.DUMMYFUNCTION("""COMPUTED_VALUE"""),"")</f>
        <v/>
      </c>
      <c r="P2959" t="str">
        <f>IFERROR(__xludf.DUMMYFUNCTION("""COMPUTED_VALUE"""),"ID ")</f>
        <v>ID </v>
      </c>
    </row>
    <row r="2960">
      <c r="A2960" s="6" t="str">
        <f>IFERROR(__xludf.DUMMYFUNCTION("""COMPUTED_VALUE"""),"")</f>
        <v/>
      </c>
      <c r="C2960" t="str">
        <f>IFERROR(__xludf.DUMMYFUNCTION("""COMPUTED_VALUE"""),"")</f>
        <v/>
      </c>
      <c r="D2960" t="str">
        <f>IFERROR(__xludf.DUMMYFUNCTION("""COMPUTED_VALUE"""),"")</f>
        <v/>
      </c>
      <c r="E2960" t="str">
        <f>IFERROR(__xludf.DUMMYFUNCTION("""COMPUTED_VALUE"""),"")</f>
        <v/>
      </c>
      <c r="F2960" t="str">
        <f>IFERROR(__xludf.DUMMYFUNCTION("""COMPUTED_VALUE"""),"")</f>
        <v/>
      </c>
      <c r="G2960" t="str">
        <f>IFERROR(__xludf.DUMMYFUNCTION("""COMPUTED_VALUE"""),"")</f>
        <v/>
      </c>
      <c r="H2960" s="2" t="str">
        <f>IFERROR(__xludf.DUMMYFUNCTION("""COMPUTED_VALUE"""),"")</f>
        <v/>
      </c>
      <c r="I2960" s="2" t="str">
        <f>IFERROR(__xludf.DUMMYFUNCTION("""COMPUTED_VALUE"""),"")</f>
        <v/>
      </c>
      <c r="J2960" s="2">
        <f>IFERROR(__xludf.DUMMYFUNCTION("""COMPUTED_VALUE"""),0.0)</f>
        <v>0</v>
      </c>
      <c r="K2960" s="5" t="str">
        <f>IFERROR(__xludf.DUMMYFUNCTION("""COMPUTED_VALUE"""),"")</f>
        <v/>
      </c>
      <c r="L2960" t="str">
        <f>IFERROR(__xludf.DUMMYFUNCTION("""COMPUTED_VALUE"""),"")</f>
        <v/>
      </c>
      <c r="M2960" t="str">
        <f>IFERROR(__xludf.DUMMYFUNCTION("""COMPUTED_VALUE"""),"")</f>
        <v/>
      </c>
      <c r="N2960" t="str">
        <f>IFERROR(__xludf.DUMMYFUNCTION("""COMPUTED_VALUE"""),"")</f>
        <v/>
      </c>
      <c r="O2960" t="str">
        <f>IFERROR(__xludf.DUMMYFUNCTION("""COMPUTED_VALUE"""),"")</f>
        <v/>
      </c>
      <c r="P2960" t="str">
        <f>IFERROR(__xludf.DUMMYFUNCTION("""COMPUTED_VALUE"""),"ID ")</f>
        <v>ID </v>
      </c>
    </row>
    <row r="2961">
      <c r="A2961" s="6" t="str">
        <f>IFERROR(__xludf.DUMMYFUNCTION("""COMPUTED_VALUE"""),"")</f>
        <v/>
      </c>
      <c r="C2961" t="str">
        <f>IFERROR(__xludf.DUMMYFUNCTION("""COMPUTED_VALUE"""),"")</f>
        <v/>
      </c>
      <c r="D2961" t="str">
        <f>IFERROR(__xludf.DUMMYFUNCTION("""COMPUTED_VALUE"""),"")</f>
        <v/>
      </c>
      <c r="E2961" t="str">
        <f>IFERROR(__xludf.DUMMYFUNCTION("""COMPUTED_VALUE"""),"")</f>
        <v/>
      </c>
      <c r="F2961" t="str">
        <f>IFERROR(__xludf.DUMMYFUNCTION("""COMPUTED_VALUE"""),"")</f>
        <v/>
      </c>
      <c r="G2961" t="str">
        <f>IFERROR(__xludf.DUMMYFUNCTION("""COMPUTED_VALUE"""),"")</f>
        <v/>
      </c>
      <c r="H2961" s="2" t="str">
        <f>IFERROR(__xludf.DUMMYFUNCTION("""COMPUTED_VALUE"""),"")</f>
        <v/>
      </c>
      <c r="I2961" s="2" t="str">
        <f>IFERROR(__xludf.DUMMYFUNCTION("""COMPUTED_VALUE"""),"")</f>
        <v/>
      </c>
      <c r="J2961" s="2">
        <f>IFERROR(__xludf.DUMMYFUNCTION("""COMPUTED_VALUE"""),0.0)</f>
        <v>0</v>
      </c>
      <c r="K2961" s="5" t="str">
        <f>IFERROR(__xludf.DUMMYFUNCTION("""COMPUTED_VALUE"""),"")</f>
        <v/>
      </c>
      <c r="L2961" t="str">
        <f>IFERROR(__xludf.DUMMYFUNCTION("""COMPUTED_VALUE"""),"")</f>
        <v/>
      </c>
      <c r="M2961" t="str">
        <f>IFERROR(__xludf.DUMMYFUNCTION("""COMPUTED_VALUE"""),"")</f>
        <v/>
      </c>
      <c r="N2961" t="str">
        <f>IFERROR(__xludf.DUMMYFUNCTION("""COMPUTED_VALUE"""),"")</f>
        <v/>
      </c>
      <c r="O2961" t="str">
        <f>IFERROR(__xludf.DUMMYFUNCTION("""COMPUTED_VALUE"""),"")</f>
        <v/>
      </c>
      <c r="P2961" t="str">
        <f>IFERROR(__xludf.DUMMYFUNCTION("""COMPUTED_VALUE"""),"ID ")</f>
        <v>ID </v>
      </c>
    </row>
    <row r="2962">
      <c r="A2962" s="6" t="str">
        <f>IFERROR(__xludf.DUMMYFUNCTION("""COMPUTED_VALUE"""),"")</f>
        <v/>
      </c>
      <c r="C2962" t="str">
        <f>IFERROR(__xludf.DUMMYFUNCTION("""COMPUTED_VALUE"""),"")</f>
        <v/>
      </c>
      <c r="D2962" t="str">
        <f>IFERROR(__xludf.DUMMYFUNCTION("""COMPUTED_VALUE"""),"")</f>
        <v/>
      </c>
      <c r="E2962" t="str">
        <f>IFERROR(__xludf.DUMMYFUNCTION("""COMPUTED_VALUE"""),"")</f>
        <v/>
      </c>
      <c r="F2962" t="str">
        <f>IFERROR(__xludf.DUMMYFUNCTION("""COMPUTED_VALUE"""),"")</f>
        <v/>
      </c>
      <c r="G2962" t="str">
        <f>IFERROR(__xludf.DUMMYFUNCTION("""COMPUTED_VALUE"""),"")</f>
        <v/>
      </c>
      <c r="H2962" s="2" t="str">
        <f>IFERROR(__xludf.DUMMYFUNCTION("""COMPUTED_VALUE"""),"")</f>
        <v/>
      </c>
      <c r="I2962" s="2" t="str">
        <f>IFERROR(__xludf.DUMMYFUNCTION("""COMPUTED_VALUE"""),"")</f>
        <v/>
      </c>
      <c r="J2962" s="2">
        <f>IFERROR(__xludf.DUMMYFUNCTION("""COMPUTED_VALUE"""),0.0)</f>
        <v>0</v>
      </c>
      <c r="K2962" s="5" t="str">
        <f>IFERROR(__xludf.DUMMYFUNCTION("""COMPUTED_VALUE"""),"")</f>
        <v/>
      </c>
      <c r="L2962" t="str">
        <f>IFERROR(__xludf.DUMMYFUNCTION("""COMPUTED_VALUE"""),"")</f>
        <v/>
      </c>
      <c r="M2962" t="str">
        <f>IFERROR(__xludf.DUMMYFUNCTION("""COMPUTED_VALUE"""),"")</f>
        <v/>
      </c>
      <c r="N2962" t="str">
        <f>IFERROR(__xludf.DUMMYFUNCTION("""COMPUTED_VALUE"""),"")</f>
        <v/>
      </c>
      <c r="O2962" t="str">
        <f>IFERROR(__xludf.DUMMYFUNCTION("""COMPUTED_VALUE"""),"")</f>
        <v/>
      </c>
      <c r="P2962" t="str">
        <f>IFERROR(__xludf.DUMMYFUNCTION("""COMPUTED_VALUE"""),"ID ")</f>
        <v>ID </v>
      </c>
    </row>
    <row r="2963">
      <c r="A2963" s="6" t="str">
        <f>IFERROR(__xludf.DUMMYFUNCTION("""COMPUTED_VALUE"""),"")</f>
        <v/>
      </c>
      <c r="C2963" t="str">
        <f>IFERROR(__xludf.DUMMYFUNCTION("""COMPUTED_VALUE"""),"")</f>
        <v/>
      </c>
      <c r="D2963" t="str">
        <f>IFERROR(__xludf.DUMMYFUNCTION("""COMPUTED_VALUE"""),"")</f>
        <v/>
      </c>
      <c r="E2963" t="str">
        <f>IFERROR(__xludf.DUMMYFUNCTION("""COMPUTED_VALUE"""),"")</f>
        <v/>
      </c>
      <c r="F2963" t="str">
        <f>IFERROR(__xludf.DUMMYFUNCTION("""COMPUTED_VALUE"""),"")</f>
        <v/>
      </c>
      <c r="G2963" t="str">
        <f>IFERROR(__xludf.DUMMYFUNCTION("""COMPUTED_VALUE"""),"")</f>
        <v/>
      </c>
      <c r="H2963" s="2" t="str">
        <f>IFERROR(__xludf.DUMMYFUNCTION("""COMPUTED_VALUE"""),"")</f>
        <v/>
      </c>
      <c r="I2963" s="2" t="str">
        <f>IFERROR(__xludf.DUMMYFUNCTION("""COMPUTED_VALUE"""),"")</f>
        <v/>
      </c>
      <c r="J2963" s="2">
        <f>IFERROR(__xludf.DUMMYFUNCTION("""COMPUTED_VALUE"""),0.0)</f>
        <v>0</v>
      </c>
      <c r="K2963" s="5" t="str">
        <f>IFERROR(__xludf.DUMMYFUNCTION("""COMPUTED_VALUE"""),"")</f>
        <v/>
      </c>
      <c r="L2963" t="str">
        <f>IFERROR(__xludf.DUMMYFUNCTION("""COMPUTED_VALUE"""),"")</f>
        <v/>
      </c>
      <c r="M2963" t="str">
        <f>IFERROR(__xludf.DUMMYFUNCTION("""COMPUTED_VALUE"""),"")</f>
        <v/>
      </c>
      <c r="N2963" t="str">
        <f>IFERROR(__xludf.DUMMYFUNCTION("""COMPUTED_VALUE"""),"")</f>
        <v/>
      </c>
      <c r="O2963" t="str">
        <f>IFERROR(__xludf.DUMMYFUNCTION("""COMPUTED_VALUE"""),"")</f>
        <v/>
      </c>
      <c r="P2963" t="str">
        <f>IFERROR(__xludf.DUMMYFUNCTION("""COMPUTED_VALUE"""),"ID ")</f>
        <v>ID </v>
      </c>
    </row>
    <row r="2964">
      <c r="A2964" s="6" t="str">
        <f>IFERROR(__xludf.DUMMYFUNCTION("""COMPUTED_VALUE"""),"")</f>
        <v/>
      </c>
      <c r="C2964" t="str">
        <f>IFERROR(__xludf.DUMMYFUNCTION("""COMPUTED_VALUE"""),"")</f>
        <v/>
      </c>
      <c r="D2964" t="str">
        <f>IFERROR(__xludf.DUMMYFUNCTION("""COMPUTED_VALUE"""),"")</f>
        <v/>
      </c>
      <c r="E2964" t="str">
        <f>IFERROR(__xludf.DUMMYFUNCTION("""COMPUTED_VALUE"""),"")</f>
        <v/>
      </c>
      <c r="F2964" t="str">
        <f>IFERROR(__xludf.DUMMYFUNCTION("""COMPUTED_VALUE"""),"")</f>
        <v/>
      </c>
      <c r="G2964" t="str">
        <f>IFERROR(__xludf.DUMMYFUNCTION("""COMPUTED_VALUE"""),"")</f>
        <v/>
      </c>
      <c r="H2964" s="2" t="str">
        <f>IFERROR(__xludf.DUMMYFUNCTION("""COMPUTED_VALUE"""),"")</f>
        <v/>
      </c>
      <c r="I2964" s="2" t="str">
        <f>IFERROR(__xludf.DUMMYFUNCTION("""COMPUTED_VALUE"""),"")</f>
        <v/>
      </c>
      <c r="J2964" s="2">
        <f>IFERROR(__xludf.DUMMYFUNCTION("""COMPUTED_VALUE"""),0.0)</f>
        <v>0</v>
      </c>
      <c r="K2964" s="5" t="str">
        <f>IFERROR(__xludf.DUMMYFUNCTION("""COMPUTED_VALUE"""),"")</f>
        <v/>
      </c>
      <c r="L2964" t="str">
        <f>IFERROR(__xludf.DUMMYFUNCTION("""COMPUTED_VALUE"""),"")</f>
        <v/>
      </c>
      <c r="M2964" t="str">
        <f>IFERROR(__xludf.DUMMYFUNCTION("""COMPUTED_VALUE"""),"")</f>
        <v/>
      </c>
      <c r="N2964" t="str">
        <f>IFERROR(__xludf.DUMMYFUNCTION("""COMPUTED_VALUE"""),"")</f>
        <v/>
      </c>
      <c r="O2964" t="str">
        <f>IFERROR(__xludf.DUMMYFUNCTION("""COMPUTED_VALUE"""),"")</f>
        <v/>
      </c>
      <c r="P2964" t="str">
        <f>IFERROR(__xludf.DUMMYFUNCTION("""COMPUTED_VALUE"""),"ID ")</f>
        <v>ID </v>
      </c>
    </row>
    <row r="2965">
      <c r="A2965" s="6" t="str">
        <f>IFERROR(__xludf.DUMMYFUNCTION("""COMPUTED_VALUE"""),"")</f>
        <v/>
      </c>
      <c r="C2965" t="str">
        <f>IFERROR(__xludf.DUMMYFUNCTION("""COMPUTED_VALUE"""),"")</f>
        <v/>
      </c>
      <c r="D2965" t="str">
        <f>IFERROR(__xludf.DUMMYFUNCTION("""COMPUTED_VALUE"""),"")</f>
        <v/>
      </c>
      <c r="E2965" t="str">
        <f>IFERROR(__xludf.DUMMYFUNCTION("""COMPUTED_VALUE"""),"")</f>
        <v/>
      </c>
      <c r="F2965" t="str">
        <f>IFERROR(__xludf.DUMMYFUNCTION("""COMPUTED_VALUE"""),"")</f>
        <v/>
      </c>
      <c r="G2965" t="str">
        <f>IFERROR(__xludf.DUMMYFUNCTION("""COMPUTED_VALUE"""),"")</f>
        <v/>
      </c>
      <c r="H2965" s="2" t="str">
        <f>IFERROR(__xludf.DUMMYFUNCTION("""COMPUTED_VALUE"""),"")</f>
        <v/>
      </c>
      <c r="I2965" s="2" t="str">
        <f>IFERROR(__xludf.DUMMYFUNCTION("""COMPUTED_VALUE"""),"")</f>
        <v/>
      </c>
      <c r="J2965" s="2">
        <f>IFERROR(__xludf.DUMMYFUNCTION("""COMPUTED_VALUE"""),0.0)</f>
        <v>0</v>
      </c>
      <c r="K2965" s="5" t="str">
        <f>IFERROR(__xludf.DUMMYFUNCTION("""COMPUTED_VALUE"""),"")</f>
        <v/>
      </c>
      <c r="L2965" t="str">
        <f>IFERROR(__xludf.DUMMYFUNCTION("""COMPUTED_VALUE"""),"")</f>
        <v/>
      </c>
      <c r="M2965" t="str">
        <f>IFERROR(__xludf.DUMMYFUNCTION("""COMPUTED_VALUE"""),"")</f>
        <v/>
      </c>
      <c r="N2965" t="str">
        <f>IFERROR(__xludf.DUMMYFUNCTION("""COMPUTED_VALUE"""),"")</f>
        <v/>
      </c>
      <c r="O2965" t="str">
        <f>IFERROR(__xludf.DUMMYFUNCTION("""COMPUTED_VALUE"""),"")</f>
        <v/>
      </c>
      <c r="P2965" t="str">
        <f>IFERROR(__xludf.DUMMYFUNCTION("""COMPUTED_VALUE"""),"ID ")</f>
        <v>ID </v>
      </c>
    </row>
    <row r="2966">
      <c r="A2966" s="6" t="str">
        <f>IFERROR(__xludf.DUMMYFUNCTION("""COMPUTED_VALUE"""),"")</f>
        <v/>
      </c>
      <c r="C2966" t="str">
        <f>IFERROR(__xludf.DUMMYFUNCTION("""COMPUTED_VALUE"""),"")</f>
        <v/>
      </c>
      <c r="D2966" t="str">
        <f>IFERROR(__xludf.DUMMYFUNCTION("""COMPUTED_VALUE"""),"")</f>
        <v/>
      </c>
      <c r="E2966" t="str">
        <f>IFERROR(__xludf.DUMMYFUNCTION("""COMPUTED_VALUE"""),"")</f>
        <v/>
      </c>
      <c r="F2966" t="str">
        <f>IFERROR(__xludf.DUMMYFUNCTION("""COMPUTED_VALUE"""),"")</f>
        <v/>
      </c>
      <c r="G2966" t="str">
        <f>IFERROR(__xludf.DUMMYFUNCTION("""COMPUTED_VALUE"""),"")</f>
        <v/>
      </c>
      <c r="H2966" s="2" t="str">
        <f>IFERROR(__xludf.DUMMYFUNCTION("""COMPUTED_VALUE"""),"")</f>
        <v/>
      </c>
      <c r="I2966" s="2" t="str">
        <f>IFERROR(__xludf.DUMMYFUNCTION("""COMPUTED_VALUE"""),"")</f>
        <v/>
      </c>
      <c r="J2966" s="2">
        <f>IFERROR(__xludf.DUMMYFUNCTION("""COMPUTED_VALUE"""),0.0)</f>
        <v>0</v>
      </c>
      <c r="K2966" s="5" t="str">
        <f>IFERROR(__xludf.DUMMYFUNCTION("""COMPUTED_VALUE"""),"")</f>
        <v/>
      </c>
      <c r="L2966" t="str">
        <f>IFERROR(__xludf.DUMMYFUNCTION("""COMPUTED_VALUE"""),"")</f>
        <v/>
      </c>
      <c r="M2966" t="str">
        <f>IFERROR(__xludf.DUMMYFUNCTION("""COMPUTED_VALUE"""),"")</f>
        <v/>
      </c>
      <c r="N2966" t="str">
        <f>IFERROR(__xludf.DUMMYFUNCTION("""COMPUTED_VALUE"""),"")</f>
        <v/>
      </c>
      <c r="O2966" t="str">
        <f>IFERROR(__xludf.DUMMYFUNCTION("""COMPUTED_VALUE"""),"")</f>
        <v/>
      </c>
      <c r="P2966" t="str">
        <f>IFERROR(__xludf.DUMMYFUNCTION("""COMPUTED_VALUE"""),"ID ")</f>
        <v>ID </v>
      </c>
    </row>
    <row r="2967">
      <c r="A2967" s="6" t="str">
        <f>IFERROR(__xludf.DUMMYFUNCTION("""COMPUTED_VALUE"""),"")</f>
        <v/>
      </c>
      <c r="C2967" t="str">
        <f>IFERROR(__xludf.DUMMYFUNCTION("""COMPUTED_VALUE"""),"")</f>
        <v/>
      </c>
      <c r="D2967" t="str">
        <f>IFERROR(__xludf.DUMMYFUNCTION("""COMPUTED_VALUE"""),"")</f>
        <v/>
      </c>
      <c r="E2967" t="str">
        <f>IFERROR(__xludf.DUMMYFUNCTION("""COMPUTED_VALUE"""),"")</f>
        <v/>
      </c>
      <c r="F2967" t="str">
        <f>IFERROR(__xludf.DUMMYFUNCTION("""COMPUTED_VALUE"""),"")</f>
        <v/>
      </c>
      <c r="G2967" t="str">
        <f>IFERROR(__xludf.DUMMYFUNCTION("""COMPUTED_VALUE"""),"")</f>
        <v/>
      </c>
      <c r="H2967" s="2" t="str">
        <f>IFERROR(__xludf.DUMMYFUNCTION("""COMPUTED_VALUE"""),"")</f>
        <v/>
      </c>
      <c r="I2967" s="2" t="str">
        <f>IFERROR(__xludf.DUMMYFUNCTION("""COMPUTED_VALUE"""),"")</f>
        <v/>
      </c>
      <c r="J2967" s="2">
        <f>IFERROR(__xludf.DUMMYFUNCTION("""COMPUTED_VALUE"""),0.0)</f>
        <v>0</v>
      </c>
      <c r="K2967" s="5" t="str">
        <f>IFERROR(__xludf.DUMMYFUNCTION("""COMPUTED_VALUE"""),"")</f>
        <v/>
      </c>
      <c r="L2967" t="str">
        <f>IFERROR(__xludf.DUMMYFUNCTION("""COMPUTED_VALUE"""),"")</f>
        <v/>
      </c>
      <c r="M2967" t="str">
        <f>IFERROR(__xludf.DUMMYFUNCTION("""COMPUTED_VALUE"""),"")</f>
        <v/>
      </c>
      <c r="N2967" t="str">
        <f>IFERROR(__xludf.DUMMYFUNCTION("""COMPUTED_VALUE"""),"")</f>
        <v/>
      </c>
      <c r="O2967" t="str">
        <f>IFERROR(__xludf.DUMMYFUNCTION("""COMPUTED_VALUE"""),"")</f>
        <v/>
      </c>
      <c r="P2967" t="str">
        <f>IFERROR(__xludf.DUMMYFUNCTION("""COMPUTED_VALUE"""),"ID ")</f>
        <v>ID </v>
      </c>
    </row>
    <row r="2968">
      <c r="A2968" s="6" t="str">
        <f>IFERROR(__xludf.DUMMYFUNCTION("""COMPUTED_VALUE"""),"")</f>
        <v/>
      </c>
      <c r="C2968" t="str">
        <f>IFERROR(__xludf.DUMMYFUNCTION("""COMPUTED_VALUE"""),"")</f>
        <v/>
      </c>
      <c r="D2968" t="str">
        <f>IFERROR(__xludf.DUMMYFUNCTION("""COMPUTED_VALUE"""),"")</f>
        <v/>
      </c>
      <c r="E2968" t="str">
        <f>IFERROR(__xludf.DUMMYFUNCTION("""COMPUTED_VALUE"""),"")</f>
        <v/>
      </c>
      <c r="F2968" t="str">
        <f>IFERROR(__xludf.DUMMYFUNCTION("""COMPUTED_VALUE"""),"")</f>
        <v/>
      </c>
      <c r="G2968" t="str">
        <f>IFERROR(__xludf.DUMMYFUNCTION("""COMPUTED_VALUE"""),"")</f>
        <v/>
      </c>
      <c r="H2968" s="2" t="str">
        <f>IFERROR(__xludf.DUMMYFUNCTION("""COMPUTED_VALUE"""),"")</f>
        <v/>
      </c>
      <c r="I2968" s="2" t="str">
        <f>IFERROR(__xludf.DUMMYFUNCTION("""COMPUTED_VALUE"""),"")</f>
        <v/>
      </c>
      <c r="J2968" s="2">
        <f>IFERROR(__xludf.DUMMYFUNCTION("""COMPUTED_VALUE"""),0.0)</f>
        <v>0</v>
      </c>
      <c r="K2968" s="5" t="str">
        <f>IFERROR(__xludf.DUMMYFUNCTION("""COMPUTED_VALUE"""),"")</f>
        <v/>
      </c>
      <c r="L2968" t="str">
        <f>IFERROR(__xludf.DUMMYFUNCTION("""COMPUTED_VALUE"""),"")</f>
        <v/>
      </c>
      <c r="M2968" t="str">
        <f>IFERROR(__xludf.DUMMYFUNCTION("""COMPUTED_VALUE"""),"")</f>
        <v/>
      </c>
      <c r="N2968" t="str">
        <f>IFERROR(__xludf.DUMMYFUNCTION("""COMPUTED_VALUE"""),"")</f>
        <v/>
      </c>
      <c r="O2968" t="str">
        <f>IFERROR(__xludf.DUMMYFUNCTION("""COMPUTED_VALUE"""),"")</f>
        <v/>
      </c>
      <c r="P2968" t="str">
        <f>IFERROR(__xludf.DUMMYFUNCTION("""COMPUTED_VALUE"""),"ID ")</f>
        <v>ID </v>
      </c>
    </row>
    <row r="2969">
      <c r="A2969" s="6" t="str">
        <f>IFERROR(__xludf.DUMMYFUNCTION("""COMPUTED_VALUE"""),"")</f>
        <v/>
      </c>
      <c r="C2969" t="str">
        <f>IFERROR(__xludf.DUMMYFUNCTION("""COMPUTED_VALUE"""),"")</f>
        <v/>
      </c>
      <c r="D2969" t="str">
        <f>IFERROR(__xludf.DUMMYFUNCTION("""COMPUTED_VALUE"""),"")</f>
        <v/>
      </c>
      <c r="E2969" t="str">
        <f>IFERROR(__xludf.DUMMYFUNCTION("""COMPUTED_VALUE"""),"")</f>
        <v/>
      </c>
      <c r="F2969" t="str">
        <f>IFERROR(__xludf.DUMMYFUNCTION("""COMPUTED_VALUE"""),"")</f>
        <v/>
      </c>
      <c r="G2969" t="str">
        <f>IFERROR(__xludf.DUMMYFUNCTION("""COMPUTED_VALUE"""),"")</f>
        <v/>
      </c>
      <c r="H2969" s="2" t="str">
        <f>IFERROR(__xludf.DUMMYFUNCTION("""COMPUTED_VALUE"""),"")</f>
        <v/>
      </c>
      <c r="I2969" s="2" t="str">
        <f>IFERROR(__xludf.DUMMYFUNCTION("""COMPUTED_VALUE"""),"")</f>
        <v/>
      </c>
      <c r="J2969" s="2">
        <f>IFERROR(__xludf.DUMMYFUNCTION("""COMPUTED_VALUE"""),0.0)</f>
        <v>0</v>
      </c>
      <c r="K2969" s="5" t="str">
        <f>IFERROR(__xludf.DUMMYFUNCTION("""COMPUTED_VALUE"""),"")</f>
        <v/>
      </c>
      <c r="L2969" t="str">
        <f>IFERROR(__xludf.DUMMYFUNCTION("""COMPUTED_VALUE"""),"")</f>
        <v/>
      </c>
      <c r="M2969" t="str">
        <f>IFERROR(__xludf.DUMMYFUNCTION("""COMPUTED_VALUE"""),"")</f>
        <v/>
      </c>
      <c r="N2969" t="str">
        <f>IFERROR(__xludf.DUMMYFUNCTION("""COMPUTED_VALUE"""),"")</f>
        <v/>
      </c>
      <c r="O2969" t="str">
        <f>IFERROR(__xludf.DUMMYFUNCTION("""COMPUTED_VALUE"""),"")</f>
        <v/>
      </c>
      <c r="P2969" t="str">
        <f>IFERROR(__xludf.DUMMYFUNCTION("""COMPUTED_VALUE"""),"ID ")</f>
        <v>ID </v>
      </c>
    </row>
    <row r="2970">
      <c r="A2970" s="6" t="str">
        <f>IFERROR(__xludf.DUMMYFUNCTION("""COMPUTED_VALUE"""),"")</f>
        <v/>
      </c>
      <c r="C2970" t="str">
        <f>IFERROR(__xludf.DUMMYFUNCTION("""COMPUTED_VALUE"""),"")</f>
        <v/>
      </c>
      <c r="D2970" t="str">
        <f>IFERROR(__xludf.DUMMYFUNCTION("""COMPUTED_VALUE"""),"")</f>
        <v/>
      </c>
      <c r="E2970" t="str">
        <f>IFERROR(__xludf.DUMMYFUNCTION("""COMPUTED_VALUE"""),"")</f>
        <v/>
      </c>
      <c r="F2970" t="str">
        <f>IFERROR(__xludf.DUMMYFUNCTION("""COMPUTED_VALUE"""),"")</f>
        <v/>
      </c>
      <c r="G2970" t="str">
        <f>IFERROR(__xludf.DUMMYFUNCTION("""COMPUTED_VALUE"""),"")</f>
        <v/>
      </c>
      <c r="H2970" s="2" t="str">
        <f>IFERROR(__xludf.DUMMYFUNCTION("""COMPUTED_VALUE"""),"")</f>
        <v/>
      </c>
      <c r="I2970" s="2" t="str">
        <f>IFERROR(__xludf.DUMMYFUNCTION("""COMPUTED_VALUE"""),"")</f>
        <v/>
      </c>
      <c r="J2970" s="2">
        <f>IFERROR(__xludf.DUMMYFUNCTION("""COMPUTED_VALUE"""),0.0)</f>
        <v>0</v>
      </c>
      <c r="K2970" s="5" t="str">
        <f>IFERROR(__xludf.DUMMYFUNCTION("""COMPUTED_VALUE"""),"")</f>
        <v/>
      </c>
      <c r="L2970" t="str">
        <f>IFERROR(__xludf.DUMMYFUNCTION("""COMPUTED_VALUE"""),"")</f>
        <v/>
      </c>
      <c r="M2970" t="str">
        <f>IFERROR(__xludf.DUMMYFUNCTION("""COMPUTED_VALUE"""),"")</f>
        <v/>
      </c>
      <c r="N2970" t="str">
        <f>IFERROR(__xludf.DUMMYFUNCTION("""COMPUTED_VALUE"""),"")</f>
        <v/>
      </c>
      <c r="O2970" t="str">
        <f>IFERROR(__xludf.DUMMYFUNCTION("""COMPUTED_VALUE"""),"")</f>
        <v/>
      </c>
      <c r="P2970" t="str">
        <f>IFERROR(__xludf.DUMMYFUNCTION("""COMPUTED_VALUE"""),"ID ")</f>
        <v>ID </v>
      </c>
    </row>
    <row r="2971">
      <c r="A2971" s="6" t="str">
        <f>IFERROR(__xludf.DUMMYFUNCTION("""COMPUTED_VALUE"""),"")</f>
        <v/>
      </c>
      <c r="C2971" t="str">
        <f>IFERROR(__xludf.DUMMYFUNCTION("""COMPUTED_VALUE"""),"")</f>
        <v/>
      </c>
      <c r="D2971" t="str">
        <f>IFERROR(__xludf.DUMMYFUNCTION("""COMPUTED_VALUE"""),"")</f>
        <v/>
      </c>
      <c r="E2971" t="str">
        <f>IFERROR(__xludf.DUMMYFUNCTION("""COMPUTED_VALUE"""),"")</f>
        <v/>
      </c>
      <c r="F2971" t="str">
        <f>IFERROR(__xludf.DUMMYFUNCTION("""COMPUTED_VALUE"""),"")</f>
        <v/>
      </c>
      <c r="G2971" t="str">
        <f>IFERROR(__xludf.DUMMYFUNCTION("""COMPUTED_VALUE"""),"")</f>
        <v/>
      </c>
      <c r="H2971" s="2" t="str">
        <f>IFERROR(__xludf.DUMMYFUNCTION("""COMPUTED_VALUE"""),"")</f>
        <v/>
      </c>
      <c r="I2971" s="2" t="str">
        <f>IFERROR(__xludf.DUMMYFUNCTION("""COMPUTED_VALUE"""),"")</f>
        <v/>
      </c>
      <c r="J2971" s="2">
        <f>IFERROR(__xludf.DUMMYFUNCTION("""COMPUTED_VALUE"""),0.0)</f>
        <v>0</v>
      </c>
      <c r="K2971" s="5" t="str">
        <f>IFERROR(__xludf.DUMMYFUNCTION("""COMPUTED_VALUE"""),"")</f>
        <v/>
      </c>
      <c r="L2971" t="str">
        <f>IFERROR(__xludf.DUMMYFUNCTION("""COMPUTED_VALUE"""),"")</f>
        <v/>
      </c>
      <c r="M2971" t="str">
        <f>IFERROR(__xludf.DUMMYFUNCTION("""COMPUTED_VALUE"""),"")</f>
        <v/>
      </c>
      <c r="N2971" t="str">
        <f>IFERROR(__xludf.DUMMYFUNCTION("""COMPUTED_VALUE"""),"")</f>
        <v/>
      </c>
      <c r="O2971" t="str">
        <f>IFERROR(__xludf.DUMMYFUNCTION("""COMPUTED_VALUE"""),"")</f>
        <v/>
      </c>
      <c r="P2971" t="str">
        <f>IFERROR(__xludf.DUMMYFUNCTION("""COMPUTED_VALUE"""),"ID ")</f>
        <v>ID </v>
      </c>
    </row>
    <row r="2972">
      <c r="A2972" s="6" t="str">
        <f>IFERROR(__xludf.DUMMYFUNCTION("""COMPUTED_VALUE"""),"")</f>
        <v/>
      </c>
      <c r="C2972" t="str">
        <f>IFERROR(__xludf.DUMMYFUNCTION("""COMPUTED_VALUE"""),"")</f>
        <v/>
      </c>
      <c r="D2972" t="str">
        <f>IFERROR(__xludf.DUMMYFUNCTION("""COMPUTED_VALUE"""),"")</f>
        <v/>
      </c>
      <c r="E2972" t="str">
        <f>IFERROR(__xludf.DUMMYFUNCTION("""COMPUTED_VALUE"""),"")</f>
        <v/>
      </c>
      <c r="F2972" t="str">
        <f>IFERROR(__xludf.DUMMYFUNCTION("""COMPUTED_VALUE"""),"")</f>
        <v/>
      </c>
      <c r="G2972" t="str">
        <f>IFERROR(__xludf.DUMMYFUNCTION("""COMPUTED_VALUE"""),"")</f>
        <v/>
      </c>
      <c r="H2972" s="2" t="str">
        <f>IFERROR(__xludf.DUMMYFUNCTION("""COMPUTED_VALUE"""),"")</f>
        <v/>
      </c>
      <c r="I2972" s="2" t="str">
        <f>IFERROR(__xludf.DUMMYFUNCTION("""COMPUTED_VALUE"""),"")</f>
        <v/>
      </c>
      <c r="J2972" s="2">
        <f>IFERROR(__xludf.DUMMYFUNCTION("""COMPUTED_VALUE"""),0.0)</f>
        <v>0</v>
      </c>
      <c r="K2972" s="5" t="str">
        <f>IFERROR(__xludf.DUMMYFUNCTION("""COMPUTED_VALUE"""),"")</f>
        <v/>
      </c>
      <c r="L2972" t="str">
        <f>IFERROR(__xludf.DUMMYFUNCTION("""COMPUTED_VALUE"""),"")</f>
        <v/>
      </c>
      <c r="M2972" t="str">
        <f>IFERROR(__xludf.DUMMYFUNCTION("""COMPUTED_VALUE"""),"")</f>
        <v/>
      </c>
      <c r="N2972" t="str">
        <f>IFERROR(__xludf.DUMMYFUNCTION("""COMPUTED_VALUE"""),"")</f>
        <v/>
      </c>
      <c r="O2972" t="str">
        <f>IFERROR(__xludf.DUMMYFUNCTION("""COMPUTED_VALUE"""),"")</f>
        <v/>
      </c>
      <c r="P2972" t="str">
        <f>IFERROR(__xludf.DUMMYFUNCTION("""COMPUTED_VALUE"""),"ID ")</f>
        <v>ID </v>
      </c>
    </row>
    <row r="2973">
      <c r="A2973" s="6" t="str">
        <f>IFERROR(__xludf.DUMMYFUNCTION("""COMPUTED_VALUE"""),"")</f>
        <v/>
      </c>
      <c r="C2973" t="str">
        <f>IFERROR(__xludf.DUMMYFUNCTION("""COMPUTED_VALUE"""),"")</f>
        <v/>
      </c>
      <c r="D2973" t="str">
        <f>IFERROR(__xludf.DUMMYFUNCTION("""COMPUTED_VALUE"""),"")</f>
        <v/>
      </c>
      <c r="E2973" t="str">
        <f>IFERROR(__xludf.DUMMYFUNCTION("""COMPUTED_VALUE"""),"")</f>
        <v/>
      </c>
      <c r="F2973" t="str">
        <f>IFERROR(__xludf.DUMMYFUNCTION("""COMPUTED_VALUE"""),"")</f>
        <v/>
      </c>
      <c r="G2973" t="str">
        <f>IFERROR(__xludf.DUMMYFUNCTION("""COMPUTED_VALUE"""),"")</f>
        <v/>
      </c>
      <c r="H2973" s="2" t="str">
        <f>IFERROR(__xludf.DUMMYFUNCTION("""COMPUTED_VALUE"""),"")</f>
        <v/>
      </c>
      <c r="I2973" s="2" t="str">
        <f>IFERROR(__xludf.DUMMYFUNCTION("""COMPUTED_VALUE"""),"")</f>
        <v/>
      </c>
      <c r="J2973" s="2">
        <f>IFERROR(__xludf.DUMMYFUNCTION("""COMPUTED_VALUE"""),0.0)</f>
        <v>0</v>
      </c>
      <c r="K2973" s="5" t="str">
        <f>IFERROR(__xludf.DUMMYFUNCTION("""COMPUTED_VALUE"""),"")</f>
        <v/>
      </c>
      <c r="L2973" t="str">
        <f>IFERROR(__xludf.DUMMYFUNCTION("""COMPUTED_VALUE"""),"")</f>
        <v/>
      </c>
      <c r="M2973" t="str">
        <f>IFERROR(__xludf.DUMMYFUNCTION("""COMPUTED_VALUE"""),"")</f>
        <v/>
      </c>
      <c r="N2973" t="str">
        <f>IFERROR(__xludf.DUMMYFUNCTION("""COMPUTED_VALUE"""),"")</f>
        <v/>
      </c>
      <c r="O2973" t="str">
        <f>IFERROR(__xludf.DUMMYFUNCTION("""COMPUTED_VALUE"""),"")</f>
        <v/>
      </c>
      <c r="P2973" t="str">
        <f>IFERROR(__xludf.DUMMYFUNCTION("""COMPUTED_VALUE"""),"ID ")</f>
        <v>ID </v>
      </c>
    </row>
    <row r="2974">
      <c r="A2974" s="6" t="str">
        <f>IFERROR(__xludf.DUMMYFUNCTION("""COMPUTED_VALUE"""),"")</f>
        <v/>
      </c>
      <c r="C2974" t="str">
        <f>IFERROR(__xludf.DUMMYFUNCTION("""COMPUTED_VALUE"""),"")</f>
        <v/>
      </c>
      <c r="D2974" t="str">
        <f>IFERROR(__xludf.DUMMYFUNCTION("""COMPUTED_VALUE"""),"")</f>
        <v/>
      </c>
      <c r="E2974" t="str">
        <f>IFERROR(__xludf.DUMMYFUNCTION("""COMPUTED_VALUE"""),"")</f>
        <v/>
      </c>
      <c r="F2974" t="str">
        <f>IFERROR(__xludf.DUMMYFUNCTION("""COMPUTED_VALUE"""),"")</f>
        <v/>
      </c>
      <c r="G2974" t="str">
        <f>IFERROR(__xludf.DUMMYFUNCTION("""COMPUTED_VALUE"""),"")</f>
        <v/>
      </c>
      <c r="H2974" s="2" t="str">
        <f>IFERROR(__xludf.DUMMYFUNCTION("""COMPUTED_VALUE"""),"")</f>
        <v/>
      </c>
      <c r="I2974" s="2" t="str">
        <f>IFERROR(__xludf.DUMMYFUNCTION("""COMPUTED_VALUE"""),"")</f>
        <v/>
      </c>
      <c r="J2974" s="2">
        <f>IFERROR(__xludf.DUMMYFUNCTION("""COMPUTED_VALUE"""),0.0)</f>
        <v>0</v>
      </c>
      <c r="K2974" s="5" t="str">
        <f>IFERROR(__xludf.DUMMYFUNCTION("""COMPUTED_VALUE"""),"")</f>
        <v/>
      </c>
      <c r="L2974" t="str">
        <f>IFERROR(__xludf.DUMMYFUNCTION("""COMPUTED_VALUE"""),"")</f>
        <v/>
      </c>
      <c r="M2974" t="str">
        <f>IFERROR(__xludf.DUMMYFUNCTION("""COMPUTED_VALUE"""),"")</f>
        <v/>
      </c>
      <c r="N2974" t="str">
        <f>IFERROR(__xludf.DUMMYFUNCTION("""COMPUTED_VALUE"""),"")</f>
        <v/>
      </c>
      <c r="O2974" t="str">
        <f>IFERROR(__xludf.DUMMYFUNCTION("""COMPUTED_VALUE"""),"")</f>
        <v/>
      </c>
      <c r="P2974" t="str">
        <f>IFERROR(__xludf.DUMMYFUNCTION("""COMPUTED_VALUE"""),"ID ")</f>
        <v>ID </v>
      </c>
    </row>
    <row r="2975">
      <c r="A2975" s="6" t="str">
        <f>IFERROR(__xludf.DUMMYFUNCTION("""COMPUTED_VALUE"""),"")</f>
        <v/>
      </c>
      <c r="C2975" t="str">
        <f>IFERROR(__xludf.DUMMYFUNCTION("""COMPUTED_VALUE"""),"")</f>
        <v/>
      </c>
      <c r="D2975" t="str">
        <f>IFERROR(__xludf.DUMMYFUNCTION("""COMPUTED_VALUE"""),"")</f>
        <v/>
      </c>
      <c r="E2975" t="str">
        <f>IFERROR(__xludf.DUMMYFUNCTION("""COMPUTED_VALUE"""),"")</f>
        <v/>
      </c>
      <c r="F2975" t="str">
        <f>IFERROR(__xludf.DUMMYFUNCTION("""COMPUTED_VALUE"""),"")</f>
        <v/>
      </c>
      <c r="G2975" t="str">
        <f>IFERROR(__xludf.DUMMYFUNCTION("""COMPUTED_VALUE"""),"")</f>
        <v/>
      </c>
      <c r="H2975" s="2" t="str">
        <f>IFERROR(__xludf.DUMMYFUNCTION("""COMPUTED_VALUE"""),"")</f>
        <v/>
      </c>
      <c r="I2975" s="2" t="str">
        <f>IFERROR(__xludf.DUMMYFUNCTION("""COMPUTED_VALUE"""),"")</f>
        <v/>
      </c>
      <c r="J2975" s="2">
        <f>IFERROR(__xludf.DUMMYFUNCTION("""COMPUTED_VALUE"""),0.0)</f>
        <v>0</v>
      </c>
      <c r="K2975" s="5" t="str">
        <f>IFERROR(__xludf.DUMMYFUNCTION("""COMPUTED_VALUE"""),"")</f>
        <v/>
      </c>
      <c r="L2975" t="str">
        <f>IFERROR(__xludf.DUMMYFUNCTION("""COMPUTED_VALUE"""),"")</f>
        <v/>
      </c>
      <c r="M2975" t="str">
        <f>IFERROR(__xludf.DUMMYFUNCTION("""COMPUTED_VALUE"""),"")</f>
        <v/>
      </c>
      <c r="N2975" t="str">
        <f>IFERROR(__xludf.DUMMYFUNCTION("""COMPUTED_VALUE"""),"")</f>
        <v/>
      </c>
      <c r="O2975" t="str">
        <f>IFERROR(__xludf.DUMMYFUNCTION("""COMPUTED_VALUE"""),"")</f>
        <v/>
      </c>
      <c r="P2975" t="str">
        <f>IFERROR(__xludf.DUMMYFUNCTION("""COMPUTED_VALUE"""),"ID ")</f>
        <v>ID </v>
      </c>
    </row>
    <row r="2976">
      <c r="A2976" s="6" t="str">
        <f>IFERROR(__xludf.DUMMYFUNCTION("""COMPUTED_VALUE"""),"")</f>
        <v/>
      </c>
      <c r="C2976" t="str">
        <f>IFERROR(__xludf.DUMMYFUNCTION("""COMPUTED_VALUE"""),"")</f>
        <v/>
      </c>
      <c r="D2976" t="str">
        <f>IFERROR(__xludf.DUMMYFUNCTION("""COMPUTED_VALUE"""),"")</f>
        <v/>
      </c>
      <c r="E2976" t="str">
        <f>IFERROR(__xludf.DUMMYFUNCTION("""COMPUTED_VALUE"""),"")</f>
        <v/>
      </c>
      <c r="F2976" t="str">
        <f>IFERROR(__xludf.DUMMYFUNCTION("""COMPUTED_VALUE"""),"")</f>
        <v/>
      </c>
      <c r="G2976" t="str">
        <f>IFERROR(__xludf.DUMMYFUNCTION("""COMPUTED_VALUE"""),"")</f>
        <v/>
      </c>
      <c r="H2976" s="2" t="str">
        <f>IFERROR(__xludf.DUMMYFUNCTION("""COMPUTED_VALUE"""),"")</f>
        <v/>
      </c>
      <c r="I2976" s="2" t="str">
        <f>IFERROR(__xludf.DUMMYFUNCTION("""COMPUTED_VALUE"""),"")</f>
        <v/>
      </c>
      <c r="J2976" s="2">
        <f>IFERROR(__xludf.DUMMYFUNCTION("""COMPUTED_VALUE"""),0.0)</f>
        <v>0</v>
      </c>
      <c r="K2976" s="5" t="str">
        <f>IFERROR(__xludf.DUMMYFUNCTION("""COMPUTED_VALUE"""),"")</f>
        <v/>
      </c>
      <c r="L2976" t="str">
        <f>IFERROR(__xludf.DUMMYFUNCTION("""COMPUTED_VALUE"""),"")</f>
        <v/>
      </c>
      <c r="M2976" t="str">
        <f>IFERROR(__xludf.DUMMYFUNCTION("""COMPUTED_VALUE"""),"")</f>
        <v/>
      </c>
      <c r="N2976" t="str">
        <f>IFERROR(__xludf.DUMMYFUNCTION("""COMPUTED_VALUE"""),"")</f>
        <v/>
      </c>
      <c r="O2976" t="str">
        <f>IFERROR(__xludf.DUMMYFUNCTION("""COMPUTED_VALUE"""),"")</f>
        <v/>
      </c>
      <c r="P2976" t="str">
        <f>IFERROR(__xludf.DUMMYFUNCTION("""COMPUTED_VALUE"""),"ID ")</f>
        <v>ID </v>
      </c>
    </row>
    <row r="2977">
      <c r="A2977" s="6" t="str">
        <f>IFERROR(__xludf.DUMMYFUNCTION("""COMPUTED_VALUE"""),"")</f>
        <v/>
      </c>
      <c r="C2977" t="str">
        <f>IFERROR(__xludf.DUMMYFUNCTION("""COMPUTED_VALUE"""),"")</f>
        <v/>
      </c>
      <c r="D2977" t="str">
        <f>IFERROR(__xludf.DUMMYFUNCTION("""COMPUTED_VALUE"""),"")</f>
        <v/>
      </c>
      <c r="E2977" t="str">
        <f>IFERROR(__xludf.DUMMYFUNCTION("""COMPUTED_VALUE"""),"")</f>
        <v/>
      </c>
      <c r="F2977" t="str">
        <f>IFERROR(__xludf.DUMMYFUNCTION("""COMPUTED_VALUE"""),"")</f>
        <v/>
      </c>
      <c r="G2977" t="str">
        <f>IFERROR(__xludf.DUMMYFUNCTION("""COMPUTED_VALUE"""),"")</f>
        <v/>
      </c>
      <c r="H2977" s="2" t="str">
        <f>IFERROR(__xludf.DUMMYFUNCTION("""COMPUTED_VALUE"""),"")</f>
        <v/>
      </c>
      <c r="I2977" s="2" t="str">
        <f>IFERROR(__xludf.DUMMYFUNCTION("""COMPUTED_VALUE"""),"")</f>
        <v/>
      </c>
      <c r="J2977" s="2">
        <f>IFERROR(__xludf.DUMMYFUNCTION("""COMPUTED_VALUE"""),0.0)</f>
        <v>0</v>
      </c>
      <c r="K2977" s="5" t="str">
        <f>IFERROR(__xludf.DUMMYFUNCTION("""COMPUTED_VALUE"""),"")</f>
        <v/>
      </c>
      <c r="L2977" t="str">
        <f>IFERROR(__xludf.DUMMYFUNCTION("""COMPUTED_VALUE"""),"")</f>
        <v/>
      </c>
      <c r="M2977" t="str">
        <f>IFERROR(__xludf.DUMMYFUNCTION("""COMPUTED_VALUE"""),"")</f>
        <v/>
      </c>
      <c r="N2977" t="str">
        <f>IFERROR(__xludf.DUMMYFUNCTION("""COMPUTED_VALUE"""),"")</f>
        <v/>
      </c>
      <c r="O2977" t="str">
        <f>IFERROR(__xludf.DUMMYFUNCTION("""COMPUTED_VALUE"""),"")</f>
        <v/>
      </c>
      <c r="P2977" t="str">
        <f>IFERROR(__xludf.DUMMYFUNCTION("""COMPUTED_VALUE"""),"ID ")</f>
        <v>ID </v>
      </c>
    </row>
    <row r="2978">
      <c r="A2978" s="6" t="str">
        <f>IFERROR(__xludf.DUMMYFUNCTION("""COMPUTED_VALUE"""),"")</f>
        <v/>
      </c>
      <c r="C2978" t="str">
        <f>IFERROR(__xludf.DUMMYFUNCTION("""COMPUTED_VALUE"""),"")</f>
        <v/>
      </c>
      <c r="D2978" t="str">
        <f>IFERROR(__xludf.DUMMYFUNCTION("""COMPUTED_VALUE"""),"")</f>
        <v/>
      </c>
      <c r="E2978" t="str">
        <f>IFERROR(__xludf.DUMMYFUNCTION("""COMPUTED_VALUE"""),"")</f>
        <v/>
      </c>
      <c r="F2978" t="str">
        <f>IFERROR(__xludf.DUMMYFUNCTION("""COMPUTED_VALUE"""),"")</f>
        <v/>
      </c>
      <c r="G2978" t="str">
        <f>IFERROR(__xludf.DUMMYFUNCTION("""COMPUTED_VALUE"""),"")</f>
        <v/>
      </c>
      <c r="H2978" s="2" t="str">
        <f>IFERROR(__xludf.DUMMYFUNCTION("""COMPUTED_VALUE"""),"")</f>
        <v/>
      </c>
      <c r="I2978" s="2" t="str">
        <f>IFERROR(__xludf.DUMMYFUNCTION("""COMPUTED_VALUE"""),"")</f>
        <v/>
      </c>
      <c r="J2978" s="2">
        <f>IFERROR(__xludf.DUMMYFUNCTION("""COMPUTED_VALUE"""),0.0)</f>
        <v>0</v>
      </c>
      <c r="K2978" s="5" t="str">
        <f>IFERROR(__xludf.DUMMYFUNCTION("""COMPUTED_VALUE"""),"")</f>
        <v/>
      </c>
      <c r="L2978" t="str">
        <f>IFERROR(__xludf.DUMMYFUNCTION("""COMPUTED_VALUE"""),"")</f>
        <v/>
      </c>
      <c r="M2978" t="str">
        <f>IFERROR(__xludf.DUMMYFUNCTION("""COMPUTED_VALUE"""),"")</f>
        <v/>
      </c>
      <c r="N2978" t="str">
        <f>IFERROR(__xludf.DUMMYFUNCTION("""COMPUTED_VALUE"""),"")</f>
        <v/>
      </c>
      <c r="O2978" t="str">
        <f>IFERROR(__xludf.DUMMYFUNCTION("""COMPUTED_VALUE"""),"")</f>
        <v/>
      </c>
      <c r="P2978" t="str">
        <f>IFERROR(__xludf.DUMMYFUNCTION("""COMPUTED_VALUE"""),"ID ")</f>
        <v>ID </v>
      </c>
    </row>
    <row r="2979">
      <c r="A2979" s="6" t="str">
        <f>IFERROR(__xludf.DUMMYFUNCTION("""COMPUTED_VALUE"""),"")</f>
        <v/>
      </c>
      <c r="C2979" t="str">
        <f>IFERROR(__xludf.DUMMYFUNCTION("""COMPUTED_VALUE"""),"")</f>
        <v/>
      </c>
      <c r="D2979" t="str">
        <f>IFERROR(__xludf.DUMMYFUNCTION("""COMPUTED_VALUE"""),"")</f>
        <v/>
      </c>
      <c r="E2979" t="str">
        <f>IFERROR(__xludf.DUMMYFUNCTION("""COMPUTED_VALUE"""),"")</f>
        <v/>
      </c>
      <c r="F2979" t="str">
        <f>IFERROR(__xludf.DUMMYFUNCTION("""COMPUTED_VALUE"""),"")</f>
        <v/>
      </c>
      <c r="G2979" t="str">
        <f>IFERROR(__xludf.DUMMYFUNCTION("""COMPUTED_VALUE"""),"")</f>
        <v/>
      </c>
      <c r="H2979" s="2" t="str">
        <f>IFERROR(__xludf.DUMMYFUNCTION("""COMPUTED_VALUE"""),"")</f>
        <v/>
      </c>
      <c r="I2979" s="2" t="str">
        <f>IFERROR(__xludf.DUMMYFUNCTION("""COMPUTED_VALUE"""),"")</f>
        <v/>
      </c>
      <c r="J2979" s="2">
        <f>IFERROR(__xludf.DUMMYFUNCTION("""COMPUTED_VALUE"""),0.0)</f>
        <v>0</v>
      </c>
      <c r="K2979" s="5" t="str">
        <f>IFERROR(__xludf.DUMMYFUNCTION("""COMPUTED_VALUE"""),"")</f>
        <v/>
      </c>
      <c r="L2979" t="str">
        <f>IFERROR(__xludf.DUMMYFUNCTION("""COMPUTED_VALUE"""),"")</f>
        <v/>
      </c>
      <c r="M2979" t="str">
        <f>IFERROR(__xludf.DUMMYFUNCTION("""COMPUTED_VALUE"""),"")</f>
        <v/>
      </c>
      <c r="N2979" t="str">
        <f>IFERROR(__xludf.DUMMYFUNCTION("""COMPUTED_VALUE"""),"")</f>
        <v/>
      </c>
      <c r="O2979" t="str">
        <f>IFERROR(__xludf.DUMMYFUNCTION("""COMPUTED_VALUE"""),"")</f>
        <v/>
      </c>
      <c r="P2979" t="str">
        <f>IFERROR(__xludf.DUMMYFUNCTION("""COMPUTED_VALUE"""),"ID ")</f>
        <v>ID </v>
      </c>
    </row>
    <row r="2980">
      <c r="A2980" s="6" t="str">
        <f>IFERROR(__xludf.DUMMYFUNCTION("""COMPUTED_VALUE"""),"")</f>
        <v/>
      </c>
      <c r="C2980" t="str">
        <f>IFERROR(__xludf.DUMMYFUNCTION("""COMPUTED_VALUE"""),"")</f>
        <v/>
      </c>
      <c r="D2980" t="str">
        <f>IFERROR(__xludf.DUMMYFUNCTION("""COMPUTED_VALUE"""),"")</f>
        <v/>
      </c>
      <c r="E2980" t="str">
        <f>IFERROR(__xludf.DUMMYFUNCTION("""COMPUTED_VALUE"""),"")</f>
        <v/>
      </c>
      <c r="F2980" t="str">
        <f>IFERROR(__xludf.DUMMYFUNCTION("""COMPUTED_VALUE"""),"")</f>
        <v/>
      </c>
      <c r="G2980" t="str">
        <f>IFERROR(__xludf.DUMMYFUNCTION("""COMPUTED_VALUE"""),"")</f>
        <v/>
      </c>
      <c r="H2980" s="2" t="str">
        <f>IFERROR(__xludf.DUMMYFUNCTION("""COMPUTED_VALUE"""),"")</f>
        <v/>
      </c>
      <c r="I2980" s="2" t="str">
        <f>IFERROR(__xludf.DUMMYFUNCTION("""COMPUTED_VALUE"""),"")</f>
        <v/>
      </c>
      <c r="J2980" s="2">
        <f>IFERROR(__xludf.DUMMYFUNCTION("""COMPUTED_VALUE"""),0.0)</f>
        <v>0</v>
      </c>
      <c r="K2980" s="5" t="str">
        <f>IFERROR(__xludf.DUMMYFUNCTION("""COMPUTED_VALUE"""),"")</f>
        <v/>
      </c>
      <c r="L2980" t="str">
        <f>IFERROR(__xludf.DUMMYFUNCTION("""COMPUTED_VALUE"""),"")</f>
        <v/>
      </c>
      <c r="M2980" t="str">
        <f>IFERROR(__xludf.DUMMYFUNCTION("""COMPUTED_VALUE"""),"")</f>
        <v/>
      </c>
      <c r="N2980" t="str">
        <f>IFERROR(__xludf.DUMMYFUNCTION("""COMPUTED_VALUE"""),"")</f>
        <v/>
      </c>
      <c r="O2980" t="str">
        <f>IFERROR(__xludf.DUMMYFUNCTION("""COMPUTED_VALUE"""),"")</f>
        <v/>
      </c>
      <c r="P2980" t="str">
        <f>IFERROR(__xludf.DUMMYFUNCTION("""COMPUTED_VALUE"""),"ID ")</f>
        <v>ID </v>
      </c>
    </row>
    <row r="2981">
      <c r="A2981" s="6" t="str">
        <f>IFERROR(__xludf.DUMMYFUNCTION("""COMPUTED_VALUE"""),"")</f>
        <v/>
      </c>
      <c r="C2981" t="str">
        <f>IFERROR(__xludf.DUMMYFUNCTION("""COMPUTED_VALUE"""),"")</f>
        <v/>
      </c>
      <c r="D2981" t="str">
        <f>IFERROR(__xludf.DUMMYFUNCTION("""COMPUTED_VALUE"""),"")</f>
        <v/>
      </c>
      <c r="E2981" t="str">
        <f>IFERROR(__xludf.DUMMYFUNCTION("""COMPUTED_VALUE"""),"")</f>
        <v/>
      </c>
      <c r="F2981" t="str">
        <f>IFERROR(__xludf.DUMMYFUNCTION("""COMPUTED_VALUE"""),"")</f>
        <v/>
      </c>
      <c r="G2981" t="str">
        <f>IFERROR(__xludf.DUMMYFUNCTION("""COMPUTED_VALUE"""),"")</f>
        <v/>
      </c>
      <c r="H2981" s="2" t="str">
        <f>IFERROR(__xludf.DUMMYFUNCTION("""COMPUTED_VALUE"""),"")</f>
        <v/>
      </c>
      <c r="I2981" s="2" t="str">
        <f>IFERROR(__xludf.DUMMYFUNCTION("""COMPUTED_VALUE"""),"")</f>
        <v/>
      </c>
      <c r="J2981" s="2">
        <f>IFERROR(__xludf.DUMMYFUNCTION("""COMPUTED_VALUE"""),0.0)</f>
        <v>0</v>
      </c>
      <c r="K2981" s="5" t="str">
        <f>IFERROR(__xludf.DUMMYFUNCTION("""COMPUTED_VALUE"""),"")</f>
        <v/>
      </c>
      <c r="L2981" t="str">
        <f>IFERROR(__xludf.DUMMYFUNCTION("""COMPUTED_VALUE"""),"")</f>
        <v/>
      </c>
      <c r="M2981" t="str">
        <f>IFERROR(__xludf.DUMMYFUNCTION("""COMPUTED_VALUE"""),"")</f>
        <v/>
      </c>
      <c r="N2981" t="str">
        <f>IFERROR(__xludf.DUMMYFUNCTION("""COMPUTED_VALUE"""),"")</f>
        <v/>
      </c>
      <c r="O2981" t="str">
        <f>IFERROR(__xludf.DUMMYFUNCTION("""COMPUTED_VALUE"""),"")</f>
        <v/>
      </c>
      <c r="P2981" t="str">
        <f>IFERROR(__xludf.DUMMYFUNCTION("""COMPUTED_VALUE"""),"ID ")</f>
        <v>ID </v>
      </c>
    </row>
    <row r="2982">
      <c r="A2982" s="6" t="str">
        <f>IFERROR(__xludf.DUMMYFUNCTION("""COMPUTED_VALUE"""),"")</f>
        <v/>
      </c>
      <c r="C2982" t="str">
        <f>IFERROR(__xludf.DUMMYFUNCTION("""COMPUTED_VALUE"""),"")</f>
        <v/>
      </c>
      <c r="D2982" t="str">
        <f>IFERROR(__xludf.DUMMYFUNCTION("""COMPUTED_VALUE"""),"")</f>
        <v/>
      </c>
      <c r="E2982" t="str">
        <f>IFERROR(__xludf.DUMMYFUNCTION("""COMPUTED_VALUE"""),"")</f>
        <v/>
      </c>
      <c r="F2982" t="str">
        <f>IFERROR(__xludf.DUMMYFUNCTION("""COMPUTED_VALUE"""),"")</f>
        <v/>
      </c>
      <c r="G2982" t="str">
        <f>IFERROR(__xludf.DUMMYFUNCTION("""COMPUTED_VALUE"""),"")</f>
        <v/>
      </c>
      <c r="H2982" s="2" t="str">
        <f>IFERROR(__xludf.DUMMYFUNCTION("""COMPUTED_VALUE"""),"")</f>
        <v/>
      </c>
      <c r="I2982" s="2" t="str">
        <f>IFERROR(__xludf.DUMMYFUNCTION("""COMPUTED_VALUE"""),"")</f>
        <v/>
      </c>
      <c r="J2982" s="2">
        <f>IFERROR(__xludf.DUMMYFUNCTION("""COMPUTED_VALUE"""),0.0)</f>
        <v>0</v>
      </c>
      <c r="K2982" s="5" t="str">
        <f>IFERROR(__xludf.DUMMYFUNCTION("""COMPUTED_VALUE"""),"")</f>
        <v/>
      </c>
      <c r="L2982" t="str">
        <f>IFERROR(__xludf.DUMMYFUNCTION("""COMPUTED_VALUE"""),"")</f>
        <v/>
      </c>
      <c r="M2982" t="str">
        <f>IFERROR(__xludf.DUMMYFUNCTION("""COMPUTED_VALUE"""),"")</f>
        <v/>
      </c>
      <c r="N2982" t="str">
        <f>IFERROR(__xludf.DUMMYFUNCTION("""COMPUTED_VALUE"""),"")</f>
        <v/>
      </c>
      <c r="O2982" t="str">
        <f>IFERROR(__xludf.DUMMYFUNCTION("""COMPUTED_VALUE"""),"")</f>
        <v/>
      </c>
      <c r="P2982" t="str">
        <f>IFERROR(__xludf.DUMMYFUNCTION("""COMPUTED_VALUE"""),"ID ")</f>
        <v>ID </v>
      </c>
    </row>
    <row r="2983">
      <c r="A2983" s="6" t="str">
        <f>IFERROR(__xludf.DUMMYFUNCTION("""COMPUTED_VALUE"""),"")</f>
        <v/>
      </c>
      <c r="C2983" t="str">
        <f>IFERROR(__xludf.DUMMYFUNCTION("""COMPUTED_VALUE"""),"")</f>
        <v/>
      </c>
      <c r="D2983" t="str">
        <f>IFERROR(__xludf.DUMMYFUNCTION("""COMPUTED_VALUE"""),"")</f>
        <v/>
      </c>
      <c r="E2983" t="str">
        <f>IFERROR(__xludf.DUMMYFUNCTION("""COMPUTED_VALUE"""),"")</f>
        <v/>
      </c>
      <c r="F2983" t="str">
        <f>IFERROR(__xludf.DUMMYFUNCTION("""COMPUTED_VALUE"""),"")</f>
        <v/>
      </c>
      <c r="G2983" t="str">
        <f>IFERROR(__xludf.DUMMYFUNCTION("""COMPUTED_VALUE"""),"")</f>
        <v/>
      </c>
      <c r="H2983" s="2" t="str">
        <f>IFERROR(__xludf.DUMMYFUNCTION("""COMPUTED_VALUE"""),"")</f>
        <v/>
      </c>
      <c r="I2983" s="2" t="str">
        <f>IFERROR(__xludf.DUMMYFUNCTION("""COMPUTED_VALUE"""),"")</f>
        <v/>
      </c>
      <c r="J2983" s="2">
        <f>IFERROR(__xludf.DUMMYFUNCTION("""COMPUTED_VALUE"""),0.0)</f>
        <v>0</v>
      </c>
      <c r="K2983" s="5" t="str">
        <f>IFERROR(__xludf.DUMMYFUNCTION("""COMPUTED_VALUE"""),"")</f>
        <v/>
      </c>
      <c r="L2983" t="str">
        <f>IFERROR(__xludf.DUMMYFUNCTION("""COMPUTED_VALUE"""),"")</f>
        <v/>
      </c>
      <c r="M2983" t="str">
        <f>IFERROR(__xludf.DUMMYFUNCTION("""COMPUTED_VALUE"""),"")</f>
        <v/>
      </c>
      <c r="N2983" t="str">
        <f>IFERROR(__xludf.DUMMYFUNCTION("""COMPUTED_VALUE"""),"")</f>
        <v/>
      </c>
      <c r="O2983" t="str">
        <f>IFERROR(__xludf.DUMMYFUNCTION("""COMPUTED_VALUE"""),"")</f>
        <v/>
      </c>
      <c r="P2983" t="str">
        <f>IFERROR(__xludf.DUMMYFUNCTION("""COMPUTED_VALUE"""),"ID ")</f>
        <v>ID </v>
      </c>
    </row>
    <row r="2984">
      <c r="A2984" s="6" t="str">
        <f>IFERROR(__xludf.DUMMYFUNCTION("""COMPUTED_VALUE"""),"")</f>
        <v/>
      </c>
      <c r="C2984" t="str">
        <f>IFERROR(__xludf.DUMMYFUNCTION("""COMPUTED_VALUE"""),"")</f>
        <v/>
      </c>
      <c r="D2984" t="str">
        <f>IFERROR(__xludf.DUMMYFUNCTION("""COMPUTED_VALUE"""),"")</f>
        <v/>
      </c>
      <c r="E2984" t="str">
        <f>IFERROR(__xludf.DUMMYFUNCTION("""COMPUTED_VALUE"""),"")</f>
        <v/>
      </c>
      <c r="F2984" t="str">
        <f>IFERROR(__xludf.DUMMYFUNCTION("""COMPUTED_VALUE"""),"")</f>
        <v/>
      </c>
      <c r="G2984" t="str">
        <f>IFERROR(__xludf.DUMMYFUNCTION("""COMPUTED_VALUE"""),"")</f>
        <v/>
      </c>
      <c r="H2984" s="2" t="str">
        <f>IFERROR(__xludf.DUMMYFUNCTION("""COMPUTED_VALUE"""),"")</f>
        <v/>
      </c>
      <c r="I2984" s="2" t="str">
        <f>IFERROR(__xludf.DUMMYFUNCTION("""COMPUTED_VALUE"""),"")</f>
        <v/>
      </c>
      <c r="J2984" s="2">
        <f>IFERROR(__xludf.DUMMYFUNCTION("""COMPUTED_VALUE"""),0.0)</f>
        <v>0</v>
      </c>
      <c r="K2984" s="5" t="str">
        <f>IFERROR(__xludf.DUMMYFUNCTION("""COMPUTED_VALUE"""),"")</f>
        <v/>
      </c>
      <c r="L2984" t="str">
        <f>IFERROR(__xludf.DUMMYFUNCTION("""COMPUTED_VALUE"""),"")</f>
        <v/>
      </c>
      <c r="M2984" t="str">
        <f>IFERROR(__xludf.DUMMYFUNCTION("""COMPUTED_VALUE"""),"")</f>
        <v/>
      </c>
      <c r="N2984" t="str">
        <f>IFERROR(__xludf.DUMMYFUNCTION("""COMPUTED_VALUE"""),"")</f>
        <v/>
      </c>
      <c r="O2984" t="str">
        <f>IFERROR(__xludf.DUMMYFUNCTION("""COMPUTED_VALUE"""),"")</f>
        <v/>
      </c>
      <c r="P2984" t="str">
        <f>IFERROR(__xludf.DUMMYFUNCTION("""COMPUTED_VALUE"""),"ID ")</f>
        <v>ID </v>
      </c>
    </row>
    <row r="2985">
      <c r="A2985" s="6" t="str">
        <f>IFERROR(__xludf.DUMMYFUNCTION("""COMPUTED_VALUE"""),"")</f>
        <v/>
      </c>
      <c r="C2985" t="str">
        <f>IFERROR(__xludf.DUMMYFUNCTION("""COMPUTED_VALUE"""),"")</f>
        <v/>
      </c>
      <c r="D2985" t="str">
        <f>IFERROR(__xludf.DUMMYFUNCTION("""COMPUTED_VALUE"""),"")</f>
        <v/>
      </c>
      <c r="E2985" t="str">
        <f>IFERROR(__xludf.DUMMYFUNCTION("""COMPUTED_VALUE"""),"")</f>
        <v/>
      </c>
      <c r="F2985" t="str">
        <f>IFERROR(__xludf.DUMMYFUNCTION("""COMPUTED_VALUE"""),"")</f>
        <v/>
      </c>
      <c r="G2985" t="str">
        <f>IFERROR(__xludf.DUMMYFUNCTION("""COMPUTED_VALUE"""),"")</f>
        <v/>
      </c>
      <c r="H2985" s="2" t="str">
        <f>IFERROR(__xludf.DUMMYFUNCTION("""COMPUTED_VALUE"""),"")</f>
        <v/>
      </c>
      <c r="I2985" s="2" t="str">
        <f>IFERROR(__xludf.DUMMYFUNCTION("""COMPUTED_VALUE"""),"")</f>
        <v/>
      </c>
      <c r="J2985" s="2">
        <f>IFERROR(__xludf.DUMMYFUNCTION("""COMPUTED_VALUE"""),0.0)</f>
        <v>0</v>
      </c>
      <c r="K2985" s="5" t="str">
        <f>IFERROR(__xludf.DUMMYFUNCTION("""COMPUTED_VALUE"""),"")</f>
        <v/>
      </c>
      <c r="L2985" t="str">
        <f>IFERROR(__xludf.DUMMYFUNCTION("""COMPUTED_VALUE"""),"")</f>
        <v/>
      </c>
      <c r="M2985" t="str">
        <f>IFERROR(__xludf.DUMMYFUNCTION("""COMPUTED_VALUE"""),"")</f>
        <v/>
      </c>
      <c r="N2985" t="str">
        <f>IFERROR(__xludf.DUMMYFUNCTION("""COMPUTED_VALUE"""),"")</f>
        <v/>
      </c>
      <c r="O2985" t="str">
        <f>IFERROR(__xludf.DUMMYFUNCTION("""COMPUTED_VALUE"""),"")</f>
        <v/>
      </c>
      <c r="P2985" t="str">
        <f>IFERROR(__xludf.DUMMYFUNCTION("""COMPUTED_VALUE"""),"ID ")</f>
        <v>ID </v>
      </c>
    </row>
    <row r="2986">
      <c r="A2986" s="6" t="str">
        <f>IFERROR(__xludf.DUMMYFUNCTION("""COMPUTED_VALUE"""),"")</f>
        <v/>
      </c>
      <c r="C2986" t="str">
        <f>IFERROR(__xludf.DUMMYFUNCTION("""COMPUTED_VALUE"""),"")</f>
        <v/>
      </c>
      <c r="D2986" t="str">
        <f>IFERROR(__xludf.DUMMYFUNCTION("""COMPUTED_VALUE"""),"")</f>
        <v/>
      </c>
      <c r="E2986" t="str">
        <f>IFERROR(__xludf.DUMMYFUNCTION("""COMPUTED_VALUE"""),"")</f>
        <v/>
      </c>
      <c r="F2986" t="str">
        <f>IFERROR(__xludf.DUMMYFUNCTION("""COMPUTED_VALUE"""),"")</f>
        <v/>
      </c>
      <c r="G2986" t="str">
        <f>IFERROR(__xludf.DUMMYFUNCTION("""COMPUTED_VALUE"""),"")</f>
        <v/>
      </c>
      <c r="H2986" s="2" t="str">
        <f>IFERROR(__xludf.DUMMYFUNCTION("""COMPUTED_VALUE"""),"")</f>
        <v/>
      </c>
      <c r="I2986" s="2" t="str">
        <f>IFERROR(__xludf.DUMMYFUNCTION("""COMPUTED_VALUE"""),"")</f>
        <v/>
      </c>
      <c r="J2986" s="2">
        <f>IFERROR(__xludf.DUMMYFUNCTION("""COMPUTED_VALUE"""),0.0)</f>
        <v>0</v>
      </c>
      <c r="K2986" s="5" t="str">
        <f>IFERROR(__xludf.DUMMYFUNCTION("""COMPUTED_VALUE"""),"")</f>
        <v/>
      </c>
      <c r="L2986" t="str">
        <f>IFERROR(__xludf.DUMMYFUNCTION("""COMPUTED_VALUE"""),"")</f>
        <v/>
      </c>
      <c r="M2986" t="str">
        <f>IFERROR(__xludf.DUMMYFUNCTION("""COMPUTED_VALUE"""),"")</f>
        <v/>
      </c>
      <c r="N2986" t="str">
        <f>IFERROR(__xludf.DUMMYFUNCTION("""COMPUTED_VALUE"""),"")</f>
        <v/>
      </c>
      <c r="O2986" t="str">
        <f>IFERROR(__xludf.DUMMYFUNCTION("""COMPUTED_VALUE"""),"")</f>
        <v/>
      </c>
      <c r="P2986" t="str">
        <f>IFERROR(__xludf.DUMMYFUNCTION("""COMPUTED_VALUE"""),"ID ")</f>
        <v>ID </v>
      </c>
    </row>
    <row r="2987">
      <c r="A2987" s="6" t="str">
        <f>IFERROR(__xludf.DUMMYFUNCTION("""COMPUTED_VALUE"""),"")</f>
        <v/>
      </c>
      <c r="C2987" t="str">
        <f>IFERROR(__xludf.DUMMYFUNCTION("""COMPUTED_VALUE"""),"")</f>
        <v/>
      </c>
      <c r="D2987" t="str">
        <f>IFERROR(__xludf.DUMMYFUNCTION("""COMPUTED_VALUE"""),"")</f>
        <v/>
      </c>
      <c r="E2987" t="str">
        <f>IFERROR(__xludf.DUMMYFUNCTION("""COMPUTED_VALUE"""),"")</f>
        <v/>
      </c>
      <c r="F2987" t="str">
        <f>IFERROR(__xludf.DUMMYFUNCTION("""COMPUTED_VALUE"""),"")</f>
        <v/>
      </c>
      <c r="G2987" t="str">
        <f>IFERROR(__xludf.DUMMYFUNCTION("""COMPUTED_VALUE"""),"")</f>
        <v/>
      </c>
      <c r="H2987" s="2" t="str">
        <f>IFERROR(__xludf.DUMMYFUNCTION("""COMPUTED_VALUE"""),"")</f>
        <v/>
      </c>
      <c r="I2987" s="2" t="str">
        <f>IFERROR(__xludf.DUMMYFUNCTION("""COMPUTED_VALUE"""),"")</f>
        <v/>
      </c>
      <c r="J2987" s="2">
        <f>IFERROR(__xludf.DUMMYFUNCTION("""COMPUTED_VALUE"""),0.0)</f>
        <v>0</v>
      </c>
      <c r="K2987" s="5" t="str">
        <f>IFERROR(__xludf.DUMMYFUNCTION("""COMPUTED_VALUE"""),"")</f>
        <v/>
      </c>
      <c r="L2987" t="str">
        <f>IFERROR(__xludf.DUMMYFUNCTION("""COMPUTED_VALUE"""),"")</f>
        <v/>
      </c>
      <c r="M2987" t="str">
        <f>IFERROR(__xludf.DUMMYFUNCTION("""COMPUTED_VALUE"""),"")</f>
        <v/>
      </c>
      <c r="N2987" t="str">
        <f>IFERROR(__xludf.DUMMYFUNCTION("""COMPUTED_VALUE"""),"")</f>
        <v/>
      </c>
      <c r="O2987" t="str">
        <f>IFERROR(__xludf.DUMMYFUNCTION("""COMPUTED_VALUE"""),"")</f>
        <v/>
      </c>
      <c r="P2987" t="str">
        <f>IFERROR(__xludf.DUMMYFUNCTION("""COMPUTED_VALUE"""),"ID ")</f>
        <v>ID </v>
      </c>
    </row>
    <row r="2988">
      <c r="A2988" s="6" t="str">
        <f>IFERROR(__xludf.DUMMYFUNCTION("""COMPUTED_VALUE"""),"")</f>
        <v/>
      </c>
      <c r="C2988" t="str">
        <f>IFERROR(__xludf.DUMMYFUNCTION("""COMPUTED_VALUE"""),"")</f>
        <v/>
      </c>
      <c r="D2988" t="str">
        <f>IFERROR(__xludf.DUMMYFUNCTION("""COMPUTED_VALUE"""),"")</f>
        <v/>
      </c>
      <c r="E2988" t="str">
        <f>IFERROR(__xludf.DUMMYFUNCTION("""COMPUTED_VALUE"""),"")</f>
        <v/>
      </c>
      <c r="F2988" t="str">
        <f>IFERROR(__xludf.DUMMYFUNCTION("""COMPUTED_VALUE"""),"")</f>
        <v/>
      </c>
      <c r="G2988" t="str">
        <f>IFERROR(__xludf.DUMMYFUNCTION("""COMPUTED_VALUE"""),"")</f>
        <v/>
      </c>
      <c r="H2988" s="2" t="str">
        <f>IFERROR(__xludf.DUMMYFUNCTION("""COMPUTED_VALUE"""),"")</f>
        <v/>
      </c>
      <c r="I2988" s="2" t="str">
        <f>IFERROR(__xludf.DUMMYFUNCTION("""COMPUTED_VALUE"""),"")</f>
        <v/>
      </c>
      <c r="J2988" s="2">
        <f>IFERROR(__xludf.DUMMYFUNCTION("""COMPUTED_VALUE"""),0.0)</f>
        <v>0</v>
      </c>
      <c r="K2988" s="5" t="str">
        <f>IFERROR(__xludf.DUMMYFUNCTION("""COMPUTED_VALUE"""),"")</f>
        <v/>
      </c>
      <c r="L2988" t="str">
        <f>IFERROR(__xludf.DUMMYFUNCTION("""COMPUTED_VALUE"""),"")</f>
        <v/>
      </c>
      <c r="M2988" t="str">
        <f>IFERROR(__xludf.DUMMYFUNCTION("""COMPUTED_VALUE"""),"")</f>
        <v/>
      </c>
      <c r="N2988" t="str">
        <f>IFERROR(__xludf.DUMMYFUNCTION("""COMPUTED_VALUE"""),"")</f>
        <v/>
      </c>
      <c r="O2988" t="str">
        <f>IFERROR(__xludf.DUMMYFUNCTION("""COMPUTED_VALUE"""),"")</f>
        <v/>
      </c>
      <c r="P2988" t="str">
        <f>IFERROR(__xludf.DUMMYFUNCTION("""COMPUTED_VALUE"""),"ID ")</f>
        <v>ID </v>
      </c>
    </row>
    <row r="2989">
      <c r="A2989" s="6" t="str">
        <f>IFERROR(__xludf.DUMMYFUNCTION("""COMPUTED_VALUE"""),"")</f>
        <v/>
      </c>
      <c r="C2989" t="str">
        <f>IFERROR(__xludf.DUMMYFUNCTION("""COMPUTED_VALUE"""),"")</f>
        <v/>
      </c>
      <c r="D2989" t="str">
        <f>IFERROR(__xludf.DUMMYFUNCTION("""COMPUTED_VALUE"""),"")</f>
        <v/>
      </c>
      <c r="E2989" t="str">
        <f>IFERROR(__xludf.DUMMYFUNCTION("""COMPUTED_VALUE"""),"")</f>
        <v/>
      </c>
      <c r="F2989" t="str">
        <f>IFERROR(__xludf.DUMMYFUNCTION("""COMPUTED_VALUE"""),"")</f>
        <v/>
      </c>
      <c r="G2989" t="str">
        <f>IFERROR(__xludf.DUMMYFUNCTION("""COMPUTED_VALUE"""),"")</f>
        <v/>
      </c>
      <c r="H2989" s="2" t="str">
        <f>IFERROR(__xludf.DUMMYFUNCTION("""COMPUTED_VALUE"""),"")</f>
        <v/>
      </c>
      <c r="I2989" s="2" t="str">
        <f>IFERROR(__xludf.DUMMYFUNCTION("""COMPUTED_VALUE"""),"")</f>
        <v/>
      </c>
      <c r="J2989" s="2">
        <f>IFERROR(__xludf.DUMMYFUNCTION("""COMPUTED_VALUE"""),0.0)</f>
        <v>0</v>
      </c>
      <c r="K2989" s="5" t="str">
        <f>IFERROR(__xludf.DUMMYFUNCTION("""COMPUTED_VALUE"""),"")</f>
        <v/>
      </c>
      <c r="L2989" t="str">
        <f>IFERROR(__xludf.DUMMYFUNCTION("""COMPUTED_VALUE"""),"")</f>
        <v/>
      </c>
      <c r="M2989" t="str">
        <f>IFERROR(__xludf.DUMMYFUNCTION("""COMPUTED_VALUE"""),"")</f>
        <v/>
      </c>
      <c r="N2989" t="str">
        <f>IFERROR(__xludf.DUMMYFUNCTION("""COMPUTED_VALUE"""),"")</f>
        <v/>
      </c>
      <c r="O2989" t="str">
        <f>IFERROR(__xludf.DUMMYFUNCTION("""COMPUTED_VALUE"""),"")</f>
        <v/>
      </c>
      <c r="P2989" t="str">
        <f>IFERROR(__xludf.DUMMYFUNCTION("""COMPUTED_VALUE"""),"ID ")</f>
        <v>ID </v>
      </c>
    </row>
    <row r="2990">
      <c r="A2990" s="6" t="str">
        <f>IFERROR(__xludf.DUMMYFUNCTION("""COMPUTED_VALUE"""),"")</f>
        <v/>
      </c>
      <c r="C2990" t="str">
        <f>IFERROR(__xludf.DUMMYFUNCTION("""COMPUTED_VALUE"""),"")</f>
        <v/>
      </c>
      <c r="D2990" t="str">
        <f>IFERROR(__xludf.DUMMYFUNCTION("""COMPUTED_VALUE"""),"")</f>
        <v/>
      </c>
      <c r="E2990" t="str">
        <f>IFERROR(__xludf.DUMMYFUNCTION("""COMPUTED_VALUE"""),"")</f>
        <v/>
      </c>
      <c r="F2990" t="str">
        <f>IFERROR(__xludf.DUMMYFUNCTION("""COMPUTED_VALUE"""),"")</f>
        <v/>
      </c>
      <c r="G2990" t="str">
        <f>IFERROR(__xludf.DUMMYFUNCTION("""COMPUTED_VALUE"""),"")</f>
        <v/>
      </c>
      <c r="H2990" s="2" t="str">
        <f>IFERROR(__xludf.DUMMYFUNCTION("""COMPUTED_VALUE"""),"")</f>
        <v/>
      </c>
      <c r="I2990" s="2" t="str">
        <f>IFERROR(__xludf.DUMMYFUNCTION("""COMPUTED_VALUE"""),"")</f>
        <v/>
      </c>
      <c r="J2990" s="2">
        <f>IFERROR(__xludf.DUMMYFUNCTION("""COMPUTED_VALUE"""),0.0)</f>
        <v>0</v>
      </c>
      <c r="K2990" s="5" t="str">
        <f>IFERROR(__xludf.DUMMYFUNCTION("""COMPUTED_VALUE"""),"")</f>
        <v/>
      </c>
      <c r="L2990" t="str">
        <f>IFERROR(__xludf.DUMMYFUNCTION("""COMPUTED_VALUE"""),"")</f>
        <v/>
      </c>
      <c r="M2990" t="str">
        <f>IFERROR(__xludf.DUMMYFUNCTION("""COMPUTED_VALUE"""),"")</f>
        <v/>
      </c>
      <c r="N2990" t="str">
        <f>IFERROR(__xludf.DUMMYFUNCTION("""COMPUTED_VALUE"""),"")</f>
        <v/>
      </c>
      <c r="O2990" t="str">
        <f>IFERROR(__xludf.DUMMYFUNCTION("""COMPUTED_VALUE"""),"")</f>
        <v/>
      </c>
      <c r="P2990" t="str">
        <f>IFERROR(__xludf.DUMMYFUNCTION("""COMPUTED_VALUE"""),"ID ")</f>
        <v>ID </v>
      </c>
    </row>
    <row r="2991">
      <c r="A2991" s="6" t="str">
        <f>IFERROR(__xludf.DUMMYFUNCTION("""COMPUTED_VALUE"""),"")</f>
        <v/>
      </c>
      <c r="C2991" t="str">
        <f>IFERROR(__xludf.DUMMYFUNCTION("""COMPUTED_VALUE"""),"")</f>
        <v/>
      </c>
      <c r="D2991" t="str">
        <f>IFERROR(__xludf.DUMMYFUNCTION("""COMPUTED_VALUE"""),"")</f>
        <v/>
      </c>
      <c r="E2991" t="str">
        <f>IFERROR(__xludf.DUMMYFUNCTION("""COMPUTED_VALUE"""),"")</f>
        <v/>
      </c>
      <c r="F2991" t="str">
        <f>IFERROR(__xludf.DUMMYFUNCTION("""COMPUTED_VALUE"""),"")</f>
        <v/>
      </c>
      <c r="G2991" t="str">
        <f>IFERROR(__xludf.DUMMYFUNCTION("""COMPUTED_VALUE"""),"")</f>
        <v/>
      </c>
      <c r="H2991" s="2" t="str">
        <f>IFERROR(__xludf.DUMMYFUNCTION("""COMPUTED_VALUE"""),"")</f>
        <v/>
      </c>
      <c r="I2991" s="2" t="str">
        <f>IFERROR(__xludf.DUMMYFUNCTION("""COMPUTED_VALUE"""),"")</f>
        <v/>
      </c>
      <c r="J2991" s="2">
        <f>IFERROR(__xludf.DUMMYFUNCTION("""COMPUTED_VALUE"""),0.0)</f>
        <v>0</v>
      </c>
      <c r="K2991" s="5" t="str">
        <f>IFERROR(__xludf.DUMMYFUNCTION("""COMPUTED_VALUE"""),"")</f>
        <v/>
      </c>
      <c r="L2991" t="str">
        <f>IFERROR(__xludf.DUMMYFUNCTION("""COMPUTED_VALUE"""),"")</f>
        <v/>
      </c>
      <c r="M2991" t="str">
        <f>IFERROR(__xludf.DUMMYFUNCTION("""COMPUTED_VALUE"""),"")</f>
        <v/>
      </c>
      <c r="N2991" t="str">
        <f>IFERROR(__xludf.DUMMYFUNCTION("""COMPUTED_VALUE"""),"")</f>
        <v/>
      </c>
      <c r="O2991" t="str">
        <f>IFERROR(__xludf.DUMMYFUNCTION("""COMPUTED_VALUE"""),"")</f>
        <v/>
      </c>
      <c r="P2991" t="str">
        <f>IFERROR(__xludf.DUMMYFUNCTION("""COMPUTED_VALUE"""),"ID ")</f>
        <v>ID </v>
      </c>
    </row>
    <row r="2992">
      <c r="A2992" s="6" t="str">
        <f>IFERROR(__xludf.DUMMYFUNCTION("""COMPUTED_VALUE"""),"")</f>
        <v/>
      </c>
      <c r="C2992" t="str">
        <f>IFERROR(__xludf.DUMMYFUNCTION("""COMPUTED_VALUE"""),"")</f>
        <v/>
      </c>
      <c r="D2992" t="str">
        <f>IFERROR(__xludf.DUMMYFUNCTION("""COMPUTED_VALUE"""),"")</f>
        <v/>
      </c>
      <c r="E2992" t="str">
        <f>IFERROR(__xludf.DUMMYFUNCTION("""COMPUTED_VALUE"""),"")</f>
        <v/>
      </c>
      <c r="F2992" t="str">
        <f>IFERROR(__xludf.DUMMYFUNCTION("""COMPUTED_VALUE"""),"")</f>
        <v/>
      </c>
      <c r="G2992" t="str">
        <f>IFERROR(__xludf.DUMMYFUNCTION("""COMPUTED_VALUE"""),"")</f>
        <v/>
      </c>
      <c r="H2992" s="2" t="str">
        <f>IFERROR(__xludf.DUMMYFUNCTION("""COMPUTED_VALUE"""),"")</f>
        <v/>
      </c>
      <c r="I2992" s="2" t="str">
        <f>IFERROR(__xludf.DUMMYFUNCTION("""COMPUTED_VALUE"""),"")</f>
        <v/>
      </c>
      <c r="J2992" s="2">
        <f>IFERROR(__xludf.DUMMYFUNCTION("""COMPUTED_VALUE"""),0.0)</f>
        <v>0</v>
      </c>
      <c r="K2992" s="5" t="str">
        <f>IFERROR(__xludf.DUMMYFUNCTION("""COMPUTED_VALUE"""),"")</f>
        <v/>
      </c>
      <c r="L2992" t="str">
        <f>IFERROR(__xludf.DUMMYFUNCTION("""COMPUTED_VALUE"""),"")</f>
        <v/>
      </c>
      <c r="M2992" t="str">
        <f>IFERROR(__xludf.DUMMYFUNCTION("""COMPUTED_VALUE"""),"")</f>
        <v/>
      </c>
      <c r="N2992" t="str">
        <f>IFERROR(__xludf.DUMMYFUNCTION("""COMPUTED_VALUE"""),"")</f>
        <v/>
      </c>
      <c r="O2992" t="str">
        <f>IFERROR(__xludf.DUMMYFUNCTION("""COMPUTED_VALUE"""),"")</f>
        <v/>
      </c>
      <c r="P2992" t="str">
        <f>IFERROR(__xludf.DUMMYFUNCTION("""COMPUTED_VALUE"""),"ID ")</f>
        <v>ID </v>
      </c>
    </row>
    <row r="2993">
      <c r="A2993" s="6" t="str">
        <f>IFERROR(__xludf.DUMMYFUNCTION("""COMPUTED_VALUE"""),"")</f>
        <v/>
      </c>
      <c r="C2993" t="str">
        <f>IFERROR(__xludf.DUMMYFUNCTION("""COMPUTED_VALUE"""),"")</f>
        <v/>
      </c>
      <c r="D2993" t="str">
        <f>IFERROR(__xludf.DUMMYFUNCTION("""COMPUTED_VALUE"""),"")</f>
        <v/>
      </c>
      <c r="E2993" t="str">
        <f>IFERROR(__xludf.DUMMYFUNCTION("""COMPUTED_VALUE"""),"")</f>
        <v/>
      </c>
      <c r="F2993" t="str">
        <f>IFERROR(__xludf.DUMMYFUNCTION("""COMPUTED_VALUE"""),"")</f>
        <v/>
      </c>
      <c r="G2993" t="str">
        <f>IFERROR(__xludf.DUMMYFUNCTION("""COMPUTED_VALUE"""),"")</f>
        <v/>
      </c>
      <c r="H2993" s="2" t="str">
        <f>IFERROR(__xludf.DUMMYFUNCTION("""COMPUTED_VALUE"""),"")</f>
        <v/>
      </c>
      <c r="I2993" s="2" t="str">
        <f>IFERROR(__xludf.DUMMYFUNCTION("""COMPUTED_VALUE"""),"")</f>
        <v/>
      </c>
      <c r="J2993" s="2">
        <f>IFERROR(__xludf.DUMMYFUNCTION("""COMPUTED_VALUE"""),0.0)</f>
        <v>0</v>
      </c>
      <c r="K2993" s="5" t="str">
        <f>IFERROR(__xludf.DUMMYFUNCTION("""COMPUTED_VALUE"""),"")</f>
        <v/>
      </c>
      <c r="L2993" t="str">
        <f>IFERROR(__xludf.DUMMYFUNCTION("""COMPUTED_VALUE"""),"")</f>
        <v/>
      </c>
      <c r="M2993" t="str">
        <f>IFERROR(__xludf.DUMMYFUNCTION("""COMPUTED_VALUE"""),"")</f>
        <v/>
      </c>
      <c r="N2993" t="str">
        <f>IFERROR(__xludf.DUMMYFUNCTION("""COMPUTED_VALUE"""),"")</f>
        <v/>
      </c>
      <c r="O2993" t="str">
        <f>IFERROR(__xludf.DUMMYFUNCTION("""COMPUTED_VALUE"""),"")</f>
        <v/>
      </c>
      <c r="P2993" t="str">
        <f>IFERROR(__xludf.DUMMYFUNCTION("""COMPUTED_VALUE"""),"ID ")</f>
        <v>ID </v>
      </c>
    </row>
    <row r="2994">
      <c r="A2994" s="6" t="str">
        <f>IFERROR(__xludf.DUMMYFUNCTION("""COMPUTED_VALUE"""),"")</f>
        <v/>
      </c>
      <c r="C2994" t="str">
        <f>IFERROR(__xludf.DUMMYFUNCTION("""COMPUTED_VALUE"""),"")</f>
        <v/>
      </c>
      <c r="D2994" t="str">
        <f>IFERROR(__xludf.DUMMYFUNCTION("""COMPUTED_VALUE"""),"")</f>
        <v/>
      </c>
      <c r="E2994" t="str">
        <f>IFERROR(__xludf.DUMMYFUNCTION("""COMPUTED_VALUE"""),"")</f>
        <v/>
      </c>
      <c r="F2994" t="str">
        <f>IFERROR(__xludf.DUMMYFUNCTION("""COMPUTED_VALUE"""),"")</f>
        <v/>
      </c>
      <c r="G2994" t="str">
        <f>IFERROR(__xludf.DUMMYFUNCTION("""COMPUTED_VALUE"""),"")</f>
        <v/>
      </c>
      <c r="H2994" s="2" t="str">
        <f>IFERROR(__xludf.DUMMYFUNCTION("""COMPUTED_VALUE"""),"")</f>
        <v/>
      </c>
      <c r="I2994" s="2" t="str">
        <f>IFERROR(__xludf.DUMMYFUNCTION("""COMPUTED_VALUE"""),"")</f>
        <v/>
      </c>
      <c r="J2994" s="2">
        <f>IFERROR(__xludf.DUMMYFUNCTION("""COMPUTED_VALUE"""),0.0)</f>
        <v>0</v>
      </c>
      <c r="K2994" s="5" t="str">
        <f>IFERROR(__xludf.DUMMYFUNCTION("""COMPUTED_VALUE"""),"")</f>
        <v/>
      </c>
      <c r="L2994" t="str">
        <f>IFERROR(__xludf.DUMMYFUNCTION("""COMPUTED_VALUE"""),"")</f>
        <v/>
      </c>
      <c r="M2994" t="str">
        <f>IFERROR(__xludf.DUMMYFUNCTION("""COMPUTED_VALUE"""),"")</f>
        <v/>
      </c>
      <c r="N2994" t="str">
        <f>IFERROR(__xludf.DUMMYFUNCTION("""COMPUTED_VALUE"""),"")</f>
        <v/>
      </c>
      <c r="O2994" t="str">
        <f>IFERROR(__xludf.DUMMYFUNCTION("""COMPUTED_VALUE"""),"")</f>
        <v/>
      </c>
      <c r="P2994" t="str">
        <f>IFERROR(__xludf.DUMMYFUNCTION("""COMPUTED_VALUE"""),"ID ")</f>
        <v>ID </v>
      </c>
    </row>
    <row r="2995">
      <c r="A2995" s="6" t="str">
        <f>IFERROR(__xludf.DUMMYFUNCTION("""COMPUTED_VALUE"""),"")</f>
        <v/>
      </c>
      <c r="C2995" t="str">
        <f>IFERROR(__xludf.DUMMYFUNCTION("""COMPUTED_VALUE"""),"")</f>
        <v/>
      </c>
      <c r="D2995" t="str">
        <f>IFERROR(__xludf.DUMMYFUNCTION("""COMPUTED_VALUE"""),"")</f>
        <v/>
      </c>
      <c r="E2995" t="str">
        <f>IFERROR(__xludf.DUMMYFUNCTION("""COMPUTED_VALUE"""),"")</f>
        <v/>
      </c>
      <c r="F2995" t="str">
        <f>IFERROR(__xludf.DUMMYFUNCTION("""COMPUTED_VALUE"""),"")</f>
        <v/>
      </c>
      <c r="G2995" t="str">
        <f>IFERROR(__xludf.DUMMYFUNCTION("""COMPUTED_VALUE"""),"")</f>
        <v/>
      </c>
      <c r="H2995" s="2" t="str">
        <f>IFERROR(__xludf.DUMMYFUNCTION("""COMPUTED_VALUE"""),"")</f>
        <v/>
      </c>
      <c r="I2995" s="2" t="str">
        <f>IFERROR(__xludf.DUMMYFUNCTION("""COMPUTED_VALUE"""),"")</f>
        <v/>
      </c>
      <c r="J2995" s="2">
        <f>IFERROR(__xludf.DUMMYFUNCTION("""COMPUTED_VALUE"""),0.0)</f>
        <v>0</v>
      </c>
      <c r="K2995" s="5" t="str">
        <f>IFERROR(__xludf.DUMMYFUNCTION("""COMPUTED_VALUE"""),"")</f>
        <v/>
      </c>
      <c r="L2995" t="str">
        <f>IFERROR(__xludf.DUMMYFUNCTION("""COMPUTED_VALUE"""),"")</f>
        <v/>
      </c>
      <c r="M2995" t="str">
        <f>IFERROR(__xludf.DUMMYFUNCTION("""COMPUTED_VALUE"""),"")</f>
        <v/>
      </c>
      <c r="N2995" t="str">
        <f>IFERROR(__xludf.DUMMYFUNCTION("""COMPUTED_VALUE"""),"")</f>
        <v/>
      </c>
      <c r="O2995" t="str">
        <f>IFERROR(__xludf.DUMMYFUNCTION("""COMPUTED_VALUE"""),"")</f>
        <v/>
      </c>
      <c r="P2995" t="str">
        <f>IFERROR(__xludf.DUMMYFUNCTION("""COMPUTED_VALUE"""),"ID ")</f>
        <v>ID </v>
      </c>
    </row>
    <row r="2996">
      <c r="A2996" s="6" t="str">
        <f>IFERROR(__xludf.DUMMYFUNCTION("""COMPUTED_VALUE"""),"")</f>
        <v/>
      </c>
      <c r="C2996" t="str">
        <f>IFERROR(__xludf.DUMMYFUNCTION("""COMPUTED_VALUE"""),"")</f>
        <v/>
      </c>
      <c r="D2996" t="str">
        <f>IFERROR(__xludf.DUMMYFUNCTION("""COMPUTED_VALUE"""),"")</f>
        <v/>
      </c>
      <c r="E2996" t="str">
        <f>IFERROR(__xludf.DUMMYFUNCTION("""COMPUTED_VALUE"""),"")</f>
        <v/>
      </c>
      <c r="F2996" t="str">
        <f>IFERROR(__xludf.DUMMYFUNCTION("""COMPUTED_VALUE"""),"")</f>
        <v/>
      </c>
      <c r="G2996" t="str">
        <f>IFERROR(__xludf.DUMMYFUNCTION("""COMPUTED_VALUE"""),"")</f>
        <v/>
      </c>
      <c r="H2996" s="2" t="str">
        <f>IFERROR(__xludf.DUMMYFUNCTION("""COMPUTED_VALUE"""),"")</f>
        <v/>
      </c>
      <c r="I2996" s="2" t="str">
        <f>IFERROR(__xludf.DUMMYFUNCTION("""COMPUTED_VALUE"""),"")</f>
        <v/>
      </c>
      <c r="J2996" s="2">
        <f>IFERROR(__xludf.DUMMYFUNCTION("""COMPUTED_VALUE"""),0.0)</f>
        <v>0</v>
      </c>
      <c r="K2996" s="5" t="str">
        <f>IFERROR(__xludf.DUMMYFUNCTION("""COMPUTED_VALUE"""),"")</f>
        <v/>
      </c>
      <c r="L2996" t="str">
        <f>IFERROR(__xludf.DUMMYFUNCTION("""COMPUTED_VALUE"""),"")</f>
        <v/>
      </c>
      <c r="M2996" t="str">
        <f>IFERROR(__xludf.DUMMYFUNCTION("""COMPUTED_VALUE"""),"")</f>
        <v/>
      </c>
      <c r="N2996" t="str">
        <f>IFERROR(__xludf.DUMMYFUNCTION("""COMPUTED_VALUE"""),"")</f>
        <v/>
      </c>
      <c r="O2996" t="str">
        <f>IFERROR(__xludf.DUMMYFUNCTION("""COMPUTED_VALUE"""),"")</f>
        <v/>
      </c>
      <c r="P2996" t="str">
        <f>IFERROR(__xludf.DUMMYFUNCTION("""COMPUTED_VALUE"""),"ID ")</f>
        <v>ID </v>
      </c>
    </row>
    <row r="2997">
      <c r="A2997" s="6" t="str">
        <f>IFERROR(__xludf.DUMMYFUNCTION("""COMPUTED_VALUE"""),"")</f>
        <v/>
      </c>
      <c r="C2997" t="str">
        <f>IFERROR(__xludf.DUMMYFUNCTION("""COMPUTED_VALUE"""),"")</f>
        <v/>
      </c>
      <c r="D2997" t="str">
        <f>IFERROR(__xludf.DUMMYFUNCTION("""COMPUTED_VALUE"""),"")</f>
        <v/>
      </c>
      <c r="E2997" t="str">
        <f>IFERROR(__xludf.DUMMYFUNCTION("""COMPUTED_VALUE"""),"")</f>
        <v/>
      </c>
      <c r="F2997" t="str">
        <f>IFERROR(__xludf.DUMMYFUNCTION("""COMPUTED_VALUE"""),"")</f>
        <v/>
      </c>
      <c r="G2997" t="str">
        <f>IFERROR(__xludf.DUMMYFUNCTION("""COMPUTED_VALUE"""),"")</f>
        <v/>
      </c>
      <c r="H2997" s="2" t="str">
        <f>IFERROR(__xludf.DUMMYFUNCTION("""COMPUTED_VALUE"""),"")</f>
        <v/>
      </c>
      <c r="I2997" s="2" t="str">
        <f>IFERROR(__xludf.DUMMYFUNCTION("""COMPUTED_VALUE"""),"")</f>
        <v/>
      </c>
      <c r="J2997" s="2">
        <f>IFERROR(__xludf.DUMMYFUNCTION("""COMPUTED_VALUE"""),0.0)</f>
        <v>0</v>
      </c>
      <c r="K2997" s="5" t="str">
        <f>IFERROR(__xludf.DUMMYFUNCTION("""COMPUTED_VALUE"""),"")</f>
        <v/>
      </c>
      <c r="L2997" t="str">
        <f>IFERROR(__xludf.DUMMYFUNCTION("""COMPUTED_VALUE"""),"")</f>
        <v/>
      </c>
      <c r="M2997" t="str">
        <f>IFERROR(__xludf.DUMMYFUNCTION("""COMPUTED_VALUE"""),"")</f>
        <v/>
      </c>
      <c r="N2997" t="str">
        <f>IFERROR(__xludf.DUMMYFUNCTION("""COMPUTED_VALUE"""),"")</f>
        <v/>
      </c>
      <c r="O2997" t="str">
        <f>IFERROR(__xludf.DUMMYFUNCTION("""COMPUTED_VALUE"""),"")</f>
        <v/>
      </c>
      <c r="P2997" t="str">
        <f>IFERROR(__xludf.DUMMYFUNCTION("""COMPUTED_VALUE"""),"ID ")</f>
        <v>ID </v>
      </c>
    </row>
    <row r="2998">
      <c r="A2998" s="6" t="str">
        <f>IFERROR(__xludf.DUMMYFUNCTION("""COMPUTED_VALUE"""),"")</f>
        <v/>
      </c>
      <c r="C2998" t="str">
        <f>IFERROR(__xludf.DUMMYFUNCTION("""COMPUTED_VALUE"""),"")</f>
        <v/>
      </c>
      <c r="D2998" t="str">
        <f>IFERROR(__xludf.DUMMYFUNCTION("""COMPUTED_VALUE"""),"")</f>
        <v/>
      </c>
      <c r="E2998" t="str">
        <f>IFERROR(__xludf.DUMMYFUNCTION("""COMPUTED_VALUE"""),"")</f>
        <v/>
      </c>
      <c r="F2998" t="str">
        <f>IFERROR(__xludf.DUMMYFUNCTION("""COMPUTED_VALUE"""),"")</f>
        <v/>
      </c>
      <c r="G2998" t="str">
        <f>IFERROR(__xludf.DUMMYFUNCTION("""COMPUTED_VALUE"""),"")</f>
        <v/>
      </c>
      <c r="H2998" s="2" t="str">
        <f>IFERROR(__xludf.DUMMYFUNCTION("""COMPUTED_VALUE"""),"")</f>
        <v/>
      </c>
      <c r="I2998" s="2" t="str">
        <f>IFERROR(__xludf.DUMMYFUNCTION("""COMPUTED_VALUE"""),"")</f>
        <v/>
      </c>
      <c r="J2998" s="2">
        <f>IFERROR(__xludf.DUMMYFUNCTION("""COMPUTED_VALUE"""),0.0)</f>
        <v>0</v>
      </c>
      <c r="K2998" s="5" t="str">
        <f>IFERROR(__xludf.DUMMYFUNCTION("""COMPUTED_VALUE"""),"")</f>
        <v/>
      </c>
      <c r="L2998" t="str">
        <f>IFERROR(__xludf.DUMMYFUNCTION("""COMPUTED_VALUE"""),"")</f>
        <v/>
      </c>
      <c r="M2998" t="str">
        <f>IFERROR(__xludf.DUMMYFUNCTION("""COMPUTED_VALUE"""),"")</f>
        <v/>
      </c>
      <c r="N2998" t="str">
        <f>IFERROR(__xludf.DUMMYFUNCTION("""COMPUTED_VALUE"""),"")</f>
        <v/>
      </c>
      <c r="O2998" t="str">
        <f>IFERROR(__xludf.DUMMYFUNCTION("""COMPUTED_VALUE"""),"")</f>
        <v/>
      </c>
      <c r="P2998" t="str">
        <f>IFERROR(__xludf.DUMMYFUNCTION("""COMPUTED_VALUE"""),"ID ")</f>
        <v>ID </v>
      </c>
    </row>
    <row r="2999">
      <c r="A2999" s="6" t="str">
        <f>IFERROR(__xludf.DUMMYFUNCTION("""COMPUTED_VALUE"""),"")</f>
        <v/>
      </c>
      <c r="C2999" t="str">
        <f>IFERROR(__xludf.DUMMYFUNCTION("""COMPUTED_VALUE"""),"")</f>
        <v/>
      </c>
      <c r="D2999" t="str">
        <f>IFERROR(__xludf.DUMMYFUNCTION("""COMPUTED_VALUE"""),"")</f>
        <v/>
      </c>
      <c r="E2999" t="str">
        <f>IFERROR(__xludf.DUMMYFUNCTION("""COMPUTED_VALUE"""),"")</f>
        <v/>
      </c>
      <c r="F2999" t="str">
        <f>IFERROR(__xludf.DUMMYFUNCTION("""COMPUTED_VALUE"""),"")</f>
        <v/>
      </c>
      <c r="G2999" t="str">
        <f>IFERROR(__xludf.DUMMYFUNCTION("""COMPUTED_VALUE"""),"")</f>
        <v/>
      </c>
      <c r="H2999" s="2" t="str">
        <f>IFERROR(__xludf.DUMMYFUNCTION("""COMPUTED_VALUE"""),"")</f>
        <v/>
      </c>
      <c r="I2999" s="2" t="str">
        <f>IFERROR(__xludf.DUMMYFUNCTION("""COMPUTED_VALUE"""),"")</f>
        <v/>
      </c>
      <c r="J2999" s="2">
        <f>IFERROR(__xludf.DUMMYFUNCTION("""COMPUTED_VALUE"""),0.0)</f>
        <v>0</v>
      </c>
      <c r="K2999" s="5" t="str">
        <f>IFERROR(__xludf.DUMMYFUNCTION("""COMPUTED_VALUE"""),"")</f>
        <v/>
      </c>
      <c r="L2999" t="str">
        <f>IFERROR(__xludf.DUMMYFUNCTION("""COMPUTED_VALUE"""),"")</f>
        <v/>
      </c>
      <c r="M2999" t="str">
        <f>IFERROR(__xludf.DUMMYFUNCTION("""COMPUTED_VALUE"""),"")</f>
        <v/>
      </c>
      <c r="N2999" t="str">
        <f>IFERROR(__xludf.DUMMYFUNCTION("""COMPUTED_VALUE"""),"")</f>
        <v/>
      </c>
      <c r="O2999" t="str">
        <f>IFERROR(__xludf.DUMMYFUNCTION("""COMPUTED_VALUE"""),"")</f>
        <v/>
      </c>
      <c r="P2999" t="str">
        <f>IFERROR(__xludf.DUMMYFUNCTION("""COMPUTED_VALUE"""),"ID ")</f>
        <v>ID </v>
      </c>
    </row>
    <row r="3000">
      <c r="A3000" s="6" t="str">
        <f>IFERROR(__xludf.DUMMYFUNCTION("""COMPUTED_VALUE"""),"")</f>
        <v/>
      </c>
      <c r="C3000" t="str">
        <f>IFERROR(__xludf.DUMMYFUNCTION("""COMPUTED_VALUE"""),"")</f>
        <v/>
      </c>
      <c r="D3000" t="str">
        <f>IFERROR(__xludf.DUMMYFUNCTION("""COMPUTED_VALUE"""),"")</f>
        <v/>
      </c>
      <c r="E3000" t="str">
        <f>IFERROR(__xludf.DUMMYFUNCTION("""COMPUTED_VALUE"""),"")</f>
        <v/>
      </c>
      <c r="F3000" t="str">
        <f>IFERROR(__xludf.DUMMYFUNCTION("""COMPUTED_VALUE"""),"")</f>
        <v/>
      </c>
      <c r="G3000" t="str">
        <f>IFERROR(__xludf.DUMMYFUNCTION("""COMPUTED_VALUE"""),"")</f>
        <v/>
      </c>
      <c r="H3000" s="2" t="str">
        <f>IFERROR(__xludf.DUMMYFUNCTION("""COMPUTED_VALUE"""),"")</f>
        <v/>
      </c>
      <c r="I3000" s="2" t="str">
        <f>IFERROR(__xludf.DUMMYFUNCTION("""COMPUTED_VALUE"""),"")</f>
        <v/>
      </c>
      <c r="J3000" s="2">
        <f>IFERROR(__xludf.DUMMYFUNCTION("""COMPUTED_VALUE"""),0.0)</f>
        <v>0</v>
      </c>
      <c r="K3000" s="5" t="str">
        <f>IFERROR(__xludf.DUMMYFUNCTION("""COMPUTED_VALUE"""),"")</f>
        <v/>
      </c>
      <c r="L3000" t="str">
        <f>IFERROR(__xludf.DUMMYFUNCTION("""COMPUTED_VALUE"""),"")</f>
        <v/>
      </c>
      <c r="M3000" t="str">
        <f>IFERROR(__xludf.DUMMYFUNCTION("""COMPUTED_VALUE"""),"")</f>
        <v/>
      </c>
      <c r="N3000" t="str">
        <f>IFERROR(__xludf.DUMMYFUNCTION("""COMPUTED_VALUE"""),"")</f>
        <v/>
      </c>
      <c r="O3000" t="str">
        <f>IFERROR(__xludf.DUMMYFUNCTION("""COMPUTED_VALUE"""),"")</f>
        <v/>
      </c>
      <c r="P3000" t="str">
        <f>IFERROR(__xludf.DUMMYFUNCTION("""COMPUTED_VALUE"""),"ID ")</f>
        <v>ID </v>
      </c>
    </row>
    <row r="3001">
      <c r="A3001" s="6" t="str">
        <f>IFERROR(__xludf.DUMMYFUNCTION("""COMPUTED_VALUE"""),"")</f>
        <v/>
      </c>
      <c r="C3001" t="str">
        <f>IFERROR(__xludf.DUMMYFUNCTION("""COMPUTED_VALUE"""),"")</f>
        <v/>
      </c>
      <c r="D3001" t="str">
        <f>IFERROR(__xludf.DUMMYFUNCTION("""COMPUTED_VALUE"""),"")</f>
        <v/>
      </c>
      <c r="E3001" t="str">
        <f>IFERROR(__xludf.DUMMYFUNCTION("""COMPUTED_VALUE"""),"")</f>
        <v/>
      </c>
      <c r="F3001" t="str">
        <f>IFERROR(__xludf.DUMMYFUNCTION("""COMPUTED_VALUE"""),"")</f>
        <v/>
      </c>
      <c r="G3001" t="str">
        <f>IFERROR(__xludf.DUMMYFUNCTION("""COMPUTED_VALUE"""),"")</f>
        <v/>
      </c>
      <c r="H3001" s="2" t="str">
        <f>IFERROR(__xludf.DUMMYFUNCTION("""COMPUTED_VALUE"""),"")</f>
        <v/>
      </c>
      <c r="I3001" s="2" t="str">
        <f>IFERROR(__xludf.DUMMYFUNCTION("""COMPUTED_VALUE"""),"")</f>
        <v/>
      </c>
      <c r="J3001" s="2">
        <f>IFERROR(__xludf.DUMMYFUNCTION("""COMPUTED_VALUE"""),0.0)</f>
        <v>0</v>
      </c>
      <c r="K3001" s="5" t="str">
        <f>IFERROR(__xludf.DUMMYFUNCTION("""COMPUTED_VALUE"""),"")</f>
        <v/>
      </c>
      <c r="L3001" t="str">
        <f>IFERROR(__xludf.DUMMYFUNCTION("""COMPUTED_VALUE"""),"")</f>
        <v/>
      </c>
      <c r="M3001" t="str">
        <f>IFERROR(__xludf.DUMMYFUNCTION("""COMPUTED_VALUE"""),"")</f>
        <v/>
      </c>
      <c r="N3001" t="str">
        <f>IFERROR(__xludf.DUMMYFUNCTION("""COMPUTED_VALUE"""),"")</f>
        <v/>
      </c>
      <c r="O3001" t="str">
        <f>IFERROR(__xludf.DUMMYFUNCTION("""COMPUTED_VALUE"""),"")</f>
        <v/>
      </c>
      <c r="P3001" t="str">
        <f>IFERROR(__xludf.DUMMYFUNCTION("""COMPUTED_VALUE"""),"ID ")</f>
        <v>ID </v>
      </c>
    </row>
    <row r="3002">
      <c r="A3002" s="6" t="str">
        <f>IFERROR(__xludf.DUMMYFUNCTION("""COMPUTED_VALUE"""),"")</f>
        <v/>
      </c>
      <c r="C3002" t="str">
        <f>IFERROR(__xludf.DUMMYFUNCTION("""COMPUTED_VALUE"""),"")</f>
        <v/>
      </c>
      <c r="D3002" t="str">
        <f>IFERROR(__xludf.DUMMYFUNCTION("""COMPUTED_VALUE"""),"")</f>
        <v/>
      </c>
      <c r="E3002" t="str">
        <f>IFERROR(__xludf.DUMMYFUNCTION("""COMPUTED_VALUE"""),"")</f>
        <v/>
      </c>
      <c r="F3002" t="str">
        <f>IFERROR(__xludf.DUMMYFUNCTION("""COMPUTED_VALUE"""),"")</f>
        <v/>
      </c>
      <c r="G3002" t="str">
        <f>IFERROR(__xludf.DUMMYFUNCTION("""COMPUTED_VALUE"""),"")</f>
        <v/>
      </c>
      <c r="H3002" s="2" t="str">
        <f>IFERROR(__xludf.DUMMYFUNCTION("""COMPUTED_VALUE"""),"")</f>
        <v/>
      </c>
      <c r="I3002" s="2" t="str">
        <f>IFERROR(__xludf.DUMMYFUNCTION("""COMPUTED_VALUE"""),"")</f>
        <v/>
      </c>
      <c r="J3002" s="2">
        <f>IFERROR(__xludf.DUMMYFUNCTION("""COMPUTED_VALUE"""),0.0)</f>
        <v>0</v>
      </c>
      <c r="K3002" s="5" t="str">
        <f>IFERROR(__xludf.DUMMYFUNCTION("""COMPUTED_VALUE"""),"")</f>
        <v/>
      </c>
      <c r="L3002" t="str">
        <f>IFERROR(__xludf.DUMMYFUNCTION("""COMPUTED_VALUE"""),"")</f>
        <v/>
      </c>
      <c r="M3002" t="str">
        <f>IFERROR(__xludf.DUMMYFUNCTION("""COMPUTED_VALUE"""),"")</f>
        <v/>
      </c>
      <c r="N3002" t="str">
        <f>IFERROR(__xludf.DUMMYFUNCTION("""COMPUTED_VALUE"""),"")</f>
        <v/>
      </c>
      <c r="O3002" t="str">
        <f>IFERROR(__xludf.DUMMYFUNCTION("""COMPUTED_VALUE"""),"")</f>
        <v/>
      </c>
      <c r="P3002" t="str">
        <f>IFERROR(__xludf.DUMMYFUNCTION("""COMPUTED_VALUE"""),"ID ")</f>
        <v>ID </v>
      </c>
    </row>
    <row r="3003">
      <c r="A3003" s="6" t="str">
        <f>IFERROR(__xludf.DUMMYFUNCTION("""COMPUTED_VALUE"""),"")</f>
        <v/>
      </c>
      <c r="C3003" t="str">
        <f>IFERROR(__xludf.DUMMYFUNCTION("""COMPUTED_VALUE"""),"")</f>
        <v/>
      </c>
      <c r="D3003" t="str">
        <f>IFERROR(__xludf.DUMMYFUNCTION("""COMPUTED_VALUE"""),"")</f>
        <v/>
      </c>
      <c r="E3003" t="str">
        <f>IFERROR(__xludf.DUMMYFUNCTION("""COMPUTED_VALUE"""),"")</f>
        <v/>
      </c>
      <c r="F3003" t="str">
        <f>IFERROR(__xludf.DUMMYFUNCTION("""COMPUTED_VALUE"""),"")</f>
        <v/>
      </c>
      <c r="G3003" t="str">
        <f>IFERROR(__xludf.DUMMYFUNCTION("""COMPUTED_VALUE"""),"")</f>
        <v/>
      </c>
      <c r="H3003" s="2" t="str">
        <f>IFERROR(__xludf.DUMMYFUNCTION("""COMPUTED_VALUE"""),"")</f>
        <v/>
      </c>
      <c r="I3003" s="2" t="str">
        <f>IFERROR(__xludf.DUMMYFUNCTION("""COMPUTED_VALUE"""),"")</f>
        <v/>
      </c>
      <c r="J3003" s="2">
        <f>IFERROR(__xludf.DUMMYFUNCTION("""COMPUTED_VALUE"""),0.0)</f>
        <v>0</v>
      </c>
      <c r="K3003" s="5" t="str">
        <f>IFERROR(__xludf.DUMMYFUNCTION("""COMPUTED_VALUE"""),"")</f>
        <v/>
      </c>
      <c r="L3003" t="str">
        <f>IFERROR(__xludf.DUMMYFUNCTION("""COMPUTED_VALUE"""),"")</f>
        <v/>
      </c>
      <c r="M3003" t="str">
        <f>IFERROR(__xludf.DUMMYFUNCTION("""COMPUTED_VALUE"""),"")</f>
        <v/>
      </c>
      <c r="N3003" t="str">
        <f>IFERROR(__xludf.DUMMYFUNCTION("""COMPUTED_VALUE"""),"")</f>
        <v/>
      </c>
      <c r="O3003" t="str">
        <f>IFERROR(__xludf.DUMMYFUNCTION("""COMPUTED_VALUE"""),"")</f>
        <v/>
      </c>
      <c r="P3003" t="str">
        <f>IFERROR(__xludf.DUMMYFUNCTION("""COMPUTED_VALUE"""),"ID ")</f>
        <v>ID </v>
      </c>
    </row>
    <row r="3004">
      <c r="A3004" s="6" t="str">
        <f>IFERROR(__xludf.DUMMYFUNCTION("""COMPUTED_VALUE"""),"")</f>
        <v/>
      </c>
      <c r="C3004" t="str">
        <f>IFERROR(__xludf.DUMMYFUNCTION("""COMPUTED_VALUE"""),"")</f>
        <v/>
      </c>
      <c r="D3004" t="str">
        <f>IFERROR(__xludf.DUMMYFUNCTION("""COMPUTED_VALUE"""),"")</f>
        <v/>
      </c>
      <c r="E3004" t="str">
        <f>IFERROR(__xludf.DUMMYFUNCTION("""COMPUTED_VALUE"""),"")</f>
        <v/>
      </c>
      <c r="F3004" t="str">
        <f>IFERROR(__xludf.DUMMYFUNCTION("""COMPUTED_VALUE"""),"")</f>
        <v/>
      </c>
      <c r="G3004" t="str">
        <f>IFERROR(__xludf.DUMMYFUNCTION("""COMPUTED_VALUE"""),"")</f>
        <v/>
      </c>
      <c r="H3004" s="2" t="str">
        <f>IFERROR(__xludf.DUMMYFUNCTION("""COMPUTED_VALUE"""),"")</f>
        <v/>
      </c>
      <c r="I3004" s="2" t="str">
        <f>IFERROR(__xludf.DUMMYFUNCTION("""COMPUTED_VALUE"""),"")</f>
        <v/>
      </c>
      <c r="J3004" s="2">
        <f>IFERROR(__xludf.DUMMYFUNCTION("""COMPUTED_VALUE"""),0.0)</f>
        <v>0</v>
      </c>
      <c r="K3004" s="5" t="str">
        <f>IFERROR(__xludf.DUMMYFUNCTION("""COMPUTED_VALUE"""),"")</f>
        <v/>
      </c>
      <c r="L3004" t="str">
        <f>IFERROR(__xludf.DUMMYFUNCTION("""COMPUTED_VALUE"""),"")</f>
        <v/>
      </c>
      <c r="M3004" t="str">
        <f>IFERROR(__xludf.DUMMYFUNCTION("""COMPUTED_VALUE"""),"")</f>
        <v/>
      </c>
      <c r="N3004" t="str">
        <f>IFERROR(__xludf.DUMMYFUNCTION("""COMPUTED_VALUE"""),"")</f>
        <v/>
      </c>
      <c r="O3004" t="str">
        <f>IFERROR(__xludf.DUMMYFUNCTION("""COMPUTED_VALUE"""),"")</f>
        <v/>
      </c>
      <c r="P3004" t="str">
        <f>IFERROR(__xludf.DUMMYFUNCTION("""COMPUTED_VALUE"""),"ID ")</f>
        <v>ID </v>
      </c>
    </row>
    <row r="3005">
      <c r="A3005" s="6" t="str">
        <f>IFERROR(__xludf.DUMMYFUNCTION("""COMPUTED_VALUE"""),"")</f>
        <v/>
      </c>
      <c r="C3005" t="str">
        <f>IFERROR(__xludf.DUMMYFUNCTION("""COMPUTED_VALUE"""),"")</f>
        <v/>
      </c>
      <c r="D3005" t="str">
        <f>IFERROR(__xludf.DUMMYFUNCTION("""COMPUTED_VALUE"""),"")</f>
        <v/>
      </c>
      <c r="E3005" t="str">
        <f>IFERROR(__xludf.DUMMYFUNCTION("""COMPUTED_VALUE"""),"")</f>
        <v/>
      </c>
      <c r="F3005" t="str">
        <f>IFERROR(__xludf.DUMMYFUNCTION("""COMPUTED_VALUE"""),"")</f>
        <v/>
      </c>
      <c r="G3005" t="str">
        <f>IFERROR(__xludf.DUMMYFUNCTION("""COMPUTED_VALUE"""),"")</f>
        <v/>
      </c>
      <c r="H3005" s="2" t="str">
        <f>IFERROR(__xludf.DUMMYFUNCTION("""COMPUTED_VALUE"""),"")</f>
        <v/>
      </c>
      <c r="I3005" s="2" t="str">
        <f>IFERROR(__xludf.DUMMYFUNCTION("""COMPUTED_VALUE"""),"")</f>
        <v/>
      </c>
      <c r="J3005" s="2">
        <f>IFERROR(__xludf.DUMMYFUNCTION("""COMPUTED_VALUE"""),0.0)</f>
        <v>0</v>
      </c>
      <c r="K3005" s="5" t="str">
        <f>IFERROR(__xludf.DUMMYFUNCTION("""COMPUTED_VALUE"""),"")</f>
        <v/>
      </c>
      <c r="L3005" t="str">
        <f>IFERROR(__xludf.DUMMYFUNCTION("""COMPUTED_VALUE"""),"")</f>
        <v/>
      </c>
      <c r="M3005" t="str">
        <f>IFERROR(__xludf.DUMMYFUNCTION("""COMPUTED_VALUE"""),"")</f>
        <v/>
      </c>
      <c r="N3005" t="str">
        <f>IFERROR(__xludf.DUMMYFUNCTION("""COMPUTED_VALUE"""),"")</f>
        <v/>
      </c>
      <c r="O3005" t="str">
        <f>IFERROR(__xludf.DUMMYFUNCTION("""COMPUTED_VALUE"""),"")</f>
        <v/>
      </c>
      <c r="P3005" t="str">
        <f>IFERROR(__xludf.DUMMYFUNCTION("""COMPUTED_VALUE"""),"ID ")</f>
        <v>ID </v>
      </c>
    </row>
    <row r="3006">
      <c r="A3006" s="6" t="str">
        <f>IFERROR(__xludf.DUMMYFUNCTION("""COMPUTED_VALUE"""),"")</f>
        <v/>
      </c>
      <c r="C3006" t="str">
        <f>IFERROR(__xludf.DUMMYFUNCTION("""COMPUTED_VALUE"""),"")</f>
        <v/>
      </c>
      <c r="D3006" t="str">
        <f>IFERROR(__xludf.DUMMYFUNCTION("""COMPUTED_VALUE"""),"")</f>
        <v/>
      </c>
      <c r="E3006" t="str">
        <f>IFERROR(__xludf.DUMMYFUNCTION("""COMPUTED_VALUE"""),"")</f>
        <v/>
      </c>
      <c r="F3006" t="str">
        <f>IFERROR(__xludf.DUMMYFUNCTION("""COMPUTED_VALUE"""),"")</f>
        <v/>
      </c>
      <c r="G3006" t="str">
        <f>IFERROR(__xludf.DUMMYFUNCTION("""COMPUTED_VALUE"""),"")</f>
        <v/>
      </c>
      <c r="H3006" s="2" t="str">
        <f>IFERROR(__xludf.DUMMYFUNCTION("""COMPUTED_VALUE"""),"")</f>
        <v/>
      </c>
      <c r="I3006" s="2" t="str">
        <f>IFERROR(__xludf.DUMMYFUNCTION("""COMPUTED_VALUE"""),"")</f>
        <v/>
      </c>
      <c r="J3006" s="2">
        <f>IFERROR(__xludf.DUMMYFUNCTION("""COMPUTED_VALUE"""),0.0)</f>
        <v>0</v>
      </c>
      <c r="K3006" s="5" t="str">
        <f>IFERROR(__xludf.DUMMYFUNCTION("""COMPUTED_VALUE"""),"")</f>
        <v/>
      </c>
      <c r="L3006" t="str">
        <f>IFERROR(__xludf.DUMMYFUNCTION("""COMPUTED_VALUE"""),"")</f>
        <v/>
      </c>
      <c r="M3006" t="str">
        <f>IFERROR(__xludf.DUMMYFUNCTION("""COMPUTED_VALUE"""),"")</f>
        <v/>
      </c>
      <c r="N3006" t="str">
        <f>IFERROR(__xludf.DUMMYFUNCTION("""COMPUTED_VALUE"""),"")</f>
        <v/>
      </c>
      <c r="O3006" t="str">
        <f>IFERROR(__xludf.DUMMYFUNCTION("""COMPUTED_VALUE"""),"")</f>
        <v/>
      </c>
      <c r="P3006" t="str">
        <f>IFERROR(__xludf.DUMMYFUNCTION("""COMPUTED_VALUE"""),"ID ")</f>
        <v>ID </v>
      </c>
    </row>
    <row r="3007">
      <c r="A3007" s="6" t="str">
        <f>IFERROR(__xludf.DUMMYFUNCTION("""COMPUTED_VALUE"""),"")</f>
        <v/>
      </c>
      <c r="C3007" t="str">
        <f>IFERROR(__xludf.DUMMYFUNCTION("""COMPUTED_VALUE"""),"")</f>
        <v/>
      </c>
      <c r="D3007" t="str">
        <f>IFERROR(__xludf.DUMMYFUNCTION("""COMPUTED_VALUE"""),"")</f>
        <v/>
      </c>
      <c r="E3007" t="str">
        <f>IFERROR(__xludf.DUMMYFUNCTION("""COMPUTED_VALUE"""),"")</f>
        <v/>
      </c>
      <c r="F3007" t="str">
        <f>IFERROR(__xludf.DUMMYFUNCTION("""COMPUTED_VALUE"""),"")</f>
        <v/>
      </c>
      <c r="G3007" t="str">
        <f>IFERROR(__xludf.DUMMYFUNCTION("""COMPUTED_VALUE"""),"")</f>
        <v/>
      </c>
      <c r="H3007" s="2" t="str">
        <f>IFERROR(__xludf.DUMMYFUNCTION("""COMPUTED_VALUE"""),"")</f>
        <v/>
      </c>
      <c r="I3007" s="2" t="str">
        <f>IFERROR(__xludf.DUMMYFUNCTION("""COMPUTED_VALUE"""),"")</f>
        <v/>
      </c>
      <c r="J3007" s="2">
        <f>IFERROR(__xludf.DUMMYFUNCTION("""COMPUTED_VALUE"""),0.0)</f>
        <v>0</v>
      </c>
      <c r="K3007" s="5" t="str">
        <f>IFERROR(__xludf.DUMMYFUNCTION("""COMPUTED_VALUE"""),"")</f>
        <v/>
      </c>
      <c r="L3007" t="str">
        <f>IFERROR(__xludf.DUMMYFUNCTION("""COMPUTED_VALUE"""),"")</f>
        <v/>
      </c>
      <c r="M3007" t="str">
        <f>IFERROR(__xludf.DUMMYFUNCTION("""COMPUTED_VALUE"""),"")</f>
        <v/>
      </c>
      <c r="N3007" t="str">
        <f>IFERROR(__xludf.DUMMYFUNCTION("""COMPUTED_VALUE"""),"")</f>
        <v/>
      </c>
      <c r="O3007" t="str">
        <f>IFERROR(__xludf.DUMMYFUNCTION("""COMPUTED_VALUE"""),"")</f>
        <v/>
      </c>
      <c r="P3007" t="str">
        <f>IFERROR(__xludf.DUMMYFUNCTION("""COMPUTED_VALUE"""),"ID ")</f>
        <v>ID </v>
      </c>
    </row>
    <row r="3008">
      <c r="A3008" s="6" t="str">
        <f>IFERROR(__xludf.DUMMYFUNCTION("""COMPUTED_VALUE"""),"")</f>
        <v/>
      </c>
      <c r="C3008" t="str">
        <f>IFERROR(__xludf.DUMMYFUNCTION("""COMPUTED_VALUE"""),"")</f>
        <v/>
      </c>
      <c r="D3008" t="str">
        <f>IFERROR(__xludf.DUMMYFUNCTION("""COMPUTED_VALUE"""),"")</f>
        <v/>
      </c>
      <c r="E3008" t="str">
        <f>IFERROR(__xludf.DUMMYFUNCTION("""COMPUTED_VALUE"""),"")</f>
        <v/>
      </c>
      <c r="F3008" t="str">
        <f>IFERROR(__xludf.DUMMYFUNCTION("""COMPUTED_VALUE"""),"")</f>
        <v/>
      </c>
      <c r="G3008" t="str">
        <f>IFERROR(__xludf.DUMMYFUNCTION("""COMPUTED_VALUE"""),"")</f>
        <v/>
      </c>
      <c r="H3008" s="2" t="str">
        <f>IFERROR(__xludf.DUMMYFUNCTION("""COMPUTED_VALUE"""),"")</f>
        <v/>
      </c>
      <c r="I3008" s="2" t="str">
        <f>IFERROR(__xludf.DUMMYFUNCTION("""COMPUTED_VALUE"""),"")</f>
        <v/>
      </c>
      <c r="J3008" s="2">
        <f>IFERROR(__xludf.DUMMYFUNCTION("""COMPUTED_VALUE"""),0.0)</f>
        <v>0</v>
      </c>
      <c r="K3008" s="5" t="str">
        <f>IFERROR(__xludf.DUMMYFUNCTION("""COMPUTED_VALUE"""),"")</f>
        <v/>
      </c>
      <c r="L3008" t="str">
        <f>IFERROR(__xludf.DUMMYFUNCTION("""COMPUTED_VALUE"""),"")</f>
        <v/>
      </c>
      <c r="M3008" t="str">
        <f>IFERROR(__xludf.DUMMYFUNCTION("""COMPUTED_VALUE"""),"")</f>
        <v/>
      </c>
      <c r="N3008" t="str">
        <f>IFERROR(__xludf.DUMMYFUNCTION("""COMPUTED_VALUE"""),"")</f>
        <v/>
      </c>
      <c r="O3008" t="str">
        <f>IFERROR(__xludf.DUMMYFUNCTION("""COMPUTED_VALUE"""),"")</f>
        <v/>
      </c>
      <c r="P3008" t="str">
        <f>IFERROR(__xludf.DUMMYFUNCTION("""COMPUTED_VALUE"""),"ID ")</f>
        <v>ID </v>
      </c>
    </row>
    <row r="3009">
      <c r="A3009" s="6" t="str">
        <f>IFERROR(__xludf.DUMMYFUNCTION("""COMPUTED_VALUE"""),"")</f>
        <v/>
      </c>
      <c r="C3009" t="str">
        <f>IFERROR(__xludf.DUMMYFUNCTION("""COMPUTED_VALUE"""),"")</f>
        <v/>
      </c>
      <c r="D3009" t="str">
        <f>IFERROR(__xludf.DUMMYFUNCTION("""COMPUTED_VALUE"""),"")</f>
        <v/>
      </c>
      <c r="E3009" t="str">
        <f>IFERROR(__xludf.DUMMYFUNCTION("""COMPUTED_VALUE"""),"")</f>
        <v/>
      </c>
      <c r="F3009" t="str">
        <f>IFERROR(__xludf.DUMMYFUNCTION("""COMPUTED_VALUE"""),"")</f>
        <v/>
      </c>
      <c r="G3009" t="str">
        <f>IFERROR(__xludf.DUMMYFUNCTION("""COMPUTED_VALUE"""),"")</f>
        <v/>
      </c>
      <c r="H3009" s="2" t="str">
        <f>IFERROR(__xludf.DUMMYFUNCTION("""COMPUTED_VALUE"""),"")</f>
        <v/>
      </c>
      <c r="I3009" s="2" t="str">
        <f>IFERROR(__xludf.DUMMYFUNCTION("""COMPUTED_VALUE"""),"")</f>
        <v/>
      </c>
      <c r="J3009" s="2">
        <f>IFERROR(__xludf.DUMMYFUNCTION("""COMPUTED_VALUE"""),0.0)</f>
        <v>0</v>
      </c>
      <c r="K3009" s="5" t="str">
        <f>IFERROR(__xludf.DUMMYFUNCTION("""COMPUTED_VALUE"""),"")</f>
        <v/>
      </c>
      <c r="L3009" t="str">
        <f>IFERROR(__xludf.DUMMYFUNCTION("""COMPUTED_VALUE"""),"")</f>
        <v/>
      </c>
      <c r="M3009" t="str">
        <f>IFERROR(__xludf.DUMMYFUNCTION("""COMPUTED_VALUE"""),"")</f>
        <v/>
      </c>
      <c r="N3009" t="str">
        <f>IFERROR(__xludf.DUMMYFUNCTION("""COMPUTED_VALUE"""),"")</f>
        <v/>
      </c>
      <c r="O3009" t="str">
        <f>IFERROR(__xludf.DUMMYFUNCTION("""COMPUTED_VALUE"""),"")</f>
        <v/>
      </c>
      <c r="P3009" t="str">
        <f>IFERROR(__xludf.DUMMYFUNCTION("""COMPUTED_VALUE"""),"ID ")</f>
        <v>ID </v>
      </c>
    </row>
    <row r="3010">
      <c r="A3010" s="6" t="str">
        <f>IFERROR(__xludf.DUMMYFUNCTION("""COMPUTED_VALUE"""),"")</f>
        <v/>
      </c>
      <c r="C3010" t="str">
        <f>IFERROR(__xludf.DUMMYFUNCTION("""COMPUTED_VALUE"""),"")</f>
        <v/>
      </c>
      <c r="D3010" t="str">
        <f>IFERROR(__xludf.DUMMYFUNCTION("""COMPUTED_VALUE"""),"")</f>
        <v/>
      </c>
      <c r="E3010" t="str">
        <f>IFERROR(__xludf.DUMMYFUNCTION("""COMPUTED_VALUE"""),"")</f>
        <v/>
      </c>
      <c r="F3010" t="str">
        <f>IFERROR(__xludf.DUMMYFUNCTION("""COMPUTED_VALUE"""),"")</f>
        <v/>
      </c>
      <c r="G3010" t="str">
        <f>IFERROR(__xludf.DUMMYFUNCTION("""COMPUTED_VALUE"""),"")</f>
        <v/>
      </c>
      <c r="H3010" s="2" t="str">
        <f>IFERROR(__xludf.DUMMYFUNCTION("""COMPUTED_VALUE"""),"")</f>
        <v/>
      </c>
      <c r="I3010" s="2" t="str">
        <f>IFERROR(__xludf.DUMMYFUNCTION("""COMPUTED_VALUE"""),"")</f>
        <v/>
      </c>
      <c r="J3010" s="2">
        <f>IFERROR(__xludf.DUMMYFUNCTION("""COMPUTED_VALUE"""),0.0)</f>
        <v>0</v>
      </c>
      <c r="K3010" s="5" t="str">
        <f>IFERROR(__xludf.DUMMYFUNCTION("""COMPUTED_VALUE"""),"")</f>
        <v/>
      </c>
      <c r="L3010" t="str">
        <f>IFERROR(__xludf.DUMMYFUNCTION("""COMPUTED_VALUE"""),"")</f>
        <v/>
      </c>
      <c r="M3010" t="str">
        <f>IFERROR(__xludf.DUMMYFUNCTION("""COMPUTED_VALUE"""),"")</f>
        <v/>
      </c>
      <c r="N3010" t="str">
        <f>IFERROR(__xludf.DUMMYFUNCTION("""COMPUTED_VALUE"""),"")</f>
        <v/>
      </c>
      <c r="O3010" t="str">
        <f>IFERROR(__xludf.DUMMYFUNCTION("""COMPUTED_VALUE"""),"")</f>
        <v/>
      </c>
      <c r="P3010" t="str">
        <f>IFERROR(__xludf.DUMMYFUNCTION("""COMPUTED_VALUE"""),"ID ")</f>
        <v>ID </v>
      </c>
    </row>
    <row r="3011">
      <c r="A3011" s="6" t="str">
        <f>IFERROR(__xludf.DUMMYFUNCTION("""COMPUTED_VALUE"""),"")</f>
        <v/>
      </c>
      <c r="C3011" t="str">
        <f>IFERROR(__xludf.DUMMYFUNCTION("""COMPUTED_VALUE"""),"")</f>
        <v/>
      </c>
      <c r="D3011" t="str">
        <f>IFERROR(__xludf.DUMMYFUNCTION("""COMPUTED_VALUE"""),"")</f>
        <v/>
      </c>
      <c r="E3011" t="str">
        <f>IFERROR(__xludf.DUMMYFUNCTION("""COMPUTED_VALUE"""),"")</f>
        <v/>
      </c>
      <c r="F3011" t="str">
        <f>IFERROR(__xludf.DUMMYFUNCTION("""COMPUTED_VALUE"""),"")</f>
        <v/>
      </c>
      <c r="G3011" t="str">
        <f>IFERROR(__xludf.DUMMYFUNCTION("""COMPUTED_VALUE"""),"")</f>
        <v/>
      </c>
      <c r="H3011" s="2" t="str">
        <f>IFERROR(__xludf.DUMMYFUNCTION("""COMPUTED_VALUE"""),"")</f>
        <v/>
      </c>
      <c r="I3011" s="2" t="str">
        <f>IFERROR(__xludf.DUMMYFUNCTION("""COMPUTED_VALUE"""),"")</f>
        <v/>
      </c>
      <c r="J3011" s="2">
        <f>IFERROR(__xludf.DUMMYFUNCTION("""COMPUTED_VALUE"""),0.0)</f>
        <v>0</v>
      </c>
      <c r="K3011" s="5" t="str">
        <f>IFERROR(__xludf.DUMMYFUNCTION("""COMPUTED_VALUE"""),"")</f>
        <v/>
      </c>
      <c r="L3011" t="str">
        <f>IFERROR(__xludf.DUMMYFUNCTION("""COMPUTED_VALUE"""),"")</f>
        <v/>
      </c>
      <c r="M3011" t="str">
        <f>IFERROR(__xludf.DUMMYFUNCTION("""COMPUTED_VALUE"""),"")</f>
        <v/>
      </c>
      <c r="N3011" t="str">
        <f>IFERROR(__xludf.DUMMYFUNCTION("""COMPUTED_VALUE"""),"")</f>
        <v/>
      </c>
      <c r="O3011" t="str">
        <f>IFERROR(__xludf.DUMMYFUNCTION("""COMPUTED_VALUE"""),"")</f>
        <v/>
      </c>
      <c r="P3011" t="str">
        <f>IFERROR(__xludf.DUMMYFUNCTION("""COMPUTED_VALUE"""),"ID ")</f>
        <v>ID </v>
      </c>
    </row>
    <row r="3012">
      <c r="A3012" s="6" t="str">
        <f>IFERROR(__xludf.DUMMYFUNCTION("""COMPUTED_VALUE"""),"")</f>
        <v/>
      </c>
      <c r="C3012" t="str">
        <f>IFERROR(__xludf.DUMMYFUNCTION("""COMPUTED_VALUE"""),"")</f>
        <v/>
      </c>
      <c r="D3012" t="str">
        <f>IFERROR(__xludf.DUMMYFUNCTION("""COMPUTED_VALUE"""),"")</f>
        <v/>
      </c>
      <c r="E3012" t="str">
        <f>IFERROR(__xludf.DUMMYFUNCTION("""COMPUTED_VALUE"""),"")</f>
        <v/>
      </c>
      <c r="F3012" t="str">
        <f>IFERROR(__xludf.DUMMYFUNCTION("""COMPUTED_VALUE"""),"")</f>
        <v/>
      </c>
      <c r="G3012" t="str">
        <f>IFERROR(__xludf.DUMMYFUNCTION("""COMPUTED_VALUE"""),"")</f>
        <v/>
      </c>
      <c r="H3012" s="2" t="str">
        <f>IFERROR(__xludf.DUMMYFUNCTION("""COMPUTED_VALUE"""),"")</f>
        <v/>
      </c>
      <c r="I3012" s="2" t="str">
        <f>IFERROR(__xludf.DUMMYFUNCTION("""COMPUTED_VALUE"""),"")</f>
        <v/>
      </c>
      <c r="J3012" s="2">
        <f>IFERROR(__xludf.DUMMYFUNCTION("""COMPUTED_VALUE"""),0.0)</f>
        <v>0</v>
      </c>
      <c r="K3012" s="5" t="str">
        <f>IFERROR(__xludf.DUMMYFUNCTION("""COMPUTED_VALUE"""),"")</f>
        <v/>
      </c>
      <c r="L3012" t="str">
        <f>IFERROR(__xludf.DUMMYFUNCTION("""COMPUTED_VALUE"""),"")</f>
        <v/>
      </c>
      <c r="M3012" t="str">
        <f>IFERROR(__xludf.DUMMYFUNCTION("""COMPUTED_VALUE"""),"")</f>
        <v/>
      </c>
      <c r="N3012" t="str">
        <f>IFERROR(__xludf.DUMMYFUNCTION("""COMPUTED_VALUE"""),"")</f>
        <v/>
      </c>
      <c r="O3012" t="str">
        <f>IFERROR(__xludf.DUMMYFUNCTION("""COMPUTED_VALUE"""),"")</f>
        <v/>
      </c>
      <c r="P3012" t="str">
        <f>IFERROR(__xludf.DUMMYFUNCTION("""COMPUTED_VALUE"""),"ID ")</f>
        <v>ID </v>
      </c>
    </row>
    <row r="3013">
      <c r="A3013" s="6" t="str">
        <f>IFERROR(__xludf.DUMMYFUNCTION("""COMPUTED_VALUE"""),"")</f>
        <v/>
      </c>
      <c r="C3013" t="str">
        <f>IFERROR(__xludf.DUMMYFUNCTION("""COMPUTED_VALUE"""),"")</f>
        <v/>
      </c>
      <c r="D3013" t="str">
        <f>IFERROR(__xludf.DUMMYFUNCTION("""COMPUTED_VALUE"""),"")</f>
        <v/>
      </c>
      <c r="E3013" t="str">
        <f>IFERROR(__xludf.DUMMYFUNCTION("""COMPUTED_VALUE"""),"")</f>
        <v/>
      </c>
      <c r="F3013" t="str">
        <f>IFERROR(__xludf.DUMMYFUNCTION("""COMPUTED_VALUE"""),"")</f>
        <v/>
      </c>
      <c r="G3013" t="str">
        <f>IFERROR(__xludf.DUMMYFUNCTION("""COMPUTED_VALUE"""),"")</f>
        <v/>
      </c>
      <c r="H3013" s="2" t="str">
        <f>IFERROR(__xludf.DUMMYFUNCTION("""COMPUTED_VALUE"""),"")</f>
        <v/>
      </c>
      <c r="I3013" s="2" t="str">
        <f>IFERROR(__xludf.DUMMYFUNCTION("""COMPUTED_VALUE"""),"")</f>
        <v/>
      </c>
      <c r="J3013" s="2">
        <f>IFERROR(__xludf.DUMMYFUNCTION("""COMPUTED_VALUE"""),0.0)</f>
        <v>0</v>
      </c>
      <c r="K3013" s="5" t="str">
        <f>IFERROR(__xludf.DUMMYFUNCTION("""COMPUTED_VALUE"""),"")</f>
        <v/>
      </c>
      <c r="L3013" t="str">
        <f>IFERROR(__xludf.DUMMYFUNCTION("""COMPUTED_VALUE"""),"")</f>
        <v/>
      </c>
      <c r="M3013" t="str">
        <f>IFERROR(__xludf.DUMMYFUNCTION("""COMPUTED_VALUE"""),"")</f>
        <v/>
      </c>
      <c r="N3013" t="str">
        <f>IFERROR(__xludf.DUMMYFUNCTION("""COMPUTED_VALUE"""),"")</f>
        <v/>
      </c>
      <c r="O3013" t="str">
        <f>IFERROR(__xludf.DUMMYFUNCTION("""COMPUTED_VALUE"""),"")</f>
        <v/>
      </c>
      <c r="P3013" t="str">
        <f>IFERROR(__xludf.DUMMYFUNCTION("""COMPUTED_VALUE"""),"ID ")</f>
        <v>ID </v>
      </c>
    </row>
    <row r="3014">
      <c r="A3014" s="6" t="str">
        <f>IFERROR(__xludf.DUMMYFUNCTION("""COMPUTED_VALUE"""),"")</f>
        <v/>
      </c>
      <c r="C3014" t="str">
        <f>IFERROR(__xludf.DUMMYFUNCTION("""COMPUTED_VALUE"""),"")</f>
        <v/>
      </c>
      <c r="D3014" t="str">
        <f>IFERROR(__xludf.DUMMYFUNCTION("""COMPUTED_VALUE"""),"")</f>
        <v/>
      </c>
      <c r="E3014" t="str">
        <f>IFERROR(__xludf.DUMMYFUNCTION("""COMPUTED_VALUE"""),"")</f>
        <v/>
      </c>
      <c r="F3014" t="str">
        <f>IFERROR(__xludf.DUMMYFUNCTION("""COMPUTED_VALUE"""),"")</f>
        <v/>
      </c>
      <c r="G3014" t="str">
        <f>IFERROR(__xludf.DUMMYFUNCTION("""COMPUTED_VALUE"""),"")</f>
        <v/>
      </c>
      <c r="H3014" s="2" t="str">
        <f>IFERROR(__xludf.DUMMYFUNCTION("""COMPUTED_VALUE"""),"")</f>
        <v/>
      </c>
      <c r="I3014" s="2" t="str">
        <f>IFERROR(__xludf.DUMMYFUNCTION("""COMPUTED_VALUE"""),"")</f>
        <v/>
      </c>
      <c r="J3014" s="2">
        <f>IFERROR(__xludf.DUMMYFUNCTION("""COMPUTED_VALUE"""),0.0)</f>
        <v>0</v>
      </c>
      <c r="K3014" s="5" t="str">
        <f>IFERROR(__xludf.DUMMYFUNCTION("""COMPUTED_VALUE"""),"")</f>
        <v/>
      </c>
      <c r="L3014" t="str">
        <f>IFERROR(__xludf.DUMMYFUNCTION("""COMPUTED_VALUE"""),"")</f>
        <v/>
      </c>
      <c r="M3014" t="str">
        <f>IFERROR(__xludf.DUMMYFUNCTION("""COMPUTED_VALUE"""),"")</f>
        <v/>
      </c>
      <c r="N3014" t="str">
        <f>IFERROR(__xludf.DUMMYFUNCTION("""COMPUTED_VALUE"""),"")</f>
        <v/>
      </c>
      <c r="O3014" t="str">
        <f>IFERROR(__xludf.DUMMYFUNCTION("""COMPUTED_VALUE"""),"")</f>
        <v/>
      </c>
      <c r="P3014" t="str">
        <f>IFERROR(__xludf.DUMMYFUNCTION("""COMPUTED_VALUE"""),"ID ")</f>
        <v>ID </v>
      </c>
    </row>
    <row r="3015">
      <c r="A3015" s="6" t="str">
        <f>IFERROR(__xludf.DUMMYFUNCTION("""COMPUTED_VALUE"""),"")</f>
        <v/>
      </c>
      <c r="C3015" t="str">
        <f>IFERROR(__xludf.DUMMYFUNCTION("""COMPUTED_VALUE"""),"")</f>
        <v/>
      </c>
      <c r="D3015" t="str">
        <f>IFERROR(__xludf.DUMMYFUNCTION("""COMPUTED_VALUE"""),"")</f>
        <v/>
      </c>
      <c r="E3015" t="str">
        <f>IFERROR(__xludf.DUMMYFUNCTION("""COMPUTED_VALUE"""),"")</f>
        <v/>
      </c>
      <c r="F3015" t="str">
        <f>IFERROR(__xludf.DUMMYFUNCTION("""COMPUTED_VALUE"""),"")</f>
        <v/>
      </c>
      <c r="G3015" t="str">
        <f>IFERROR(__xludf.DUMMYFUNCTION("""COMPUTED_VALUE"""),"")</f>
        <v/>
      </c>
      <c r="H3015" s="2" t="str">
        <f>IFERROR(__xludf.DUMMYFUNCTION("""COMPUTED_VALUE"""),"")</f>
        <v/>
      </c>
      <c r="I3015" s="2" t="str">
        <f>IFERROR(__xludf.DUMMYFUNCTION("""COMPUTED_VALUE"""),"")</f>
        <v/>
      </c>
      <c r="J3015" s="2">
        <f>IFERROR(__xludf.DUMMYFUNCTION("""COMPUTED_VALUE"""),0.0)</f>
        <v>0</v>
      </c>
      <c r="K3015" s="5" t="str">
        <f>IFERROR(__xludf.DUMMYFUNCTION("""COMPUTED_VALUE"""),"")</f>
        <v/>
      </c>
      <c r="L3015" t="str">
        <f>IFERROR(__xludf.DUMMYFUNCTION("""COMPUTED_VALUE"""),"")</f>
        <v/>
      </c>
      <c r="M3015" t="str">
        <f>IFERROR(__xludf.DUMMYFUNCTION("""COMPUTED_VALUE"""),"")</f>
        <v/>
      </c>
      <c r="N3015" t="str">
        <f>IFERROR(__xludf.DUMMYFUNCTION("""COMPUTED_VALUE"""),"")</f>
        <v/>
      </c>
      <c r="O3015" t="str">
        <f>IFERROR(__xludf.DUMMYFUNCTION("""COMPUTED_VALUE"""),"")</f>
        <v/>
      </c>
      <c r="P3015" t="str">
        <f>IFERROR(__xludf.DUMMYFUNCTION("""COMPUTED_VALUE"""),"ID ")</f>
        <v>ID </v>
      </c>
    </row>
    <row r="3016">
      <c r="A3016" s="6" t="str">
        <f>IFERROR(__xludf.DUMMYFUNCTION("""COMPUTED_VALUE"""),"")</f>
        <v/>
      </c>
      <c r="C3016" t="str">
        <f>IFERROR(__xludf.DUMMYFUNCTION("""COMPUTED_VALUE"""),"")</f>
        <v/>
      </c>
      <c r="D3016" t="str">
        <f>IFERROR(__xludf.DUMMYFUNCTION("""COMPUTED_VALUE"""),"")</f>
        <v/>
      </c>
      <c r="E3016" t="str">
        <f>IFERROR(__xludf.DUMMYFUNCTION("""COMPUTED_VALUE"""),"")</f>
        <v/>
      </c>
      <c r="F3016" t="str">
        <f>IFERROR(__xludf.DUMMYFUNCTION("""COMPUTED_VALUE"""),"")</f>
        <v/>
      </c>
      <c r="G3016" t="str">
        <f>IFERROR(__xludf.DUMMYFUNCTION("""COMPUTED_VALUE"""),"")</f>
        <v/>
      </c>
      <c r="H3016" s="2" t="str">
        <f>IFERROR(__xludf.DUMMYFUNCTION("""COMPUTED_VALUE"""),"")</f>
        <v/>
      </c>
      <c r="I3016" s="2" t="str">
        <f>IFERROR(__xludf.DUMMYFUNCTION("""COMPUTED_VALUE"""),"")</f>
        <v/>
      </c>
      <c r="J3016" s="2">
        <f>IFERROR(__xludf.DUMMYFUNCTION("""COMPUTED_VALUE"""),0.0)</f>
        <v>0</v>
      </c>
      <c r="K3016" s="5" t="str">
        <f>IFERROR(__xludf.DUMMYFUNCTION("""COMPUTED_VALUE"""),"")</f>
        <v/>
      </c>
      <c r="L3016" t="str">
        <f>IFERROR(__xludf.DUMMYFUNCTION("""COMPUTED_VALUE"""),"")</f>
        <v/>
      </c>
      <c r="M3016" t="str">
        <f>IFERROR(__xludf.DUMMYFUNCTION("""COMPUTED_VALUE"""),"")</f>
        <v/>
      </c>
      <c r="N3016" t="str">
        <f>IFERROR(__xludf.DUMMYFUNCTION("""COMPUTED_VALUE"""),"")</f>
        <v/>
      </c>
      <c r="O3016" t="str">
        <f>IFERROR(__xludf.DUMMYFUNCTION("""COMPUTED_VALUE"""),"")</f>
        <v/>
      </c>
      <c r="P3016" t="str">
        <f>IFERROR(__xludf.DUMMYFUNCTION("""COMPUTED_VALUE"""),"ID ")</f>
        <v>ID </v>
      </c>
    </row>
    <row r="3017">
      <c r="A3017" s="6" t="str">
        <f>IFERROR(__xludf.DUMMYFUNCTION("""COMPUTED_VALUE"""),"")</f>
        <v/>
      </c>
      <c r="C3017" t="str">
        <f>IFERROR(__xludf.DUMMYFUNCTION("""COMPUTED_VALUE"""),"")</f>
        <v/>
      </c>
      <c r="D3017" t="str">
        <f>IFERROR(__xludf.DUMMYFUNCTION("""COMPUTED_VALUE"""),"")</f>
        <v/>
      </c>
      <c r="E3017" t="str">
        <f>IFERROR(__xludf.DUMMYFUNCTION("""COMPUTED_VALUE"""),"")</f>
        <v/>
      </c>
      <c r="F3017" t="str">
        <f>IFERROR(__xludf.DUMMYFUNCTION("""COMPUTED_VALUE"""),"")</f>
        <v/>
      </c>
      <c r="G3017" t="str">
        <f>IFERROR(__xludf.DUMMYFUNCTION("""COMPUTED_VALUE"""),"")</f>
        <v/>
      </c>
      <c r="H3017" s="2" t="str">
        <f>IFERROR(__xludf.DUMMYFUNCTION("""COMPUTED_VALUE"""),"")</f>
        <v/>
      </c>
      <c r="I3017" s="2" t="str">
        <f>IFERROR(__xludf.DUMMYFUNCTION("""COMPUTED_VALUE"""),"")</f>
        <v/>
      </c>
      <c r="J3017" s="2">
        <f>IFERROR(__xludf.DUMMYFUNCTION("""COMPUTED_VALUE"""),0.0)</f>
        <v>0</v>
      </c>
      <c r="K3017" s="5" t="str">
        <f>IFERROR(__xludf.DUMMYFUNCTION("""COMPUTED_VALUE"""),"")</f>
        <v/>
      </c>
      <c r="L3017" t="str">
        <f>IFERROR(__xludf.DUMMYFUNCTION("""COMPUTED_VALUE"""),"")</f>
        <v/>
      </c>
      <c r="M3017" t="str">
        <f>IFERROR(__xludf.DUMMYFUNCTION("""COMPUTED_VALUE"""),"")</f>
        <v/>
      </c>
      <c r="N3017" t="str">
        <f>IFERROR(__xludf.DUMMYFUNCTION("""COMPUTED_VALUE"""),"")</f>
        <v/>
      </c>
      <c r="O3017" t="str">
        <f>IFERROR(__xludf.DUMMYFUNCTION("""COMPUTED_VALUE"""),"")</f>
        <v/>
      </c>
      <c r="P3017" t="str">
        <f>IFERROR(__xludf.DUMMYFUNCTION("""COMPUTED_VALUE"""),"ID ")</f>
        <v>ID </v>
      </c>
    </row>
    <row r="3018">
      <c r="A3018" s="6" t="str">
        <f>IFERROR(__xludf.DUMMYFUNCTION("""COMPUTED_VALUE"""),"")</f>
        <v/>
      </c>
      <c r="C3018" t="str">
        <f>IFERROR(__xludf.DUMMYFUNCTION("""COMPUTED_VALUE"""),"")</f>
        <v/>
      </c>
      <c r="D3018" t="str">
        <f>IFERROR(__xludf.DUMMYFUNCTION("""COMPUTED_VALUE"""),"")</f>
        <v/>
      </c>
      <c r="E3018" t="str">
        <f>IFERROR(__xludf.DUMMYFUNCTION("""COMPUTED_VALUE"""),"")</f>
        <v/>
      </c>
      <c r="F3018" t="str">
        <f>IFERROR(__xludf.DUMMYFUNCTION("""COMPUTED_VALUE"""),"")</f>
        <v/>
      </c>
      <c r="G3018" t="str">
        <f>IFERROR(__xludf.DUMMYFUNCTION("""COMPUTED_VALUE"""),"")</f>
        <v/>
      </c>
      <c r="H3018" s="2" t="str">
        <f>IFERROR(__xludf.DUMMYFUNCTION("""COMPUTED_VALUE"""),"")</f>
        <v/>
      </c>
      <c r="I3018" s="2" t="str">
        <f>IFERROR(__xludf.DUMMYFUNCTION("""COMPUTED_VALUE"""),"")</f>
        <v/>
      </c>
      <c r="J3018" s="2">
        <f>IFERROR(__xludf.DUMMYFUNCTION("""COMPUTED_VALUE"""),0.0)</f>
        <v>0</v>
      </c>
      <c r="K3018" s="5" t="str">
        <f>IFERROR(__xludf.DUMMYFUNCTION("""COMPUTED_VALUE"""),"")</f>
        <v/>
      </c>
      <c r="L3018" t="str">
        <f>IFERROR(__xludf.DUMMYFUNCTION("""COMPUTED_VALUE"""),"")</f>
        <v/>
      </c>
      <c r="M3018" t="str">
        <f>IFERROR(__xludf.DUMMYFUNCTION("""COMPUTED_VALUE"""),"")</f>
        <v/>
      </c>
      <c r="N3018" t="str">
        <f>IFERROR(__xludf.DUMMYFUNCTION("""COMPUTED_VALUE"""),"")</f>
        <v/>
      </c>
      <c r="O3018" t="str">
        <f>IFERROR(__xludf.DUMMYFUNCTION("""COMPUTED_VALUE"""),"")</f>
        <v/>
      </c>
      <c r="P3018" t="str">
        <f>IFERROR(__xludf.DUMMYFUNCTION("""COMPUTED_VALUE"""),"ID ")</f>
        <v>ID </v>
      </c>
    </row>
    <row r="3019">
      <c r="A3019" s="6" t="str">
        <f>IFERROR(__xludf.DUMMYFUNCTION("""COMPUTED_VALUE"""),"")</f>
        <v/>
      </c>
      <c r="C3019" t="str">
        <f>IFERROR(__xludf.DUMMYFUNCTION("""COMPUTED_VALUE"""),"")</f>
        <v/>
      </c>
      <c r="D3019" t="str">
        <f>IFERROR(__xludf.DUMMYFUNCTION("""COMPUTED_VALUE"""),"")</f>
        <v/>
      </c>
      <c r="E3019" t="str">
        <f>IFERROR(__xludf.DUMMYFUNCTION("""COMPUTED_VALUE"""),"")</f>
        <v/>
      </c>
      <c r="F3019" t="str">
        <f>IFERROR(__xludf.DUMMYFUNCTION("""COMPUTED_VALUE"""),"")</f>
        <v/>
      </c>
      <c r="G3019" t="str">
        <f>IFERROR(__xludf.DUMMYFUNCTION("""COMPUTED_VALUE"""),"")</f>
        <v/>
      </c>
      <c r="H3019" s="2" t="str">
        <f>IFERROR(__xludf.DUMMYFUNCTION("""COMPUTED_VALUE"""),"")</f>
        <v/>
      </c>
      <c r="I3019" s="2" t="str">
        <f>IFERROR(__xludf.DUMMYFUNCTION("""COMPUTED_VALUE"""),"")</f>
        <v/>
      </c>
      <c r="J3019" s="2">
        <f>IFERROR(__xludf.DUMMYFUNCTION("""COMPUTED_VALUE"""),0.0)</f>
        <v>0</v>
      </c>
      <c r="K3019" s="5" t="str">
        <f>IFERROR(__xludf.DUMMYFUNCTION("""COMPUTED_VALUE"""),"")</f>
        <v/>
      </c>
      <c r="L3019" t="str">
        <f>IFERROR(__xludf.DUMMYFUNCTION("""COMPUTED_VALUE"""),"")</f>
        <v/>
      </c>
      <c r="M3019" t="str">
        <f>IFERROR(__xludf.DUMMYFUNCTION("""COMPUTED_VALUE"""),"")</f>
        <v/>
      </c>
      <c r="N3019" t="str">
        <f>IFERROR(__xludf.DUMMYFUNCTION("""COMPUTED_VALUE"""),"")</f>
        <v/>
      </c>
      <c r="O3019" t="str">
        <f>IFERROR(__xludf.DUMMYFUNCTION("""COMPUTED_VALUE"""),"")</f>
        <v/>
      </c>
      <c r="P3019" t="str">
        <f>IFERROR(__xludf.DUMMYFUNCTION("""COMPUTED_VALUE"""),"ID ")</f>
        <v>ID </v>
      </c>
    </row>
    <row r="3020">
      <c r="A3020" s="6" t="str">
        <f>IFERROR(__xludf.DUMMYFUNCTION("""COMPUTED_VALUE"""),"")</f>
        <v/>
      </c>
      <c r="C3020" t="str">
        <f>IFERROR(__xludf.DUMMYFUNCTION("""COMPUTED_VALUE"""),"")</f>
        <v/>
      </c>
      <c r="D3020" t="str">
        <f>IFERROR(__xludf.DUMMYFUNCTION("""COMPUTED_VALUE"""),"")</f>
        <v/>
      </c>
      <c r="E3020" t="str">
        <f>IFERROR(__xludf.DUMMYFUNCTION("""COMPUTED_VALUE"""),"")</f>
        <v/>
      </c>
      <c r="F3020" t="str">
        <f>IFERROR(__xludf.DUMMYFUNCTION("""COMPUTED_VALUE"""),"")</f>
        <v/>
      </c>
      <c r="G3020" t="str">
        <f>IFERROR(__xludf.DUMMYFUNCTION("""COMPUTED_VALUE"""),"")</f>
        <v/>
      </c>
      <c r="H3020" s="2" t="str">
        <f>IFERROR(__xludf.DUMMYFUNCTION("""COMPUTED_VALUE"""),"")</f>
        <v/>
      </c>
      <c r="I3020" s="2" t="str">
        <f>IFERROR(__xludf.DUMMYFUNCTION("""COMPUTED_VALUE"""),"")</f>
        <v/>
      </c>
      <c r="J3020" s="2">
        <f>IFERROR(__xludf.DUMMYFUNCTION("""COMPUTED_VALUE"""),0.0)</f>
        <v>0</v>
      </c>
      <c r="K3020" s="5" t="str">
        <f>IFERROR(__xludf.DUMMYFUNCTION("""COMPUTED_VALUE"""),"")</f>
        <v/>
      </c>
      <c r="L3020" t="str">
        <f>IFERROR(__xludf.DUMMYFUNCTION("""COMPUTED_VALUE"""),"")</f>
        <v/>
      </c>
      <c r="M3020" t="str">
        <f>IFERROR(__xludf.DUMMYFUNCTION("""COMPUTED_VALUE"""),"")</f>
        <v/>
      </c>
      <c r="N3020" t="str">
        <f>IFERROR(__xludf.DUMMYFUNCTION("""COMPUTED_VALUE"""),"")</f>
        <v/>
      </c>
      <c r="O3020" t="str">
        <f>IFERROR(__xludf.DUMMYFUNCTION("""COMPUTED_VALUE"""),"")</f>
        <v/>
      </c>
      <c r="P3020" t="str">
        <f>IFERROR(__xludf.DUMMYFUNCTION("""COMPUTED_VALUE"""),"ID ")</f>
        <v>ID </v>
      </c>
    </row>
    <row r="3021">
      <c r="A3021" s="6" t="str">
        <f>IFERROR(__xludf.DUMMYFUNCTION("""COMPUTED_VALUE"""),"")</f>
        <v/>
      </c>
      <c r="C3021" t="str">
        <f>IFERROR(__xludf.DUMMYFUNCTION("""COMPUTED_VALUE"""),"")</f>
        <v/>
      </c>
      <c r="D3021" t="str">
        <f>IFERROR(__xludf.DUMMYFUNCTION("""COMPUTED_VALUE"""),"")</f>
        <v/>
      </c>
      <c r="E3021" t="str">
        <f>IFERROR(__xludf.DUMMYFUNCTION("""COMPUTED_VALUE"""),"")</f>
        <v/>
      </c>
      <c r="F3021" t="str">
        <f>IFERROR(__xludf.DUMMYFUNCTION("""COMPUTED_VALUE"""),"")</f>
        <v/>
      </c>
      <c r="G3021" t="str">
        <f>IFERROR(__xludf.DUMMYFUNCTION("""COMPUTED_VALUE"""),"")</f>
        <v/>
      </c>
      <c r="H3021" s="2" t="str">
        <f>IFERROR(__xludf.DUMMYFUNCTION("""COMPUTED_VALUE"""),"")</f>
        <v/>
      </c>
      <c r="I3021" s="2" t="str">
        <f>IFERROR(__xludf.DUMMYFUNCTION("""COMPUTED_VALUE"""),"")</f>
        <v/>
      </c>
      <c r="J3021" s="2">
        <f>IFERROR(__xludf.DUMMYFUNCTION("""COMPUTED_VALUE"""),0.0)</f>
        <v>0</v>
      </c>
      <c r="K3021" s="5" t="str">
        <f>IFERROR(__xludf.DUMMYFUNCTION("""COMPUTED_VALUE"""),"")</f>
        <v/>
      </c>
      <c r="L3021" t="str">
        <f>IFERROR(__xludf.DUMMYFUNCTION("""COMPUTED_VALUE"""),"")</f>
        <v/>
      </c>
      <c r="M3021" t="str">
        <f>IFERROR(__xludf.DUMMYFUNCTION("""COMPUTED_VALUE"""),"")</f>
        <v/>
      </c>
      <c r="N3021" t="str">
        <f>IFERROR(__xludf.DUMMYFUNCTION("""COMPUTED_VALUE"""),"")</f>
        <v/>
      </c>
      <c r="O3021" t="str">
        <f>IFERROR(__xludf.DUMMYFUNCTION("""COMPUTED_VALUE"""),"")</f>
        <v/>
      </c>
      <c r="P3021" t="str">
        <f>IFERROR(__xludf.DUMMYFUNCTION("""COMPUTED_VALUE"""),"ID ")</f>
        <v>ID </v>
      </c>
    </row>
    <row r="3022">
      <c r="A3022" s="6" t="str">
        <f>IFERROR(__xludf.DUMMYFUNCTION("""COMPUTED_VALUE"""),"")</f>
        <v/>
      </c>
      <c r="C3022" t="str">
        <f>IFERROR(__xludf.DUMMYFUNCTION("""COMPUTED_VALUE"""),"")</f>
        <v/>
      </c>
      <c r="D3022" t="str">
        <f>IFERROR(__xludf.DUMMYFUNCTION("""COMPUTED_VALUE"""),"")</f>
        <v/>
      </c>
      <c r="E3022" t="str">
        <f>IFERROR(__xludf.DUMMYFUNCTION("""COMPUTED_VALUE"""),"")</f>
        <v/>
      </c>
      <c r="F3022" t="str">
        <f>IFERROR(__xludf.DUMMYFUNCTION("""COMPUTED_VALUE"""),"")</f>
        <v/>
      </c>
      <c r="G3022" t="str">
        <f>IFERROR(__xludf.DUMMYFUNCTION("""COMPUTED_VALUE"""),"")</f>
        <v/>
      </c>
      <c r="H3022" s="2" t="str">
        <f>IFERROR(__xludf.DUMMYFUNCTION("""COMPUTED_VALUE"""),"")</f>
        <v/>
      </c>
      <c r="I3022" s="2" t="str">
        <f>IFERROR(__xludf.DUMMYFUNCTION("""COMPUTED_VALUE"""),"")</f>
        <v/>
      </c>
      <c r="J3022" s="2">
        <f>IFERROR(__xludf.DUMMYFUNCTION("""COMPUTED_VALUE"""),0.0)</f>
        <v>0</v>
      </c>
      <c r="K3022" s="5" t="str">
        <f>IFERROR(__xludf.DUMMYFUNCTION("""COMPUTED_VALUE"""),"")</f>
        <v/>
      </c>
      <c r="L3022" t="str">
        <f>IFERROR(__xludf.DUMMYFUNCTION("""COMPUTED_VALUE"""),"")</f>
        <v/>
      </c>
      <c r="M3022" t="str">
        <f>IFERROR(__xludf.DUMMYFUNCTION("""COMPUTED_VALUE"""),"")</f>
        <v/>
      </c>
      <c r="N3022" t="str">
        <f>IFERROR(__xludf.DUMMYFUNCTION("""COMPUTED_VALUE"""),"")</f>
        <v/>
      </c>
      <c r="O3022" t="str">
        <f>IFERROR(__xludf.DUMMYFUNCTION("""COMPUTED_VALUE"""),"")</f>
        <v/>
      </c>
      <c r="P3022" t="str">
        <f>IFERROR(__xludf.DUMMYFUNCTION("""COMPUTED_VALUE"""),"ID ")</f>
        <v>ID </v>
      </c>
    </row>
    <row r="3023">
      <c r="A3023" s="6" t="str">
        <f>IFERROR(__xludf.DUMMYFUNCTION("""COMPUTED_VALUE"""),"")</f>
        <v/>
      </c>
      <c r="C3023" t="str">
        <f>IFERROR(__xludf.DUMMYFUNCTION("""COMPUTED_VALUE"""),"")</f>
        <v/>
      </c>
      <c r="D3023" t="str">
        <f>IFERROR(__xludf.DUMMYFUNCTION("""COMPUTED_VALUE"""),"")</f>
        <v/>
      </c>
      <c r="E3023" t="str">
        <f>IFERROR(__xludf.DUMMYFUNCTION("""COMPUTED_VALUE"""),"")</f>
        <v/>
      </c>
      <c r="F3023" t="str">
        <f>IFERROR(__xludf.DUMMYFUNCTION("""COMPUTED_VALUE"""),"")</f>
        <v/>
      </c>
      <c r="G3023" t="str">
        <f>IFERROR(__xludf.DUMMYFUNCTION("""COMPUTED_VALUE"""),"")</f>
        <v/>
      </c>
      <c r="H3023" s="2" t="str">
        <f>IFERROR(__xludf.DUMMYFUNCTION("""COMPUTED_VALUE"""),"")</f>
        <v/>
      </c>
      <c r="I3023" s="2" t="str">
        <f>IFERROR(__xludf.DUMMYFUNCTION("""COMPUTED_VALUE"""),"")</f>
        <v/>
      </c>
      <c r="J3023" s="2">
        <f>IFERROR(__xludf.DUMMYFUNCTION("""COMPUTED_VALUE"""),0.0)</f>
        <v>0</v>
      </c>
      <c r="K3023" s="5" t="str">
        <f>IFERROR(__xludf.DUMMYFUNCTION("""COMPUTED_VALUE"""),"")</f>
        <v/>
      </c>
      <c r="L3023" t="str">
        <f>IFERROR(__xludf.DUMMYFUNCTION("""COMPUTED_VALUE"""),"")</f>
        <v/>
      </c>
      <c r="M3023" t="str">
        <f>IFERROR(__xludf.DUMMYFUNCTION("""COMPUTED_VALUE"""),"")</f>
        <v/>
      </c>
      <c r="N3023" t="str">
        <f>IFERROR(__xludf.DUMMYFUNCTION("""COMPUTED_VALUE"""),"")</f>
        <v/>
      </c>
      <c r="O3023" t="str">
        <f>IFERROR(__xludf.DUMMYFUNCTION("""COMPUTED_VALUE"""),"")</f>
        <v/>
      </c>
      <c r="P3023" t="str">
        <f>IFERROR(__xludf.DUMMYFUNCTION("""COMPUTED_VALUE"""),"ID ")</f>
        <v>ID </v>
      </c>
    </row>
    <row r="3024">
      <c r="A3024" s="6" t="str">
        <f>IFERROR(__xludf.DUMMYFUNCTION("""COMPUTED_VALUE"""),"")</f>
        <v/>
      </c>
      <c r="C3024" t="str">
        <f>IFERROR(__xludf.DUMMYFUNCTION("""COMPUTED_VALUE"""),"")</f>
        <v/>
      </c>
      <c r="D3024" t="str">
        <f>IFERROR(__xludf.DUMMYFUNCTION("""COMPUTED_VALUE"""),"")</f>
        <v/>
      </c>
      <c r="E3024" t="str">
        <f>IFERROR(__xludf.DUMMYFUNCTION("""COMPUTED_VALUE"""),"")</f>
        <v/>
      </c>
      <c r="F3024" t="str">
        <f>IFERROR(__xludf.DUMMYFUNCTION("""COMPUTED_VALUE"""),"")</f>
        <v/>
      </c>
      <c r="G3024" t="str">
        <f>IFERROR(__xludf.DUMMYFUNCTION("""COMPUTED_VALUE"""),"")</f>
        <v/>
      </c>
      <c r="H3024" s="2" t="str">
        <f>IFERROR(__xludf.DUMMYFUNCTION("""COMPUTED_VALUE"""),"")</f>
        <v/>
      </c>
      <c r="I3024" s="2" t="str">
        <f>IFERROR(__xludf.DUMMYFUNCTION("""COMPUTED_VALUE"""),"")</f>
        <v/>
      </c>
      <c r="J3024" s="2">
        <f>IFERROR(__xludf.DUMMYFUNCTION("""COMPUTED_VALUE"""),0.0)</f>
        <v>0</v>
      </c>
      <c r="K3024" s="5" t="str">
        <f>IFERROR(__xludf.DUMMYFUNCTION("""COMPUTED_VALUE"""),"")</f>
        <v/>
      </c>
      <c r="L3024" t="str">
        <f>IFERROR(__xludf.DUMMYFUNCTION("""COMPUTED_VALUE"""),"")</f>
        <v/>
      </c>
      <c r="M3024" t="str">
        <f>IFERROR(__xludf.DUMMYFUNCTION("""COMPUTED_VALUE"""),"")</f>
        <v/>
      </c>
      <c r="N3024" t="str">
        <f>IFERROR(__xludf.DUMMYFUNCTION("""COMPUTED_VALUE"""),"")</f>
        <v/>
      </c>
      <c r="O3024" t="str">
        <f>IFERROR(__xludf.DUMMYFUNCTION("""COMPUTED_VALUE"""),"")</f>
        <v/>
      </c>
      <c r="P3024" t="str">
        <f>IFERROR(__xludf.DUMMYFUNCTION("""COMPUTED_VALUE"""),"ID ")</f>
        <v>ID </v>
      </c>
    </row>
    <row r="3025">
      <c r="A3025" s="6" t="str">
        <f>IFERROR(__xludf.DUMMYFUNCTION("""COMPUTED_VALUE"""),"")</f>
        <v/>
      </c>
      <c r="C3025" t="str">
        <f>IFERROR(__xludf.DUMMYFUNCTION("""COMPUTED_VALUE"""),"")</f>
        <v/>
      </c>
      <c r="D3025" t="str">
        <f>IFERROR(__xludf.DUMMYFUNCTION("""COMPUTED_VALUE"""),"")</f>
        <v/>
      </c>
      <c r="E3025" t="str">
        <f>IFERROR(__xludf.DUMMYFUNCTION("""COMPUTED_VALUE"""),"")</f>
        <v/>
      </c>
      <c r="F3025" t="str">
        <f>IFERROR(__xludf.DUMMYFUNCTION("""COMPUTED_VALUE"""),"")</f>
        <v/>
      </c>
      <c r="G3025" t="str">
        <f>IFERROR(__xludf.DUMMYFUNCTION("""COMPUTED_VALUE"""),"")</f>
        <v/>
      </c>
      <c r="H3025" s="2" t="str">
        <f>IFERROR(__xludf.DUMMYFUNCTION("""COMPUTED_VALUE"""),"")</f>
        <v/>
      </c>
      <c r="I3025" s="2" t="str">
        <f>IFERROR(__xludf.DUMMYFUNCTION("""COMPUTED_VALUE"""),"")</f>
        <v/>
      </c>
      <c r="J3025" s="2">
        <f>IFERROR(__xludf.DUMMYFUNCTION("""COMPUTED_VALUE"""),0.0)</f>
        <v>0</v>
      </c>
      <c r="K3025" s="5" t="str">
        <f>IFERROR(__xludf.DUMMYFUNCTION("""COMPUTED_VALUE"""),"")</f>
        <v/>
      </c>
      <c r="L3025" t="str">
        <f>IFERROR(__xludf.DUMMYFUNCTION("""COMPUTED_VALUE"""),"")</f>
        <v/>
      </c>
      <c r="M3025" t="str">
        <f>IFERROR(__xludf.DUMMYFUNCTION("""COMPUTED_VALUE"""),"")</f>
        <v/>
      </c>
      <c r="N3025" t="str">
        <f>IFERROR(__xludf.DUMMYFUNCTION("""COMPUTED_VALUE"""),"")</f>
        <v/>
      </c>
      <c r="O3025" t="str">
        <f>IFERROR(__xludf.DUMMYFUNCTION("""COMPUTED_VALUE"""),"")</f>
        <v/>
      </c>
      <c r="P3025" t="str">
        <f>IFERROR(__xludf.DUMMYFUNCTION("""COMPUTED_VALUE"""),"ID ")</f>
        <v>ID </v>
      </c>
    </row>
    <row r="3026">
      <c r="A3026" s="6" t="str">
        <f>IFERROR(__xludf.DUMMYFUNCTION("""COMPUTED_VALUE"""),"")</f>
        <v/>
      </c>
      <c r="C3026" t="str">
        <f>IFERROR(__xludf.DUMMYFUNCTION("""COMPUTED_VALUE"""),"")</f>
        <v/>
      </c>
      <c r="D3026" t="str">
        <f>IFERROR(__xludf.DUMMYFUNCTION("""COMPUTED_VALUE"""),"")</f>
        <v/>
      </c>
      <c r="E3026" t="str">
        <f>IFERROR(__xludf.DUMMYFUNCTION("""COMPUTED_VALUE"""),"")</f>
        <v/>
      </c>
      <c r="F3026" t="str">
        <f>IFERROR(__xludf.DUMMYFUNCTION("""COMPUTED_VALUE"""),"")</f>
        <v/>
      </c>
      <c r="G3026" t="str">
        <f>IFERROR(__xludf.DUMMYFUNCTION("""COMPUTED_VALUE"""),"")</f>
        <v/>
      </c>
      <c r="H3026" s="2" t="str">
        <f>IFERROR(__xludf.DUMMYFUNCTION("""COMPUTED_VALUE"""),"")</f>
        <v/>
      </c>
      <c r="I3026" s="2" t="str">
        <f>IFERROR(__xludf.DUMMYFUNCTION("""COMPUTED_VALUE"""),"")</f>
        <v/>
      </c>
      <c r="J3026" s="2">
        <f>IFERROR(__xludf.DUMMYFUNCTION("""COMPUTED_VALUE"""),0.0)</f>
        <v>0</v>
      </c>
      <c r="K3026" s="5" t="str">
        <f>IFERROR(__xludf.DUMMYFUNCTION("""COMPUTED_VALUE"""),"")</f>
        <v/>
      </c>
      <c r="L3026" t="str">
        <f>IFERROR(__xludf.DUMMYFUNCTION("""COMPUTED_VALUE"""),"")</f>
        <v/>
      </c>
      <c r="M3026" t="str">
        <f>IFERROR(__xludf.DUMMYFUNCTION("""COMPUTED_VALUE"""),"")</f>
        <v/>
      </c>
      <c r="N3026" t="str">
        <f>IFERROR(__xludf.DUMMYFUNCTION("""COMPUTED_VALUE"""),"")</f>
        <v/>
      </c>
      <c r="O3026" t="str">
        <f>IFERROR(__xludf.DUMMYFUNCTION("""COMPUTED_VALUE"""),"")</f>
        <v/>
      </c>
      <c r="P3026" t="str">
        <f>IFERROR(__xludf.DUMMYFUNCTION("""COMPUTED_VALUE"""),"ID ")</f>
        <v>ID </v>
      </c>
    </row>
    <row r="3027">
      <c r="A3027" s="6" t="str">
        <f>IFERROR(__xludf.DUMMYFUNCTION("""COMPUTED_VALUE"""),"")</f>
        <v/>
      </c>
      <c r="C3027" t="str">
        <f>IFERROR(__xludf.DUMMYFUNCTION("""COMPUTED_VALUE"""),"")</f>
        <v/>
      </c>
      <c r="D3027" t="str">
        <f>IFERROR(__xludf.DUMMYFUNCTION("""COMPUTED_VALUE"""),"")</f>
        <v/>
      </c>
      <c r="E3027" t="str">
        <f>IFERROR(__xludf.DUMMYFUNCTION("""COMPUTED_VALUE"""),"")</f>
        <v/>
      </c>
      <c r="F3027" t="str">
        <f>IFERROR(__xludf.DUMMYFUNCTION("""COMPUTED_VALUE"""),"")</f>
        <v/>
      </c>
      <c r="G3027" t="str">
        <f>IFERROR(__xludf.DUMMYFUNCTION("""COMPUTED_VALUE"""),"")</f>
        <v/>
      </c>
      <c r="H3027" s="2" t="str">
        <f>IFERROR(__xludf.DUMMYFUNCTION("""COMPUTED_VALUE"""),"")</f>
        <v/>
      </c>
      <c r="I3027" s="2" t="str">
        <f>IFERROR(__xludf.DUMMYFUNCTION("""COMPUTED_VALUE"""),"")</f>
        <v/>
      </c>
      <c r="J3027" s="2">
        <f>IFERROR(__xludf.DUMMYFUNCTION("""COMPUTED_VALUE"""),0.0)</f>
        <v>0</v>
      </c>
      <c r="K3027" s="5" t="str">
        <f>IFERROR(__xludf.DUMMYFUNCTION("""COMPUTED_VALUE"""),"")</f>
        <v/>
      </c>
      <c r="L3027" t="str">
        <f>IFERROR(__xludf.DUMMYFUNCTION("""COMPUTED_VALUE"""),"")</f>
        <v/>
      </c>
      <c r="M3027" t="str">
        <f>IFERROR(__xludf.DUMMYFUNCTION("""COMPUTED_VALUE"""),"")</f>
        <v/>
      </c>
      <c r="N3027" t="str">
        <f>IFERROR(__xludf.DUMMYFUNCTION("""COMPUTED_VALUE"""),"")</f>
        <v/>
      </c>
      <c r="O3027" t="str">
        <f>IFERROR(__xludf.DUMMYFUNCTION("""COMPUTED_VALUE"""),"")</f>
        <v/>
      </c>
      <c r="P3027" t="str">
        <f>IFERROR(__xludf.DUMMYFUNCTION("""COMPUTED_VALUE"""),"ID ")</f>
        <v>ID </v>
      </c>
    </row>
    <row r="3028">
      <c r="A3028" s="6" t="str">
        <f>IFERROR(__xludf.DUMMYFUNCTION("""COMPUTED_VALUE"""),"")</f>
        <v/>
      </c>
      <c r="C3028" t="str">
        <f>IFERROR(__xludf.DUMMYFUNCTION("""COMPUTED_VALUE"""),"")</f>
        <v/>
      </c>
      <c r="D3028" t="str">
        <f>IFERROR(__xludf.DUMMYFUNCTION("""COMPUTED_VALUE"""),"")</f>
        <v/>
      </c>
      <c r="E3028" t="str">
        <f>IFERROR(__xludf.DUMMYFUNCTION("""COMPUTED_VALUE"""),"")</f>
        <v/>
      </c>
      <c r="F3028" t="str">
        <f>IFERROR(__xludf.DUMMYFUNCTION("""COMPUTED_VALUE"""),"")</f>
        <v/>
      </c>
      <c r="G3028" t="str">
        <f>IFERROR(__xludf.DUMMYFUNCTION("""COMPUTED_VALUE"""),"")</f>
        <v/>
      </c>
      <c r="H3028" s="2" t="str">
        <f>IFERROR(__xludf.DUMMYFUNCTION("""COMPUTED_VALUE"""),"")</f>
        <v/>
      </c>
      <c r="I3028" s="2" t="str">
        <f>IFERROR(__xludf.DUMMYFUNCTION("""COMPUTED_VALUE"""),"")</f>
        <v/>
      </c>
      <c r="J3028" s="2">
        <f>IFERROR(__xludf.DUMMYFUNCTION("""COMPUTED_VALUE"""),0.0)</f>
        <v>0</v>
      </c>
      <c r="K3028" s="5" t="str">
        <f>IFERROR(__xludf.DUMMYFUNCTION("""COMPUTED_VALUE"""),"")</f>
        <v/>
      </c>
      <c r="L3028" t="str">
        <f>IFERROR(__xludf.DUMMYFUNCTION("""COMPUTED_VALUE"""),"")</f>
        <v/>
      </c>
      <c r="M3028" t="str">
        <f>IFERROR(__xludf.DUMMYFUNCTION("""COMPUTED_VALUE"""),"")</f>
        <v/>
      </c>
      <c r="N3028" t="str">
        <f>IFERROR(__xludf.DUMMYFUNCTION("""COMPUTED_VALUE"""),"")</f>
        <v/>
      </c>
      <c r="O3028" t="str">
        <f>IFERROR(__xludf.DUMMYFUNCTION("""COMPUTED_VALUE"""),"")</f>
        <v/>
      </c>
      <c r="P3028" t="str">
        <f>IFERROR(__xludf.DUMMYFUNCTION("""COMPUTED_VALUE"""),"ID ")</f>
        <v>ID </v>
      </c>
    </row>
    <row r="3029">
      <c r="A3029" s="6" t="str">
        <f>IFERROR(__xludf.DUMMYFUNCTION("""COMPUTED_VALUE"""),"")</f>
        <v/>
      </c>
      <c r="C3029" t="str">
        <f>IFERROR(__xludf.DUMMYFUNCTION("""COMPUTED_VALUE"""),"")</f>
        <v/>
      </c>
      <c r="D3029" t="str">
        <f>IFERROR(__xludf.DUMMYFUNCTION("""COMPUTED_VALUE"""),"")</f>
        <v/>
      </c>
      <c r="E3029" t="str">
        <f>IFERROR(__xludf.DUMMYFUNCTION("""COMPUTED_VALUE"""),"")</f>
        <v/>
      </c>
      <c r="F3029" t="str">
        <f>IFERROR(__xludf.DUMMYFUNCTION("""COMPUTED_VALUE"""),"")</f>
        <v/>
      </c>
      <c r="G3029" t="str">
        <f>IFERROR(__xludf.DUMMYFUNCTION("""COMPUTED_VALUE"""),"")</f>
        <v/>
      </c>
      <c r="H3029" s="2" t="str">
        <f>IFERROR(__xludf.DUMMYFUNCTION("""COMPUTED_VALUE"""),"")</f>
        <v/>
      </c>
      <c r="I3029" s="2" t="str">
        <f>IFERROR(__xludf.DUMMYFUNCTION("""COMPUTED_VALUE"""),"")</f>
        <v/>
      </c>
      <c r="J3029" s="2">
        <f>IFERROR(__xludf.DUMMYFUNCTION("""COMPUTED_VALUE"""),0.0)</f>
        <v>0</v>
      </c>
      <c r="K3029" s="5" t="str">
        <f>IFERROR(__xludf.DUMMYFUNCTION("""COMPUTED_VALUE"""),"")</f>
        <v/>
      </c>
      <c r="L3029" t="str">
        <f>IFERROR(__xludf.DUMMYFUNCTION("""COMPUTED_VALUE"""),"")</f>
        <v/>
      </c>
      <c r="M3029" t="str">
        <f>IFERROR(__xludf.DUMMYFUNCTION("""COMPUTED_VALUE"""),"")</f>
        <v/>
      </c>
      <c r="N3029" t="str">
        <f>IFERROR(__xludf.DUMMYFUNCTION("""COMPUTED_VALUE"""),"")</f>
        <v/>
      </c>
      <c r="O3029" t="str">
        <f>IFERROR(__xludf.DUMMYFUNCTION("""COMPUTED_VALUE"""),"")</f>
        <v/>
      </c>
      <c r="P3029" t="str">
        <f>IFERROR(__xludf.DUMMYFUNCTION("""COMPUTED_VALUE"""),"ID ")</f>
        <v>ID </v>
      </c>
    </row>
    <row r="3030">
      <c r="A3030" s="6" t="str">
        <f>IFERROR(__xludf.DUMMYFUNCTION("""COMPUTED_VALUE"""),"")</f>
        <v/>
      </c>
      <c r="C3030" t="str">
        <f>IFERROR(__xludf.DUMMYFUNCTION("""COMPUTED_VALUE"""),"")</f>
        <v/>
      </c>
      <c r="D3030" t="str">
        <f>IFERROR(__xludf.DUMMYFUNCTION("""COMPUTED_VALUE"""),"")</f>
        <v/>
      </c>
      <c r="E3030" t="str">
        <f>IFERROR(__xludf.DUMMYFUNCTION("""COMPUTED_VALUE"""),"")</f>
        <v/>
      </c>
      <c r="F3030" t="str">
        <f>IFERROR(__xludf.DUMMYFUNCTION("""COMPUTED_VALUE"""),"")</f>
        <v/>
      </c>
      <c r="G3030" t="str">
        <f>IFERROR(__xludf.DUMMYFUNCTION("""COMPUTED_VALUE"""),"")</f>
        <v/>
      </c>
      <c r="H3030" s="2" t="str">
        <f>IFERROR(__xludf.DUMMYFUNCTION("""COMPUTED_VALUE"""),"")</f>
        <v/>
      </c>
      <c r="I3030" s="2" t="str">
        <f>IFERROR(__xludf.DUMMYFUNCTION("""COMPUTED_VALUE"""),"")</f>
        <v/>
      </c>
      <c r="J3030" s="2">
        <f>IFERROR(__xludf.DUMMYFUNCTION("""COMPUTED_VALUE"""),0.0)</f>
        <v>0</v>
      </c>
      <c r="K3030" s="5" t="str">
        <f>IFERROR(__xludf.DUMMYFUNCTION("""COMPUTED_VALUE"""),"")</f>
        <v/>
      </c>
      <c r="L3030" t="str">
        <f>IFERROR(__xludf.DUMMYFUNCTION("""COMPUTED_VALUE"""),"")</f>
        <v/>
      </c>
      <c r="M3030" t="str">
        <f>IFERROR(__xludf.DUMMYFUNCTION("""COMPUTED_VALUE"""),"")</f>
        <v/>
      </c>
      <c r="N3030" t="str">
        <f>IFERROR(__xludf.DUMMYFUNCTION("""COMPUTED_VALUE"""),"")</f>
        <v/>
      </c>
      <c r="O3030" t="str">
        <f>IFERROR(__xludf.DUMMYFUNCTION("""COMPUTED_VALUE"""),"")</f>
        <v/>
      </c>
      <c r="P3030" t="str">
        <f>IFERROR(__xludf.DUMMYFUNCTION("""COMPUTED_VALUE"""),"ID ")</f>
        <v>ID </v>
      </c>
    </row>
    <row r="3031">
      <c r="A3031" s="6" t="str">
        <f>IFERROR(__xludf.DUMMYFUNCTION("""COMPUTED_VALUE"""),"")</f>
        <v/>
      </c>
      <c r="C3031" t="str">
        <f>IFERROR(__xludf.DUMMYFUNCTION("""COMPUTED_VALUE"""),"")</f>
        <v/>
      </c>
      <c r="D3031" t="str">
        <f>IFERROR(__xludf.DUMMYFUNCTION("""COMPUTED_VALUE"""),"")</f>
        <v/>
      </c>
      <c r="E3031" t="str">
        <f>IFERROR(__xludf.DUMMYFUNCTION("""COMPUTED_VALUE"""),"")</f>
        <v/>
      </c>
      <c r="F3031" t="str">
        <f>IFERROR(__xludf.DUMMYFUNCTION("""COMPUTED_VALUE"""),"")</f>
        <v/>
      </c>
      <c r="G3031" t="str">
        <f>IFERROR(__xludf.DUMMYFUNCTION("""COMPUTED_VALUE"""),"")</f>
        <v/>
      </c>
      <c r="H3031" s="2" t="str">
        <f>IFERROR(__xludf.DUMMYFUNCTION("""COMPUTED_VALUE"""),"")</f>
        <v/>
      </c>
      <c r="I3031" s="2" t="str">
        <f>IFERROR(__xludf.DUMMYFUNCTION("""COMPUTED_VALUE"""),"")</f>
        <v/>
      </c>
      <c r="J3031" s="2">
        <f>IFERROR(__xludf.DUMMYFUNCTION("""COMPUTED_VALUE"""),0.0)</f>
        <v>0</v>
      </c>
      <c r="K3031" s="5" t="str">
        <f>IFERROR(__xludf.DUMMYFUNCTION("""COMPUTED_VALUE"""),"")</f>
        <v/>
      </c>
      <c r="L3031" t="str">
        <f>IFERROR(__xludf.DUMMYFUNCTION("""COMPUTED_VALUE"""),"")</f>
        <v/>
      </c>
      <c r="M3031" t="str">
        <f>IFERROR(__xludf.DUMMYFUNCTION("""COMPUTED_VALUE"""),"")</f>
        <v/>
      </c>
      <c r="N3031" t="str">
        <f>IFERROR(__xludf.DUMMYFUNCTION("""COMPUTED_VALUE"""),"")</f>
        <v/>
      </c>
      <c r="O3031" t="str">
        <f>IFERROR(__xludf.DUMMYFUNCTION("""COMPUTED_VALUE"""),"")</f>
        <v/>
      </c>
      <c r="P3031" t="str">
        <f>IFERROR(__xludf.DUMMYFUNCTION("""COMPUTED_VALUE"""),"ID ")</f>
        <v>ID </v>
      </c>
    </row>
    <row r="3032">
      <c r="A3032" s="6" t="str">
        <f>IFERROR(__xludf.DUMMYFUNCTION("""COMPUTED_VALUE"""),"")</f>
        <v/>
      </c>
      <c r="C3032" t="str">
        <f>IFERROR(__xludf.DUMMYFUNCTION("""COMPUTED_VALUE"""),"")</f>
        <v/>
      </c>
      <c r="D3032" t="str">
        <f>IFERROR(__xludf.DUMMYFUNCTION("""COMPUTED_VALUE"""),"")</f>
        <v/>
      </c>
      <c r="E3032" t="str">
        <f>IFERROR(__xludf.DUMMYFUNCTION("""COMPUTED_VALUE"""),"")</f>
        <v/>
      </c>
      <c r="F3032" t="str">
        <f>IFERROR(__xludf.DUMMYFUNCTION("""COMPUTED_VALUE"""),"")</f>
        <v/>
      </c>
      <c r="G3032" t="str">
        <f>IFERROR(__xludf.DUMMYFUNCTION("""COMPUTED_VALUE"""),"")</f>
        <v/>
      </c>
      <c r="H3032" s="2" t="str">
        <f>IFERROR(__xludf.DUMMYFUNCTION("""COMPUTED_VALUE"""),"")</f>
        <v/>
      </c>
      <c r="I3032" s="2" t="str">
        <f>IFERROR(__xludf.DUMMYFUNCTION("""COMPUTED_VALUE"""),"")</f>
        <v/>
      </c>
      <c r="J3032" s="2">
        <f>IFERROR(__xludf.DUMMYFUNCTION("""COMPUTED_VALUE"""),0.0)</f>
        <v>0</v>
      </c>
      <c r="K3032" s="5" t="str">
        <f>IFERROR(__xludf.DUMMYFUNCTION("""COMPUTED_VALUE"""),"")</f>
        <v/>
      </c>
      <c r="L3032" t="str">
        <f>IFERROR(__xludf.DUMMYFUNCTION("""COMPUTED_VALUE"""),"")</f>
        <v/>
      </c>
      <c r="M3032" t="str">
        <f>IFERROR(__xludf.DUMMYFUNCTION("""COMPUTED_VALUE"""),"")</f>
        <v/>
      </c>
      <c r="N3032" t="str">
        <f>IFERROR(__xludf.DUMMYFUNCTION("""COMPUTED_VALUE"""),"")</f>
        <v/>
      </c>
      <c r="O3032" t="str">
        <f>IFERROR(__xludf.DUMMYFUNCTION("""COMPUTED_VALUE"""),"")</f>
        <v/>
      </c>
      <c r="P3032" t="str">
        <f>IFERROR(__xludf.DUMMYFUNCTION("""COMPUTED_VALUE"""),"ID ")</f>
        <v>ID </v>
      </c>
    </row>
    <row r="3033">
      <c r="A3033" s="6" t="str">
        <f>IFERROR(__xludf.DUMMYFUNCTION("""COMPUTED_VALUE"""),"")</f>
        <v/>
      </c>
      <c r="C3033" t="str">
        <f>IFERROR(__xludf.DUMMYFUNCTION("""COMPUTED_VALUE"""),"")</f>
        <v/>
      </c>
      <c r="D3033" t="str">
        <f>IFERROR(__xludf.DUMMYFUNCTION("""COMPUTED_VALUE"""),"")</f>
        <v/>
      </c>
      <c r="E3033" t="str">
        <f>IFERROR(__xludf.DUMMYFUNCTION("""COMPUTED_VALUE"""),"")</f>
        <v/>
      </c>
      <c r="F3033" t="str">
        <f>IFERROR(__xludf.DUMMYFUNCTION("""COMPUTED_VALUE"""),"")</f>
        <v/>
      </c>
      <c r="G3033" t="str">
        <f>IFERROR(__xludf.DUMMYFUNCTION("""COMPUTED_VALUE"""),"")</f>
        <v/>
      </c>
      <c r="H3033" s="2" t="str">
        <f>IFERROR(__xludf.DUMMYFUNCTION("""COMPUTED_VALUE"""),"")</f>
        <v/>
      </c>
      <c r="I3033" s="2" t="str">
        <f>IFERROR(__xludf.DUMMYFUNCTION("""COMPUTED_VALUE"""),"")</f>
        <v/>
      </c>
      <c r="J3033" s="2">
        <f>IFERROR(__xludf.DUMMYFUNCTION("""COMPUTED_VALUE"""),0.0)</f>
        <v>0</v>
      </c>
      <c r="K3033" s="5" t="str">
        <f>IFERROR(__xludf.DUMMYFUNCTION("""COMPUTED_VALUE"""),"")</f>
        <v/>
      </c>
      <c r="L3033" t="str">
        <f>IFERROR(__xludf.DUMMYFUNCTION("""COMPUTED_VALUE"""),"")</f>
        <v/>
      </c>
      <c r="M3033" t="str">
        <f>IFERROR(__xludf.DUMMYFUNCTION("""COMPUTED_VALUE"""),"")</f>
        <v/>
      </c>
      <c r="N3033" t="str">
        <f>IFERROR(__xludf.DUMMYFUNCTION("""COMPUTED_VALUE"""),"")</f>
        <v/>
      </c>
      <c r="O3033" t="str">
        <f>IFERROR(__xludf.DUMMYFUNCTION("""COMPUTED_VALUE"""),"")</f>
        <v/>
      </c>
      <c r="P3033" t="str">
        <f>IFERROR(__xludf.DUMMYFUNCTION("""COMPUTED_VALUE"""),"ID ")</f>
        <v>ID </v>
      </c>
    </row>
    <row r="3034">
      <c r="A3034" s="6" t="str">
        <f>IFERROR(__xludf.DUMMYFUNCTION("""COMPUTED_VALUE"""),"")</f>
        <v/>
      </c>
      <c r="C3034" t="str">
        <f>IFERROR(__xludf.DUMMYFUNCTION("""COMPUTED_VALUE"""),"")</f>
        <v/>
      </c>
      <c r="D3034" t="str">
        <f>IFERROR(__xludf.DUMMYFUNCTION("""COMPUTED_VALUE"""),"")</f>
        <v/>
      </c>
      <c r="E3034" t="str">
        <f>IFERROR(__xludf.DUMMYFUNCTION("""COMPUTED_VALUE"""),"")</f>
        <v/>
      </c>
      <c r="F3034" t="str">
        <f>IFERROR(__xludf.DUMMYFUNCTION("""COMPUTED_VALUE"""),"")</f>
        <v/>
      </c>
      <c r="G3034" t="str">
        <f>IFERROR(__xludf.DUMMYFUNCTION("""COMPUTED_VALUE"""),"")</f>
        <v/>
      </c>
      <c r="H3034" s="2" t="str">
        <f>IFERROR(__xludf.DUMMYFUNCTION("""COMPUTED_VALUE"""),"")</f>
        <v/>
      </c>
      <c r="I3034" s="2" t="str">
        <f>IFERROR(__xludf.DUMMYFUNCTION("""COMPUTED_VALUE"""),"")</f>
        <v/>
      </c>
      <c r="J3034" s="2">
        <f>IFERROR(__xludf.DUMMYFUNCTION("""COMPUTED_VALUE"""),0.0)</f>
        <v>0</v>
      </c>
      <c r="K3034" s="5" t="str">
        <f>IFERROR(__xludf.DUMMYFUNCTION("""COMPUTED_VALUE"""),"")</f>
        <v/>
      </c>
      <c r="L3034" t="str">
        <f>IFERROR(__xludf.DUMMYFUNCTION("""COMPUTED_VALUE"""),"")</f>
        <v/>
      </c>
      <c r="M3034" t="str">
        <f>IFERROR(__xludf.DUMMYFUNCTION("""COMPUTED_VALUE"""),"")</f>
        <v/>
      </c>
      <c r="N3034" t="str">
        <f>IFERROR(__xludf.DUMMYFUNCTION("""COMPUTED_VALUE"""),"")</f>
        <v/>
      </c>
      <c r="O3034" t="str">
        <f>IFERROR(__xludf.DUMMYFUNCTION("""COMPUTED_VALUE"""),"")</f>
        <v/>
      </c>
      <c r="P3034" t="str">
        <f>IFERROR(__xludf.DUMMYFUNCTION("""COMPUTED_VALUE"""),"ID ")</f>
        <v>ID </v>
      </c>
    </row>
    <row r="3035">
      <c r="A3035" s="6" t="str">
        <f>IFERROR(__xludf.DUMMYFUNCTION("""COMPUTED_VALUE"""),"")</f>
        <v/>
      </c>
      <c r="C3035" t="str">
        <f>IFERROR(__xludf.DUMMYFUNCTION("""COMPUTED_VALUE"""),"")</f>
        <v/>
      </c>
      <c r="D3035" t="str">
        <f>IFERROR(__xludf.DUMMYFUNCTION("""COMPUTED_VALUE"""),"")</f>
        <v/>
      </c>
      <c r="E3035" t="str">
        <f>IFERROR(__xludf.DUMMYFUNCTION("""COMPUTED_VALUE"""),"")</f>
        <v/>
      </c>
      <c r="F3035" t="str">
        <f>IFERROR(__xludf.DUMMYFUNCTION("""COMPUTED_VALUE"""),"")</f>
        <v/>
      </c>
      <c r="G3035" t="str">
        <f>IFERROR(__xludf.DUMMYFUNCTION("""COMPUTED_VALUE"""),"")</f>
        <v/>
      </c>
      <c r="H3035" s="2" t="str">
        <f>IFERROR(__xludf.DUMMYFUNCTION("""COMPUTED_VALUE"""),"")</f>
        <v/>
      </c>
      <c r="I3035" s="2" t="str">
        <f>IFERROR(__xludf.DUMMYFUNCTION("""COMPUTED_VALUE"""),"")</f>
        <v/>
      </c>
      <c r="J3035" s="2">
        <f>IFERROR(__xludf.DUMMYFUNCTION("""COMPUTED_VALUE"""),0.0)</f>
        <v>0</v>
      </c>
      <c r="K3035" s="5" t="str">
        <f>IFERROR(__xludf.DUMMYFUNCTION("""COMPUTED_VALUE"""),"")</f>
        <v/>
      </c>
      <c r="L3035" t="str">
        <f>IFERROR(__xludf.DUMMYFUNCTION("""COMPUTED_VALUE"""),"")</f>
        <v/>
      </c>
      <c r="M3035" t="str">
        <f>IFERROR(__xludf.DUMMYFUNCTION("""COMPUTED_VALUE"""),"")</f>
        <v/>
      </c>
      <c r="N3035" t="str">
        <f>IFERROR(__xludf.DUMMYFUNCTION("""COMPUTED_VALUE"""),"")</f>
        <v/>
      </c>
      <c r="O3035" t="str">
        <f>IFERROR(__xludf.DUMMYFUNCTION("""COMPUTED_VALUE"""),"")</f>
        <v/>
      </c>
      <c r="P3035" t="str">
        <f>IFERROR(__xludf.DUMMYFUNCTION("""COMPUTED_VALUE"""),"ID ")</f>
        <v>ID </v>
      </c>
    </row>
    <row r="3036">
      <c r="A3036" s="6" t="str">
        <f>IFERROR(__xludf.DUMMYFUNCTION("""COMPUTED_VALUE"""),"")</f>
        <v/>
      </c>
      <c r="C3036" t="str">
        <f>IFERROR(__xludf.DUMMYFUNCTION("""COMPUTED_VALUE"""),"")</f>
        <v/>
      </c>
      <c r="D3036" t="str">
        <f>IFERROR(__xludf.DUMMYFUNCTION("""COMPUTED_VALUE"""),"")</f>
        <v/>
      </c>
      <c r="E3036" t="str">
        <f>IFERROR(__xludf.DUMMYFUNCTION("""COMPUTED_VALUE"""),"")</f>
        <v/>
      </c>
      <c r="F3036" t="str">
        <f>IFERROR(__xludf.DUMMYFUNCTION("""COMPUTED_VALUE"""),"")</f>
        <v/>
      </c>
      <c r="G3036" t="str">
        <f>IFERROR(__xludf.DUMMYFUNCTION("""COMPUTED_VALUE"""),"")</f>
        <v/>
      </c>
      <c r="H3036" s="2" t="str">
        <f>IFERROR(__xludf.DUMMYFUNCTION("""COMPUTED_VALUE"""),"")</f>
        <v/>
      </c>
      <c r="I3036" s="2" t="str">
        <f>IFERROR(__xludf.DUMMYFUNCTION("""COMPUTED_VALUE"""),"")</f>
        <v/>
      </c>
      <c r="J3036" s="2">
        <f>IFERROR(__xludf.DUMMYFUNCTION("""COMPUTED_VALUE"""),0.0)</f>
        <v>0</v>
      </c>
      <c r="K3036" s="5" t="str">
        <f>IFERROR(__xludf.DUMMYFUNCTION("""COMPUTED_VALUE"""),"")</f>
        <v/>
      </c>
      <c r="L3036" t="str">
        <f>IFERROR(__xludf.DUMMYFUNCTION("""COMPUTED_VALUE"""),"")</f>
        <v/>
      </c>
      <c r="M3036" t="str">
        <f>IFERROR(__xludf.DUMMYFUNCTION("""COMPUTED_VALUE"""),"")</f>
        <v/>
      </c>
      <c r="N3036" t="str">
        <f>IFERROR(__xludf.DUMMYFUNCTION("""COMPUTED_VALUE"""),"")</f>
        <v/>
      </c>
      <c r="O3036" t="str">
        <f>IFERROR(__xludf.DUMMYFUNCTION("""COMPUTED_VALUE"""),"")</f>
        <v/>
      </c>
      <c r="P3036" t="str">
        <f>IFERROR(__xludf.DUMMYFUNCTION("""COMPUTED_VALUE"""),"ID ")</f>
        <v>ID </v>
      </c>
    </row>
    <row r="3037">
      <c r="A3037" s="6" t="str">
        <f>IFERROR(__xludf.DUMMYFUNCTION("""COMPUTED_VALUE"""),"")</f>
        <v/>
      </c>
      <c r="C3037" t="str">
        <f>IFERROR(__xludf.DUMMYFUNCTION("""COMPUTED_VALUE"""),"")</f>
        <v/>
      </c>
      <c r="D3037" t="str">
        <f>IFERROR(__xludf.DUMMYFUNCTION("""COMPUTED_VALUE"""),"")</f>
        <v/>
      </c>
      <c r="E3037" t="str">
        <f>IFERROR(__xludf.DUMMYFUNCTION("""COMPUTED_VALUE"""),"")</f>
        <v/>
      </c>
      <c r="F3037" t="str">
        <f>IFERROR(__xludf.DUMMYFUNCTION("""COMPUTED_VALUE"""),"")</f>
        <v/>
      </c>
      <c r="G3037" t="str">
        <f>IFERROR(__xludf.DUMMYFUNCTION("""COMPUTED_VALUE"""),"")</f>
        <v/>
      </c>
      <c r="H3037" s="2" t="str">
        <f>IFERROR(__xludf.DUMMYFUNCTION("""COMPUTED_VALUE"""),"")</f>
        <v/>
      </c>
      <c r="I3037" s="2" t="str">
        <f>IFERROR(__xludf.DUMMYFUNCTION("""COMPUTED_VALUE"""),"")</f>
        <v/>
      </c>
      <c r="J3037" s="2">
        <f>IFERROR(__xludf.DUMMYFUNCTION("""COMPUTED_VALUE"""),0.0)</f>
        <v>0</v>
      </c>
      <c r="K3037" s="5" t="str">
        <f>IFERROR(__xludf.DUMMYFUNCTION("""COMPUTED_VALUE"""),"")</f>
        <v/>
      </c>
      <c r="L3037" t="str">
        <f>IFERROR(__xludf.DUMMYFUNCTION("""COMPUTED_VALUE"""),"")</f>
        <v/>
      </c>
      <c r="M3037" t="str">
        <f>IFERROR(__xludf.DUMMYFUNCTION("""COMPUTED_VALUE"""),"")</f>
        <v/>
      </c>
      <c r="N3037" t="str">
        <f>IFERROR(__xludf.DUMMYFUNCTION("""COMPUTED_VALUE"""),"")</f>
        <v/>
      </c>
      <c r="O3037" t="str">
        <f>IFERROR(__xludf.DUMMYFUNCTION("""COMPUTED_VALUE"""),"")</f>
        <v/>
      </c>
      <c r="P3037" t="str">
        <f>IFERROR(__xludf.DUMMYFUNCTION("""COMPUTED_VALUE"""),"ID ")</f>
        <v>ID </v>
      </c>
    </row>
    <row r="3038">
      <c r="A3038" s="6" t="str">
        <f>IFERROR(__xludf.DUMMYFUNCTION("""COMPUTED_VALUE"""),"")</f>
        <v/>
      </c>
      <c r="C3038" t="str">
        <f>IFERROR(__xludf.DUMMYFUNCTION("""COMPUTED_VALUE"""),"")</f>
        <v/>
      </c>
      <c r="D3038" t="str">
        <f>IFERROR(__xludf.DUMMYFUNCTION("""COMPUTED_VALUE"""),"")</f>
        <v/>
      </c>
      <c r="E3038" t="str">
        <f>IFERROR(__xludf.DUMMYFUNCTION("""COMPUTED_VALUE"""),"")</f>
        <v/>
      </c>
      <c r="F3038" t="str">
        <f>IFERROR(__xludf.DUMMYFUNCTION("""COMPUTED_VALUE"""),"")</f>
        <v/>
      </c>
      <c r="G3038" t="str">
        <f>IFERROR(__xludf.DUMMYFUNCTION("""COMPUTED_VALUE"""),"")</f>
        <v/>
      </c>
      <c r="H3038" s="2" t="str">
        <f>IFERROR(__xludf.DUMMYFUNCTION("""COMPUTED_VALUE"""),"")</f>
        <v/>
      </c>
      <c r="I3038" s="2" t="str">
        <f>IFERROR(__xludf.DUMMYFUNCTION("""COMPUTED_VALUE"""),"")</f>
        <v/>
      </c>
      <c r="J3038" s="2">
        <f>IFERROR(__xludf.DUMMYFUNCTION("""COMPUTED_VALUE"""),0.0)</f>
        <v>0</v>
      </c>
      <c r="K3038" s="5" t="str">
        <f>IFERROR(__xludf.DUMMYFUNCTION("""COMPUTED_VALUE"""),"")</f>
        <v/>
      </c>
      <c r="L3038" t="str">
        <f>IFERROR(__xludf.DUMMYFUNCTION("""COMPUTED_VALUE"""),"")</f>
        <v/>
      </c>
      <c r="M3038" t="str">
        <f>IFERROR(__xludf.DUMMYFUNCTION("""COMPUTED_VALUE"""),"")</f>
        <v/>
      </c>
      <c r="N3038" t="str">
        <f>IFERROR(__xludf.DUMMYFUNCTION("""COMPUTED_VALUE"""),"")</f>
        <v/>
      </c>
      <c r="O3038" t="str">
        <f>IFERROR(__xludf.DUMMYFUNCTION("""COMPUTED_VALUE"""),"")</f>
        <v/>
      </c>
      <c r="P3038" t="str">
        <f>IFERROR(__xludf.DUMMYFUNCTION("""COMPUTED_VALUE"""),"ID ")</f>
        <v>ID </v>
      </c>
    </row>
    <row r="3039">
      <c r="A3039" s="6" t="str">
        <f>IFERROR(__xludf.DUMMYFUNCTION("""COMPUTED_VALUE"""),"")</f>
        <v/>
      </c>
      <c r="C3039" t="str">
        <f>IFERROR(__xludf.DUMMYFUNCTION("""COMPUTED_VALUE"""),"")</f>
        <v/>
      </c>
      <c r="D3039" t="str">
        <f>IFERROR(__xludf.DUMMYFUNCTION("""COMPUTED_VALUE"""),"")</f>
        <v/>
      </c>
      <c r="E3039" t="str">
        <f>IFERROR(__xludf.DUMMYFUNCTION("""COMPUTED_VALUE"""),"")</f>
        <v/>
      </c>
      <c r="F3039" t="str">
        <f>IFERROR(__xludf.DUMMYFUNCTION("""COMPUTED_VALUE"""),"")</f>
        <v/>
      </c>
      <c r="G3039" t="str">
        <f>IFERROR(__xludf.DUMMYFUNCTION("""COMPUTED_VALUE"""),"")</f>
        <v/>
      </c>
      <c r="H3039" s="2" t="str">
        <f>IFERROR(__xludf.DUMMYFUNCTION("""COMPUTED_VALUE"""),"")</f>
        <v/>
      </c>
      <c r="I3039" s="2" t="str">
        <f>IFERROR(__xludf.DUMMYFUNCTION("""COMPUTED_VALUE"""),"")</f>
        <v/>
      </c>
      <c r="J3039" s="2">
        <f>IFERROR(__xludf.DUMMYFUNCTION("""COMPUTED_VALUE"""),0.0)</f>
        <v>0</v>
      </c>
      <c r="K3039" s="5" t="str">
        <f>IFERROR(__xludf.DUMMYFUNCTION("""COMPUTED_VALUE"""),"")</f>
        <v/>
      </c>
      <c r="L3039" t="str">
        <f>IFERROR(__xludf.DUMMYFUNCTION("""COMPUTED_VALUE"""),"")</f>
        <v/>
      </c>
      <c r="M3039" t="str">
        <f>IFERROR(__xludf.DUMMYFUNCTION("""COMPUTED_VALUE"""),"")</f>
        <v/>
      </c>
      <c r="N3039" t="str">
        <f>IFERROR(__xludf.DUMMYFUNCTION("""COMPUTED_VALUE"""),"")</f>
        <v/>
      </c>
      <c r="O3039" t="str">
        <f>IFERROR(__xludf.DUMMYFUNCTION("""COMPUTED_VALUE"""),"")</f>
        <v/>
      </c>
      <c r="P3039" t="str">
        <f>IFERROR(__xludf.DUMMYFUNCTION("""COMPUTED_VALUE"""),"ID ")</f>
        <v>ID </v>
      </c>
    </row>
    <row r="3040">
      <c r="A3040" s="6" t="str">
        <f>IFERROR(__xludf.DUMMYFUNCTION("""COMPUTED_VALUE"""),"")</f>
        <v/>
      </c>
      <c r="C3040" t="str">
        <f>IFERROR(__xludf.DUMMYFUNCTION("""COMPUTED_VALUE"""),"")</f>
        <v/>
      </c>
      <c r="D3040" t="str">
        <f>IFERROR(__xludf.DUMMYFUNCTION("""COMPUTED_VALUE"""),"")</f>
        <v/>
      </c>
      <c r="E3040" t="str">
        <f>IFERROR(__xludf.DUMMYFUNCTION("""COMPUTED_VALUE"""),"")</f>
        <v/>
      </c>
      <c r="F3040" t="str">
        <f>IFERROR(__xludf.DUMMYFUNCTION("""COMPUTED_VALUE"""),"")</f>
        <v/>
      </c>
      <c r="G3040" t="str">
        <f>IFERROR(__xludf.DUMMYFUNCTION("""COMPUTED_VALUE"""),"")</f>
        <v/>
      </c>
      <c r="H3040" s="2" t="str">
        <f>IFERROR(__xludf.DUMMYFUNCTION("""COMPUTED_VALUE"""),"")</f>
        <v/>
      </c>
      <c r="I3040" s="2" t="str">
        <f>IFERROR(__xludf.DUMMYFUNCTION("""COMPUTED_VALUE"""),"")</f>
        <v/>
      </c>
      <c r="J3040" s="2">
        <f>IFERROR(__xludf.DUMMYFUNCTION("""COMPUTED_VALUE"""),0.0)</f>
        <v>0</v>
      </c>
      <c r="K3040" s="5" t="str">
        <f>IFERROR(__xludf.DUMMYFUNCTION("""COMPUTED_VALUE"""),"")</f>
        <v/>
      </c>
      <c r="L3040" t="str">
        <f>IFERROR(__xludf.DUMMYFUNCTION("""COMPUTED_VALUE"""),"")</f>
        <v/>
      </c>
      <c r="M3040" t="str">
        <f>IFERROR(__xludf.DUMMYFUNCTION("""COMPUTED_VALUE"""),"")</f>
        <v/>
      </c>
      <c r="N3040" t="str">
        <f>IFERROR(__xludf.DUMMYFUNCTION("""COMPUTED_VALUE"""),"")</f>
        <v/>
      </c>
      <c r="O3040" t="str">
        <f>IFERROR(__xludf.DUMMYFUNCTION("""COMPUTED_VALUE"""),"")</f>
        <v/>
      </c>
      <c r="P3040" t="str">
        <f>IFERROR(__xludf.DUMMYFUNCTION("""COMPUTED_VALUE"""),"ID ")</f>
        <v>ID </v>
      </c>
    </row>
    <row r="3041">
      <c r="A3041" s="6" t="str">
        <f>IFERROR(__xludf.DUMMYFUNCTION("""COMPUTED_VALUE"""),"")</f>
        <v/>
      </c>
      <c r="C3041" t="str">
        <f>IFERROR(__xludf.DUMMYFUNCTION("""COMPUTED_VALUE"""),"")</f>
        <v/>
      </c>
      <c r="D3041" t="str">
        <f>IFERROR(__xludf.DUMMYFUNCTION("""COMPUTED_VALUE"""),"")</f>
        <v/>
      </c>
      <c r="E3041" t="str">
        <f>IFERROR(__xludf.DUMMYFUNCTION("""COMPUTED_VALUE"""),"")</f>
        <v/>
      </c>
      <c r="F3041" t="str">
        <f>IFERROR(__xludf.DUMMYFUNCTION("""COMPUTED_VALUE"""),"")</f>
        <v/>
      </c>
      <c r="G3041" t="str">
        <f>IFERROR(__xludf.DUMMYFUNCTION("""COMPUTED_VALUE"""),"")</f>
        <v/>
      </c>
      <c r="H3041" s="2" t="str">
        <f>IFERROR(__xludf.DUMMYFUNCTION("""COMPUTED_VALUE"""),"")</f>
        <v/>
      </c>
      <c r="I3041" s="2" t="str">
        <f>IFERROR(__xludf.DUMMYFUNCTION("""COMPUTED_VALUE"""),"")</f>
        <v/>
      </c>
      <c r="J3041" s="2">
        <f>IFERROR(__xludf.DUMMYFUNCTION("""COMPUTED_VALUE"""),0.0)</f>
        <v>0</v>
      </c>
      <c r="K3041" s="5" t="str">
        <f>IFERROR(__xludf.DUMMYFUNCTION("""COMPUTED_VALUE"""),"")</f>
        <v/>
      </c>
      <c r="L3041" t="str">
        <f>IFERROR(__xludf.DUMMYFUNCTION("""COMPUTED_VALUE"""),"")</f>
        <v/>
      </c>
      <c r="M3041" t="str">
        <f>IFERROR(__xludf.DUMMYFUNCTION("""COMPUTED_VALUE"""),"")</f>
        <v/>
      </c>
      <c r="N3041" t="str">
        <f>IFERROR(__xludf.DUMMYFUNCTION("""COMPUTED_VALUE"""),"")</f>
        <v/>
      </c>
      <c r="O3041" t="str">
        <f>IFERROR(__xludf.DUMMYFUNCTION("""COMPUTED_VALUE"""),"")</f>
        <v/>
      </c>
      <c r="P3041" t="str">
        <f>IFERROR(__xludf.DUMMYFUNCTION("""COMPUTED_VALUE"""),"ID ")</f>
        <v>ID </v>
      </c>
    </row>
    <row r="3042">
      <c r="A3042" s="6" t="str">
        <f>IFERROR(__xludf.DUMMYFUNCTION("""COMPUTED_VALUE"""),"")</f>
        <v/>
      </c>
      <c r="C3042" t="str">
        <f>IFERROR(__xludf.DUMMYFUNCTION("""COMPUTED_VALUE"""),"")</f>
        <v/>
      </c>
      <c r="D3042" t="str">
        <f>IFERROR(__xludf.DUMMYFUNCTION("""COMPUTED_VALUE"""),"")</f>
        <v/>
      </c>
      <c r="E3042" t="str">
        <f>IFERROR(__xludf.DUMMYFUNCTION("""COMPUTED_VALUE"""),"")</f>
        <v/>
      </c>
      <c r="F3042" t="str">
        <f>IFERROR(__xludf.DUMMYFUNCTION("""COMPUTED_VALUE"""),"")</f>
        <v/>
      </c>
      <c r="G3042" t="str">
        <f>IFERROR(__xludf.DUMMYFUNCTION("""COMPUTED_VALUE"""),"")</f>
        <v/>
      </c>
      <c r="H3042" s="2" t="str">
        <f>IFERROR(__xludf.DUMMYFUNCTION("""COMPUTED_VALUE"""),"")</f>
        <v/>
      </c>
      <c r="I3042" s="2" t="str">
        <f>IFERROR(__xludf.DUMMYFUNCTION("""COMPUTED_VALUE"""),"")</f>
        <v/>
      </c>
      <c r="J3042" s="2">
        <f>IFERROR(__xludf.DUMMYFUNCTION("""COMPUTED_VALUE"""),0.0)</f>
        <v>0</v>
      </c>
      <c r="K3042" s="5" t="str">
        <f>IFERROR(__xludf.DUMMYFUNCTION("""COMPUTED_VALUE"""),"")</f>
        <v/>
      </c>
      <c r="L3042" t="str">
        <f>IFERROR(__xludf.DUMMYFUNCTION("""COMPUTED_VALUE"""),"")</f>
        <v/>
      </c>
      <c r="M3042" t="str">
        <f>IFERROR(__xludf.DUMMYFUNCTION("""COMPUTED_VALUE"""),"")</f>
        <v/>
      </c>
      <c r="N3042" t="str">
        <f>IFERROR(__xludf.DUMMYFUNCTION("""COMPUTED_VALUE"""),"")</f>
        <v/>
      </c>
      <c r="O3042" t="str">
        <f>IFERROR(__xludf.DUMMYFUNCTION("""COMPUTED_VALUE"""),"")</f>
        <v/>
      </c>
      <c r="P3042" t="str">
        <f>IFERROR(__xludf.DUMMYFUNCTION("""COMPUTED_VALUE"""),"ID ")</f>
        <v>ID </v>
      </c>
    </row>
    <row r="3043">
      <c r="A3043" s="6" t="str">
        <f>IFERROR(__xludf.DUMMYFUNCTION("""COMPUTED_VALUE"""),"")</f>
        <v/>
      </c>
      <c r="C3043" t="str">
        <f>IFERROR(__xludf.DUMMYFUNCTION("""COMPUTED_VALUE"""),"")</f>
        <v/>
      </c>
      <c r="D3043" t="str">
        <f>IFERROR(__xludf.DUMMYFUNCTION("""COMPUTED_VALUE"""),"")</f>
        <v/>
      </c>
      <c r="E3043" t="str">
        <f>IFERROR(__xludf.DUMMYFUNCTION("""COMPUTED_VALUE"""),"")</f>
        <v/>
      </c>
      <c r="F3043" t="str">
        <f>IFERROR(__xludf.DUMMYFUNCTION("""COMPUTED_VALUE"""),"")</f>
        <v/>
      </c>
      <c r="G3043" t="str">
        <f>IFERROR(__xludf.DUMMYFUNCTION("""COMPUTED_VALUE"""),"")</f>
        <v/>
      </c>
      <c r="H3043" s="2" t="str">
        <f>IFERROR(__xludf.DUMMYFUNCTION("""COMPUTED_VALUE"""),"")</f>
        <v/>
      </c>
      <c r="I3043" s="2" t="str">
        <f>IFERROR(__xludf.DUMMYFUNCTION("""COMPUTED_VALUE"""),"")</f>
        <v/>
      </c>
      <c r="J3043" s="2">
        <f>IFERROR(__xludf.DUMMYFUNCTION("""COMPUTED_VALUE"""),0.0)</f>
        <v>0</v>
      </c>
      <c r="K3043" s="5" t="str">
        <f>IFERROR(__xludf.DUMMYFUNCTION("""COMPUTED_VALUE"""),"")</f>
        <v/>
      </c>
      <c r="L3043" t="str">
        <f>IFERROR(__xludf.DUMMYFUNCTION("""COMPUTED_VALUE"""),"")</f>
        <v/>
      </c>
      <c r="M3043" t="str">
        <f>IFERROR(__xludf.DUMMYFUNCTION("""COMPUTED_VALUE"""),"")</f>
        <v/>
      </c>
      <c r="N3043" t="str">
        <f>IFERROR(__xludf.DUMMYFUNCTION("""COMPUTED_VALUE"""),"")</f>
        <v/>
      </c>
      <c r="O3043" t="str">
        <f>IFERROR(__xludf.DUMMYFUNCTION("""COMPUTED_VALUE"""),"")</f>
        <v/>
      </c>
      <c r="P3043" t="str">
        <f>IFERROR(__xludf.DUMMYFUNCTION("""COMPUTED_VALUE"""),"ID ")</f>
        <v>ID </v>
      </c>
    </row>
    <row r="3044">
      <c r="A3044" s="6" t="str">
        <f>IFERROR(__xludf.DUMMYFUNCTION("""COMPUTED_VALUE"""),"")</f>
        <v/>
      </c>
      <c r="C3044" t="str">
        <f>IFERROR(__xludf.DUMMYFUNCTION("""COMPUTED_VALUE"""),"")</f>
        <v/>
      </c>
      <c r="D3044" t="str">
        <f>IFERROR(__xludf.DUMMYFUNCTION("""COMPUTED_VALUE"""),"")</f>
        <v/>
      </c>
      <c r="E3044" t="str">
        <f>IFERROR(__xludf.DUMMYFUNCTION("""COMPUTED_VALUE"""),"")</f>
        <v/>
      </c>
      <c r="F3044" t="str">
        <f>IFERROR(__xludf.DUMMYFUNCTION("""COMPUTED_VALUE"""),"")</f>
        <v/>
      </c>
      <c r="G3044" t="str">
        <f>IFERROR(__xludf.DUMMYFUNCTION("""COMPUTED_VALUE"""),"")</f>
        <v/>
      </c>
      <c r="H3044" s="2" t="str">
        <f>IFERROR(__xludf.DUMMYFUNCTION("""COMPUTED_VALUE"""),"")</f>
        <v/>
      </c>
      <c r="I3044" s="2" t="str">
        <f>IFERROR(__xludf.DUMMYFUNCTION("""COMPUTED_VALUE"""),"")</f>
        <v/>
      </c>
      <c r="J3044" s="2">
        <f>IFERROR(__xludf.DUMMYFUNCTION("""COMPUTED_VALUE"""),0.0)</f>
        <v>0</v>
      </c>
      <c r="K3044" s="5" t="str">
        <f>IFERROR(__xludf.DUMMYFUNCTION("""COMPUTED_VALUE"""),"")</f>
        <v/>
      </c>
      <c r="L3044" t="str">
        <f>IFERROR(__xludf.DUMMYFUNCTION("""COMPUTED_VALUE"""),"")</f>
        <v/>
      </c>
      <c r="M3044" t="str">
        <f>IFERROR(__xludf.DUMMYFUNCTION("""COMPUTED_VALUE"""),"")</f>
        <v/>
      </c>
      <c r="N3044" t="str">
        <f>IFERROR(__xludf.DUMMYFUNCTION("""COMPUTED_VALUE"""),"")</f>
        <v/>
      </c>
      <c r="O3044" t="str">
        <f>IFERROR(__xludf.DUMMYFUNCTION("""COMPUTED_VALUE"""),"")</f>
        <v/>
      </c>
      <c r="P3044" t="str">
        <f>IFERROR(__xludf.DUMMYFUNCTION("""COMPUTED_VALUE"""),"ID ")</f>
        <v>ID </v>
      </c>
    </row>
    <row r="3045">
      <c r="A3045" s="6" t="str">
        <f>IFERROR(__xludf.DUMMYFUNCTION("""COMPUTED_VALUE"""),"")</f>
        <v/>
      </c>
      <c r="C3045" t="str">
        <f>IFERROR(__xludf.DUMMYFUNCTION("""COMPUTED_VALUE"""),"")</f>
        <v/>
      </c>
      <c r="D3045" t="str">
        <f>IFERROR(__xludf.DUMMYFUNCTION("""COMPUTED_VALUE"""),"")</f>
        <v/>
      </c>
      <c r="E3045" t="str">
        <f>IFERROR(__xludf.DUMMYFUNCTION("""COMPUTED_VALUE"""),"")</f>
        <v/>
      </c>
      <c r="F3045" t="str">
        <f>IFERROR(__xludf.DUMMYFUNCTION("""COMPUTED_VALUE"""),"")</f>
        <v/>
      </c>
      <c r="G3045" t="str">
        <f>IFERROR(__xludf.DUMMYFUNCTION("""COMPUTED_VALUE"""),"")</f>
        <v/>
      </c>
      <c r="H3045" s="2" t="str">
        <f>IFERROR(__xludf.DUMMYFUNCTION("""COMPUTED_VALUE"""),"")</f>
        <v/>
      </c>
      <c r="I3045" s="2" t="str">
        <f>IFERROR(__xludf.DUMMYFUNCTION("""COMPUTED_VALUE"""),"")</f>
        <v/>
      </c>
      <c r="J3045" s="2">
        <f>IFERROR(__xludf.DUMMYFUNCTION("""COMPUTED_VALUE"""),0.0)</f>
        <v>0</v>
      </c>
      <c r="K3045" s="5" t="str">
        <f>IFERROR(__xludf.DUMMYFUNCTION("""COMPUTED_VALUE"""),"")</f>
        <v/>
      </c>
      <c r="L3045" t="str">
        <f>IFERROR(__xludf.DUMMYFUNCTION("""COMPUTED_VALUE"""),"")</f>
        <v/>
      </c>
      <c r="M3045" t="str">
        <f>IFERROR(__xludf.DUMMYFUNCTION("""COMPUTED_VALUE"""),"")</f>
        <v/>
      </c>
      <c r="N3045" t="str">
        <f>IFERROR(__xludf.DUMMYFUNCTION("""COMPUTED_VALUE"""),"")</f>
        <v/>
      </c>
      <c r="O3045" t="str">
        <f>IFERROR(__xludf.DUMMYFUNCTION("""COMPUTED_VALUE"""),"")</f>
        <v/>
      </c>
      <c r="P3045" t="str">
        <f>IFERROR(__xludf.DUMMYFUNCTION("""COMPUTED_VALUE"""),"ID ")</f>
        <v>ID </v>
      </c>
    </row>
    <row r="3046">
      <c r="A3046" s="6" t="str">
        <f>IFERROR(__xludf.DUMMYFUNCTION("""COMPUTED_VALUE"""),"")</f>
        <v/>
      </c>
      <c r="C3046" t="str">
        <f>IFERROR(__xludf.DUMMYFUNCTION("""COMPUTED_VALUE"""),"")</f>
        <v/>
      </c>
      <c r="D3046" t="str">
        <f>IFERROR(__xludf.DUMMYFUNCTION("""COMPUTED_VALUE"""),"")</f>
        <v/>
      </c>
      <c r="E3046" t="str">
        <f>IFERROR(__xludf.DUMMYFUNCTION("""COMPUTED_VALUE"""),"")</f>
        <v/>
      </c>
      <c r="F3046" t="str">
        <f>IFERROR(__xludf.DUMMYFUNCTION("""COMPUTED_VALUE"""),"")</f>
        <v/>
      </c>
      <c r="G3046" t="str">
        <f>IFERROR(__xludf.DUMMYFUNCTION("""COMPUTED_VALUE"""),"")</f>
        <v/>
      </c>
      <c r="H3046" s="2" t="str">
        <f>IFERROR(__xludf.DUMMYFUNCTION("""COMPUTED_VALUE"""),"")</f>
        <v/>
      </c>
      <c r="I3046" s="2" t="str">
        <f>IFERROR(__xludf.DUMMYFUNCTION("""COMPUTED_VALUE"""),"")</f>
        <v/>
      </c>
      <c r="J3046" s="2">
        <f>IFERROR(__xludf.DUMMYFUNCTION("""COMPUTED_VALUE"""),0.0)</f>
        <v>0</v>
      </c>
      <c r="K3046" s="5" t="str">
        <f>IFERROR(__xludf.DUMMYFUNCTION("""COMPUTED_VALUE"""),"")</f>
        <v/>
      </c>
      <c r="L3046" t="str">
        <f>IFERROR(__xludf.DUMMYFUNCTION("""COMPUTED_VALUE"""),"")</f>
        <v/>
      </c>
      <c r="M3046" t="str">
        <f>IFERROR(__xludf.DUMMYFUNCTION("""COMPUTED_VALUE"""),"")</f>
        <v/>
      </c>
      <c r="N3046" t="str">
        <f>IFERROR(__xludf.DUMMYFUNCTION("""COMPUTED_VALUE"""),"")</f>
        <v/>
      </c>
      <c r="O3046" t="str">
        <f>IFERROR(__xludf.DUMMYFUNCTION("""COMPUTED_VALUE"""),"")</f>
        <v/>
      </c>
      <c r="P3046" t="str">
        <f>IFERROR(__xludf.DUMMYFUNCTION("""COMPUTED_VALUE"""),"ID ")</f>
        <v>ID </v>
      </c>
    </row>
    <row r="3047">
      <c r="A3047" s="6" t="str">
        <f>IFERROR(__xludf.DUMMYFUNCTION("""COMPUTED_VALUE"""),"")</f>
        <v/>
      </c>
      <c r="C3047" t="str">
        <f>IFERROR(__xludf.DUMMYFUNCTION("""COMPUTED_VALUE"""),"")</f>
        <v/>
      </c>
      <c r="D3047" t="str">
        <f>IFERROR(__xludf.DUMMYFUNCTION("""COMPUTED_VALUE"""),"")</f>
        <v/>
      </c>
      <c r="E3047" t="str">
        <f>IFERROR(__xludf.DUMMYFUNCTION("""COMPUTED_VALUE"""),"")</f>
        <v/>
      </c>
      <c r="F3047" t="str">
        <f>IFERROR(__xludf.DUMMYFUNCTION("""COMPUTED_VALUE"""),"")</f>
        <v/>
      </c>
      <c r="G3047" t="str">
        <f>IFERROR(__xludf.DUMMYFUNCTION("""COMPUTED_VALUE"""),"")</f>
        <v/>
      </c>
      <c r="H3047" s="2" t="str">
        <f>IFERROR(__xludf.DUMMYFUNCTION("""COMPUTED_VALUE"""),"")</f>
        <v/>
      </c>
      <c r="I3047" s="2" t="str">
        <f>IFERROR(__xludf.DUMMYFUNCTION("""COMPUTED_VALUE"""),"")</f>
        <v/>
      </c>
      <c r="J3047" s="2">
        <f>IFERROR(__xludf.DUMMYFUNCTION("""COMPUTED_VALUE"""),0.0)</f>
        <v>0</v>
      </c>
      <c r="K3047" s="5" t="str">
        <f>IFERROR(__xludf.DUMMYFUNCTION("""COMPUTED_VALUE"""),"")</f>
        <v/>
      </c>
      <c r="L3047" t="str">
        <f>IFERROR(__xludf.DUMMYFUNCTION("""COMPUTED_VALUE"""),"")</f>
        <v/>
      </c>
      <c r="M3047" t="str">
        <f>IFERROR(__xludf.DUMMYFUNCTION("""COMPUTED_VALUE"""),"")</f>
        <v/>
      </c>
      <c r="N3047" t="str">
        <f>IFERROR(__xludf.DUMMYFUNCTION("""COMPUTED_VALUE"""),"")</f>
        <v/>
      </c>
      <c r="O3047" t="str">
        <f>IFERROR(__xludf.DUMMYFUNCTION("""COMPUTED_VALUE"""),"")</f>
        <v/>
      </c>
      <c r="P3047" t="str">
        <f>IFERROR(__xludf.DUMMYFUNCTION("""COMPUTED_VALUE"""),"ID ")</f>
        <v>ID </v>
      </c>
    </row>
    <row r="3048">
      <c r="A3048" s="6" t="str">
        <f>IFERROR(__xludf.DUMMYFUNCTION("""COMPUTED_VALUE"""),"")</f>
        <v/>
      </c>
      <c r="C3048" t="str">
        <f>IFERROR(__xludf.DUMMYFUNCTION("""COMPUTED_VALUE"""),"")</f>
        <v/>
      </c>
      <c r="D3048" t="str">
        <f>IFERROR(__xludf.DUMMYFUNCTION("""COMPUTED_VALUE"""),"")</f>
        <v/>
      </c>
      <c r="E3048" t="str">
        <f>IFERROR(__xludf.DUMMYFUNCTION("""COMPUTED_VALUE"""),"")</f>
        <v/>
      </c>
      <c r="F3048" t="str">
        <f>IFERROR(__xludf.DUMMYFUNCTION("""COMPUTED_VALUE"""),"")</f>
        <v/>
      </c>
      <c r="G3048" t="str">
        <f>IFERROR(__xludf.DUMMYFUNCTION("""COMPUTED_VALUE"""),"")</f>
        <v/>
      </c>
      <c r="H3048" s="2" t="str">
        <f>IFERROR(__xludf.DUMMYFUNCTION("""COMPUTED_VALUE"""),"")</f>
        <v/>
      </c>
      <c r="I3048" s="2" t="str">
        <f>IFERROR(__xludf.DUMMYFUNCTION("""COMPUTED_VALUE"""),"")</f>
        <v/>
      </c>
      <c r="J3048" s="2">
        <f>IFERROR(__xludf.DUMMYFUNCTION("""COMPUTED_VALUE"""),0.0)</f>
        <v>0</v>
      </c>
      <c r="K3048" s="5" t="str">
        <f>IFERROR(__xludf.DUMMYFUNCTION("""COMPUTED_VALUE"""),"")</f>
        <v/>
      </c>
      <c r="L3048" t="str">
        <f>IFERROR(__xludf.DUMMYFUNCTION("""COMPUTED_VALUE"""),"")</f>
        <v/>
      </c>
      <c r="M3048" t="str">
        <f>IFERROR(__xludf.DUMMYFUNCTION("""COMPUTED_VALUE"""),"")</f>
        <v/>
      </c>
      <c r="N3048" t="str">
        <f>IFERROR(__xludf.DUMMYFUNCTION("""COMPUTED_VALUE"""),"")</f>
        <v/>
      </c>
      <c r="O3048" t="str">
        <f>IFERROR(__xludf.DUMMYFUNCTION("""COMPUTED_VALUE"""),"")</f>
        <v/>
      </c>
      <c r="P3048" t="str">
        <f>IFERROR(__xludf.DUMMYFUNCTION("""COMPUTED_VALUE"""),"ID ")</f>
        <v>ID </v>
      </c>
    </row>
    <row r="3049">
      <c r="A3049" s="6" t="str">
        <f>IFERROR(__xludf.DUMMYFUNCTION("""COMPUTED_VALUE"""),"")</f>
        <v/>
      </c>
      <c r="C3049" t="str">
        <f>IFERROR(__xludf.DUMMYFUNCTION("""COMPUTED_VALUE"""),"")</f>
        <v/>
      </c>
      <c r="D3049" t="str">
        <f>IFERROR(__xludf.DUMMYFUNCTION("""COMPUTED_VALUE"""),"")</f>
        <v/>
      </c>
      <c r="E3049" t="str">
        <f>IFERROR(__xludf.DUMMYFUNCTION("""COMPUTED_VALUE"""),"")</f>
        <v/>
      </c>
      <c r="F3049" t="str">
        <f>IFERROR(__xludf.DUMMYFUNCTION("""COMPUTED_VALUE"""),"")</f>
        <v/>
      </c>
      <c r="G3049" t="str">
        <f>IFERROR(__xludf.DUMMYFUNCTION("""COMPUTED_VALUE"""),"")</f>
        <v/>
      </c>
      <c r="H3049" s="2" t="str">
        <f>IFERROR(__xludf.DUMMYFUNCTION("""COMPUTED_VALUE"""),"")</f>
        <v/>
      </c>
      <c r="I3049" s="2" t="str">
        <f>IFERROR(__xludf.DUMMYFUNCTION("""COMPUTED_VALUE"""),"")</f>
        <v/>
      </c>
      <c r="J3049" s="2">
        <f>IFERROR(__xludf.DUMMYFUNCTION("""COMPUTED_VALUE"""),0.0)</f>
        <v>0</v>
      </c>
      <c r="K3049" s="5" t="str">
        <f>IFERROR(__xludf.DUMMYFUNCTION("""COMPUTED_VALUE"""),"")</f>
        <v/>
      </c>
      <c r="L3049" t="str">
        <f>IFERROR(__xludf.DUMMYFUNCTION("""COMPUTED_VALUE"""),"")</f>
        <v/>
      </c>
      <c r="M3049" t="str">
        <f>IFERROR(__xludf.DUMMYFUNCTION("""COMPUTED_VALUE"""),"")</f>
        <v/>
      </c>
      <c r="N3049" t="str">
        <f>IFERROR(__xludf.DUMMYFUNCTION("""COMPUTED_VALUE"""),"")</f>
        <v/>
      </c>
      <c r="O3049" t="str">
        <f>IFERROR(__xludf.DUMMYFUNCTION("""COMPUTED_VALUE"""),"")</f>
        <v/>
      </c>
      <c r="P3049" t="str">
        <f>IFERROR(__xludf.DUMMYFUNCTION("""COMPUTED_VALUE"""),"ID ")</f>
        <v>ID </v>
      </c>
    </row>
    <row r="3050">
      <c r="A3050" s="6" t="str">
        <f>IFERROR(__xludf.DUMMYFUNCTION("""COMPUTED_VALUE"""),"")</f>
        <v/>
      </c>
      <c r="C3050" t="str">
        <f>IFERROR(__xludf.DUMMYFUNCTION("""COMPUTED_VALUE"""),"")</f>
        <v/>
      </c>
      <c r="D3050" t="str">
        <f>IFERROR(__xludf.DUMMYFUNCTION("""COMPUTED_VALUE"""),"")</f>
        <v/>
      </c>
      <c r="E3050" t="str">
        <f>IFERROR(__xludf.DUMMYFUNCTION("""COMPUTED_VALUE"""),"")</f>
        <v/>
      </c>
      <c r="F3050" t="str">
        <f>IFERROR(__xludf.DUMMYFUNCTION("""COMPUTED_VALUE"""),"")</f>
        <v/>
      </c>
      <c r="G3050" t="str">
        <f>IFERROR(__xludf.DUMMYFUNCTION("""COMPUTED_VALUE"""),"")</f>
        <v/>
      </c>
      <c r="H3050" s="2" t="str">
        <f>IFERROR(__xludf.DUMMYFUNCTION("""COMPUTED_VALUE"""),"")</f>
        <v/>
      </c>
      <c r="I3050" s="2" t="str">
        <f>IFERROR(__xludf.DUMMYFUNCTION("""COMPUTED_VALUE"""),"")</f>
        <v/>
      </c>
      <c r="J3050" s="2">
        <f>IFERROR(__xludf.DUMMYFUNCTION("""COMPUTED_VALUE"""),0.0)</f>
        <v>0</v>
      </c>
      <c r="K3050" s="5" t="str">
        <f>IFERROR(__xludf.DUMMYFUNCTION("""COMPUTED_VALUE"""),"")</f>
        <v/>
      </c>
      <c r="L3050" t="str">
        <f>IFERROR(__xludf.DUMMYFUNCTION("""COMPUTED_VALUE"""),"")</f>
        <v/>
      </c>
      <c r="M3050" t="str">
        <f>IFERROR(__xludf.DUMMYFUNCTION("""COMPUTED_VALUE"""),"")</f>
        <v/>
      </c>
      <c r="N3050" t="str">
        <f>IFERROR(__xludf.DUMMYFUNCTION("""COMPUTED_VALUE"""),"")</f>
        <v/>
      </c>
      <c r="O3050" t="str">
        <f>IFERROR(__xludf.DUMMYFUNCTION("""COMPUTED_VALUE"""),"")</f>
        <v/>
      </c>
      <c r="P3050" t="str">
        <f>IFERROR(__xludf.DUMMYFUNCTION("""COMPUTED_VALUE"""),"ID ")</f>
        <v>ID </v>
      </c>
    </row>
    <row r="3051">
      <c r="A3051" s="6" t="str">
        <f>IFERROR(__xludf.DUMMYFUNCTION("""COMPUTED_VALUE"""),"")</f>
        <v/>
      </c>
      <c r="C3051" t="str">
        <f>IFERROR(__xludf.DUMMYFUNCTION("""COMPUTED_VALUE"""),"")</f>
        <v/>
      </c>
      <c r="D3051" t="str">
        <f>IFERROR(__xludf.DUMMYFUNCTION("""COMPUTED_VALUE"""),"")</f>
        <v/>
      </c>
      <c r="E3051" t="str">
        <f>IFERROR(__xludf.DUMMYFUNCTION("""COMPUTED_VALUE"""),"")</f>
        <v/>
      </c>
      <c r="F3051" t="str">
        <f>IFERROR(__xludf.DUMMYFUNCTION("""COMPUTED_VALUE"""),"")</f>
        <v/>
      </c>
      <c r="G3051" t="str">
        <f>IFERROR(__xludf.DUMMYFUNCTION("""COMPUTED_VALUE"""),"")</f>
        <v/>
      </c>
      <c r="H3051" s="2" t="str">
        <f>IFERROR(__xludf.DUMMYFUNCTION("""COMPUTED_VALUE"""),"")</f>
        <v/>
      </c>
      <c r="I3051" s="2" t="str">
        <f>IFERROR(__xludf.DUMMYFUNCTION("""COMPUTED_VALUE"""),"")</f>
        <v/>
      </c>
      <c r="J3051" s="2">
        <f>IFERROR(__xludf.DUMMYFUNCTION("""COMPUTED_VALUE"""),0.0)</f>
        <v>0</v>
      </c>
      <c r="K3051" s="5" t="str">
        <f>IFERROR(__xludf.DUMMYFUNCTION("""COMPUTED_VALUE"""),"")</f>
        <v/>
      </c>
      <c r="L3051" t="str">
        <f>IFERROR(__xludf.DUMMYFUNCTION("""COMPUTED_VALUE"""),"")</f>
        <v/>
      </c>
      <c r="M3051" t="str">
        <f>IFERROR(__xludf.DUMMYFUNCTION("""COMPUTED_VALUE"""),"")</f>
        <v/>
      </c>
      <c r="N3051" t="str">
        <f>IFERROR(__xludf.DUMMYFUNCTION("""COMPUTED_VALUE"""),"")</f>
        <v/>
      </c>
      <c r="O3051" t="str">
        <f>IFERROR(__xludf.DUMMYFUNCTION("""COMPUTED_VALUE"""),"")</f>
        <v/>
      </c>
      <c r="P3051" t="str">
        <f>IFERROR(__xludf.DUMMYFUNCTION("""COMPUTED_VALUE"""),"ID ")</f>
        <v>ID </v>
      </c>
    </row>
    <row r="3052">
      <c r="A3052" s="6" t="str">
        <f>IFERROR(__xludf.DUMMYFUNCTION("""COMPUTED_VALUE"""),"")</f>
        <v/>
      </c>
      <c r="C3052" t="str">
        <f>IFERROR(__xludf.DUMMYFUNCTION("""COMPUTED_VALUE"""),"")</f>
        <v/>
      </c>
      <c r="D3052" t="str">
        <f>IFERROR(__xludf.DUMMYFUNCTION("""COMPUTED_VALUE"""),"")</f>
        <v/>
      </c>
      <c r="E3052" t="str">
        <f>IFERROR(__xludf.DUMMYFUNCTION("""COMPUTED_VALUE"""),"")</f>
        <v/>
      </c>
      <c r="F3052" t="str">
        <f>IFERROR(__xludf.DUMMYFUNCTION("""COMPUTED_VALUE"""),"")</f>
        <v/>
      </c>
      <c r="G3052" t="str">
        <f>IFERROR(__xludf.DUMMYFUNCTION("""COMPUTED_VALUE"""),"")</f>
        <v/>
      </c>
      <c r="H3052" s="2" t="str">
        <f>IFERROR(__xludf.DUMMYFUNCTION("""COMPUTED_VALUE"""),"")</f>
        <v/>
      </c>
      <c r="I3052" s="2" t="str">
        <f>IFERROR(__xludf.DUMMYFUNCTION("""COMPUTED_VALUE"""),"")</f>
        <v/>
      </c>
      <c r="J3052" s="2">
        <f>IFERROR(__xludf.DUMMYFUNCTION("""COMPUTED_VALUE"""),0.0)</f>
        <v>0</v>
      </c>
      <c r="K3052" s="5" t="str">
        <f>IFERROR(__xludf.DUMMYFUNCTION("""COMPUTED_VALUE"""),"")</f>
        <v/>
      </c>
      <c r="L3052" t="str">
        <f>IFERROR(__xludf.DUMMYFUNCTION("""COMPUTED_VALUE"""),"")</f>
        <v/>
      </c>
      <c r="M3052" t="str">
        <f>IFERROR(__xludf.DUMMYFUNCTION("""COMPUTED_VALUE"""),"")</f>
        <v/>
      </c>
      <c r="N3052" t="str">
        <f>IFERROR(__xludf.DUMMYFUNCTION("""COMPUTED_VALUE"""),"")</f>
        <v/>
      </c>
      <c r="O3052" t="str">
        <f>IFERROR(__xludf.DUMMYFUNCTION("""COMPUTED_VALUE"""),"")</f>
        <v/>
      </c>
      <c r="P3052" t="str">
        <f>IFERROR(__xludf.DUMMYFUNCTION("""COMPUTED_VALUE"""),"ID ")</f>
        <v>ID </v>
      </c>
    </row>
    <row r="3053">
      <c r="A3053" s="6" t="str">
        <f>IFERROR(__xludf.DUMMYFUNCTION("""COMPUTED_VALUE"""),"")</f>
        <v/>
      </c>
      <c r="C3053" t="str">
        <f>IFERROR(__xludf.DUMMYFUNCTION("""COMPUTED_VALUE"""),"")</f>
        <v/>
      </c>
      <c r="D3053" t="str">
        <f>IFERROR(__xludf.DUMMYFUNCTION("""COMPUTED_VALUE"""),"")</f>
        <v/>
      </c>
      <c r="E3053" t="str">
        <f>IFERROR(__xludf.DUMMYFUNCTION("""COMPUTED_VALUE"""),"")</f>
        <v/>
      </c>
      <c r="F3053" t="str">
        <f>IFERROR(__xludf.DUMMYFUNCTION("""COMPUTED_VALUE"""),"")</f>
        <v/>
      </c>
      <c r="G3053" t="str">
        <f>IFERROR(__xludf.DUMMYFUNCTION("""COMPUTED_VALUE"""),"")</f>
        <v/>
      </c>
      <c r="H3053" s="2" t="str">
        <f>IFERROR(__xludf.DUMMYFUNCTION("""COMPUTED_VALUE"""),"")</f>
        <v/>
      </c>
      <c r="I3053" s="2" t="str">
        <f>IFERROR(__xludf.DUMMYFUNCTION("""COMPUTED_VALUE"""),"")</f>
        <v/>
      </c>
      <c r="J3053" s="2">
        <f>IFERROR(__xludf.DUMMYFUNCTION("""COMPUTED_VALUE"""),0.0)</f>
        <v>0</v>
      </c>
      <c r="K3053" s="5" t="str">
        <f>IFERROR(__xludf.DUMMYFUNCTION("""COMPUTED_VALUE"""),"")</f>
        <v/>
      </c>
      <c r="L3053" t="str">
        <f>IFERROR(__xludf.DUMMYFUNCTION("""COMPUTED_VALUE"""),"")</f>
        <v/>
      </c>
      <c r="M3053" t="str">
        <f>IFERROR(__xludf.DUMMYFUNCTION("""COMPUTED_VALUE"""),"")</f>
        <v/>
      </c>
      <c r="N3053" t="str">
        <f>IFERROR(__xludf.DUMMYFUNCTION("""COMPUTED_VALUE"""),"")</f>
        <v/>
      </c>
      <c r="O3053" t="str">
        <f>IFERROR(__xludf.DUMMYFUNCTION("""COMPUTED_VALUE"""),"")</f>
        <v/>
      </c>
      <c r="P3053" t="str">
        <f>IFERROR(__xludf.DUMMYFUNCTION("""COMPUTED_VALUE"""),"ID ")</f>
        <v>ID </v>
      </c>
    </row>
    <row r="3054">
      <c r="A3054" s="6" t="str">
        <f>IFERROR(__xludf.DUMMYFUNCTION("""COMPUTED_VALUE"""),"")</f>
        <v/>
      </c>
      <c r="C3054" t="str">
        <f>IFERROR(__xludf.DUMMYFUNCTION("""COMPUTED_VALUE"""),"")</f>
        <v/>
      </c>
      <c r="D3054" t="str">
        <f>IFERROR(__xludf.DUMMYFUNCTION("""COMPUTED_VALUE"""),"")</f>
        <v/>
      </c>
      <c r="E3054" t="str">
        <f>IFERROR(__xludf.DUMMYFUNCTION("""COMPUTED_VALUE"""),"")</f>
        <v/>
      </c>
      <c r="F3054" t="str">
        <f>IFERROR(__xludf.DUMMYFUNCTION("""COMPUTED_VALUE"""),"")</f>
        <v/>
      </c>
      <c r="G3054" t="str">
        <f>IFERROR(__xludf.DUMMYFUNCTION("""COMPUTED_VALUE"""),"")</f>
        <v/>
      </c>
      <c r="H3054" s="2" t="str">
        <f>IFERROR(__xludf.DUMMYFUNCTION("""COMPUTED_VALUE"""),"")</f>
        <v/>
      </c>
      <c r="I3054" s="2" t="str">
        <f>IFERROR(__xludf.DUMMYFUNCTION("""COMPUTED_VALUE"""),"")</f>
        <v/>
      </c>
      <c r="J3054" s="2">
        <f>IFERROR(__xludf.DUMMYFUNCTION("""COMPUTED_VALUE"""),0.0)</f>
        <v>0</v>
      </c>
      <c r="K3054" s="5" t="str">
        <f>IFERROR(__xludf.DUMMYFUNCTION("""COMPUTED_VALUE"""),"")</f>
        <v/>
      </c>
      <c r="L3054" t="str">
        <f>IFERROR(__xludf.DUMMYFUNCTION("""COMPUTED_VALUE"""),"")</f>
        <v/>
      </c>
      <c r="M3054" t="str">
        <f>IFERROR(__xludf.DUMMYFUNCTION("""COMPUTED_VALUE"""),"")</f>
        <v/>
      </c>
      <c r="N3054" t="str">
        <f>IFERROR(__xludf.DUMMYFUNCTION("""COMPUTED_VALUE"""),"")</f>
        <v/>
      </c>
      <c r="O3054" t="str">
        <f>IFERROR(__xludf.DUMMYFUNCTION("""COMPUTED_VALUE"""),"")</f>
        <v/>
      </c>
      <c r="P3054" t="str">
        <f>IFERROR(__xludf.DUMMYFUNCTION("""COMPUTED_VALUE"""),"ID ")</f>
        <v>ID </v>
      </c>
    </row>
    <row r="3055">
      <c r="A3055" s="6" t="str">
        <f>IFERROR(__xludf.DUMMYFUNCTION("""COMPUTED_VALUE"""),"")</f>
        <v/>
      </c>
      <c r="C3055" t="str">
        <f>IFERROR(__xludf.DUMMYFUNCTION("""COMPUTED_VALUE"""),"")</f>
        <v/>
      </c>
      <c r="D3055" t="str">
        <f>IFERROR(__xludf.DUMMYFUNCTION("""COMPUTED_VALUE"""),"")</f>
        <v/>
      </c>
      <c r="E3055" t="str">
        <f>IFERROR(__xludf.DUMMYFUNCTION("""COMPUTED_VALUE"""),"")</f>
        <v/>
      </c>
      <c r="F3055" t="str">
        <f>IFERROR(__xludf.DUMMYFUNCTION("""COMPUTED_VALUE"""),"")</f>
        <v/>
      </c>
      <c r="G3055" t="str">
        <f>IFERROR(__xludf.DUMMYFUNCTION("""COMPUTED_VALUE"""),"")</f>
        <v/>
      </c>
      <c r="H3055" s="2" t="str">
        <f>IFERROR(__xludf.DUMMYFUNCTION("""COMPUTED_VALUE"""),"")</f>
        <v/>
      </c>
      <c r="I3055" s="2" t="str">
        <f>IFERROR(__xludf.DUMMYFUNCTION("""COMPUTED_VALUE"""),"")</f>
        <v/>
      </c>
      <c r="J3055" s="2">
        <f>IFERROR(__xludf.DUMMYFUNCTION("""COMPUTED_VALUE"""),0.0)</f>
        <v>0</v>
      </c>
      <c r="K3055" s="5" t="str">
        <f>IFERROR(__xludf.DUMMYFUNCTION("""COMPUTED_VALUE"""),"")</f>
        <v/>
      </c>
      <c r="L3055" t="str">
        <f>IFERROR(__xludf.DUMMYFUNCTION("""COMPUTED_VALUE"""),"")</f>
        <v/>
      </c>
      <c r="M3055" t="str">
        <f>IFERROR(__xludf.DUMMYFUNCTION("""COMPUTED_VALUE"""),"")</f>
        <v/>
      </c>
      <c r="N3055" t="str">
        <f>IFERROR(__xludf.DUMMYFUNCTION("""COMPUTED_VALUE"""),"")</f>
        <v/>
      </c>
      <c r="O3055" t="str">
        <f>IFERROR(__xludf.DUMMYFUNCTION("""COMPUTED_VALUE"""),"")</f>
        <v/>
      </c>
      <c r="P3055" t="str">
        <f>IFERROR(__xludf.DUMMYFUNCTION("""COMPUTED_VALUE"""),"ID ")</f>
        <v>ID </v>
      </c>
    </row>
    <row r="3056">
      <c r="A3056" s="6" t="str">
        <f>IFERROR(__xludf.DUMMYFUNCTION("""COMPUTED_VALUE"""),"")</f>
        <v/>
      </c>
      <c r="C3056" t="str">
        <f>IFERROR(__xludf.DUMMYFUNCTION("""COMPUTED_VALUE"""),"")</f>
        <v/>
      </c>
      <c r="D3056" t="str">
        <f>IFERROR(__xludf.DUMMYFUNCTION("""COMPUTED_VALUE"""),"")</f>
        <v/>
      </c>
      <c r="E3056" t="str">
        <f>IFERROR(__xludf.DUMMYFUNCTION("""COMPUTED_VALUE"""),"")</f>
        <v/>
      </c>
      <c r="F3056" t="str">
        <f>IFERROR(__xludf.DUMMYFUNCTION("""COMPUTED_VALUE"""),"")</f>
        <v/>
      </c>
      <c r="G3056" t="str">
        <f>IFERROR(__xludf.DUMMYFUNCTION("""COMPUTED_VALUE"""),"")</f>
        <v/>
      </c>
      <c r="H3056" s="2" t="str">
        <f>IFERROR(__xludf.DUMMYFUNCTION("""COMPUTED_VALUE"""),"")</f>
        <v/>
      </c>
      <c r="I3056" s="2" t="str">
        <f>IFERROR(__xludf.DUMMYFUNCTION("""COMPUTED_VALUE"""),"")</f>
        <v/>
      </c>
      <c r="J3056" s="2">
        <f>IFERROR(__xludf.DUMMYFUNCTION("""COMPUTED_VALUE"""),0.0)</f>
        <v>0</v>
      </c>
      <c r="K3056" s="5" t="str">
        <f>IFERROR(__xludf.DUMMYFUNCTION("""COMPUTED_VALUE"""),"")</f>
        <v/>
      </c>
      <c r="L3056" t="str">
        <f>IFERROR(__xludf.DUMMYFUNCTION("""COMPUTED_VALUE"""),"")</f>
        <v/>
      </c>
      <c r="M3056" t="str">
        <f>IFERROR(__xludf.DUMMYFUNCTION("""COMPUTED_VALUE"""),"")</f>
        <v/>
      </c>
      <c r="N3056" t="str">
        <f>IFERROR(__xludf.DUMMYFUNCTION("""COMPUTED_VALUE"""),"")</f>
        <v/>
      </c>
      <c r="O3056" t="str">
        <f>IFERROR(__xludf.DUMMYFUNCTION("""COMPUTED_VALUE"""),"")</f>
        <v/>
      </c>
      <c r="P3056" t="str">
        <f>IFERROR(__xludf.DUMMYFUNCTION("""COMPUTED_VALUE"""),"ID ")</f>
        <v>ID </v>
      </c>
    </row>
    <row r="3057">
      <c r="A3057" s="6" t="str">
        <f>IFERROR(__xludf.DUMMYFUNCTION("""COMPUTED_VALUE"""),"")</f>
        <v/>
      </c>
      <c r="C3057" t="str">
        <f>IFERROR(__xludf.DUMMYFUNCTION("""COMPUTED_VALUE"""),"")</f>
        <v/>
      </c>
      <c r="D3057" t="str">
        <f>IFERROR(__xludf.DUMMYFUNCTION("""COMPUTED_VALUE"""),"")</f>
        <v/>
      </c>
      <c r="E3057" t="str">
        <f>IFERROR(__xludf.DUMMYFUNCTION("""COMPUTED_VALUE"""),"")</f>
        <v/>
      </c>
      <c r="F3057" t="str">
        <f>IFERROR(__xludf.DUMMYFUNCTION("""COMPUTED_VALUE"""),"")</f>
        <v/>
      </c>
      <c r="G3057" t="str">
        <f>IFERROR(__xludf.DUMMYFUNCTION("""COMPUTED_VALUE"""),"")</f>
        <v/>
      </c>
      <c r="H3057" s="2" t="str">
        <f>IFERROR(__xludf.DUMMYFUNCTION("""COMPUTED_VALUE"""),"")</f>
        <v/>
      </c>
      <c r="I3057" s="2" t="str">
        <f>IFERROR(__xludf.DUMMYFUNCTION("""COMPUTED_VALUE"""),"")</f>
        <v/>
      </c>
      <c r="J3057" s="2">
        <f>IFERROR(__xludf.DUMMYFUNCTION("""COMPUTED_VALUE"""),0.0)</f>
        <v>0</v>
      </c>
      <c r="K3057" s="5" t="str">
        <f>IFERROR(__xludf.DUMMYFUNCTION("""COMPUTED_VALUE"""),"")</f>
        <v/>
      </c>
      <c r="L3057" t="str">
        <f>IFERROR(__xludf.DUMMYFUNCTION("""COMPUTED_VALUE"""),"")</f>
        <v/>
      </c>
      <c r="M3057" t="str">
        <f>IFERROR(__xludf.DUMMYFUNCTION("""COMPUTED_VALUE"""),"")</f>
        <v/>
      </c>
      <c r="N3057" t="str">
        <f>IFERROR(__xludf.DUMMYFUNCTION("""COMPUTED_VALUE"""),"")</f>
        <v/>
      </c>
      <c r="O3057" t="str">
        <f>IFERROR(__xludf.DUMMYFUNCTION("""COMPUTED_VALUE"""),"")</f>
        <v/>
      </c>
      <c r="P3057" t="str">
        <f>IFERROR(__xludf.DUMMYFUNCTION("""COMPUTED_VALUE"""),"ID ")</f>
        <v>ID </v>
      </c>
    </row>
    <row r="3058">
      <c r="A3058" s="6" t="str">
        <f>IFERROR(__xludf.DUMMYFUNCTION("""COMPUTED_VALUE"""),"")</f>
        <v/>
      </c>
      <c r="C3058" t="str">
        <f>IFERROR(__xludf.DUMMYFUNCTION("""COMPUTED_VALUE"""),"")</f>
        <v/>
      </c>
      <c r="D3058" t="str">
        <f>IFERROR(__xludf.DUMMYFUNCTION("""COMPUTED_VALUE"""),"")</f>
        <v/>
      </c>
      <c r="E3058" t="str">
        <f>IFERROR(__xludf.DUMMYFUNCTION("""COMPUTED_VALUE"""),"")</f>
        <v/>
      </c>
      <c r="F3058" t="str">
        <f>IFERROR(__xludf.DUMMYFUNCTION("""COMPUTED_VALUE"""),"")</f>
        <v/>
      </c>
      <c r="G3058" t="str">
        <f>IFERROR(__xludf.DUMMYFUNCTION("""COMPUTED_VALUE"""),"")</f>
        <v/>
      </c>
      <c r="H3058" s="2" t="str">
        <f>IFERROR(__xludf.DUMMYFUNCTION("""COMPUTED_VALUE"""),"")</f>
        <v/>
      </c>
      <c r="I3058" s="2" t="str">
        <f>IFERROR(__xludf.DUMMYFUNCTION("""COMPUTED_VALUE"""),"")</f>
        <v/>
      </c>
      <c r="J3058" s="2">
        <f>IFERROR(__xludf.DUMMYFUNCTION("""COMPUTED_VALUE"""),0.0)</f>
        <v>0</v>
      </c>
      <c r="K3058" s="5" t="str">
        <f>IFERROR(__xludf.DUMMYFUNCTION("""COMPUTED_VALUE"""),"")</f>
        <v/>
      </c>
      <c r="L3058" t="str">
        <f>IFERROR(__xludf.DUMMYFUNCTION("""COMPUTED_VALUE"""),"")</f>
        <v/>
      </c>
      <c r="M3058" t="str">
        <f>IFERROR(__xludf.DUMMYFUNCTION("""COMPUTED_VALUE"""),"")</f>
        <v/>
      </c>
      <c r="N3058" t="str">
        <f>IFERROR(__xludf.DUMMYFUNCTION("""COMPUTED_VALUE"""),"")</f>
        <v/>
      </c>
      <c r="O3058" t="str">
        <f>IFERROR(__xludf.DUMMYFUNCTION("""COMPUTED_VALUE"""),"")</f>
        <v/>
      </c>
      <c r="P3058" t="str">
        <f>IFERROR(__xludf.DUMMYFUNCTION("""COMPUTED_VALUE"""),"ID ")</f>
        <v>ID </v>
      </c>
    </row>
    <row r="3059">
      <c r="A3059" s="6" t="str">
        <f>IFERROR(__xludf.DUMMYFUNCTION("""COMPUTED_VALUE"""),"")</f>
        <v/>
      </c>
      <c r="C3059" t="str">
        <f>IFERROR(__xludf.DUMMYFUNCTION("""COMPUTED_VALUE"""),"")</f>
        <v/>
      </c>
      <c r="D3059" t="str">
        <f>IFERROR(__xludf.DUMMYFUNCTION("""COMPUTED_VALUE"""),"")</f>
        <v/>
      </c>
      <c r="E3059" t="str">
        <f>IFERROR(__xludf.DUMMYFUNCTION("""COMPUTED_VALUE"""),"")</f>
        <v/>
      </c>
      <c r="F3059" t="str">
        <f>IFERROR(__xludf.DUMMYFUNCTION("""COMPUTED_VALUE"""),"")</f>
        <v/>
      </c>
      <c r="G3059" t="str">
        <f>IFERROR(__xludf.DUMMYFUNCTION("""COMPUTED_VALUE"""),"")</f>
        <v/>
      </c>
      <c r="H3059" s="2" t="str">
        <f>IFERROR(__xludf.DUMMYFUNCTION("""COMPUTED_VALUE"""),"")</f>
        <v/>
      </c>
      <c r="I3059" s="2" t="str">
        <f>IFERROR(__xludf.DUMMYFUNCTION("""COMPUTED_VALUE"""),"")</f>
        <v/>
      </c>
      <c r="J3059" s="2">
        <f>IFERROR(__xludf.DUMMYFUNCTION("""COMPUTED_VALUE"""),0.0)</f>
        <v>0</v>
      </c>
      <c r="K3059" s="5" t="str">
        <f>IFERROR(__xludf.DUMMYFUNCTION("""COMPUTED_VALUE"""),"")</f>
        <v/>
      </c>
      <c r="L3059" t="str">
        <f>IFERROR(__xludf.DUMMYFUNCTION("""COMPUTED_VALUE"""),"")</f>
        <v/>
      </c>
      <c r="M3059" t="str">
        <f>IFERROR(__xludf.DUMMYFUNCTION("""COMPUTED_VALUE"""),"")</f>
        <v/>
      </c>
      <c r="N3059" t="str">
        <f>IFERROR(__xludf.DUMMYFUNCTION("""COMPUTED_VALUE"""),"")</f>
        <v/>
      </c>
      <c r="O3059" t="str">
        <f>IFERROR(__xludf.DUMMYFUNCTION("""COMPUTED_VALUE"""),"")</f>
        <v/>
      </c>
      <c r="P3059" t="str">
        <f>IFERROR(__xludf.DUMMYFUNCTION("""COMPUTED_VALUE"""),"ID ")</f>
        <v>ID </v>
      </c>
    </row>
    <row r="3060">
      <c r="A3060" s="6" t="str">
        <f>IFERROR(__xludf.DUMMYFUNCTION("""COMPUTED_VALUE"""),"")</f>
        <v/>
      </c>
      <c r="C3060" t="str">
        <f>IFERROR(__xludf.DUMMYFUNCTION("""COMPUTED_VALUE"""),"")</f>
        <v/>
      </c>
      <c r="D3060" t="str">
        <f>IFERROR(__xludf.DUMMYFUNCTION("""COMPUTED_VALUE"""),"")</f>
        <v/>
      </c>
      <c r="E3060" t="str">
        <f>IFERROR(__xludf.DUMMYFUNCTION("""COMPUTED_VALUE"""),"")</f>
        <v/>
      </c>
      <c r="F3060" t="str">
        <f>IFERROR(__xludf.DUMMYFUNCTION("""COMPUTED_VALUE"""),"")</f>
        <v/>
      </c>
      <c r="G3060" t="str">
        <f>IFERROR(__xludf.DUMMYFUNCTION("""COMPUTED_VALUE"""),"")</f>
        <v/>
      </c>
      <c r="H3060" s="2" t="str">
        <f>IFERROR(__xludf.DUMMYFUNCTION("""COMPUTED_VALUE"""),"")</f>
        <v/>
      </c>
      <c r="I3060" s="2" t="str">
        <f>IFERROR(__xludf.DUMMYFUNCTION("""COMPUTED_VALUE"""),"")</f>
        <v/>
      </c>
      <c r="J3060" s="2">
        <f>IFERROR(__xludf.DUMMYFUNCTION("""COMPUTED_VALUE"""),0.0)</f>
        <v>0</v>
      </c>
      <c r="K3060" s="5" t="str">
        <f>IFERROR(__xludf.DUMMYFUNCTION("""COMPUTED_VALUE"""),"")</f>
        <v/>
      </c>
      <c r="L3060" t="str">
        <f>IFERROR(__xludf.DUMMYFUNCTION("""COMPUTED_VALUE"""),"")</f>
        <v/>
      </c>
      <c r="M3060" t="str">
        <f>IFERROR(__xludf.DUMMYFUNCTION("""COMPUTED_VALUE"""),"")</f>
        <v/>
      </c>
      <c r="N3060" t="str">
        <f>IFERROR(__xludf.DUMMYFUNCTION("""COMPUTED_VALUE"""),"")</f>
        <v/>
      </c>
      <c r="O3060" t="str">
        <f>IFERROR(__xludf.DUMMYFUNCTION("""COMPUTED_VALUE"""),"")</f>
        <v/>
      </c>
      <c r="P3060" t="str">
        <f>IFERROR(__xludf.DUMMYFUNCTION("""COMPUTED_VALUE"""),"ID ")</f>
        <v>ID </v>
      </c>
    </row>
    <row r="3061">
      <c r="A3061" s="6" t="str">
        <f>IFERROR(__xludf.DUMMYFUNCTION("""COMPUTED_VALUE"""),"")</f>
        <v/>
      </c>
      <c r="C3061" t="str">
        <f>IFERROR(__xludf.DUMMYFUNCTION("""COMPUTED_VALUE"""),"")</f>
        <v/>
      </c>
      <c r="D3061" t="str">
        <f>IFERROR(__xludf.DUMMYFUNCTION("""COMPUTED_VALUE"""),"")</f>
        <v/>
      </c>
      <c r="E3061" t="str">
        <f>IFERROR(__xludf.DUMMYFUNCTION("""COMPUTED_VALUE"""),"")</f>
        <v/>
      </c>
      <c r="F3061" t="str">
        <f>IFERROR(__xludf.DUMMYFUNCTION("""COMPUTED_VALUE"""),"")</f>
        <v/>
      </c>
      <c r="G3061" t="str">
        <f>IFERROR(__xludf.DUMMYFUNCTION("""COMPUTED_VALUE"""),"")</f>
        <v/>
      </c>
      <c r="H3061" s="2" t="str">
        <f>IFERROR(__xludf.DUMMYFUNCTION("""COMPUTED_VALUE"""),"")</f>
        <v/>
      </c>
      <c r="I3061" s="2" t="str">
        <f>IFERROR(__xludf.DUMMYFUNCTION("""COMPUTED_VALUE"""),"")</f>
        <v/>
      </c>
      <c r="J3061" s="2">
        <f>IFERROR(__xludf.DUMMYFUNCTION("""COMPUTED_VALUE"""),0.0)</f>
        <v>0</v>
      </c>
      <c r="K3061" s="5" t="str">
        <f>IFERROR(__xludf.DUMMYFUNCTION("""COMPUTED_VALUE"""),"")</f>
        <v/>
      </c>
      <c r="L3061" t="str">
        <f>IFERROR(__xludf.DUMMYFUNCTION("""COMPUTED_VALUE"""),"")</f>
        <v/>
      </c>
      <c r="M3061" t="str">
        <f>IFERROR(__xludf.DUMMYFUNCTION("""COMPUTED_VALUE"""),"")</f>
        <v/>
      </c>
      <c r="N3061" t="str">
        <f>IFERROR(__xludf.DUMMYFUNCTION("""COMPUTED_VALUE"""),"")</f>
        <v/>
      </c>
      <c r="O3061" t="str">
        <f>IFERROR(__xludf.DUMMYFUNCTION("""COMPUTED_VALUE"""),"")</f>
        <v/>
      </c>
      <c r="P3061" t="str">
        <f>IFERROR(__xludf.DUMMYFUNCTION("""COMPUTED_VALUE"""),"ID ")</f>
        <v>ID </v>
      </c>
    </row>
    <row r="3062">
      <c r="A3062" s="6" t="str">
        <f>IFERROR(__xludf.DUMMYFUNCTION("""COMPUTED_VALUE"""),"")</f>
        <v/>
      </c>
      <c r="C3062" t="str">
        <f>IFERROR(__xludf.DUMMYFUNCTION("""COMPUTED_VALUE"""),"")</f>
        <v/>
      </c>
      <c r="D3062" t="str">
        <f>IFERROR(__xludf.DUMMYFUNCTION("""COMPUTED_VALUE"""),"")</f>
        <v/>
      </c>
      <c r="E3062" t="str">
        <f>IFERROR(__xludf.DUMMYFUNCTION("""COMPUTED_VALUE"""),"")</f>
        <v/>
      </c>
      <c r="F3062" t="str">
        <f>IFERROR(__xludf.DUMMYFUNCTION("""COMPUTED_VALUE"""),"")</f>
        <v/>
      </c>
      <c r="G3062" t="str">
        <f>IFERROR(__xludf.DUMMYFUNCTION("""COMPUTED_VALUE"""),"")</f>
        <v/>
      </c>
      <c r="H3062" s="2" t="str">
        <f>IFERROR(__xludf.DUMMYFUNCTION("""COMPUTED_VALUE"""),"")</f>
        <v/>
      </c>
      <c r="I3062" s="2" t="str">
        <f>IFERROR(__xludf.DUMMYFUNCTION("""COMPUTED_VALUE"""),"")</f>
        <v/>
      </c>
      <c r="J3062" s="2">
        <f>IFERROR(__xludf.DUMMYFUNCTION("""COMPUTED_VALUE"""),0.0)</f>
        <v>0</v>
      </c>
      <c r="K3062" s="5" t="str">
        <f>IFERROR(__xludf.DUMMYFUNCTION("""COMPUTED_VALUE"""),"")</f>
        <v/>
      </c>
      <c r="L3062" t="str">
        <f>IFERROR(__xludf.DUMMYFUNCTION("""COMPUTED_VALUE"""),"")</f>
        <v/>
      </c>
      <c r="M3062" t="str">
        <f>IFERROR(__xludf.DUMMYFUNCTION("""COMPUTED_VALUE"""),"")</f>
        <v/>
      </c>
      <c r="N3062" t="str">
        <f>IFERROR(__xludf.DUMMYFUNCTION("""COMPUTED_VALUE"""),"")</f>
        <v/>
      </c>
      <c r="O3062" t="str">
        <f>IFERROR(__xludf.DUMMYFUNCTION("""COMPUTED_VALUE"""),"")</f>
        <v/>
      </c>
      <c r="P3062" t="str">
        <f>IFERROR(__xludf.DUMMYFUNCTION("""COMPUTED_VALUE"""),"ID ")</f>
        <v>ID </v>
      </c>
    </row>
    <row r="3063">
      <c r="A3063" s="6" t="str">
        <f>IFERROR(__xludf.DUMMYFUNCTION("""COMPUTED_VALUE"""),"")</f>
        <v/>
      </c>
      <c r="C3063" t="str">
        <f>IFERROR(__xludf.DUMMYFUNCTION("""COMPUTED_VALUE"""),"")</f>
        <v/>
      </c>
      <c r="D3063" t="str">
        <f>IFERROR(__xludf.DUMMYFUNCTION("""COMPUTED_VALUE"""),"")</f>
        <v/>
      </c>
      <c r="E3063" t="str">
        <f>IFERROR(__xludf.DUMMYFUNCTION("""COMPUTED_VALUE"""),"")</f>
        <v/>
      </c>
      <c r="F3063" t="str">
        <f>IFERROR(__xludf.DUMMYFUNCTION("""COMPUTED_VALUE"""),"")</f>
        <v/>
      </c>
      <c r="G3063" t="str">
        <f>IFERROR(__xludf.DUMMYFUNCTION("""COMPUTED_VALUE"""),"")</f>
        <v/>
      </c>
      <c r="H3063" s="2" t="str">
        <f>IFERROR(__xludf.DUMMYFUNCTION("""COMPUTED_VALUE"""),"")</f>
        <v/>
      </c>
      <c r="I3063" s="2" t="str">
        <f>IFERROR(__xludf.DUMMYFUNCTION("""COMPUTED_VALUE"""),"")</f>
        <v/>
      </c>
      <c r="J3063" s="2">
        <f>IFERROR(__xludf.DUMMYFUNCTION("""COMPUTED_VALUE"""),0.0)</f>
        <v>0</v>
      </c>
      <c r="K3063" s="5" t="str">
        <f>IFERROR(__xludf.DUMMYFUNCTION("""COMPUTED_VALUE"""),"")</f>
        <v/>
      </c>
      <c r="L3063" t="str">
        <f>IFERROR(__xludf.DUMMYFUNCTION("""COMPUTED_VALUE"""),"")</f>
        <v/>
      </c>
      <c r="M3063" t="str">
        <f>IFERROR(__xludf.DUMMYFUNCTION("""COMPUTED_VALUE"""),"")</f>
        <v/>
      </c>
      <c r="N3063" t="str">
        <f>IFERROR(__xludf.DUMMYFUNCTION("""COMPUTED_VALUE"""),"")</f>
        <v/>
      </c>
      <c r="O3063" t="str">
        <f>IFERROR(__xludf.DUMMYFUNCTION("""COMPUTED_VALUE"""),"")</f>
        <v/>
      </c>
      <c r="P3063" t="str">
        <f>IFERROR(__xludf.DUMMYFUNCTION("""COMPUTED_VALUE"""),"ID ")</f>
        <v>ID </v>
      </c>
    </row>
    <row r="3064">
      <c r="A3064" s="6" t="str">
        <f>IFERROR(__xludf.DUMMYFUNCTION("""COMPUTED_VALUE"""),"")</f>
        <v/>
      </c>
      <c r="C3064" t="str">
        <f>IFERROR(__xludf.DUMMYFUNCTION("""COMPUTED_VALUE"""),"")</f>
        <v/>
      </c>
      <c r="D3064" t="str">
        <f>IFERROR(__xludf.DUMMYFUNCTION("""COMPUTED_VALUE"""),"")</f>
        <v/>
      </c>
      <c r="E3064" t="str">
        <f>IFERROR(__xludf.DUMMYFUNCTION("""COMPUTED_VALUE"""),"")</f>
        <v/>
      </c>
      <c r="F3064" t="str">
        <f>IFERROR(__xludf.DUMMYFUNCTION("""COMPUTED_VALUE"""),"")</f>
        <v/>
      </c>
      <c r="G3064" t="str">
        <f>IFERROR(__xludf.DUMMYFUNCTION("""COMPUTED_VALUE"""),"")</f>
        <v/>
      </c>
      <c r="H3064" s="2" t="str">
        <f>IFERROR(__xludf.DUMMYFUNCTION("""COMPUTED_VALUE"""),"")</f>
        <v/>
      </c>
      <c r="I3064" s="2" t="str">
        <f>IFERROR(__xludf.DUMMYFUNCTION("""COMPUTED_VALUE"""),"")</f>
        <v/>
      </c>
      <c r="J3064" s="2">
        <f>IFERROR(__xludf.DUMMYFUNCTION("""COMPUTED_VALUE"""),0.0)</f>
        <v>0</v>
      </c>
      <c r="K3064" s="5" t="str">
        <f>IFERROR(__xludf.DUMMYFUNCTION("""COMPUTED_VALUE"""),"")</f>
        <v/>
      </c>
      <c r="L3064" t="str">
        <f>IFERROR(__xludf.DUMMYFUNCTION("""COMPUTED_VALUE"""),"")</f>
        <v/>
      </c>
      <c r="M3064" t="str">
        <f>IFERROR(__xludf.DUMMYFUNCTION("""COMPUTED_VALUE"""),"")</f>
        <v/>
      </c>
      <c r="N3064" t="str">
        <f>IFERROR(__xludf.DUMMYFUNCTION("""COMPUTED_VALUE"""),"")</f>
        <v/>
      </c>
      <c r="O3064" t="str">
        <f>IFERROR(__xludf.DUMMYFUNCTION("""COMPUTED_VALUE"""),"")</f>
        <v/>
      </c>
      <c r="P3064" t="str">
        <f>IFERROR(__xludf.DUMMYFUNCTION("""COMPUTED_VALUE"""),"ID ")</f>
        <v>ID </v>
      </c>
    </row>
    <row r="3065">
      <c r="A3065" s="6" t="str">
        <f>IFERROR(__xludf.DUMMYFUNCTION("""COMPUTED_VALUE"""),"")</f>
        <v/>
      </c>
      <c r="C3065" t="str">
        <f>IFERROR(__xludf.DUMMYFUNCTION("""COMPUTED_VALUE"""),"")</f>
        <v/>
      </c>
      <c r="D3065" t="str">
        <f>IFERROR(__xludf.DUMMYFUNCTION("""COMPUTED_VALUE"""),"")</f>
        <v/>
      </c>
      <c r="E3065" t="str">
        <f>IFERROR(__xludf.DUMMYFUNCTION("""COMPUTED_VALUE"""),"")</f>
        <v/>
      </c>
      <c r="F3065" t="str">
        <f>IFERROR(__xludf.DUMMYFUNCTION("""COMPUTED_VALUE"""),"")</f>
        <v/>
      </c>
      <c r="G3065" t="str">
        <f>IFERROR(__xludf.DUMMYFUNCTION("""COMPUTED_VALUE"""),"")</f>
        <v/>
      </c>
      <c r="H3065" s="2" t="str">
        <f>IFERROR(__xludf.DUMMYFUNCTION("""COMPUTED_VALUE"""),"")</f>
        <v/>
      </c>
      <c r="I3065" s="2" t="str">
        <f>IFERROR(__xludf.DUMMYFUNCTION("""COMPUTED_VALUE"""),"")</f>
        <v/>
      </c>
      <c r="J3065" s="2">
        <f>IFERROR(__xludf.DUMMYFUNCTION("""COMPUTED_VALUE"""),0.0)</f>
        <v>0</v>
      </c>
      <c r="K3065" s="5" t="str">
        <f>IFERROR(__xludf.DUMMYFUNCTION("""COMPUTED_VALUE"""),"")</f>
        <v/>
      </c>
      <c r="L3065" t="str">
        <f>IFERROR(__xludf.DUMMYFUNCTION("""COMPUTED_VALUE"""),"")</f>
        <v/>
      </c>
      <c r="M3065" t="str">
        <f>IFERROR(__xludf.DUMMYFUNCTION("""COMPUTED_VALUE"""),"")</f>
        <v/>
      </c>
      <c r="N3065" t="str">
        <f>IFERROR(__xludf.DUMMYFUNCTION("""COMPUTED_VALUE"""),"")</f>
        <v/>
      </c>
      <c r="O3065" t="str">
        <f>IFERROR(__xludf.DUMMYFUNCTION("""COMPUTED_VALUE"""),"")</f>
        <v/>
      </c>
      <c r="P3065" t="str">
        <f>IFERROR(__xludf.DUMMYFUNCTION("""COMPUTED_VALUE"""),"ID ")</f>
        <v>ID </v>
      </c>
    </row>
    <row r="3066">
      <c r="A3066" s="6" t="str">
        <f>IFERROR(__xludf.DUMMYFUNCTION("""COMPUTED_VALUE"""),"")</f>
        <v/>
      </c>
      <c r="C3066" t="str">
        <f>IFERROR(__xludf.DUMMYFUNCTION("""COMPUTED_VALUE"""),"")</f>
        <v/>
      </c>
      <c r="D3066" t="str">
        <f>IFERROR(__xludf.DUMMYFUNCTION("""COMPUTED_VALUE"""),"")</f>
        <v/>
      </c>
      <c r="E3066" t="str">
        <f>IFERROR(__xludf.DUMMYFUNCTION("""COMPUTED_VALUE"""),"")</f>
        <v/>
      </c>
      <c r="F3066" t="str">
        <f>IFERROR(__xludf.DUMMYFUNCTION("""COMPUTED_VALUE"""),"")</f>
        <v/>
      </c>
      <c r="G3066" t="str">
        <f>IFERROR(__xludf.DUMMYFUNCTION("""COMPUTED_VALUE"""),"")</f>
        <v/>
      </c>
      <c r="H3066" s="2" t="str">
        <f>IFERROR(__xludf.DUMMYFUNCTION("""COMPUTED_VALUE"""),"")</f>
        <v/>
      </c>
      <c r="I3066" s="2" t="str">
        <f>IFERROR(__xludf.DUMMYFUNCTION("""COMPUTED_VALUE"""),"")</f>
        <v/>
      </c>
      <c r="J3066" s="2">
        <f>IFERROR(__xludf.DUMMYFUNCTION("""COMPUTED_VALUE"""),0.0)</f>
        <v>0</v>
      </c>
      <c r="K3066" s="5" t="str">
        <f>IFERROR(__xludf.DUMMYFUNCTION("""COMPUTED_VALUE"""),"")</f>
        <v/>
      </c>
      <c r="L3066" t="str">
        <f>IFERROR(__xludf.DUMMYFUNCTION("""COMPUTED_VALUE"""),"")</f>
        <v/>
      </c>
      <c r="M3066" t="str">
        <f>IFERROR(__xludf.DUMMYFUNCTION("""COMPUTED_VALUE"""),"")</f>
        <v/>
      </c>
      <c r="N3066" t="str">
        <f>IFERROR(__xludf.DUMMYFUNCTION("""COMPUTED_VALUE"""),"")</f>
        <v/>
      </c>
      <c r="O3066" t="str">
        <f>IFERROR(__xludf.DUMMYFUNCTION("""COMPUTED_VALUE"""),"")</f>
        <v/>
      </c>
      <c r="P3066" t="str">
        <f>IFERROR(__xludf.DUMMYFUNCTION("""COMPUTED_VALUE"""),"ID ")</f>
        <v>ID </v>
      </c>
    </row>
    <row r="3067">
      <c r="A3067" s="6" t="str">
        <f>IFERROR(__xludf.DUMMYFUNCTION("""COMPUTED_VALUE"""),"")</f>
        <v/>
      </c>
      <c r="C3067" t="str">
        <f>IFERROR(__xludf.DUMMYFUNCTION("""COMPUTED_VALUE"""),"")</f>
        <v/>
      </c>
      <c r="D3067" t="str">
        <f>IFERROR(__xludf.DUMMYFUNCTION("""COMPUTED_VALUE"""),"")</f>
        <v/>
      </c>
      <c r="E3067" t="str">
        <f>IFERROR(__xludf.DUMMYFUNCTION("""COMPUTED_VALUE"""),"")</f>
        <v/>
      </c>
      <c r="F3067" t="str">
        <f>IFERROR(__xludf.DUMMYFUNCTION("""COMPUTED_VALUE"""),"")</f>
        <v/>
      </c>
      <c r="G3067" t="str">
        <f>IFERROR(__xludf.DUMMYFUNCTION("""COMPUTED_VALUE"""),"")</f>
        <v/>
      </c>
      <c r="H3067" s="2" t="str">
        <f>IFERROR(__xludf.DUMMYFUNCTION("""COMPUTED_VALUE"""),"")</f>
        <v/>
      </c>
      <c r="I3067" s="2" t="str">
        <f>IFERROR(__xludf.DUMMYFUNCTION("""COMPUTED_VALUE"""),"")</f>
        <v/>
      </c>
      <c r="J3067" s="2">
        <f>IFERROR(__xludf.DUMMYFUNCTION("""COMPUTED_VALUE"""),0.0)</f>
        <v>0</v>
      </c>
      <c r="K3067" s="5" t="str">
        <f>IFERROR(__xludf.DUMMYFUNCTION("""COMPUTED_VALUE"""),"")</f>
        <v/>
      </c>
      <c r="L3067" t="str">
        <f>IFERROR(__xludf.DUMMYFUNCTION("""COMPUTED_VALUE"""),"")</f>
        <v/>
      </c>
      <c r="M3067" t="str">
        <f>IFERROR(__xludf.DUMMYFUNCTION("""COMPUTED_VALUE"""),"")</f>
        <v/>
      </c>
      <c r="N3067" t="str">
        <f>IFERROR(__xludf.DUMMYFUNCTION("""COMPUTED_VALUE"""),"")</f>
        <v/>
      </c>
      <c r="O3067" t="str">
        <f>IFERROR(__xludf.DUMMYFUNCTION("""COMPUTED_VALUE"""),"")</f>
        <v/>
      </c>
      <c r="P3067" t="str">
        <f>IFERROR(__xludf.DUMMYFUNCTION("""COMPUTED_VALUE"""),"ID ")</f>
        <v>ID </v>
      </c>
    </row>
    <row r="3068">
      <c r="A3068" s="6" t="str">
        <f>IFERROR(__xludf.DUMMYFUNCTION("""COMPUTED_VALUE"""),"")</f>
        <v/>
      </c>
      <c r="C3068" t="str">
        <f>IFERROR(__xludf.DUMMYFUNCTION("""COMPUTED_VALUE"""),"")</f>
        <v/>
      </c>
      <c r="D3068" t="str">
        <f>IFERROR(__xludf.DUMMYFUNCTION("""COMPUTED_VALUE"""),"")</f>
        <v/>
      </c>
      <c r="E3068" t="str">
        <f>IFERROR(__xludf.DUMMYFUNCTION("""COMPUTED_VALUE"""),"")</f>
        <v/>
      </c>
      <c r="F3068" t="str">
        <f>IFERROR(__xludf.DUMMYFUNCTION("""COMPUTED_VALUE"""),"")</f>
        <v/>
      </c>
      <c r="G3068" t="str">
        <f>IFERROR(__xludf.DUMMYFUNCTION("""COMPUTED_VALUE"""),"")</f>
        <v/>
      </c>
      <c r="H3068" s="2" t="str">
        <f>IFERROR(__xludf.DUMMYFUNCTION("""COMPUTED_VALUE"""),"")</f>
        <v/>
      </c>
      <c r="I3068" s="2" t="str">
        <f>IFERROR(__xludf.DUMMYFUNCTION("""COMPUTED_VALUE"""),"")</f>
        <v/>
      </c>
      <c r="J3068" s="2">
        <f>IFERROR(__xludf.DUMMYFUNCTION("""COMPUTED_VALUE"""),0.0)</f>
        <v>0</v>
      </c>
      <c r="K3068" s="5" t="str">
        <f>IFERROR(__xludf.DUMMYFUNCTION("""COMPUTED_VALUE"""),"")</f>
        <v/>
      </c>
      <c r="L3068" t="str">
        <f>IFERROR(__xludf.DUMMYFUNCTION("""COMPUTED_VALUE"""),"")</f>
        <v/>
      </c>
      <c r="M3068" t="str">
        <f>IFERROR(__xludf.DUMMYFUNCTION("""COMPUTED_VALUE"""),"")</f>
        <v/>
      </c>
      <c r="N3068" t="str">
        <f>IFERROR(__xludf.DUMMYFUNCTION("""COMPUTED_VALUE"""),"")</f>
        <v/>
      </c>
      <c r="O3068" t="str">
        <f>IFERROR(__xludf.DUMMYFUNCTION("""COMPUTED_VALUE"""),"")</f>
        <v/>
      </c>
      <c r="P3068" t="str">
        <f>IFERROR(__xludf.DUMMYFUNCTION("""COMPUTED_VALUE"""),"ID ")</f>
        <v>ID </v>
      </c>
    </row>
    <row r="3069">
      <c r="A3069" s="6" t="str">
        <f>IFERROR(__xludf.DUMMYFUNCTION("""COMPUTED_VALUE"""),"")</f>
        <v/>
      </c>
      <c r="C3069" t="str">
        <f>IFERROR(__xludf.DUMMYFUNCTION("""COMPUTED_VALUE"""),"")</f>
        <v/>
      </c>
      <c r="D3069" t="str">
        <f>IFERROR(__xludf.DUMMYFUNCTION("""COMPUTED_VALUE"""),"")</f>
        <v/>
      </c>
      <c r="E3069" t="str">
        <f>IFERROR(__xludf.DUMMYFUNCTION("""COMPUTED_VALUE"""),"")</f>
        <v/>
      </c>
      <c r="F3069" t="str">
        <f>IFERROR(__xludf.DUMMYFUNCTION("""COMPUTED_VALUE"""),"")</f>
        <v/>
      </c>
      <c r="G3069" t="str">
        <f>IFERROR(__xludf.DUMMYFUNCTION("""COMPUTED_VALUE"""),"")</f>
        <v/>
      </c>
      <c r="H3069" s="2" t="str">
        <f>IFERROR(__xludf.DUMMYFUNCTION("""COMPUTED_VALUE"""),"")</f>
        <v/>
      </c>
      <c r="I3069" s="2" t="str">
        <f>IFERROR(__xludf.DUMMYFUNCTION("""COMPUTED_VALUE"""),"")</f>
        <v/>
      </c>
      <c r="J3069" s="2">
        <f>IFERROR(__xludf.DUMMYFUNCTION("""COMPUTED_VALUE"""),0.0)</f>
        <v>0</v>
      </c>
      <c r="K3069" s="5" t="str">
        <f>IFERROR(__xludf.DUMMYFUNCTION("""COMPUTED_VALUE"""),"")</f>
        <v/>
      </c>
      <c r="L3069" t="str">
        <f>IFERROR(__xludf.DUMMYFUNCTION("""COMPUTED_VALUE"""),"")</f>
        <v/>
      </c>
      <c r="M3069" t="str">
        <f>IFERROR(__xludf.DUMMYFUNCTION("""COMPUTED_VALUE"""),"")</f>
        <v/>
      </c>
      <c r="N3069" t="str">
        <f>IFERROR(__xludf.DUMMYFUNCTION("""COMPUTED_VALUE"""),"")</f>
        <v/>
      </c>
      <c r="O3069" t="str">
        <f>IFERROR(__xludf.DUMMYFUNCTION("""COMPUTED_VALUE"""),"")</f>
        <v/>
      </c>
      <c r="P3069" t="str">
        <f>IFERROR(__xludf.DUMMYFUNCTION("""COMPUTED_VALUE"""),"ID ")</f>
        <v>ID </v>
      </c>
    </row>
    <row r="3070">
      <c r="A3070" s="6" t="str">
        <f>IFERROR(__xludf.DUMMYFUNCTION("""COMPUTED_VALUE"""),"")</f>
        <v/>
      </c>
      <c r="C3070" t="str">
        <f>IFERROR(__xludf.DUMMYFUNCTION("""COMPUTED_VALUE"""),"")</f>
        <v/>
      </c>
      <c r="D3070" t="str">
        <f>IFERROR(__xludf.DUMMYFUNCTION("""COMPUTED_VALUE"""),"")</f>
        <v/>
      </c>
      <c r="E3070" t="str">
        <f>IFERROR(__xludf.DUMMYFUNCTION("""COMPUTED_VALUE"""),"")</f>
        <v/>
      </c>
      <c r="F3070" t="str">
        <f>IFERROR(__xludf.DUMMYFUNCTION("""COMPUTED_VALUE"""),"")</f>
        <v/>
      </c>
      <c r="G3070" t="str">
        <f>IFERROR(__xludf.DUMMYFUNCTION("""COMPUTED_VALUE"""),"")</f>
        <v/>
      </c>
      <c r="H3070" s="2" t="str">
        <f>IFERROR(__xludf.DUMMYFUNCTION("""COMPUTED_VALUE"""),"")</f>
        <v/>
      </c>
      <c r="I3070" s="2" t="str">
        <f>IFERROR(__xludf.DUMMYFUNCTION("""COMPUTED_VALUE"""),"")</f>
        <v/>
      </c>
      <c r="J3070" s="2">
        <f>IFERROR(__xludf.DUMMYFUNCTION("""COMPUTED_VALUE"""),0.0)</f>
        <v>0</v>
      </c>
      <c r="K3070" s="5" t="str">
        <f>IFERROR(__xludf.DUMMYFUNCTION("""COMPUTED_VALUE"""),"")</f>
        <v/>
      </c>
      <c r="L3070" t="str">
        <f>IFERROR(__xludf.DUMMYFUNCTION("""COMPUTED_VALUE"""),"")</f>
        <v/>
      </c>
      <c r="M3070" t="str">
        <f>IFERROR(__xludf.DUMMYFUNCTION("""COMPUTED_VALUE"""),"")</f>
        <v/>
      </c>
      <c r="N3070" t="str">
        <f>IFERROR(__xludf.DUMMYFUNCTION("""COMPUTED_VALUE"""),"")</f>
        <v/>
      </c>
      <c r="O3070" t="str">
        <f>IFERROR(__xludf.DUMMYFUNCTION("""COMPUTED_VALUE"""),"")</f>
        <v/>
      </c>
      <c r="P3070" t="str">
        <f>IFERROR(__xludf.DUMMYFUNCTION("""COMPUTED_VALUE"""),"ID ")</f>
        <v>ID </v>
      </c>
    </row>
    <row r="3071">
      <c r="A3071" s="6" t="str">
        <f>IFERROR(__xludf.DUMMYFUNCTION("""COMPUTED_VALUE"""),"")</f>
        <v/>
      </c>
      <c r="C3071" t="str">
        <f>IFERROR(__xludf.DUMMYFUNCTION("""COMPUTED_VALUE"""),"")</f>
        <v/>
      </c>
      <c r="D3071" t="str">
        <f>IFERROR(__xludf.DUMMYFUNCTION("""COMPUTED_VALUE"""),"")</f>
        <v/>
      </c>
      <c r="E3071" t="str">
        <f>IFERROR(__xludf.DUMMYFUNCTION("""COMPUTED_VALUE"""),"")</f>
        <v/>
      </c>
      <c r="F3071" t="str">
        <f>IFERROR(__xludf.DUMMYFUNCTION("""COMPUTED_VALUE"""),"")</f>
        <v/>
      </c>
      <c r="G3071" t="str">
        <f>IFERROR(__xludf.DUMMYFUNCTION("""COMPUTED_VALUE"""),"")</f>
        <v/>
      </c>
      <c r="H3071" s="2" t="str">
        <f>IFERROR(__xludf.DUMMYFUNCTION("""COMPUTED_VALUE"""),"")</f>
        <v/>
      </c>
      <c r="I3071" s="2" t="str">
        <f>IFERROR(__xludf.DUMMYFUNCTION("""COMPUTED_VALUE"""),"")</f>
        <v/>
      </c>
      <c r="J3071" s="2">
        <f>IFERROR(__xludf.DUMMYFUNCTION("""COMPUTED_VALUE"""),0.0)</f>
        <v>0</v>
      </c>
      <c r="K3071" s="5" t="str">
        <f>IFERROR(__xludf.DUMMYFUNCTION("""COMPUTED_VALUE"""),"")</f>
        <v/>
      </c>
      <c r="L3071" t="str">
        <f>IFERROR(__xludf.DUMMYFUNCTION("""COMPUTED_VALUE"""),"")</f>
        <v/>
      </c>
      <c r="M3071" t="str">
        <f>IFERROR(__xludf.DUMMYFUNCTION("""COMPUTED_VALUE"""),"")</f>
        <v/>
      </c>
      <c r="N3071" t="str">
        <f>IFERROR(__xludf.DUMMYFUNCTION("""COMPUTED_VALUE"""),"")</f>
        <v/>
      </c>
      <c r="O3071" t="str">
        <f>IFERROR(__xludf.DUMMYFUNCTION("""COMPUTED_VALUE"""),"")</f>
        <v/>
      </c>
      <c r="P3071" t="str">
        <f>IFERROR(__xludf.DUMMYFUNCTION("""COMPUTED_VALUE"""),"ID ")</f>
        <v>ID </v>
      </c>
    </row>
    <row r="3072">
      <c r="A3072" s="6" t="str">
        <f>IFERROR(__xludf.DUMMYFUNCTION("""COMPUTED_VALUE"""),"")</f>
        <v/>
      </c>
      <c r="C3072" t="str">
        <f>IFERROR(__xludf.DUMMYFUNCTION("""COMPUTED_VALUE"""),"")</f>
        <v/>
      </c>
      <c r="D3072" t="str">
        <f>IFERROR(__xludf.DUMMYFUNCTION("""COMPUTED_VALUE"""),"")</f>
        <v/>
      </c>
      <c r="E3072" t="str">
        <f>IFERROR(__xludf.DUMMYFUNCTION("""COMPUTED_VALUE"""),"")</f>
        <v/>
      </c>
      <c r="F3072" t="str">
        <f>IFERROR(__xludf.DUMMYFUNCTION("""COMPUTED_VALUE"""),"")</f>
        <v/>
      </c>
      <c r="G3072" t="str">
        <f>IFERROR(__xludf.DUMMYFUNCTION("""COMPUTED_VALUE"""),"")</f>
        <v/>
      </c>
      <c r="H3072" s="2" t="str">
        <f>IFERROR(__xludf.DUMMYFUNCTION("""COMPUTED_VALUE"""),"")</f>
        <v/>
      </c>
      <c r="I3072" s="2" t="str">
        <f>IFERROR(__xludf.DUMMYFUNCTION("""COMPUTED_VALUE"""),"")</f>
        <v/>
      </c>
      <c r="J3072" s="2">
        <f>IFERROR(__xludf.DUMMYFUNCTION("""COMPUTED_VALUE"""),0.0)</f>
        <v>0</v>
      </c>
      <c r="K3072" s="5" t="str">
        <f>IFERROR(__xludf.DUMMYFUNCTION("""COMPUTED_VALUE"""),"")</f>
        <v/>
      </c>
      <c r="L3072" t="str">
        <f>IFERROR(__xludf.DUMMYFUNCTION("""COMPUTED_VALUE"""),"")</f>
        <v/>
      </c>
      <c r="M3072" t="str">
        <f>IFERROR(__xludf.DUMMYFUNCTION("""COMPUTED_VALUE"""),"")</f>
        <v/>
      </c>
      <c r="N3072" t="str">
        <f>IFERROR(__xludf.DUMMYFUNCTION("""COMPUTED_VALUE"""),"")</f>
        <v/>
      </c>
      <c r="O3072" t="str">
        <f>IFERROR(__xludf.DUMMYFUNCTION("""COMPUTED_VALUE"""),"")</f>
        <v/>
      </c>
      <c r="P3072" t="str">
        <f>IFERROR(__xludf.DUMMYFUNCTION("""COMPUTED_VALUE"""),"ID ")</f>
        <v>ID </v>
      </c>
    </row>
    <row r="3073">
      <c r="A3073" s="6" t="str">
        <f>IFERROR(__xludf.DUMMYFUNCTION("""COMPUTED_VALUE"""),"")</f>
        <v/>
      </c>
      <c r="C3073" t="str">
        <f>IFERROR(__xludf.DUMMYFUNCTION("""COMPUTED_VALUE"""),"")</f>
        <v/>
      </c>
      <c r="D3073" t="str">
        <f>IFERROR(__xludf.DUMMYFUNCTION("""COMPUTED_VALUE"""),"")</f>
        <v/>
      </c>
      <c r="E3073" t="str">
        <f>IFERROR(__xludf.DUMMYFUNCTION("""COMPUTED_VALUE"""),"")</f>
        <v/>
      </c>
      <c r="F3073" t="str">
        <f>IFERROR(__xludf.DUMMYFUNCTION("""COMPUTED_VALUE"""),"")</f>
        <v/>
      </c>
      <c r="G3073" t="str">
        <f>IFERROR(__xludf.DUMMYFUNCTION("""COMPUTED_VALUE"""),"")</f>
        <v/>
      </c>
      <c r="H3073" s="2" t="str">
        <f>IFERROR(__xludf.DUMMYFUNCTION("""COMPUTED_VALUE"""),"")</f>
        <v/>
      </c>
      <c r="I3073" s="2" t="str">
        <f>IFERROR(__xludf.DUMMYFUNCTION("""COMPUTED_VALUE"""),"")</f>
        <v/>
      </c>
      <c r="J3073" s="2">
        <f>IFERROR(__xludf.DUMMYFUNCTION("""COMPUTED_VALUE"""),0.0)</f>
        <v>0</v>
      </c>
      <c r="K3073" s="5" t="str">
        <f>IFERROR(__xludf.DUMMYFUNCTION("""COMPUTED_VALUE"""),"")</f>
        <v/>
      </c>
      <c r="L3073" t="str">
        <f>IFERROR(__xludf.DUMMYFUNCTION("""COMPUTED_VALUE"""),"")</f>
        <v/>
      </c>
      <c r="M3073" t="str">
        <f>IFERROR(__xludf.DUMMYFUNCTION("""COMPUTED_VALUE"""),"")</f>
        <v/>
      </c>
      <c r="N3073" t="str">
        <f>IFERROR(__xludf.DUMMYFUNCTION("""COMPUTED_VALUE"""),"")</f>
        <v/>
      </c>
      <c r="O3073" t="str">
        <f>IFERROR(__xludf.DUMMYFUNCTION("""COMPUTED_VALUE"""),"")</f>
        <v/>
      </c>
      <c r="P3073" t="str">
        <f>IFERROR(__xludf.DUMMYFUNCTION("""COMPUTED_VALUE"""),"ID ")</f>
        <v>ID </v>
      </c>
    </row>
    <row r="3074">
      <c r="A3074" s="6" t="str">
        <f>IFERROR(__xludf.DUMMYFUNCTION("""COMPUTED_VALUE"""),"")</f>
        <v/>
      </c>
      <c r="C3074" t="str">
        <f>IFERROR(__xludf.DUMMYFUNCTION("""COMPUTED_VALUE"""),"")</f>
        <v/>
      </c>
      <c r="D3074" t="str">
        <f>IFERROR(__xludf.DUMMYFUNCTION("""COMPUTED_VALUE"""),"")</f>
        <v/>
      </c>
      <c r="E3074" t="str">
        <f>IFERROR(__xludf.DUMMYFUNCTION("""COMPUTED_VALUE"""),"")</f>
        <v/>
      </c>
      <c r="F3074" t="str">
        <f>IFERROR(__xludf.DUMMYFUNCTION("""COMPUTED_VALUE"""),"")</f>
        <v/>
      </c>
      <c r="G3074" t="str">
        <f>IFERROR(__xludf.DUMMYFUNCTION("""COMPUTED_VALUE"""),"")</f>
        <v/>
      </c>
      <c r="H3074" s="2" t="str">
        <f>IFERROR(__xludf.DUMMYFUNCTION("""COMPUTED_VALUE"""),"")</f>
        <v/>
      </c>
      <c r="I3074" s="2" t="str">
        <f>IFERROR(__xludf.DUMMYFUNCTION("""COMPUTED_VALUE"""),"")</f>
        <v/>
      </c>
      <c r="J3074" s="2">
        <f>IFERROR(__xludf.DUMMYFUNCTION("""COMPUTED_VALUE"""),0.0)</f>
        <v>0</v>
      </c>
      <c r="K3074" s="5" t="str">
        <f>IFERROR(__xludf.DUMMYFUNCTION("""COMPUTED_VALUE"""),"")</f>
        <v/>
      </c>
      <c r="L3074" t="str">
        <f>IFERROR(__xludf.DUMMYFUNCTION("""COMPUTED_VALUE"""),"")</f>
        <v/>
      </c>
      <c r="M3074" t="str">
        <f>IFERROR(__xludf.DUMMYFUNCTION("""COMPUTED_VALUE"""),"")</f>
        <v/>
      </c>
      <c r="N3074" t="str">
        <f>IFERROR(__xludf.DUMMYFUNCTION("""COMPUTED_VALUE"""),"")</f>
        <v/>
      </c>
      <c r="O3074" t="str">
        <f>IFERROR(__xludf.DUMMYFUNCTION("""COMPUTED_VALUE"""),"")</f>
        <v/>
      </c>
      <c r="P3074" t="str">
        <f>IFERROR(__xludf.DUMMYFUNCTION("""COMPUTED_VALUE"""),"ID ")</f>
        <v>ID </v>
      </c>
    </row>
    <row r="3075">
      <c r="A3075" s="6" t="str">
        <f>IFERROR(__xludf.DUMMYFUNCTION("""COMPUTED_VALUE"""),"")</f>
        <v/>
      </c>
      <c r="C3075" t="str">
        <f>IFERROR(__xludf.DUMMYFUNCTION("""COMPUTED_VALUE"""),"")</f>
        <v/>
      </c>
      <c r="D3075" t="str">
        <f>IFERROR(__xludf.DUMMYFUNCTION("""COMPUTED_VALUE"""),"")</f>
        <v/>
      </c>
      <c r="E3075" t="str">
        <f>IFERROR(__xludf.DUMMYFUNCTION("""COMPUTED_VALUE"""),"")</f>
        <v/>
      </c>
      <c r="F3075" t="str">
        <f>IFERROR(__xludf.DUMMYFUNCTION("""COMPUTED_VALUE"""),"")</f>
        <v/>
      </c>
      <c r="G3075" t="str">
        <f>IFERROR(__xludf.DUMMYFUNCTION("""COMPUTED_VALUE"""),"")</f>
        <v/>
      </c>
      <c r="H3075" s="2" t="str">
        <f>IFERROR(__xludf.DUMMYFUNCTION("""COMPUTED_VALUE"""),"")</f>
        <v/>
      </c>
      <c r="I3075" s="2" t="str">
        <f>IFERROR(__xludf.DUMMYFUNCTION("""COMPUTED_VALUE"""),"")</f>
        <v/>
      </c>
      <c r="J3075" s="2">
        <f>IFERROR(__xludf.DUMMYFUNCTION("""COMPUTED_VALUE"""),0.0)</f>
        <v>0</v>
      </c>
      <c r="K3075" s="5" t="str">
        <f>IFERROR(__xludf.DUMMYFUNCTION("""COMPUTED_VALUE"""),"")</f>
        <v/>
      </c>
      <c r="L3075" t="str">
        <f>IFERROR(__xludf.DUMMYFUNCTION("""COMPUTED_VALUE"""),"")</f>
        <v/>
      </c>
      <c r="M3075" t="str">
        <f>IFERROR(__xludf.DUMMYFUNCTION("""COMPUTED_VALUE"""),"")</f>
        <v/>
      </c>
      <c r="N3075" t="str">
        <f>IFERROR(__xludf.DUMMYFUNCTION("""COMPUTED_VALUE"""),"")</f>
        <v/>
      </c>
      <c r="O3075" t="str">
        <f>IFERROR(__xludf.DUMMYFUNCTION("""COMPUTED_VALUE"""),"")</f>
        <v/>
      </c>
      <c r="P3075" t="str">
        <f>IFERROR(__xludf.DUMMYFUNCTION("""COMPUTED_VALUE"""),"ID ")</f>
        <v>ID </v>
      </c>
    </row>
    <row r="3076">
      <c r="A3076" s="6" t="str">
        <f>IFERROR(__xludf.DUMMYFUNCTION("""COMPUTED_VALUE"""),"")</f>
        <v/>
      </c>
      <c r="C3076" t="str">
        <f>IFERROR(__xludf.DUMMYFUNCTION("""COMPUTED_VALUE"""),"")</f>
        <v/>
      </c>
      <c r="D3076" t="str">
        <f>IFERROR(__xludf.DUMMYFUNCTION("""COMPUTED_VALUE"""),"")</f>
        <v/>
      </c>
      <c r="E3076" t="str">
        <f>IFERROR(__xludf.DUMMYFUNCTION("""COMPUTED_VALUE"""),"")</f>
        <v/>
      </c>
      <c r="F3076" t="str">
        <f>IFERROR(__xludf.DUMMYFUNCTION("""COMPUTED_VALUE"""),"")</f>
        <v/>
      </c>
      <c r="G3076" t="str">
        <f>IFERROR(__xludf.DUMMYFUNCTION("""COMPUTED_VALUE"""),"")</f>
        <v/>
      </c>
      <c r="H3076" s="2" t="str">
        <f>IFERROR(__xludf.DUMMYFUNCTION("""COMPUTED_VALUE"""),"")</f>
        <v/>
      </c>
      <c r="I3076" s="2" t="str">
        <f>IFERROR(__xludf.DUMMYFUNCTION("""COMPUTED_VALUE"""),"")</f>
        <v/>
      </c>
      <c r="J3076" s="2">
        <f>IFERROR(__xludf.DUMMYFUNCTION("""COMPUTED_VALUE"""),0.0)</f>
        <v>0</v>
      </c>
      <c r="K3076" s="5" t="str">
        <f>IFERROR(__xludf.DUMMYFUNCTION("""COMPUTED_VALUE"""),"")</f>
        <v/>
      </c>
      <c r="L3076" t="str">
        <f>IFERROR(__xludf.DUMMYFUNCTION("""COMPUTED_VALUE"""),"")</f>
        <v/>
      </c>
      <c r="M3076" t="str">
        <f>IFERROR(__xludf.DUMMYFUNCTION("""COMPUTED_VALUE"""),"")</f>
        <v/>
      </c>
      <c r="N3076" t="str">
        <f>IFERROR(__xludf.DUMMYFUNCTION("""COMPUTED_VALUE"""),"")</f>
        <v/>
      </c>
      <c r="O3076" t="str">
        <f>IFERROR(__xludf.DUMMYFUNCTION("""COMPUTED_VALUE"""),"")</f>
        <v/>
      </c>
      <c r="P3076" t="str">
        <f>IFERROR(__xludf.DUMMYFUNCTION("""COMPUTED_VALUE"""),"ID ")</f>
        <v>ID </v>
      </c>
    </row>
    <row r="3077">
      <c r="A3077" s="6" t="str">
        <f>IFERROR(__xludf.DUMMYFUNCTION("""COMPUTED_VALUE"""),"")</f>
        <v/>
      </c>
      <c r="C3077" t="str">
        <f>IFERROR(__xludf.DUMMYFUNCTION("""COMPUTED_VALUE"""),"")</f>
        <v/>
      </c>
      <c r="D3077" t="str">
        <f>IFERROR(__xludf.DUMMYFUNCTION("""COMPUTED_VALUE"""),"")</f>
        <v/>
      </c>
      <c r="E3077" t="str">
        <f>IFERROR(__xludf.DUMMYFUNCTION("""COMPUTED_VALUE"""),"")</f>
        <v/>
      </c>
      <c r="F3077" t="str">
        <f>IFERROR(__xludf.DUMMYFUNCTION("""COMPUTED_VALUE"""),"")</f>
        <v/>
      </c>
      <c r="G3077" t="str">
        <f>IFERROR(__xludf.DUMMYFUNCTION("""COMPUTED_VALUE"""),"")</f>
        <v/>
      </c>
      <c r="H3077" s="2" t="str">
        <f>IFERROR(__xludf.DUMMYFUNCTION("""COMPUTED_VALUE"""),"")</f>
        <v/>
      </c>
      <c r="I3077" s="2" t="str">
        <f>IFERROR(__xludf.DUMMYFUNCTION("""COMPUTED_VALUE"""),"")</f>
        <v/>
      </c>
      <c r="J3077" s="2">
        <f>IFERROR(__xludf.DUMMYFUNCTION("""COMPUTED_VALUE"""),0.0)</f>
        <v>0</v>
      </c>
      <c r="K3077" s="5" t="str">
        <f>IFERROR(__xludf.DUMMYFUNCTION("""COMPUTED_VALUE"""),"")</f>
        <v/>
      </c>
      <c r="L3077" t="str">
        <f>IFERROR(__xludf.DUMMYFUNCTION("""COMPUTED_VALUE"""),"")</f>
        <v/>
      </c>
      <c r="M3077" t="str">
        <f>IFERROR(__xludf.DUMMYFUNCTION("""COMPUTED_VALUE"""),"")</f>
        <v/>
      </c>
      <c r="N3077" t="str">
        <f>IFERROR(__xludf.DUMMYFUNCTION("""COMPUTED_VALUE"""),"")</f>
        <v/>
      </c>
      <c r="O3077" t="str">
        <f>IFERROR(__xludf.DUMMYFUNCTION("""COMPUTED_VALUE"""),"")</f>
        <v/>
      </c>
      <c r="P3077" t="str">
        <f>IFERROR(__xludf.DUMMYFUNCTION("""COMPUTED_VALUE"""),"ID ")</f>
        <v>ID </v>
      </c>
    </row>
    <row r="3078">
      <c r="A3078" s="6" t="str">
        <f>IFERROR(__xludf.DUMMYFUNCTION("""COMPUTED_VALUE"""),"")</f>
        <v/>
      </c>
      <c r="C3078" t="str">
        <f>IFERROR(__xludf.DUMMYFUNCTION("""COMPUTED_VALUE"""),"")</f>
        <v/>
      </c>
      <c r="D3078" t="str">
        <f>IFERROR(__xludf.DUMMYFUNCTION("""COMPUTED_VALUE"""),"")</f>
        <v/>
      </c>
      <c r="E3078" t="str">
        <f>IFERROR(__xludf.DUMMYFUNCTION("""COMPUTED_VALUE"""),"")</f>
        <v/>
      </c>
      <c r="F3078" t="str">
        <f>IFERROR(__xludf.DUMMYFUNCTION("""COMPUTED_VALUE"""),"")</f>
        <v/>
      </c>
      <c r="G3078" t="str">
        <f>IFERROR(__xludf.DUMMYFUNCTION("""COMPUTED_VALUE"""),"")</f>
        <v/>
      </c>
      <c r="H3078" s="2" t="str">
        <f>IFERROR(__xludf.DUMMYFUNCTION("""COMPUTED_VALUE"""),"")</f>
        <v/>
      </c>
      <c r="I3078" s="2" t="str">
        <f>IFERROR(__xludf.DUMMYFUNCTION("""COMPUTED_VALUE"""),"")</f>
        <v/>
      </c>
      <c r="J3078" s="2">
        <f>IFERROR(__xludf.DUMMYFUNCTION("""COMPUTED_VALUE"""),0.0)</f>
        <v>0</v>
      </c>
      <c r="K3078" s="5" t="str">
        <f>IFERROR(__xludf.DUMMYFUNCTION("""COMPUTED_VALUE"""),"")</f>
        <v/>
      </c>
      <c r="L3078" t="str">
        <f>IFERROR(__xludf.DUMMYFUNCTION("""COMPUTED_VALUE"""),"")</f>
        <v/>
      </c>
      <c r="M3078" t="str">
        <f>IFERROR(__xludf.DUMMYFUNCTION("""COMPUTED_VALUE"""),"")</f>
        <v/>
      </c>
      <c r="N3078" t="str">
        <f>IFERROR(__xludf.DUMMYFUNCTION("""COMPUTED_VALUE"""),"")</f>
        <v/>
      </c>
      <c r="O3078" t="str">
        <f>IFERROR(__xludf.DUMMYFUNCTION("""COMPUTED_VALUE"""),"")</f>
        <v/>
      </c>
      <c r="P3078" t="str">
        <f>IFERROR(__xludf.DUMMYFUNCTION("""COMPUTED_VALUE"""),"ID ")</f>
        <v>ID </v>
      </c>
    </row>
    <row r="3079">
      <c r="A3079" s="6" t="str">
        <f>IFERROR(__xludf.DUMMYFUNCTION("""COMPUTED_VALUE"""),"")</f>
        <v/>
      </c>
      <c r="C3079" t="str">
        <f>IFERROR(__xludf.DUMMYFUNCTION("""COMPUTED_VALUE"""),"")</f>
        <v/>
      </c>
      <c r="D3079" t="str">
        <f>IFERROR(__xludf.DUMMYFUNCTION("""COMPUTED_VALUE"""),"")</f>
        <v/>
      </c>
      <c r="E3079" t="str">
        <f>IFERROR(__xludf.DUMMYFUNCTION("""COMPUTED_VALUE"""),"")</f>
        <v/>
      </c>
      <c r="F3079" t="str">
        <f>IFERROR(__xludf.DUMMYFUNCTION("""COMPUTED_VALUE"""),"")</f>
        <v/>
      </c>
      <c r="G3079" t="str">
        <f>IFERROR(__xludf.DUMMYFUNCTION("""COMPUTED_VALUE"""),"")</f>
        <v/>
      </c>
      <c r="H3079" s="2" t="str">
        <f>IFERROR(__xludf.DUMMYFUNCTION("""COMPUTED_VALUE"""),"")</f>
        <v/>
      </c>
      <c r="I3079" s="2" t="str">
        <f>IFERROR(__xludf.DUMMYFUNCTION("""COMPUTED_VALUE"""),"")</f>
        <v/>
      </c>
      <c r="J3079" s="2">
        <f>IFERROR(__xludf.DUMMYFUNCTION("""COMPUTED_VALUE"""),0.0)</f>
        <v>0</v>
      </c>
      <c r="K3079" s="5" t="str">
        <f>IFERROR(__xludf.DUMMYFUNCTION("""COMPUTED_VALUE"""),"")</f>
        <v/>
      </c>
      <c r="L3079" t="str">
        <f>IFERROR(__xludf.DUMMYFUNCTION("""COMPUTED_VALUE"""),"")</f>
        <v/>
      </c>
      <c r="M3079" t="str">
        <f>IFERROR(__xludf.DUMMYFUNCTION("""COMPUTED_VALUE"""),"")</f>
        <v/>
      </c>
      <c r="N3079" t="str">
        <f>IFERROR(__xludf.DUMMYFUNCTION("""COMPUTED_VALUE"""),"")</f>
        <v/>
      </c>
      <c r="O3079" t="str">
        <f>IFERROR(__xludf.DUMMYFUNCTION("""COMPUTED_VALUE"""),"")</f>
        <v/>
      </c>
      <c r="P3079" t="str">
        <f>IFERROR(__xludf.DUMMYFUNCTION("""COMPUTED_VALUE"""),"ID ")</f>
        <v>ID </v>
      </c>
    </row>
    <row r="3080">
      <c r="A3080" s="6" t="str">
        <f>IFERROR(__xludf.DUMMYFUNCTION("""COMPUTED_VALUE"""),"")</f>
        <v/>
      </c>
      <c r="C3080" t="str">
        <f>IFERROR(__xludf.DUMMYFUNCTION("""COMPUTED_VALUE"""),"")</f>
        <v/>
      </c>
      <c r="D3080" t="str">
        <f>IFERROR(__xludf.DUMMYFUNCTION("""COMPUTED_VALUE"""),"")</f>
        <v/>
      </c>
      <c r="E3080" t="str">
        <f>IFERROR(__xludf.DUMMYFUNCTION("""COMPUTED_VALUE"""),"")</f>
        <v/>
      </c>
      <c r="F3080" t="str">
        <f>IFERROR(__xludf.DUMMYFUNCTION("""COMPUTED_VALUE"""),"")</f>
        <v/>
      </c>
      <c r="G3080" t="str">
        <f>IFERROR(__xludf.DUMMYFUNCTION("""COMPUTED_VALUE"""),"")</f>
        <v/>
      </c>
      <c r="H3080" s="2" t="str">
        <f>IFERROR(__xludf.DUMMYFUNCTION("""COMPUTED_VALUE"""),"")</f>
        <v/>
      </c>
      <c r="I3080" s="2" t="str">
        <f>IFERROR(__xludf.DUMMYFUNCTION("""COMPUTED_VALUE"""),"")</f>
        <v/>
      </c>
      <c r="J3080" s="2">
        <f>IFERROR(__xludf.DUMMYFUNCTION("""COMPUTED_VALUE"""),0.0)</f>
        <v>0</v>
      </c>
      <c r="K3080" s="5" t="str">
        <f>IFERROR(__xludf.DUMMYFUNCTION("""COMPUTED_VALUE"""),"")</f>
        <v/>
      </c>
      <c r="L3080" t="str">
        <f>IFERROR(__xludf.DUMMYFUNCTION("""COMPUTED_VALUE"""),"")</f>
        <v/>
      </c>
      <c r="M3080" t="str">
        <f>IFERROR(__xludf.DUMMYFUNCTION("""COMPUTED_VALUE"""),"")</f>
        <v/>
      </c>
      <c r="N3080" t="str">
        <f>IFERROR(__xludf.DUMMYFUNCTION("""COMPUTED_VALUE"""),"")</f>
        <v/>
      </c>
      <c r="O3080" t="str">
        <f>IFERROR(__xludf.DUMMYFUNCTION("""COMPUTED_VALUE"""),"")</f>
        <v/>
      </c>
      <c r="P3080" t="str">
        <f>IFERROR(__xludf.DUMMYFUNCTION("""COMPUTED_VALUE"""),"ID ")</f>
        <v>ID </v>
      </c>
    </row>
    <row r="3081">
      <c r="A3081" s="6" t="str">
        <f>IFERROR(__xludf.DUMMYFUNCTION("""COMPUTED_VALUE"""),"")</f>
        <v/>
      </c>
      <c r="C3081" t="str">
        <f>IFERROR(__xludf.DUMMYFUNCTION("""COMPUTED_VALUE"""),"")</f>
        <v/>
      </c>
      <c r="D3081" t="str">
        <f>IFERROR(__xludf.DUMMYFUNCTION("""COMPUTED_VALUE"""),"")</f>
        <v/>
      </c>
      <c r="E3081" t="str">
        <f>IFERROR(__xludf.DUMMYFUNCTION("""COMPUTED_VALUE"""),"")</f>
        <v/>
      </c>
      <c r="F3081" t="str">
        <f>IFERROR(__xludf.DUMMYFUNCTION("""COMPUTED_VALUE"""),"")</f>
        <v/>
      </c>
      <c r="G3081" t="str">
        <f>IFERROR(__xludf.DUMMYFUNCTION("""COMPUTED_VALUE"""),"")</f>
        <v/>
      </c>
      <c r="H3081" s="2" t="str">
        <f>IFERROR(__xludf.DUMMYFUNCTION("""COMPUTED_VALUE"""),"")</f>
        <v/>
      </c>
      <c r="I3081" s="2" t="str">
        <f>IFERROR(__xludf.DUMMYFUNCTION("""COMPUTED_VALUE"""),"")</f>
        <v/>
      </c>
      <c r="J3081" s="2">
        <f>IFERROR(__xludf.DUMMYFUNCTION("""COMPUTED_VALUE"""),0.0)</f>
        <v>0</v>
      </c>
      <c r="K3081" s="5" t="str">
        <f>IFERROR(__xludf.DUMMYFUNCTION("""COMPUTED_VALUE"""),"")</f>
        <v/>
      </c>
      <c r="L3081" t="str">
        <f>IFERROR(__xludf.DUMMYFUNCTION("""COMPUTED_VALUE"""),"")</f>
        <v/>
      </c>
      <c r="M3081" t="str">
        <f>IFERROR(__xludf.DUMMYFUNCTION("""COMPUTED_VALUE"""),"")</f>
        <v/>
      </c>
      <c r="N3081" t="str">
        <f>IFERROR(__xludf.DUMMYFUNCTION("""COMPUTED_VALUE"""),"")</f>
        <v/>
      </c>
      <c r="O3081" t="str">
        <f>IFERROR(__xludf.DUMMYFUNCTION("""COMPUTED_VALUE"""),"")</f>
        <v/>
      </c>
      <c r="P3081" t="str">
        <f>IFERROR(__xludf.DUMMYFUNCTION("""COMPUTED_VALUE"""),"ID ")</f>
        <v>ID </v>
      </c>
    </row>
    <row r="3082">
      <c r="A3082" s="6" t="str">
        <f>IFERROR(__xludf.DUMMYFUNCTION("""COMPUTED_VALUE"""),"")</f>
        <v/>
      </c>
      <c r="C3082" t="str">
        <f>IFERROR(__xludf.DUMMYFUNCTION("""COMPUTED_VALUE"""),"")</f>
        <v/>
      </c>
      <c r="D3082" t="str">
        <f>IFERROR(__xludf.DUMMYFUNCTION("""COMPUTED_VALUE"""),"")</f>
        <v/>
      </c>
      <c r="E3082" t="str">
        <f>IFERROR(__xludf.DUMMYFUNCTION("""COMPUTED_VALUE"""),"")</f>
        <v/>
      </c>
      <c r="F3082" t="str">
        <f>IFERROR(__xludf.DUMMYFUNCTION("""COMPUTED_VALUE"""),"")</f>
        <v/>
      </c>
      <c r="G3082" t="str">
        <f>IFERROR(__xludf.DUMMYFUNCTION("""COMPUTED_VALUE"""),"")</f>
        <v/>
      </c>
      <c r="H3082" s="2" t="str">
        <f>IFERROR(__xludf.DUMMYFUNCTION("""COMPUTED_VALUE"""),"")</f>
        <v/>
      </c>
      <c r="I3082" s="2" t="str">
        <f>IFERROR(__xludf.DUMMYFUNCTION("""COMPUTED_VALUE"""),"")</f>
        <v/>
      </c>
      <c r="J3082" s="2">
        <f>IFERROR(__xludf.DUMMYFUNCTION("""COMPUTED_VALUE"""),0.0)</f>
        <v>0</v>
      </c>
      <c r="K3082" s="5" t="str">
        <f>IFERROR(__xludf.DUMMYFUNCTION("""COMPUTED_VALUE"""),"")</f>
        <v/>
      </c>
      <c r="L3082" t="str">
        <f>IFERROR(__xludf.DUMMYFUNCTION("""COMPUTED_VALUE"""),"")</f>
        <v/>
      </c>
      <c r="M3082" t="str">
        <f>IFERROR(__xludf.DUMMYFUNCTION("""COMPUTED_VALUE"""),"")</f>
        <v/>
      </c>
      <c r="N3082" t="str">
        <f>IFERROR(__xludf.DUMMYFUNCTION("""COMPUTED_VALUE"""),"")</f>
        <v/>
      </c>
      <c r="O3082" t="str">
        <f>IFERROR(__xludf.DUMMYFUNCTION("""COMPUTED_VALUE"""),"")</f>
        <v/>
      </c>
      <c r="P3082" t="str">
        <f>IFERROR(__xludf.DUMMYFUNCTION("""COMPUTED_VALUE"""),"ID ")</f>
        <v>ID </v>
      </c>
    </row>
    <row r="3083">
      <c r="A3083" s="6" t="str">
        <f>IFERROR(__xludf.DUMMYFUNCTION("""COMPUTED_VALUE"""),"")</f>
        <v/>
      </c>
      <c r="C3083" t="str">
        <f>IFERROR(__xludf.DUMMYFUNCTION("""COMPUTED_VALUE"""),"")</f>
        <v/>
      </c>
      <c r="D3083" t="str">
        <f>IFERROR(__xludf.DUMMYFUNCTION("""COMPUTED_VALUE"""),"")</f>
        <v/>
      </c>
      <c r="E3083" t="str">
        <f>IFERROR(__xludf.DUMMYFUNCTION("""COMPUTED_VALUE"""),"")</f>
        <v/>
      </c>
      <c r="F3083" t="str">
        <f>IFERROR(__xludf.DUMMYFUNCTION("""COMPUTED_VALUE"""),"")</f>
        <v/>
      </c>
      <c r="G3083" t="str">
        <f>IFERROR(__xludf.DUMMYFUNCTION("""COMPUTED_VALUE"""),"")</f>
        <v/>
      </c>
      <c r="H3083" s="2" t="str">
        <f>IFERROR(__xludf.DUMMYFUNCTION("""COMPUTED_VALUE"""),"")</f>
        <v/>
      </c>
      <c r="I3083" s="2" t="str">
        <f>IFERROR(__xludf.DUMMYFUNCTION("""COMPUTED_VALUE"""),"")</f>
        <v/>
      </c>
      <c r="J3083" s="2">
        <f>IFERROR(__xludf.DUMMYFUNCTION("""COMPUTED_VALUE"""),0.0)</f>
        <v>0</v>
      </c>
      <c r="K3083" s="5" t="str">
        <f>IFERROR(__xludf.DUMMYFUNCTION("""COMPUTED_VALUE"""),"")</f>
        <v/>
      </c>
      <c r="L3083" t="str">
        <f>IFERROR(__xludf.DUMMYFUNCTION("""COMPUTED_VALUE"""),"")</f>
        <v/>
      </c>
      <c r="M3083" t="str">
        <f>IFERROR(__xludf.DUMMYFUNCTION("""COMPUTED_VALUE"""),"")</f>
        <v/>
      </c>
      <c r="N3083" t="str">
        <f>IFERROR(__xludf.DUMMYFUNCTION("""COMPUTED_VALUE"""),"")</f>
        <v/>
      </c>
      <c r="O3083" t="str">
        <f>IFERROR(__xludf.DUMMYFUNCTION("""COMPUTED_VALUE"""),"")</f>
        <v/>
      </c>
      <c r="P3083" t="str">
        <f>IFERROR(__xludf.DUMMYFUNCTION("""COMPUTED_VALUE"""),"ID ")</f>
        <v>ID </v>
      </c>
    </row>
    <row r="3084">
      <c r="A3084" s="6" t="str">
        <f>IFERROR(__xludf.DUMMYFUNCTION("""COMPUTED_VALUE"""),"")</f>
        <v/>
      </c>
      <c r="C3084" t="str">
        <f>IFERROR(__xludf.DUMMYFUNCTION("""COMPUTED_VALUE"""),"")</f>
        <v/>
      </c>
      <c r="D3084" t="str">
        <f>IFERROR(__xludf.DUMMYFUNCTION("""COMPUTED_VALUE"""),"")</f>
        <v/>
      </c>
      <c r="E3084" t="str">
        <f>IFERROR(__xludf.DUMMYFUNCTION("""COMPUTED_VALUE"""),"")</f>
        <v/>
      </c>
      <c r="F3084" t="str">
        <f>IFERROR(__xludf.DUMMYFUNCTION("""COMPUTED_VALUE"""),"")</f>
        <v/>
      </c>
      <c r="G3084" t="str">
        <f>IFERROR(__xludf.DUMMYFUNCTION("""COMPUTED_VALUE"""),"")</f>
        <v/>
      </c>
      <c r="H3084" s="2" t="str">
        <f>IFERROR(__xludf.DUMMYFUNCTION("""COMPUTED_VALUE"""),"")</f>
        <v/>
      </c>
      <c r="I3084" s="2" t="str">
        <f>IFERROR(__xludf.DUMMYFUNCTION("""COMPUTED_VALUE"""),"")</f>
        <v/>
      </c>
      <c r="J3084" s="2">
        <f>IFERROR(__xludf.DUMMYFUNCTION("""COMPUTED_VALUE"""),0.0)</f>
        <v>0</v>
      </c>
      <c r="K3084" s="5" t="str">
        <f>IFERROR(__xludf.DUMMYFUNCTION("""COMPUTED_VALUE"""),"")</f>
        <v/>
      </c>
      <c r="L3084" t="str">
        <f>IFERROR(__xludf.DUMMYFUNCTION("""COMPUTED_VALUE"""),"")</f>
        <v/>
      </c>
      <c r="M3084" t="str">
        <f>IFERROR(__xludf.DUMMYFUNCTION("""COMPUTED_VALUE"""),"")</f>
        <v/>
      </c>
      <c r="N3084" t="str">
        <f>IFERROR(__xludf.DUMMYFUNCTION("""COMPUTED_VALUE"""),"")</f>
        <v/>
      </c>
      <c r="O3084" t="str">
        <f>IFERROR(__xludf.DUMMYFUNCTION("""COMPUTED_VALUE"""),"")</f>
        <v/>
      </c>
      <c r="P3084" t="str">
        <f>IFERROR(__xludf.DUMMYFUNCTION("""COMPUTED_VALUE"""),"ID ")</f>
        <v>ID </v>
      </c>
    </row>
    <row r="3085">
      <c r="A3085" s="6" t="str">
        <f>IFERROR(__xludf.DUMMYFUNCTION("""COMPUTED_VALUE"""),"")</f>
        <v/>
      </c>
      <c r="C3085" t="str">
        <f>IFERROR(__xludf.DUMMYFUNCTION("""COMPUTED_VALUE"""),"")</f>
        <v/>
      </c>
      <c r="D3085" t="str">
        <f>IFERROR(__xludf.DUMMYFUNCTION("""COMPUTED_VALUE"""),"")</f>
        <v/>
      </c>
      <c r="E3085" t="str">
        <f>IFERROR(__xludf.DUMMYFUNCTION("""COMPUTED_VALUE"""),"")</f>
        <v/>
      </c>
      <c r="F3085" t="str">
        <f>IFERROR(__xludf.DUMMYFUNCTION("""COMPUTED_VALUE"""),"")</f>
        <v/>
      </c>
      <c r="G3085" t="str">
        <f>IFERROR(__xludf.DUMMYFUNCTION("""COMPUTED_VALUE"""),"")</f>
        <v/>
      </c>
      <c r="H3085" s="2" t="str">
        <f>IFERROR(__xludf.DUMMYFUNCTION("""COMPUTED_VALUE"""),"")</f>
        <v/>
      </c>
      <c r="I3085" s="2" t="str">
        <f>IFERROR(__xludf.DUMMYFUNCTION("""COMPUTED_VALUE"""),"")</f>
        <v/>
      </c>
      <c r="J3085" s="2">
        <f>IFERROR(__xludf.DUMMYFUNCTION("""COMPUTED_VALUE"""),0.0)</f>
        <v>0</v>
      </c>
      <c r="K3085" s="5" t="str">
        <f>IFERROR(__xludf.DUMMYFUNCTION("""COMPUTED_VALUE"""),"")</f>
        <v/>
      </c>
      <c r="L3085" t="str">
        <f>IFERROR(__xludf.DUMMYFUNCTION("""COMPUTED_VALUE"""),"")</f>
        <v/>
      </c>
      <c r="M3085" t="str">
        <f>IFERROR(__xludf.DUMMYFUNCTION("""COMPUTED_VALUE"""),"")</f>
        <v/>
      </c>
      <c r="N3085" t="str">
        <f>IFERROR(__xludf.DUMMYFUNCTION("""COMPUTED_VALUE"""),"")</f>
        <v/>
      </c>
      <c r="O3085" t="str">
        <f>IFERROR(__xludf.DUMMYFUNCTION("""COMPUTED_VALUE"""),"")</f>
        <v/>
      </c>
      <c r="P3085" t="str">
        <f>IFERROR(__xludf.DUMMYFUNCTION("""COMPUTED_VALUE"""),"ID ")</f>
        <v>ID </v>
      </c>
    </row>
    <row r="3086">
      <c r="A3086" s="6" t="str">
        <f>IFERROR(__xludf.DUMMYFUNCTION("""COMPUTED_VALUE"""),"")</f>
        <v/>
      </c>
      <c r="C3086" t="str">
        <f>IFERROR(__xludf.DUMMYFUNCTION("""COMPUTED_VALUE"""),"")</f>
        <v/>
      </c>
      <c r="D3086" t="str">
        <f>IFERROR(__xludf.DUMMYFUNCTION("""COMPUTED_VALUE"""),"")</f>
        <v/>
      </c>
      <c r="E3086" t="str">
        <f>IFERROR(__xludf.DUMMYFUNCTION("""COMPUTED_VALUE"""),"")</f>
        <v/>
      </c>
      <c r="F3086" t="str">
        <f>IFERROR(__xludf.DUMMYFUNCTION("""COMPUTED_VALUE"""),"")</f>
        <v/>
      </c>
      <c r="G3086" t="str">
        <f>IFERROR(__xludf.DUMMYFUNCTION("""COMPUTED_VALUE"""),"")</f>
        <v/>
      </c>
      <c r="H3086" s="2" t="str">
        <f>IFERROR(__xludf.DUMMYFUNCTION("""COMPUTED_VALUE"""),"")</f>
        <v/>
      </c>
      <c r="I3086" s="2" t="str">
        <f>IFERROR(__xludf.DUMMYFUNCTION("""COMPUTED_VALUE"""),"")</f>
        <v/>
      </c>
      <c r="J3086" s="2">
        <f>IFERROR(__xludf.DUMMYFUNCTION("""COMPUTED_VALUE"""),0.0)</f>
        <v>0</v>
      </c>
      <c r="K3086" s="5" t="str">
        <f>IFERROR(__xludf.DUMMYFUNCTION("""COMPUTED_VALUE"""),"")</f>
        <v/>
      </c>
      <c r="L3086" t="str">
        <f>IFERROR(__xludf.DUMMYFUNCTION("""COMPUTED_VALUE"""),"")</f>
        <v/>
      </c>
      <c r="M3086" t="str">
        <f>IFERROR(__xludf.DUMMYFUNCTION("""COMPUTED_VALUE"""),"")</f>
        <v/>
      </c>
      <c r="N3086" t="str">
        <f>IFERROR(__xludf.DUMMYFUNCTION("""COMPUTED_VALUE"""),"")</f>
        <v/>
      </c>
      <c r="O3086" t="str">
        <f>IFERROR(__xludf.DUMMYFUNCTION("""COMPUTED_VALUE"""),"")</f>
        <v/>
      </c>
      <c r="P3086" t="str">
        <f>IFERROR(__xludf.DUMMYFUNCTION("""COMPUTED_VALUE"""),"ID ")</f>
        <v>ID </v>
      </c>
    </row>
    <row r="3087">
      <c r="A3087" s="6" t="str">
        <f>IFERROR(__xludf.DUMMYFUNCTION("""COMPUTED_VALUE"""),"")</f>
        <v/>
      </c>
      <c r="C3087" t="str">
        <f>IFERROR(__xludf.DUMMYFUNCTION("""COMPUTED_VALUE"""),"")</f>
        <v/>
      </c>
      <c r="D3087" t="str">
        <f>IFERROR(__xludf.DUMMYFUNCTION("""COMPUTED_VALUE"""),"")</f>
        <v/>
      </c>
      <c r="E3087" t="str">
        <f>IFERROR(__xludf.DUMMYFUNCTION("""COMPUTED_VALUE"""),"")</f>
        <v/>
      </c>
      <c r="F3087" t="str">
        <f>IFERROR(__xludf.DUMMYFUNCTION("""COMPUTED_VALUE"""),"")</f>
        <v/>
      </c>
      <c r="G3087" t="str">
        <f>IFERROR(__xludf.DUMMYFUNCTION("""COMPUTED_VALUE"""),"")</f>
        <v/>
      </c>
      <c r="H3087" s="2" t="str">
        <f>IFERROR(__xludf.DUMMYFUNCTION("""COMPUTED_VALUE"""),"")</f>
        <v/>
      </c>
      <c r="I3087" s="2" t="str">
        <f>IFERROR(__xludf.DUMMYFUNCTION("""COMPUTED_VALUE"""),"")</f>
        <v/>
      </c>
      <c r="J3087" s="2">
        <f>IFERROR(__xludf.DUMMYFUNCTION("""COMPUTED_VALUE"""),0.0)</f>
        <v>0</v>
      </c>
      <c r="K3087" s="5" t="str">
        <f>IFERROR(__xludf.DUMMYFUNCTION("""COMPUTED_VALUE"""),"")</f>
        <v/>
      </c>
      <c r="L3087" t="str">
        <f>IFERROR(__xludf.DUMMYFUNCTION("""COMPUTED_VALUE"""),"")</f>
        <v/>
      </c>
      <c r="M3087" t="str">
        <f>IFERROR(__xludf.DUMMYFUNCTION("""COMPUTED_VALUE"""),"")</f>
        <v/>
      </c>
      <c r="N3087" t="str">
        <f>IFERROR(__xludf.DUMMYFUNCTION("""COMPUTED_VALUE"""),"")</f>
        <v/>
      </c>
      <c r="O3087" t="str">
        <f>IFERROR(__xludf.DUMMYFUNCTION("""COMPUTED_VALUE"""),"")</f>
        <v/>
      </c>
      <c r="P3087" t="str">
        <f>IFERROR(__xludf.DUMMYFUNCTION("""COMPUTED_VALUE"""),"ID ")</f>
        <v>ID </v>
      </c>
    </row>
    <row r="3088">
      <c r="A3088" s="6" t="str">
        <f>IFERROR(__xludf.DUMMYFUNCTION("""COMPUTED_VALUE"""),"")</f>
        <v/>
      </c>
      <c r="C3088" t="str">
        <f>IFERROR(__xludf.DUMMYFUNCTION("""COMPUTED_VALUE"""),"")</f>
        <v/>
      </c>
      <c r="D3088" t="str">
        <f>IFERROR(__xludf.DUMMYFUNCTION("""COMPUTED_VALUE"""),"")</f>
        <v/>
      </c>
      <c r="E3088" t="str">
        <f>IFERROR(__xludf.DUMMYFUNCTION("""COMPUTED_VALUE"""),"")</f>
        <v/>
      </c>
      <c r="F3088" t="str">
        <f>IFERROR(__xludf.DUMMYFUNCTION("""COMPUTED_VALUE"""),"")</f>
        <v/>
      </c>
      <c r="G3088" t="str">
        <f>IFERROR(__xludf.DUMMYFUNCTION("""COMPUTED_VALUE"""),"")</f>
        <v/>
      </c>
      <c r="H3088" s="2" t="str">
        <f>IFERROR(__xludf.DUMMYFUNCTION("""COMPUTED_VALUE"""),"")</f>
        <v/>
      </c>
      <c r="I3088" s="2" t="str">
        <f>IFERROR(__xludf.DUMMYFUNCTION("""COMPUTED_VALUE"""),"")</f>
        <v/>
      </c>
      <c r="J3088" s="2">
        <f>IFERROR(__xludf.DUMMYFUNCTION("""COMPUTED_VALUE"""),0.0)</f>
        <v>0</v>
      </c>
      <c r="K3088" s="5" t="str">
        <f>IFERROR(__xludf.DUMMYFUNCTION("""COMPUTED_VALUE"""),"")</f>
        <v/>
      </c>
      <c r="L3088" t="str">
        <f>IFERROR(__xludf.DUMMYFUNCTION("""COMPUTED_VALUE"""),"")</f>
        <v/>
      </c>
      <c r="M3088" t="str">
        <f>IFERROR(__xludf.DUMMYFUNCTION("""COMPUTED_VALUE"""),"")</f>
        <v/>
      </c>
      <c r="N3088" t="str">
        <f>IFERROR(__xludf.DUMMYFUNCTION("""COMPUTED_VALUE"""),"")</f>
        <v/>
      </c>
      <c r="O3088" t="str">
        <f>IFERROR(__xludf.DUMMYFUNCTION("""COMPUTED_VALUE"""),"")</f>
        <v/>
      </c>
      <c r="P3088" t="str">
        <f>IFERROR(__xludf.DUMMYFUNCTION("""COMPUTED_VALUE"""),"ID ")</f>
        <v>ID </v>
      </c>
    </row>
    <row r="3089">
      <c r="A3089" s="6" t="str">
        <f>IFERROR(__xludf.DUMMYFUNCTION("""COMPUTED_VALUE"""),"")</f>
        <v/>
      </c>
      <c r="C3089" t="str">
        <f>IFERROR(__xludf.DUMMYFUNCTION("""COMPUTED_VALUE"""),"")</f>
        <v/>
      </c>
      <c r="D3089" t="str">
        <f>IFERROR(__xludf.DUMMYFUNCTION("""COMPUTED_VALUE"""),"")</f>
        <v/>
      </c>
      <c r="E3089" t="str">
        <f>IFERROR(__xludf.DUMMYFUNCTION("""COMPUTED_VALUE"""),"")</f>
        <v/>
      </c>
      <c r="F3089" t="str">
        <f>IFERROR(__xludf.DUMMYFUNCTION("""COMPUTED_VALUE"""),"")</f>
        <v/>
      </c>
      <c r="G3089" t="str">
        <f>IFERROR(__xludf.DUMMYFUNCTION("""COMPUTED_VALUE"""),"")</f>
        <v/>
      </c>
      <c r="H3089" s="2" t="str">
        <f>IFERROR(__xludf.DUMMYFUNCTION("""COMPUTED_VALUE"""),"")</f>
        <v/>
      </c>
      <c r="I3089" s="2" t="str">
        <f>IFERROR(__xludf.DUMMYFUNCTION("""COMPUTED_VALUE"""),"")</f>
        <v/>
      </c>
      <c r="J3089" s="2">
        <f>IFERROR(__xludf.DUMMYFUNCTION("""COMPUTED_VALUE"""),0.0)</f>
        <v>0</v>
      </c>
      <c r="K3089" s="5" t="str">
        <f>IFERROR(__xludf.DUMMYFUNCTION("""COMPUTED_VALUE"""),"")</f>
        <v/>
      </c>
      <c r="L3089" t="str">
        <f>IFERROR(__xludf.DUMMYFUNCTION("""COMPUTED_VALUE"""),"")</f>
        <v/>
      </c>
      <c r="M3089" t="str">
        <f>IFERROR(__xludf.DUMMYFUNCTION("""COMPUTED_VALUE"""),"")</f>
        <v/>
      </c>
      <c r="N3089" t="str">
        <f>IFERROR(__xludf.DUMMYFUNCTION("""COMPUTED_VALUE"""),"")</f>
        <v/>
      </c>
      <c r="O3089" t="str">
        <f>IFERROR(__xludf.DUMMYFUNCTION("""COMPUTED_VALUE"""),"")</f>
        <v/>
      </c>
      <c r="P3089" t="str">
        <f>IFERROR(__xludf.DUMMYFUNCTION("""COMPUTED_VALUE"""),"ID ")</f>
        <v>ID </v>
      </c>
    </row>
    <row r="3090">
      <c r="A3090" s="6" t="str">
        <f>IFERROR(__xludf.DUMMYFUNCTION("""COMPUTED_VALUE"""),"")</f>
        <v/>
      </c>
      <c r="C3090" t="str">
        <f>IFERROR(__xludf.DUMMYFUNCTION("""COMPUTED_VALUE"""),"")</f>
        <v/>
      </c>
      <c r="D3090" t="str">
        <f>IFERROR(__xludf.DUMMYFUNCTION("""COMPUTED_VALUE"""),"")</f>
        <v/>
      </c>
      <c r="E3090" t="str">
        <f>IFERROR(__xludf.DUMMYFUNCTION("""COMPUTED_VALUE"""),"")</f>
        <v/>
      </c>
      <c r="F3090" t="str">
        <f>IFERROR(__xludf.DUMMYFUNCTION("""COMPUTED_VALUE"""),"")</f>
        <v/>
      </c>
      <c r="G3090" t="str">
        <f>IFERROR(__xludf.DUMMYFUNCTION("""COMPUTED_VALUE"""),"")</f>
        <v/>
      </c>
      <c r="H3090" s="2" t="str">
        <f>IFERROR(__xludf.DUMMYFUNCTION("""COMPUTED_VALUE"""),"")</f>
        <v/>
      </c>
      <c r="I3090" s="2" t="str">
        <f>IFERROR(__xludf.DUMMYFUNCTION("""COMPUTED_VALUE"""),"")</f>
        <v/>
      </c>
      <c r="J3090" s="2">
        <f>IFERROR(__xludf.DUMMYFUNCTION("""COMPUTED_VALUE"""),0.0)</f>
        <v>0</v>
      </c>
      <c r="K3090" s="5" t="str">
        <f>IFERROR(__xludf.DUMMYFUNCTION("""COMPUTED_VALUE"""),"")</f>
        <v/>
      </c>
      <c r="L3090" t="str">
        <f>IFERROR(__xludf.DUMMYFUNCTION("""COMPUTED_VALUE"""),"")</f>
        <v/>
      </c>
      <c r="M3090" t="str">
        <f>IFERROR(__xludf.DUMMYFUNCTION("""COMPUTED_VALUE"""),"")</f>
        <v/>
      </c>
      <c r="N3090" t="str">
        <f>IFERROR(__xludf.DUMMYFUNCTION("""COMPUTED_VALUE"""),"")</f>
        <v/>
      </c>
      <c r="O3090" t="str">
        <f>IFERROR(__xludf.DUMMYFUNCTION("""COMPUTED_VALUE"""),"")</f>
        <v/>
      </c>
      <c r="P3090" t="str">
        <f>IFERROR(__xludf.DUMMYFUNCTION("""COMPUTED_VALUE"""),"ID ")</f>
        <v>ID </v>
      </c>
    </row>
    <row r="3091">
      <c r="A3091" s="6" t="str">
        <f>IFERROR(__xludf.DUMMYFUNCTION("""COMPUTED_VALUE"""),"")</f>
        <v/>
      </c>
      <c r="C3091" t="str">
        <f>IFERROR(__xludf.DUMMYFUNCTION("""COMPUTED_VALUE"""),"")</f>
        <v/>
      </c>
      <c r="D3091" t="str">
        <f>IFERROR(__xludf.DUMMYFUNCTION("""COMPUTED_VALUE"""),"")</f>
        <v/>
      </c>
      <c r="E3091" t="str">
        <f>IFERROR(__xludf.DUMMYFUNCTION("""COMPUTED_VALUE"""),"")</f>
        <v/>
      </c>
      <c r="F3091" t="str">
        <f>IFERROR(__xludf.DUMMYFUNCTION("""COMPUTED_VALUE"""),"")</f>
        <v/>
      </c>
      <c r="G3091" t="str">
        <f>IFERROR(__xludf.DUMMYFUNCTION("""COMPUTED_VALUE"""),"")</f>
        <v/>
      </c>
      <c r="H3091" s="2" t="str">
        <f>IFERROR(__xludf.DUMMYFUNCTION("""COMPUTED_VALUE"""),"")</f>
        <v/>
      </c>
      <c r="I3091" s="2" t="str">
        <f>IFERROR(__xludf.DUMMYFUNCTION("""COMPUTED_VALUE"""),"")</f>
        <v/>
      </c>
      <c r="J3091" s="2">
        <f>IFERROR(__xludf.DUMMYFUNCTION("""COMPUTED_VALUE"""),0.0)</f>
        <v>0</v>
      </c>
      <c r="K3091" s="5" t="str">
        <f>IFERROR(__xludf.DUMMYFUNCTION("""COMPUTED_VALUE"""),"")</f>
        <v/>
      </c>
      <c r="L3091" t="str">
        <f>IFERROR(__xludf.DUMMYFUNCTION("""COMPUTED_VALUE"""),"")</f>
        <v/>
      </c>
      <c r="M3091" t="str">
        <f>IFERROR(__xludf.DUMMYFUNCTION("""COMPUTED_VALUE"""),"")</f>
        <v/>
      </c>
      <c r="N3091" t="str">
        <f>IFERROR(__xludf.DUMMYFUNCTION("""COMPUTED_VALUE"""),"")</f>
        <v/>
      </c>
      <c r="O3091" t="str">
        <f>IFERROR(__xludf.DUMMYFUNCTION("""COMPUTED_VALUE"""),"")</f>
        <v/>
      </c>
      <c r="P3091" t="str">
        <f>IFERROR(__xludf.DUMMYFUNCTION("""COMPUTED_VALUE"""),"ID ")</f>
        <v>ID </v>
      </c>
    </row>
    <row r="3092">
      <c r="A3092" s="6" t="str">
        <f>IFERROR(__xludf.DUMMYFUNCTION("""COMPUTED_VALUE"""),"")</f>
        <v/>
      </c>
      <c r="C3092" t="str">
        <f>IFERROR(__xludf.DUMMYFUNCTION("""COMPUTED_VALUE"""),"")</f>
        <v/>
      </c>
      <c r="D3092" t="str">
        <f>IFERROR(__xludf.DUMMYFUNCTION("""COMPUTED_VALUE"""),"")</f>
        <v/>
      </c>
      <c r="E3092" t="str">
        <f>IFERROR(__xludf.DUMMYFUNCTION("""COMPUTED_VALUE"""),"")</f>
        <v/>
      </c>
      <c r="F3092" t="str">
        <f>IFERROR(__xludf.DUMMYFUNCTION("""COMPUTED_VALUE"""),"")</f>
        <v/>
      </c>
      <c r="G3092" t="str">
        <f>IFERROR(__xludf.DUMMYFUNCTION("""COMPUTED_VALUE"""),"")</f>
        <v/>
      </c>
      <c r="H3092" s="2" t="str">
        <f>IFERROR(__xludf.DUMMYFUNCTION("""COMPUTED_VALUE"""),"")</f>
        <v/>
      </c>
      <c r="I3092" s="2" t="str">
        <f>IFERROR(__xludf.DUMMYFUNCTION("""COMPUTED_VALUE"""),"")</f>
        <v/>
      </c>
      <c r="J3092" s="2">
        <f>IFERROR(__xludf.DUMMYFUNCTION("""COMPUTED_VALUE"""),0.0)</f>
        <v>0</v>
      </c>
      <c r="K3092" s="5" t="str">
        <f>IFERROR(__xludf.DUMMYFUNCTION("""COMPUTED_VALUE"""),"")</f>
        <v/>
      </c>
      <c r="L3092" t="str">
        <f>IFERROR(__xludf.DUMMYFUNCTION("""COMPUTED_VALUE"""),"")</f>
        <v/>
      </c>
      <c r="M3092" t="str">
        <f>IFERROR(__xludf.DUMMYFUNCTION("""COMPUTED_VALUE"""),"")</f>
        <v/>
      </c>
      <c r="N3092" t="str">
        <f>IFERROR(__xludf.DUMMYFUNCTION("""COMPUTED_VALUE"""),"")</f>
        <v/>
      </c>
      <c r="O3092" t="str">
        <f>IFERROR(__xludf.DUMMYFUNCTION("""COMPUTED_VALUE"""),"")</f>
        <v/>
      </c>
      <c r="P3092" t="str">
        <f>IFERROR(__xludf.DUMMYFUNCTION("""COMPUTED_VALUE"""),"ID ")</f>
        <v>ID </v>
      </c>
    </row>
    <row r="3093">
      <c r="A3093" s="6" t="str">
        <f>IFERROR(__xludf.DUMMYFUNCTION("""COMPUTED_VALUE"""),"")</f>
        <v/>
      </c>
      <c r="C3093" t="str">
        <f>IFERROR(__xludf.DUMMYFUNCTION("""COMPUTED_VALUE"""),"")</f>
        <v/>
      </c>
      <c r="D3093" t="str">
        <f>IFERROR(__xludf.DUMMYFUNCTION("""COMPUTED_VALUE"""),"")</f>
        <v/>
      </c>
      <c r="E3093" t="str">
        <f>IFERROR(__xludf.DUMMYFUNCTION("""COMPUTED_VALUE"""),"")</f>
        <v/>
      </c>
      <c r="F3093" t="str">
        <f>IFERROR(__xludf.DUMMYFUNCTION("""COMPUTED_VALUE"""),"")</f>
        <v/>
      </c>
      <c r="G3093" t="str">
        <f>IFERROR(__xludf.DUMMYFUNCTION("""COMPUTED_VALUE"""),"")</f>
        <v/>
      </c>
      <c r="H3093" s="2" t="str">
        <f>IFERROR(__xludf.DUMMYFUNCTION("""COMPUTED_VALUE"""),"")</f>
        <v/>
      </c>
      <c r="I3093" s="2" t="str">
        <f>IFERROR(__xludf.DUMMYFUNCTION("""COMPUTED_VALUE"""),"")</f>
        <v/>
      </c>
      <c r="J3093" s="2">
        <f>IFERROR(__xludf.DUMMYFUNCTION("""COMPUTED_VALUE"""),0.0)</f>
        <v>0</v>
      </c>
      <c r="K3093" s="5" t="str">
        <f>IFERROR(__xludf.DUMMYFUNCTION("""COMPUTED_VALUE"""),"")</f>
        <v/>
      </c>
      <c r="L3093" t="str">
        <f>IFERROR(__xludf.DUMMYFUNCTION("""COMPUTED_VALUE"""),"")</f>
        <v/>
      </c>
      <c r="M3093" t="str">
        <f>IFERROR(__xludf.DUMMYFUNCTION("""COMPUTED_VALUE"""),"")</f>
        <v/>
      </c>
      <c r="N3093" t="str">
        <f>IFERROR(__xludf.DUMMYFUNCTION("""COMPUTED_VALUE"""),"")</f>
        <v/>
      </c>
      <c r="O3093" t="str">
        <f>IFERROR(__xludf.DUMMYFUNCTION("""COMPUTED_VALUE"""),"")</f>
        <v/>
      </c>
      <c r="P3093" t="str">
        <f>IFERROR(__xludf.DUMMYFUNCTION("""COMPUTED_VALUE"""),"ID ")</f>
        <v>ID </v>
      </c>
    </row>
    <row r="3094">
      <c r="A3094" s="6" t="str">
        <f>IFERROR(__xludf.DUMMYFUNCTION("""COMPUTED_VALUE"""),"")</f>
        <v/>
      </c>
      <c r="C3094" t="str">
        <f>IFERROR(__xludf.DUMMYFUNCTION("""COMPUTED_VALUE"""),"")</f>
        <v/>
      </c>
      <c r="D3094" t="str">
        <f>IFERROR(__xludf.DUMMYFUNCTION("""COMPUTED_VALUE"""),"")</f>
        <v/>
      </c>
      <c r="E3094" t="str">
        <f>IFERROR(__xludf.DUMMYFUNCTION("""COMPUTED_VALUE"""),"")</f>
        <v/>
      </c>
      <c r="F3094" t="str">
        <f>IFERROR(__xludf.DUMMYFUNCTION("""COMPUTED_VALUE"""),"")</f>
        <v/>
      </c>
      <c r="G3094" t="str">
        <f>IFERROR(__xludf.DUMMYFUNCTION("""COMPUTED_VALUE"""),"")</f>
        <v/>
      </c>
      <c r="H3094" s="2" t="str">
        <f>IFERROR(__xludf.DUMMYFUNCTION("""COMPUTED_VALUE"""),"")</f>
        <v/>
      </c>
      <c r="I3094" s="2" t="str">
        <f>IFERROR(__xludf.DUMMYFUNCTION("""COMPUTED_VALUE"""),"")</f>
        <v/>
      </c>
      <c r="J3094" s="2">
        <f>IFERROR(__xludf.DUMMYFUNCTION("""COMPUTED_VALUE"""),0.0)</f>
        <v>0</v>
      </c>
      <c r="K3094" s="5" t="str">
        <f>IFERROR(__xludf.DUMMYFUNCTION("""COMPUTED_VALUE"""),"")</f>
        <v/>
      </c>
      <c r="L3094" t="str">
        <f>IFERROR(__xludf.DUMMYFUNCTION("""COMPUTED_VALUE"""),"")</f>
        <v/>
      </c>
      <c r="M3094" t="str">
        <f>IFERROR(__xludf.DUMMYFUNCTION("""COMPUTED_VALUE"""),"")</f>
        <v/>
      </c>
      <c r="N3094" t="str">
        <f>IFERROR(__xludf.DUMMYFUNCTION("""COMPUTED_VALUE"""),"")</f>
        <v/>
      </c>
      <c r="O3094" t="str">
        <f>IFERROR(__xludf.DUMMYFUNCTION("""COMPUTED_VALUE"""),"")</f>
        <v/>
      </c>
      <c r="P3094" t="str">
        <f>IFERROR(__xludf.DUMMYFUNCTION("""COMPUTED_VALUE"""),"ID ")</f>
        <v>ID </v>
      </c>
    </row>
    <row r="3095">
      <c r="A3095" s="6" t="str">
        <f>IFERROR(__xludf.DUMMYFUNCTION("""COMPUTED_VALUE"""),"")</f>
        <v/>
      </c>
      <c r="C3095" t="str">
        <f>IFERROR(__xludf.DUMMYFUNCTION("""COMPUTED_VALUE"""),"")</f>
        <v/>
      </c>
      <c r="D3095" t="str">
        <f>IFERROR(__xludf.DUMMYFUNCTION("""COMPUTED_VALUE"""),"")</f>
        <v/>
      </c>
      <c r="E3095" t="str">
        <f>IFERROR(__xludf.DUMMYFUNCTION("""COMPUTED_VALUE"""),"")</f>
        <v/>
      </c>
      <c r="F3095" t="str">
        <f>IFERROR(__xludf.DUMMYFUNCTION("""COMPUTED_VALUE"""),"")</f>
        <v/>
      </c>
      <c r="G3095" t="str">
        <f>IFERROR(__xludf.DUMMYFUNCTION("""COMPUTED_VALUE"""),"")</f>
        <v/>
      </c>
      <c r="H3095" s="2" t="str">
        <f>IFERROR(__xludf.DUMMYFUNCTION("""COMPUTED_VALUE"""),"")</f>
        <v/>
      </c>
      <c r="I3095" s="2" t="str">
        <f>IFERROR(__xludf.DUMMYFUNCTION("""COMPUTED_VALUE"""),"")</f>
        <v/>
      </c>
      <c r="J3095" s="2">
        <f>IFERROR(__xludf.DUMMYFUNCTION("""COMPUTED_VALUE"""),0.0)</f>
        <v>0</v>
      </c>
      <c r="K3095" s="5" t="str">
        <f>IFERROR(__xludf.DUMMYFUNCTION("""COMPUTED_VALUE"""),"")</f>
        <v/>
      </c>
      <c r="L3095" t="str">
        <f>IFERROR(__xludf.DUMMYFUNCTION("""COMPUTED_VALUE"""),"")</f>
        <v/>
      </c>
      <c r="M3095" t="str">
        <f>IFERROR(__xludf.DUMMYFUNCTION("""COMPUTED_VALUE"""),"")</f>
        <v/>
      </c>
      <c r="N3095" t="str">
        <f>IFERROR(__xludf.DUMMYFUNCTION("""COMPUTED_VALUE"""),"")</f>
        <v/>
      </c>
      <c r="O3095" t="str">
        <f>IFERROR(__xludf.DUMMYFUNCTION("""COMPUTED_VALUE"""),"")</f>
        <v/>
      </c>
      <c r="P3095" t="str">
        <f>IFERROR(__xludf.DUMMYFUNCTION("""COMPUTED_VALUE"""),"ID ")</f>
        <v>ID </v>
      </c>
    </row>
    <row r="3096">
      <c r="A3096" s="6" t="str">
        <f>IFERROR(__xludf.DUMMYFUNCTION("""COMPUTED_VALUE"""),"")</f>
        <v/>
      </c>
      <c r="C3096" t="str">
        <f>IFERROR(__xludf.DUMMYFUNCTION("""COMPUTED_VALUE"""),"")</f>
        <v/>
      </c>
      <c r="D3096" t="str">
        <f>IFERROR(__xludf.DUMMYFUNCTION("""COMPUTED_VALUE"""),"")</f>
        <v/>
      </c>
      <c r="E3096" t="str">
        <f>IFERROR(__xludf.DUMMYFUNCTION("""COMPUTED_VALUE"""),"")</f>
        <v/>
      </c>
      <c r="F3096" t="str">
        <f>IFERROR(__xludf.DUMMYFUNCTION("""COMPUTED_VALUE"""),"")</f>
        <v/>
      </c>
      <c r="G3096" t="str">
        <f>IFERROR(__xludf.DUMMYFUNCTION("""COMPUTED_VALUE"""),"")</f>
        <v/>
      </c>
      <c r="H3096" s="2" t="str">
        <f>IFERROR(__xludf.DUMMYFUNCTION("""COMPUTED_VALUE"""),"")</f>
        <v/>
      </c>
      <c r="I3096" s="2" t="str">
        <f>IFERROR(__xludf.DUMMYFUNCTION("""COMPUTED_VALUE"""),"")</f>
        <v/>
      </c>
      <c r="J3096" s="2">
        <f>IFERROR(__xludf.DUMMYFUNCTION("""COMPUTED_VALUE"""),0.0)</f>
        <v>0</v>
      </c>
      <c r="K3096" s="5" t="str">
        <f>IFERROR(__xludf.DUMMYFUNCTION("""COMPUTED_VALUE"""),"")</f>
        <v/>
      </c>
      <c r="L3096" t="str">
        <f>IFERROR(__xludf.DUMMYFUNCTION("""COMPUTED_VALUE"""),"")</f>
        <v/>
      </c>
      <c r="M3096" t="str">
        <f>IFERROR(__xludf.DUMMYFUNCTION("""COMPUTED_VALUE"""),"")</f>
        <v/>
      </c>
      <c r="N3096" t="str">
        <f>IFERROR(__xludf.DUMMYFUNCTION("""COMPUTED_VALUE"""),"")</f>
        <v/>
      </c>
      <c r="O3096" t="str">
        <f>IFERROR(__xludf.DUMMYFUNCTION("""COMPUTED_VALUE"""),"")</f>
        <v/>
      </c>
      <c r="P3096" t="str">
        <f>IFERROR(__xludf.DUMMYFUNCTION("""COMPUTED_VALUE"""),"ID ")</f>
        <v>ID </v>
      </c>
    </row>
    <row r="3097">
      <c r="A3097" s="6" t="str">
        <f>IFERROR(__xludf.DUMMYFUNCTION("""COMPUTED_VALUE"""),"")</f>
        <v/>
      </c>
      <c r="C3097" t="str">
        <f>IFERROR(__xludf.DUMMYFUNCTION("""COMPUTED_VALUE"""),"")</f>
        <v/>
      </c>
      <c r="D3097" t="str">
        <f>IFERROR(__xludf.DUMMYFUNCTION("""COMPUTED_VALUE"""),"")</f>
        <v/>
      </c>
      <c r="E3097" t="str">
        <f>IFERROR(__xludf.DUMMYFUNCTION("""COMPUTED_VALUE"""),"")</f>
        <v/>
      </c>
      <c r="F3097" t="str">
        <f>IFERROR(__xludf.DUMMYFUNCTION("""COMPUTED_VALUE"""),"")</f>
        <v/>
      </c>
      <c r="G3097" t="str">
        <f>IFERROR(__xludf.DUMMYFUNCTION("""COMPUTED_VALUE"""),"")</f>
        <v/>
      </c>
      <c r="H3097" s="2" t="str">
        <f>IFERROR(__xludf.DUMMYFUNCTION("""COMPUTED_VALUE"""),"")</f>
        <v/>
      </c>
      <c r="I3097" s="2" t="str">
        <f>IFERROR(__xludf.DUMMYFUNCTION("""COMPUTED_VALUE"""),"")</f>
        <v/>
      </c>
      <c r="J3097" s="2">
        <f>IFERROR(__xludf.DUMMYFUNCTION("""COMPUTED_VALUE"""),0.0)</f>
        <v>0</v>
      </c>
      <c r="K3097" s="5" t="str">
        <f>IFERROR(__xludf.DUMMYFUNCTION("""COMPUTED_VALUE"""),"")</f>
        <v/>
      </c>
      <c r="L3097" t="str">
        <f>IFERROR(__xludf.DUMMYFUNCTION("""COMPUTED_VALUE"""),"")</f>
        <v/>
      </c>
      <c r="M3097" t="str">
        <f>IFERROR(__xludf.DUMMYFUNCTION("""COMPUTED_VALUE"""),"")</f>
        <v/>
      </c>
      <c r="N3097" t="str">
        <f>IFERROR(__xludf.DUMMYFUNCTION("""COMPUTED_VALUE"""),"")</f>
        <v/>
      </c>
      <c r="O3097" t="str">
        <f>IFERROR(__xludf.DUMMYFUNCTION("""COMPUTED_VALUE"""),"")</f>
        <v/>
      </c>
      <c r="P3097" t="str">
        <f>IFERROR(__xludf.DUMMYFUNCTION("""COMPUTED_VALUE"""),"ID ")</f>
        <v>ID </v>
      </c>
    </row>
    <row r="3098">
      <c r="A3098" s="6" t="str">
        <f>IFERROR(__xludf.DUMMYFUNCTION("""COMPUTED_VALUE"""),"")</f>
        <v/>
      </c>
      <c r="C3098" t="str">
        <f>IFERROR(__xludf.DUMMYFUNCTION("""COMPUTED_VALUE"""),"")</f>
        <v/>
      </c>
      <c r="D3098" t="str">
        <f>IFERROR(__xludf.DUMMYFUNCTION("""COMPUTED_VALUE"""),"")</f>
        <v/>
      </c>
      <c r="E3098" t="str">
        <f>IFERROR(__xludf.DUMMYFUNCTION("""COMPUTED_VALUE"""),"")</f>
        <v/>
      </c>
      <c r="F3098" t="str">
        <f>IFERROR(__xludf.DUMMYFUNCTION("""COMPUTED_VALUE"""),"")</f>
        <v/>
      </c>
      <c r="G3098" t="str">
        <f>IFERROR(__xludf.DUMMYFUNCTION("""COMPUTED_VALUE"""),"")</f>
        <v/>
      </c>
      <c r="H3098" s="2" t="str">
        <f>IFERROR(__xludf.DUMMYFUNCTION("""COMPUTED_VALUE"""),"")</f>
        <v/>
      </c>
      <c r="I3098" s="2" t="str">
        <f>IFERROR(__xludf.DUMMYFUNCTION("""COMPUTED_VALUE"""),"")</f>
        <v/>
      </c>
      <c r="J3098" s="2">
        <f>IFERROR(__xludf.DUMMYFUNCTION("""COMPUTED_VALUE"""),0.0)</f>
        <v>0</v>
      </c>
      <c r="K3098" s="5" t="str">
        <f>IFERROR(__xludf.DUMMYFUNCTION("""COMPUTED_VALUE"""),"")</f>
        <v/>
      </c>
      <c r="L3098" t="str">
        <f>IFERROR(__xludf.DUMMYFUNCTION("""COMPUTED_VALUE"""),"")</f>
        <v/>
      </c>
      <c r="M3098" t="str">
        <f>IFERROR(__xludf.DUMMYFUNCTION("""COMPUTED_VALUE"""),"")</f>
        <v/>
      </c>
      <c r="N3098" t="str">
        <f>IFERROR(__xludf.DUMMYFUNCTION("""COMPUTED_VALUE"""),"")</f>
        <v/>
      </c>
      <c r="O3098" t="str">
        <f>IFERROR(__xludf.DUMMYFUNCTION("""COMPUTED_VALUE"""),"")</f>
        <v/>
      </c>
      <c r="P3098" t="str">
        <f>IFERROR(__xludf.DUMMYFUNCTION("""COMPUTED_VALUE"""),"ID ")</f>
        <v>ID </v>
      </c>
    </row>
    <row r="3099">
      <c r="A3099" s="6" t="str">
        <f>IFERROR(__xludf.DUMMYFUNCTION("""COMPUTED_VALUE"""),"")</f>
        <v/>
      </c>
      <c r="C3099" t="str">
        <f>IFERROR(__xludf.DUMMYFUNCTION("""COMPUTED_VALUE"""),"")</f>
        <v/>
      </c>
      <c r="D3099" t="str">
        <f>IFERROR(__xludf.DUMMYFUNCTION("""COMPUTED_VALUE"""),"")</f>
        <v/>
      </c>
      <c r="E3099" t="str">
        <f>IFERROR(__xludf.DUMMYFUNCTION("""COMPUTED_VALUE"""),"")</f>
        <v/>
      </c>
      <c r="F3099" t="str">
        <f>IFERROR(__xludf.DUMMYFUNCTION("""COMPUTED_VALUE"""),"")</f>
        <v/>
      </c>
      <c r="G3099" t="str">
        <f>IFERROR(__xludf.DUMMYFUNCTION("""COMPUTED_VALUE"""),"")</f>
        <v/>
      </c>
      <c r="H3099" s="2" t="str">
        <f>IFERROR(__xludf.DUMMYFUNCTION("""COMPUTED_VALUE"""),"")</f>
        <v/>
      </c>
      <c r="I3099" s="2" t="str">
        <f>IFERROR(__xludf.DUMMYFUNCTION("""COMPUTED_VALUE"""),"")</f>
        <v/>
      </c>
      <c r="J3099" s="2">
        <f>IFERROR(__xludf.DUMMYFUNCTION("""COMPUTED_VALUE"""),0.0)</f>
        <v>0</v>
      </c>
      <c r="K3099" s="5" t="str">
        <f>IFERROR(__xludf.DUMMYFUNCTION("""COMPUTED_VALUE"""),"")</f>
        <v/>
      </c>
      <c r="L3099" t="str">
        <f>IFERROR(__xludf.DUMMYFUNCTION("""COMPUTED_VALUE"""),"")</f>
        <v/>
      </c>
      <c r="M3099" t="str">
        <f>IFERROR(__xludf.DUMMYFUNCTION("""COMPUTED_VALUE"""),"")</f>
        <v/>
      </c>
      <c r="N3099" t="str">
        <f>IFERROR(__xludf.DUMMYFUNCTION("""COMPUTED_VALUE"""),"")</f>
        <v/>
      </c>
      <c r="O3099" t="str">
        <f>IFERROR(__xludf.DUMMYFUNCTION("""COMPUTED_VALUE"""),"")</f>
        <v/>
      </c>
      <c r="P3099" t="str">
        <f>IFERROR(__xludf.DUMMYFUNCTION("""COMPUTED_VALUE"""),"ID ")</f>
        <v>ID </v>
      </c>
    </row>
    <row r="3100">
      <c r="A3100" s="6" t="str">
        <f>IFERROR(__xludf.DUMMYFUNCTION("""COMPUTED_VALUE"""),"")</f>
        <v/>
      </c>
      <c r="C3100" t="str">
        <f>IFERROR(__xludf.DUMMYFUNCTION("""COMPUTED_VALUE"""),"")</f>
        <v/>
      </c>
      <c r="D3100" t="str">
        <f>IFERROR(__xludf.DUMMYFUNCTION("""COMPUTED_VALUE"""),"")</f>
        <v/>
      </c>
      <c r="E3100" t="str">
        <f>IFERROR(__xludf.DUMMYFUNCTION("""COMPUTED_VALUE"""),"")</f>
        <v/>
      </c>
      <c r="F3100" t="str">
        <f>IFERROR(__xludf.DUMMYFUNCTION("""COMPUTED_VALUE"""),"")</f>
        <v/>
      </c>
      <c r="G3100" t="str">
        <f>IFERROR(__xludf.DUMMYFUNCTION("""COMPUTED_VALUE"""),"")</f>
        <v/>
      </c>
      <c r="H3100" s="2" t="str">
        <f>IFERROR(__xludf.DUMMYFUNCTION("""COMPUTED_VALUE"""),"")</f>
        <v/>
      </c>
      <c r="I3100" s="2" t="str">
        <f>IFERROR(__xludf.DUMMYFUNCTION("""COMPUTED_VALUE"""),"")</f>
        <v/>
      </c>
      <c r="J3100" s="2">
        <f>IFERROR(__xludf.DUMMYFUNCTION("""COMPUTED_VALUE"""),0.0)</f>
        <v>0</v>
      </c>
      <c r="K3100" s="5" t="str">
        <f>IFERROR(__xludf.DUMMYFUNCTION("""COMPUTED_VALUE"""),"")</f>
        <v/>
      </c>
      <c r="L3100" t="str">
        <f>IFERROR(__xludf.DUMMYFUNCTION("""COMPUTED_VALUE"""),"")</f>
        <v/>
      </c>
      <c r="M3100" t="str">
        <f>IFERROR(__xludf.DUMMYFUNCTION("""COMPUTED_VALUE"""),"")</f>
        <v/>
      </c>
      <c r="N3100" t="str">
        <f>IFERROR(__xludf.DUMMYFUNCTION("""COMPUTED_VALUE"""),"")</f>
        <v/>
      </c>
      <c r="O3100" t="str">
        <f>IFERROR(__xludf.DUMMYFUNCTION("""COMPUTED_VALUE"""),"")</f>
        <v/>
      </c>
      <c r="P3100" t="str">
        <f>IFERROR(__xludf.DUMMYFUNCTION("""COMPUTED_VALUE"""),"ID ")</f>
        <v>ID </v>
      </c>
    </row>
    <row r="3101">
      <c r="A3101" s="6" t="str">
        <f>IFERROR(__xludf.DUMMYFUNCTION("""COMPUTED_VALUE"""),"")</f>
        <v/>
      </c>
      <c r="C3101" t="str">
        <f>IFERROR(__xludf.DUMMYFUNCTION("""COMPUTED_VALUE"""),"")</f>
        <v/>
      </c>
      <c r="D3101" t="str">
        <f>IFERROR(__xludf.DUMMYFUNCTION("""COMPUTED_VALUE"""),"")</f>
        <v/>
      </c>
      <c r="E3101" t="str">
        <f>IFERROR(__xludf.DUMMYFUNCTION("""COMPUTED_VALUE"""),"")</f>
        <v/>
      </c>
      <c r="F3101" t="str">
        <f>IFERROR(__xludf.DUMMYFUNCTION("""COMPUTED_VALUE"""),"")</f>
        <v/>
      </c>
      <c r="G3101" t="str">
        <f>IFERROR(__xludf.DUMMYFUNCTION("""COMPUTED_VALUE"""),"")</f>
        <v/>
      </c>
      <c r="H3101" s="2" t="str">
        <f>IFERROR(__xludf.DUMMYFUNCTION("""COMPUTED_VALUE"""),"")</f>
        <v/>
      </c>
      <c r="I3101" s="2" t="str">
        <f>IFERROR(__xludf.DUMMYFUNCTION("""COMPUTED_VALUE"""),"")</f>
        <v/>
      </c>
      <c r="J3101" s="2">
        <f>IFERROR(__xludf.DUMMYFUNCTION("""COMPUTED_VALUE"""),0.0)</f>
        <v>0</v>
      </c>
      <c r="K3101" s="5" t="str">
        <f>IFERROR(__xludf.DUMMYFUNCTION("""COMPUTED_VALUE"""),"")</f>
        <v/>
      </c>
      <c r="L3101" t="str">
        <f>IFERROR(__xludf.DUMMYFUNCTION("""COMPUTED_VALUE"""),"")</f>
        <v/>
      </c>
      <c r="M3101" t="str">
        <f>IFERROR(__xludf.DUMMYFUNCTION("""COMPUTED_VALUE"""),"")</f>
        <v/>
      </c>
      <c r="N3101" t="str">
        <f>IFERROR(__xludf.DUMMYFUNCTION("""COMPUTED_VALUE"""),"")</f>
        <v/>
      </c>
      <c r="O3101" t="str">
        <f>IFERROR(__xludf.DUMMYFUNCTION("""COMPUTED_VALUE"""),"")</f>
        <v/>
      </c>
      <c r="P3101" t="str">
        <f>IFERROR(__xludf.DUMMYFUNCTION("""COMPUTED_VALUE"""),"ID ")</f>
        <v>ID </v>
      </c>
    </row>
    <row r="3102">
      <c r="A3102" s="6" t="str">
        <f>IFERROR(__xludf.DUMMYFUNCTION("""COMPUTED_VALUE"""),"")</f>
        <v/>
      </c>
      <c r="C3102" t="str">
        <f>IFERROR(__xludf.DUMMYFUNCTION("""COMPUTED_VALUE"""),"")</f>
        <v/>
      </c>
      <c r="D3102" t="str">
        <f>IFERROR(__xludf.DUMMYFUNCTION("""COMPUTED_VALUE"""),"")</f>
        <v/>
      </c>
      <c r="E3102" t="str">
        <f>IFERROR(__xludf.DUMMYFUNCTION("""COMPUTED_VALUE"""),"")</f>
        <v/>
      </c>
      <c r="F3102" t="str">
        <f>IFERROR(__xludf.DUMMYFUNCTION("""COMPUTED_VALUE"""),"")</f>
        <v/>
      </c>
      <c r="G3102" t="str">
        <f>IFERROR(__xludf.DUMMYFUNCTION("""COMPUTED_VALUE"""),"")</f>
        <v/>
      </c>
      <c r="H3102" s="2" t="str">
        <f>IFERROR(__xludf.DUMMYFUNCTION("""COMPUTED_VALUE"""),"")</f>
        <v/>
      </c>
      <c r="I3102" s="2" t="str">
        <f>IFERROR(__xludf.DUMMYFUNCTION("""COMPUTED_VALUE"""),"")</f>
        <v/>
      </c>
      <c r="J3102" s="2">
        <f>IFERROR(__xludf.DUMMYFUNCTION("""COMPUTED_VALUE"""),0.0)</f>
        <v>0</v>
      </c>
      <c r="K3102" s="5" t="str">
        <f>IFERROR(__xludf.DUMMYFUNCTION("""COMPUTED_VALUE"""),"")</f>
        <v/>
      </c>
      <c r="L3102" t="str">
        <f>IFERROR(__xludf.DUMMYFUNCTION("""COMPUTED_VALUE"""),"")</f>
        <v/>
      </c>
      <c r="M3102" t="str">
        <f>IFERROR(__xludf.DUMMYFUNCTION("""COMPUTED_VALUE"""),"")</f>
        <v/>
      </c>
      <c r="N3102" t="str">
        <f>IFERROR(__xludf.DUMMYFUNCTION("""COMPUTED_VALUE"""),"")</f>
        <v/>
      </c>
      <c r="O3102" t="str">
        <f>IFERROR(__xludf.DUMMYFUNCTION("""COMPUTED_VALUE"""),"")</f>
        <v/>
      </c>
      <c r="P3102" t="str">
        <f>IFERROR(__xludf.DUMMYFUNCTION("""COMPUTED_VALUE"""),"ID ")</f>
        <v>ID </v>
      </c>
    </row>
    <row r="3103">
      <c r="A3103" s="6" t="str">
        <f>IFERROR(__xludf.DUMMYFUNCTION("""COMPUTED_VALUE"""),"")</f>
        <v/>
      </c>
      <c r="C3103" t="str">
        <f>IFERROR(__xludf.DUMMYFUNCTION("""COMPUTED_VALUE"""),"")</f>
        <v/>
      </c>
      <c r="D3103" t="str">
        <f>IFERROR(__xludf.DUMMYFUNCTION("""COMPUTED_VALUE"""),"")</f>
        <v/>
      </c>
      <c r="E3103" t="str">
        <f>IFERROR(__xludf.DUMMYFUNCTION("""COMPUTED_VALUE"""),"")</f>
        <v/>
      </c>
      <c r="F3103" t="str">
        <f>IFERROR(__xludf.DUMMYFUNCTION("""COMPUTED_VALUE"""),"")</f>
        <v/>
      </c>
      <c r="G3103" t="str">
        <f>IFERROR(__xludf.DUMMYFUNCTION("""COMPUTED_VALUE"""),"")</f>
        <v/>
      </c>
      <c r="H3103" s="2" t="str">
        <f>IFERROR(__xludf.DUMMYFUNCTION("""COMPUTED_VALUE"""),"")</f>
        <v/>
      </c>
      <c r="I3103" s="2" t="str">
        <f>IFERROR(__xludf.DUMMYFUNCTION("""COMPUTED_VALUE"""),"")</f>
        <v/>
      </c>
      <c r="J3103" s="2">
        <f>IFERROR(__xludf.DUMMYFUNCTION("""COMPUTED_VALUE"""),0.0)</f>
        <v>0</v>
      </c>
      <c r="K3103" s="5" t="str">
        <f>IFERROR(__xludf.DUMMYFUNCTION("""COMPUTED_VALUE"""),"")</f>
        <v/>
      </c>
      <c r="L3103" t="str">
        <f>IFERROR(__xludf.DUMMYFUNCTION("""COMPUTED_VALUE"""),"")</f>
        <v/>
      </c>
      <c r="M3103" t="str">
        <f>IFERROR(__xludf.DUMMYFUNCTION("""COMPUTED_VALUE"""),"")</f>
        <v/>
      </c>
      <c r="N3103" t="str">
        <f>IFERROR(__xludf.DUMMYFUNCTION("""COMPUTED_VALUE"""),"")</f>
        <v/>
      </c>
      <c r="O3103" t="str">
        <f>IFERROR(__xludf.DUMMYFUNCTION("""COMPUTED_VALUE"""),"")</f>
        <v/>
      </c>
      <c r="P3103" t="str">
        <f>IFERROR(__xludf.DUMMYFUNCTION("""COMPUTED_VALUE"""),"ID ")</f>
        <v>ID </v>
      </c>
    </row>
    <row r="3104">
      <c r="A3104" s="6" t="str">
        <f>IFERROR(__xludf.DUMMYFUNCTION("""COMPUTED_VALUE"""),"")</f>
        <v/>
      </c>
      <c r="C3104" t="str">
        <f>IFERROR(__xludf.DUMMYFUNCTION("""COMPUTED_VALUE"""),"")</f>
        <v/>
      </c>
      <c r="D3104" t="str">
        <f>IFERROR(__xludf.DUMMYFUNCTION("""COMPUTED_VALUE"""),"")</f>
        <v/>
      </c>
      <c r="E3104" t="str">
        <f>IFERROR(__xludf.DUMMYFUNCTION("""COMPUTED_VALUE"""),"")</f>
        <v/>
      </c>
      <c r="F3104" t="str">
        <f>IFERROR(__xludf.DUMMYFUNCTION("""COMPUTED_VALUE"""),"")</f>
        <v/>
      </c>
      <c r="G3104" t="str">
        <f>IFERROR(__xludf.DUMMYFUNCTION("""COMPUTED_VALUE"""),"")</f>
        <v/>
      </c>
      <c r="H3104" s="2" t="str">
        <f>IFERROR(__xludf.DUMMYFUNCTION("""COMPUTED_VALUE"""),"")</f>
        <v/>
      </c>
      <c r="I3104" s="2" t="str">
        <f>IFERROR(__xludf.DUMMYFUNCTION("""COMPUTED_VALUE"""),"")</f>
        <v/>
      </c>
      <c r="J3104" s="2">
        <f>IFERROR(__xludf.DUMMYFUNCTION("""COMPUTED_VALUE"""),0.0)</f>
        <v>0</v>
      </c>
      <c r="K3104" s="5" t="str">
        <f>IFERROR(__xludf.DUMMYFUNCTION("""COMPUTED_VALUE"""),"")</f>
        <v/>
      </c>
      <c r="L3104" t="str">
        <f>IFERROR(__xludf.DUMMYFUNCTION("""COMPUTED_VALUE"""),"")</f>
        <v/>
      </c>
      <c r="M3104" t="str">
        <f>IFERROR(__xludf.DUMMYFUNCTION("""COMPUTED_VALUE"""),"")</f>
        <v/>
      </c>
      <c r="N3104" t="str">
        <f>IFERROR(__xludf.DUMMYFUNCTION("""COMPUTED_VALUE"""),"")</f>
        <v/>
      </c>
      <c r="O3104" t="str">
        <f>IFERROR(__xludf.DUMMYFUNCTION("""COMPUTED_VALUE"""),"")</f>
        <v/>
      </c>
      <c r="P3104" t="str">
        <f>IFERROR(__xludf.DUMMYFUNCTION("""COMPUTED_VALUE"""),"ID ")</f>
        <v>ID </v>
      </c>
    </row>
    <row r="3105">
      <c r="A3105" s="6" t="str">
        <f>IFERROR(__xludf.DUMMYFUNCTION("""COMPUTED_VALUE"""),"")</f>
        <v/>
      </c>
      <c r="C3105" t="str">
        <f>IFERROR(__xludf.DUMMYFUNCTION("""COMPUTED_VALUE"""),"")</f>
        <v/>
      </c>
      <c r="D3105" t="str">
        <f>IFERROR(__xludf.DUMMYFUNCTION("""COMPUTED_VALUE"""),"")</f>
        <v/>
      </c>
      <c r="E3105" t="str">
        <f>IFERROR(__xludf.DUMMYFUNCTION("""COMPUTED_VALUE"""),"")</f>
        <v/>
      </c>
      <c r="F3105" t="str">
        <f>IFERROR(__xludf.DUMMYFUNCTION("""COMPUTED_VALUE"""),"")</f>
        <v/>
      </c>
      <c r="G3105" t="str">
        <f>IFERROR(__xludf.DUMMYFUNCTION("""COMPUTED_VALUE"""),"")</f>
        <v/>
      </c>
      <c r="H3105" s="2" t="str">
        <f>IFERROR(__xludf.DUMMYFUNCTION("""COMPUTED_VALUE"""),"")</f>
        <v/>
      </c>
      <c r="I3105" s="2" t="str">
        <f>IFERROR(__xludf.DUMMYFUNCTION("""COMPUTED_VALUE"""),"")</f>
        <v/>
      </c>
      <c r="J3105" s="2">
        <f>IFERROR(__xludf.DUMMYFUNCTION("""COMPUTED_VALUE"""),0.0)</f>
        <v>0</v>
      </c>
      <c r="K3105" s="5" t="str">
        <f>IFERROR(__xludf.DUMMYFUNCTION("""COMPUTED_VALUE"""),"")</f>
        <v/>
      </c>
      <c r="L3105" t="str">
        <f>IFERROR(__xludf.DUMMYFUNCTION("""COMPUTED_VALUE"""),"")</f>
        <v/>
      </c>
      <c r="M3105" t="str">
        <f>IFERROR(__xludf.DUMMYFUNCTION("""COMPUTED_VALUE"""),"")</f>
        <v/>
      </c>
      <c r="N3105" t="str">
        <f>IFERROR(__xludf.DUMMYFUNCTION("""COMPUTED_VALUE"""),"")</f>
        <v/>
      </c>
      <c r="O3105" t="str">
        <f>IFERROR(__xludf.DUMMYFUNCTION("""COMPUTED_VALUE"""),"")</f>
        <v/>
      </c>
      <c r="P3105" t="str">
        <f>IFERROR(__xludf.DUMMYFUNCTION("""COMPUTED_VALUE"""),"ID ")</f>
        <v>ID </v>
      </c>
    </row>
    <row r="3106">
      <c r="A3106" s="6" t="str">
        <f>IFERROR(__xludf.DUMMYFUNCTION("""COMPUTED_VALUE"""),"")</f>
        <v/>
      </c>
      <c r="C3106" t="str">
        <f>IFERROR(__xludf.DUMMYFUNCTION("""COMPUTED_VALUE"""),"")</f>
        <v/>
      </c>
      <c r="D3106" t="str">
        <f>IFERROR(__xludf.DUMMYFUNCTION("""COMPUTED_VALUE"""),"")</f>
        <v/>
      </c>
      <c r="E3106" t="str">
        <f>IFERROR(__xludf.DUMMYFUNCTION("""COMPUTED_VALUE"""),"")</f>
        <v/>
      </c>
      <c r="F3106" t="str">
        <f>IFERROR(__xludf.DUMMYFUNCTION("""COMPUTED_VALUE"""),"")</f>
        <v/>
      </c>
      <c r="G3106" t="str">
        <f>IFERROR(__xludf.DUMMYFUNCTION("""COMPUTED_VALUE"""),"")</f>
        <v/>
      </c>
      <c r="H3106" s="2" t="str">
        <f>IFERROR(__xludf.DUMMYFUNCTION("""COMPUTED_VALUE"""),"")</f>
        <v/>
      </c>
      <c r="I3106" s="2" t="str">
        <f>IFERROR(__xludf.DUMMYFUNCTION("""COMPUTED_VALUE"""),"")</f>
        <v/>
      </c>
      <c r="J3106" s="2">
        <f>IFERROR(__xludf.DUMMYFUNCTION("""COMPUTED_VALUE"""),0.0)</f>
        <v>0</v>
      </c>
      <c r="K3106" s="5" t="str">
        <f>IFERROR(__xludf.DUMMYFUNCTION("""COMPUTED_VALUE"""),"")</f>
        <v/>
      </c>
      <c r="L3106" t="str">
        <f>IFERROR(__xludf.DUMMYFUNCTION("""COMPUTED_VALUE"""),"")</f>
        <v/>
      </c>
      <c r="M3106" t="str">
        <f>IFERROR(__xludf.DUMMYFUNCTION("""COMPUTED_VALUE"""),"")</f>
        <v/>
      </c>
      <c r="N3106" t="str">
        <f>IFERROR(__xludf.DUMMYFUNCTION("""COMPUTED_VALUE"""),"")</f>
        <v/>
      </c>
      <c r="O3106" t="str">
        <f>IFERROR(__xludf.DUMMYFUNCTION("""COMPUTED_VALUE"""),"")</f>
        <v/>
      </c>
      <c r="P3106" t="str">
        <f>IFERROR(__xludf.DUMMYFUNCTION("""COMPUTED_VALUE"""),"ID ")</f>
        <v>ID </v>
      </c>
    </row>
    <row r="3107">
      <c r="A3107" s="6" t="str">
        <f>IFERROR(__xludf.DUMMYFUNCTION("""COMPUTED_VALUE"""),"")</f>
        <v/>
      </c>
      <c r="C3107" t="str">
        <f>IFERROR(__xludf.DUMMYFUNCTION("""COMPUTED_VALUE"""),"")</f>
        <v/>
      </c>
      <c r="D3107" t="str">
        <f>IFERROR(__xludf.DUMMYFUNCTION("""COMPUTED_VALUE"""),"")</f>
        <v/>
      </c>
      <c r="E3107" t="str">
        <f>IFERROR(__xludf.DUMMYFUNCTION("""COMPUTED_VALUE"""),"")</f>
        <v/>
      </c>
      <c r="F3107" t="str">
        <f>IFERROR(__xludf.DUMMYFUNCTION("""COMPUTED_VALUE"""),"")</f>
        <v/>
      </c>
      <c r="G3107" t="str">
        <f>IFERROR(__xludf.DUMMYFUNCTION("""COMPUTED_VALUE"""),"")</f>
        <v/>
      </c>
      <c r="H3107" s="2" t="str">
        <f>IFERROR(__xludf.DUMMYFUNCTION("""COMPUTED_VALUE"""),"")</f>
        <v/>
      </c>
      <c r="I3107" s="2" t="str">
        <f>IFERROR(__xludf.DUMMYFUNCTION("""COMPUTED_VALUE"""),"")</f>
        <v/>
      </c>
      <c r="J3107" s="2">
        <f>IFERROR(__xludf.DUMMYFUNCTION("""COMPUTED_VALUE"""),0.0)</f>
        <v>0</v>
      </c>
      <c r="K3107" s="5" t="str">
        <f>IFERROR(__xludf.DUMMYFUNCTION("""COMPUTED_VALUE"""),"")</f>
        <v/>
      </c>
      <c r="L3107" t="str">
        <f>IFERROR(__xludf.DUMMYFUNCTION("""COMPUTED_VALUE"""),"")</f>
        <v/>
      </c>
      <c r="M3107" t="str">
        <f>IFERROR(__xludf.DUMMYFUNCTION("""COMPUTED_VALUE"""),"")</f>
        <v/>
      </c>
      <c r="N3107" t="str">
        <f>IFERROR(__xludf.DUMMYFUNCTION("""COMPUTED_VALUE"""),"")</f>
        <v/>
      </c>
      <c r="O3107" t="str">
        <f>IFERROR(__xludf.DUMMYFUNCTION("""COMPUTED_VALUE"""),"")</f>
        <v/>
      </c>
      <c r="P3107" t="str">
        <f>IFERROR(__xludf.DUMMYFUNCTION("""COMPUTED_VALUE"""),"ID ")</f>
        <v>ID </v>
      </c>
    </row>
    <row r="3108">
      <c r="A3108" s="6" t="str">
        <f>IFERROR(__xludf.DUMMYFUNCTION("""COMPUTED_VALUE"""),"")</f>
        <v/>
      </c>
      <c r="C3108" t="str">
        <f>IFERROR(__xludf.DUMMYFUNCTION("""COMPUTED_VALUE"""),"")</f>
        <v/>
      </c>
      <c r="D3108" t="str">
        <f>IFERROR(__xludf.DUMMYFUNCTION("""COMPUTED_VALUE"""),"")</f>
        <v/>
      </c>
      <c r="E3108" t="str">
        <f>IFERROR(__xludf.DUMMYFUNCTION("""COMPUTED_VALUE"""),"")</f>
        <v/>
      </c>
      <c r="F3108" t="str">
        <f>IFERROR(__xludf.DUMMYFUNCTION("""COMPUTED_VALUE"""),"")</f>
        <v/>
      </c>
      <c r="G3108" t="str">
        <f>IFERROR(__xludf.DUMMYFUNCTION("""COMPUTED_VALUE"""),"")</f>
        <v/>
      </c>
      <c r="H3108" s="2" t="str">
        <f>IFERROR(__xludf.DUMMYFUNCTION("""COMPUTED_VALUE"""),"")</f>
        <v/>
      </c>
      <c r="I3108" s="2" t="str">
        <f>IFERROR(__xludf.DUMMYFUNCTION("""COMPUTED_VALUE"""),"")</f>
        <v/>
      </c>
      <c r="J3108" s="2">
        <f>IFERROR(__xludf.DUMMYFUNCTION("""COMPUTED_VALUE"""),0.0)</f>
        <v>0</v>
      </c>
      <c r="K3108" s="5" t="str">
        <f>IFERROR(__xludf.DUMMYFUNCTION("""COMPUTED_VALUE"""),"")</f>
        <v/>
      </c>
      <c r="L3108" t="str">
        <f>IFERROR(__xludf.DUMMYFUNCTION("""COMPUTED_VALUE"""),"")</f>
        <v/>
      </c>
      <c r="M3108" t="str">
        <f>IFERROR(__xludf.DUMMYFUNCTION("""COMPUTED_VALUE"""),"")</f>
        <v/>
      </c>
      <c r="N3108" t="str">
        <f>IFERROR(__xludf.DUMMYFUNCTION("""COMPUTED_VALUE"""),"")</f>
        <v/>
      </c>
      <c r="O3108" t="str">
        <f>IFERROR(__xludf.DUMMYFUNCTION("""COMPUTED_VALUE"""),"")</f>
        <v/>
      </c>
      <c r="P3108" t="str">
        <f>IFERROR(__xludf.DUMMYFUNCTION("""COMPUTED_VALUE"""),"ID ")</f>
        <v>ID </v>
      </c>
    </row>
    <row r="3109">
      <c r="A3109" s="6" t="str">
        <f>IFERROR(__xludf.DUMMYFUNCTION("""COMPUTED_VALUE"""),"")</f>
        <v/>
      </c>
      <c r="C3109" t="str">
        <f>IFERROR(__xludf.DUMMYFUNCTION("""COMPUTED_VALUE"""),"")</f>
        <v/>
      </c>
      <c r="D3109" t="str">
        <f>IFERROR(__xludf.DUMMYFUNCTION("""COMPUTED_VALUE"""),"")</f>
        <v/>
      </c>
      <c r="E3109" t="str">
        <f>IFERROR(__xludf.DUMMYFUNCTION("""COMPUTED_VALUE"""),"")</f>
        <v/>
      </c>
      <c r="F3109" t="str">
        <f>IFERROR(__xludf.DUMMYFUNCTION("""COMPUTED_VALUE"""),"")</f>
        <v/>
      </c>
      <c r="G3109" t="str">
        <f>IFERROR(__xludf.DUMMYFUNCTION("""COMPUTED_VALUE"""),"")</f>
        <v/>
      </c>
      <c r="H3109" s="2" t="str">
        <f>IFERROR(__xludf.DUMMYFUNCTION("""COMPUTED_VALUE"""),"")</f>
        <v/>
      </c>
      <c r="I3109" s="2" t="str">
        <f>IFERROR(__xludf.DUMMYFUNCTION("""COMPUTED_VALUE"""),"")</f>
        <v/>
      </c>
      <c r="J3109" s="2">
        <f>IFERROR(__xludf.DUMMYFUNCTION("""COMPUTED_VALUE"""),0.0)</f>
        <v>0</v>
      </c>
      <c r="K3109" s="5" t="str">
        <f>IFERROR(__xludf.DUMMYFUNCTION("""COMPUTED_VALUE"""),"")</f>
        <v/>
      </c>
      <c r="L3109" t="str">
        <f>IFERROR(__xludf.DUMMYFUNCTION("""COMPUTED_VALUE"""),"")</f>
        <v/>
      </c>
      <c r="M3109" t="str">
        <f>IFERROR(__xludf.DUMMYFUNCTION("""COMPUTED_VALUE"""),"")</f>
        <v/>
      </c>
      <c r="N3109" t="str">
        <f>IFERROR(__xludf.DUMMYFUNCTION("""COMPUTED_VALUE"""),"")</f>
        <v/>
      </c>
      <c r="O3109" t="str">
        <f>IFERROR(__xludf.DUMMYFUNCTION("""COMPUTED_VALUE"""),"")</f>
        <v/>
      </c>
      <c r="P3109" t="str">
        <f>IFERROR(__xludf.DUMMYFUNCTION("""COMPUTED_VALUE"""),"ID ")</f>
        <v>ID </v>
      </c>
    </row>
    <row r="3110">
      <c r="A3110" s="6" t="str">
        <f>IFERROR(__xludf.DUMMYFUNCTION("""COMPUTED_VALUE"""),"")</f>
        <v/>
      </c>
      <c r="C3110" t="str">
        <f>IFERROR(__xludf.DUMMYFUNCTION("""COMPUTED_VALUE"""),"")</f>
        <v/>
      </c>
      <c r="D3110" t="str">
        <f>IFERROR(__xludf.DUMMYFUNCTION("""COMPUTED_VALUE"""),"")</f>
        <v/>
      </c>
      <c r="E3110" t="str">
        <f>IFERROR(__xludf.DUMMYFUNCTION("""COMPUTED_VALUE"""),"")</f>
        <v/>
      </c>
      <c r="F3110" t="str">
        <f>IFERROR(__xludf.DUMMYFUNCTION("""COMPUTED_VALUE"""),"")</f>
        <v/>
      </c>
      <c r="G3110" t="str">
        <f>IFERROR(__xludf.DUMMYFUNCTION("""COMPUTED_VALUE"""),"")</f>
        <v/>
      </c>
      <c r="H3110" s="2" t="str">
        <f>IFERROR(__xludf.DUMMYFUNCTION("""COMPUTED_VALUE"""),"")</f>
        <v/>
      </c>
      <c r="I3110" s="2" t="str">
        <f>IFERROR(__xludf.DUMMYFUNCTION("""COMPUTED_VALUE"""),"")</f>
        <v/>
      </c>
      <c r="J3110" s="2">
        <f>IFERROR(__xludf.DUMMYFUNCTION("""COMPUTED_VALUE"""),0.0)</f>
        <v>0</v>
      </c>
      <c r="K3110" s="5" t="str">
        <f>IFERROR(__xludf.DUMMYFUNCTION("""COMPUTED_VALUE"""),"")</f>
        <v/>
      </c>
      <c r="L3110" t="str">
        <f>IFERROR(__xludf.DUMMYFUNCTION("""COMPUTED_VALUE"""),"")</f>
        <v/>
      </c>
      <c r="M3110" t="str">
        <f>IFERROR(__xludf.DUMMYFUNCTION("""COMPUTED_VALUE"""),"")</f>
        <v/>
      </c>
      <c r="N3110" t="str">
        <f>IFERROR(__xludf.DUMMYFUNCTION("""COMPUTED_VALUE"""),"")</f>
        <v/>
      </c>
      <c r="O3110" t="str">
        <f>IFERROR(__xludf.DUMMYFUNCTION("""COMPUTED_VALUE"""),"")</f>
        <v/>
      </c>
      <c r="P3110" t="str">
        <f>IFERROR(__xludf.DUMMYFUNCTION("""COMPUTED_VALUE"""),"ID ")</f>
        <v>ID </v>
      </c>
    </row>
    <row r="3111">
      <c r="A3111" s="6" t="str">
        <f>IFERROR(__xludf.DUMMYFUNCTION("""COMPUTED_VALUE"""),"")</f>
        <v/>
      </c>
      <c r="C3111" t="str">
        <f>IFERROR(__xludf.DUMMYFUNCTION("""COMPUTED_VALUE"""),"")</f>
        <v/>
      </c>
      <c r="D3111" t="str">
        <f>IFERROR(__xludf.DUMMYFUNCTION("""COMPUTED_VALUE"""),"")</f>
        <v/>
      </c>
      <c r="E3111" t="str">
        <f>IFERROR(__xludf.DUMMYFUNCTION("""COMPUTED_VALUE"""),"")</f>
        <v/>
      </c>
      <c r="F3111" t="str">
        <f>IFERROR(__xludf.DUMMYFUNCTION("""COMPUTED_VALUE"""),"")</f>
        <v/>
      </c>
      <c r="G3111" t="str">
        <f>IFERROR(__xludf.DUMMYFUNCTION("""COMPUTED_VALUE"""),"")</f>
        <v/>
      </c>
      <c r="H3111" s="2" t="str">
        <f>IFERROR(__xludf.DUMMYFUNCTION("""COMPUTED_VALUE"""),"")</f>
        <v/>
      </c>
      <c r="I3111" s="2" t="str">
        <f>IFERROR(__xludf.DUMMYFUNCTION("""COMPUTED_VALUE"""),"")</f>
        <v/>
      </c>
      <c r="J3111" s="2">
        <f>IFERROR(__xludf.DUMMYFUNCTION("""COMPUTED_VALUE"""),0.0)</f>
        <v>0</v>
      </c>
      <c r="K3111" s="5" t="str">
        <f>IFERROR(__xludf.DUMMYFUNCTION("""COMPUTED_VALUE"""),"")</f>
        <v/>
      </c>
      <c r="L3111" t="str">
        <f>IFERROR(__xludf.DUMMYFUNCTION("""COMPUTED_VALUE"""),"")</f>
        <v/>
      </c>
      <c r="M3111" t="str">
        <f>IFERROR(__xludf.DUMMYFUNCTION("""COMPUTED_VALUE"""),"")</f>
        <v/>
      </c>
      <c r="N3111" t="str">
        <f>IFERROR(__xludf.DUMMYFUNCTION("""COMPUTED_VALUE"""),"")</f>
        <v/>
      </c>
      <c r="O3111" t="str">
        <f>IFERROR(__xludf.DUMMYFUNCTION("""COMPUTED_VALUE"""),"")</f>
        <v/>
      </c>
      <c r="P3111" t="str">
        <f>IFERROR(__xludf.DUMMYFUNCTION("""COMPUTED_VALUE"""),"ID ")</f>
        <v>ID </v>
      </c>
    </row>
    <row r="3112">
      <c r="A3112" s="6" t="str">
        <f>IFERROR(__xludf.DUMMYFUNCTION("""COMPUTED_VALUE"""),"")</f>
        <v/>
      </c>
      <c r="C3112" t="str">
        <f>IFERROR(__xludf.DUMMYFUNCTION("""COMPUTED_VALUE"""),"")</f>
        <v/>
      </c>
      <c r="D3112" t="str">
        <f>IFERROR(__xludf.DUMMYFUNCTION("""COMPUTED_VALUE"""),"")</f>
        <v/>
      </c>
      <c r="E3112" t="str">
        <f>IFERROR(__xludf.DUMMYFUNCTION("""COMPUTED_VALUE"""),"")</f>
        <v/>
      </c>
      <c r="F3112" t="str">
        <f>IFERROR(__xludf.DUMMYFUNCTION("""COMPUTED_VALUE"""),"")</f>
        <v/>
      </c>
      <c r="G3112" t="str">
        <f>IFERROR(__xludf.DUMMYFUNCTION("""COMPUTED_VALUE"""),"")</f>
        <v/>
      </c>
      <c r="H3112" s="2" t="str">
        <f>IFERROR(__xludf.DUMMYFUNCTION("""COMPUTED_VALUE"""),"")</f>
        <v/>
      </c>
      <c r="I3112" s="2" t="str">
        <f>IFERROR(__xludf.DUMMYFUNCTION("""COMPUTED_VALUE"""),"")</f>
        <v/>
      </c>
      <c r="J3112" s="2">
        <f>IFERROR(__xludf.DUMMYFUNCTION("""COMPUTED_VALUE"""),0.0)</f>
        <v>0</v>
      </c>
      <c r="K3112" s="5" t="str">
        <f>IFERROR(__xludf.DUMMYFUNCTION("""COMPUTED_VALUE"""),"")</f>
        <v/>
      </c>
      <c r="L3112" t="str">
        <f>IFERROR(__xludf.DUMMYFUNCTION("""COMPUTED_VALUE"""),"")</f>
        <v/>
      </c>
      <c r="M3112" t="str">
        <f>IFERROR(__xludf.DUMMYFUNCTION("""COMPUTED_VALUE"""),"")</f>
        <v/>
      </c>
      <c r="N3112" t="str">
        <f>IFERROR(__xludf.DUMMYFUNCTION("""COMPUTED_VALUE"""),"")</f>
        <v/>
      </c>
      <c r="O3112" t="str">
        <f>IFERROR(__xludf.DUMMYFUNCTION("""COMPUTED_VALUE"""),"")</f>
        <v/>
      </c>
      <c r="P3112" t="str">
        <f>IFERROR(__xludf.DUMMYFUNCTION("""COMPUTED_VALUE"""),"ID ")</f>
        <v>ID </v>
      </c>
    </row>
    <row r="3113">
      <c r="A3113" s="6" t="str">
        <f>IFERROR(__xludf.DUMMYFUNCTION("""COMPUTED_VALUE"""),"")</f>
        <v/>
      </c>
      <c r="C3113" t="str">
        <f>IFERROR(__xludf.DUMMYFUNCTION("""COMPUTED_VALUE"""),"")</f>
        <v/>
      </c>
      <c r="D3113" t="str">
        <f>IFERROR(__xludf.DUMMYFUNCTION("""COMPUTED_VALUE"""),"")</f>
        <v/>
      </c>
      <c r="E3113" t="str">
        <f>IFERROR(__xludf.DUMMYFUNCTION("""COMPUTED_VALUE"""),"")</f>
        <v/>
      </c>
      <c r="F3113" t="str">
        <f>IFERROR(__xludf.DUMMYFUNCTION("""COMPUTED_VALUE"""),"")</f>
        <v/>
      </c>
      <c r="G3113" t="str">
        <f>IFERROR(__xludf.DUMMYFUNCTION("""COMPUTED_VALUE"""),"")</f>
        <v/>
      </c>
      <c r="H3113" s="2" t="str">
        <f>IFERROR(__xludf.DUMMYFUNCTION("""COMPUTED_VALUE"""),"")</f>
        <v/>
      </c>
      <c r="I3113" s="2" t="str">
        <f>IFERROR(__xludf.DUMMYFUNCTION("""COMPUTED_VALUE"""),"")</f>
        <v/>
      </c>
      <c r="J3113" s="2">
        <f>IFERROR(__xludf.DUMMYFUNCTION("""COMPUTED_VALUE"""),0.0)</f>
        <v>0</v>
      </c>
      <c r="K3113" s="5" t="str">
        <f>IFERROR(__xludf.DUMMYFUNCTION("""COMPUTED_VALUE"""),"")</f>
        <v/>
      </c>
      <c r="L3113" t="str">
        <f>IFERROR(__xludf.DUMMYFUNCTION("""COMPUTED_VALUE"""),"")</f>
        <v/>
      </c>
      <c r="M3113" t="str">
        <f>IFERROR(__xludf.DUMMYFUNCTION("""COMPUTED_VALUE"""),"")</f>
        <v/>
      </c>
      <c r="N3113" t="str">
        <f>IFERROR(__xludf.DUMMYFUNCTION("""COMPUTED_VALUE"""),"")</f>
        <v/>
      </c>
      <c r="O3113" t="str">
        <f>IFERROR(__xludf.DUMMYFUNCTION("""COMPUTED_VALUE"""),"")</f>
        <v/>
      </c>
      <c r="P3113" t="str">
        <f>IFERROR(__xludf.DUMMYFUNCTION("""COMPUTED_VALUE"""),"ID ")</f>
        <v>ID </v>
      </c>
    </row>
    <row r="3114">
      <c r="A3114" s="6" t="str">
        <f>IFERROR(__xludf.DUMMYFUNCTION("""COMPUTED_VALUE"""),"")</f>
        <v/>
      </c>
      <c r="C3114" t="str">
        <f>IFERROR(__xludf.DUMMYFUNCTION("""COMPUTED_VALUE"""),"")</f>
        <v/>
      </c>
      <c r="D3114" t="str">
        <f>IFERROR(__xludf.DUMMYFUNCTION("""COMPUTED_VALUE"""),"")</f>
        <v/>
      </c>
      <c r="E3114" t="str">
        <f>IFERROR(__xludf.DUMMYFUNCTION("""COMPUTED_VALUE"""),"")</f>
        <v/>
      </c>
      <c r="F3114" t="str">
        <f>IFERROR(__xludf.DUMMYFUNCTION("""COMPUTED_VALUE"""),"")</f>
        <v/>
      </c>
      <c r="G3114" t="str">
        <f>IFERROR(__xludf.DUMMYFUNCTION("""COMPUTED_VALUE"""),"")</f>
        <v/>
      </c>
      <c r="H3114" s="2" t="str">
        <f>IFERROR(__xludf.DUMMYFUNCTION("""COMPUTED_VALUE"""),"")</f>
        <v/>
      </c>
      <c r="I3114" s="2" t="str">
        <f>IFERROR(__xludf.DUMMYFUNCTION("""COMPUTED_VALUE"""),"")</f>
        <v/>
      </c>
      <c r="J3114" s="2">
        <f>IFERROR(__xludf.DUMMYFUNCTION("""COMPUTED_VALUE"""),0.0)</f>
        <v>0</v>
      </c>
      <c r="K3114" s="5" t="str">
        <f>IFERROR(__xludf.DUMMYFUNCTION("""COMPUTED_VALUE"""),"")</f>
        <v/>
      </c>
      <c r="L3114" t="str">
        <f>IFERROR(__xludf.DUMMYFUNCTION("""COMPUTED_VALUE"""),"")</f>
        <v/>
      </c>
      <c r="M3114" t="str">
        <f>IFERROR(__xludf.DUMMYFUNCTION("""COMPUTED_VALUE"""),"")</f>
        <v/>
      </c>
      <c r="N3114" t="str">
        <f>IFERROR(__xludf.DUMMYFUNCTION("""COMPUTED_VALUE"""),"")</f>
        <v/>
      </c>
      <c r="O3114" t="str">
        <f>IFERROR(__xludf.DUMMYFUNCTION("""COMPUTED_VALUE"""),"")</f>
        <v/>
      </c>
      <c r="P3114" t="str">
        <f>IFERROR(__xludf.DUMMYFUNCTION("""COMPUTED_VALUE"""),"ID ")</f>
        <v>ID </v>
      </c>
    </row>
    <row r="3115">
      <c r="A3115" s="6" t="str">
        <f>IFERROR(__xludf.DUMMYFUNCTION("""COMPUTED_VALUE"""),"")</f>
        <v/>
      </c>
      <c r="C3115" t="str">
        <f>IFERROR(__xludf.DUMMYFUNCTION("""COMPUTED_VALUE"""),"")</f>
        <v/>
      </c>
      <c r="D3115" t="str">
        <f>IFERROR(__xludf.DUMMYFUNCTION("""COMPUTED_VALUE"""),"")</f>
        <v/>
      </c>
      <c r="E3115" t="str">
        <f>IFERROR(__xludf.DUMMYFUNCTION("""COMPUTED_VALUE"""),"")</f>
        <v/>
      </c>
      <c r="F3115" t="str">
        <f>IFERROR(__xludf.DUMMYFUNCTION("""COMPUTED_VALUE"""),"")</f>
        <v/>
      </c>
      <c r="G3115" t="str">
        <f>IFERROR(__xludf.DUMMYFUNCTION("""COMPUTED_VALUE"""),"")</f>
        <v/>
      </c>
      <c r="H3115" s="2" t="str">
        <f>IFERROR(__xludf.DUMMYFUNCTION("""COMPUTED_VALUE"""),"")</f>
        <v/>
      </c>
      <c r="I3115" s="2" t="str">
        <f>IFERROR(__xludf.DUMMYFUNCTION("""COMPUTED_VALUE"""),"")</f>
        <v/>
      </c>
      <c r="J3115" s="2">
        <f>IFERROR(__xludf.DUMMYFUNCTION("""COMPUTED_VALUE"""),0.0)</f>
        <v>0</v>
      </c>
      <c r="K3115" s="5" t="str">
        <f>IFERROR(__xludf.DUMMYFUNCTION("""COMPUTED_VALUE"""),"")</f>
        <v/>
      </c>
      <c r="L3115" t="str">
        <f>IFERROR(__xludf.DUMMYFUNCTION("""COMPUTED_VALUE"""),"")</f>
        <v/>
      </c>
      <c r="M3115" t="str">
        <f>IFERROR(__xludf.DUMMYFUNCTION("""COMPUTED_VALUE"""),"")</f>
        <v/>
      </c>
      <c r="N3115" t="str">
        <f>IFERROR(__xludf.DUMMYFUNCTION("""COMPUTED_VALUE"""),"")</f>
        <v/>
      </c>
      <c r="O3115" t="str">
        <f>IFERROR(__xludf.DUMMYFUNCTION("""COMPUTED_VALUE"""),"")</f>
        <v/>
      </c>
      <c r="P3115" t="str">
        <f>IFERROR(__xludf.DUMMYFUNCTION("""COMPUTED_VALUE"""),"ID ")</f>
        <v>ID </v>
      </c>
    </row>
    <row r="3116">
      <c r="A3116" s="6" t="str">
        <f>IFERROR(__xludf.DUMMYFUNCTION("""COMPUTED_VALUE"""),"")</f>
        <v/>
      </c>
      <c r="C3116" t="str">
        <f>IFERROR(__xludf.DUMMYFUNCTION("""COMPUTED_VALUE"""),"")</f>
        <v/>
      </c>
      <c r="D3116" t="str">
        <f>IFERROR(__xludf.DUMMYFUNCTION("""COMPUTED_VALUE"""),"")</f>
        <v/>
      </c>
      <c r="E3116" t="str">
        <f>IFERROR(__xludf.DUMMYFUNCTION("""COMPUTED_VALUE"""),"")</f>
        <v/>
      </c>
      <c r="F3116" t="str">
        <f>IFERROR(__xludf.DUMMYFUNCTION("""COMPUTED_VALUE"""),"")</f>
        <v/>
      </c>
      <c r="G3116" t="str">
        <f>IFERROR(__xludf.DUMMYFUNCTION("""COMPUTED_VALUE"""),"")</f>
        <v/>
      </c>
      <c r="H3116" s="2" t="str">
        <f>IFERROR(__xludf.DUMMYFUNCTION("""COMPUTED_VALUE"""),"")</f>
        <v/>
      </c>
      <c r="I3116" s="2" t="str">
        <f>IFERROR(__xludf.DUMMYFUNCTION("""COMPUTED_VALUE"""),"")</f>
        <v/>
      </c>
      <c r="J3116" s="2">
        <f>IFERROR(__xludf.DUMMYFUNCTION("""COMPUTED_VALUE"""),0.0)</f>
        <v>0</v>
      </c>
      <c r="K3116" s="5" t="str">
        <f>IFERROR(__xludf.DUMMYFUNCTION("""COMPUTED_VALUE"""),"")</f>
        <v/>
      </c>
      <c r="L3116" t="str">
        <f>IFERROR(__xludf.DUMMYFUNCTION("""COMPUTED_VALUE"""),"")</f>
        <v/>
      </c>
      <c r="M3116" t="str">
        <f>IFERROR(__xludf.DUMMYFUNCTION("""COMPUTED_VALUE"""),"")</f>
        <v/>
      </c>
      <c r="N3116" t="str">
        <f>IFERROR(__xludf.DUMMYFUNCTION("""COMPUTED_VALUE"""),"")</f>
        <v/>
      </c>
      <c r="O3116" t="str">
        <f>IFERROR(__xludf.DUMMYFUNCTION("""COMPUTED_VALUE"""),"")</f>
        <v/>
      </c>
      <c r="P3116" t="str">
        <f>IFERROR(__xludf.DUMMYFUNCTION("""COMPUTED_VALUE"""),"ID ")</f>
        <v>ID </v>
      </c>
    </row>
    <row r="3117">
      <c r="A3117" s="6" t="str">
        <f>IFERROR(__xludf.DUMMYFUNCTION("""COMPUTED_VALUE"""),"")</f>
        <v/>
      </c>
      <c r="C3117" t="str">
        <f>IFERROR(__xludf.DUMMYFUNCTION("""COMPUTED_VALUE"""),"")</f>
        <v/>
      </c>
      <c r="D3117" t="str">
        <f>IFERROR(__xludf.DUMMYFUNCTION("""COMPUTED_VALUE"""),"")</f>
        <v/>
      </c>
      <c r="E3117" t="str">
        <f>IFERROR(__xludf.DUMMYFUNCTION("""COMPUTED_VALUE"""),"")</f>
        <v/>
      </c>
      <c r="F3117" t="str">
        <f>IFERROR(__xludf.DUMMYFUNCTION("""COMPUTED_VALUE"""),"")</f>
        <v/>
      </c>
      <c r="G3117" t="str">
        <f>IFERROR(__xludf.DUMMYFUNCTION("""COMPUTED_VALUE"""),"")</f>
        <v/>
      </c>
      <c r="H3117" s="2" t="str">
        <f>IFERROR(__xludf.DUMMYFUNCTION("""COMPUTED_VALUE"""),"")</f>
        <v/>
      </c>
      <c r="I3117" s="2" t="str">
        <f>IFERROR(__xludf.DUMMYFUNCTION("""COMPUTED_VALUE"""),"")</f>
        <v/>
      </c>
      <c r="J3117" s="2">
        <f>IFERROR(__xludf.DUMMYFUNCTION("""COMPUTED_VALUE"""),0.0)</f>
        <v>0</v>
      </c>
      <c r="K3117" s="5" t="str">
        <f>IFERROR(__xludf.DUMMYFUNCTION("""COMPUTED_VALUE"""),"")</f>
        <v/>
      </c>
      <c r="L3117" t="str">
        <f>IFERROR(__xludf.DUMMYFUNCTION("""COMPUTED_VALUE"""),"")</f>
        <v/>
      </c>
      <c r="M3117" t="str">
        <f>IFERROR(__xludf.DUMMYFUNCTION("""COMPUTED_VALUE"""),"")</f>
        <v/>
      </c>
      <c r="N3117" t="str">
        <f>IFERROR(__xludf.DUMMYFUNCTION("""COMPUTED_VALUE"""),"")</f>
        <v/>
      </c>
      <c r="O3117" t="str">
        <f>IFERROR(__xludf.DUMMYFUNCTION("""COMPUTED_VALUE"""),"")</f>
        <v/>
      </c>
      <c r="P3117" t="str">
        <f>IFERROR(__xludf.DUMMYFUNCTION("""COMPUTED_VALUE"""),"ID ")</f>
        <v>ID </v>
      </c>
    </row>
    <row r="3118">
      <c r="A3118" s="6" t="str">
        <f>IFERROR(__xludf.DUMMYFUNCTION("""COMPUTED_VALUE"""),"")</f>
        <v/>
      </c>
      <c r="C3118" t="str">
        <f>IFERROR(__xludf.DUMMYFUNCTION("""COMPUTED_VALUE"""),"")</f>
        <v/>
      </c>
      <c r="D3118" t="str">
        <f>IFERROR(__xludf.DUMMYFUNCTION("""COMPUTED_VALUE"""),"")</f>
        <v/>
      </c>
      <c r="E3118" t="str">
        <f>IFERROR(__xludf.DUMMYFUNCTION("""COMPUTED_VALUE"""),"")</f>
        <v/>
      </c>
      <c r="F3118" t="str">
        <f>IFERROR(__xludf.DUMMYFUNCTION("""COMPUTED_VALUE"""),"")</f>
        <v/>
      </c>
      <c r="G3118" t="str">
        <f>IFERROR(__xludf.DUMMYFUNCTION("""COMPUTED_VALUE"""),"")</f>
        <v/>
      </c>
      <c r="H3118" s="2" t="str">
        <f>IFERROR(__xludf.DUMMYFUNCTION("""COMPUTED_VALUE"""),"")</f>
        <v/>
      </c>
      <c r="I3118" s="2" t="str">
        <f>IFERROR(__xludf.DUMMYFUNCTION("""COMPUTED_VALUE"""),"")</f>
        <v/>
      </c>
      <c r="J3118" s="2">
        <f>IFERROR(__xludf.DUMMYFUNCTION("""COMPUTED_VALUE"""),0.0)</f>
        <v>0</v>
      </c>
      <c r="K3118" s="5" t="str">
        <f>IFERROR(__xludf.DUMMYFUNCTION("""COMPUTED_VALUE"""),"")</f>
        <v/>
      </c>
      <c r="L3118" t="str">
        <f>IFERROR(__xludf.DUMMYFUNCTION("""COMPUTED_VALUE"""),"")</f>
        <v/>
      </c>
      <c r="M3118" t="str">
        <f>IFERROR(__xludf.DUMMYFUNCTION("""COMPUTED_VALUE"""),"")</f>
        <v/>
      </c>
      <c r="N3118" t="str">
        <f>IFERROR(__xludf.DUMMYFUNCTION("""COMPUTED_VALUE"""),"")</f>
        <v/>
      </c>
      <c r="O3118" t="str">
        <f>IFERROR(__xludf.DUMMYFUNCTION("""COMPUTED_VALUE"""),"")</f>
        <v/>
      </c>
      <c r="P3118" t="str">
        <f>IFERROR(__xludf.DUMMYFUNCTION("""COMPUTED_VALUE"""),"ID ")</f>
        <v>ID </v>
      </c>
    </row>
    <row r="3119">
      <c r="A3119" s="6" t="str">
        <f>IFERROR(__xludf.DUMMYFUNCTION("""COMPUTED_VALUE"""),"")</f>
        <v/>
      </c>
      <c r="C3119" t="str">
        <f>IFERROR(__xludf.DUMMYFUNCTION("""COMPUTED_VALUE"""),"")</f>
        <v/>
      </c>
      <c r="D3119" t="str">
        <f>IFERROR(__xludf.DUMMYFUNCTION("""COMPUTED_VALUE"""),"")</f>
        <v/>
      </c>
      <c r="E3119" t="str">
        <f>IFERROR(__xludf.DUMMYFUNCTION("""COMPUTED_VALUE"""),"")</f>
        <v/>
      </c>
      <c r="F3119" t="str">
        <f>IFERROR(__xludf.DUMMYFUNCTION("""COMPUTED_VALUE"""),"")</f>
        <v/>
      </c>
      <c r="G3119" t="str">
        <f>IFERROR(__xludf.DUMMYFUNCTION("""COMPUTED_VALUE"""),"")</f>
        <v/>
      </c>
      <c r="H3119" s="2" t="str">
        <f>IFERROR(__xludf.DUMMYFUNCTION("""COMPUTED_VALUE"""),"")</f>
        <v/>
      </c>
      <c r="I3119" s="2" t="str">
        <f>IFERROR(__xludf.DUMMYFUNCTION("""COMPUTED_VALUE"""),"")</f>
        <v/>
      </c>
      <c r="J3119" s="2">
        <f>IFERROR(__xludf.DUMMYFUNCTION("""COMPUTED_VALUE"""),0.0)</f>
        <v>0</v>
      </c>
      <c r="K3119" s="5" t="str">
        <f>IFERROR(__xludf.DUMMYFUNCTION("""COMPUTED_VALUE"""),"")</f>
        <v/>
      </c>
      <c r="L3119" t="str">
        <f>IFERROR(__xludf.DUMMYFUNCTION("""COMPUTED_VALUE"""),"")</f>
        <v/>
      </c>
      <c r="M3119" t="str">
        <f>IFERROR(__xludf.DUMMYFUNCTION("""COMPUTED_VALUE"""),"")</f>
        <v/>
      </c>
      <c r="N3119" t="str">
        <f>IFERROR(__xludf.DUMMYFUNCTION("""COMPUTED_VALUE"""),"")</f>
        <v/>
      </c>
      <c r="O3119" t="str">
        <f>IFERROR(__xludf.DUMMYFUNCTION("""COMPUTED_VALUE"""),"")</f>
        <v/>
      </c>
      <c r="P3119" t="str">
        <f>IFERROR(__xludf.DUMMYFUNCTION("""COMPUTED_VALUE"""),"ID ")</f>
        <v>ID </v>
      </c>
    </row>
    <row r="3120">
      <c r="A3120" s="6" t="str">
        <f>IFERROR(__xludf.DUMMYFUNCTION("""COMPUTED_VALUE"""),"")</f>
        <v/>
      </c>
      <c r="C3120" t="str">
        <f>IFERROR(__xludf.DUMMYFUNCTION("""COMPUTED_VALUE"""),"")</f>
        <v/>
      </c>
      <c r="D3120" t="str">
        <f>IFERROR(__xludf.DUMMYFUNCTION("""COMPUTED_VALUE"""),"")</f>
        <v/>
      </c>
      <c r="E3120" t="str">
        <f>IFERROR(__xludf.DUMMYFUNCTION("""COMPUTED_VALUE"""),"")</f>
        <v/>
      </c>
      <c r="F3120" t="str">
        <f>IFERROR(__xludf.DUMMYFUNCTION("""COMPUTED_VALUE"""),"")</f>
        <v/>
      </c>
      <c r="G3120" t="str">
        <f>IFERROR(__xludf.DUMMYFUNCTION("""COMPUTED_VALUE"""),"")</f>
        <v/>
      </c>
      <c r="H3120" s="2" t="str">
        <f>IFERROR(__xludf.DUMMYFUNCTION("""COMPUTED_VALUE"""),"")</f>
        <v/>
      </c>
      <c r="I3120" s="2" t="str">
        <f>IFERROR(__xludf.DUMMYFUNCTION("""COMPUTED_VALUE"""),"")</f>
        <v/>
      </c>
      <c r="J3120" s="2">
        <f>IFERROR(__xludf.DUMMYFUNCTION("""COMPUTED_VALUE"""),0.0)</f>
        <v>0</v>
      </c>
      <c r="K3120" s="5" t="str">
        <f>IFERROR(__xludf.DUMMYFUNCTION("""COMPUTED_VALUE"""),"")</f>
        <v/>
      </c>
      <c r="L3120" t="str">
        <f>IFERROR(__xludf.DUMMYFUNCTION("""COMPUTED_VALUE"""),"")</f>
        <v/>
      </c>
      <c r="M3120" t="str">
        <f>IFERROR(__xludf.DUMMYFUNCTION("""COMPUTED_VALUE"""),"")</f>
        <v/>
      </c>
      <c r="N3120" t="str">
        <f>IFERROR(__xludf.DUMMYFUNCTION("""COMPUTED_VALUE"""),"")</f>
        <v/>
      </c>
      <c r="O3120" t="str">
        <f>IFERROR(__xludf.DUMMYFUNCTION("""COMPUTED_VALUE"""),"")</f>
        <v/>
      </c>
      <c r="P3120" t="str">
        <f>IFERROR(__xludf.DUMMYFUNCTION("""COMPUTED_VALUE"""),"ID ")</f>
        <v>ID </v>
      </c>
    </row>
    <row r="3121">
      <c r="A3121" s="6" t="str">
        <f>IFERROR(__xludf.DUMMYFUNCTION("""COMPUTED_VALUE"""),"")</f>
        <v/>
      </c>
      <c r="C3121" t="str">
        <f>IFERROR(__xludf.DUMMYFUNCTION("""COMPUTED_VALUE"""),"")</f>
        <v/>
      </c>
      <c r="D3121" t="str">
        <f>IFERROR(__xludf.DUMMYFUNCTION("""COMPUTED_VALUE"""),"")</f>
        <v/>
      </c>
      <c r="E3121" t="str">
        <f>IFERROR(__xludf.DUMMYFUNCTION("""COMPUTED_VALUE"""),"")</f>
        <v/>
      </c>
      <c r="F3121" t="str">
        <f>IFERROR(__xludf.DUMMYFUNCTION("""COMPUTED_VALUE"""),"")</f>
        <v/>
      </c>
      <c r="G3121" t="str">
        <f>IFERROR(__xludf.DUMMYFUNCTION("""COMPUTED_VALUE"""),"")</f>
        <v/>
      </c>
      <c r="H3121" s="2" t="str">
        <f>IFERROR(__xludf.DUMMYFUNCTION("""COMPUTED_VALUE"""),"")</f>
        <v/>
      </c>
      <c r="I3121" s="2" t="str">
        <f>IFERROR(__xludf.DUMMYFUNCTION("""COMPUTED_VALUE"""),"")</f>
        <v/>
      </c>
      <c r="J3121" s="2">
        <f>IFERROR(__xludf.DUMMYFUNCTION("""COMPUTED_VALUE"""),0.0)</f>
        <v>0</v>
      </c>
      <c r="K3121" s="5" t="str">
        <f>IFERROR(__xludf.DUMMYFUNCTION("""COMPUTED_VALUE"""),"")</f>
        <v/>
      </c>
      <c r="L3121" t="str">
        <f>IFERROR(__xludf.DUMMYFUNCTION("""COMPUTED_VALUE"""),"")</f>
        <v/>
      </c>
      <c r="M3121" t="str">
        <f>IFERROR(__xludf.DUMMYFUNCTION("""COMPUTED_VALUE"""),"")</f>
        <v/>
      </c>
      <c r="N3121" t="str">
        <f>IFERROR(__xludf.DUMMYFUNCTION("""COMPUTED_VALUE"""),"")</f>
        <v/>
      </c>
      <c r="O3121" t="str">
        <f>IFERROR(__xludf.DUMMYFUNCTION("""COMPUTED_VALUE"""),"")</f>
        <v/>
      </c>
      <c r="P3121" t="str">
        <f>IFERROR(__xludf.DUMMYFUNCTION("""COMPUTED_VALUE"""),"ID ")</f>
        <v>ID </v>
      </c>
    </row>
    <row r="3122">
      <c r="A3122" s="6" t="str">
        <f>IFERROR(__xludf.DUMMYFUNCTION("""COMPUTED_VALUE"""),"")</f>
        <v/>
      </c>
      <c r="C3122" t="str">
        <f>IFERROR(__xludf.DUMMYFUNCTION("""COMPUTED_VALUE"""),"")</f>
        <v/>
      </c>
      <c r="D3122" t="str">
        <f>IFERROR(__xludf.DUMMYFUNCTION("""COMPUTED_VALUE"""),"")</f>
        <v/>
      </c>
      <c r="E3122" t="str">
        <f>IFERROR(__xludf.DUMMYFUNCTION("""COMPUTED_VALUE"""),"")</f>
        <v/>
      </c>
      <c r="F3122" t="str">
        <f>IFERROR(__xludf.DUMMYFUNCTION("""COMPUTED_VALUE"""),"")</f>
        <v/>
      </c>
      <c r="G3122" t="str">
        <f>IFERROR(__xludf.DUMMYFUNCTION("""COMPUTED_VALUE"""),"")</f>
        <v/>
      </c>
      <c r="H3122" s="2" t="str">
        <f>IFERROR(__xludf.DUMMYFUNCTION("""COMPUTED_VALUE"""),"")</f>
        <v/>
      </c>
      <c r="I3122" s="2" t="str">
        <f>IFERROR(__xludf.DUMMYFUNCTION("""COMPUTED_VALUE"""),"")</f>
        <v/>
      </c>
      <c r="J3122" s="2">
        <f>IFERROR(__xludf.DUMMYFUNCTION("""COMPUTED_VALUE"""),0.0)</f>
        <v>0</v>
      </c>
      <c r="K3122" s="5" t="str">
        <f>IFERROR(__xludf.DUMMYFUNCTION("""COMPUTED_VALUE"""),"")</f>
        <v/>
      </c>
      <c r="L3122" t="str">
        <f>IFERROR(__xludf.DUMMYFUNCTION("""COMPUTED_VALUE"""),"")</f>
        <v/>
      </c>
      <c r="M3122" t="str">
        <f>IFERROR(__xludf.DUMMYFUNCTION("""COMPUTED_VALUE"""),"")</f>
        <v/>
      </c>
      <c r="N3122" t="str">
        <f>IFERROR(__xludf.DUMMYFUNCTION("""COMPUTED_VALUE"""),"")</f>
        <v/>
      </c>
      <c r="O3122" t="str">
        <f>IFERROR(__xludf.DUMMYFUNCTION("""COMPUTED_VALUE"""),"")</f>
        <v/>
      </c>
      <c r="P3122" t="str">
        <f>IFERROR(__xludf.DUMMYFUNCTION("""COMPUTED_VALUE"""),"ID ")</f>
        <v>ID </v>
      </c>
    </row>
    <row r="3123">
      <c r="A3123" s="6" t="str">
        <f>IFERROR(__xludf.DUMMYFUNCTION("""COMPUTED_VALUE"""),"")</f>
        <v/>
      </c>
      <c r="C3123" t="str">
        <f>IFERROR(__xludf.DUMMYFUNCTION("""COMPUTED_VALUE"""),"")</f>
        <v/>
      </c>
      <c r="D3123" t="str">
        <f>IFERROR(__xludf.DUMMYFUNCTION("""COMPUTED_VALUE"""),"")</f>
        <v/>
      </c>
      <c r="E3123" t="str">
        <f>IFERROR(__xludf.DUMMYFUNCTION("""COMPUTED_VALUE"""),"")</f>
        <v/>
      </c>
      <c r="F3123" t="str">
        <f>IFERROR(__xludf.DUMMYFUNCTION("""COMPUTED_VALUE"""),"")</f>
        <v/>
      </c>
      <c r="G3123" t="str">
        <f>IFERROR(__xludf.DUMMYFUNCTION("""COMPUTED_VALUE"""),"")</f>
        <v/>
      </c>
      <c r="H3123" s="2" t="str">
        <f>IFERROR(__xludf.DUMMYFUNCTION("""COMPUTED_VALUE"""),"")</f>
        <v/>
      </c>
      <c r="I3123" s="2" t="str">
        <f>IFERROR(__xludf.DUMMYFUNCTION("""COMPUTED_VALUE"""),"")</f>
        <v/>
      </c>
      <c r="J3123" s="2">
        <f>IFERROR(__xludf.DUMMYFUNCTION("""COMPUTED_VALUE"""),0.0)</f>
        <v>0</v>
      </c>
      <c r="K3123" s="5" t="str">
        <f>IFERROR(__xludf.DUMMYFUNCTION("""COMPUTED_VALUE"""),"")</f>
        <v/>
      </c>
      <c r="L3123" t="str">
        <f>IFERROR(__xludf.DUMMYFUNCTION("""COMPUTED_VALUE"""),"")</f>
        <v/>
      </c>
      <c r="M3123" t="str">
        <f>IFERROR(__xludf.DUMMYFUNCTION("""COMPUTED_VALUE"""),"")</f>
        <v/>
      </c>
      <c r="N3123" t="str">
        <f>IFERROR(__xludf.DUMMYFUNCTION("""COMPUTED_VALUE"""),"")</f>
        <v/>
      </c>
      <c r="O3123" t="str">
        <f>IFERROR(__xludf.DUMMYFUNCTION("""COMPUTED_VALUE"""),"")</f>
        <v/>
      </c>
      <c r="P3123" t="str">
        <f>IFERROR(__xludf.DUMMYFUNCTION("""COMPUTED_VALUE"""),"ID ")</f>
        <v>ID </v>
      </c>
    </row>
    <row r="3124">
      <c r="A3124" s="6" t="str">
        <f>IFERROR(__xludf.DUMMYFUNCTION("""COMPUTED_VALUE"""),"")</f>
        <v/>
      </c>
      <c r="C3124" t="str">
        <f>IFERROR(__xludf.DUMMYFUNCTION("""COMPUTED_VALUE"""),"")</f>
        <v/>
      </c>
      <c r="D3124" t="str">
        <f>IFERROR(__xludf.DUMMYFUNCTION("""COMPUTED_VALUE"""),"")</f>
        <v/>
      </c>
      <c r="E3124" t="str">
        <f>IFERROR(__xludf.DUMMYFUNCTION("""COMPUTED_VALUE"""),"")</f>
        <v/>
      </c>
      <c r="F3124" t="str">
        <f>IFERROR(__xludf.DUMMYFUNCTION("""COMPUTED_VALUE"""),"")</f>
        <v/>
      </c>
      <c r="G3124" t="str">
        <f>IFERROR(__xludf.DUMMYFUNCTION("""COMPUTED_VALUE"""),"")</f>
        <v/>
      </c>
      <c r="H3124" s="2" t="str">
        <f>IFERROR(__xludf.DUMMYFUNCTION("""COMPUTED_VALUE"""),"")</f>
        <v/>
      </c>
      <c r="I3124" s="2" t="str">
        <f>IFERROR(__xludf.DUMMYFUNCTION("""COMPUTED_VALUE"""),"")</f>
        <v/>
      </c>
      <c r="J3124" s="2">
        <f>IFERROR(__xludf.DUMMYFUNCTION("""COMPUTED_VALUE"""),0.0)</f>
        <v>0</v>
      </c>
      <c r="K3124" s="5" t="str">
        <f>IFERROR(__xludf.DUMMYFUNCTION("""COMPUTED_VALUE"""),"")</f>
        <v/>
      </c>
      <c r="L3124" t="str">
        <f>IFERROR(__xludf.DUMMYFUNCTION("""COMPUTED_VALUE"""),"")</f>
        <v/>
      </c>
      <c r="M3124" t="str">
        <f>IFERROR(__xludf.DUMMYFUNCTION("""COMPUTED_VALUE"""),"")</f>
        <v/>
      </c>
      <c r="N3124" t="str">
        <f>IFERROR(__xludf.DUMMYFUNCTION("""COMPUTED_VALUE"""),"")</f>
        <v/>
      </c>
      <c r="O3124" t="str">
        <f>IFERROR(__xludf.DUMMYFUNCTION("""COMPUTED_VALUE"""),"")</f>
        <v/>
      </c>
      <c r="P3124" t="str">
        <f>IFERROR(__xludf.DUMMYFUNCTION("""COMPUTED_VALUE"""),"ID ")</f>
        <v>ID </v>
      </c>
    </row>
    <row r="3125">
      <c r="A3125" s="6" t="str">
        <f>IFERROR(__xludf.DUMMYFUNCTION("""COMPUTED_VALUE"""),"")</f>
        <v/>
      </c>
      <c r="C3125" t="str">
        <f>IFERROR(__xludf.DUMMYFUNCTION("""COMPUTED_VALUE"""),"")</f>
        <v/>
      </c>
      <c r="D3125" t="str">
        <f>IFERROR(__xludf.DUMMYFUNCTION("""COMPUTED_VALUE"""),"")</f>
        <v/>
      </c>
      <c r="E3125" t="str">
        <f>IFERROR(__xludf.DUMMYFUNCTION("""COMPUTED_VALUE"""),"")</f>
        <v/>
      </c>
      <c r="F3125" t="str">
        <f>IFERROR(__xludf.DUMMYFUNCTION("""COMPUTED_VALUE"""),"")</f>
        <v/>
      </c>
      <c r="G3125" t="str">
        <f>IFERROR(__xludf.DUMMYFUNCTION("""COMPUTED_VALUE"""),"")</f>
        <v/>
      </c>
      <c r="H3125" s="2" t="str">
        <f>IFERROR(__xludf.DUMMYFUNCTION("""COMPUTED_VALUE"""),"")</f>
        <v/>
      </c>
      <c r="I3125" s="2" t="str">
        <f>IFERROR(__xludf.DUMMYFUNCTION("""COMPUTED_VALUE"""),"")</f>
        <v/>
      </c>
      <c r="J3125" s="2">
        <f>IFERROR(__xludf.DUMMYFUNCTION("""COMPUTED_VALUE"""),0.0)</f>
        <v>0</v>
      </c>
      <c r="K3125" s="5" t="str">
        <f>IFERROR(__xludf.DUMMYFUNCTION("""COMPUTED_VALUE"""),"")</f>
        <v/>
      </c>
      <c r="L3125" t="str">
        <f>IFERROR(__xludf.DUMMYFUNCTION("""COMPUTED_VALUE"""),"")</f>
        <v/>
      </c>
      <c r="M3125" t="str">
        <f>IFERROR(__xludf.DUMMYFUNCTION("""COMPUTED_VALUE"""),"")</f>
        <v/>
      </c>
      <c r="N3125" t="str">
        <f>IFERROR(__xludf.DUMMYFUNCTION("""COMPUTED_VALUE"""),"")</f>
        <v/>
      </c>
      <c r="O3125" t="str">
        <f>IFERROR(__xludf.DUMMYFUNCTION("""COMPUTED_VALUE"""),"")</f>
        <v/>
      </c>
      <c r="P3125" t="str">
        <f>IFERROR(__xludf.DUMMYFUNCTION("""COMPUTED_VALUE"""),"ID ")</f>
        <v>ID </v>
      </c>
    </row>
    <row r="3126">
      <c r="A3126" s="6" t="str">
        <f>IFERROR(__xludf.DUMMYFUNCTION("""COMPUTED_VALUE"""),"")</f>
        <v/>
      </c>
      <c r="C3126" t="str">
        <f>IFERROR(__xludf.DUMMYFUNCTION("""COMPUTED_VALUE"""),"")</f>
        <v/>
      </c>
      <c r="D3126" t="str">
        <f>IFERROR(__xludf.DUMMYFUNCTION("""COMPUTED_VALUE"""),"")</f>
        <v/>
      </c>
      <c r="E3126" t="str">
        <f>IFERROR(__xludf.DUMMYFUNCTION("""COMPUTED_VALUE"""),"")</f>
        <v/>
      </c>
      <c r="F3126" t="str">
        <f>IFERROR(__xludf.DUMMYFUNCTION("""COMPUTED_VALUE"""),"")</f>
        <v/>
      </c>
      <c r="G3126" t="str">
        <f>IFERROR(__xludf.DUMMYFUNCTION("""COMPUTED_VALUE"""),"")</f>
        <v/>
      </c>
      <c r="H3126" s="2" t="str">
        <f>IFERROR(__xludf.DUMMYFUNCTION("""COMPUTED_VALUE"""),"")</f>
        <v/>
      </c>
      <c r="I3126" s="2" t="str">
        <f>IFERROR(__xludf.DUMMYFUNCTION("""COMPUTED_VALUE"""),"")</f>
        <v/>
      </c>
      <c r="J3126" s="2">
        <f>IFERROR(__xludf.DUMMYFUNCTION("""COMPUTED_VALUE"""),0.0)</f>
        <v>0</v>
      </c>
      <c r="K3126" s="5" t="str">
        <f>IFERROR(__xludf.DUMMYFUNCTION("""COMPUTED_VALUE"""),"")</f>
        <v/>
      </c>
      <c r="L3126" t="str">
        <f>IFERROR(__xludf.DUMMYFUNCTION("""COMPUTED_VALUE"""),"")</f>
        <v/>
      </c>
      <c r="M3126" t="str">
        <f>IFERROR(__xludf.DUMMYFUNCTION("""COMPUTED_VALUE"""),"")</f>
        <v/>
      </c>
      <c r="N3126" t="str">
        <f>IFERROR(__xludf.DUMMYFUNCTION("""COMPUTED_VALUE"""),"")</f>
        <v/>
      </c>
      <c r="O3126" t="str">
        <f>IFERROR(__xludf.DUMMYFUNCTION("""COMPUTED_VALUE"""),"")</f>
        <v/>
      </c>
      <c r="P3126" t="str">
        <f>IFERROR(__xludf.DUMMYFUNCTION("""COMPUTED_VALUE"""),"ID ")</f>
        <v>ID </v>
      </c>
    </row>
    <row r="3127">
      <c r="A3127" s="6" t="str">
        <f>IFERROR(__xludf.DUMMYFUNCTION("""COMPUTED_VALUE"""),"")</f>
        <v/>
      </c>
      <c r="C3127" t="str">
        <f>IFERROR(__xludf.DUMMYFUNCTION("""COMPUTED_VALUE"""),"")</f>
        <v/>
      </c>
      <c r="D3127" t="str">
        <f>IFERROR(__xludf.DUMMYFUNCTION("""COMPUTED_VALUE"""),"")</f>
        <v/>
      </c>
      <c r="E3127" t="str">
        <f>IFERROR(__xludf.DUMMYFUNCTION("""COMPUTED_VALUE"""),"")</f>
        <v/>
      </c>
      <c r="F3127" t="str">
        <f>IFERROR(__xludf.DUMMYFUNCTION("""COMPUTED_VALUE"""),"")</f>
        <v/>
      </c>
      <c r="G3127" t="str">
        <f>IFERROR(__xludf.DUMMYFUNCTION("""COMPUTED_VALUE"""),"")</f>
        <v/>
      </c>
      <c r="H3127" s="2" t="str">
        <f>IFERROR(__xludf.DUMMYFUNCTION("""COMPUTED_VALUE"""),"")</f>
        <v/>
      </c>
      <c r="I3127" s="2" t="str">
        <f>IFERROR(__xludf.DUMMYFUNCTION("""COMPUTED_VALUE"""),"")</f>
        <v/>
      </c>
      <c r="J3127" s="2">
        <f>IFERROR(__xludf.DUMMYFUNCTION("""COMPUTED_VALUE"""),0.0)</f>
        <v>0</v>
      </c>
      <c r="K3127" s="5" t="str">
        <f>IFERROR(__xludf.DUMMYFUNCTION("""COMPUTED_VALUE"""),"")</f>
        <v/>
      </c>
      <c r="L3127" t="str">
        <f>IFERROR(__xludf.DUMMYFUNCTION("""COMPUTED_VALUE"""),"")</f>
        <v/>
      </c>
      <c r="M3127" t="str">
        <f>IFERROR(__xludf.DUMMYFUNCTION("""COMPUTED_VALUE"""),"")</f>
        <v/>
      </c>
      <c r="N3127" t="str">
        <f>IFERROR(__xludf.DUMMYFUNCTION("""COMPUTED_VALUE"""),"")</f>
        <v/>
      </c>
      <c r="O3127" t="str">
        <f>IFERROR(__xludf.DUMMYFUNCTION("""COMPUTED_VALUE"""),"")</f>
        <v/>
      </c>
      <c r="P3127" t="str">
        <f>IFERROR(__xludf.DUMMYFUNCTION("""COMPUTED_VALUE"""),"ID ")</f>
        <v>ID </v>
      </c>
    </row>
    <row r="3128">
      <c r="A3128" s="6" t="str">
        <f>IFERROR(__xludf.DUMMYFUNCTION("""COMPUTED_VALUE"""),"")</f>
        <v/>
      </c>
      <c r="C3128" t="str">
        <f>IFERROR(__xludf.DUMMYFUNCTION("""COMPUTED_VALUE"""),"")</f>
        <v/>
      </c>
      <c r="D3128" t="str">
        <f>IFERROR(__xludf.DUMMYFUNCTION("""COMPUTED_VALUE"""),"")</f>
        <v/>
      </c>
      <c r="E3128" t="str">
        <f>IFERROR(__xludf.DUMMYFUNCTION("""COMPUTED_VALUE"""),"")</f>
        <v/>
      </c>
      <c r="F3128" t="str">
        <f>IFERROR(__xludf.DUMMYFUNCTION("""COMPUTED_VALUE"""),"")</f>
        <v/>
      </c>
      <c r="G3128" t="str">
        <f>IFERROR(__xludf.DUMMYFUNCTION("""COMPUTED_VALUE"""),"")</f>
        <v/>
      </c>
      <c r="H3128" s="2" t="str">
        <f>IFERROR(__xludf.DUMMYFUNCTION("""COMPUTED_VALUE"""),"")</f>
        <v/>
      </c>
      <c r="I3128" s="2" t="str">
        <f>IFERROR(__xludf.DUMMYFUNCTION("""COMPUTED_VALUE"""),"")</f>
        <v/>
      </c>
      <c r="J3128" s="2">
        <f>IFERROR(__xludf.DUMMYFUNCTION("""COMPUTED_VALUE"""),0.0)</f>
        <v>0</v>
      </c>
      <c r="K3128" s="5" t="str">
        <f>IFERROR(__xludf.DUMMYFUNCTION("""COMPUTED_VALUE"""),"")</f>
        <v/>
      </c>
      <c r="L3128" t="str">
        <f>IFERROR(__xludf.DUMMYFUNCTION("""COMPUTED_VALUE"""),"")</f>
        <v/>
      </c>
      <c r="M3128" t="str">
        <f>IFERROR(__xludf.DUMMYFUNCTION("""COMPUTED_VALUE"""),"")</f>
        <v/>
      </c>
      <c r="N3128" t="str">
        <f>IFERROR(__xludf.DUMMYFUNCTION("""COMPUTED_VALUE"""),"")</f>
        <v/>
      </c>
      <c r="O3128" t="str">
        <f>IFERROR(__xludf.DUMMYFUNCTION("""COMPUTED_VALUE"""),"")</f>
        <v/>
      </c>
      <c r="P3128" t="str">
        <f>IFERROR(__xludf.DUMMYFUNCTION("""COMPUTED_VALUE"""),"ID ")</f>
        <v>ID </v>
      </c>
    </row>
    <row r="3129">
      <c r="A3129" s="6" t="str">
        <f>IFERROR(__xludf.DUMMYFUNCTION("""COMPUTED_VALUE"""),"")</f>
        <v/>
      </c>
      <c r="C3129" t="str">
        <f>IFERROR(__xludf.DUMMYFUNCTION("""COMPUTED_VALUE"""),"")</f>
        <v/>
      </c>
      <c r="D3129" t="str">
        <f>IFERROR(__xludf.DUMMYFUNCTION("""COMPUTED_VALUE"""),"")</f>
        <v/>
      </c>
      <c r="E3129" t="str">
        <f>IFERROR(__xludf.DUMMYFUNCTION("""COMPUTED_VALUE"""),"")</f>
        <v/>
      </c>
      <c r="F3129" t="str">
        <f>IFERROR(__xludf.DUMMYFUNCTION("""COMPUTED_VALUE"""),"")</f>
        <v/>
      </c>
      <c r="G3129" t="str">
        <f>IFERROR(__xludf.DUMMYFUNCTION("""COMPUTED_VALUE"""),"")</f>
        <v/>
      </c>
      <c r="H3129" s="2" t="str">
        <f>IFERROR(__xludf.DUMMYFUNCTION("""COMPUTED_VALUE"""),"")</f>
        <v/>
      </c>
      <c r="I3129" s="2" t="str">
        <f>IFERROR(__xludf.DUMMYFUNCTION("""COMPUTED_VALUE"""),"")</f>
        <v/>
      </c>
      <c r="J3129" s="2">
        <f>IFERROR(__xludf.DUMMYFUNCTION("""COMPUTED_VALUE"""),0.0)</f>
        <v>0</v>
      </c>
      <c r="K3129" s="5" t="str">
        <f>IFERROR(__xludf.DUMMYFUNCTION("""COMPUTED_VALUE"""),"")</f>
        <v/>
      </c>
      <c r="L3129" t="str">
        <f>IFERROR(__xludf.DUMMYFUNCTION("""COMPUTED_VALUE"""),"")</f>
        <v/>
      </c>
      <c r="M3129" t="str">
        <f>IFERROR(__xludf.DUMMYFUNCTION("""COMPUTED_VALUE"""),"")</f>
        <v/>
      </c>
      <c r="N3129" t="str">
        <f>IFERROR(__xludf.DUMMYFUNCTION("""COMPUTED_VALUE"""),"")</f>
        <v/>
      </c>
      <c r="O3129" t="str">
        <f>IFERROR(__xludf.DUMMYFUNCTION("""COMPUTED_VALUE"""),"")</f>
        <v/>
      </c>
      <c r="P3129" t="str">
        <f>IFERROR(__xludf.DUMMYFUNCTION("""COMPUTED_VALUE"""),"ID ")</f>
        <v>ID </v>
      </c>
    </row>
    <row r="3130">
      <c r="A3130" s="6" t="str">
        <f>IFERROR(__xludf.DUMMYFUNCTION("""COMPUTED_VALUE"""),"")</f>
        <v/>
      </c>
      <c r="C3130" t="str">
        <f>IFERROR(__xludf.DUMMYFUNCTION("""COMPUTED_VALUE"""),"")</f>
        <v/>
      </c>
      <c r="D3130" t="str">
        <f>IFERROR(__xludf.DUMMYFUNCTION("""COMPUTED_VALUE"""),"")</f>
        <v/>
      </c>
      <c r="E3130" t="str">
        <f>IFERROR(__xludf.DUMMYFUNCTION("""COMPUTED_VALUE"""),"")</f>
        <v/>
      </c>
      <c r="F3130" t="str">
        <f>IFERROR(__xludf.DUMMYFUNCTION("""COMPUTED_VALUE"""),"")</f>
        <v/>
      </c>
      <c r="G3130" t="str">
        <f>IFERROR(__xludf.DUMMYFUNCTION("""COMPUTED_VALUE"""),"")</f>
        <v/>
      </c>
      <c r="H3130" s="2" t="str">
        <f>IFERROR(__xludf.DUMMYFUNCTION("""COMPUTED_VALUE"""),"")</f>
        <v/>
      </c>
      <c r="I3130" s="2" t="str">
        <f>IFERROR(__xludf.DUMMYFUNCTION("""COMPUTED_VALUE"""),"")</f>
        <v/>
      </c>
      <c r="J3130" s="2">
        <f>IFERROR(__xludf.DUMMYFUNCTION("""COMPUTED_VALUE"""),0.0)</f>
        <v>0</v>
      </c>
      <c r="K3130" s="5" t="str">
        <f>IFERROR(__xludf.DUMMYFUNCTION("""COMPUTED_VALUE"""),"")</f>
        <v/>
      </c>
      <c r="L3130" t="str">
        <f>IFERROR(__xludf.DUMMYFUNCTION("""COMPUTED_VALUE"""),"")</f>
        <v/>
      </c>
      <c r="M3130" t="str">
        <f>IFERROR(__xludf.DUMMYFUNCTION("""COMPUTED_VALUE"""),"")</f>
        <v/>
      </c>
      <c r="N3130" t="str">
        <f>IFERROR(__xludf.DUMMYFUNCTION("""COMPUTED_VALUE"""),"")</f>
        <v/>
      </c>
      <c r="O3130" t="str">
        <f>IFERROR(__xludf.DUMMYFUNCTION("""COMPUTED_VALUE"""),"")</f>
        <v/>
      </c>
      <c r="P3130" t="str">
        <f>IFERROR(__xludf.DUMMYFUNCTION("""COMPUTED_VALUE"""),"ID ")</f>
        <v>ID </v>
      </c>
    </row>
    <row r="3131">
      <c r="A3131" s="6" t="str">
        <f>IFERROR(__xludf.DUMMYFUNCTION("""COMPUTED_VALUE"""),"")</f>
        <v/>
      </c>
      <c r="C3131" t="str">
        <f>IFERROR(__xludf.DUMMYFUNCTION("""COMPUTED_VALUE"""),"")</f>
        <v/>
      </c>
      <c r="D3131" t="str">
        <f>IFERROR(__xludf.DUMMYFUNCTION("""COMPUTED_VALUE"""),"")</f>
        <v/>
      </c>
      <c r="E3131" t="str">
        <f>IFERROR(__xludf.DUMMYFUNCTION("""COMPUTED_VALUE"""),"")</f>
        <v/>
      </c>
      <c r="F3131" t="str">
        <f>IFERROR(__xludf.DUMMYFUNCTION("""COMPUTED_VALUE"""),"")</f>
        <v/>
      </c>
      <c r="G3131" t="str">
        <f>IFERROR(__xludf.DUMMYFUNCTION("""COMPUTED_VALUE"""),"")</f>
        <v/>
      </c>
      <c r="H3131" s="2" t="str">
        <f>IFERROR(__xludf.DUMMYFUNCTION("""COMPUTED_VALUE"""),"")</f>
        <v/>
      </c>
      <c r="I3131" s="2" t="str">
        <f>IFERROR(__xludf.DUMMYFUNCTION("""COMPUTED_VALUE"""),"")</f>
        <v/>
      </c>
      <c r="J3131" s="2">
        <f>IFERROR(__xludf.DUMMYFUNCTION("""COMPUTED_VALUE"""),0.0)</f>
        <v>0</v>
      </c>
      <c r="K3131" s="5" t="str">
        <f>IFERROR(__xludf.DUMMYFUNCTION("""COMPUTED_VALUE"""),"")</f>
        <v/>
      </c>
      <c r="L3131" t="str">
        <f>IFERROR(__xludf.DUMMYFUNCTION("""COMPUTED_VALUE"""),"")</f>
        <v/>
      </c>
      <c r="M3131" t="str">
        <f>IFERROR(__xludf.DUMMYFUNCTION("""COMPUTED_VALUE"""),"")</f>
        <v/>
      </c>
      <c r="N3131" t="str">
        <f>IFERROR(__xludf.DUMMYFUNCTION("""COMPUTED_VALUE"""),"")</f>
        <v/>
      </c>
      <c r="O3131" t="str">
        <f>IFERROR(__xludf.DUMMYFUNCTION("""COMPUTED_VALUE"""),"")</f>
        <v/>
      </c>
      <c r="P3131" t="str">
        <f>IFERROR(__xludf.DUMMYFUNCTION("""COMPUTED_VALUE"""),"ID ")</f>
        <v>ID </v>
      </c>
    </row>
    <row r="3132">
      <c r="A3132" s="6" t="str">
        <f>IFERROR(__xludf.DUMMYFUNCTION("""COMPUTED_VALUE"""),"")</f>
        <v/>
      </c>
      <c r="C3132" t="str">
        <f>IFERROR(__xludf.DUMMYFUNCTION("""COMPUTED_VALUE"""),"")</f>
        <v/>
      </c>
      <c r="D3132" t="str">
        <f>IFERROR(__xludf.DUMMYFUNCTION("""COMPUTED_VALUE"""),"")</f>
        <v/>
      </c>
      <c r="E3132" t="str">
        <f>IFERROR(__xludf.DUMMYFUNCTION("""COMPUTED_VALUE"""),"")</f>
        <v/>
      </c>
      <c r="F3132" t="str">
        <f>IFERROR(__xludf.DUMMYFUNCTION("""COMPUTED_VALUE"""),"")</f>
        <v/>
      </c>
      <c r="G3132" t="str">
        <f>IFERROR(__xludf.DUMMYFUNCTION("""COMPUTED_VALUE"""),"")</f>
        <v/>
      </c>
      <c r="H3132" s="2" t="str">
        <f>IFERROR(__xludf.DUMMYFUNCTION("""COMPUTED_VALUE"""),"")</f>
        <v/>
      </c>
      <c r="I3132" s="2" t="str">
        <f>IFERROR(__xludf.DUMMYFUNCTION("""COMPUTED_VALUE"""),"")</f>
        <v/>
      </c>
      <c r="J3132" s="2">
        <f>IFERROR(__xludf.DUMMYFUNCTION("""COMPUTED_VALUE"""),0.0)</f>
        <v>0</v>
      </c>
      <c r="K3132" s="5" t="str">
        <f>IFERROR(__xludf.DUMMYFUNCTION("""COMPUTED_VALUE"""),"")</f>
        <v/>
      </c>
      <c r="L3132" t="str">
        <f>IFERROR(__xludf.DUMMYFUNCTION("""COMPUTED_VALUE"""),"")</f>
        <v/>
      </c>
      <c r="M3132" t="str">
        <f>IFERROR(__xludf.DUMMYFUNCTION("""COMPUTED_VALUE"""),"")</f>
        <v/>
      </c>
      <c r="N3132" t="str">
        <f>IFERROR(__xludf.DUMMYFUNCTION("""COMPUTED_VALUE"""),"")</f>
        <v/>
      </c>
      <c r="O3132" t="str">
        <f>IFERROR(__xludf.DUMMYFUNCTION("""COMPUTED_VALUE"""),"")</f>
        <v/>
      </c>
      <c r="P3132" t="str">
        <f>IFERROR(__xludf.DUMMYFUNCTION("""COMPUTED_VALUE"""),"ID ")</f>
        <v>ID </v>
      </c>
    </row>
    <row r="3133">
      <c r="A3133" s="6" t="str">
        <f>IFERROR(__xludf.DUMMYFUNCTION("""COMPUTED_VALUE"""),"")</f>
        <v/>
      </c>
      <c r="C3133" t="str">
        <f>IFERROR(__xludf.DUMMYFUNCTION("""COMPUTED_VALUE"""),"")</f>
        <v/>
      </c>
      <c r="D3133" t="str">
        <f>IFERROR(__xludf.DUMMYFUNCTION("""COMPUTED_VALUE"""),"")</f>
        <v/>
      </c>
      <c r="E3133" t="str">
        <f>IFERROR(__xludf.DUMMYFUNCTION("""COMPUTED_VALUE"""),"")</f>
        <v/>
      </c>
      <c r="F3133" t="str">
        <f>IFERROR(__xludf.DUMMYFUNCTION("""COMPUTED_VALUE"""),"")</f>
        <v/>
      </c>
      <c r="G3133" t="str">
        <f>IFERROR(__xludf.DUMMYFUNCTION("""COMPUTED_VALUE"""),"")</f>
        <v/>
      </c>
      <c r="H3133" s="2" t="str">
        <f>IFERROR(__xludf.DUMMYFUNCTION("""COMPUTED_VALUE"""),"")</f>
        <v/>
      </c>
      <c r="I3133" s="2" t="str">
        <f>IFERROR(__xludf.DUMMYFUNCTION("""COMPUTED_VALUE"""),"")</f>
        <v/>
      </c>
      <c r="J3133" s="2">
        <f>IFERROR(__xludf.DUMMYFUNCTION("""COMPUTED_VALUE"""),0.0)</f>
        <v>0</v>
      </c>
      <c r="K3133" s="5" t="str">
        <f>IFERROR(__xludf.DUMMYFUNCTION("""COMPUTED_VALUE"""),"")</f>
        <v/>
      </c>
      <c r="L3133" t="str">
        <f>IFERROR(__xludf.DUMMYFUNCTION("""COMPUTED_VALUE"""),"")</f>
        <v/>
      </c>
      <c r="M3133" t="str">
        <f>IFERROR(__xludf.DUMMYFUNCTION("""COMPUTED_VALUE"""),"")</f>
        <v/>
      </c>
      <c r="N3133" t="str">
        <f>IFERROR(__xludf.DUMMYFUNCTION("""COMPUTED_VALUE"""),"")</f>
        <v/>
      </c>
      <c r="O3133" t="str">
        <f>IFERROR(__xludf.DUMMYFUNCTION("""COMPUTED_VALUE"""),"")</f>
        <v/>
      </c>
      <c r="P3133" t="str">
        <f>IFERROR(__xludf.DUMMYFUNCTION("""COMPUTED_VALUE"""),"ID ")</f>
        <v>ID </v>
      </c>
    </row>
    <row r="3134">
      <c r="A3134" s="6" t="str">
        <f>IFERROR(__xludf.DUMMYFUNCTION("""COMPUTED_VALUE"""),"")</f>
        <v/>
      </c>
      <c r="C3134" t="str">
        <f>IFERROR(__xludf.DUMMYFUNCTION("""COMPUTED_VALUE"""),"")</f>
        <v/>
      </c>
      <c r="D3134" t="str">
        <f>IFERROR(__xludf.DUMMYFUNCTION("""COMPUTED_VALUE"""),"")</f>
        <v/>
      </c>
      <c r="E3134" t="str">
        <f>IFERROR(__xludf.DUMMYFUNCTION("""COMPUTED_VALUE"""),"")</f>
        <v/>
      </c>
      <c r="F3134" t="str">
        <f>IFERROR(__xludf.DUMMYFUNCTION("""COMPUTED_VALUE"""),"")</f>
        <v/>
      </c>
      <c r="G3134" t="str">
        <f>IFERROR(__xludf.DUMMYFUNCTION("""COMPUTED_VALUE"""),"")</f>
        <v/>
      </c>
      <c r="H3134" s="2" t="str">
        <f>IFERROR(__xludf.DUMMYFUNCTION("""COMPUTED_VALUE"""),"")</f>
        <v/>
      </c>
      <c r="I3134" s="2" t="str">
        <f>IFERROR(__xludf.DUMMYFUNCTION("""COMPUTED_VALUE"""),"")</f>
        <v/>
      </c>
      <c r="J3134" s="2">
        <f>IFERROR(__xludf.DUMMYFUNCTION("""COMPUTED_VALUE"""),0.0)</f>
        <v>0</v>
      </c>
      <c r="K3134" s="5" t="str">
        <f>IFERROR(__xludf.DUMMYFUNCTION("""COMPUTED_VALUE"""),"")</f>
        <v/>
      </c>
      <c r="L3134" t="str">
        <f>IFERROR(__xludf.DUMMYFUNCTION("""COMPUTED_VALUE"""),"")</f>
        <v/>
      </c>
      <c r="M3134" t="str">
        <f>IFERROR(__xludf.DUMMYFUNCTION("""COMPUTED_VALUE"""),"")</f>
        <v/>
      </c>
      <c r="N3134" t="str">
        <f>IFERROR(__xludf.DUMMYFUNCTION("""COMPUTED_VALUE"""),"")</f>
        <v/>
      </c>
      <c r="O3134" t="str">
        <f>IFERROR(__xludf.DUMMYFUNCTION("""COMPUTED_VALUE"""),"")</f>
        <v/>
      </c>
      <c r="P3134" t="str">
        <f>IFERROR(__xludf.DUMMYFUNCTION("""COMPUTED_VALUE"""),"ID ")</f>
        <v>ID </v>
      </c>
    </row>
    <row r="3135">
      <c r="A3135" s="6" t="str">
        <f>IFERROR(__xludf.DUMMYFUNCTION("""COMPUTED_VALUE"""),"")</f>
        <v/>
      </c>
      <c r="C3135" t="str">
        <f>IFERROR(__xludf.DUMMYFUNCTION("""COMPUTED_VALUE"""),"")</f>
        <v/>
      </c>
      <c r="D3135" t="str">
        <f>IFERROR(__xludf.DUMMYFUNCTION("""COMPUTED_VALUE"""),"")</f>
        <v/>
      </c>
      <c r="E3135" t="str">
        <f>IFERROR(__xludf.DUMMYFUNCTION("""COMPUTED_VALUE"""),"")</f>
        <v/>
      </c>
      <c r="F3135" t="str">
        <f>IFERROR(__xludf.DUMMYFUNCTION("""COMPUTED_VALUE"""),"")</f>
        <v/>
      </c>
      <c r="G3135" t="str">
        <f>IFERROR(__xludf.DUMMYFUNCTION("""COMPUTED_VALUE"""),"")</f>
        <v/>
      </c>
      <c r="H3135" s="2" t="str">
        <f>IFERROR(__xludf.DUMMYFUNCTION("""COMPUTED_VALUE"""),"")</f>
        <v/>
      </c>
      <c r="I3135" s="2" t="str">
        <f>IFERROR(__xludf.DUMMYFUNCTION("""COMPUTED_VALUE"""),"")</f>
        <v/>
      </c>
      <c r="J3135" s="2">
        <f>IFERROR(__xludf.DUMMYFUNCTION("""COMPUTED_VALUE"""),0.0)</f>
        <v>0</v>
      </c>
      <c r="K3135" s="5" t="str">
        <f>IFERROR(__xludf.DUMMYFUNCTION("""COMPUTED_VALUE"""),"")</f>
        <v/>
      </c>
      <c r="L3135" t="str">
        <f>IFERROR(__xludf.DUMMYFUNCTION("""COMPUTED_VALUE"""),"")</f>
        <v/>
      </c>
      <c r="M3135" t="str">
        <f>IFERROR(__xludf.DUMMYFUNCTION("""COMPUTED_VALUE"""),"")</f>
        <v/>
      </c>
      <c r="N3135" t="str">
        <f>IFERROR(__xludf.DUMMYFUNCTION("""COMPUTED_VALUE"""),"")</f>
        <v/>
      </c>
      <c r="O3135" t="str">
        <f>IFERROR(__xludf.DUMMYFUNCTION("""COMPUTED_VALUE"""),"")</f>
        <v/>
      </c>
      <c r="P3135" t="str">
        <f>IFERROR(__xludf.DUMMYFUNCTION("""COMPUTED_VALUE"""),"ID ")</f>
        <v>ID </v>
      </c>
    </row>
    <row r="3136">
      <c r="A3136" s="6" t="str">
        <f>IFERROR(__xludf.DUMMYFUNCTION("""COMPUTED_VALUE"""),"")</f>
        <v/>
      </c>
      <c r="C3136" t="str">
        <f>IFERROR(__xludf.DUMMYFUNCTION("""COMPUTED_VALUE"""),"")</f>
        <v/>
      </c>
      <c r="D3136" t="str">
        <f>IFERROR(__xludf.DUMMYFUNCTION("""COMPUTED_VALUE"""),"")</f>
        <v/>
      </c>
      <c r="E3136" t="str">
        <f>IFERROR(__xludf.DUMMYFUNCTION("""COMPUTED_VALUE"""),"")</f>
        <v/>
      </c>
      <c r="F3136" t="str">
        <f>IFERROR(__xludf.DUMMYFUNCTION("""COMPUTED_VALUE"""),"")</f>
        <v/>
      </c>
      <c r="G3136" t="str">
        <f>IFERROR(__xludf.DUMMYFUNCTION("""COMPUTED_VALUE"""),"")</f>
        <v/>
      </c>
      <c r="H3136" s="2" t="str">
        <f>IFERROR(__xludf.DUMMYFUNCTION("""COMPUTED_VALUE"""),"")</f>
        <v/>
      </c>
      <c r="I3136" s="2" t="str">
        <f>IFERROR(__xludf.DUMMYFUNCTION("""COMPUTED_VALUE"""),"")</f>
        <v/>
      </c>
      <c r="J3136" s="2">
        <f>IFERROR(__xludf.DUMMYFUNCTION("""COMPUTED_VALUE"""),0.0)</f>
        <v>0</v>
      </c>
      <c r="K3136" s="5" t="str">
        <f>IFERROR(__xludf.DUMMYFUNCTION("""COMPUTED_VALUE"""),"")</f>
        <v/>
      </c>
      <c r="L3136" t="str">
        <f>IFERROR(__xludf.DUMMYFUNCTION("""COMPUTED_VALUE"""),"")</f>
        <v/>
      </c>
      <c r="M3136" t="str">
        <f>IFERROR(__xludf.DUMMYFUNCTION("""COMPUTED_VALUE"""),"")</f>
        <v/>
      </c>
      <c r="N3136" t="str">
        <f>IFERROR(__xludf.DUMMYFUNCTION("""COMPUTED_VALUE"""),"")</f>
        <v/>
      </c>
      <c r="O3136" t="str">
        <f>IFERROR(__xludf.DUMMYFUNCTION("""COMPUTED_VALUE"""),"")</f>
        <v/>
      </c>
      <c r="P3136" t="str">
        <f>IFERROR(__xludf.DUMMYFUNCTION("""COMPUTED_VALUE"""),"ID ")</f>
        <v>ID </v>
      </c>
    </row>
    <row r="3137">
      <c r="A3137" s="6" t="str">
        <f>IFERROR(__xludf.DUMMYFUNCTION("""COMPUTED_VALUE"""),"")</f>
        <v/>
      </c>
      <c r="C3137" t="str">
        <f>IFERROR(__xludf.DUMMYFUNCTION("""COMPUTED_VALUE"""),"")</f>
        <v/>
      </c>
      <c r="D3137" t="str">
        <f>IFERROR(__xludf.DUMMYFUNCTION("""COMPUTED_VALUE"""),"")</f>
        <v/>
      </c>
      <c r="E3137" t="str">
        <f>IFERROR(__xludf.DUMMYFUNCTION("""COMPUTED_VALUE"""),"")</f>
        <v/>
      </c>
      <c r="F3137" t="str">
        <f>IFERROR(__xludf.DUMMYFUNCTION("""COMPUTED_VALUE"""),"")</f>
        <v/>
      </c>
      <c r="G3137" t="str">
        <f>IFERROR(__xludf.DUMMYFUNCTION("""COMPUTED_VALUE"""),"")</f>
        <v/>
      </c>
      <c r="H3137" s="2" t="str">
        <f>IFERROR(__xludf.DUMMYFUNCTION("""COMPUTED_VALUE"""),"")</f>
        <v/>
      </c>
      <c r="I3137" s="2" t="str">
        <f>IFERROR(__xludf.DUMMYFUNCTION("""COMPUTED_VALUE"""),"")</f>
        <v/>
      </c>
      <c r="J3137" s="2">
        <f>IFERROR(__xludf.DUMMYFUNCTION("""COMPUTED_VALUE"""),0.0)</f>
        <v>0</v>
      </c>
      <c r="K3137" s="5" t="str">
        <f>IFERROR(__xludf.DUMMYFUNCTION("""COMPUTED_VALUE"""),"")</f>
        <v/>
      </c>
      <c r="L3137" t="str">
        <f>IFERROR(__xludf.DUMMYFUNCTION("""COMPUTED_VALUE"""),"")</f>
        <v/>
      </c>
      <c r="M3137" t="str">
        <f>IFERROR(__xludf.DUMMYFUNCTION("""COMPUTED_VALUE"""),"")</f>
        <v/>
      </c>
      <c r="N3137" t="str">
        <f>IFERROR(__xludf.DUMMYFUNCTION("""COMPUTED_VALUE"""),"")</f>
        <v/>
      </c>
      <c r="O3137" t="str">
        <f>IFERROR(__xludf.DUMMYFUNCTION("""COMPUTED_VALUE"""),"")</f>
        <v/>
      </c>
      <c r="P3137" t="str">
        <f>IFERROR(__xludf.DUMMYFUNCTION("""COMPUTED_VALUE"""),"ID ")</f>
        <v>ID </v>
      </c>
    </row>
    <row r="3138">
      <c r="A3138" s="6" t="str">
        <f>IFERROR(__xludf.DUMMYFUNCTION("""COMPUTED_VALUE"""),"")</f>
        <v/>
      </c>
      <c r="C3138" t="str">
        <f>IFERROR(__xludf.DUMMYFUNCTION("""COMPUTED_VALUE"""),"")</f>
        <v/>
      </c>
      <c r="D3138" t="str">
        <f>IFERROR(__xludf.DUMMYFUNCTION("""COMPUTED_VALUE"""),"")</f>
        <v/>
      </c>
      <c r="E3138" t="str">
        <f>IFERROR(__xludf.DUMMYFUNCTION("""COMPUTED_VALUE"""),"")</f>
        <v/>
      </c>
      <c r="F3138" t="str">
        <f>IFERROR(__xludf.DUMMYFUNCTION("""COMPUTED_VALUE"""),"")</f>
        <v/>
      </c>
      <c r="G3138" t="str">
        <f>IFERROR(__xludf.DUMMYFUNCTION("""COMPUTED_VALUE"""),"")</f>
        <v/>
      </c>
      <c r="H3138" s="2" t="str">
        <f>IFERROR(__xludf.DUMMYFUNCTION("""COMPUTED_VALUE"""),"")</f>
        <v/>
      </c>
      <c r="I3138" s="2" t="str">
        <f>IFERROR(__xludf.DUMMYFUNCTION("""COMPUTED_VALUE"""),"")</f>
        <v/>
      </c>
      <c r="J3138" s="2">
        <f>IFERROR(__xludf.DUMMYFUNCTION("""COMPUTED_VALUE"""),0.0)</f>
        <v>0</v>
      </c>
      <c r="K3138" s="5" t="str">
        <f>IFERROR(__xludf.DUMMYFUNCTION("""COMPUTED_VALUE"""),"")</f>
        <v/>
      </c>
      <c r="L3138" t="str">
        <f>IFERROR(__xludf.DUMMYFUNCTION("""COMPUTED_VALUE"""),"")</f>
        <v/>
      </c>
      <c r="M3138" t="str">
        <f>IFERROR(__xludf.DUMMYFUNCTION("""COMPUTED_VALUE"""),"")</f>
        <v/>
      </c>
      <c r="N3138" t="str">
        <f>IFERROR(__xludf.DUMMYFUNCTION("""COMPUTED_VALUE"""),"")</f>
        <v/>
      </c>
      <c r="O3138" t="str">
        <f>IFERROR(__xludf.DUMMYFUNCTION("""COMPUTED_VALUE"""),"")</f>
        <v/>
      </c>
      <c r="P3138" t="str">
        <f>IFERROR(__xludf.DUMMYFUNCTION("""COMPUTED_VALUE"""),"ID ")</f>
        <v>ID </v>
      </c>
    </row>
    <row r="3139">
      <c r="A3139" s="6" t="str">
        <f>IFERROR(__xludf.DUMMYFUNCTION("""COMPUTED_VALUE"""),"")</f>
        <v/>
      </c>
      <c r="C3139" t="str">
        <f>IFERROR(__xludf.DUMMYFUNCTION("""COMPUTED_VALUE"""),"")</f>
        <v/>
      </c>
      <c r="D3139" t="str">
        <f>IFERROR(__xludf.DUMMYFUNCTION("""COMPUTED_VALUE"""),"")</f>
        <v/>
      </c>
      <c r="E3139" t="str">
        <f>IFERROR(__xludf.DUMMYFUNCTION("""COMPUTED_VALUE"""),"")</f>
        <v/>
      </c>
      <c r="F3139" t="str">
        <f>IFERROR(__xludf.DUMMYFUNCTION("""COMPUTED_VALUE"""),"")</f>
        <v/>
      </c>
      <c r="G3139" t="str">
        <f>IFERROR(__xludf.DUMMYFUNCTION("""COMPUTED_VALUE"""),"")</f>
        <v/>
      </c>
      <c r="H3139" s="2" t="str">
        <f>IFERROR(__xludf.DUMMYFUNCTION("""COMPUTED_VALUE"""),"")</f>
        <v/>
      </c>
      <c r="I3139" s="2" t="str">
        <f>IFERROR(__xludf.DUMMYFUNCTION("""COMPUTED_VALUE"""),"")</f>
        <v/>
      </c>
      <c r="J3139" s="2">
        <f>IFERROR(__xludf.DUMMYFUNCTION("""COMPUTED_VALUE"""),0.0)</f>
        <v>0</v>
      </c>
      <c r="K3139" s="5" t="str">
        <f>IFERROR(__xludf.DUMMYFUNCTION("""COMPUTED_VALUE"""),"")</f>
        <v/>
      </c>
      <c r="L3139" t="str">
        <f>IFERROR(__xludf.DUMMYFUNCTION("""COMPUTED_VALUE"""),"")</f>
        <v/>
      </c>
      <c r="M3139" t="str">
        <f>IFERROR(__xludf.DUMMYFUNCTION("""COMPUTED_VALUE"""),"")</f>
        <v/>
      </c>
      <c r="N3139" t="str">
        <f>IFERROR(__xludf.DUMMYFUNCTION("""COMPUTED_VALUE"""),"")</f>
        <v/>
      </c>
      <c r="O3139" t="str">
        <f>IFERROR(__xludf.DUMMYFUNCTION("""COMPUTED_VALUE"""),"")</f>
        <v/>
      </c>
      <c r="P3139" t="str">
        <f>IFERROR(__xludf.DUMMYFUNCTION("""COMPUTED_VALUE"""),"ID ")</f>
        <v>ID </v>
      </c>
    </row>
    <row r="3140">
      <c r="A3140" s="6" t="str">
        <f>IFERROR(__xludf.DUMMYFUNCTION("""COMPUTED_VALUE"""),"")</f>
        <v/>
      </c>
      <c r="C3140" t="str">
        <f>IFERROR(__xludf.DUMMYFUNCTION("""COMPUTED_VALUE"""),"")</f>
        <v/>
      </c>
      <c r="D3140" t="str">
        <f>IFERROR(__xludf.DUMMYFUNCTION("""COMPUTED_VALUE"""),"")</f>
        <v/>
      </c>
      <c r="E3140" t="str">
        <f>IFERROR(__xludf.DUMMYFUNCTION("""COMPUTED_VALUE"""),"")</f>
        <v/>
      </c>
      <c r="F3140" t="str">
        <f>IFERROR(__xludf.DUMMYFUNCTION("""COMPUTED_VALUE"""),"")</f>
        <v/>
      </c>
      <c r="G3140" t="str">
        <f>IFERROR(__xludf.DUMMYFUNCTION("""COMPUTED_VALUE"""),"")</f>
        <v/>
      </c>
      <c r="H3140" s="2" t="str">
        <f>IFERROR(__xludf.DUMMYFUNCTION("""COMPUTED_VALUE"""),"")</f>
        <v/>
      </c>
      <c r="I3140" s="2" t="str">
        <f>IFERROR(__xludf.DUMMYFUNCTION("""COMPUTED_VALUE"""),"")</f>
        <v/>
      </c>
      <c r="J3140" s="2">
        <f>IFERROR(__xludf.DUMMYFUNCTION("""COMPUTED_VALUE"""),0.0)</f>
        <v>0</v>
      </c>
      <c r="K3140" s="5" t="str">
        <f>IFERROR(__xludf.DUMMYFUNCTION("""COMPUTED_VALUE"""),"")</f>
        <v/>
      </c>
      <c r="L3140" t="str">
        <f>IFERROR(__xludf.DUMMYFUNCTION("""COMPUTED_VALUE"""),"")</f>
        <v/>
      </c>
      <c r="M3140" t="str">
        <f>IFERROR(__xludf.DUMMYFUNCTION("""COMPUTED_VALUE"""),"")</f>
        <v/>
      </c>
      <c r="N3140" t="str">
        <f>IFERROR(__xludf.DUMMYFUNCTION("""COMPUTED_VALUE"""),"")</f>
        <v/>
      </c>
      <c r="O3140" t="str">
        <f>IFERROR(__xludf.DUMMYFUNCTION("""COMPUTED_VALUE"""),"")</f>
        <v/>
      </c>
      <c r="P3140" t="str">
        <f>IFERROR(__xludf.DUMMYFUNCTION("""COMPUTED_VALUE"""),"ID ")</f>
        <v>ID </v>
      </c>
    </row>
    <row r="3141">
      <c r="A3141" s="6" t="str">
        <f>IFERROR(__xludf.DUMMYFUNCTION("""COMPUTED_VALUE"""),"")</f>
        <v/>
      </c>
      <c r="C3141" t="str">
        <f>IFERROR(__xludf.DUMMYFUNCTION("""COMPUTED_VALUE"""),"")</f>
        <v/>
      </c>
      <c r="D3141" t="str">
        <f>IFERROR(__xludf.DUMMYFUNCTION("""COMPUTED_VALUE"""),"")</f>
        <v/>
      </c>
      <c r="E3141" t="str">
        <f>IFERROR(__xludf.DUMMYFUNCTION("""COMPUTED_VALUE"""),"")</f>
        <v/>
      </c>
      <c r="F3141" t="str">
        <f>IFERROR(__xludf.DUMMYFUNCTION("""COMPUTED_VALUE"""),"")</f>
        <v/>
      </c>
      <c r="G3141" t="str">
        <f>IFERROR(__xludf.DUMMYFUNCTION("""COMPUTED_VALUE"""),"")</f>
        <v/>
      </c>
      <c r="H3141" s="2" t="str">
        <f>IFERROR(__xludf.DUMMYFUNCTION("""COMPUTED_VALUE"""),"")</f>
        <v/>
      </c>
      <c r="I3141" s="2" t="str">
        <f>IFERROR(__xludf.DUMMYFUNCTION("""COMPUTED_VALUE"""),"")</f>
        <v/>
      </c>
      <c r="J3141" s="2">
        <f>IFERROR(__xludf.DUMMYFUNCTION("""COMPUTED_VALUE"""),0.0)</f>
        <v>0</v>
      </c>
      <c r="K3141" s="5" t="str">
        <f>IFERROR(__xludf.DUMMYFUNCTION("""COMPUTED_VALUE"""),"")</f>
        <v/>
      </c>
      <c r="L3141" t="str">
        <f>IFERROR(__xludf.DUMMYFUNCTION("""COMPUTED_VALUE"""),"")</f>
        <v/>
      </c>
      <c r="M3141" t="str">
        <f>IFERROR(__xludf.DUMMYFUNCTION("""COMPUTED_VALUE"""),"")</f>
        <v/>
      </c>
      <c r="N3141" t="str">
        <f>IFERROR(__xludf.DUMMYFUNCTION("""COMPUTED_VALUE"""),"")</f>
        <v/>
      </c>
      <c r="O3141" t="str">
        <f>IFERROR(__xludf.DUMMYFUNCTION("""COMPUTED_VALUE"""),"")</f>
        <v/>
      </c>
      <c r="P3141" t="str">
        <f>IFERROR(__xludf.DUMMYFUNCTION("""COMPUTED_VALUE"""),"ID ")</f>
        <v>ID </v>
      </c>
    </row>
    <row r="3142">
      <c r="A3142" s="6" t="str">
        <f>IFERROR(__xludf.DUMMYFUNCTION("""COMPUTED_VALUE"""),"")</f>
        <v/>
      </c>
      <c r="C3142" t="str">
        <f>IFERROR(__xludf.DUMMYFUNCTION("""COMPUTED_VALUE"""),"")</f>
        <v/>
      </c>
      <c r="D3142" t="str">
        <f>IFERROR(__xludf.DUMMYFUNCTION("""COMPUTED_VALUE"""),"")</f>
        <v/>
      </c>
      <c r="E3142" t="str">
        <f>IFERROR(__xludf.DUMMYFUNCTION("""COMPUTED_VALUE"""),"")</f>
        <v/>
      </c>
      <c r="F3142" t="str">
        <f>IFERROR(__xludf.DUMMYFUNCTION("""COMPUTED_VALUE"""),"")</f>
        <v/>
      </c>
      <c r="G3142" t="str">
        <f>IFERROR(__xludf.DUMMYFUNCTION("""COMPUTED_VALUE"""),"")</f>
        <v/>
      </c>
      <c r="H3142" s="2" t="str">
        <f>IFERROR(__xludf.DUMMYFUNCTION("""COMPUTED_VALUE"""),"")</f>
        <v/>
      </c>
      <c r="I3142" s="2" t="str">
        <f>IFERROR(__xludf.DUMMYFUNCTION("""COMPUTED_VALUE"""),"")</f>
        <v/>
      </c>
      <c r="J3142" s="2">
        <f>IFERROR(__xludf.DUMMYFUNCTION("""COMPUTED_VALUE"""),0.0)</f>
        <v>0</v>
      </c>
      <c r="K3142" s="5" t="str">
        <f>IFERROR(__xludf.DUMMYFUNCTION("""COMPUTED_VALUE"""),"")</f>
        <v/>
      </c>
      <c r="L3142" t="str">
        <f>IFERROR(__xludf.DUMMYFUNCTION("""COMPUTED_VALUE"""),"")</f>
        <v/>
      </c>
      <c r="M3142" t="str">
        <f>IFERROR(__xludf.DUMMYFUNCTION("""COMPUTED_VALUE"""),"")</f>
        <v/>
      </c>
      <c r="N3142" t="str">
        <f>IFERROR(__xludf.DUMMYFUNCTION("""COMPUTED_VALUE"""),"")</f>
        <v/>
      </c>
      <c r="O3142" t="str">
        <f>IFERROR(__xludf.DUMMYFUNCTION("""COMPUTED_VALUE"""),"")</f>
        <v/>
      </c>
      <c r="P3142" t="str">
        <f>IFERROR(__xludf.DUMMYFUNCTION("""COMPUTED_VALUE"""),"ID ")</f>
        <v>ID </v>
      </c>
    </row>
    <row r="3143">
      <c r="A3143" s="6" t="str">
        <f>IFERROR(__xludf.DUMMYFUNCTION("""COMPUTED_VALUE"""),"")</f>
        <v/>
      </c>
      <c r="C3143" t="str">
        <f>IFERROR(__xludf.DUMMYFUNCTION("""COMPUTED_VALUE"""),"")</f>
        <v/>
      </c>
      <c r="D3143" t="str">
        <f>IFERROR(__xludf.DUMMYFUNCTION("""COMPUTED_VALUE"""),"")</f>
        <v/>
      </c>
      <c r="E3143" t="str">
        <f>IFERROR(__xludf.DUMMYFUNCTION("""COMPUTED_VALUE"""),"")</f>
        <v/>
      </c>
      <c r="F3143" t="str">
        <f>IFERROR(__xludf.DUMMYFUNCTION("""COMPUTED_VALUE"""),"")</f>
        <v/>
      </c>
      <c r="G3143" t="str">
        <f>IFERROR(__xludf.DUMMYFUNCTION("""COMPUTED_VALUE"""),"")</f>
        <v/>
      </c>
      <c r="H3143" s="2" t="str">
        <f>IFERROR(__xludf.DUMMYFUNCTION("""COMPUTED_VALUE"""),"")</f>
        <v/>
      </c>
      <c r="I3143" s="2" t="str">
        <f>IFERROR(__xludf.DUMMYFUNCTION("""COMPUTED_VALUE"""),"")</f>
        <v/>
      </c>
      <c r="J3143" s="2">
        <f>IFERROR(__xludf.DUMMYFUNCTION("""COMPUTED_VALUE"""),0.0)</f>
        <v>0</v>
      </c>
      <c r="K3143" s="5" t="str">
        <f>IFERROR(__xludf.DUMMYFUNCTION("""COMPUTED_VALUE"""),"")</f>
        <v/>
      </c>
      <c r="L3143" t="str">
        <f>IFERROR(__xludf.DUMMYFUNCTION("""COMPUTED_VALUE"""),"")</f>
        <v/>
      </c>
      <c r="M3143" t="str">
        <f>IFERROR(__xludf.DUMMYFUNCTION("""COMPUTED_VALUE"""),"")</f>
        <v/>
      </c>
      <c r="N3143" t="str">
        <f>IFERROR(__xludf.DUMMYFUNCTION("""COMPUTED_VALUE"""),"")</f>
        <v/>
      </c>
      <c r="O3143" t="str">
        <f>IFERROR(__xludf.DUMMYFUNCTION("""COMPUTED_VALUE"""),"")</f>
        <v/>
      </c>
      <c r="P3143" t="str">
        <f>IFERROR(__xludf.DUMMYFUNCTION("""COMPUTED_VALUE"""),"ID ")</f>
        <v>ID </v>
      </c>
    </row>
    <row r="3144">
      <c r="A3144" s="6" t="str">
        <f>IFERROR(__xludf.DUMMYFUNCTION("""COMPUTED_VALUE"""),"")</f>
        <v/>
      </c>
      <c r="C3144" t="str">
        <f>IFERROR(__xludf.DUMMYFUNCTION("""COMPUTED_VALUE"""),"")</f>
        <v/>
      </c>
      <c r="D3144" t="str">
        <f>IFERROR(__xludf.DUMMYFUNCTION("""COMPUTED_VALUE"""),"")</f>
        <v/>
      </c>
      <c r="E3144" t="str">
        <f>IFERROR(__xludf.DUMMYFUNCTION("""COMPUTED_VALUE"""),"")</f>
        <v/>
      </c>
      <c r="F3144" t="str">
        <f>IFERROR(__xludf.DUMMYFUNCTION("""COMPUTED_VALUE"""),"")</f>
        <v/>
      </c>
      <c r="G3144" t="str">
        <f>IFERROR(__xludf.DUMMYFUNCTION("""COMPUTED_VALUE"""),"")</f>
        <v/>
      </c>
      <c r="H3144" s="2" t="str">
        <f>IFERROR(__xludf.DUMMYFUNCTION("""COMPUTED_VALUE"""),"")</f>
        <v/>
      </c>
      <c r="I3144" s="2" t="str">
        <f>IFERROR(__xludf.DUMMYFUNCTION("""COMPUTED_VALUE"""),"")</f>
        <v/>
      </c>
      <c r="J3144" s="2">
        <f>IFERROR(__xludf.DUMMYFUNCTION("""COMPUTED_VALUE"""),0.0)</f>
        <v>0</v>
      </c>
      <c r="K3144" s="5" t="str">
        <f>IFERROR(__xludf.DUMMYFUNCTION("""COMPUTED_VALUE"""),"")</f>
        <v/>
      </c>
      <c r="L3144" t="str">
        <f>IFERROR(__xludf.DUMMYFUNCTION("""COMPUTED_VALUE"""),"")</f>
        <v/>
      </c>
      <c r="M3144" t="str">
        <f>IFERROR(__xludf.DUMMYFUNCTION("""COMPUTED_VALUE"""),"")</f>
        <v/>
      </c>
      <c r="N3144" t="str">
        <f>IFERROR(__xludf.DUMMYFUNCTION("""COMPUTED_VALUE"""),"")</f>
        <v/>
      </c>
      <c r="O3144" t="str">
        <f>IFERROR(__xludf.DUMMYFUNCTION("""COMPUTED_VALUE"""),"")</f>
        <v/>
      </c>
      <c r="P3144" t="str">
        <f>IFERROR(__xludf.DUMMYFUNCTION("""COMPUTED_VALUE"""),"ID ")</f>
        <v>ID </v>
      </c>
    </row>
    <row r="3145">
      <c r="A3145" s="6" t="str">
        <f>IFERROR(__xludf.DUMMYFUNCTION("""COMPUTED_VALUE"""),"")</f>
        <v/>
      </c>
      <c r="C3145" t="str">
        <f>IFERROR(__xludf.DUMMYFUNCTION("""COMPUTED_VALUE"""),"")</f>
        <v/>
      </c>
      <c r="D3145" t="str">
        <f>IFERROR(__xludf.DUMMYFUNCTION("""COMPUTED_VALUE"""),"")</f>
        <v/>
      </c>
      <c r="E3145" t="str">
        <f>IFERROR(__xludf.DUMMYFUNCTION("""COMPUTED_VALUE"""),"")</f>
        <v/>
      </c>
      <c r="F3145" t="str">
        <f>IFERROR(__xludf.DUMMYFUNCTION("""COMPUTED_VALUE"""),"")</f>
        <v/>
      </c>
      <c r="G3145" t="str">
        <f>IFERROR(__xludf.DUMMYFUNCTION("""COMPUTED_VALUE"""),"")</f>
        <v/>
      </c>
      <c r="H3145" s="2" t="str">
        <f>IFERROR(__xludf.DUMMYFUNCTION("""COMPUTED_VALUE"""),"")</f>
        <v/>
      </c>
      <c r="I3145" s="2" t="str">
        <f>IFERROR(__xludf.DUMMYFUNCTION("""COMPUTED_VALUE"""),"")</f>
        <v/>
      </c>
      <c r="J3145" s="2">
        <f>IFERROR(__xludf.DUMMYFUNCTION("""COMPUTED_VALUE"""),0.0)</f>
        <v>0</v>
      </c>
      <c r="K3145" s="5" t="str">
        <f>IFERROR(__xludf.DUMMYFUNCTION("""COMPUTED_VALUE"""),"")</f>
        <v/>
      </c>
      <c r="L3145" t="str">
        <f>IFERROR(__xludf.DUMMYFUNCTION("""COMPUTED_VALUE"""),"")</f>
        <v/>
      </c>
      <c r="M3145" t="str">
        <f>IFERROR(__xludf.DUMMYFUNCTION("""COMPUTED_VALUE"""),"")</f>
        <v/>
      </c>
      <c r="N3145" t="str">
        <f>IFERROR(__xludf.DUMMYFUNCTION("""COMPUTED_VALUE"""),"")</f>
        <v/>
      </c>
      <c r="O3145" t="str">
        <f>IFERROR(__xludf.DUMMYFUNCTION("""COMPUTED_VALUE"""),"")</f>
        <v/>
      </c>
      <c r="P3145" t="str">
        <f>IFERROR(__xludf.DUMMYFUNCTION("""COMPUTED_VALUE"""),"ID ")</f>
        <v>ID </v>
      </c>
    </row>
    <row r="3146">
      <c r="A3146" s="6" t="str">
        <f>IFERROR(__xludf.DUMMYFUNCTION("""COMPUTED_VALUE"""),"")</f>
        <v/>
      </c>
      <c r="C3146" t="str">
        <f>IFERROR(__xludf.DUMMYFUNCTION("""COMPUTED_VALUE"""),"")</f>
        <v/>
      </c>
      <c r="D3146" t="str">
        <f>IFERROR(__xludf.DUMMYFUNCTION("""COMPUTED_VALUE"""),"")</f>
        <v/>
      </c>
      <c r="E3146" t="str">
        <f>IFERROR(__xludf.DUMMYFUNCTION("""COMPUTED_VALUE"""),"")</f>
        <v/>
      </c>
      <c r="F3146" t="str">
        <f>IFERROR(__xludf.DUMMYFUNCTION("""COMPUTED_VALUE"""),"")</f>
        <v/>
      </c>
      <c r="G3146" t="str">
        <f>IFERROR(__xludf.DUMMYFUNCTION("""COMPUTED_VALUE"""),"")</f>
        <v/>
      </c>
      <c r="H3146" s="2" t="str">
        <f>IFERROR(__xludf.DUMMYFUNCTION("""COMPUTED_VALUE"""),"")</f>
        <v/>
      </c>
      <c r="I3146" s="2" t="str">
        <f>IFERROR(__xludf.DUMMYFUNCTION("""COMPUTED_VALUE"""),"")</f>
        <v/>
      </c>
      <c r="J3146" s="2">
        <f>IFERROR(__xludf.DUMMYFUNCTION("""COMPUTED_VALUE"""),0.0)</f>
        <v>0</v>
      </c>
      <c r="K3146" s="5" t="str">
        <f>IFERROR(__xludf.DUMMYFUNCTION("""COMPUTED_VALUE"""),"")</f>
        <v/>
      </c>
      <c r="L3146" t="str">
        <f>IFERROR(__xludf.DUMMYFUNCTION("""COMPUTED_VALUE"""),"")</f>
        <v/>
      </c>
      <c r="M3146" t="str">
        <f>IFERROR(__xludf.DUMMYFUNCTION("""COMPUTED_VALUE"""),"")</f>
        <v/>
      </c>
      <c r="N3146" t="str">
        <f>IFERROR(__xludf.DUMMYFUNCTION("""COMPUTED_VALUE"""),"")</f>
        <v/>
      </c>
      <c r="O3146" t="str">
        <f>IFERROR(__xludf.DUMMYFUNCTION("""COMPUTED_VALUE"""),"")</f>
        <v/>
      </c>
      <c r="P3146" t="str">
        <f>IFERROR(__xludf.DUMMYFUNCTION("""COMPUTED_VALUE"""),"ID ")</f>
        <v>ID </v>
      </c>
    </row>
    <row r="3147">
      <c r="A3147" s="6" t="str">
        <f>IFERROR(__xludf.DUMMYFUNCTION("""COMPUTED_VALUE"""),"")</f>
        <v/>
      </c>
      <c r="C3147" t="str">
        <f>IFERROR(__xludf.DUMMYFUNCTION("""COMPUTED_VALUE"""),"")</f>
        <v/>
      </c>
      <c r="D3147" t="str">
        <f>IFERROR(__xludf.DUMMYFUNCTION("""COMPUTED_VALUE"""),"")</f>
        <v/>
      </c>
      <c r="E3147" t="str">
        <f>IFERROR(__xludf.DUMMYFUNCTION("""COMPUTED_VALUE"""),"")</f>
        <v/>
      </c>
      <c r="F3147" t="str">
        <f>IFERROR(__xludf.DUMMYFUNCTION("""COMPUTED_VALUE"""),"")</f>
        <v/>
      </c>
      <c r="G3147" t="str">
        <f>IFERROR(__xludf.DUMMYFUNCTION("""COMPUTED_VALUE"""),"")</f>
        <v/>
      </c>
      <c r="H3147" s="2" t="str">
        <f>IFERROR(__xludf.DUMMYFUNCTION("""COMPUTED_VALUE"""),"")</f>
        <v/>
      </c>
      <c r="I3147" s="2" t="str">
        <f>IFERROR(__xludf.DUMMYFUNCTION("""COMPUTED_VALUE"""),"")</f>
        <v/>
      </c>
      <c r="J3147" s="2">
        <f>IFERROR(__xludf.DUMMYFUNCTION("""COMPUTED_VALUE"""),0.0)</f>
        <v>0</v>
      </c>
      <c r="K3147" s="5" t="str">
        <f>IFERROR(__xludf.DUMMYFUNCTION("""COMPUTED_VALUE"""),"")</f>
        <v/>
      </c>
      <c r="L3147" t="str">
        <f>IFERROR(__xludf.DUMMYFUNCTION("""COMPUTED_VALUE"""),"")</f>
        <v/>
      </c>
      <c r="M3147" t="str">
        <f>IFERROR(__xludf.DUMMYFUNCTION("""COMPUTED_VALUE"""),"")</f>
        <v/>
      </c>
      <c r="N3147" t="str">
        <f>IFERROR(__xludf.DUMMYFUNCTION("""COMPUTED_VALUE"""),"")</f>
        <v/>
      </c>
      <c r="O3147" t="str">
        <f>IFERROR(__xludf.DUMMYFUNCTION("""COMPUTED_VALUE"""),"")</f>
        <v/>
      </c>
      <c r="P3147" t="str">
        <f>IFERROR(__xludf.DUMMYFUNCTION("""COMPUTED_VALUE"""),"ID ")</f>
        <v>ID </v>
      </c>
    </row>
    <row r="3148">
      <c r="A3148" s="6" t="str">
        <f>IFERROR(__xludf.DUMMYFUNCTION("""COMPUTED_VALUE"""),"")</f>
        <v/>
      </c>
      <c r="C3148" t="str">
        <f>IFERROR(__xludf.DUMMYFUNCTION("""COMPUTED_VALUE"""),"")</f>
        <v/>
      </c>
      <c r="D3148" t="str">
        <f>IFERROR(__xludf.DUMMYFUNCTION("""COMPUTED_VALUE"""),"")</f>
        <v/>
      </c>
      <c r="E3148" t="str">
        <f>IFERROR(__xludf.DUMMYFUNCTION("""COMPUTED_VALUE"""),"")</f>
        <v/>
      </c>
      <c r="F3148" t="str">
        <f>IFERROR(__xludf.DUMMYFUNCTION("""COMPUTED_VALUE"""),"")</f>
        <v/>
      </c>
      <c r="G3148" t="str">
        <f>IFERROR(__xludf.DUMMYFUNCTION("""COMPUTED_VALUE"""),"")</f>
        <v/>
      </c>
      <c r="H3148" s="2" t="str">
        <f>IFERROR(__xludf.DUMMYFUNCTION("""COMPUTED_VALUE"""),"")</f>
        <v/>
      </c>
      <c r="I3148" s="2" t="str">
        <f>IFERROR(__xludf.DUMMYFUNCTION("""COMPUTED_VALUE"""),"")</f>
        <v/>
      </c>
      <c r="J3148" s="2">
        <f>IFERROR(__xludf.DUMMYFUNCTION("""COMPUTED_VALUE"""),0.0)</f>
        <v>0</v>
      </c>
      <c r="K3148" s="5" t="str">
        <f>IFERROR(__xludf.DUMMYFUNCTION("""COMPUTED_VALUE"""),"")</f>
        <v/>
      </c>
      <c r="L3148" t="str">
        <f>IFERROR(__xludf.DUMMYFUNCTION("""COMPUTED_VALUE"""),"")</f>
        <v/>
      </c>
      <c r="M3148" t="str">
        <f>IFERROR(__xludf.DUMMYFUNCTION("""COMPUTED_VALUE"""),"")</f>
        <v/>
      </c>
      <c r="N3148" t="str">
        <f>IFERROR(__xludf.DUMMYFUNCTION("""COMPUTED_VALUE"""),"")</f>
        <v/>
      </c>
      <c r="O3148" t="str">
        <f>IFERROR(__xludf.DUMMYFUNCTION("""COMPUTED_VALUE"""),"")</f>
        <v/>
      </c>
      <c r="P3148" t="str">
        <f>IFERROR(__xludf.DUMMYFUNCTION("""COMPUTED_VALUE"""),"ID ")</f>
        <v>ID </v>
      </c>
    </row>
    <row r="3149">
      <c r="A3149" s="6" t="str">
        <f>IFERROR(__xludf.DUMMYFUNCTION("""COMPUTED_VALUE"""),"")</f>
        <v/>
      </c>
      <c r="C3149" t="str">
        <f>IFERROR(__xludf.DUMMYFUNCTION("""COMPUTED_VALUE"""),"")</f>
        <v/>
      </c>
      <c r="D3149" t="str">
        <f>IFERROR(__xludf.DUMMYFUNCTION("""COMPUTED_VALUE"""),"")</f>
        <v/>
      </c>
      <c r="E3149" t="str">
        <f>IFERROR(__xludf.DUMMYFUNCTION("""COMPUTED_VALUE"""),"")</f>
        <v/>
      </c>
      <c r="F3149" t="str">
        <f>IFERROR(__xludf.DUMMYFUNCTION("""COMPUTED_VALUE"""),"")</f>
        <v/>
      </c>
      <c r="G3149" t="str">
        <f>IFERROR(__xludf.DUMMYFUNCTION("""COMPUTED_VALUE"""),"")</f>
        <v/>
      </c>
      <c r="H3149" s="2" t="str">
        <f>IFERROR(__xludf.DUMMYFUNCTION("""COMPUTED_VALUE"""),"")</f>
        <v/>
      </c>
      <c r="I3149" s="2" t="str">
        <f>IFERROR(__xludf.DUMMYFUNCTION("""COMPUTED_VALUE"""),"")</f>
        <v/>
      </c>
      <c r="J3149" s="2">
        <f>IFERROR(__xludf.DUMMYFUNCTION("""COMPUTED_VALUE"""),0.0)</f>
        <v>0</v>
      </c>
      <c r="K3149" s="5" t="str">
        <f>IFERROR(__xludf.DUMMYFUNCTION("""COMPUTED_VALUE"""),"")</f>
        <v/>
      </c>
      <c r="L3149" t="str">
        <f>IFERROR(__xludf.DUMMYFUNCTION("""COMPUTED_VALUE"""),"")</f>
        <v/>
      </c>
      <c r="M3149" t="str">
        <f>IFERROR(__xludf.DUMMYFUNCTION("""COMPUTED_VALUE"""),"")</f>
        <v/>
      </c>
      <c r="N3149" t="str">
        <f>IFERROR(__xludf.DUMMYFUNCTION("""COMPUTED_VALUE"""),"")</f>
        <v/>
      </c>
      <c r="O3149" t="str">
        <f>IFERROR(__xludf.DUMMYFUNCTION("""COMPUTED_VALUE"""),"")</f>
        <v/>
      </c>
      <c r="P3149" t="str">
        <f>IFERROR(__xludf.DUMMYFUNCTION("""COMPUTED_VALUE"""),"ID ")</f>
        <v>ID </v>
      </c>
    </row>
    <row r="3150">
      <c r="A3150" s="6" t="str">
        <f>IFERROR(__xludf.DUMMYFUNCTION("""COMPUTED_VALUE"""),"")</f>
        <v/>
      </c>
      <c r="C3150" t="str">
        <f>IFERROR(__xludf.DUMMYFUNCTION("""COMPUTED_VALUE"""),"")</f>
        <v/>
      </c>
      <c r="D3150" t="str">
        <f>IFERROR(__xludf.DUMMYFUNCTION("""COMPUTED_VALUE"""),"")</f>
        <v/>
      </c>
      <c r="E3150" t="str">
        <f>IFERROR(__xludf.DUMMYFUNCTION("""COMPUTED_VALUE"""),"")</f>
        <v/>
      </c>
      <c r="F3150" t="str">
        <f>IFERROR(__xludf.DUMMYFUNCTION("""COMPUTED_VALUE"""),"")</f>
        <v/>
      </c>
      <c r="G3150" t="str">
        <f>IFERROR(__xludf.DUMMYFUNCTION("""COMPUTED_VALUE"""),"")</f>
        <v/>
      </c>
      <c r="H3150" s="2" t="str">
        <f>IFERROR(__xludf.DUMMYFUNCTION("""COMPUTED_VALUE"""),"")</f>
        <v/>
      </c>
      <c r="I3150" s="2" t="str">
        <f>IFERROR(__xludf.DUMMYFUNCTION("""COMPUTED_VALUE"""),"")</f>
        <v/>
      </c>
      <c r="J3150" s="2">
        <f>IFERROR(__xludf.DUMMYFUNCTION("""COMPUTED_VALUE"""),0.0)</f>
        <v>0</v>
      </c>
      <c r="K3150" s="5" t="str">
        <f>IFERROR(__xludf.DUMMYFUNCTION("""COMPUTED_VALUE"""),"")</f>
        <v/>
      </c>
      <c r="L3150" t="str">
        <f>IFERROR(__xludf.DUMMYFUNCTION("""COMPUTED_VALUE"""),"")</f>
        <v/>
      </c>
      <c r="M3150" t="str">
        <f>IFERROR(__xludf.DUMMYFUNCTION("""COMPUTED_VALUE"""),"")</f>
        <v/>
      </c>
      <c r="N3150" t="str">
        <f>IFERROR(__xludf.DUMMYFUNCTION("""COMPUTED_VALUE"""),"")</f>
        <v/>
      </c>
      <c r="O3150" t="str">
        <f>IFERROR(__xludf.DUMMYFUNCTION("""COMPUTED_VALUE"""),"")</f>
        <v/>
      </c>
      <c r="P3150" t="str">
        <f>IFERROR(__xludf.DUMMYFUNCTION("""COMPUTED_VALUE"""),"ID ")</f>
        <v>ID </v>
      </c>
    </row>
    <row r="3151">
      <c r="A3151" s="6" t="str">
        <f>IFERROR(__xludf.DUMMYFUNCTION("""COMPUTED_VALUE"""),"")</f>
        <v/>
      </c>
      <c r="C3151" t="str">
        <f>IFERROR(__xludf.DUMMYFUNCTION("""COMPUTED_VALUE"""),"")</f>
        <v/>
      </c>
      <c r="D3151" t="str">
        <f>IFERROR(__xludf.DUMMYFUNCTION("""COMPUTED_VALUE"""),"")</f>
        <v/>
      </c>
      <c r="E3151" t="str">
        <f>IFERROR(__xludf.DUMMYFUNCTION("""COMPUTED_VALUE"""),"")</f>
        <v/>
      </c>
      <c r="F3151" t="str">
        <f>IFERROR(__xludf.DUMMYFUNCTION("""COMPUTED_VALUE"""),"")</f>
        <v/>
      </c>
      <c r="G3151" t="str">
        <f>IFERROR(__xludf.DUMMYFUNCTION("""COMPUTED_VALUE"""),"")</f>
        <v/>
      </c>
      <c r="H3151" s="2" t="str">
        <f>IFERROR(__xludf.DUMMYFUNCTION("""COMPUTED_VALUE"""),"")</f>
        <v/>
      </c>
      <c r="I3151" s="2" t="str">
        <f>IFERROR(__xludf.DUMMYFUNCTION("""COMPUTED_VALUE"""),"")</f>
        <v/>
      </c>
      <c r="J3151" s="2">
        <f>IFERROR(__xludf.DUMMYFUNCTION("""COMPUTED_VALUE"""),0.0)</f>
        <v>0</v>
      </c>
      <c r="K3151" s="5" t="str">
        <f>IFERROR(__xludf.DUMMYFUNCTION("""COMPUTED_VALUE"""),"")</f>
        <v/>
      </c>
      <c r="L3151" t="str">
        <f>IFERROR(__xludf.DUMMYFUNCTION("""COMPUTED_VALUE"""),"")</f>
        <v/>
      </c>
      <c r="M3151" t="str">
        <f>IFERROR(__xludf.DUMMYFUNCTION("""COMPUTED_VALUE"""),"")</f>
        <v/>
      </c>
      <c r="N3151" t="str">
        <f>IFERROR(__xludf.DUMMYFUNCTION("""COMPUTED_VALUE"""),"")</f>
        <v/>
      </c>
      <c r="O3151" t="str">
        <f>IFERROR(__xludf.DUMMYFUNCTION("""COMPUTED_VALUE"""),"")</f>
        <v/>
      </c>
      <c r="P3151" t="str">
        <f>IFERROR(__xludf.DUMMYFUNCTION("""COMPUTED_VALUE"""),"ID ")</f>
        <v>ID </v>
      </c>
    </row>
    <row r="3152">
      <c r="A3152" s="6" t="str">
        <f>IFERROR(__xludf.DUMMYFUNCTION("""COMPUTED_VALUE"""),"")</f>
        <v/>
      </c>
      <c r="C3152" t="str">
        <f>IFERROR(__xludf.DUMMYFUNCTION("""COMPUTED_VALUE"""),"")</f>
        <v/>
      </c>
      <c r="D3152" t="str">
        <f>IFERROR(__xludf.DUMMYFUNCTION("""COMPUTED_VALUE"""),"")</f>
        <v/>
      </c>
      <c r="E3152" t="str">
        <f>IFERROR(__xludf.DUMMYFUNCTION("""COMPUTED_VALUE"""),"")</f>
        <v/>
      </c>
      <c r="F3152" t="str">
        <f>IFERROR(__xludf.DUMMYFUNCTION("""COMPUTED_VALUE"""),"")</f>
        <v/>
      </c>
      <c r="G3152" t="str">
        <f>IFERROR(__xludf.DUMMYFUNCTION("""COMPUTED_VALUE"""),"")</f>
        <v/>
      </c>
      <c r="H3152" s="2" t="str">
        <f>IFERROR(__xludf.DUMMYFUNCTION("""COMPUTED_VALUE"""),"")</f>
        <v/>
      </c>
      <c r="I3152" s="2" t="str">
        <f>IFERROR(__xludf.DUMMYFUNCTION("""COMPUTED_VALUE"""),"")</f>
        <v/>
      </c>
      <c r="J3152" s="2">
        <f>IFERROR(__xludf.DUMMYFUNCTION("""COMPUTED_VALUE"""),0.0)</f>
        <v>0</v>
      </c>
      <c r="K3152" s="5" t="str">
        <f>IFERROR(__xludf.DUMMYFUNCTION("""COMPUTED_VALUE"""),"")</f>
        <v/>
      </c>
      <c r="L3152" t="str">
        <f>IFERROR(__xludf.DUMMYFUNCTION("""COMPUTED_VALUE"""),"")</f>
        <v/>
      </c>
      <c r="M3152" t="str">
        <f>IFERROR(__xludf.DUMMYFUNCTION("""COMPUTED_VALUE"""),"")</f>
        <v/>
      </c>
      <c r="N3152" t="str">
        <f>IFERROR(__xludf.DUMMYFUNCTION("""COMPUTED_VALUE"""),"")</f>
        <v/>
      </c>
      <c r="O3152" t="str">
        <f>IFERROR(__xludf.DUMMYFUNCTION("""COMPUTED_VALUE"""),"")</f>
        <v/>
      </c>
      <c r="P3152" t="str">
        <f>IFERROR(__xludf.DUMMYFUNCTION("""COMPUTED_VALUE"""),"ID ")</f>
        <v>ID </v>
      </c>
    </row>
    <row r="3153">
      <c r="A3153" s="6" t="str">
        <f>IFERROR(__xludf.DUMMYFUNCTION("""COMPUTED_VALUE"""),"")</f>
        <v/>
      </c>
      <c r="C3153" t="str">
        <f>IFERROR(__xludf.DUMMYFUNCTION("""COMPUTED_VALUE"""),"")</f>
        <v/>
      </c>
      <c r="D3153" t="str">
        <f>IFERROR(__xludf.DUMMYFUNCTION("""COMPUTED_VALUE"""),"")</f>
        <v/>
      </c>
      <c r="E3153" t="str">
        <f>IFERROR(__xludf.DUMMYFUNCTION("""COMPUTED_VALUE"""),"")</f>
        <v/>
      </c>
      <c r="F3153" t="str">
        <f>IFERROR(__xludf.DUMMYFUNCTION("""COMPUTED_VALUE"""),"")</f>
        <v/>
      </c>
      <c r="G3153" t="str">
        <f>IFERROR(__xludf.DUMMYFUNCTION("""COMPUTED_VALUE"""),"")</f>
        <v/>
      </c>
      <c r="H3153" s="2" t="str">
        <f>IFERROR(__xludf.DUMMYFUNCTION("""COMPUTED_VALUE"""),"")</f>
        <v/>
      </c>
      <c r="I3153" s="2" t="str">
        <f>IFERROR(__xludf.DUMMYFUNCTION("""COMPUTED_VALUE"""),"")</f>
        <v/>
      </c>
      <c r="J3153" s="2">
        <f>IFERROR(__xludf.DUMMYFUNCTION("""COMPUTED_VALUE"""),0.0)</f>
        <v>0</v>
      </c>
      <c r="K3153" s="5" t="str">
        <f>IFERROR(__xludf.DUMMYFUNCTION("""COMPUTED_VALUE"""),"")</f>
        <v/>
      </c>
      <c r="L3153" t="str">
        <f>IFERROR(__xludf.DUMMYFUNCTION("""COMPUTED_VALUE"""),"")</f>
        <v/>
      </c>
      <c r="M3153" t="str">
        <f>IFERROR(__xludf.DUMMYFUNCTION("""COMPUTED_VALUE"""),"")</f>
        <v/>
      </c>
      <c r="N3153" t="str">
        <f>IFERROR(__xludf.DUMMYFUNCTION("""COMPUTED_VALUE"""),"")</f>
        <v/>
      </c>
      <c r="O3153" t="str">
        <f>IFERROR(__xludf.DUMMYFUNCTION("""COMPUTED_VALUE"""),"")</f>
        <v/>
      </c>
      <c r="P3153" t="str">
        <f>IFERROR(__xludf.DUMMYFUNCTION("""COMPUTED_VALUE"""),"ID ")</f>
        <v>ID </v>
      </c>
    </row>
    <row r="3154">
      <c r="A3154" s="6" t="str">
        <f>IFERROR(__xludf.DUMMYFUNCTION("""COMPUTED_VALUE"""),"")</f>
        <v/>
      </c>
      <c r="C3154" t="str">
        <f>IFERROR(__xludf.DUMMYFUNCTION("""COMPUTED_VALUE"""),"")</f>
        <v/>
      </c>
      <c r="D3154" t="str">
        <f>IFERROR(__xludf.DUMMYFUNCTION("""COMPUTED_VALUE"""),"")</f>
        <v/>
      </c>
      <c r="E3154" t="str">
        <f>IFERROR(__xludf.DUMMYFUNCTION("""COMPUTED_VALUE"""),"")</f>
        <v/>
      </c>
      <c r="F3154" t="str">
        <f>IFERROR(__xludf.DUMMYFUNCTION("""COMPUTED_VALUE"""),"")</f>
        <v/>
      </c>
      <c r="G3154" t="str">
        <f>IFERROR(__xludf.DUMMYFUNCTION("""COMPUTED_VALUE"""),"")</f>
        <v/>
      </c>
      <c r="H3154" s="2" t="str">
        <f>IFERROR(__xludf.DUMMYFUNCTION("""COMPUTED_VALUE"""),"")</f>
        <v/>
      </c>
      <c r="I3154" s="2" t="str">
        <f>IFERROR(__xludf.DUMMYFUNCTION("""COMPUTED_VALUE"""),"")</f>
        <v/>
      </c>
      <c r="J3154" s="2">
        <f>IFERROR(__xludf.DUMMYFUNCTION("""COMPUTED_VALUE"""),0.0)</f>
        <v>0</v>
      </c>
      <c r="K3154" s="5" t="str">
        <f>IFERROR(__xludf.DUMMYFUNCTION("""COMPUTED_VALUE"""),"")</f>
        <v/>
      </c>
      <c r="L3154" t="str">
        <f>IFERROR(__xludf.DUMMYFUNCTION("""COMPUTED_VALUE"""),"")</f>
        <v/>
      </c>
      <c r="M3154" t="str">
        <f>IFERROR(__xludf.DUMMYFUNCTION("""COMPUTED_VALUE"""),"")</f>
        <v/>
      </c>
      <c r="N3154" t="str">
        <f>IFERROR(__xludf.DUMMYFUNCTION("""COMPUTED_VALUE"""),"")</f>
        <v/>
      </c>
      <c r="O3154" t="str">
        <f>IFERROR(__xludf.DUMMYFUNCTION("""COMPUTED_VALUE"""),"")</f>
        <v/>
      </c>
      <c r="P3154" t="str">
        <f>IFERROR(__xludf.DUMMYFUNCTION("""COMPUTED_VALUE"""),"ID ")</f>
        <v>ID </v>
      </c>
    </row>
    <row r="3155">
      <c r="A3155" s="6" t="str">
        <f>IFERROR(__xludf.DUMMYFUNCTION("""COMPUTED_VALUE"""),"")</f>
        <v/>
      </c>
      <c r="C3155" t="str">
        <f>IFERROR(__xludf.DUMMYFUNCTION("""COMPUTED_VALUE"""),"")</f>
        <v/>
      </c>
      <c r="D3155" t="str">
        <f>IFERROR(__xludf.DUMMYFUNCTION("""COMPUTED_VALUE"""),"")</f>
        <v/>
      </c>
      <c r="E3155" t="str">
        <f>IFERROR(__xludf.DUMMYFUNCTION("""COMPUTED_VALUE"""),"")</f>
        <v/>
      </c>
      <c r="F3155" t="str">
        <f>IFERROR(__xludf.DUMMYFUNCTION("""COMPUTED_VALUE"""),"")</f>
        <v/>
      </c>
      <c r="G3155" t="str">
        <f>IFERROR(__xludf.DUMMYFUNCTION("""COMPUTED_VALUE"""),"")</f>
        <v/>
      </c>
      <c r="H3155" s="2" t="str">
        <f>IFERROR(__xludf.DUMMYFUNCTION("""COMPUTED_VALUE"""),"")</f>
        <v/>
      </c>
      <c r="I3155" s="2" t="str">
        <f>IFERROR(__xludf.DUMMYFUNCTION("""COMPUTED_VALUE"""),"")</f>
        <v/>
      </c>
      <c r="J3155" s="2">
        <f>IFERROR(__xludf.DUMMYFUNCTION("""COMPUTED_VALUE"""),0.0)</f>
        <v>0</v>
      </c>
      <c r="K3155" s="5" t="str">
        <f>IFERROR(__xludf.DUMMYFUNCTION("""COMPUTED_VALUE"""),"")</f>
        <v/>
      </c>
      <c r="L3155" t="str">
        <f>IFERROR(__xludf.DUMMYFUNCTION("""COMPUTED_VALUE"""),"")</f>
        <v/>
      </c>
      <c r="M3155" t="str">
        <f>IFERROR(__xludf.DUMMYFUNCTION("""COMPUTED_VALUE"""),"")</f>
        <v/>
      </c>
      <c r="N3155" t="str">
        <f>IFERROR(__xludf.DUMMYFUNCTION("""COMPUTED_VALUE"""),"")</f>
        <v/>
      </c>
      <c r="O3155" t="str">
        <f>IFERROR(__xludf.DUMMYFUNCTION("""COMPUTED_VALUE"""),"")</f>
        <v/>
      </c>
      <c r="P3155" t="str">
        <f>IFERROR(__xludf.DUMMYFUNCTION("""COMPUTED_VALUE"""),"ID ")</f>
        <v>ID </v>
      </c>
    </row>
    <row r="3156">
      <c r="A3156" s="6" t="str">
        <f>IFERROR(__xludf.DUMMYFUNCTION("""COMPUTED_VALUE"""),"")</f>
        <v/>
      </c>
      <c r="C3156" t="str">
        <f>IFERROR(__xludf.DUMMYFUNCTION("""COMPUTED_VALUE"""),"")</f>
        <v/>
      </c>
      <c r="D3156" t="str">
        <f>IFERROR(__xludf.DUMMYFUNCTION("""COMPUTED_VALUE"""),"")</f>
        <v/>
      </c>
      <c r="E3156" t="str">
        <f>IFERROR(__xludf.DUMMYFUNCTION("""COMPUTED_VALUE"""),"")</f>
        <v/>
      </c>
      <c r="F3156" t="str">
        <f>IFERROR(__xludf.DUMMYFUNCTION("""COMPUTED_VALUE"""),"")</f>
        <v/>
      </c>
      <c r="G3156" t="str">
        <f>IFERROR(__xludf.DUMMYFUNCTION("""COMPUTED_VALUE"""),"")</f>
        <v/>
      </c>
      <c r="H3156" s="2" t="str">
        <f>IFERROR(__xludf.DUMMYFUNCTION("""COMPUTED_VALUE"""),"")</f>
        <v/>
      </c>
      <c r="I3156" s="2" t="str">
        <f>IFERROR(__xludf.DUMMYFUNCTION("""COMPUTED_VALUE"""),"")</f>
        <v/>
      </c>
      <c r="J3156" s="2">
        <f>IFERROR(__xludf.DUMMYFUNCTION("""COMPUTED_VALUE"""),0.0)</f>
        <v>0</v>
      </c>
      <c r="K3156" s="5" t="str">
        <f>IFERROR(__xludf.DUMMYFUNCTION("""COMPUTED_VALUE"""),"")</f>
        <v/>
      </c>
      <c r="L3156" t="str">
        <f>IFERROR(__xludf.DUMMYFUNCTION("""COMPUTED_VALUE"""),"")</f>
        <v/>
      </c>
      <c r="M3156" t="str">
        <f>IFERROR(__xludf.DUMMYFUNCTION("""COMPUTED_VALUE"""),"")</f>
        <v/>
      </c>
      <c r="N3156" t="str">
        <f>IFERROR(__xludf.DUMMYFUNCTION("""COMPUTED_VALUE"""),"")</f>
        <v/>
      </c>
      <c r="O3156" t="str">
        <f>IFERROR(__xludf.DUMMYFUNCTION("""COMPUTED_VALUE"""),"")</f>
        <v/>
      </c>
      <c r="P3156" t="str">
        <f>IFERROR(__xludf.DUMMYFUNCTION("""COMPUTED_VALUE"""),"ID ")</f>
        <v>ID </v>
      </c>
    </row>
    <row r="3157">
      <c r="A3157" s="6" t="str">
        <f>IFERROR(__xludf.DUMMYFUNCTION("""COMPUTED_VALUE"""),"")</f>
        <v/>
      </c>
      <c r="C3157" t="str">
        <f>IFERROR(__xludf.DUMMYFUNCTION("""COMPUTED_VALUE"""),"")</f>
        <v/>
      </c>
      <c r="D3157" t="str">
        <f>IFERROR(__xludf.DUMMYFUNCTION("""COMPUTED_VALUE"""),"")</f>
        <v/>
      </c>
      <c r="E3157" t="str">
        <f>IFERROR(__xludf.DUMMYFUNCTION("""COMPUTED_VALUE"""),"")</f>
        <v/>
      </c>
      <c r="F3157" t="str">
        <f>IFERROR(__xludf.DUMMYFUNCTION("""COMPUTED_VALUE"""),"")</f>
        <v/>
      </c>
      <c r="G3157" t="str">
        <f>IFERROR(__xludf.DUMMYFUNCTION("""COMPUTED_VALUE"""),"")</f>
        <v/>
      </c>
      <c r="H3157" s="2" t="str">
        <f>IFERROR(__xludf.DUMMYFUNCTION("""COMPUTED_VALUE"""),"")</f>
        <v/>
      </c>
      <c r="I3157" s="2" t="str">
        <f>IFERROR(__xludf.DUMMYFUNCTION("""COMPUTED_VALUE"""),"")</f>
        <v/>
      </c>
      <c r="J3157" s="2">
        <f>IFERROR(__xludf.DUMMYFUNCTION("""COMPUTED_VALUE"""),0.0)</f>
        <v>0</v>
      </c>
      <c r="K3157" s="5" t="str">
        <f>IFERROR(__xludf.DUMMYFUNCTION("""COMPUTED_VALUE"""),"")</f>
        <v/>
      </c>
      <c r="L3157" t="str">
        <f>IFERROR(__xludf.DUMMYFUNCTION("""COMPUTED_VALUE"""),"")</f>
        <v/>
      </c>
      <c r="M3157" t="str">
        <f>IFERROR(__xludf.DUMMYFUNCTION("""COMPUTED_VALUE"""),"")</f>
        <v/>
      </c>
      <c r="N3157" t="str">
        <f>IFERROR(__xludf.DUMMYFUNCTION("""COMPUTED_VALUE"""),"")</f>
        <v/>
      </c>
      <c r="O3157" t="str">
        <f>IFERROR(__xludf.DUMMYFUNCTION("""COMPUTED_VALUE"""),"")</f>
        <v/>
      </c>
      <c r="P3157" t="str">
        <f>IFERROR(__xludf.DUMMYFUNCTION("""COMPUTED_VALUE"""),"ID ")</f>
        <v>ID </v>
      </c>
    </row>
    <row r="3158">
      <c r="A3158" s="6" t="str">
        <f>IFERROR(__xludf.DUMMYFUNCTION("""COMPUTED_VALUE"""),"")</f>
        <v/>
      </c>
      <c r="C3158" t="str">
        <f>IFERROR(__xludf.DUMMYFUNCTION("""COMPUTED_VALUE"""),"")</f>
        <v/>
      </c>
      <c r="D3158" t="str">
        <f>IFERROR(__xludf.DUMMYFUNCTION("""COMPUTED_VALUE"""),"")</f>
        <v/>
      </c>
      <c r="E3158" t="str">
        <f>IFERROR(__xludf.DUMMYFUNCTION("""COMPUTED_VALUE"""),"")</f>
        <v/>
      </c>
      <c r="F3158" t="str">
        <f>IFERROR(__xludf.DUMMYFUNCTION("""COMPUTED_VALUE"""),"")</f>
        <v/>
      </c>
      <c r="G3158" t="str">
        <f>IFERROR(__xludf.DUMMYFUNCTION("""COMPUTED_VALUE"""),"")</f>
        <v/>
      </c>
      <c r="H3158" s="2" t="str">
        <f>IFERROR(__xludf.DUMMYFUNCTION("""COMPUTED_VALUE"""),"")</f>
        <v/>
      </c>
      <c r="I3158" s="2" t="str">
        <f>IFERROR(__xludf.DUMMYFUNCTION("""COMPUTED_VALUE"""),"")</f>
        <v/>
      </c>
      <c r="J3158" s="2">
        <f>IFERROR(__xludf.DUMMYFUNCTION("""COMPUTED_VALUE"""),0.0)</f>
        <v>0</v>
      </c>
      <c r="K3158" s="5" t="str">
        <f>IFERROR(__xludf.DUMMYFUNCTION("""COMPUTED_VALUE"""),"")</f>
        <v/>
      </c>
      <c r="L3158" t="str">
        <f>IFERROR(__xludf.DUMMYFUNCTION("""COMPUTED_VALUE"""),"")</f>
        <v/>
      </c>
      <c r="M3158" t="str">
        <f>IFERROR(__xludf.DUMMYFUNCTION("""COMPUTED_VALUE"""),"")</f>
        <v/>
      </c>
      <c r="N3158" t="str">
        <f>IFERROR(__xludf.DUMMYFUNCTION("""COMPUTED_VALUE"""),"")</f>
        <v/>
      </c>
      <c r="O3158" t="str">
        <f>IFERROR(__xludf.DUMMYFUNCTION("""COMPUTED_VALUE"""),"")</f>
        <v/>
      </c>
      <c r="P3158" t="str">
        <f>IFERROR(__xludf.DUMMYFUNCTION("""COMPUTED_VALUE"""),"ID ")</f>
        <v>ID </v>
      </c>
    </row>
    <row r="3159">
      <c r="A3159" s="6" t="str">
        <f>IFERROR(__xludf.DUMMYFUNCTION("""COMPUTED_VALUE"""),"")</f>
        <v/>
      </c>
      <c r="C3159" t="str">
        <f>IFERROR(__xludf.DUMMYFUNCTION("""COMPUTED_VALUE"""),"")</f>
        <v/>
      </c>
      <c r="D3159" t="str">
        <f>IFERROR(__xludf.DUMMYFUNCTION("""COMPUTED_VALUE"""),"")</f>
        <v/>
      </c>
      <c r="E3159" t="str">
        <f>IFERROR(__xludf.DUMMYFUNCTION("""COMPUTED_VALUE"""),"")</f>
        <v/>
      </c>
      <c r="F3159" t="str">
        <f>IFERROR(__xludf.DUMMYFUNCTION("""COMPUTED_VALUE"""),"")</f>
        <v/>
      </c>
      <c r="G3159" t="str">
        <f>IFERROR(__xludf.DUMMYFUNCTION("""COMPUTED_VALUE"""),"")</f>
        <v/>
      </c>
      <c r="H3159" s="2" t="str">
        <f>IFERROR(__xludf.DUMMYFUNCTION("""COMPUTED_VALUE"""),"")</f>
        <v/>
      </c>
      <c r="I3159" s="2" t="str">
        <f>IFERROR(__xludf.DUMMYFUNCTION("""COMPUTED_VALUE"""),"")</f>
        <v/>
      </c>
      <c r="J3159" s="2">
        <f>IFERROR(__xludf.DUMMYFUNCTION("""COMPUTED_VALUE"""),0.0)</f>
        <v>0</v>
      </c>
      <c r="K3159" s="5" t="str">
        <f>IFERROR(__xludf.DUMMYFUNCTION("""COMPUTED_VALUE"""),"")</f>
        <v/>
      </c>
      <c r="L3159" t="str">
        <f>IFERROR(__xludf.DUMMYFUNCTION("""COMPUTED_VALUE"""),"")</f>
        <v/>
      </c>
      <c r="M3159" t="str">
        <f>IFERROR(__xludf.DUMMYFUNCTION("""COMPUTED_VALUE"""),"")</f>
        <v/>
      </c>
      <c r="N3159" t="str">
        <f>IFERROR(__xludf.DUMMYFUNCTION("""COMPUTED_VALUE"""),"")</f>
        <v/>
      </c>
      <c r="O3159" t="str">
        <f>IFERROR(__xludf.DUMMYFUNCTION("""COMPUTED_VALUE"""),"")</f>
        <v/>
      </c>
      <c r="P3159" t="str">
        <f>IFERROR(__xludf.DUMMYFUNCTION("""COMPUTED_VALUE"""),"ID ")</f>
        <v>ID </v>
      </c>
    </row>
    <row r="3160">
      <c r="A3160" s="6" t="str">
        <f>IFERROR(__xludf.DUMMYFUNCTION("""COMPUTED_VALUE"""),"")</f>
        <v/>
      </c>
      <c r="C3160" t="str">
        <f>IFERROR(__xludf.DUMMYFUNCTION("""COMPUTED_VALUE"""),"")</f>
        <v/>
      </c>
      <c r="D3160" t="str">
        <f>IFERROR(__xludf.DUMMYFUNCTION("""COMPUTED_VALUE"""),"")</f>
        <v/>
      </c>
      <c r="E3160" t="str">
        <f>IFERROR(__xludf.DUMMYFUNCTION("""COMPUTED_VALUE"""),"")</f>
        <v/>
      </c>
      <c r="F3160" t="str">
        <f>IFERROR(__xludf.DUMMYFUNCTION("""COMPUTED_VALUE"""),"")</f>
        <v/>
      </c>
      <c r="G3160" t="str">
        <f>IFERROR(__xludf.DUMMYFUNCTION("""COMPUTED_VALUE"""),"")</f>
        <v/>
      </c>
      <c r="H3160" s="2" t="str">
        <f>IFERROR(__xludf.DUMMYFUNCTION("""COMPUTED_VALUE"""),"")</f>
        <v/>
      </c>
      <c r="I3160" s="2" t="str">
        <f>IFERROR(__xludf.DUMMYFUNCTION("""COMPUTED_VALUE"""),"")</f>
        <v/>
      </c>
      <c r="J3160" s="2">
        <f>IFERROR(__xludf.DUMMYFUNCTION("""COMPUTED_VALUE"""),0.0)</f>
        <v>0</v>
      </c>
      <c r="K3160" s="5" t="str">
        <f>IFERROR(__xludf.DUMMYFUNCTION("""COMPUTED_VALUE"""),"")</f>
        <v/>
      </c>
      <c r="L3160" t="str">
        <f>IFERROR(__xludf.DUMMYFUNCTION("""COMPUTED_VALUE"""),"")</f>
        <v/>
      </c>
      <c r="M3160" t="str">
        <f>IFERROR(__xludf.DUMMYFUNCTION("""COMPUTED_VALUE"""),"")</f>
        <v/>
      </c>
      <c r="N3160" t="str">
        <f>IFERROR(__xludf.DUMMYFUNCTION("""COMPUTED_VALUE"""),"")</f>
        <v/>
      </c>
      <c r="O3160" t="str">
        <f>IFERROR(__xludf.DUMMYFUNCTION("""COMPUTED_VALUE"""),"")</f>
        <v/>
      </c>
      <c r="P3160" t="str">
        <f>IFERROR(__xludf.DUMMYFUNCTION("""COMPUTED_VALUE"""),"ID ")</f>
        <v>ID </v>
      </c>
    </row>
    <row r="3161">
      <c r="A3161" s="6" t="str">
        <f>IFERROR(__xludf.DUMMYFUNCTION("""COMPUTED_VALUE"""),"")</f>
        <v/>
      </c>
      <c r="C3161" t="str">
        <f>IFERROR(__xludf.DUMMYFUNCTION("""COMPUTED_VALUE"""),"")</f>
        <v/>
      </c>
      <c r="D3161" t="str">
        <f>IFERROR(__xludf.DUMMYFUNCTION("""COMPUTED_VALUE"""),"")</f>
        <v/>
      </c>
      <c r="E3161" t="str">
        <f>IFERROR(__xludf.DUMMYFUNCTION("""COMPUTED_VALUE"""),"")</f>
        <v/>
      </c>
      <c r="F3161" t="str">
        <f>IFERROR(__xludf.DUMMYFUNCTION("""COMPUTED_VALUE"""),"")</f>
        <v/>
      </c>
      <c r="G3161" t="str">
        <f>IFERROR(__xludf.DUMMYFUNCTION("""COMPUTED_VALUE"""),"")</f>
        <v/>
      </c>
      <c r="H3161" s="2" t="str">
        <f>IFERROR(__xludf.DUMMYFUNCTION("""COMPUTED_VALUE"""),"")</f>
        <v/>
      </c>
      <c r="I3161" s="2" t="str">
        <f>IFERROR(__xludf.DUMMYFUNCTION("""COMPUTED_VALUE"""),"")</f>
        <v/>
      </c>
      <c r="J3161" s="2">
        <f>IFERROR(__xludf.DUMMYFUNCTION("""COMPUTED_VALUE"""),0.0)</f>
        <v>0</v>
      </c>
      <c r="K3161" s="5" t="str">
        <f>IFERROR(__xludf.DUMMYFUNCTION("""COMPUTED_VALUE"""),"")</f>
        <v/>
      </c>
      <c r="L3161" t="str">
        <f>IFERROR(__xludf.DUMMYFUNCTION("""COMPUTED_VALUE"""),"")</f>
        <v/>
      </c>
      <c r="M3161" t="str">
        <f>IFERROR(__xludf.DUMMYFUNCTION("""COMPUTED_VALUE"""),"")</f>
        <v/>
      </c>
      <c r="N3161" t="str">
        <f>IFERROR(__xludf.DUMMYFUNCTION("""COMPUTED_VALUE"""),"")</f>
        <v/>
      </c>
      <c r="O3161" t="str">
        <f>IFERROR(__xludf.DUMMYFUNCTION("""COMPUTED_VALUE"""),"")</f>
        <v/>
      </c>
      <c r="P3161" t="str">
        <f>IFERROR(__xludf.DUMMYFUNCTION("""COMPUTED_VALUE"""),"ID ")</f>
        <v>ID </v>
      </c>
    </row>
    <row r="3162">
      <c r="A3162" s="6" t="str">
        <f>IFERROR(__xludf.DUMMYFUNCTION("""COMPUTED_VALUE"""),"")</f>
        <v/>
      </c>
      <c r="C3162" t="str">
        <f>IFERROR(__xludf.DUMMYFUNCTION("""COMPUTED_VALUE"""),"")</f>
        <v/>
      </c>
      <c r="D3162" t="str">
        <f>IFERROR(__xludf.DUMMYFUNCTION("""COMPUTED_VALUE"""),"")</f>
        <v/>
      </c>
      <c r="E3162" t="str">
        <f>IFERROR(__xludf.DUMMYFUNCTION("""COMPUTED_VALUE"""),"")</f>
        <v/>
      </c>
      <c r="F3162" t="str">
        <f>IFERROR(__xludf.DUMMYFUNCTION("""COMPUTED_VALUE"""),"")</f>
        <v/>
      </c>
      <c r="G3162" t="str">
        <f>IFERROR(__xludf.DUMMYFUNCTION("""COMPUTED_VALUE"""),"")</f>
        <v/>
      </c>
      <c r="H3162" s="2" t="str">
        <f>IFERROR(__xludf.DUMMYFUNCTION("""COMPUTED_VALUE"""),"")</f>
        <v/>
      </c>
      <c r="I3162" s="2" t="str">
        <f>IFERROR(__xludf.DUMMYFUNCTION("""COMPUTED_VALUE"""),"")</f>
        <v/>
      </c>
      <c r="J3162" s="2">
        <f>IFERROR(__xludf.DUMMYFUNCTION("""COMPUTED_VALUE"""),0.0)</f>
        <v>0</v>
      </c>
      <c r="K3162" s="5" t="str">
        <f>IFERROR(__xludf.DUMMYFUNCTION("""COMPUTED_VALUE"""),"")</f>
        <v/>
      </c>
      <c r="L3162" t="str">
        <f>IFERROR(__xludf.DUMMYFUNCTION("""COMPUTED_VALUE"""),"")</f>
        <v/>
      </c>
      <c r="M3162" t="str">
        <f>IFERROR(__xludf.DUMMYFUNCTION("""COMPUTED_VALUE"""),"")</f>
        <v/>
      </c>
      <c r="N3162" t="str">
        <f>IFERROR(__xludf.DUMMYFUNCTION("""COMPUTED_VALUE"""),"")</f>
        <v/>
      </c>
      <c r="O3162" t="str">
        <f>IFERROR(__xludf.DUMMYFUNCTION("""COMPUTED_VALUE"""),"")</f>
        <v/>
      </c>
      <c r="P3162" t="str">
        <f>IFERROR(__xludf.DUMMYFUNCTION("""COMPUTED_VALUE"""),"ID ")</f>
        <v>ID </v>
      </c>
    </row>
    <row r="3163">
      <c r="A3163" s="6" t="str">
        <f>IFERROR(__xludf.DUMMYFUNCTION("""COMPUTED_VALUE"""),"")</f>
        <v/>
      </c>
      <c r="C3163" t="str">
        <f>IFERROR(__xludf.DUMMYFUNCTION("""COMPUTED_VALUE"""),"")</f>
        <v/>
      </c>
      <c r="D3163" t="str">
        <f>IFERROR(__xludf.DUMMYFUNCTION("""COMPUTED_VALUE"""),"")</f>
        <v/>
      </c>
      <c r="E3163" t="str">
        <f>IFERROR(__xludf.DUMMYFUNCTION("""COMPUTED_VALUE"""),"")</f>
        <v/>
      </c>
      <c r="F3163" t="str">
        <f>IFERROR(__xludf.DUMMYFUNCTION("""COMPUTED_VALUE"""),"")</f>
        <v/>
      </c>
      <c r="G3163" t="str">
        <f>IFERROR(__xludf.DUMMYFUNCTION("""COMPUTED_VALUE"""),"")</f>
        <v/>
      </c>
      <c r="H3163" s="2" t="str">
        <f>IFERROR(__xludf.DUMMYFUNCTION("""COMPUTED_VALUE"""),"")</f>
        <v/>
      </c>
      <c r="I3163" s="2" t="str">
        <f>IFERROR(__xludf.DUMMYFUNCTION("""COMPUTED_VALUE"""),"")</f>
        <v/>
      </c>
      <c r="J3163" s="2">
        <f>IFERROR(__xludf.DUMMYFUNCTION("""COMPUTED_VALUE"""),0.0)</f>
        <v>0</v>
      </c>
      <c r="K3163" s="5" t="str">
        <f>IFERROR(__xludf.DUMMYFUNCTION("""COMPUTED_VALUE"""),"")</f>
        <v/>
      </c>
      <c r="L3163" t="str">
        <f>IFERROR(__xludf.DUMMYFUNCTION("""COMPUTED_VALUE"""),"")</f>
        <v/>
      </c>
      <c r="M3163" t="str">
        <f>IFERROR(__xludf.DUMMYFUNCTION("""COMPUTED_VALUE"""),"")</f>
        <v/>
      </c>
      <c r="N3163" t="str">
        <f>IFERROR(__xludf.DUMMYFUNCTION("""COMPUTED_VALUE"""),"")</f>
        <v/>
      </c>
      <c r="O3163" t="str">
        <f>IFERROR(__xludf.DUMMYFUNCTION("""COMPUTED_VALUE"""),"")</f>
        <v/>
      </c>
      <c r="P3163" t="str">
        <f>IFERROR(__xludf.DUMMYFUNCTION("""COMPUTED_VALUE"""),"ID ")</f>
        <v>ID </v>
      </c>
    </row>
    <row r="3164">
      <c r="A3164" s="6" t="str">
        <f>IFERROR(__xludf.DUMMYFUNCTION("""COMPUTED_VALUE"""),"")</f>
        <v/>
      </c>
      <c r="C3164" t="str">
        <f>IFERROR(__xludf.DUMMYFUNCTION("""COMPUTED_VALUE"""),"")</f>
        <v/>
      </c>
      <c r="D3164" t="str">
        <f>IFERROR(__xludf.DUMMYFUNCTION("""COMPUTED_VALUE"""),"")</f>
        <v/>
      </c>
      <c r="E3164" t="str">
        <f>IFERROR(__xludf.DUMMYFUNCTION("""COMPUTED_VALUE"""),"")</f>
        <v/>
      </c>
      <c r="F3164" t="str">
        <f>IFERROR(__xludf.DUMMYFUNCTION("""COMPUTED_VALUE"""),"")</f>
        <v/>
      </c>
      <c r="G3164" t="str">
        <f>IFERROR(__xludf.DUMMYFUNCTION("""COMPUTED_VALUE"""),"")</f>
        <v/>
      </c>
      <c r="H3164" s="2" t="str">
        <f>IFERROR(__xludf.DUMMYFUNCTION("""COMPUTED_VALUE"""),"")</f>
        <v/>
      </c>
      <c r="I3164" s="2" t="str">
        <f>IFERROR(__xludf.DUMMYFUNCTION("""COMPUTED_VALUE"""),"")</f>
        <v/>
      </c>
      <c r="J3164" s="2">
        <f>IFERROR(__xludf.DUMMYFUNCTION("""COMPUTED_VALUE"""),0.0)</f>
        <v>0</v>
      </c>
      <c r="K3164" s="5" t="str">
        <f>IFERROR(__xludf.DUMMYFUNCTION("""COMPUTED_VALUE"""),"")</f>
        <v/>
      </c>
      <c r="L3164" t="str">
        <f>IFERROR(__xludf.DUMMYFUNCTION("""COMPUTED_VALUE"""),"")</f>
        <v/>
      </c>
      <c r="M3164" t="str">
        <f>IFERROR(__xludf.DUMMYFUNCTION("""COMPUTED_VALUE"""),"")</f>
        <v/>
      </c>
      <c r="N3164" t="str">
        <f>IFERROR(__xludf.DUMMYFUNCTION("""COMPUTED_VALUE"""),"")</f>
        <v/>
      </c>
      <c r="O3164" t="str">
        <f>IFERROR(__xludf.DUMMYFUNCTION("""COMPUTED_VALUE"""),"")</f>
        <v/>
      </c>
      <c r="P3164" t="str">
        <f>IFERROR(__xludf.DUMMYFUNCTION("""COMPUTED_VALUE"""),"ID ")</f>
        <v>ID </v>
      </c>
    </row>
    <row r="3165">
      <c r="A3165" s="6" t="str">
        <f>IFERROR(__xludf.DUMMYFUNCTION("""COMPUTED_VALUE"""),"")</f>
        <v/>
      </c>
      <c r="C3165" t="str">
        <f>IFERROR(__xludf.DUMMYFUNCTION("""COMPUTED_VALUE"""),"")</f>
        <v/>
      </c>
      <c r="D3165" t="str">
        <f>IFERROR(__xludf.DUMMYFUNCTION("""COMPUTED_VALUE"""),"")</f>
        <v/>
      </c>
      <c r="E3165" t="str">
        <f>IFERROR(__xludf.DUMMYFUNCTION("""COMPUTED_VALUE"""),"")</f>
        <v/>
      </c>
      <c r="F3165" t="str">
        <f>IFERROR(__xludf.DUMMYFUNCTION("""COMPUTED_VALUE"""),"")</f>
        <v/>
      </c>
      <c r="G3165" t="str">
        <f>IFERROR(__xludf.DUMMYFUNCTION("""COMPUTED_VALUE"""),"")</f>
        <v/>
      </c>
      <c r="H3165" s="2" t="str">
        <f>IFERROR(__xludf.DUMMYFUNCTION("""COMPUTED_VALUE"""),"")</f>
        <v/>
      </c>
      <c r="I3165" s="2" t="str">
        <f>IFERROR(__xludf.DUMMYFUNCTION("""COMPUTED_VALUE"""),"")</f>
        <v/>
      </c>
      <c r="J3165" s="2">
        <f>IFERROR(__xludf.DUMMYFUNCTION("""COMPUTED_VALUE"""),0.0)</f>
        <v>0</v>
      </c>
      <c r="K3165" s="5" t="str">
        <f>IFERROR(__xludf.DUMMYFUNCTION("""COMPUTED_VALUE"""),"")</f>
        <v/>
      </c>
      <c r="L3165" t="str">
        <f>IFERROR(__xludf.DUMMYFUNCTION("""COMPUTED_VALUE"""),"")</f>
        <v/>
      </c>
      <c r="M3165" t="str">
        <f>IFERROR(__xludf.DUMMYFUNCTION("""COMPUTED_VALUE"""),"")</f>
        <v/>
      </c>
      <c r="N3165" t="str">
        <f>IFERROR(__xludf.DUMMYFUNCTION("""COMPUTED_VALUE"""),"")</f>
        <v/>
      </c>
      <c r="O3165" t="str">
        <f>IFERROR(__xludf.DUMMYFUNCTION("""COMPUTED_VALUE"""),"")</f>
        <v/>
      </c>
      <c r="P3165" t="str">
        <f>IFERROR(__xludf.DUMMYFUNCTION("""COMPUTED_VALUE"""),"ID ")</f>
        <v>ID </v>
      </c>
    </row>
    <row r="3166">
      <c r="A3166" s="6" t="str">
        <f>IFERROR(__xludf.DUMMYFUNCTION("""COMPUTED_VALUE"""),"")</f>
        <v/>
      </c>
      <c r="C3166" t="str">
        <f>IFERROR(__xludf.DUMMYFUNCTION("""COMPUTED_VALUE"""),"")</f>
        <v/>
      </c>
      <c r="D3166" t="str">
        <f>IFERROR(__xludf.DUMMYFUNCTION("""COMPUTED_VALUE"""),"")</f>
        <v/>
      </c>
      <c r="E3166" t="str">
        <f>IFERROR(__xludf.DUMMYFUNCTION("""COMPUTED_VALUE"""),"")</f>
        <v/>
      </c>
      <c r="F3166" t="str">
        <f>IFERROR(__xludf.DUMMYFUNCTION("""COMPUTED_VALUE"""),"")</f>
        <v/>
      </c>
      <c r="G3166" t="str">
        <f>IFERROR(__xludf.DUMMYFUNCTION("""COMPUTED_VALUE"""),"")</f>
        <v/>
      </c>
      <c r="H3166" s="2" t="str">
        <f>IFERROR(__xludf.DUMMYFUNCTION("""COMPUTED_VALUE"""),"")</f>
        <v/>
      </c>
      <c r="I3166" s="2" t="str">
        <f>IFERROR(__xludf.DUMMYFUNCTION("""COMPUTED_VALUE"""),"")</f>
        <v/>
      </c>
      <c r="J3166" s="2">
        <f>IFERROR(__xludf.DUMMYFUNCTION("""COMPUTED_VALUE"""),0.0)</f>
        <v>0</v>
      </c>
      <c r="K3166" s="5" t="str">
        <f>IFERROR(__xludf.DUMMYFUNCTION("""COMPUTED_VALUE"""),"")</f>
        <v/>
      </c>
      <c r="L3166" t="str">
        <f>IFERROR(__xludf.DUMMYFUNCTION("""COMPUTED_VALUE"""),"")</f>
        <v/>
      </c>
      <c r="M3166" t="str">
        <f>IFERROR(__xludf.DUMMYFUNCTION("""COMPUTED_VALUE"""),"")</f>
        <v/>
      </c>
      <c r="N3166" t="str">
        <f>IFERROR(__xludf.DUMMYFUNCTION("""COMPUTED_VALUE"""),"")</f>
        <v/>
      </c>
      <c r="O3166" t="str">
        <f>IFERROR(__xludf.DUMMYFUNCTION("""COMPUTED_VALUE"""),"")</f>
        <v/>
      </c>
      <c r="P3166" t="str">
        <f>IFERROR(__xludf.DUMMYFUNCTION("""COMPUTED_VALUE"""),"ID ")</f>
        <v>ID </v>
      </c>
    </row>
    <row r="3167">
      <c r="A3167" s="6" t="str">
        <f>IFERROR(__xludf.DUMMYFUNCTION("""COMPUTED_VALUE"""),"")</f>
        <v/>
      </c>
      <c r="C3167" t="str">
        <f>IFERROR(__xludf.DUMMYFUNCTION("""COMPUTED_VALUE"""),"")</f>
        <v/>
      </c>
      <c r="D3167" t="str">
        <f>IFERROR(__xludf.DUMMYFUNCTION("""COMPUTED_VALUE"""),"")</f>
        <v/>
      </c>
      <c r="E3167" t="str">
        <f>IFERROR(__xludf.DUMMYFUNCTION("""COMPUTED_VALUE"""),"")</f>
        <v/>
      </c>
      <c r="F3167" t="str">
        <f>IFERROR(__xludf.DUMMYFUNCTION("""COMPUTED_VALUE"""),"")</f>
        <v/>
      </c>
      <c r="G3167" t="str">
        <f>IFERROR(__xludf.DUMMYFUNCTION("""COMPUTED_VALUE"""),"")</f>
        <v/>
      </c>
      <c r="H3167" s="2" t="str">
        <f>IFERROR(__xludf.DUMMYFUNCTION("""COMPUTED_VALUE"""),"")</f>
        <v/>
      </c>
      <c r="I3167" s="2" t="str">
        <f>IFERROR(__xludf.DUMMYFUNCTION("""COMPUTED_VALUE"""),"")</f>
        <v/>
      </c>
      <c r="J3167" s="2">
        <f>IFERROR(__xludf.DUMMYFUNCTION("""COMPUTED_VALUE"""),0.0)</f>
        <v>0</v>
      </c>
      <c r="K3167" s="5" t="str">
        <f>IFERROR(__xludf.DUMMYFUNCTION("""COMPUTED_VALUE"""),"")</f>
        <v/>
      </c>
      <c r="L3167" t="str">
        <f>IFERROR(__xludf.DUMMYFUNCTION("""COMPUTED_VALUE"""),"")</f>
        <v/>
      </c>
      <c r="M3167" t="str">
        <f>IFERROR(__xludf.DUMMYFUNCTION("""COMPUTED_VALUE"""),"")</f>
        <v/>
      </c>
      <c r="N3167" t="str">
        <f>IFERROR(__xludf.DUMMYFUNCTION("""COMPUTED_VALUE"""),"")</f>
        <v/>
      </c>
      <c r="O3167" t="str">
        <f>IFERROR(__xludf.DUMMYFUNCTION("""COMPUTED_VALUE"""),"")</f>
        <v/>
      </c>
      <c r="P3167" t="str">
        <f>IFERROR(__xludf.DUMMYFUNCTION("""COMPUTED_VALUE"""),"ID ")</f>
        <v>ID </v>
      </c>
    </row>
    <row r="3168">
      <c r="A3168" s="6" t="str">
        <f>IFERROR(__xludf.DUMMYFUNCTION("""COMPUTED_VALUE"""),"")</f>
        <v/>
      </c>
      <c r="C3168" t="str">
        <f>IFERROR(__xludf.DUMMYFUNCTION("""COMPUTED_VALUE"""),"")</f>
        <v/>
      </c>
      <c r="D3168" t="str">
        <f>IFERROR(__xludf.DUMMYFUNCTION("""COMPUTED_VALUE"""),"")</f>
        <v/>
      </c>
      <c r="E3168" t="str">
        <f>IFERROR(__xludf.DUMMYFUNCTION("""COMPUTED_VALUE"""),"")</f>
        <v/>
      </c>
      <c r="F3168" t="str">
        <f>IFERROR(__xludf.DUMMYFUNCTION("""COMPUTED_VALUE"""),"")</f>
        <v/>
      </c>
      <c r="G3168" t="str">
        <f>IFERROR(__xludf.DUMMYFUNCTION("""COMPUTED_VALUE"""),"")</f>
        <v/>
      </c>
      <c r="H3168" s="2" t="str">
        <f>IFERROR(__xludf.DUMMYFUNCTION("""COMPUTED_VALUE"""),"")</f>
        <v/>
      </c>
      <c r="I3168" s="2" t="str">
        <f>IFERROR(__xludf.DUMMYFUNCTION("""COMPUTED_VALUE"""),"")</f>
        <v/>
      </c>
      <c r="J3168" s="2">
        <f>IFERROR(__xludf.DUMMYFUNCTION("""COMPUTED_VALUE"""),0.0)</f>
        <v>0</v>
      </c>
      <c r="K3168" s="5" t="str">
        <f>IFERROR(__xludf.DUMMYFUNCTION("""COMPUTED_VALUE"""),"")</f>
        <v/>
      </c>
      <c r="L3168" t="str">
        <f>IFERROR(__xludf.DUMMYFUNCTION("""COMPUTED_VALUE"""),"")</f>
        <v/>
      </c>
      <c r="M3168" t="str">
        <f>IFERROR(__xludf.DUMMYFUNCTION("""COMPUTED_VALUE"""),"")</f>
        <v/>
      </c>
      <c r="N3168" t="str">
        <f>IFERROR(__xludf.DUMMYFUNCTION("""COMPUTED_VALUE"""),"")</f>
        <v/>
      </c>
      <c r="O3168" t="str">
        <f>IFERROR(__xludf.DUMMYFUNCTION("""COMPUTED_VALUE"""),"")</f>
        <v/>
      </c>
      <c r="P3168" t="str">
        <f>IFERROR(__xludf.DUMMYFUNCTION("""COMPUTED_VALUE"""),"ID ")</f>
        <v>ID </v>
      </c>
    </row>
    <row r="3169">
      <c r="A3169" s="6" t="str">
        <f>IFERROR(__xludf.DUMMYFUNCTION("""COMPUTED_VALUE"""),"")</f>
        <v/>
      </c>
      <c r="C3169" t="str">
        <f>IFERROR(__xludf.DUMMYFUNCTION("""COMPUTED_VALUE"""),"")</f>
        <v/>
      </c>
      <c r="D3169" t="str">
        <f>IFERROR(__xludf.DUMMYFUNCTION("""COMPUTED_VALUE"""),"")</f>
        <v/>
      </c>
      <c r="E3169" t="str">
        <f>IFERROR(__xludf.DUMMYFUNCTION("""COMPUTED_VALUE"""),"")</f>
        <v/>
      </c>
      <c r="F3169" t="str">
        <f>IFERROR(__xludf.DUMMYFUNCTION("""COMPUTED_VALUE"""),"")</f>
        <v/>
      </c>
      <c r="G3169" t="str">
        <f>IFERROR(__xludf.DUMMYFUNCTION("""COMPUTED_VALUE"""),"")</f>
        <v/>
      </c>
      <c r="H3169" s="2" t="str">
        <f>IFERROR(__xludf.DUMMYFUNCTION("""COMPUTED_VALUE"""),"")</f>
        <v/>
      </c>
      <c r="I3169" s="2" t="str">
        <f>IFERROR(__xludf.DUMMYFUNCTION("""COMPUTED_VALUE"""),"")</f>
        <v/>
      </c>
      <c r="J3169" s="2">
        <f>IFERROR(__xludf.DUMMYFUNCTION("""COMPUTED_VALUE"""),0.0)</f>
        <v>0</v>
      </c>
      <c r="K3169" s="5" t="str">
        <f>IFERROR(__xludf.DUMMYFUNCTION("""COMPUTED_VALUE"""),"")</f>
        <v/>
      </c>
      <c r="L3169" t="str">
        <f>IFERROR(__xludf.DUMMYFUNCTION("""COMPUTED_VALUE"""),"")</f>
        <v/>
      </c>
      <c r="M3169" t="str">
        <f>IFERROR(__xludf.DUMMYFUNCTION("""COMPUTED_VALUE"""),"")</f>
        <v/>
      </c>
      <c r="N3169" t="str">
        <f>IFERROR(__xludf.DUMMYFUNCTION("""COMPUTED_VALUE"""),"")</f>
        <v/>
      </c>
      <c r="O3169" t="str">
        <f>IFERROR(__xludf.DUMMYFUNCTION("""COMPUTED_VALUE"""),"")</f>
        <v/>
      </c>
      <c r="P3169" t="str">
        <f>IFERROR(__xludf.DUMMYFUNCTION("""COMPUTED_VALUE"""),"ID ")</f>
        <v>ID </v>
      </c>
    </row>
    <row r="3170">
      <c r="A3170" s="6" t="str">
        <f>IFERROR(__xludf.DUMMYFUNCTION("""COMPUTED_VALUE"""),"")</f>
        <v/>
      </c>
      <c r="C3170" t="str">
        <f>IFERROR(__xludf.DUMMYFUNCTION("""COMPUTED_VALUE"""),"")</f>
        <v/>
      </c>
      <c r="D3170" t="str">
        <f>IFERROR(__xludf.DUMMYFUNCTION("""COMPUTED_VALUE"""),"")</f>
        <v/>
      </c>
      <c r="E3170" t="str">
        <f>IFERROR(__xludf.DUMMYFUNCTION("""COMPUTED_VALUE"""),"")</f>
        <v/>
      </c>
      <c r="F3170" t="str">
        <f>IFERROR(__xludf.DUMMYFUNCTION("""COMPUTED_VALUE"""),"")</f>
        <v/>
      </c>
      <c r="G3170" t="str">
        <f>IFERROR(__xludf.DUMMYFUNCTION("""COMPUTED_VALUE"""),"")</f>
        <v/>
      </c>
      <c r="H3170" s="2" t="str">
        <f>IFERROR(__xludf.DUMMYFUNCTION("""COMPUTED_VALUE"""),"")</f>
        <v/>
      </c>
      <c r="I3170" s="2" t="str">
        <f>IFERROR(__xludf.DUMMYFUNCTION("""COMPUTED_VALUE"""),"")</f>
        <v/>
      </c>
      <c r="J3170" s="2">
        <f>IFERROR(__xludf.DUMMYFUNCTION("""COMPUTED_VALUE"""),0.0)</f>
        <v>0</v>
      </c>
      <c r="K3170" s="5" t="str">
        <f>IFERROR(__xludf.DUMMYFUNCTION("""COMPUTED_VALUE"""),"")</f>
        <v/>
      </c>
      <c r="L3170" t="str">
        <f>IFERROR(__xludf.DUMMYFUNCTION("""COMPUTED_VALUE"""),"")</f>
        <v/>
      </c>
      <c r="M3170" t="str">
        <f>IFERROR(__xludf.DUMMYFUNCTION("""COMPUTED_VALUE"""),"")</f>
        <v/>
      </c>
      <c r="N3170" t="str">
        <f>IFERROR(__xludf.DUMMYFUNCTION("""COMPUTED_VALUE"""),"")</f>
        <v/>
      </c>
      <c r="O3170" t="str">
        <f>IFERROR(__xludf.DUMMYFUNCTION("""COMPUTED_VALUE"""),"")</f>
        <v/>
      </c>
      <c r="P3170" t="str">
        <f>IFERROR(__xludf.DUMMYFUNCTION("""COMPUTED_VALUE"""),"ID ")</f>
        <v>ID </v>
      </c>
    </row>
    <row r="3171">
      <c r="A3171" s="6" t="str">
        <f>IFERROR(__xludf.DUMMYFUNCTION("""COMPUTED_VALUE"""),"")</f>
        <v/>
      </c>
      <c r="C3171" t="str">
        <f>IFERROR(__xludf.DUMMYFUNCTION("""COMPUTED_VALUE"""),"")</f>
        <v/>
      </c>
      <c r="D3171" t="str">
        <f>IFERROR(__xludf.DUMMYFUNCTION("""COMPUTED_VALUE"""),"")</f>
        <v/>
      </c>
      <c r="E3171" t="str">
        <f>IFERROR(__xludf.DUMMYFUNCTION("""COMPUTED_VALUE"""),"")</f>
        <v/>
      </c>
      <c r="F3171" t="str">
        <f>IFERROR(__xludf.DUMMYFUNCTION("""COMPUTED_VALUE"""),"")</f>
        <v/>
      </c>
      <c r="G3171" t="str">
        <f>IFERROR(__xludf.DUMMYFUNCTION("""COMPUTED_VALUE"""),"")</f>
        <v/>
      </c>
      <c r="H3171" s="2" t="str">
        <f>IFERROR(__xludf.DUMMYFUNCTION("""COMPUTED_VALUE"""),"")</f>
        <v/>
      </c>
      <c r="I3171" s="2" t="str">
        <f>IFERROR(__xludf.DUMMYFUNCTION("""COMPUTED_VALUE"""),"")</f>
        <v/>
      </c>
      <c r="J3171" s="2">
        <f>IFERROR(__xludf.DUMMYFUNCTION("""COMPUTED_VALUE"""),0.0)</f>
        <v>0</v>
      </c>
      <c r="K3171" s="5" t="str">
        <f>IFERROR(__xludf.DUMMYFUNCTION("""COMPUTED_VALUE"""),"")</f>
        <v/>
      </c>
      <c r="L3171" t="str">
        <f>IFERROR(__xludf.DUMMYFUNCTION("""COMPUTED_VALUE"""),"")</f>
        <v/>
      </c>
      <c r="M3171" t="str">
        <f>IFERROR(__xludf.DUMMYFUNCTION("""COMPUTED_VALUE"""),"")</f>
        <v/>
      </c>
      <c r="N3171" t="str">
        <f>IFERROR(__xludf.DUMMYFUNCTION("""COMPUTED_VALUE"""),"")</f>
        <v/>
      </c>
      <c r="O3171" t="str">
        <f>IFERROR(__xludf.DUMMYFUNCTION("""COMPUTED_VALUE"""),"")</f>
        <v/>
      </c>
      <c r="P3171" t="str">
        <f>IFERROR(__xludf.DUMMYFUNCTION("""COMPUTED_VALUE"""),"ID ")</f>
        <v>ID </v>
      </c>
    </row>
    <row r="3172">
      <c r="A3172" s="6" t="str">
        <f>IFERROR(__xludf.DUMMYFUNCTION("""COMPUTED_VALUE"""),"")</f>
        <v/>
      </c>
      <c r="C3172" t="str">
        <f>IFERROR(__xludf.DUMMYFUNCTION("""COMPUTED_VALUE"""),"")</f>
        <v/>
      </c>
      <c r="D3172" t="str">
        <f>IFERROR(__xludf.DUMMYFUNCTION("""COMPUTED_VALUE"""),"")</f>
        <v/>
      </c>
      <c r="E3172" t="str">
        <f>IFERROR(__xludf.DUMMYFUNCTION("""COMPUTED_VALUE"""),"")</f>
        <v/>
      </c>
      <c r="F3172" t="str">
        <f>IFERROR(__xludf.DUMMYFUNCTION("""COMPUTED_VALUE"""),"")</f>
        <v/>
      </c>
      <c r="G3172" t="str">
        <f>IFERROR(__xludf.DUMMYFUNCTION("""COMPUTED_VALUE"""),"")</f>
        <v/>
      </c>
      <c r="H3172" s="2" t="str">
        <f>IFERROR(__xludf.DUMMYFUNCTION("""COMPUTED_VALUE"""),"")</f>
        <v/>
      </c>
      <c r="I3172" s="2" t="str">
        <f>IFERROR(__xludf.DUMMYFUNCTION("""COMPUTED_VALUE"""),"")</f>
        <v/>
      </c>
      <c r="J3172" s="2">
        <f>IFERROR(__xludf.DUMMYFUNCTION("""COMPUTED_VALUE"""),0.0)</f>
        <v>0</v>
      </c>
      <c r="K3172" s="5" t="str">
        <f>IFERROR(__xludf.DUMMYFUNCTION("""COMPUTED_VALUE"""),"")</f>
        <v/>
      </c>
      <c r="L3172" t="str">
        <f>IFERROR(__xludf.DUMMYFUNCTION("""COMPUTED_VALUE"""),"")</f>
        <v/>
      </c>
      <c r="M3172" t="str">
        <f>IFERROR(__xludf.DUMMYFUNCTION("""COMPUTED_VALUE"""),"")</f>
        <v/>
      </c>
      <c r="N3172" t="str">
        <f>IFERROR(__xludf.DUMMYFUNCTION("""COMPUTED_VALUE"""),"")</f>
        <v/>
      </c>
      <c r="O3172" t="str">
        <f>IFERROR(__xludf.DUMMYFUNCTION("""COMPUTED_VALUE"""),"")</f>
        <v/>
      </c>
      <c r="P3172" t="str">
        <f>IFERROR(__xludf.DUMMYFUNCTION("""COMPUTED_VALUE"""),"ID ")</f>
        <v>ID </v>
      </c>
    </row>
    <row r="3173">
      <c r="A3173" s="6" t="str">
        <f>IFERROR(__xludf.DUMMYFUNCTION("""COMPUTED_VALUE"""),"")</f>
        <v/>
      </c>
      <c r="C3173" t="str">
        <f>IFERROR(__xludf.DUMMYFUNCTION("""COMPUTED_VALUE"""),"")</f>
        <v/>
      </c>
      <c r="D3173" t="str">
        <f>IFERROR(__xludf.DUMMYFUNCTION("""COMPUTED_VALUE"""),"")</f>
        <v/>
      </c>
      <c r="E3173" t="str">
        <f>IFERROR(__xludf.DUMMYFUNCTION("""COMPUTED_VALUE"""),"")</f>
        <v/>
      </c>
      <c r="F3173" t="str">
        <f>IFERROR(__xludf.DUMMYFUNCTION("""COMPUTED_VALUE"""),"")</f>
        <v/>
      </c>
      <c r="G3173" t="str">
        <f>IFERROR(__xludf.DUMMYFUNCTION("""COMPUTED_VALUE"""),"")</f>
        <v/>
      </c>
      <c r="H3173" s="2" t="str">
        <f>IFERROR(__xludf.DUMMYFUNCTION("""COMPUTED_VALUE"""),"")</f>
        <v/>
      </c>
      <c r="I3173" s="2" t="str">
        <f>IFERROR(__xludf.DUMMYFUNCTION("""COMPUTED_VALUE"""),"")</f>
        <v/>
      </c>
      <c r="J3173" s="2">
        <f>IFERROR(__xludf.DUMMYFUNCTION("""COMPUTED_VALUE"""),0.0)</f>
        <v>0</v>
      </c>
      <c r="K3173" s="5" t="str">
        <f>IFERROR(__xludf.DUMMYFUNCTION("""COMPUTED_VALUE"""),"")</f>
        <v/>
      </c>
      <c r="L3173" t="str">
        <f>IFERROR(__xludf.DUMMYFUNCTION("""COMPUTED_VALUE"""),"")</f>
        <v/>
      </c>
      <c r="M3173" t="str">
        <f>IFERROR(__xludf.DUMMYFUNCTION("""COMPUTED_VALUE"""),"")</f>
        <v/>
      </c>
      <c r="N3173" t="str">
        <f>IFERROR(__xludf.DUMMYFUNCTION("""COMPUTED_VALUE"""),"")</f>
        <v/>
      </c>
      <c r="O3173" t="str">
        <f>IFERROR(__xludf.DUMMYFUNCTION("""COMPUTED_VALUE"""),"")</f>
        <v/>
      </c>
      <c r="P3173" t="str">
        <f>IFERROR(__xludf.DUMMYFUNCTION("""COMPUTED_VALUE"""),"ID ")</f>
        <v>ID </v>
      </c>
    </row>
    <row r="3174">
      <c r="A3174" s="6" t="str">
        <f>IFERROR(__xludf.DUMMYFUNCTION("""COMPUTED_VALUE"""),"")</f>
        <v/>
      </c>
      <c r="C3174" t="str">
        <f>IFERROR(__xludf.DUMMYFUNCTION("""COMPUTED_VALUE"""),"")</f>
        <v/>
      </c>
      <c r="D3174" t="str">
        <f>IFERROR(__xludf.DUMMYFUNCTION("""COMPUTED_VALUE"""),"")</f>
        <v/>
      </c>
      <c r="E3174" t="str">
        <f>IFERROR(__xludf.DUMMYFUNCTION("""COMPUTED_VALUE"""),"")</f>
        <v/>
      </c>
      <c r="F3174" t="str">
        <f>IFERROR(__xludf.DUMMYFUNCTION("""COMPUTED_VALUE"""),"")</f>
        <v/>
      </c>
      <c r="G3174" t="str">
        <f>IFERROR(__xludf.DUMMYFUNCTION("""COMPUTED_VALUE"""),"")</f>
        <v/>
      </c>
      <c r="H3174" s="2" t="str">
        <f>IFERROR(__xludf.DUMMYFUNCTION("""COMPUTED_VALUE"""),"")</f>
        <v/>
      </c>
      <c r="I3174" s="2" t="str">
        <f>IFERROR(__xludf.DUMMYFUNCTION("""COMPUTED_VALUE"""),"")</f>
        <v/>
      </c>
      <c r="J3174" s="2">
        <f>IFERROR(__xludf.DUMMYFUNCTION("""COMPUTED_VALUE"""),0.0)</f>
        <v>0</v>
      </c>
      <c r="K3174" s="5" t="str">
        <f>IFERROR(__xludf.DUMMYFUNCTION("""COMPUTED_VALUE"""),"")</f>
        <v/>
      </c>
      <c r="L3174" t="str">
        <f>IFERROR(__xludf.DUMMYFUNCTION("""COMPUTED_VALUE"""),"")</f>
        <v/>
      </c>
      <c r="M3174" t="str">
        <f>IFERROR(__xludf.DUMMYFUNCTION("""COMPUTED_VALUE"""),"")</f>
        <v/>
      </c>
      <c r="N3174" t="str">
        <f>IFERROR(__xludf.DUMMYFUNCTION("""COMPUTED_VALUE"""),"")</f>
        <v/>
      </c>
      <c r="O3174" t="str">
        <f>IFERROR(__xludf.DUMMYFUNCTION("""COMPUTED_VALUE"""),"")</f>
        <v/>
      </c>
      <c r="P3174" t="str">
        <f>IFERROR(__xludf.DUMMYFUNCTION("""COMPUTED_VALUE"""),"ID ")</f>
        <v>ID </v>
      </c>
    </row>
    <row r="3175">
      <c r="A3175" s="6" t="str">
        <f>IFERROR(__xludf.DUMMYFUNCTION("""COMPUTED_VALUE"""),"")</f>
        <v/>
      </c>
      <c r="C3175" t="str">
        <f>IFERROR(__xludf.DUMMYFUNCTION("""COMPUTED_VALUE"""),"")</f>
        <v/>
      </c>
      <c r="D3175" t="str">
        <f>IFERROR(__xludf.DUMMYFUNCTION("""COMPUTED_VALUE"""),"")</f>
        <v/>
      </c>
      <c r="E3175" t="str">
        <f>IFERROR(__xludf.DUMMYFUNCTION("""COMPUTED_VALUE"""),"")</f>
        <v/>
      </c>
      <c r="F3175" t="str">
        <f>IFERROR(__xludf.DUMMYFUNCTION("""COMPUTED_VALUE"""),"")</f>
        <v/>
      </c>
      <c r="G3175" t="str">
        <f>IFERROR(__xludf.DUMMYFUNCTION("""COMPUTED_VALUE"""),"")</f>
        <v/>
      </c>
      <c r="H3175" s="2" t="str">
        <f>IFERROR(__xludf.DUMMYFUNCTION("""COMPUTED_VALUE"""),"")</f>
        <v/>
      </c>
      <c r="I3175" s="2" t="str">
        <f>IFERROR(__xludf.DUMMYFUNCTION("""COMPUTED_VALUE"""),"")</f>
        <v/>
      </c>
      <c r="J3175" s="2">
        <f>IFERROR(__xludf.DUMMYFUNCTION("""COMPUTED_VALUE"""),0.0)</f>
        <v>0</v>
      </c>
      <c r="K3175" s="5" t="str">
        <f>IFERROR(__xludf.DUMMYFUNCTION("""COMPUTED_VALUE"""),"")</f>
        <v/>
      </c>
      <c r="L3175" t="str">
        <f>IFERROR(__xludf.DUMMYFUNCTION("""COMPUTED_VALUE"""),"")</f>
        <v/>
      </c>
      <c r="M3175" t="str">
        <f>IFERROR(__xludf.DUMMYFUNCTION("""COMPUTED_VALUE"""),"")</f>
        <v/>
      </c>
      <c r="N3175" t="str">
        <f>IFERROR(__xludf.DUMMYFUNCTION("""COMPUTED_VALUE"""),"")</f>
        <v/>
      </c>
      <c r="O3175" t="str">
        <f>IFERROR(__xludf.DUMMYFUNCTION("""COMPUTED_VALUE"""),"")</f>
        <v/>
      </c>
      <c r="P3175" t="str">
        <f>IFERROR(__xludf.DUMMYFUNCTION("""COMPUTED_VALUE"""),"ID ")</f>
        <v>ID </v>
      </c>
    </row>
    <row r="3176">
      <c r="A3176" s="6" t="str">
        <f>IFERROR(__xludf.DUMMYFUNCTION("""COMPUTED_VALUE"""),"")</f>
        <v/>
      </c>
      <c r="C3176" t="str">
        <f>IFERROR(__xludf.DUMMYFUNCTION("""COMPUTED_VALUE"""),"")</f>
        <v/>
      </c>
      <c r="D3176" t="str">
        <f>IFERROR(__xludf.DUMMYFUNCTION("""COMPUTED_VALUE"""),"")</f>
        <v/>
      </c>
      <c r="E3176" t="str">
        <f>IFERROR(__xludf.DUMMYFUNCTION("""COMPUTED_VALUE"""),"")</f>
        <v/>
      </c>
      <c r="F3176" t="str">
        <f>IFERROR(__xludf.DUMMYFUNCTION("""COMPUTED_VALUE"""),"")</f>
        <v/>
      </c>
      <c r="G3176" t="str">
        <f>IFERROR(__xludf.DUMMYFUNCTION("""COMPUTED_VALUE"""),"")</f>
        <v/>
      </c>
      <c r="H3176" s="2" t="str">
        <f>IFERROR(__xludf.DUMMYFUNCTION("""COMPUTED_VALUE"""),"")</f>
        <v/>
      </c>
      <c r="I3176" s="2" t="str">
        <f>IFERROR(__xludf.DUMMYFUNCTION("""COMPUTED_VALUE"""),"")</f>
        <v/>
      </c>
      <c r="J3176" s="2">
        <f>IFERROR(__xludf.DUMMYFUNCTION("""COMPUTED_VALUE"""),0.0)</f>
        <v>0</v>
      </c>
      <c r="K3176" s="5" t="str">
        <f>IFERROR(__xludf.DUMMYFUNCTION("""COMPUTED_VALUE"""),"")</f>
        <v/>
      </c>
      <c r="L3176" t="str">
        <f>IFERROR(__xludf.DUMMYFUNCTION("""COMPUTED_VALUE"""),"")</f>
        <v/>
      </c>
      <c r="M3176" t="str">
        <f>IFERROR(__xludf.DUMMYFUNCTION("""COMPUTED_VALUE"""),"")</f>
        <v/>
      </c>
      <c r="N3176" t="str">
        <f>IFERROR(__xludf.DUMMYFUNCTION("""COMPUTED_VALUE"""),"")</f>
        <v/>
      </c>
      <c r="O3176" t="str">
        <f>IFERROR(__xludf.DUMMYFUNCTION("""COMPUTED_VALUE"""),"")</f>
        <v/>
      </c>
      <c r="P3176" t="str">
        <f>IFERROR(__xludf.DUMMYFUNCTION("""COMPUTED_VALUE"""),"ID ")</f>
        <v>ID </v>
      </c>
    </row>
    <row r="3177">
      <c r="A3177" s="6" t="str">
        <f>IFERROR(__xludf.DUMMYFUNCTION("""COMPUTED_VALUE"""),"")</f>
        <v/>
      </c>
      <c r="C3177" t="str">
        <f>IFERROR(__xludf.DUMMYFUNCTION("""COMPUTED_VALUE"""),"")</f>
        <v/>
      </c>
      <c r="D3177" t="str">
        <f>IFERROR(__xludf.DUMMYFUNCTION("""COMPUTED_VALUE"""),"")</f>
        <v/>
      </c>
      <c r="E3177" t="str">
        <f>IFERROR(__xludf.DUMMYFUNCTION("""COMPUTED_VALUE"""),"")</f>
        <v/>
      </c>
      <c r="F3177" t="str">
        <f>IFERROR(__xludf.DUMMYFUNCTION("""COMPUTED_VALUE"""),"")</f>
        <v/>
      </c>
      <c r="G3177" t="str">
        <f>IFERROR(__xludf.DUMMYFUNCTION("""COMPUTED_VALUE"""),"")</f>
        <v/>
      </c>
      <c r="H3177" s="2" t="str">
        <f>IFERROR(__xludf.DUMMYFUNCTION("""COMPUTED_VALUE"""),"")</f>
        <v/>
      </c>
      <c r="I3177" s="2" t="str">
        <f>IFERROR(__xludf.DUMMYFUNCTION("""COMPUTED_VALUE"""),"")</f>
        <v/>
      </c>
      <c r="J3177" s="2">
        <f>IFERROR(__xludf.DUMMYFUNCTION("""COMPUTED_VALUE"""),0.0)</f>
        <v>0</v>
      </c>
      <c r="K3177" s="5" t="str">
        <f>IFERROR(__xludf.DUMMYFUNCTION("""COMPUTED_VALUE"""),"")</f>
        <v/>
      </c>
      <c r="L3177" t="str">
        <f>IFERROR(__xludf.DUMMYFUNCTION("""COMPUTED_VALUE"""),"")</f>
        <v/>
      </c>
      <c r="M3177" t="str">
        <f>IFERROR(__xludf.DUMMYFUNCTION("""COMPUTED_VALUE"""),"")</f>
        <v/>
      </c>
      <c r="N3177" t="str">
        <f>IFERROR(__xludf.DUMMYFUNCTION("""COMPUTED_VALUE"""),"")</f>
        <v/>
      </c>
      <c r="O3177" t="str">
        <f>IFERROR(__xludf.DUMMYFUNCTION("""COMPUTED_VALUE"""),"")</f>
        <v/>
      </c>
      <c r="P3177" t="str">
        <f>IFERROR(__xludf.DUMMYFUNCTION("""COMPUTED_VALUE"""),"ID ")</f>
        <v>ID </v>
      </c>
    </row>
    <row r="3178">
      <c r="A3178" s="6" t="str">
        <f>IFERROR(__xludf.DUMMYFUNCTION("""COMPUTED_VALUE"""),"")</f>
        <v/>
      </c>
      <c r="C3178" t="str">
        <f>IFERROR(__xludf.DUMMYFUNCTION("""COMPUTED_VALUE"""),"")</f>
        <v/>
      </c>
      <c r="D3178" t="str">
        <f>IFERROR(__xludf.DUMMYFUNCTION("""COMPUTED_VALUE"""),"")</f>
        <v/>
      </c>
      <c r="E3178" t="str">
        <f>IFERROR(__xludf.DUMMYFUNCTION("""COMPUTED_VALUE"""),"")</f>
        <v/>
      </c>
      <c r="F3178" t="str">
        <f>IFERROR(__xludf.DUMMYFUNCTION("""COMPUTED_VALUE"""),"")</f>
        <v/>
      </c>
      <c r="G3178" t="str">
        <f>IFERROR(__xludf.DUMMYFUNCTION("""COMPUTED_VALUE"""),"")</f>
        <v/>
      </c>
      <c r="H3178" s="2" t="str">
        <f>IFERROR(__xludf.DUMMYFUNCTION("""COMPUTED_VALUE"""),"")</f>
        <v/>
      </c>
      <c r="I3178" s="2" t="str">
        <f>IFERROR(__xludf.DUMMYFUNCTION("""COMPUTED_VALUE"""),"")</f>
        <v/>
      </c>
      <c r="J3178" s="2">
        <f>IFERROR(__xludf.DUMMYFUNCTION("""COMPUTED_VALUE"""),0.0)</f>
        <v>0</v>
      </c>
      <c r="K3178" s="5" t="str">
        <f>IFERROR(__xludf.DUMMYFUNCTION("""COMPUTED_VALUE"""),"")</f>
        <v/>
      </c>
      <c r="L3178" t="str">
        <f>IFERROR(__xludf.DUMMYFUNCTION("""COMPUTED_VALUE"""),"")</f>
        <v/>
      </c>
      <c r="M3178" t="str">
        <f>IFERROR(__xludf.DUMMYFUNCTION("""COMPUTED_VALUE"""),"")</f>
        <v/>
      </c>
      <c r="N3178" t="str">
        <f>IFERROR(__xludf.DUMMYFUNCTION("""COMPUTED_VALUE"""),"")</f>
        <v/>
      </c>
      <c r="O3178" t="str">
        <f>IFERROR(__xludf.DUMMYFUNCTION("""COMPUTED_VALUE"""),"")</f>
        <v/>
      </c>
      <c r="P3178" t="str">
        <f>IFERROR(__xludf.DUMMYFUNCTION("""COMPUTED_VALUE"""),"ID ")</f>
        <v>ID </v>
      </c>
    </row>
    <row r="3179">
      <c r="A3179" s="6" t="str">
        <f>IFERROR(__xludf.DUMMYFUNCTION("""COMPUTED_VALUE"""),"")</f>
        <v/>
      </c>
      <c r="C3179" t="str">
        <f>IFERROR(__xludf.DUMMYFUNCTION("""COMPUTED_VALUE"""),"")</f>
        <v/>
      </c>
      <c r="D3179" t="str">
        <f>IFERROR(__xludf.DUMMYFUNCTION("""COMPUTED_VALUE"""),"")</f>
        <v/>
      </c>
      <c r="E3179" t="str">
        <f>IFERROR(__xludf.DUMMYFUNCTION("""COMPUTED_VALUE"""),"")</f>
        <v/>
      </c>
      <c r="F3179" t="str">
        <f>IFERROR(__xludf.DUMMYFUNCTION("""COMPUTED_VALUE"""),"")</f>
        <v/>
      </c>
      <c r="G3179" t="str">
        <f>IFERROR(__xludf.DUMMYFUNCTION("""COMPUTED_VALUE"""),"")</f>
        <v/>
      </c>
      <c r="H3179" s="2" t="str">
        <f>IFERROR(__xludf.DUMMYFUNCTION("""COMPUTED_VALUE"""),"")</f>
        <v/>
      </c>
      <c r="I3179" s="2" t="str">
        <f>IFERROR(__xludf.DUMMYFUNCTION("""COMPUTED_VALUE"""),"")</f>
        <v/>
      </c>
      <c r="J3179" s="2">
        <f>IFERROR(__xludf.DUMMYFUNCTION("""COMPUTED_VALUE"""),0.0)</f>
        <v>0</v>
      </c>
      <c r="K3179" s="5" t="str">
        <f>IFERROR(__xludf.DUMMYFUNCTION("""COMPUTED_VALUE"""),"")</f>
        <v/>
      </c>
      <c r="L3179" t="str">
        <f>IFERROR(__xludf.DUMMYFUNCTION("""COMPUTED_VALUE"""),"")</f>
        <v/>
      </c>
      <c r="M3179" t="str">
        <f>IFERROR(__xludf.DUMMYFUNCTION("""COMPUTED_VALUE"""),"")</f>
        <v/>
      </c>
      <c r="N3179" t="str">
        <f>IFERROR(__xludf.DUMMYFUNCTION("""COMPUTED_VALUE"""),"")</f>
        <v/>
      </c>
      <c r="O3179" t="str">
        <f>IFERROR(__xludf.DUMMYFUNCTION("""COMPUTED_VALUE"""),"")</f>
        <v/>
      </c>
      <c r="P3179" t="str">
        <f>IFERROR(__xludf.DUMMYFUNCTION("""COMPUTED_VALUE"""),"ID ")</f>
        <v>ID </v>
      </c>
    </row>
    <row r="3180">
      <c r="A3180" s="6" t="str">
        <f>IFERROR(__xludf.DUMMYFUNCTION("""COMPUTED_VALUE"""),"")</f>
        <v/>
      </c>
      <c r="C3180" t="str">
        <f>IFERROR(__xludf.DUMMYFUNCTION("""COMPUTED_VALUE"""),"")</f>
        <v/>
      </c>
      <c r="D3180" t="str">
        <f>IFERROR(__xludf.DUMMYFUNCTION("""COMPUTED_VALUE"""),"")</f>
        <v/>
      </c>
      <c r="E3180" t="str">
        <f>IFERROR(__xludf.DUMMYFUNCTION("""COMPUTED_VALUE"""),"")</f>
        <v/>
      </c>
      <c r="F3180" t="str">
        <f>IFERROR(__xludf.DUMMYFUNCTION("""COMPUTED_VALUE"""),"")</f>
        <v/>
      </c>
      <c r="G3180" t="str">
        <f>IFERROR(__xludf.DUMMYFUNCTION("""COMPUTED_VALUE"""),"")</f>
        <v/>
      </c>
      <c r="H3180" s="2" t="str">
        <f>IFERROR(__xludf.DUMMYFUNCTION("""COMPUTED_VALUE"""),"")</f>
        <v/>
      </c>
      <c r="I3180" s="2" t="str">
        <f>IFERROR(__xludf.DUMMYFUNCTION("""COMPUTED_VALUE"""),"")</f>
        <v/>
      </c>
      <c r="J3180" s="2">
        <f>IFERROR(__xludf.DUMMYFUNCTION("""COMPUTED_VALUE"""),0.0)</f>
        <v>0</v>
      </c>
      <c r="K3180" s="5" t="str">
        <f>IFERROR(__xludf.DUMMYFUNCTION("""COMPUTED_VALUE"""),"")</f>
        <v/>
      </c>
      <c r="L3180" t="str">
        <f>IFERROR(__xludf.DUMMYFUNCTION("""COMPUTED_VALUE"""),"")</f>
        <v/>
      </c>
      <c r="M3180" t="str">
        <f>IFERROR(__xludf.DUMMYFUNCTION("""COMPUTED_VALUE"""),"")</f>
        <v/>
      </c>
      <c r="N3180" t="str">
        <f>IFERROR(__xludf.DUMMYFUNCTION("""COMPUTED_VALUE"""),"")</f>
        <v/>
      </c>
      <c r="O3180" t="str">
        <f>IFERROR(__xludf.DUMMYFUNCTION("""COMPUTED_VALUE"""),"")</f>
        <v/>
      </c>
      <c r="P3180" t="str">
        <f>IFERROR(__xludf.DUMMYFUNCTION("""COMPUTED_VALUE"""),"ID ")</f>
        <v>ID </v>
      </c>
    </row>
    <row r="3181">
      <c r="A3181" s="6" t="str">
        <f>IFERROR(__xludf.DUMMYFUNCTION("""COMPUTED_VALUE"""),"")</f>
        <v/>
      </c>
      <c r="C3181" t="str">
        <f>IFERROR(__xludf.DUMMYFUNCTION("""COMPUTED_VALUE"""),"")</f>
        <v/>
      </c>
      <c r="D3181" t="str">
        <f>IFERROR(__xludf.DUMMYFUNCTION("""COMPUTED_VALUE"""),"")</f>
        <v/>
      </c>
      <c r="E3181" t="str">
        <f>IFERROR(__xludf.DUMMYFUNCTION("""COMPUTED_VALUE"""),"")</f>
        <v/>
      </c>
      <c r="F3181" t="str">
        <f>IFERROR(__xludf.DUMMYFUNCTION("""COMPUTED_VALUE"""),"")</f>
        <v/>
      </c>
      <c r="G3181" t="str">
        <f>IFERROR(__xludf.DUMMYFUNCTION("""COMPUTED_VALUE"""),"")</f>
        <v/>
      </c>
      <c r="H3181" s="2" t="str">
        <f>IFERROR(__xludf.DUMMYFUNCTION("""COMPUTED_VALUE"""),"")</f>
        <v/>
      </c>
      <c r="I3181" s="2" t="str">
        <f>IFERROR(__xludf.DUMMYFUNCTION("""COMPUTED_VALUE"""),"")</f>
        <v/>
      </c>
      <c r="J3181" s="2">
        <f>IFERROR(__xludf.DUMMYFUNCTION("""COMPUTED_VALUE"""),0.0)</f>
        <v>0</v>
      </c>
      <c r="K3181" s="5" t="str">
        <f>IFERROR(__xludf.DUMMYFUNCTION("""COMPUTED_VALUE"""),"")</f>
        <v/>
      </c>
      <c r="L3181" t="str">
        <f>IFERROR(__xludf.DUMMYFUNCTION("""COMPUTED_VALUE"""),"")</f>
        <v/>
      </c>
      <c r="M3181" t="str">
        <f>IFERROR(__xludf.DUMMYFUNCTION("""COMPUTED_VALUE"""),"")</f>
        <v/>
      </c>
      <c r="N3181" t="str">
        <f>IFERROR(__xludf.DUMMYFUNCTION("""COMPUTED_VALUE"""),"")</f>
        <v/>
      </c>
      <c r="O3181" t="str">
        <f>IFERROR(__xludf.DUMMYFUNCTION("""COMPUTED_VALUE"""),"")</f>
        <v/>
      </c>
      <c r="P3181" t="str">
        <f>IFERROR(__xludf.DUMMYFUNCTION("""COMPUTED_VALUE"""),"ID ")</f>
        <v>ID </v>
      </c>
    </row>
    <row r="3182">
      <c r="A3182" s="6" t="str">
        <f>IFERROR(__xludf.DUMMYFUNCTION("""COMPUTED_VALUE"""),"")</f>
        <v/>
      </c>
      <c r="C3182" t="str">
        <f>IFERROR(__xludf.DUMMYFUNCTION("""COMPUTED_VALUE"""),"")</f>
        <v/>
      </c>
      <c r="D3182" t="str">
        <f>IFERROR(__xludf.DUMMYFUNCTION("""COMPUTED_VALUE"""),"")</f>
        <v/>
      </c>
      <c r="E3182" t="str">
        <f>IFERROR(__xludf.DUMMYFUNCTION("""COMPUTED_VALUE"""),"")</f>
        <v/>
      </c>
      <c r="F3182" t="str">
        <f>IFERROR(__xludf.DUMMYFUNCTION("""COMPUTED_VALUE"""),"")</f>
        <v/>
      </c>
      <c r="G3182" t="str">
        <f>IFERROR(__xludf.DUMMYFUNCTION("""COMPUTED_VALUE"""),"")</f>
        <v/>
      </c>
      <c r="H3182" s="2" t="str">
        <f>IFERROR(__xludf.DUMMYFUNCTION("""COMPUTED_VALUE"""),"")</f>
        <v/>
      </c>
      <c r="I3182" s="2" t="str">
        <f>IFERROR(__xludf.DUMMYFUNCTION("""COMPUTED_VALUE"""),"")</f>
        <v/>
      </c>
      <c r="J3182" s="2">
        <f>IFERROR(__xludf.DUMMYFUNCTION("""COMPUTED_VALUE"""),0.0)</f>
        <v>0</v>
      </c>
      <c r="K3182" s="5" t="str">
        <f>IFERROR(__xludf.DUMMYFUNCTION("""COMPUTED_VALUE"""),"")</f>
        <v/>
      </c>
      <c r="L3182" t="str">
        <f>IFERROR(__xludf.DUMMYFUNCTION("""COMPUTED_VALUE"""),"")</f>
        <v/>
      </c>
      <c r="M3182" t="str">
        <f>IFERROR(__xludf.DUMMYFUNCTION("""COMPUTED_VALUE"""),"")</f>
        <v/>
      </c>
      <c r="N3182" t="str">
        <f>IFERROR(__xludf.DUMMYFUNCTION("""COMPUTED_VALUE"""),"")</f>
        <v/>
      </c>
      <c r="O3182" t="str">
        <f>IFERROR(__xludf.DUMMYFUNCTION("""COMPUTED_VALUE"""),"")</f>
        <v/>
      </c>
      <c r="P3182" t="str">
        <f>IFERROR(__xludf.DUMMYFUNCTION("""COMPUTED_VALUE"""),"ID ")</f>
        <v>ID </v>
      </c>
    </row>
    <row r="3183">
      <c r="A3183" s="6" t="str">
        <f>IFERROR(__xludf.DUMMYFUNCTION("""COMPUTED_VALUE"""),"")</f>
        <v/>
      </c>
      <c r="C3183" t="str">
        <f>IFERROR(__xludf.DUMMYFUNCTION("""COMPUTED_VALUE"""),"")</f>
        <v/>
      </c>
      <c r="D3183" t="str">
        <f>IFERROR(__xludf.DUMMYFUNCTION("""COMPUTED_VALUE"""),"")</f>
        <v/>
      </c>
      <c r="E3183" t="str">
        <f>IFERROR(__xludf.DUMMYFUNCTION("""COMPUTED_VALUE"""),"")</f>
        <v/>
      </c>
      <c r="F3183" t="str">
        <f>IFERROR(__xludf.DUMMYFUNCTION("""COMPUTED_VALUE"""),"")</f>
        <v/>
      </c>
      <c r="G3183" t="str">
        <f>IFERROR(__xludf.DUMMYFUNCTION("""COMPUTED_VALUE"""),"")</f>
        <v/>
      </c>
      <c r="H3183" s="2" t="str">
        <f>IFERROR(__xludf.DUMMYFUNCTION("""COMPUTED_VALUE"""),"")</f>
        <v/>
      </c>
      <c r="I3183" s="2" t="str">
        <f>IFERROR(__xludf.DUMMYFUNCTION("""COMPUTED_VALUE"""),"")</f>
        <v/>
      </c>
      <c r="J3183" s="2">
        <f>IFERROR(__xludf.DUMMYFUNCTION("""COMPUTED_VALUE"""),0.0)</f>
        <v>0</v>
      </c>
      <c r="K3183" s="5" t="str">
        <f>IFERROR(__xludf.DUMMYFUNCTION("""COMPUTED_VALUE"""),"")</f>
        <v/>
      </c>
      <c r="L3183" t="str">
        <f>IFERROR(__xludf.DUMMYFUNCTION("""COMPUTED_VALUE"""),"")</f>
        <v/>
      </c>
      <c r="M3183" t="str">
        <f>IFERROR(__xludf.DUMMYFUNCTION("""COMPUTED_VALUE"""),"")</f>
        <v/>
      </c>
      <c r="N3183" t="str">
        <f>IFERROR(__xludf.DUMMYFUNCTION("""COMPUTED_VALUE"""),"")</f>
        <v/>
      </c>
      <c r="O3183" t="str">
        <f>IFERROR(__xludf.DUMMYFUNCTION("""COMPUTED_VALUE"""),"")</f>
        <v/>
      </c>
      <c r="P3183" t="str">
        <f>IFERROR(__xludf.DUMMYFUNCTION("""COMPUTED_VALUE"""),"ID ")</f>
        <v>ID </v>
      </c>
    </row>
    <row r="3184">
      <c r="A3184" s="6" t="str">
        <f>IFERROR(__xludf.DUMMYFUNCTION("""COMPUTED_VALUE"""),"")</f>
        <v/>
      </c>
      <c r="C3184" t="str">
        <f>IFERROR(__xludf.DUMMYFUNCTION("""COMPUTED_VALUE"""),"")</f>
        <v/>
      </c>
      <c r="D3184" t="str">
        <f>IFERROR(__xludf.DUMMYFUNCTION("""COMPUTED_VALUE"""),"")</f>
        <v/>
      </c>
      <c r="E3184" t="str">
        <f>IFERROR(__xludf.DUMMYFUNCTION("""COMPUTED_VALUE"""),"")</f>
        <v/>
      </c>
      <c r="F3184" t="str">
        <f>IFERROR(__xludf.DUMMYFUNCTION("""COMPUTED_VALUE"""),"")</f>
        <v/>
      </c>
      <c r="G3184" t="str">
        <f>IFERROR(__xludf.DUMMYFUNCTION("""COMPUTED_VALUE"""),"")</f>
        <v/>
      </c>
      <c r="H3184" s="2" t="str">
        <f>IFERROR(__xludf.DUMMYFUNCTION("""COMPUTED_VALUE"""),"")</f>
        <v/>
      </c>
      <c r="I3184" s="2" t="str">
        <f>IFERROR(__xludf.DUMMYFUNCTION("""COMPUTED_VALUE"""),"")</f>
        <v/>
      </c>
      <c r="J3184" s="2">
        <f>IFERROR(__xludf.DUMMYFUNCTION("""COMPUTED_VALUE"""),0.0)</f>
        <v>0</v>
      </c>
      <c r="K3184" s="5" t="str">
        <f>IFERROR(__xludf.DUMMYFUNCTION("""COMPUTED_VALUE"""),"")</f>
        <v/>
      </c>
      <c r="L3184" t="str">
        <f>IFERROR(__xludf.DUMMYFUNCTION("""COMPUTED_VALUE"""),"")</f>
        <v/>
      </c>
      <c r="M3184" t="str">
        <f>IFERROR(__xludf.DUMMYFUNCTION("""COMPUTED_VALUE"""),"")</f>
        <v/>
      </c>
      <c r="N3184" t="str">
        <f>IFERROR(__xludf.DUMMYFUNCTION("""COMPUTED_VALUE"""),"")</f>
        <v/>
      </c>
      <c r="O3184" t="str">
        <f>IFERROR(__xludf.DUMMYFUNCTION("""COMPUTED_VALUE"""),"")</f>
        <v/>
      </c>
      <c r="P3184" t="str">
        <f>IFERROR(__xludf.DUMMYFUNCTION("""COMPUTED_VALUE"""),"ID ")</f>
        <v>ID </v>
      </c>
    </row>
    <row r="3185">
      <c r="A3185" s="6" t="str">
        <f>IFERROR(__xludf.DUMMYFUNCTION("""COMPUTED_VALUE"""),"")</f>
        <v/>
      </c>
      <c r="C3185" t="str">
        <f>IFERROR(__xludf.DUMMYFUNCTION("""COMPUTED_VALUE"""),"")</f>
        <v/>
      </c>
      <c r="D3185" t="str">
        <f>IFERROR(__xludf.DUMMYFUNCTION("""COMPUTED_VALUE"""),"")</f>
        <v/>
      </c>
      <c r="E3185" t="str">
        <f>IFERROR(__xludf.DUMMYFUNCTION("""COMPUTED_VALUE"""),"")</f>
        <v/>
      </c>
      <c r="F3185" t="str">
        <f>IFERROR(__xludf.DUMMYFUNCTION("""COMPUTED_VALUE"""),"")</f>
        <v/>
      </c>
      <c r="G3185" t="str">
        <f>IFERROR(__xludf.DUMMYFUNCTION("""COMPUTED_VALUE"""),"")</f>
        <v/>
      </c>
      <c r="H3185" s="2" t="str">
        <f>IFERROR(__xludf.DUMMYFUNCTION("""COMPUTED_VALUE"""),"")</f>
        <v/>
      </c>
      <c r="I3185" s="2" t="str">
        <f>IFERROR(__xludf.DUMMYFUNCTION("""COMPUTED_VALUE"""),"")</f>
        <v/>
      </c>
      <c r="J3185" s="2">
        <f>IFERROR(__xludf.DUMMYFUNCTION("""COMPUTED_VALUE"""),0.0)</f>
        <v>0</v>
      </c>
      <c r="K3185" s="5" t="str">
        <f>IFERROR(__xludf.DUMMYFUNCTION("""COMPUTED_VALUE"""),"")</f>
        <v/>
      </c>
      <c r="L3185" t="str">
        <f>IFERROR(__xludf.DUMMYFUNCTION("""COMPUTED_VALUE"""),"")</f>
        <v/>
      </c>
      <c r="M3185" t="str">
        <f>IFERROR(__xludf.DUMMYFUNCTION("""COMPUTED_VALUE"""),"")</f>
        <v/>
      </c>
      <c r="N3185" t="str">
        <f>IFERROR(__xludf.DUMMYFUNCTION("""COMPUTED_VALUE"""),"")</f>
        <v/>
      </c>
      <c r="O3185" t="str">
        <f>IFERROR(__xludf.DUMMYFUNCTION("""COMPUTED_VALUE"""),"")</f>
        <v/>
      </c>
      <c r="P3185" t="str">
        <f>IFERROR(__xludf.DUMMYFUNCTION("""COMPUTED_VALUE"""),"ID ")</f>
        <v>ID </v>
      </c>
    </row>
    <row r="3186">
      <c r="A3186" s="6" t="str">
        <f>IFERROR(__xludf.DUMMYFUNCTION("""COMPUTED_VALUE"""),"")</f>
        <v/>
      </c>
      <c r="C3186" t="str">
        <f>IFERROR(__xludf.DUMMYFUNCTION("""COMPUTED_VALUE"""),"")</f>
        <v/>
      </c>
      <c r="D3186" t="str">
        <f>IFERROR(__xludf.DUMMYFUNCTION("""COMPUTED_VALUE"""),"")</f>
        <v/>
      </c>
      <c r="E3186" t="str">
        <f>IFERROR(__xludf.DUMMYFUNCTION("""COMPUTED_VALUE"""),"")</f>
        <v/>
      </c>
      <c r="F3186" t="str">
        <f>IFERROR(__xludf.DUMMYFUNCTION("""COMPUTED_VALUE"""),"")</f>
        <v/>
      </c>
      <c r="G3186" t="str">
        <f>IFERROR(__xludf.DUMMYFUNCTION("""COMPUTED_VALUE"""),"")</f>
        <v/>
      </c>
      <c r="H3186" s="2" t="str">
        <f>IFERROR(__xludf.DUMMYFUNCTION("""COMPUTED_VALUE"""),"")</f>
        <v/>
      </c>
      <c r="I3186" s="2" t="str">
        <f>IFERROR(__xludf.DUMMYFUNCTION("""COMPUTED_VALUE"""),"")</f>
        <v/>
      </c>
      <c r="J3186" s="2">
        <f>IFERROR(__xludf.DUMMYFUNCTION("""COMPUTED_VALUE"""),0.0)</f>
        <v>0</v>
      </c>
      <c r="K3186" s="5" t="str">
        <f>IFERROR(__xludf.DUMMYFUNCTION("""COMPUTED_VALUE"""),"")</f>
        <v/>
      </c>
      <c r="L3186" t="str">
        <f>IFERROR(__xludf.DUMMYFUNCTION("""COMPUTED_VALUE"""),"")</f>
        <v/>
      </c>
      <c r="M3186" t="str">
        <f>IFERROR(__xludf.DUMMYFUNCTION("""COMPUTED_VALUE"""),"")</f>
        <v/>
      </c>
      <c r="N3186" t="str">
        <f>IFERROR(__xludf.DUMMYFUNCTION("""COMPUTED_VALUE"""),"")</f>
        <v/>
      </c>
      <c r="O3186" t="str">
        <f>IFERROR(__xludf.DUMMYFUNCTION("""COMPUTED_VALUE"""),"")</f>
        <v/>
      </c>
      <c r="P3186" t="str">
        <f>IFERROR(__xludf.DUMMYFUNCTION("""COMPUTED_VALUE"""),"ID ")</f>
        <v>ID </v>
      </c>
    </row>
    <row r="3187">
      <c r="A3187" s="6" t="str">
        <f>IFERROR(__xludf.DUMMYFUNCTION("""COMPUTED_VALUE"""),"")</f>
        <v/>
      </c>
      <c r="C3187" t="str">
        <f>IFERROR(__xludf.DUMMYFUNCTION("""COMPUTED_VALUE"""),"")</f>
        <v/>
      </c>
      <c r="D3187" t="str">
        <f>IFERROR(__xludf.DUMMYFUNCTION("""COMPUTED_VALUE"""),"")</f>
        <v/>
      </c>
      <c r="E3187" t="str">
        <f>IFERROR(__xludf.DUMMYFUNCTION("""COMPUTED_VALUE"""),"")</f>
        <v/>
      </c>
      <c r="F3187" t="str">
        <f>IFERROR(__xludf.DUMMYFUNCTION("""COMPUTED_VALUE"""),"")</f>
        <v/>
      </c>
      <c r="G3187" t="str">
        <f>IFERROR(__xludf.DUMMYFUNCTION("""COMPUTED_VALUE"""),"")</f>
        <v/>
      </c>
      <c r="H3187" s="2" t="str">
        <f>IFERROR(__xludf.DUMMYFUNCTION("""COMPUTED_VALUE"""),"")</f>
        <v/>
      </c>
      <c r="I3187" s="2" t="str">
        <f>IFERROR(__xludf.DUMMYFUNCTION("""COMPUTED_VALUE"""),"")</f>
        <v/>
      </c>
      <c r="J3187" s="2">
        <f>IFERROR(__xludf.DUMMYFUNCTION("""COMPUTED_VALUE"""),0.0)</f>
        <v>0</v>
      </c>
      <c r="K3187" s="5" t="str">
        <f>IFERROR(__xludf.DUMMYFUNCTION("""COMPUTED_VALUE"""),"")</f>
        <v/>
      </c>
      <c r="L3187" t="str">
        <f>IFERROR(__xludf.DUMMYFUNCTION("""COMPUTED_VALUE"""),"")</f>
        <v/>
      </c>
      <c r="M3187" t="str">
        <f>IFERROR(__xludf.DUMMYFUNCTION("""COMPUTED_VALUE"""),"")</f>
        <v/>
      </c>
      <c r="N3187" t="str">
        <f>IFERROR(__xludf.DUMMYFUNCTION("""COMPUTED_VALUE"""),"")</f>
        <v/>
      </c>
      <c r="O3187" t="str">
        <f>IFERROR(__xludf.DUMMYFUNCTION("""COMPUTED_VALUE"""),"")</f>
        <v/>
      </c>
      <c r="P3187" t="str">
        <f>IFERROR(__xludf.DUMMYFUNCTION("""COMPUTED_VALUE"""),"ID ")</f>
        <v>ID </v>
      </c>
    </row>
    <row r="3188">
      <c r="A3188" s="6" t="str">
        <f>IFERROR(__xludf.DUMMYFUNCTION("""COMPUTED_VALUE"""),"")</f>
        <v/>
      </c>
      <c r="C3188" t="str">
        <f>IFERROR(__xludf.DUMMYFUNCTION("""COMPUTED_VALUE"""),"")</f>
        <v/>
      </c>
      <c r="D3188" t="str">
        <f>IFERROR(__xludf.DUMMYFUNCTION("""COMPUTED_VALUE"""),"")</f>
        <v/>
      </c>
      <c r="E3188" t="str">
        <f>IFERROR(__xludf.DUMMYFUNCTION("""COMPUTED_VALUE"""),"")</f>
        <v/>
      </c>
      <c r="F3188" t="str">
        <f>IFERROR(__xludf.DUMMYFUNCTION("""COMPUTED_VALUE"""),"")</f>
        <v/>
      </c>
      <c r="G3188" t="str">
        <f>IFERROR(__xludf.DUMMYFUNCTION("""COMPUTED_VALUE"""),"")</f>
        <v/>
      </c>
      <c r="H3188" s="2" t="str">
        <f>IFERROR(__xludf.DUMMYFUNCTION("""COMPUTED_VALUE"""),"")</f>
        <v/>
      </c>
      <c r="I3188" s="2" t="str">
        <f>IFERROR(__xludf.DUMMYFUNCTION("""COMPUTED_VALUE"""),"")</f>
        <v/>
      </c>
      <c r="J3188" s="2">
        <f>IFERROR(__xludf.DUMMYFUNCTION("""COMPUTED_VALUE"""),0.0)</f>
        <v>0</v>
      </c>
      <c r="K3188" s="5" t="str">
        <f>IFERROR(__xludf.DUMMYFUNCTION("""COMPUTED_VALUE"""),"")</f>
        <v/>
      </c>
      <c r="L3188" t="str">
        <f>IFERROR(__xludf.DUMMYFUNCTION("""COMPUTED_VALUE"""),"")</f>
        <v/>
      </c>
      <c r="M3188" t="str">
        <f>IFERROR(__xludf.DUMMYFUNCTION("""COMPUTED_VALUE"""),"")</f>
        <v/>
      </c>
      <c r="N3188" t="str">
        <f>IFERROR(__xludf.DUMMYFUNCTION("""COMPUTED_VALUE"""),"")</f>
        <v/>
      </c>
      <c r="O3188" t="str">
        <f>IFERROR(__xludf.DUMMYFUNCTION("""COMPUTED_VALUE"""),"")</f>
        <v/>
      </c>
      <c r="P3188" t="str">
        <f>IFERROR(__xludf.DUMMYFUNCTION("""COMPUTED_VALUE"""),"ID ")</f>
        <v>ID </v>
      </c>
    </row>
    <row r="3189">
      <c r="A3189" s="6" t="str">
        <f>IFERROR(__xludf.DUMMYFUNCTION("""COMPUTED_VALUE"""),"")</f>
        <v/>
      </c>
      <c r="C3189" t="str">
        <f>IFERROR(__xludf.DUMMYFUNCTION("""COMPUTED_VALUE"""),"")</f>
        <v/>
      </c>
      <c r="D3189" t="str">
        <f>IFERROR(__xludf.DUMMYFUNCTION("""COMPUTED_VALUE"""),"")</f>
        <v/>
      </c>
      <c r="E3189" t="str">
        <f>IFERROR(__xludf.DUMMYFUNCTION("""COMPUTED_VALUE"""),"")</f>
        <v/>
      </c>
      <c r="F3189" t="str">
        <f>IFERROR(__xludf.DUMMYFUNCTION("""COMPUTED_VALUE"""),"")</f>
        <v/>
      </c>
      <c r="G3189" t="str">
        <f>IFERROR(__xludf.DUMMYFUNCTION("""COMPUTED_VALUE"""),"")</f>
        <v/>
      </c>
      <c r="H3189" s="2" t="str">
        <f>IFERROR(__xludf.DUMMYFUNCTION("""COMPUTED_VALUE"""),"")</f>
        <v/>
      </c>
      <c r="I3189" s="2" t="str">
        <f>IFERROR(__xludf.DUMMYFUNCTION("""COMPUTED_VALUE"""),"")</f>
        <v/>
      </c>
      <c r="J3189" s="2">
        <f>IFERROR(__xludf.DUMMYFUNCTION("""COMPUTED_VALUE"""),0.0)</f>
        <v>0</v>
      </c>
      <c r="K3189" s="5" t="str">
        <f>IFERROR(__xludf.DUMMYFUNCTION("""COMPUTED_VALUE"""),"")</f>
        <v/>
      </c>
      <c r="L3189" t="str">
        <f>IFERROR(__xludf.DUMMYFUNCTION("""COMPUTED_VALUE"""),"")</f>
        <v/>
      </c>
      <c r="M3189" t="str">
        <f>IFERROR(__xludf.DUMMYFUNCTION("""COMPUTED_VALUE"""),"")</f>
        <v/>
      </c>
      <c r="N3189" t="str">
        <f>IFERROR(__xludf.DUMMYFUNCTION("""COMPUTED_VALUE"""),"")</f>
        <v/>
      </c>
      <c r="O3189" t="str">
        <f>IFERROR(__xludf.DUMMYFUNCTION("""COMPUTED_VALUE"""),"")</f>
        <v/>
      </c>
      <c r="P3189" t="str">
        <f>IFERROR(__xludf.DUMMYFUNCTION("""COMPUTED_VALUE"""),"ID ")</f>
        <v>ID </v>
      </c>
    </row>
    <row r="3190">
      <c r="A3190" s="6" t="str">
        <f>IFERROR(__xludf.DUMMYFUNCTION("""COMPUTED_VALUE"""),"")</f>
        <v/>
      </c>
      <c r="C3190" t="str">
        <f>IFERROR(__xludf.DUMMYFUNCTION("""COMPUTED_VALUE"""),"")</f>
        <v/>
      </c>
      <c r="D3190" t="str">
        <f>IFERROR(__xludf.DUMMYFUNCTION("""COMPUTED_VALUE"""),"")</f>
        <v/>
      </c>
      <c r="E3190" t="str">
        <f>IFERROR(__xludf.DUMMYFUNCTION("""COMPUTED_VALUE"""),"")</f>
        <v/>
      </c>
      <c r="F3190" t="str">
        <f>IFERROR(__xludf.DUMMYFUNCTION("""COMPUTED_VALUE"""),"")</f>
        <v/>
      </c>
      <c r="G3190" t="str">
        <f>IFERROR(__xludf.DUMMYFUNCTION("""COMPUTED_VALUE"""),"")</f>
        <v/>
      </c>
      <c r="H3190" s="2" t="str">
        <f>IFERROR(__xludf.DUMMYFUNCTION("""COMPUTED_VALUE"""),"")</f>
        <v/>
      </c>
      <c r="I3190" s="2" t="str">
        <f>IFERROR(__xludf.DUMMYFUNCTION("""COMPUTED_VALUE"""),"")</f>
        <v/>
      </c>
      <c r="J3190" s="2">
        <f>IFERROR(__xludf.DUMMYFUNCTION("""COMPUTED_VALUE"""),0.0)</f>
        <v>0</v>
      </c>
      <c r="K3190" s="5" t="str">
        <f>IFERROR(__xludf.DUMMYFUNCTION("""COMPUTED_VALUE"""),"")</f>
        <v/>
      </c>
      <c r="L3190" t="str">
        <f>IFERROR(__xludf.DUMMYFUNCTION("""COMPUTED_VALUE"""),"")</f>
        <v/>
      </c>
      <c r="M3190" t="str">
        <f>IFERROR(__xludf.DUMMYFUNCTION("""COMPUTED_VALUE"""),"")</f>
        <v/>
      </c>
      <c r="N3190" t="str">
        <f>IFERROR(__xludf.DUMMYFUNCTION("""COMPUTED_VALUE"""),"")</f>
        <v/>
      </c>
      <c r="O3190" t="str">
        <f>IFERROR(__xludf.DUMMYFUNCTION("""COMPUTED_VALUE"""),"")</f>
        <v/>
      </c>
      <c r="P3190" t="str">
        <f>IFERROR(__xludf.DUMMYFUNCTION("""COMPUTED_VALUE"""),"ID ")</f>
        <v>ID </v>
      </c>
    </row>
    <row r="3191">
      <c r="A3191" s="6" t="str">
        <f>IFERROR(__xludf.DUMMYFUNCTION("""COMPUTED_VALUE"""),"")</f>
        <v/>
      </c>
      <c r="C3191" t="str">
        <f>IFERROR(__xludf.DUMMYFUNCTION("""COMPUTED_VALUE"""),"")</f>
        <v/>
      </c>
      <c r="D3191" t="str">
        <f>IFERROR(__xludf.DUMMYFUNCTION("""COMPUTED_VALUE"""),"")</f>
        <v/>
      </c>
      <c r="E3191" t="str">
        <f>IFERROR(__xludf.DUMMYFUNCTION("""COMPUTED_VALUE"""),"")</f>
        <v/>
      </c>
      <c r="F3191" t="str">
        <f>IFERROR(__xludf.DUMMYFUNCTION("""COMPUTED_VALUE"""),"")</f>
        <v/>
      </c>
      <c r="G3191" t="str">
        <f>IFERROR(__xludf.DUMMYFUNCTION("""COMPUTED_VALUE"""),"")</f>
        <v/>
      </c>
      <c r="H3191" s="2" t="str">
        <f>IFERROR(__xludf.DUMMYFUNCTION("""COMPUTED_VALUE"""),"")</f>
        <v/>
      </c>
      <c r="I3191" s="2" t="str">
        <f>IFERROR(__xludf.DUMMYFUNCTION("""COMPUTED_VALUE"""),"")</f>
        <v/>
      </c>
      <c r="J3191" s="2">
        <f>IFERROR(__xludf.DUMMYFUNCTION("""COMPUTED_VALUE"""),0.0)</f>
        <v>0</v>
      </c>
      <c r="K3191" s="5" t="str">
        <f>IFERROR(__xludf.DUMMYFUNCTION("""COMPUTED_VALUE"""),"")</f>
        <v/>
      </c>
      <c r="L3191" t="str">
        <f>IFERROR(__xludf.DUMMYFUNCTION("""COMPUTED_VALUE"""),"")</f>
        <v/>
      </c>
      <c r="M3191" t="str">
        <f>IFERROR(__xludf.DUMMYFUNCTION("""COMPUTED_VALUE"""),"")</f>
        <v/>
      </c>
      <c r="N3191" t="str">
        <f>IFERROR(__xludf.DUMMYFUNCTION("""COMPUTED_VALUE"""),"")</f>
        <v/>
      </c>
      <c r="O3191" t="str">
        <f>IFERROR(__xludf.DUMMYFUNCTION("""COMPUTED_VALUE"""),"")</f>
        <v/>
      </c>
      <c r="P3191" t="str">
        <f>IFERROR(__xludf.DUMMYFUNCTION("""COMPUTED_VALUE"""),"ID ")</f>
        <v>ID </v>
      </c>
    </row>
    <row r="3192">
      <c r="A3192" s="6" t="str">
        <f>IFERROR(__xludf.DUMMYFUNCTION("""COMPUTED_VALUE"""),"")</f>
        <v/>
      </c>
      <c r="C3192" t="str">
        <f>IFERROR(__xludf.DUMMYFUNCTION("""COMPUTED_VALUE"""),"")</f>
        <v/>
      </c>
      <c r="D3192" t="str">
        <f>IFERROR(__xludf.DUMMYFUNCTION("""COMPUTED_VALUE"""),"")</f>
        <v/>
      </c>
      <c r="E3192" t="str">
        <f>IFERROR(__xludf.DUMMYFUNCTION("""COMPUTED_VALUE"""),"")</f>
        <v/>
      </c>
      <c r="F3192" t="str">
        <f>IFERROR(__xludf.DUMMYFUNCTION("""COMPUTED_VALUE"""),"")</f>
        <v/>
      </c>
      <c r="G3192" t="str">
        <f>IFERROR(__xludf.DUMMYFUNCTION("""COMPUTED_VALUE"""),"")</f>
        <v/>
      </c>
      <c r="H3192" s="2" t="str">
        <f>IFERROR(__xludf.DUMMYFUNCTION("""COMPUTED_VALUE"""),"")</f>
        <v/>
      </c>
      <c r="I3192" s="2" t="str">
        <f>IFERROR(__xludf.DUMMYFUNCTION("""COMPUTED_VALUE"""),"")</f>
        <v/>
      </c>
      <c r="J3192" s="2">
        <f>IFERROR(__xludf.DUMMYFUNCTION("""COMPUTED_VALUE"""),0.0)</f>
        <v>0</v>
      </c>
      <c r="K3192" s="5" t="str">
        <f>IFERROR(__xludf.DUMMYFUNCTION("""COMPUTED_VALUE"""),"")</f>
        <v/>
      </c>
      <c r="L3192" t="str">
        <f>IFERROR(__xludf.DUMMYFUNCTION("""COMPUTED_VALUE"""),"")</f>
        <v/>
      </c>
      <c r="M3192" t="str">
        <f>IFERROR(__xludf.DUMMYFUNCTION("""COMPUTED_VALUE"""),"")</f>
        <v/>
      </c>
      <c r="N3192" t="str">
        <f>IFERROR(__xludf.DUMMYFUNCTION("""COMPUTED_VALUE"""),"")</f>
        <v/>
      </c>
      <c r="O3192" t="str">
        <f>IFERROR(__xludf.DUMMYFUNCTION("""COMPUTED_VALUE"""),"")</f>
        <v/>
      </c>
      <c r="P3192" t="str">
        <f>IFERROR(__xludf.DUMMYFUNCTION("""COMPUTED_VALUE"""),"ID ")</f>
        <v>ID </v>
      </c>
    </row>
    <row r="3193">
      <c r="A3193" s="6" t="str">
        <f>IFERROR(__xludf.DUMMYFUNCTION("""COMPUTED_VALUE"""),"")</f>
        <v/>
      </c>
      <c r="C3193" t="str">
        <f>IFERROR(__xludf.DUMMYFUNCTION("""COMPUTED_VALUE"""),"")</f>
        <v/>
      </c>
      <c r="D3193" t="str">
        <f>IFERROR(__xludf.DUMMYFUNCTION("""COMPUTED_VALUE"""),"")</f>
        <v/>
      </c>
      <c r="E3193" t="str">
        <f>IFERROR(__xludf.DUMMYFUNCTION("""COMPUTED_VALUE"""),"")</f>
        <v/>
      </c>
      <c r="F3193" t="str">
        <f>IFERROR(__xludf.DUMMYFUNCTION("""COMPUTED_VALUE"""),"")</f>
        <v/>
      </c>
      <c r="G3193" t="str">
        <f>IFERROR(__xludf.DUMMYFUNCTION("""COMPUTED_VALUE"""),"")</f>
        <v/>
      </c>
      <c r="H3193" s="2" t="str">
        <f>IFERROR(__xludf.DUMMYFUNCTION("""COMPUTED_VALUE"""),"")</f>
        <v/>
      </c>
      <c r="I3193" s="2" t="str">
        <f>IFERROR(__xludf.DUMMYFUNCTION("""COMPUTED_VALUE"""),"")</f>
        <v/>
      </c>
      <c r="J3193" s="2">
        <f>IFERROR(__xludf.DUMMYFUNCTION("""COMPUTED_VALUE"""),0.0)</f>
        <v>0</v>
      </c>
      <c r="K3193" s="5" t="str">
        <f>IFERROR(__xludf.DUMMYFUNCTION("""COMPUTED_VALUE"""),"")</f>
        <v/>
      </c>
      <c r="L3193" t="str">
        <f>IFERROR(__xludf.DUMMYFUNCTION("""COMPUTED_VALUE"""),"")</f>
        <v/>
      </c>
      <c r="M3193" t="str">
        <f>IFERROR(__xludf.DUMMYFUNCTION("""COMPUTED_VALUE"""),"")</f>
        <v/>
      </c>
      <c r="N3193" t="str">
        <f>IFERROR(__xludf.DUMMYFUNCTION("""COMPUTED_VALUE"""),"")</f>
        <v/>
      </c>
      <c r="O3193" t="str">
        <f>IFERROR(__xludf.DUMMYFUNCTION("""COMPUTED_VALUE"""),"")</f>
        <v/>
      </c>
      <c r="P3193" t="str">
        <f>IFERROR(__xludf.DUMMYFUNCTION("""COMPUTED_VALUE"""),"ID ")</f>
        <v>ID </v>
      </c>
    </row>
    <row r="3194">
      <c r="A3194" s="6" t="str">
        <f>IFERROR(__xludf.DUMMYFUNCTION("""COMPUTED_VALUE"""),"")</f>
        <v/>
      </c>
      <c r="C3194" t="str">
        <f>IFERROR(__xludf.DUMMYFUNCTION("""COMPUTED_VALUE"""),"")</f>
        <v/>
      </c>
      <c r="D3194" t="str">
        <f>IFERROR(__xludf.DUMMYFUNCTION("""COMPUTED_VALUE"""),"")</f>
        <v/>
      </c>
      <c r="E3194" t="str">
        <f>IFERROR(__xludf.DUMMYFUNCTION("""COMPUTED_VALUE"""),"")</f>
        <v/>
      </c>
      <c r="F3194" t="str">
        <f>IFERROR(__xludf.DUMMYFUNCTION("""COMPUTED_VALUE"""),"")</f>
        <v/>
      </c>
      <c r="G3194" t="str">
        <f>IFERROR(__xludf.DUMMYFUNCTION("""COMPUTED_VALUE"""),"")</f>
        <v/>
      </c>
      <c r="H3194" s="2" t="str">
        <f>IFERROR(__xludf.DUMMYFUNCTION("""COMPUTED_VALUE"""),"")</f>
        <v/>
      </c>
      <c r="I3194" s="2" t="str">
        <f>IFERROR(__xludf.DUMMYFUNCTION("""COMPUTED_VALUE"""),"")</f>
        <v/>
      </c>
      <c r="J3194" s="2">
        <f>IFERROR(__xludf.DUMMYFUNCTION("""COMPUTED_VALUE"""),0.0)</f>
        <v>0</v>
      </c>
      <c r="K3194" s="5" t="str">
        <f>IFERROR(__xludf.DUMMYFUNCTION("""COMPUTED_VALUE"""),"")</f>
        <v/>
      </c>
      <c r="L3194" t="str">
        <f>IFERROR(__xludf.DUMMYFUNCTION("""COMPUTED_VALUE"""),"")</f>
        <v/>
      </c>
      <c r="M3194" t="str">
        <f>IFERROR(__xludf.DUMMYFUNCTION("""COMPUTED_VALUE"""),"")</f>
        <v/>
      </c>
      <c r="N3194" t="str">
        <f>IFERROR(__xludf.DUMMYFUNCTION("""COMPUTED_VALUE"""),"")</f>
        <v/>
      </c>
      <c r="O3194" t="str">
        <f>IFERROR(__xludf.DUMMYFUNCTION("""COMPUTED_VALUE"""),"")</f>
        <v/>
      </c>
      <c r="P3194" t="str">
        <f>IFERROR(__xludf.DUMMYFUNCTION("""COMPUTED_VALUE"""),"ID ")</f>
        <v>ID </v>
      </c>
    </row>
    <row r="3195">
      <c r="A3195" s="6" t="str">
        <f>IFERROR(__xludf.DUMMYFUNCTION("""COMPUTED_VALUE"""),"")</f>
        <v/>
      </c>
      <c r="C3195" t="str">
        <f>IFERROR(__xludf.DUMMYFUNCTION("""COMPUTED_VALUE"""),"")</f>
        <v/>
      </c>
      <c r="D3195" t="str">
        <f>IFERROR(__xludf.DUMMYFUNCTION("""COMPUTED_VALUE"""),"")</f>
        <v/>
      </c>
      <c r="E3195" t="str">
        <f>IFERROR(__xludf.DUMMYFUNCTION("""COMPUTED_VALUE"""),"")</f>
        <v/>
      </c>
      <c r="F3195" t="str">
        <f>IFERROR(__xludf.DUMMYFUNCTION("""COMPUTED_VALUE"""),"")</f>
        <v/>
      </c>
      <c r="G3195" t="str">
        <f>IFERROR(__xludf.DUMMYFUNCTION("""COMPUTED_VALUE"""),"")</f>
        <v/>
      </c>
      <c r="H3195" s="2" t="str">
        <f>IFERROR(__xludf.DUMMYFUNCTION("""COMPUTED_VALUE"""),"")</f>
        <v/>
      </c>
      <c r="I3195" s="2" t="str">
        <f>IFERROR(__xludf.DUMMYFUNCTION("""COMPUTED_VALUE"""),"")</f>
        <v/>
      </c>
      <c r="J3195" s="2">
        <f>IFERROR(__xludf.DUMMYFUNCTION("""COMPUTED_VALUE"""),0.0)</f>
        <v>0</v>
      </c>
      <c r="K3195" s="5" t="str">
        <f>IFERROR(__xludf.DUMMYFUNCTION("""COMPUTED_VALUE"""),"")</f>
        <v/>
      </c>
      <c r="L3195" t="str">
        <f>IFERROR(__xludf.DUMMYFUNCTION("""COMPUTED_VALUE"""),"")</f>
        <v/>
      </c>
      <c r="M3195" t="str">
        <f>IFERROR(__xludf.DUMMYFUNCTION("""COMPUTED_VALUE"""),"")</f>
        <v/>
      </c>
      <c r="N3195" t="str">
        <f>IFERROR(__xludf.DUMMYFUNCTION("""COMPUTED_VALUE"""),"")</f>
        <v/>
      </c>
      <c r="O3195" t="str">
        <f>IFERROR(__xludf.DUMMYFUNCTION("""COMPUTED_VALUE"""),"")</f>
        <v/>
      </c>
      <c r="P3195" t="str">
        <f>IFERROR(__xludf.DUMMYFUNCTION("""COMPUTED_VALUE"""),"ID ")</f>
        <v>ID </v>
      </c>
    </row>
    <row r="3196">
      <c r="A3196" s="6" t="str">
        <f>IFERROR(__xludf.DUMMYFUNCTION("""COMPUTED_VALUE"""),"")</f>
        <v/>
      </c>
      <c r="C3196" t="str">
        <f>IFERROR(__xludf.DUMMYFUNCTION("""COMPUTED_VALUE"""),"")</f>
        <v/>
      </c>
      <c r="D3196" t="str">
        <f>IFERROR(__xludf.DUMMYFUNCTION("""COMPUTED_VALUE"""),"")</f>
        <v/>
      </c>
      <c r="E3196" t="str">
        <f>IFERROR(__xludf.DUMMYFUNCTION("""COMPUTED_VALUE"""),"")</f>
        <v/>
      </c>
      <c r="F3196" t="str">
        <f>IFERROR(__xludf.DUMMYFUNCTION("""COMPUTED_VALUE"""),"")</f>
        <v/>
      </c>
      <c r="G3196" t="str">
        <f>IFERROR(__xludf.DUMMYFUNCTION("""COMPUTED_VALUE"""),"")</f>
        <v/>
      </c>
      <c r="H3196" s="2" t="str">
        <f>IFERROR(__xludf.DUMMYFUNCTION("""COMPUTED_VALUE"""),"")</f>
        <v/>
      </c>
      <c r="I3196" s="2" t="str">
        <f>IFERROR(__xludf.DUMMYFUNCTION("""COMPUTED_VALUE"""),"")</f>
        <v/>
      </c>
      <c r="J3196" s="2">
        <f>IFERROR(__xludf.DUMMYFUNCTION("""COMPUTED_VALUE"""),0.0)</f>
        <v>0</v>
      </c>
      <c r="K3196" s="5" t="str">
        <f>IFERROR(__xludf.DUMMYFUNCTION("""COMPUTED_VALUE"""),"")</f>
        <v/>
      </c>
      <c r="L3196" t="str">
        <f>IFERROR(__xludf.DUMMYFUNCTION("""COMPUTED_VALUE"""),"")</f>
        <v/>
      </c>
      <c r="M3196" t="str">
        <f>IFERROR(__xludf.DUMMYFUNCTION("""COMPUTED_VALUE"""),"")</f>
        <v/>
      </c>
      <c r="N3196" t="str">
        <f>IFERROR(__xludf.DUMMYFUNCTION("""COMPUTED_VALUE"""),"")</f>
        <v/>
      </c>
      <c r="O3196" t="str">
        <f>IFERROR(__xludf.DUMMYFUNCTION("""COMPUTED_VALUE"""),"")</f>
        <v/>
      </c>
      <c r="P3196" t="str">
        <f>IFERROR(__xludf.DUMMYFUNCTION("""COMPUTED_VALUE"""),"ID ")</f>
        <v>ID </v>
      </c>
    </row>
    <row r="3197">
      <c r="A3197" s="6" t="str">
        <f>IFERROR(__xludf.DUMMYFUNCTION("""COMPUTED_VALUE"""),"")</f>
        <v/>
      </c>
      <c r="C3197" t="str">
        <f>IFERROR(__xludf.DUMMYFUNCTION("""COMPUTED_VALUE"""),"")</f>
        <v/>
      </c>
      <c r="D3197" t="str">
        <f>IFERROR(__xludf.DUMMYFUNCTION("""COMPUTED_VALUE"""),"")</f>
        <v/>
      </c>
      <c r="E3197" t="str">
        <f>IFERROR(__xludf.DUMMYFUNCTION("""COMPUTED_VALUE"""),"")</f>
        <v/>
      </c>
      <c r="F3197" t="str">
        <f>IFERROR(__xludf.DUMMYFUNCTION("""COMPUTED_VALUE"""),"")</f>
        <v/>
      </c>
      <c r="G3197" t="str">
        <f>IFERROR(__xludf.DUMMYFUNCTION("""COMPUTED_VALUE"""),"")</f>
        <v/>
      </c>
      <c r="H3197" s="2" t="str">
        <f>IFERROR(__xludf.DUMMYFUNCTION("""COMPUTED_VALUE"""),"")</f>
        <v/>
      </c>
      <c r="I3197" s="2" t="str">
        <f>IFERROR(__xludf.DUMMYFUNCTION("""COMPUTED_VALUE"""),"")</f>
        <v/>
      </c>
      <c r="J3197" s="2">
        <f>IFERROR(__xludf.DUMMYFUNCTION("""COMPUTED_VALUE"""),0.0)</f>
        <v>0</v>
      </c>
      <c r="K3197" s="5" t="str">
        <f>IFERROR(__xludf.DUMMYFUNCTION("""COMPUTED_VALUE"""),"")</f>
        <v/>
      </c>
      <c r="L3197" t="str">
        <f>IFERROR(__xludf.DUMMYFUNCTION("""COMPUTED_VALUE"""),"")</f>
        <v/>
      </c>
      <c r="M3197" t="str">
        <f>IFERROR(__xludf.DUMMYFUNCTION("""COMPUTED_VALUE"""),"")</f>
        <v/>
      </c>
      <c r="N3197" t="str">
        <f>IFERROR(__xludf.DUMMYFUNCTION("""COMPUTED_VALUE"""),"")</f>
        <v/>
      </c>
      <c r="O3197" t="str">
        <f>IFERROR(__xludf.DUMMYFUNCTION("""COMPUTED_VALUE"""),"")</f>
        <v/>
      </c>
      <c r="P3197" t="str">
        <f>IFERROR(__xludf.DUMMYFUNCTION("""COMPUTED_VALUE"""),"ID ")</f>
        <v>ID </v>
      </c>
    </row>
    <row r="3198">
      <c r="A3198" s="6" t="str">
        <f>IFERROR(__xludf.DUMMYFUNCTION("""COMPUTED_VALUE"""),"")</f>
        <v/>
      </c>
      <c r="C3198" t="str">
        <f>IFERROR(__xludf.DUMMYFUNCTION("""COMPUTED_VALUE"""),"")</f>
        <v/>
      </c>
      <c r="D3198" t="str">
        <f>IFERROR(__xludf.DUMMYFUNCTION("""COMPUTED_VALUE"""),"")</f>
        <v/>
      </c>
      <c r="E3198" t="str">
        <f>IFERROR(__xludf.DUMMYFUNCTION("""COMPUTED_VALUE"""),"")</f>
        <v/>
      </c>
      <c r="F3198" t="str">
        <f>IFERROR(__xludf.DUMMYFUNCTION("""COMPUTED_VALUE"""),"")</f>
        <v/>
      </c>
      <c r="G3198" t="str">
        <f>IFERROR(__xludf.DUMMYFUNCTION("""COMPUTED_VALUE"""),"")</f>
        <v/>
      </c>
      <c r="H3198" s="2" t="str">
        <f>IFERROR(__xludf.DUMMYFUNCTION("""COMPUTED_VALUE"""),"")</f>
        <v/>
      </c>
      <c r="I3198" s="2" t="str">
        <f>IFERROR(__xludf.DUMMYFUNCTION("""COMPUTED_VALUE"""),"")</f>
        <v/>
      </c>
      <c r="J3198" s="2">
        <f>IFERROR(__xludf.DUMMYFUNCTION("""COMPUTED_VALUE"""),0.0)</f>
        <v>0</v>
      </c>
      <c r="K3198" s="5" t="str">
        <f>IFERROR(__xludf.DUMMYFUNCTION("""COMPUTED_VALUE"""),"")</f>
        <v/>
      </c>
      <c r="L3198" t="str">
        <f>IFERROR(__xludf.DUMMYFUNCTION("""COMPUTED_VALUE"""),"")</f>
        <v/>
      </c>
      <c r="M3198" t="str">
        <f>IFERROR(__xludf.DUMMYFUNCTION("""COMPUTED_VALUE"""),"")</f>
        <v/>
      </c>
      <c r="N3198" t="str">
        <f>IFERROR(__xludf.DUMMYFUNCTION("""COMPUTED_VALUE"""),"")</f>
        <v/>
      </c>
      <c r="O3198" t="str">
        <f>IFERROR(__xludf.DUMMYFUNCTION("""COMPUTED_VALUE"""),"")</f>
        <v/>
      </c>
      <c r="P3198" t="str">
        <f>IFERROR(__xludf.DUMMYFUNCTION("""COMPUTED_VALUE"""),"ID ")</f>
        <v>ID </v>
      </c>
    </row>
    <row r="3199">
      <c r="A3199" s="6" t="str">
        <f>IFERROR(__xludf.DUMMYFUNCTION("""COMPUTED_VALUE"""),"")</f>
        <v/>
      </c>
      <c r="C3199" t="str">
        <f>IFERROR(__xludf.DUMMYFUNCTION("""COMPUTED_VALUE"""),"")</f>
        <v/>
      </c>
      <c r="D3199" t="str">
        <f>IFERROR(__xludf.DUMMYFUNCTION("""COMPUTED_VALUE"""),"")</f>
        <v/>
      </c>
      <c r="E3199" t="str">
        <f>IFERROR(__xludf.DUMMYFUNCTION("""COMPUTED_VALUE"""),"")</f>
        <v/>
      </c>
      <c r="F3199" t="str">
        <f>IFERROR(__xludf.DUMMYFUNCTION("""COMPUTED_VALUE"""),"")</f>
        <v/>
      </c>
      <c r="G3199" t="str">
        <f>IFERROR(__xludf.DUMMYFUNCTION("""COMPUTED_VALUE"""),"")</f>
        <v/>
      </c>
      <c r="H3199" s="2" t="str">
        <f>IFERROR(__xludf.DUMMYFUNCTION("""COMPUTED_VALUE"""),"")</f>
        <v/>
      </c>
      <c r="I3199" s="2" t="str">
        <f>IFERROR(__xludf.DUMMYFUNCTION("""COMPUTED_VALUE"""),"")</f>
        <v/>
      </c>
      <c r="J3199" s="2">
        <f>IFERROR(__xludf.DUMMYFUNCTION("""COMPUTED_VALUE"""),0.0)</f>
        <v>0</v>
      </c>
      <c r="K3199" s="5" t="str">
        <f>IFERROR(__xludf.DUMMYFUNCTION("""COMPUTED_VALUE"""),"")</f>
        <v/>
      </c>
      <c r="L3199" t="str">
        <f>IFERROR(__xludf.DUMMYFUNCTION("""COMPUTED_VALUE"""),"")</f>
        <v/>
      </c>
      <c r="M3199" t="str">
        <f>IFERROR(__xludf.DUMMYFUNCTION("""COMPUTED_VALUE"""),"")</f>
        <v/>
      </c>
      <c r="N3199" t="str">
        <f>IFERROR(__xludf.DUMMYFUNCTION("""COMPUTED_VALUE"""),"")</f>
        <v/>
      </c>
      <c r="O3199" t="str">
        <f>IFERROR(__xludf.DUMMYFUNCTION("""COMPUTED_VALUE"""),"")</f>
        <v/>
      </c>
      <c r="P3199" t="str">
        <f>IFERROR(__xludf.DUMMYFUNCTION("""COMPUTED_VALUE"""),"ID ")</f>
        <v>ID </v>
      </c>
    </row>
    <row r="3200">
      <c r="A3200" s="6" t="str">
        <f>IFERROR(__xludf.DUMMYFUNCTION("""COMPUTED_VALUE"""),"")</f>
        <v/>
      </c>
      <c r="C3200" t="str">
        <f>IFERROR(__xludf.DUMMYFUNCTION("""COMPUTED_VALUE"""),"")</f>
        <v/>
      </c>
      <c r="D3200" t="str">
        <f>IFERROR(__xludf.DUMMYFUNCTION("""COMPUTED_VALUE"""),"")</f>
        <v/>
      </c>
      <c r="E3200" t="str">
        <f>IFERROR(__xludf.DUMMYFUNCTION("""COMPUTED_VALUE"""),"")</f>
        <v/>
      </c>
      <c r="F3200" t="str">
        <f>IFERROR(__xludf.DUMMYFUNCTION("""COMPUTED_VALUE"""),"")</f>
        <v/>
      </c>
      <c r="G3200" t="str">
        <f>IFERROR(__xludf.DUMMYFUNCTION("""COMPUTED_VALUE"""),"")</f>
        <v/>
      </c>
      <c r="H3200" s="2" t="str">
        <f>IFERROR(__xludf.DUMMYFUNCTION("""COMPUTED_VALUE"""),"")</f>
        <v/>
      </c>
      <c r="I3200" s="2" t="str">
        <f>IFERROR(__xludf.DUMMYFUNCTION("""COMPUTED_VALUE"""),"")</f>
        <v/>
      </c>
      <c r="J3200" s="2">
        <f>IFERROR(__xludf.DUMMYFUNCTION("""COMPUTED_VALUE"""),0.0)</f>
        <v>0</v>
      </c>
      <c r="K3200" s="5" t="str">
        <f>IFERROR(__xludf.DUMMYFUNCTION("""COMPUTED_VALUE"""),"")</f>
        <v/>
      </c>
      <c r="L3200" t="str">
        <f>IFERROR(__xludf.DUMMYFUNCTION("""COMPUTED_VALUE"""),"")</f>
        <v/>
      </c>
      <c r="M3200" t="str">
        <f>IFERROR(__xludf.DUMMYFUNCTION("""COMPUTED_VALUE"""),"")</f>
        <v/>
      </c>
      <c r="N3200" t="str">
        <f>IFERROR(__xludf.DUMMYFUNCTION("""COMPUTED_VALUE"""),"")</f>
        <v/>
      </c>
      <c r="O3200" t="str">
        <f>IFERROR(__xludf.DUMMYFUNCTION("""COMPUTED_VALUE"""),"")</f>
        <v/>
      </c>
      <c r="P3200" t="str">
        <f>IFERROR(__xludf.DUMMYFUNCTION("""COMPUTED_VALUE"""),"ID ")</f>
        <v>ID </v>
      </c>
    </row>
    <row r="3201">
      <c r="A3201" s="6" t="str">
        <f>IFERROR(__xludf.DUMMYFUNCTION("""COMPUTED_VALUE"""),"")</f>
        <v/>
      </c>
      <c r="C3201" t="str">
        <f>IFERROR(__xludf.DUMMYFUNCTION("""COMPUTED_VALUE"""),"")</f>
        <v/>
      </c>
      <c r="D3201" t="str">
        <f>IFERROR(__xludf.DUMMYFUNCTION("""COMPUTED_VALUE"""),"")</f>
        <v/>
      </c>
      <c r="E3201" t="str">
        <f>IFERROR(__xludf.DUMMYFUNCTION("""COMPUTED_VALUE"""),"")</f>
        <v/>
      </c>
      <c r="F3201" t="str">
        <f>IFERROR(__xludf.DUMMYFUNCTION("""COMPUTED_VALUE"""),"")</f>
        <v/>
      </c>
      <c r="G3201" t="str">
        <f>IFERROR(__xludf.DUMMYFUNCTION("""COMPUTED_VALUE"""),"")</f>
        <v/>
      </c>
      <c r="H3201" s="2" t="str">
        <f>IFERROR(__xludf.DUMMYFUNCTION("""COMPUTED_VALUE"""),"")</f>
        <v/>
      </c>
      <c r="I3201" s="2" t="str">
        <f>IFERROR(__xludf.DUMMYFUNCTION("""COMPUTED_VALUE"""),"")</f>
        <v/>
      </c>
      <c r="J3201" s="2">
        <f>IFERROR(__xludf.DUMMYFUNCTION("""COMPUTED_VALUE"""),0.0)</f>
        <v>0</v>
      </c>
      <c r="K3201" s="5" t="str">
        <f>IFERROR(__xludf.DUMMYFUNCTION("""COMPUTED_VALUE"""),"")</f>
        <v/>
      </c>
      <c r="L3201" t="str">
        <f>IFERROR(__xludf.DUMMYFUNCTION("""COMPUTED_VALUE"""),"")</f>
        <v/>
      </c>
      <c r="M3201" t="str">
        <f>IFERROR(__xludf.DUMMYFUNCTION("""COMPUTED_VALUE"""),"")</f>
        <v/>
      </c>
      <c r="N3201" t="str">
        <f>IFERROR(__xludf.DUMMYFUNCTION("""COMPUTED_VALUE"""),"")</f>
        <v/>
      </c>
      <c r="O3201" t="str">
        <f>IFERROR(__xludf.DUMMYFUNCTION("""COMPUTED_VALUE"""),"")</f>
        <v/>
      </c>
      <c r="P3201" t="str">
        <f>IFERROR(__xludf.DUMMYFUNCTION("""COMPUTED_VALUE"""),"ID ")</f>
        <v>ID </v>
      </c>
    </row>
    <row r="3202">
      <c r="A3202" s="6" t="str">
        <f>IFERROR(__xludf.DUMMYFUNCTION("""COMPUTED_VALUE"""),"")</f>
        <v/>
      </c>
      <c r="C3202" t="str">
        <f>IFERROR(__xludf.DUMMYFUNCTION("""COMPUTED_VALUE"""),"")</f>
        <v/>
      </c>
      <c r="D3202" t="str">
        <f>IFERROR(__xludf.DUMMYFUNCTION("""COMPUTED_VALUE"""),"")</f>
        <v/>
      </c>
      <c r="E3202" t="str">
        <f>IFERROR(__xludf.DUMMYFUNCTION("""COMPUTED_VALUE"""),"")</f>
        <v/>
      </c>
      <c r="F3202" t="str">
        <f>IFERROR(__xludf.DUMMYFUNCTION("""COMPUTED_VALUE"""),"")</f>
        <v/>
      </c>
      <c r="G3202" t="str">
        <f>IFERROR(__xludf.DUMMYFUNCTION("""COMPUTED_VALUE"""),"")</f>
        <v/>
      </c>
      <c r="H3202" s="2" t="str">
        <f>IFERROR(__xludf.DUMMYFUNCTION("""COMPUTED_VALUE"""),"")</f>
        <v/>
      </c>
      <c r="I3202" s="2" t="str">
        <f>IFERROR(__xludf.DUMMYFUNCTION("""COMPUTED_VALUE"""),"")</f>
        <v/>
      </c>
      <c r="J3202" s="2">
        <f>IFERROR(__xludf.DUMMYFUNCTION("""COMPUTED_VALUE"""),0.0)</f>
        <v>0</v>
      </c>
      <c r="K3202" s="5" t="str">
        <f>IFERROR(__xludf.DUMMYFUNCTION("""COMPUTED_VALUE"""),"")</f>
        <v/>
      </c>
      <c r="L3202" t="str">
        <f>IFERROR(__xludf.DUMMYFUNCTION("""COMPUTED_VALUE"""),"")</f>
        <v/>
      </c>
      <c r="M3202" t="str">
        <f>IFERROR(__xludf.DUMMYFUNCTION("""COMPUTED_VALUE"""),"")</f>
        <v/>
      </c>
      <c r="N3202" t="str">
        <f>IFERROR(__xludf.DUMMYFUNCTION("""COMPUTED_VALUE"""),"")</f>
        <v/>
      </c>
      <c r="O3202" t="str">
        <f>IFERROR(__xludf.DUMMYFUNCTION("""COMPUTED_VALUE"""),"")</f>
        <v/>
      </c>
      <c r="P3202" t="str">
        <f>IFERROR(__xludf.DUMMYFUNCTION("""COMPUTED_VALUE"""),"ID ")</f>
        <v>ID </v>
      </c>
    </row>
    <row r="3203">
      <c r="A3203" s="6" t="str">
        <f>IFERROR(__xludf.DUMMYFUNCTION("""COMPUTED_VALUE"""),"")</f>
        <v/>
      </c>
      <c r="C3203" t="str">
        <f>IFERROR(__xludf.DUMMYFUNCTION("""COMPUTED_VALUE"""),"")</f>
        <v/>
      </c>
      <c r="D3203" t="str">
        <f>IFERROR(__xludf.DUMMYFUNCTION("""COMPUTED_VALUE"""),"")</f>
        <v/>
      </c>
      <c r="E3203" t="str">
        <f>IFERROR(__xludf.DUMMYFUNCTION("""COMPUTED_VALUE"""),"")</f>
        <v/>
      </c>
      <c r="F3203" t="str">
        <f>IFERROR(__xludf.DUMMYFUNCTION("""COMPUTED_VALUE"""),"")</f>
        <v/>
      </c>
      <c r="G3203" t="str">
        <f>IFERROR(__xludf.DUMMYFUNCTION("""COMPUTED_VALUE"""),"")</f>
        <v/>
      </c>
      <c r="H3203" s="2" t="str">
        <f>IFERROR(__xludf.DUMMYFUNCTION("""COMPUTED_VALUE"""),"")</f>
        <v/>
      </c>
      <c r="I3203" s="2" t="str">
        <f>IFERROR(__xludf.DUMMYFUNCTION("""COMPUTED_VALUE"""),"")</f>
        <v/>
      </c>
      <c r="J3203" s="2">
        <f>IFERROR(__xludf.DUMMYFUNCTION("""COMPUTED_VALUE"""),0.0)</f>
        <v>0</v>
      </c>
      <c r="K3203" s="5" t="str">
        <f>IFERROR(__xludf.DUMMYFUNCTION("""COMPUTED_VALUE"""),"")</f>
        <v/>
      </c>
      <c r="L3203" t="str">
        <f>IFERROR(__xludf.DUMMYFUNCTION("""COMPUTED_VALUE"""),"")</f>
        <v/>
      </c>
      <c r="M3203" t="str">
        <f>IFERROR(__xludf.DUMMYFUNCTION("""COMPUTED_VALUE"""),"")</f>
        <v/>
      </c>
      <c r="N3203" t="str">
        <f>IFERROR(__xludf.DUMMYFUNCTION("""COMPUTED_VALUE"""),"")</f>
        <v/>
      </c>
      <c r="O3203" t="str">
        <f>IFERROR(__xludf.DUMMYFUNCTION("""COMPUTED_VALUE"""),"")</f>
        <v/>
      </c>
      <c r="P3203" t="str">
        <f>IFERROR(__xludf.DUMMYFUNCTION("""COMPUTED_VALUE"""),"ID ")</f>
        <v>ID </v>
      </c>
    </row>
    <row r="3204">
      <c r="A3204" s="6" t="str">
        <f>IFERROR(__xludf.DUMMYFUNCTION("""COMPUTED_VALUE"""),"")</f>
        <v/>
      </c>
      <c r="C3204" t="str">
        <f>IFERROR(__xludf.DUMMYFUNCTION("""COMPUTED_VALUE"""),"")</f>
        <v/>
      </c>
      <c r="D3204" t="str">
        <f>IFERROR(__xludf.DUMMYFUNCTION("""COMPUTED_VALUE"""),"")</f>
        <v/>
      </c>
      <c r="E3204" t="str">
        <f>IFERROR(__xludf.DUMMYFUNCTION("""COMPUTED_VALUE"""),"")</f>
        <v/>
      </c>
      <c r="F3204" t="str">
        <f>IFERROR(__xludf.DUMMYFUNCTION("""COMPUTED_VALUE"""),"")</f>
        <v/>
      </c>
      <c r="G3204" t="str">
        <f>IFERROR(__xludf.DUMMYFUNCTION("""COMPUTED_VALUE"""),"")</f>
        <v/>
      </c>
      <c r="H3204" s="2" t="str">
        <f>IFERROR(__xludf.DUMMYFUNCTION("""COMPUTED_VALUE"""),"")</f>
        <v/>
      </c>
      <c r="I3204" s="2" t="str">
        <f>IFERROR(__xludf.DUMMYFUNCTION("""COMPUTED_VALUE"""),"")</f>
        <v/>
      </c>
      <c r="J3204" s="2">
        <f>IFERROR(__xludf.DUMMYFUNCTION("""COMPUTED_VALUE"""),0.0)</f>
        <v>0</v>
      </c>
      <c r="K3204" s="5" t="str">
        <f>IFERROR(__xludf.DUMMYFUNCTION("""COMPUTED_VALUE"""),"")</f>
        <v/>
      </c>
      <c r="L3204" t="str">
        <f>IFERROR(__xludf.DUMMYFUNCTION("""COMPUTED_VALUE"""),"")</f>
        <v/>
      </c>
      <c r="M3204" t="str">
        <f>IFERROR(__xludf.DUMMYFUNCTION("""COMPUTED_VALUE"""),"")</f>
        <v/>
      </c>
      <c r="N3204" t="str">
        <f>IFERROR(__xludf.DUMMYFUNCTION("""COMPUTED_VALUE"""),"")</f>
        <v/>
      </c>
      <c r="O3204" t="str">
        <f>IFERROR(__xludf.DUMMYFUNCTION("""COMPUTED_VALUE"""),"")</f>
        <v/>
      </c>
      <c r="P3204" t="str">
        <f>IFERROR(__xludf.DUMMYFUNCTION("""COMPUTED_VALUE"""),"ID ")</f>
        <v>ID </v>
      </c>
    </row>
    <row r="3205">
      <c r="A3205" s="6" t="str">
        <f>IFERROR(__xludf.DUMMYFUNCTION("""COMPUTED_VALUE"""),"")</f>
        <v/>
      </c>
      <c r="C3205" t="str">
        <f>IFERROR(__xludf.DUMMYFUNCTION("""COMPUTED_VALUE"""),"")</f>
        <v/>
      </c>
      <c r="D3205" t="str">
        <f>IFERROR(__xludf.DUMMYFUNCTION("""COMPUTED_VALUE"""),"")</f>
        <v/>
      </c>
      <c r="E3205" t="str">
        <f>IFERROR(__xludf.DUMMYFUNCTION("""COMPUTED_VALUE"""),"")</f>
        <v/>
      </c>
      <c r="F3205" t="str">
        <f>IFERROR(__xludf.DUMMYFUNCTION("""COMPUTED_VALUE"""),"")</f>
        <v/>
      </c>
      <c r="G3205" t="str">
        <f>IFERROR(__xludf.DUMMYFUNCTION("""COMPUTED_VALUE"""),"")</f>
        <v/>
      </c>
      <c r="H3205" s="2" t="str">
        <f>IFERROR(__xludf.DUMMYFUNCTION("""COMPUTED_VALUE"""),"")</f>
        <v/>
      </c>
      <c r="I3205" s="2" t="str">
        <f>IFERROR(__xludf.DUMMYFUNCTION("""COMPUTED_VALUE"""),"")</f>
        <v/>
      </c>
      <c r="J3205" s="2">
        <f>IFERROR(__xludf.DUMMYFUNCTION("""COMPUTED_VALUE"""),0.0)</f>
        <v>0</v>
      </c>
      <c r="K3205" s="5" t="str">
        <f>IFERROR(__xludf.DUMMYFUNCTION("""COMPUTED_VALUE"""),"")</f>
        <v/>
      </c>
      <c r="L3205" t="str">
        <f>IFERROR(__xludf.DUMMYFUNCTION("""COMPUTED_VALUE"""),"")</f>
        <v/>
      </c>
      <c r="M3205" t="str">
        <f>IFERROR(__xludf.DUMMYFUNCTION("""COMPUTED_VALUE"""),"")</f>
        <v/>
      </c>
      <c r="N3205" t="str">
        <f>IFERROR(__xludf.DUMMYFUNCTION("""COMPUTED_VALUE"""),"")</f>
        <v/>
      </c>
      <c r="O3205" t="str">
        <f>IFERROR(__xludf.DUMMYFUNCTION("""COMPUTED_VALUE"""),"")</f>
        <v/>
      </c>
      <c r="P3205" t="str">
        <f>IFERROR(__xludf.DUMMYFUNCTION("""COMPUTED_VALUE"""),"ID ")</f>
        <v>ID </v>
      </c>
    </row>
    <row r="3206">
      <c r="A3206" s="6" t="str">
        <f>IFERROR(__xludf.DUMMYFUNCTION("""COMPUTED_VALUE"""),"")</f>
        <v/>
      </c>
      <c r="C3206" t="str">
        <f>IFERROR(__xludf.DUMMYFUNCTION("""COMPUTED_VALUE"""),"")</f>
        <v/>
      </c>
      <c r="D3206" t="str">
        <f>IFERROR(__xludf.DUMMYFUNCTION("""COMPUTED_VALUE"""),"")</f>
        <v/>
      </c>
      <c r="E3206" t="str">
        <f>IFERROR(__xludf.DUMMYFUNCTION("""COMPUTED_VALUE"""),"")</f>
        <v/>
      </c>
      <c r="F3206" t="str">
        <f>IFERROR(__xludf.DUMMYFUNCTION("""COMPUTED_VALUE"""),"")</f>
        <v/>
      </c>
      <c r="G3206" t="str">
        <f>IFERROR(__xludf.DUMMYFUNCTION("""COMPUTED_VALUE"""),"")</f>
        <v/>
      </c>
      <c r="H3206" s="2" t="str">
        <f>IFERROR(__xludf.DUMMYFUNCTION("""COMPUTED_VALUE"""),"")</f>
        <v/>
      </c>
      <c r="I3206" s="2" t="str">
        <f>IFERROR(__xludf.DUMMYFUNCTION("""COMPUTED_VALUE"""),"")</f>
        <v/>
      </c>
      <c r="J3206" s="2">
        <f>IFERROR(__xludf.DUMMYFUNCTION("""COMPUTED_VALUE"""),0.0)</f>
        <v>0</v>
      </c>
      <c r="K3206" s="5" t="str">
        <f>IFERROR(__xludf.DUMMYFUNCTION("""COMPUTED_VALUE"""),"")</f>
        <v/>
      </c>
      <c r="L3206" t="str">
        <f>IFERROR(__xludf.DUMMYFUNCTION("""COMPUTED_VALUE"""),"")</f>
        <v/>
      </c>
      <c r="M3206" t="str">
        <f>IFERROR(__xludf.DUMMYFUNCTION("""COMPUTED_VALUE"""),"")</f>
        <v/>
      </c>
      <c r="N3206" t="str">
        <f>IFERROR(__xludf.DUMMYFUNCTION("""COMPUTED_VALUE"""),"")</f>
        <v/>
      </c>
      <c r="O3206" t="str">
        <f>IFERROR(__xludf.DUMMYFUNCTION("""COMPUTED_VALUE"""),"")</f>
        <v/>
      </c>
      <c r="P3206" t="str">
        <f>IFERROR(__xludf.DUMMYFUNCTION("""COMPUTED_VALUE"""),"ID ")</f>
        <v>ID </v>
      </c>
    </row>
    <row r="3207">
      <c r="A3207" s="6" t="str">
        <f>IFERROR(__xludf.DUMMYFUNCTION("""COMPUTED_VALUE"""),"")</f>
        <v/>
      </c>
      <c r="C3207" t="str">
        <f>IFERROR(__xludf.DUMMYFUNCTION("""COMPUTED_VALUE"""),"")</f>
        <v/>
      </c>
      <c r="D3207" t="str">
        <f>IFERROR(__xludf.DUMMYFUNCTION("""COMPUTED_VALUE"""),"")</f>
        <v/>
      </c>
      <c r="E3207" t="str">
        <f>IFERROR(__xludf.DUMMYFUNCTION("""COMPUTED_VALUE"""),"")</f>
        <v/>
      </c>
      <c r="F3207" t="str">
        <f>IFERROR(__xludf.DUMMYFUNCTION("""COMPUTED_VALUE"""),"")</f>
        <v/>
      </c>
      <c r="G3207" t="str">
        <f>IFERROR(__xludf.DUMMYFUNCTION("""COMPUTED_VALUE"""),"")</f>
        <v/>
      </c>
      <c r="H3207" s="2" t="str">
        <f>IFERROR(__xludf.DUMMYFUNCTION("""COMPUTED_VALUE"""),"")</f>
        <v/>
      </c>
      <c r="I3207" s="2" t="str">
        <f>IFERROR(__xludf.DUMMYFUNCTION("""COMPUTED_VALUE"""),"")</f>
        <v/>
      </c>
      <c r="J3207" s="2">
        <f>IFERROR(__xludf.DUMMYFUNCTION("""COMPUTED_VALUE"""),0.0)</f>
        <v>0</v>
      </c>
      <c r="K3207" s="5" t="str">
        <f>IFERROR(__xludf.DUMMYFUNCTION("""COMPUTED_VALUE"""),"")</f>
        <v/>
      </c>
      <c r="L3207" t="str">
        <f>IFERROR(__xludf.DUMMYFUNCTION("""COMPUTED_VALUE"""),"")</f>
        <v/>
      </c>
      <c r="M3207" t="str">
        <f>IFERROR(__xludf.DUMMYFUNCTION("""COMPUTED_VALUE"""),"")</f>
        <v/>
      </c>
      <c r="N3207" t="str">
        <f>IFERROR(__xludf.DUMMYFUNCTION("""COMPUTED_VALUE"""),"")</f>
        <v/>
      </c>
      <c r="O3207" t="str">
        <f>IFERROR(__xludf.DUMMYFUNCTION("""COMPUTED_VALUE"""),"")</f>
        <v/>
      </c>
      <c r="P3207" t="str">
        <f>IFERROR(__xludf.DUMMYFUNCTION("""COMPUTED_VALUE"""),"ID ")</f>
        <v>ID </v>
      </c>
    </row>
    <row r="3208">
      <c r="A3208" s="6" t="str">
        <f>IFERROR(__xludf.DUMMYFUNCTION("""COMPUTED_VALUE"""),"")</f>
        <v/>
      </c>
      <c r="C3208" t="str">
        <f>IFERROR(__xludf.DUMMYFUNCTION("""COMPUTED_VALUE"""),"")</f>
        <v/>
      </c>
      <c r="D3208" t="str">
        <f>IFERROR(__xludf.DUMMYFUNCTION("""COMPUTED_VALUE"""),"")</f>
        <v/>
      </c>
      <c r="E3208" t="str">
        <f>IFERROR(__xludf.DUMMYFUNCTION("""COMPUTED_VALUE"""),"")</f>
        <v/>
      </c>
      <c r="F3208" t="str">
        <f>IFERROR(__xludf.DUMMYFUNCTION("""COMPUTED_VALUE"""),"")</f>
        <v/>
      </c>
      <c r="G3208" t="str">
        <f>IFERROR(__xludf.DUMMYFUNCTION("""COMPUTED_VALUE"""),"")</f>
        <v/>
      </c>
      <c r="H3208" s="2" t="str">
        <f>IFERROR(__xludf.DUMMYFUNCTION("""COMPUTED_VALUE"""),"")</f>
        <v/>
      </c>
      <c r="I3208" s="2" t="str">
        <f>IFERROR(__xludf.DUMMYFUNCTION("""COMPUTED_VALUE"""),"")</f>
        <v/>
      </c>
      <c r="J3208" s="2">
        <f>IFERROR(__xludf.DUMMYFUNCTION("""COMPUTED_VALUE"""),0.0)</f>
        <v>0</v>
      </c>
      <c r="K3208" s="5" t="str">
        <f>IFERROR(__xludf.DUMMYFUNCTION("""COMPUTED_VALUE"""),"")</f>
        <v/>
      </c>
      <c r="L3208" t="str">
        <f>IFERROR(__xludf.DUMMYFUNCTION("""COMPUTED_VALUE"""),"")</f>
        <v/>
      </c>
      <c r="M3208" t="str">
        <f>IFERROR(__xludf.DUMMYFUNCTION("""COMPUTED_VALUE"""),"")</f>
        <v/>
      </c>
      <c r="N3208" t="str">
        <f>IFERROR(__xludf.DUMMYFUNCTION("""COMPUTED_VALUE"""),"")</f>
        <v/>
      </c>
      <c r="O3208" t="str">
        <f>IFERROR(__xludf.DUMMYFUNCTION("""COMPUTED_VALUE"""),"")</f>
        <v/>
      </c>
      <c r="P3208" t="str">
        <f>IFERROR(__xludf.DUMMYFUNCTION("""COMPUTED_VALUE"""),"ID ")</f>
        <v>ID </v>
      </c>
    </row>
    <row r="3209">
      <c r="A3209" s="6" t="str">
        <f>IFERROR(__xludf.DUMMYFUNCTION("""COMPUTED_VALUE"""),"")</f>
        <v/>
      </c>
      <c r="C3209" t="str">
        <f>IFERROR(__xludf.DUMMYFUNCTION("""COMPUTED_VALUE"""),"")</f>
        <v/>
      </c>
      <c r="D3209" t="str">
        <f>IFERROR(__xludf.DUMMYFUNCTION("""COMPUTED_VALUE"""),"")</f>
        <v/>
      </c>
      <c r="E3209" t="str">
        <f>IFERROR(__xludf.DUMMYFUNCTION("""COMPUTED_VALUE"""),"")</f>
        <v/>
      </c>
      <c r="F3209" t="str">
        <f>IFERROR(__xludf.DUMMYFUNCTION("""COMPUTED_VALUE"""),"")</f>
        <v/>
      </c>
      <c r="G3209" t="str">
        <f>IFERROR(__xludf.DUMMYFUNCTION("""COMPUTED_VALUE"""),"")</f>
        <v/>
      </c>
      <c r="H3209" s="2" t="str">
        <f>IFERROR(__xludf.DUMMYFUNCTION("""COMPUTED_VALUE"""),"")</f>
        <v/>
      </c>
      <c r="I3209" s="2" t="str">
        <f>IFERROR(__xludf.DUMMYFUNCTION("""COMPUTED_VALUE"""),"")</f>
        <v/>
      </c>
      <c r="J3209" s="2">
        <f>IFERROR(__xludf.DUMMYFUNCTION("""COMPUTED_VALUE"""),0.0)</f>
        <v>0</v>
      </c>
      <c r="K3209" s="5" t="str">
        <f>IFERROR(__xludf.DUMMYFUNCTION("""COMPUTED_VALUE"""),"")</f>
        <v/>
      </c>
      <c r="L3209" t="str">
        <f>IFERROR(__xludf.DUMMYFUNCTION("""COMPUTED_VALUE"""),"")</f>
        <v/>
      </c>
      <c r="M3209" t="str">
        <f>IFERROR(__xludf.DUMMYFUNCTION("""COMPUTED_VALUE"""),"")</f>
        <v/>
      </c>
      <c r="N3209" t="str">
        <f>IFERROR(__xludf.DUMMYFUNCTION("""COMPUTED_VALUE"""),"")</f>
        <v/>
      </c>
      <c r="O3209" t="str">
        <f>IFERROR(__xludf.DUMMYFUNCTION("""COMPUTED_VALUE"""),"")</f>
        <v/>
      </c>
      <c r="P3209" t="str">
        <f>IFERROR(__xludf.DUMMYFUNCTION("""COMPUTED_VALUE"""),"ID ")</f>
        <v>ID </v>
      </c>
    </row>
    <row r="3210">
      <c r="A3210" s="6" t="str">
        <f>IFERROR(__xludf.DUMMYFUNCTION("""COMPUTED_VALUE"""),"")</f>
        <v/>
      </c>
      <c r="C3210" t="str">
        <f>IFERROR(__xludf.DUMMYFUNCTION("""COMPUTED_VALUE"""),"")</f>
        <v/>
      </c>
      <c r="D3210" t="str">
        <f>IFERROR(__xludf.DUMMYFUNCTION("""COMPUTED_VALUE"""),"")</f>
        <v/>
      </c>
      <c r="E3210" t="str">
        <f>IFERROR(__xludf.DUMMYFUNCTION("""COMPUTED_VALUE"""),"")</f>
        <v/>
      </c>
      <c r="F3210" t="str">
        <f>IFERROR(__xludf.DUMMYFUNCTION("""COMPUTED_VALUE"""),"")</f>
        <v/>
      </c>
      <c r="G3210" t="str">
        <f>IFERROR(__xludf.DUMMYFUNCTION("""COMPUTED_VALUE"""),"")</f>
        <v/>
      </c>
      <c r="H3210" s="2" t="str">
        <f>IFERROR(__xludf.DUMMYFUNCTION("""COMPUTED_VALUE"""),"")</f>
        <v/>
      </c>
      <c r="I3210" s="2" t="str">
        <f>IFERROR(__xludf.DUMMYFUNCTION("""COMPUTED_VALUE"""),"")</f>
        <v/>
      </c>
      <c r="J3210" s="2">
        <f>IFERROR(__xludf.DUMMYFUNCTION("""COMPUTED_VALUE"""),0.0)</f>
        <v>0</v>
      </c>
      <c r="K3210" s="5" t="str">
        <f>IFERROR(__xludf.DUMMYFUNCTION("""COMPUTED_VALUE"""),"")</f>
        <v/>
      </c>
      <c r="L3210" t="str">
        <f>IFERROR(__xludf.DUMMYFUNCTION("""COMPUTED_VALUE"""),"")</f>
        <v/>
      </c>
      <c r="M3210" t="str">
        <f>IFERROR(__xludf.DUMMYFUNCTION("""COMPUTED_VALUE"""),"")</f>
        <v/>
      </c>
      <c r="N3210" t="str">
        <f>IFERROR(__xludf.DUMMYFUNCTION("""COMPUTED_VALUE"""),"")</f>
        <v/>
      </c>
      <c r="O3210" t="str">
        <f>IFERROR(__xludf.DUMMYFUNCTION("""COMPUTED_VALUE"""),"")</f>
        <v/>
      </c>
      <c r="P3210" t="str">
        <f>IFERROR(__xludf.DUMMYFUNCTION("""COMPUTED_VALUE"""),"ID ")</f>
        <v>ID </v>
      </c>
    </row>
    <row r="3211">
      <c r="A3211" s="6" t="str">
        <f>IFERROR(__xludf.DUMMYFUNCTION("""COMPUTED_VALUE"""),"")</f>
        <v/>
      </c>
      <c r="C3211" t="str">
        <f>IFERROR(__xludf.DUMMYFUNCTION("""COMPUTED_VALUE"""),"")</f>
        <v/>
      </c>
      <c r="D3211" t="str">
        <f>IFERROR(__xludf.DUMMYFUNCTION("""COMPUTED_VALUE"""),"")</f>
        <v/>
      </c>
      <c r="E3211" t="str">
        <f>IFERROR(__xludf.DUMMYFUNCTION("""COMPUTED_VALUE"""),"")</f>
        <v/>
      </c>
      <c r="F3211" t="str">
        <f>IFERROR(__xludf.DUMMYFUNCTION("""COMPUTED_VALUE"""),"")</f>
        <v/>
      </c>
      <c r="G3211" t="str">
        <f>IFERROR(__xludf.DUMMYFUNCTION("""COMPUTED_VALUE"""),"")</f>
        <v/>
      </c>
      <c r="H3211" s="2" t="str">
        <f>IFERROR(__xludf.DUMMYFUNCTION("""COMPUTED_VALUE"""),"")</f>
        <v/>
      </c>
      <c r="I3211" s="2" t="str">
        <f>IFERROR(__xludf.DUMMYFUNCTION("""COMPUTED_VALUE"""),"")</f>
        <v/>
      </c>
      <c r="J3211" s="2">
        <f>IFERROR(__xludf.DUMMYFUNCTION("""COMPUTED_VALUE"""),0.0)</f>
        <v>0</v>
      </c>
      <c r="K3211" s="5" t="str">
        <f>IFERROR(__xludf.DUMMYFUNCTION("""COMPUTED_VALUE"""),"")</f>
        <v/>
      </c>
      <c r="L3211" t="str">
        <f>IFERROR(__xludf.DUMMYFUNCTION("""COMPUTED_VALUE"""),"")</f>
        <v/>
      </c>
      <c r="M3211" t="str">
        <f>IFERROR(__xludf.DUMMYFUNCTION("""COMPUTED_VALUE"""),"")</f>
        <v/>
      </c>
      <c r="N3211" t="str">
        <f>IFERROR(__xludf.DUMMYFUNCTION("""COMPUTED_VALUE"""),"")</f>
        <v/>
      </c>
      <c r="O3211" t="str">
        <f>IFERROR(__xludf.DUMMYFUNCTION("""COMPUTED_VALUE"""),"")</f>
        <v/>
      </c>
      <c r="P3211" t="str">
        <f>IFERROR(__xludf.DUMMYFUNCTION("""COMPUTED_VALUE"""),"ID ")</f>
        <v>ID </v>
      </c>
    </row>
    <row r="3212">
      <c r="A3212" s="6" t="str">
        <f>IFERROR(__xludf.DUMMYFUNCTION("""COMPUTED_VALUE"""),"")</f>
        <v/>
      </c>
      <c r="C3212" t="str">
        <f>IFERROR(__xludf.DUMMYFUNCTION("""COMPUTED_VALUE"""),"")</f>
        <v/>
      </c>
      <c r="D3212" t="str">
        <f>IFERROR(__xludf.DUMMYFUNCTION("""COMPUTED_VALUE"""),"")</f>
        <v/>
      </c>
      <c r="E3212" t="str">
        <f>IFERROR(__xludf.DUMMYFUNCTION("""COMPUTED_VALUE"""),"")</f>
        <v/>
      </c>
      <c r="F3212" t="str">
        <f>IFERROR(__xludf.DUMMYFUNCTION("""COMPUTED_VALUE"""),"")</f>
        <v/>
      </c>
      <c r="G3212" t="str">
        <f>IFERROR(__xludf.DUMMYFUNCTION("""COMPUTED_VALUE"""),"")</f>
        <v/>
      </c>
      <c r="H3212" s="2" t="str">
        <f>IFERROR(__xludf.DUMMYFUNCTION("""COMPUTED_VALUE"""),"")</f>
        <v/>
      </c>
      <c r="I3212" s="2" t="str">
        <f>IFERROR(__xludf.DUMMYFUNCTION("""COMPUTED_VALUE"""),"")</f>
        <v/>
      </c>
      <c r="J3212" s="2">
        <f>IFERROR(__xludf.DUMMYFUNCTION("""COMPUTED_VALUE"""),0.0)</f>
        <v>0</v>
      </c>
      <c r="K3212" s="5" t="str">
        <f>IFERROR(__xludf.DUMMYFUNCTION("""COMPUTED_VALUE"""),"")</f>
        <v/>
      </c>
      <c r="L3212" t="str">
        <f>IFERROR(__xludf.DUMMYFUNCTION("""COMPUTED_VALUE"""),"")</f>
        <v/>
      </c>
      <c r="M3212" t="str">
        <f>IFERROR(__xludf.DUMMYFUNCTION("""COMPUTED_VALUE"""),"")</f>
        <v/>
      </c>
      <c r="N3212" t="str">
        <f>IFERROR(__xludf.DUMMYFUNCTION("""COMPUTED_VALUE"""),"")</f>
        <v/>
      </c>
      <c r="O3212" t="str">
        <f>IFERROR(__xludf.DUMMYFUNCTION("""COMPUTED_VALUE"""),"")</f>
        <v/>
      </c>
      <c r="P3212" t="str">
        <f>IFERROR(__xludf.DUMMYFUNCTION("""COMPUTED_VALUE"""),"ID ")</f>
        <v>ID </v>
      </c>
    </row>
    <row r="3213">
      <c r="A3213" s="6" t="str">
        <f>IFERROR(__xludf.DUMMYFUNCTION("""COMPUTED_VALUE"""),"")</f>
        <v/>
      </c>
      <c r="C3213" t="str">
        <f>IFERROR(__xludf.DUMMYFUNCTION("""COMPUTED_VALUE"""),"")</f>
        <v/>
      </c>
      <c r="D3213" t="str">
        <f>IFERROR(__xludf.DUMMYFUNCTION("""COMPUTED_VALUE"""),"")</f>
        <v/>
      </c>
      <c r="E3213" t="str">
        <f>IFERROR(__xludf.DUMMYFUNCTION("""COMPUTED_VALUE"""),"")</f>
        <v/>
      </c>
      <c r="F3213" t="str">
        <f>IFERROR(__xludf.DUMMYFUNCTION("""COMPUTED_VALUE"""),"")</f>
        <v/>
      </c>
      <c r="G3213" t="str">
        <f>IFERROR(__xludf.DUMMYFUNCTION("""COMPUTED_VALUE"""),"")</f>
        <v/>
      </c>
      <c r="H3213" s="2" t="str">
        <f>IFERROR(__xludf.DUMMYFUNCTION("""COMPUTED_VALUE"""),"")</f>
        <v/>
      </c>
      <c r="I3213" s="2" t="str">
        <f>IFERROR(__xludf.DUMMYFUNCTION("""COMPUTED_VALUE"""),"")</f>
        <v/>
      </c>
      <c r="J3213" s="2">
        <f>IFERROR(__xludf.DUMMYFUNCTION("""COMPUTED_VALUE"""),0.0)</f>
        <v>0</v>
      </c>
      <c r="K3213" s="5" t="str">
        <f>IFERROR(__xludf.DUMMYFUNCTION("""COMPUTED_VALUE"""),"")</f>
        <v/>
      </c>
      <c r="L3213" t="str">
        <f>IFERROR(__xludf.DUMMYFUNCTION("""COMPUTED_VALUE"""),"")</f>
        <v/>
      </c>
      <c r="M3213" t="str">
        <f>IFERROR(__xludf.DUMMYFUNCTION("""COMPUTED_VALUE"""),"")</f>
        <v/>
      </c>
      <c r="N3213" t="str">
        <f>IFERROR(__xludf.DUMMYFUNCTION("""COMPUTED_VALUE"""),"")</f>
        <v/>
      </c>
      <c r="O3213" t="str">
        <f>IFERROR(__xludf.DUMMYFUNCTION("""COMPUTED_VALUE"""),"")</f>
        <v/>
      </c>
      <c r="P3213" t="str">
        <f>IFERROR(__xludf.DUMMYFUNCTION("""COMPUTED_VALUE"""),"ID ")</f>
        <v>ID </v>
      </c>
    </row>
    <row r="3214">
      <c r="A3214" s="6" t="str">
        <f>IFERROR(__xludf.DUMMYFUNCTION("""COMPUTED_VALUE"""),"")</f>
        <v/>
      </c>
      <c r="C3214" t="str">
        <f>IFERROR(__xludf.DUMMYFUNCTION("""COMPUTED_VALUE"""),"")</f>
        <v/>
      </c>
      <c r="D3214" t="str">
        <f>IFERROR(__xludf.DUMMYFUNCTION("""COMPUTED_VALUE"""),"")</f>
        <v/>
      </c>
      <c r="E3214" t="str">
        <f>IFERROR(__xludf.DUMMYFUNCTION("""COMPUTED_VALUE"""),"")</f>
        <v/>
      </c>
      <c r="F3214" t="str">
        <f>IFERROR(__xludf.DUMMYFUNCTION("""COMPUTED_VALUE"""),"")</f>
        <v/>
      </c>
      <c r="G3214" t="str">
        <f>IFERROR(__xludf.DUMMYFUNCTION("""COMPUTED_VALUE"""),"")</f>
        <v/>
      </c>
      <c r="H3214" s="2" t="str">
        <f>IFERROR(__xludf.DUMMYFUNCTION("""COMPUTED_VALUE"""),"")</f>
        <v/>
      </c>
      <c r="I3214" s="2" t="str">
        <f>IFERROR(__xludf.DUMMYFUNCTION("""COMPUTED_VALUE"""),"")</f>
        <v/>
      </c>
      <c r="J3214" s="2">
        <f>IFERROR(__xludf.DUMMYFUNCTION("""COMPUTED_VALUE"""),0.0)</f>
        <v>0</v>
      </c>
      <c r="K3214" s="5" t="str">
        <f>IFERROR(__xludf.DUMMYFUNCTION("""COMPUTED_VALUE"""),"")</f>
        <v/>
      </c>
      <c r="L3214" t="str">
        <f>IFERROR(__xludf.DUMMYFUNCTION("""COMPUTED_VALUE"""),"")</f>
        <v/>
      </c>
      <c r="M3214" t="str">
        <f>IFERROR(__xludf.DUMMYFUNCTION("""COMPUTED_VALUE"""),"")</f>
        <v/>
      </c>
      <c r="N3214" t="str">
        <f>IFERROR(__xludf.DUMMYFUNCTION("""COMPUTED_VALUE"""),"")</f>
        <v/>
      </c>
      <c r="O3214" t="str">
        <f>IFERROR(__xludf.DUMMYFUNCTION("""COMPUTED_VALUE"""),"")</f>
        <v/>
      </c>
      <c r="P3214" t="str">
        <f>IFERROR(__xludf.DUMMYFUNCTION("""COMPUTED_VALUE"""),"ID ")</f>
        <v>ID </v>
      </c>
    </row>
    <row r="3215">
      <c r="A3215" s="6" t="str">
        <f>IFERROR(__xludf.DUMMYFUNCTION("""COMPUTED_VALUE"""),"")</f>
        <v/>
      </c>
      <c r="C3215" t="str">
        <f>IFERROR(__xludf.DUMMYFUNCTION("""COMPUTED_VALUE"""),"")</f>
        <v/>
      </c>
      <c r="D3215" t="str">
        <f>IFERROR(__xludf.DUMMYFUNCTION("""COMPUTED_VALUE"""),"")</f>
        <v/>
      </c>
      <c r="E3215" t="str">
        <f>IFERROR(__xludf.DUMMYFUNCTION("""COMPUTED_VALUE"""),"")</f>
        <v/>
      </c>
      <c r="F3215" t="str">
        <f>IFERROR(__xludf.DUMMYFUNCTION("""COMPUTED_VALUE"""),"")</f>
        <v/>
      </c>
      <c r="G3215" t="str">
        <f>IFERROR(__xludf.DUMMYFUNCTION("""COMPUTED_VALUE"""),"")</f>
        <v/>
      </c>
      <c r="H3215" s="2" t="str">
        <f>IFERROR(__xludf.DUMMYFUNCTION("""COMPUTED_VALUE"""),"")</f>
        <v/>
      </c>
      <c r="I3215" s="2" t="str">
        <f>IFERROR(__xludf.DUMMYFUNCTION("""COMPUTED_VALUE"""),"")</f>
        <v/>
      </c>
      <c r="J3215" s="2">
        <f>IFERROR(__xludf.DUMMYFUNCTION("""COMPUTED_VALUE"""),0.0)</f>
        <v>0</v>
      </c>
      <c r="K3215" s="5" t="str">
        <f>IFERROR(__xludf.DUMMYFUNCTION("""COMPUTED_VALUE"""),"")</f>
        <v/>
      </c>
      <c r="L3215" t="str">
        <f>IFERROR(__xludf.DUMMYFUNCTION("""COMPUTED_VALUE"""),"")</f>
        <v/>
      </c>
      <c r="M3215" t="str">
        <f>IFERROR(__xludf.DUMMYFUNCTION("""COMPUTED_VALUE"""),"")</f>
        <v/>
      </c>
      <c r="N3215" t="str">
        <f>IFERROR(__xludf.DUMMYFUNCTION("""COMPUTED_VALUE"""),"")</f>
        <v/>
      </c>
      <c r="O3215" t="str">
        <f>IFERROR(__xludf.DUMMYFUNCTION("""COMPUTED_VALUE"""),"")</f>
        <v/>
      </c>
      <c r="P3215" t="str">
        <f>IFERROR(__xludf.DUMMYFUNCTION("""COMPUTED_VALUE"""),"ID ")</f>
        <v>ID </v>
      </c>
    </row>
    <row r="3216">
      <c r="A3216" s="6" t="str">
        <f>IFERROR(__xludf.DUMMYFUNCTION("""COMPUTED_VALUE"""),"")</f>
        <v/>
      </c>
      <c r="C3216" t="str">
        <f>IFERROR(__xludf.DUMMYFUNCTION("""COMPUTED_VALUE"""),"")</f>
        <v/>
      </c>
      <c r="D3216" t="str">
        <f>IFERROR(__xludf.DUMMYFUNCTION("""COMPUTED_VALUE"""),"")</f>
        <v/>
      </c>
      <c r="E3216" t="str">
        <f>IFERROR(__xludf.DUMMYFUNCTION("""COMPUTED_VALUE"""),"")</f>
        <v/>
      </c>
      <c r="F3216" t="str">
        <f>IFERROR(__xludf.DUMMYFUNCTION("""COMPUTED_VALUE"""),"")</f>
        <v/>
      </c>
      <c r="G3216" t="str">
        <f>IFERROR(__xludf.DUMMYFUNCTION("""COMPUTED_VALUE"""),"")</f>
        <v/>
      </c>
      <c r="H3216" s="2" t="str">
        <f>IFERROR(__xludf.DUMMYFUNCTION("""COMPUTED_VALUE"""),"")</f>
        <v/>
      </c>
      <c r="I3216" s="2" t="str">
        <f>IFERROR(__xludf.DUMMYFUNCTION("""COMPUTED_VALUE"""),"")</f>
        <v/>
      </c>
      <c r="J3216" s="2">
        <f>IFERROR(__xludf.DUMMYFUNCTION("""COMPUTED_VALUE"""),0.0)</f>
        <v>0</v>
      </c>
      <c r="K3216" s="5" t="str">
        <f>IFERROR(__xludf.DUMMYFUNCTION("""COMPUTED_VALUE"""),"")</f>
        <v/>
      </c>
      <c r="L3216" t="str">
        <f>IFERROR(__xludf.DUMMYFUNCTION("""COMPUTED_VALUE"""),"")</f>
        <v/>
      </c>
      <c r="M3216" t="str">
        <f>IFERROR(__xludf.DUMMYFUNCTION("""COMPUTED_VALUE"""),"")</f>
        <v/>
      </c>
      <c r="N3216" t="str">
        <f>IFERROR(__xludf.DUMMYFUNCTION("""COMPUTED_VALUE"""),"")</f>
        <v/>
      </c>
      <c r="O3216" t="str">
        <f>IFERROR(__xludf.DUMMYFUNCTION("""COMPUTED_VALUE"""),"")</f>
        <v/>
      </c>
      <c r="P3216" t="str">
        <f>IFERROR(__xludf.DUMMYFUNCTION("""COMPUTED_VALUE"""),"ID ")</f>
        <v>ID </v>
      </c>
    </row>
    <row r="3217">
      <c r="A3217" s="6" t="str">
        <f>IFERROR(__xludf.DUMMYFUNCTION("""COMPUTED_VALUE"""),"")</f>
        <v/>
      </c>
      <c r="C3217" t="str">
        <f>IFERROR(__xludf.DUMMYFUNCTION("""COMPUTED_VALUE"""),"")</f>
        <v/>
      </c>
      <c r="D3217" t="str">
        <f>IFERROR(__xludf.DUMMYFUNCTION("""COMPUTED_VALUE"""),"")</f>
        <v/>
      </c>
      <c r="E3217" t="str">
        <f>IFERROR(__xludf.DUMMYFUNCTION("""COMPUTED_VALUE"""),"")</f>
        <v/>
      </c>
      <c r="F3217" t="str">
        <f>IFERROR(__xludf.DUMMYFUNCTION("""COMPUTED_VALUE"""),"")</f>
        <v/>
      </c>
      <c r="G3217" t="str">
        <f>IFERROR(__xludf.DUMMYFUNCTION("""COMPUTED_VALUE"""),"")</f>
        <v/>
      </c>
      <c r="H3217" s="2" t="str">
        <f>IFERROR(__xludf.DUMMYFUNCTION("""COMPUTED_VALUE"""),"")</f>
        <v/>
      </c>
      <c r="I3217" s="2" t="str">
        <f>IFERROR(__xludf.DUMMYFUNCTION("""COMPUTED_VALUE"""),"")</f>
        <v/>
      </c>
      <c r="J3217" s="2">
        <f>IFERROR(__xludf.DUMMYFUNCTION("""COMPUTED_VALUE"""),0.0)</f>
        <v>0</v>
      </c>
      <c r="K3217" s="5" t="str">
        <f>IFERROR(__xludf.DUMMYFUNCTION("""COMPUTED_VALUE"""),"")</f>
        <v/>
      </c>
      <c r="L3217" t="str">
        <f>IFERROR(__xludf.DUMMYFUNCTION("""COMPUTED_VALUE"""),"")</f>
        <v/>
      </c>
      <c r="M3217" t="str">
        <f>IFERROR(__xludf.DUMMYFUNCTION("""COMPUTED_VALUE"""),"")</f>
        <v/>
      </c>
      <c r="N3217" t="str">
        <f>IFERROR(__xludf.DUMMYFUNCTION("""COMPUTED_VALUE"""),"")</f>
        <v/>
      </c>
      <c r="O3217" t="str">
        <f>IFERROR(__xludf.DUMMYFUNCTION("""COMPUTED_VALUE"""),"")</f>
        <v/>
      </c>
      <c r="P3217" t="str">
        <f>IFERROR(__xludf.DUMMYFUNCTION("""COMPUTED_VALUE"""),"ID ")</f>
        <v>ID </v>
      </c>
    </row>
    <row r="3218">
      <c r="A3218" s="6" t="str">
        <f>IFERROR(__xludf.DUMMYFUNCTION("""COMPUTED_VALUE"""),"")</f>
        <v/>
      </c>
      <c r="C3218" t="str">
        <f>IFERROR(__xludf.DUMMYFUNCTION("""COMPUTED_VALUE"""),"")</f>
        <v/>
      </c>
      <c r="D3218" t="str">
        <f>IFERROR(__xludf.DUMMYFUNCTION("""COMPUTED_VALUE"""),"")</f>
        <v/>
      </c>
      <c r="E3218" t="str">
        <f>IFERROR(__xludf.DUMMYFUNCTION("""COMPUTED_VALUE"""),"")</f>
        <v/>
      </c>
      <c r="F3218" t="str">
        <f>IFERROR(__xludf.DUMMYFUNCTION("""COMPUTED_VALUE"""),"")</f>
        <v/>
      </c>
      <c r="G3218" t="str">
        <f>IFERROR(__xludf.DUMMYFUNCTION("""COMPUTED_VALUE"""),"")</f>
        <v/>
      </c>
      <c r="H3218" s="2" t="str">
        <f>IFERROR(__xludf.DUMMYFUNCTION("""COMPUTED_VALUE"""),"")</f>
        <v/>
      </c>
      <c r="I3218" s="2" t="str">
        <f>IFERROR(__xludf.DUMMYFUNCTION("""COMPUTED_VALUE"""),"")</f>
        <v/>
      </c>
      <c r="J3218" s="2">
        <f>IFERROR(__xludf.DUMMYFUNCTION("""COMPUTED_VALUE"""),0.0)</f>
        <v>0</v>
      </c>
      <c r="K3218" s="5" t="str">
        <f>IFERROR(__xludf.DUMMYFUNCTION("""COMPUTED_VALUE"""),"")</f>
        <v/>
      </c>
      <c r="L3218" t="str">
        <f>IFERROR(__xludf.DUMMYFUNCTION("""COMPUTED_VALUE"""),"")</f>
        <v/>
      </c>
      <c r="M3218" t="str">
        <f>IFERROR(__xludf.DUMMYFUNCTION("""COMPUTED_VALUE"""),"")</f>
        <v/>
      </c>
      <c r="N3218" t="str">
        <f>IFERROR(__xludf.DUMMYFUNCTION("""COMPUTED_VALUE"""),"")</f>
        <v/>
      </c>
      <c r="O3218" t="str">
        <f>IFERROR(__xludf.DUMMYFUNCTION("""COMPUTED_VALUE"""),"")</f>
        <v/>
      </c>
      <c r="P3218" t="str">
        <f>IFERROR(__xludf.DUMMYFUNCTION("""COMPUTED_VALUE"""),"ID ")</f>
        <v>ID </v>
      </c>
    </row>
    <row r="3219">
      <c r="A3219" s="6" t="str">
        <f>IFERROR(__xludf.DUMMYFUNCTION("""COMPUTED_VALUE"""),"")</f>
        <v/>
      </c>
      <c r="C3219" t="str">
        <f>IFERROR(__xludf.DUMMYFUNCTION("""COMPUTED_VALUE"""),"")</f>
        <v/>
      </c>
      <c r="D3219" t="str">
        <f>IFERROR(__xludf.DUMMYFUNCTION("""COMPUTED_VALUE"""),"")</f>
        <v/>
      </c>
      <c r="E3219" t="str">
        <f>IFERROR(__xludf.DUMMYFUNCTION("""COMPUTED_VALUE"""),"")</f>
        <v/>
      </c>
      <c r="F3219" t="str">
        <f>IFERROR(__xludf.DUMMYFUNCTION("""COMPUTED_VALUE"""),"")</f>
        <v/>
      </c>
      <c r="G3219" t="str">
        <f>IFERROR(__xludf.DUMMYFUNCTION("""COMPUTED_VALUE"""),"")</f>
        <v/>
      </c>
      <c r="H3219" s="2" t="str">
        <f>IFERROR(__xludf.DUMMYFUNCTION("""COMPUTED_VALUE"""),"")</f>
        <v/>
      </c>
      <c r="I3219" s="2" t="str">
        <f>IFERROR(__xludf.DUMMYFUNCTION("""COMPUTED_VALUE"""),"")</f>
        <v/>
      </c>
      <c r="J3219" s="2">
        <f>IFERROR(__xludf.DUMMYFUNCTION("""COMPUTED_VALUE"""),0.0)</f>
        <v>0</v>
      </c>
      <c r="K3219" s="5" t="str">
        <f>IFERROR(__xludf.DUMMYFUNCTION("""COMPUTED_VALUE"""),"")</f>
        <v/>
      </c>
      <c r="L3219" t="str">
        <f>IFERROR(__xludf.DUMMYFUNCTION("""COMPUTED_VALUE"""),"")</f>
        <v/>
      </c>
      <c r="M3219" t="str">
        <f>IFERROR(__xludf.DUMMYFUNCTION("""COMPUTED_VALUE"""),"")</f>
        <v/>
      </c>
      <c r="N3219" t="str">
        <f>IFERROR(__xludf.DUMMYFUNCTION("""COMPUTED_VALUE"""),"")</f>
        <v/>
      </c>
      <c r="O3219" t="str">
        <f>IFERROR(__xludf.DUMMYFUNCTION("""COMPUTED_VALUE"""),"")</f>
        <v/>
      </c>
      <c r="P3219" t="str">
        <f>IFERROR(__xludf.DUMMYFUNCTION("""COMPUTED_VALUE"""),"ID ")</f>
        <v>ID </v>
      </c>
    </row>
    <row r="3220">
      <c r="A3220" s="6" t="str">
        <f>IFERROR(__xludf.DUMMYFUNCTION("""COMPUTED_VALUE"""),"")</f>
        <v/>
      </c>
      <c r="C3220" t="str">
        <f>IFERROR(__xludf.DUMMYFUNCTION("""COMPUTED_VALUE"""),"")</f>
        <v/>
      </c>
      <c r="D3220" t="str">
        <f>IFERROR(__xludf.DUMMYFUNCTION("""COMPUTED_VALUE"""),"")</f>
        <v/>
      </c>
      <c r="E3220" t="str">
        <f>IFERROR(__xludf.DUMMYFUNCTION("""COMPUTED_VALUE"""),"")</f>
        <v/>
      </c>
      <c r="F3220" t="str">
        <f>IFERROR(__xludf.DUMMYFUNCTION("""COMPUTED_VALUE"""),"")</f>
        <v/>
      </c>
      <c r="G3220" t="str">
        <f>IFERROR(__xludf.DUMMYFUNCTION("""COMPUTED_VALUE"""),"")</f>
        <v/>
      </c>
      <c r="H3220" s="2" t="str">
        <f>IFERROR(__xludf.DUMMYFUNCTION("""COMPUTED_VALUE"""),"")</f>
        <v/>
      </c>
      <c r="I3220" s="2" t="str">
        <f>IFERROR(__xludf.DUMMYFUNCTION("""COMPUTED_VALUE"""),"")</f>
        <v/>
      </c>
      <c r="J3220" s="2">
        <f>IFERROR(__xludf.DUMMYFUNCTION("""COMPUTED_VALUE"""),0.0)</f>
        <v>0</v>
      </c>
      <c r="K3220" s="5" t="str">
        <f>IFERROR(__xludf.DUMMYFUNCTION("""COMPUTED_VALUE"""),"")</f>
        <v/>
      </c>
      <c r="L3220" t="str">
        <f>IFERROR(__xludf.DUMMYFUNCTION("""COMPUTED_VALUE"""),"")</f>
        <v/>
      </c>
      <c r="M3220" t="str">
        <f>IFERROR(__xludf.DUMMYFUNCTION("""COMPUTED_VALUE"""),"")</f>
        <v/>
      </c>
      <c r="N3220" t="str">
        <f>IFERROR(__xludf.DUMMYFUNCTION("""COMPUTED_VALUE"""),"")</f>
        <v/>
      </c>
      <c r="O3220" t="str">
        <f>IFERROR(__xludf.DUMMYFUNCTION("""COMPUTED_VALUE"""),"")</f>
        <v/>
      </c>
      <c r="P3220" t="str">
        <f>IFERROR(__xludf.DUMMYFUNCTION("""COMPUTED_VALUE"""),"ID ")</f>
        <v>ID </v>
      </c>
    </row>
    <row r="3221">
      <c r="A3221" s="6" t="str">
        <f>IFERROR(__xludf.DUMMYFUNCTION("""COMPUTED_VALUE"""),"")</f>
        <v/>
      </c>
      <c r="C3221" t="str">
        <f>IFERROR(__xludf.DUMMYFUNCTION("""COMPUTED_VALUE"""),"")</f>
        <v/>
      </c>
      <c r="D3221" t="str">
        <f>IFERROR(__xludf.DUMMYFUNCTION("""COMPUTED_VALUE"""),"")</f>
        <v/>
      </c>
      <c r="E3221" t="str">
        <f>IFERROR(__xludf.DUMMYFUNCTION("""COMPUTED_VALUE"""),"")</f>
        <v/>
      </c>
      <c r="F3221" t="str">
        <f>IFERROR(__xludf.DUMMYFUNCTION("""COMPUTED_VALUE"""),"")</f>
        <v/>
      </c>
      <c r="G3221" t="str">
        <f>IFERROR(__xludf.DUMMYFUNCTION("""COMPUTED_VALUE"""),"")</f>
        <v/>
      </c>
      <c r="H3221" s="2" t="str">
        <f>IFERROR(__xludf.DUMMYFUNCTION("""COMPUTED_VALUE"""),"")</f>
        <v/>
      </c>
      <c r="I3221" s="2" t="str">
        <f>IFERROR(__xludf.DUMMYFUNCTION("""COMPUTED_VALUE"""),"")</f>
        <v/>
      </c>
      <c r="J3221" s="2">
        <f>IFERROR(__xludf.DUMMYFUNCTION("""COMPUTED_VALUE"""),0.0)</f>
        <v>0</v>
      </c>
      <c r="K3221" s="5" t="str">
        <f>IFERROR(__xludf.DUMMYFUNCTION("""COMPUTED_VALUE"""),"")</f>
        <v/>
      </c>
      <c r="L3221" t="str">
        <f>IFERROR(__xludf.DUMMYFUNCTION("""COMPUTED_VALUE"""),"")</f>
        <v/>
      </c>
      <c r="M3221" t="str">
        <f>IFERROR(__xludf.DUMMYFUNCTION("""COMPUTED_VALUE"""),"")</f>
        <v/>
      </c>
      <c r="N3221" t="str">
        <f>IFERROR(__xludf.DUMMYFUNCTION("""COMPUTED_VALUE"""),"")</f>
        <v/>
      </c>
      <c r="O3221" t="str">
        <f>IFERROR(__xludf.DUMMYFUNCTION("""COMPUTED_VALUE"""),"")</f>
        <v/>
      </c>
      <c r="P3221" t="str">
        <f>IFERROR(__xludf.DUMMYFUNCTION("""COMPUTED_VALUE"""),"ID ")</f>
        <v>ID </v>
      </c>
    </row>
    <row r="3222">
      <c r="A3222" s="6" t="str">
        <f>IFERROR(__xludf.DUMMYFUNCTION("""COMPUTED_VALUE"""),"")</f>
        <v/>
      </c>
      <c r="C3222" t="str">
        <f>IFERROR(__xludf.DUMMYFUNCTION("""COMPUTED_VALUE"""),"")</f>
        <v/>
      </c>
      <c r="D3222" t="str">
        <f>IFERROR(__xludf.DUMMYFUNCTION("""COMPUTED_VALUE"""),"")</f>
        <v/>
      </c>
      <c r="E3222" t="str">
        <f>IFERROR(__xludf.DUMMYFUNCTION("""COMPUTED_VALUE"""),"")</f>
        <v/>
      </c>
      <c r="F3222" t="str">
        <f>IFERROR(__xludf.DUMMYFUNCTION("""COMPUTED_VALUE"""),"")</f>
        <v/>
      </c>
      <c r="G3222" t="str">
        <f>IFERROR(__xludf.DUMMYFUNCTION("""COMPUTED_VALUE"""),"")</f>
        <v/>
      </c>
      <c r="H3222" s="2" t="str">
        <f>IFERROR(__xludf.DUMMYFUNCTION("""COMPUTED_VALUE"""),"")</f>
        <v/>
      </c>
      <c r="I3222" s="2" t="str">
        <f>IFERROR(__xludf.DUMMYFUNCTION("""COMPUTED_VALUE"""),"")</f>
        <v/>
      </c>
      <c r="J3222" s="2">
        <f>IFERROR(__xludf.DUMMYFUNCTION("""COMPUTED_VALUE"""),0.0)</f>
        <v>0</v>
      </c>
      <c r="K3222" s="5" t="str">
        <f>IFERROR(__xludf.DUMMYFUNCTION("""COMPUTED_VALUE"""),"")</f>
        <v/>
      </c>
      <c r="L3222" t="str">
        <f>IFERROR(__xludf.DUMMYFUNCTION("""COMPUTED_VALUE"""),"")</f>
        <v/>
      </c>
      <c r="M3222" t="str">
        <f>IFERROR(__xludf.DUMMYFUNCTION("""COMPUTED_VALUE"""),"")</f>
        <v/>
      </c>
      <c r="N3222" t="str">
        <f>IFERROR(__xludf.DUMMYFUNCTION("""COMPUTED_VALUE"""),"")</f>
        <v/>
      </c>
      <c r="O3222" t="str">
        <f>IFERROR(__xludf.DUMMYFUNCTION("""COMPUTED_VALUE"""),"")</f>
        <v/>
      </c>
      <c r="P3222" t="str">
        <f>IFERROR(__xludf.DUMMYFUNCTION("""COMPUTED_VALUE"""),"ID ")</f>
        <v>ID </v>
      </c>
    </row>
    <row r="3223">
      <c r="A3223" s="6" t="str">
        <f>IFERROR(__xludf.DUMMYFUNCTION("""COMPUTED_VALUE"""),"")</f>
        <v/>
      </c>
      <c r="C3223" t="str">
        <f>IFERROR(__xludf.DUMMYFUNCTION("""COMPUTED_VALUE"""),"")</f>
        <v/>
      </c>
      <c r="D3223" t="str">
        <f>IFERROR(__xludf.DUMMYFUNCTION("""COMPUTED_VALUE"""),"")</f>
        <v/>
      </c>
      <c r="E3223" t="str">
        <f>IFERROR(__xludf.DUMMYFUNCTION("""COMPUTED_VALUE"""),"")</f>
        <v/>
      </c>
      <c r="F3223" t="str">
        <f>IFERROR(__xludf.DUMMYFUNCTION("""COMPUTED_VALUE"""),"")</f>
        <v/>
      </c>
      <c r="G3223" t="str">
        <f>IFERROR(__xludf.DUMMYFUNCTION("""COMPUTED_VALUE"""),"")</f>
        <v/>
      </c>
      <c r="H3223" s="2" t="str">
        <f>IFERROR(__xludf.DUMMYFUNCTION("""COMPUTED_VALUE"""),"")</f>
        <v/>
      </c>
      <c r="I3223" s="2" t="str">
        <f>IFERROR(__xludf.DUMMYFUNCTION("""COMPUTED_VALUE"""),"")</f>
        <v/>
      </c>
      <c r="J3223" s="2">
        <f>IFERROR(__xludf.DUMMYFUNCTION("""COMPUTED_VALUE"""),0.0)</f>
        <v>0</v>
      </c>
      <c r="K3223" s="5" t="str">
        <f>IFERROR(__xludf.DUMMYFUNCTION("""COMPUTED_VALUE"""),"")</f>
        <v/>
      </c>
      <c r="L3223" t="str">
        <f>IFERROR(__xludf.DUMMYFUNCTION("""COMPUTED_VALUE"""),"")</f>
        <v/>
      </c>
      <c r="M3223" t="str">
        <f>IFERROR(__xludf.DUMMYFUNCTION("""COMPUTED_VALUE"""),"")</f>
        <v/>
      </c>
      <c r="N3223" t="str">
        <f>IFERROR(__xludf.DUMMYFUNCTION("""COMPUTED_VALUE"""),"")</f>
        <v/>
      </c>
      <c r="O3223" t="str">
        <f>IFERROR(__xludf.DUMMYFUNCTION("""COMPUTED_VALUE"""),"")</f>
        <v/>
      </c>
      <c r="P3223" t="str">
        <f>IFERROR(__xludf.DUMMYFUNCTION("""COMPUTED_VALUE"""),"ID ")</f>
        <v>ID </v>
      </c>
    </row>
    <row r="3224">
      <c r="A3224" s="6" t="str">
        <f>IFERROR(__xludf.DUMMYFUNCTION("""COMPUTED_VALUE"""),"")</f>
        <v/>
      </c>
      <c r="C3224" t="str">
        <f>IFERROR(__xludf.DUMMYFUNCTION("""COMPUTED_VALUE"""),"")</f>
        <v/>
      </c>
      <c r="D3224" t="str">
        <f>IFERROR(__xludf.DUMMYFUNCTION("""COMPUTED_VALUE"""),"")</f>
        <v/>
      </c>
      <c r="E3224" t="str">
        <f>IFERROR(__xludf.DUMMYFUNCTION("""COMPUTED_VALUE"""),"")</f>
        <v/>
      </c>
      <c r="F3224" t="str">
        <f>IFERROR(__xludf.DUMMYFUNCTION("""COMPUTED_VALUE"""),"")</f>
        <v/>
      </c>
      <c r="G3224" t="str">
        <f>IFERROR(__xludf.DUMMYFUNCTION("""COMPUTED_VALUE"""),"")</f>
        <v/>
      </c>
      <c r="H3224" s="2" t="str">
        <f>IFERROR(__xludf.DUMMYFUNCTION("""COMPUTED_VALUE"""),"")</f>
        <v/>
      </c>
      <c r="I3224" s="2" t="str">
        <f>IFERROR(__xludf.DUMMYFUNCTION("""COMPUTED_VALUE"""),"")</f>
        <v/>
      </c>
      <c r="J3224" s="2">
        <f>IFERROR(__xludf.DUMMYFUNCTION("""COMPUTED_VALUE"""),0.0)</f>
        <v>0</v>
      </c>
      <c r="K3224" s="5" t="str">
        <f>IFERROR(__xludf.DUMMYFUNCTION("""COMPUTED_VALUE"""),"")</f>
        <v/>
      </c>
      <c r="L3224" t="str">
        <f>IFERROR(__xludf.DUMMYFUNCTION("""COMPUTED_VALUE"""),"")</f>
        <v/>
      </c>
      <c r="M3224" t="str">
        <f>IFERROR(__xludf.DUMMYFUNCTION("""COMPUTED_VALUE"""),"")</f>
        <v/>
      </c>
      <c r="N3224" t="str">
        <f>IFERROR(__xludf.DUMMYFUNCTION("""COMPUTED_VALUE"""),"")</f>
        <v/>
      </c>
      <c r="O3224" t="str">
        <f>IFERROR(__xludf.DUMMYFUNCTION("""COMPUTED_VALUE"""),"")</f>
        <v/>
      </c>
      <c r="P3224" t="str">
        <f>IFERROR(__xludf.DUMMYFUNCTION("""COMPUTED_VALUE"""),"ID ")</f>
        <v>ID </v>
      </c>
    </row>
    <row r="3225">
      <c r="A3225" s="6" t="str">
        <f>IFERROR(__xludf.DUMMYFUNCTION("""COMPUTED_VALUE"""),"")</f>
        <v/>
      </c>
      <c r="C3225" t="str">
        <f>IFERROR(__xludf.DUMMYFUNCTION("""COMPUTED_VALUE"""),"")</f>
        <v/>
      </c>
      <c r="D3225" t="str">
        <f>IFERROR(__xludf.DUMMYFUNCTION("""COMPUTED_VALUE"""),"")</f>
        <v/>
      </c>
      <c r="E3225" t="str">
        <f>IFERROR(__xludf.DUMMYFUNCTION("""COMPUTED_VALUE"""),"")</f>
        <v/>
      </c>
      <c r="F3225" t="str">
        <f>IFERROR(__xludf.DUMMYFUNCTION("""COMPUTED_VALUE"""),"")</f>
        <v/>
      </c>
      <c r="G3225" t="str">
        <f>IFERROR(__xludf.DUMMYFUNCTION("""COMPUTED_VALUE"""),"")</f>
        <v/>
      </c>
      <c r="H3225" s="2" t="str">
        <f>IFERROR(__xludf.DUMMYFUNCTION("""COMPUTED_VALUE"""),"")</f>
        <v/>
      </c>
      <c r="I3225" s="2" t="str">
        <f>IFERROR(__xludf.DUMMYFUNCTION("""COMPUTED_VALUE"""),"")</f>
        <v/>
      </c>
      <c r="J3225" s="2">
        <f>IFERROR(__xludf.DUMMYFUNCTION("""COMPUTED_VALUE"""),0.0)</f>
        <v>0</v>
      </c>
      <c r="K3225" s="5" t="str">
        <f>IFERROR(__xludf.DUMMYFUNCTION("""COMPUTED_VALUE"""),"")</f>
        <v/>
      </c>
      <c r="L3225" t="str">
        <f>IFERROR(__xludf.DUMMYFUNCTION("""COMPUTED_VALUE"""),"")</f>
        <v/>
      </c>
      <c r="M3225" t="str">
        <f>IFERROR(__xludf.DUMMYFUNCTION("""COMPUTED_VALUE"""),"")</f>
        <v/>
      </c>
      <c r="N3225" t="str">
        <f>IFERROR(__xludf.DUMMYFUNCTION("""COMPUTED_VALUE"""),"")</f>
        <v/>
      </c>
      <c r="O3225" t="str">
        <f>IFERROR(__xludf.DUMMYFUNCTION("""COMPUTED_VALUE"""),"")</f>
        <v/>
      </c>
      <c r="P3225" t="str">
        <f>IFERROR(__xludf.DUMMYFUNCTION("""COMPUTED_VALUE"""),"ID ")</f>
        <v>ID </v>
      </c>
    </row>
    <row r="3226">
      <c r="A3226" s="6" t="str">
        <f>IFERROR(__xludf.DUMMYFUNCTION("""COMPUTED_VALUE"""),"")</f>
        <v/>
      </c>
      <c r="C3226" t="str">
        <f>IFERROR(__xludf.DUMMYFUNCTION("""COMPUTED_VALUE"""),"")</f>
        <v/>
      </c>
      <c r="D3226" t="str">
        <f>IFERROR(__xludf.DUMMYFUNCTION("""COMPUTED_VALUE"""),"")</f>
        <v/>
      </c>
      <c r="E3226" t="str">
        <f>IFERROR(__xludf.DUMMYFUNCTION("""COMPUTED_VALUE"""),"")</f>
        <v/>
      </c>
      <c r="F3226" t="str">
        <f>IFERROR(__xludf.DUMMYFUNCTION("""COMPUTED_VALUE"""),"")</f>
        <v/>
      </c>
      <c r="G3226" t="str">
        <f>IFERROR(__xludf.DUMMYFUNCTION("""COMPUTED_VALUE"""),"")</f>
        <v/>
      </c>
      <c r="H3226" s="2" t="str">
        <f>IFERROR(__xludf.DUMMYFUNCTION("""COMPUTED_VALUE"""),"")</f>
        <v/>
      </c>
      <c r="I3226" s="2" t="str">
        <f>IFERROR(__xludf.DUMMYFUNCTION("""COMPUTED_VALUE"""),"")</f>
        <v/>
      </c>
      <c r="J3226" s="2">
        <f>IFERROR(__xludf.DUMMYFUNCTION("""COMPUTED_VALUE"""),0.0)</f>
        <v>0</v>
      </c>
      <c r="K3226" s="5" t="str">
        <f>IFERROR(__xludf.DUMMYFUNCTION("""COMPUTED_VALUE"""),"")</f>
        <v/>
      </c>
      <c r="L3226" t="str">
        <f>IFERROR(__xludf.DUMMYFUNCTION("""COMPUTED_VALUE"""),"")</f>
        <v/>
      </c>
      <c r="M3226" t="str">
        <f>IFERROR(__xludf.DUMMYFUNCTION("""COMPUTED_VALUE"""),"")</f>
        <v/>
      </c>
      <c r="N3226" t="str">
        <f>IFERROR(__xludf.DUMMYFUNCTION("""COMPUTED_VALUE"""),"")</f>
        <v/>
      </c>
      <c r="O3226" t="str">
        <f>IFERROR(__xludf.DUMMYFUNCTION("""COMPUTED_VALUE"""),"")</f>
        <v/>
      </c>
      <c r="P3226" t="str">
        <f>IFERROR(__xludf.DUMMYFUNCTION("""COMPUTED_VALUE"""),"ID ")</f>
        <v>ID </v>
      </c>
    </row>
    <row r="3227">
      <c r="A3227" s="6" t="str">
        <f>IFERROR(__xludf.DUMMYFUNCTION("""COMPUTED_VALUE"""),"")</f>
        <v/>
      </c>
      <c r="C3227" t="str">
        <f>IFERROR(__xludf.DUMMYFUNCTION("""COMPUTED_VALUE"""),"")</f>
        <v/>
      </c>
      <c r="D3227" t="str">
        <f>IFERROR(__xludf.DUMMYFUNCTION("""COMPUTED_VALUE"""),"")</f>
        <v/>
      </c>
      <c r="E3227" t="str">
        <f>IFERROR(__xludf.DUMMYFUNCTION("""COMPUTED_VALUE"""),"")</f>
        <v/>
      </c>
      <c r="F3227" t="str">
        <f>IFERROR(__xludf.DUMMYFUNCTION("""COMPUTED_VALUE"""),"")</f>
        <v/>
      </c>
      <c r="G3227" t="str">
        <f>IFERROR(__xludf.DUMMYFUNCTION("""COMPUTED_VALUE"""),"")</f>
        <v/>
      </c>
      <c r="H3227" s="2" t="str">
        <f>IFERROR(__xludf.DUMMYFUNCTION("""COMPUTED_VALUE"""),"")</f>
        <v/>
      </c>
      <c r="I3227" s="2" t="str">
        <f>IFERROR(__xludf.DUMMYFUNCTION("""COMPUTED_VALUE"""),"")</f>
        <v/>
      </c>
      <c r="J3227" s="2">
        <f>IFERROR(__xludf.DUMMYFUNCTION("""COMPUTED_VALUE"""),0.0)</f>
        <v>0</v>
      </c>
      <c r="K3227" s="5" t="str">
        <f>IFERROR(__xludf.DUMMYFUNCTION("""COMPUTED_VALUE"""),"")</f>
        <v/>
      </c>
      <c r="L3227" t="str">
        <f>IFERROR(__xludf.DUMMYFUNCTION("""COMPUTED_VALUE"""),"")</f>
        <v/>
      </c>
      <c r="M3227" t="str">
        <f>IFERROR(__xludf.DUMMYFUNCTION("""COMPUTED_VALUE"""),"")</f>
        <v/>
      </c>
      <c r="N3227" t="str">
        <f>IFERROR(__xludf.DUMMYFUNCTION("""COMPUTED_VALUE"""),"")</f>
        <v/>
      </c>
      <c r="O3227" t="str">
        <f>IFERROR(__xludf.DUMMYFUNCTION("""COMPUTED_VALUE"""),"")</f>
        <v/>
      </c>
      <c r="P3227" t="str">
        <f>IFERROR(__xludf.DUMMYFUNCTION("""COMPUTED_VALUE"""),"ID ")</f>
        <v>ID </v>
      </c>
    </row>
    <row r="3228">
      <c r="A3228" s="6" t="str">
        <f>IFERROR(__xludf.DUMMYFUNCTION("""COMPUTED_VALUE"""),"")</f>
        <v/>
      </c>
      <c r="C3228" t="str">
        <f>IFERROR(__xludf.DUMMYFUNCTION("""COMPUTED_VALUE"""),"")</f>
        <v/>
      </c>
      <c r="D3228" t="str">
        <f>IFERROR(__xludf.DUMMYFUNCTION("""COMPUTED_VALUE"""),"")</f>
        <v/>
      </c>
      <c r="E3228" t="str">
        <f>IFERROR(__xludf.DUMMYFUNCTION("""COMPUTED_VALUE"""),"")</f>
        <v/>
      </c>
      <c r="F3228" t="str">
        <f>IFERROR(__xludf.DUMMYFUNCTION("""COMPUTED_VALUE"""),"")</f>
        <v/>
      </c>
      <c r="G3228" t="str">
        <f>IFERROR(__xludf.DUMMYFUNCTION("""COMPUTED_VALUE"""),"")</f>
        <v/>
      </c>
      <c r="H3228" s="2" t="str">
        <f>IFERROR(__xludf.DUMMYFUNCTION("""COMPUTED_VALUE"""),"")</f>
        <v/>
      </c>
      <c r="I3228" s="2" t="str">
        <f>IFERROR(__xludf.DUMMYFUNCTION("""COMPUTED_VALUE"""),"")</f>
        <v/>
      </c>
      <c r="J3228" s="2">
        <f>IFERROR(__xludf.DUMMYFUNCTION("""COMPUTED_VALUE"""),0.0)</f>
        <v>0</v>
      </c>
      <c r="K3228" s="5" t="str">
        <f>IFERROR(__xludf.DUMMYFUNCTION("""COMPUTED_VALUE"""),"")</f>
        <v/>
      </c>
      <c r="L3228" t="str">
        <f>IFERROR(__xludf.DUMMYFUNCTION("""COMPUTED_VALUE"""),"")</f>
        <v/>
      </c>
      <c r="M3228" t="str">
        <f>IFERROR(__xludf.DUMMYFUNCTION("""COMPUTED_VALUE"""),"")</f>
        <v/>
      </c>
      <c r="N3228" t="str">
        <f>IFERROR(__xludf.DUMMYFUNCTION("""COMPUTED_VALUE"""),"")</f>
        <v/>
      </c>
      <c r="O3228" t="str">
        <f>IFERROR(__xludf.DUMMYFUNCTION("""COMPUTED_VALUE"""),"")</f>
        <v/>
      </c>
      <c r="P3228" t="str">
        <f>IFERROR(__xludf.DUMMYFUNCTION("""COMPUTED_VALUE"""),"ID ")</f>
        <v>ID </v>
      </c>
    </row>
    <row r="3229">
      <c r="A3229" s="6" t="str">
        <f>IFERROR(__xludf.DUMMYFUNCTION("""COMPUTED_VALUE"""),"")</f>
        <v/>
      </c>
      <c r="C3229" t="str">
        <f>IFERROR(__xludf.DUMMYFUNCTION("""COMPUTED_VALUE"""),"")</f>
        <v/>
      </c>
      <c r="D3229" t="str">
        <f>IFERROR(__xludf.DUMMYFUNCTION("""COMPUTED_VALUE"""),"")</f>
        <v/>
      </c>
      <c r="E3229" t="str">
        <f>IFERROR(__xludf.DUMMYFUNCTION("""COMPUTED_VALUE"""),"")</f>
        <v/>
      </c>
      <c r="F3229" t="str">
        <f>IFERROR(__xludf.DUMMYFUNCTION("""COMPUTED_VALUE"""),"")</f>
        <v/>
      </c>
      <c r="G3229" t="str">
        <f>IFERROR(__xludf.DUMMYFUNCTION("""COMPUTED_VALUE"""),"")</f>
        <v/>
      </c>
      <c r="H3229" s="2" t="str">
        <f>IFERROR(__xludf.DUMMYFUNCTION("""COMPUTED_VALUE"""),"")</f>
        <v/>
      </c>
      <c r="I3229" s="2" t="str">
        <f>IFERROR(__xludf.DUMMYFUNCTION("""COMPUTED_VALUE"""),"")</f>
        <v/>
      </c>
      <c r="J3229" s="2">
        <f>IFERROR(__xludf.DUMMYFUNCTION("""COMPUTED_VALUE"""),0.0)</f>
        <v>0</v>
      </c>
      <c r="K3229" s="5" t="str">
        <f>IFERROR(__xludf.DUMMYFUNCTION("""COMPUTED_VALUE"""),"")</f>
        <v/>
      </c>
      <c r="L3229" t="str">
        <f>IFERROR(__xludf.DUMMYFUNCTION("""COMPUTED_VALUE"""),"")</f>
        <v/>
      </c>
      <c r="M3229" t="str">
        <f>IFERROR(__xludf.DUMMYFUNCTION("""COMPUTED_VALUE"""),"")</f>
        <v/>
      </c>
      <c r="N3229" t="str">
        <f>IFERROR(__xludf.DUMMYFUNCTION("""COMPUTED_VALUE"""),"")</f>
        <v/>
      </c>
      <c r="O3229" t="str">
        <f>IFERROR(__xludf.DUMMYFUNCTION("""COMPUTED_VALUE"""),"")</f>
        <v/>
      </c>
      <c r="P3229" t="str">
        <f>IFERROR(__xludf.DUMMYFUNCTION("""COMPUTED_VALUE"""),"ID ")</f>
        <v>ID </v>
      </c>
    </row>
    <row r="3230">
      <c r="A3230" s="6" t="str">
        <f>IFERROR(__xludf.DUMMYFUNCTION("""COMPUTED_VALUE"""),"")</f>
        <v/>
      </c>
      <c r="C3230" t="str">
        <f>IFERROR(__xludf.DUMMYFUNCTION("""COMPUTED_VALUE"""),"")</f>
        <v/>
      </c>
      <c r="D3230" t="str">
        <f>IFERROR(__xludf.DUMMYFUNCTION("""COMPUTED_VALUE"""),"")</f>
        <v/>
      </c>
      <c r="E3230" t="str">
        <f>IFERROR(__xludf.DUMMYFUNCTION("""COMPUTED_VALUE"""),"")</f>
        <v/>
      </c>
      <c r="F3230" t="str">
        <f>IFERROR(__xludf.DUMMYFUNCTION("""COMPUTED_VALUE"""),"")</f>
        <v/>
      </c>
      <c r="G3230" t="str">
        <f>IFERROR(__xludf.DUMMYFUNCTION("""COMPUTED_VALUE"""),"")</f>
        <v/>
      </c>
      <c r="H3230" s="2" t="str">
        <f>IFERROR(__xludf.DUMMYFUNCTION("""COMPUTED_VALUE"""),"")</f>
        <v/>
      </c>
      <c r="I3230" s="2" t="str">
        <f>IFERROR(__xludf.DUMMYFUNCTION("""COMPUTED_VALUE"""),"")</f>
        <v/>
      </c>
      <c r="J3230" s="2">
        <f>IFERROR(__xludf.DUMMYFUNCTION("""COMPUTED_VALUE"""),0.0)</f>
        <v>0</v>
      </c>
      <c r="K3230" s="5" t="str">
        <f>IFERROR(__xludf.DUMMYFUNCTION("""COMPUTED_VALUE"""),"")</f>
        <v/>
      </c>
      <c r="L3230" t="str">
        <f>IFERROR(__xludf.DUMMYFUNCTION("""COMPUTED_VALUE"""),"")</f>
        <v/>
      </c>
      <c r="M3230" t="str">
        <f>IFERROR(__xludf.DUMMYFUNCTION("""COMPUTED_VALUE"""),"")</f>
        <v/>
      </c>
      <c r="N3230" t="str">
        <f>IFERROR(__xludf.DUMMYFUNCTION("""COMPUTED_VALUE"""),"")</f>
        <v/>
      </c>
      <c r="O3230" t="str">
        <f>IFERROR(__xludf.DUMMYFUNCTION("""COMPUTED_VALUE"""),"")</f>
        <v/>
      </c>
      <c r="P3230" t="str">
        <f>IFERROR(__xludf.DUMMYFUNCTION("""COMPUTED_VALUE"""),"ID ")</f>
        <v>ID </v>
      </c>
    </row>
    <row r="3231">
      <c r="A3231" s="6" t="str">
        <f>IFERROR(__xludf.DUMMYFUNCTION("""COMPUTED_VALUE"""),"")</f>
        <v/>
      </c>
      <c r="C3231" t="str">
        <f>IFERROR(__xludf.DUMMYFUNCTION("""COMPUTED_VALUE"""),"")</f>
        <v/>
      </c>
      <c r="D3231" t="str">
        <f>IFERROR(__xludf.DUMMYFUNCTION("""COMPUTED_VALUE"""),"")</f>
        <v/>
      </c>
      <c r="E3231" t="str">
        <f>IFERROR(__xludf.DUMMYFUNCTION("""COMPUTED_VALUE"""),"")</f>
        <v/>
      </c>
      <c r="F3231" t="str">
        <f>IFERROR(__xludf.DUMMYFUNCTION("""COMPUTED_VALUE"""),"")</f>
        <v/>
      </c>
      <c r="G3231" t="str">
        <f>IFERROR(__xludf.DUMMYFUNCTION("""COMPUTED_VALUE"""),"")</f>
        <v/>
      </c>
      <c r="H3231" s="2" t="str">
        <f>IFERROR(__xludf.DUMMYFUNCTION("""COMPUTED_VALUE"""),"")</f>
        <v/>
      </c>
      <c r="I3231" s="2" t="str">
        <f>IFERROR(__xludf.DUMMYFUNCTION("""COMPUTED_VALUE"""),"")</f>
        <v/>
      </c>
      <c r="J3231" s="2">
        <f>IFERROR(__xludf.DUMMYFUNCTION("""COMPUTED_VALUE"""),0.0)</f>
        <v>0</v>
      </c>
      <c r="K3231" s="5" t="str">
        <f>IFERROR(__xludf.DUMMYFUNCTION("""COMPUTED_VALUE"""),"")</f>
        <v/>
      </c>
      <c r="L3231" t="str">
        <f>IFERROR(__xludf.DUMMYFUNCTION("""COMPUTED_VALUE"""),"")</f>
        <v/>
      </c>
      <c r="M3231" t="str">
        <f>IFERROR(__xludf.DUMMYFUNCTION("""COMPUTED_VALUE"""),"")</f>
        <v/>
      </c>
      <c r="N3231" t="str">
        <f>IFERROR(__xludf.DUMMYFUNCTION("""COMPUTED_VALUE"""),"")</f>
        <v/>
      </c>
      <c r="O3231" t="str">
        <f>IFERROR(__xludf.DUMMYFUNCTION("""COMPUTED_VALUE"""),"")</f>
        <v/>
      </c>
      <c r="P3231" t="str">
        <f>IFERROR(__xludf.DUMMYFUNCTION("""COMPUTED_VALUE"""),"ID ")</f>
        <v>ID </v>
      </c>
    </row>
    <row r="3232">
      <c r="A3232" s="6" t="str">
        <f>IFERROR(__xludf.DUMMYFUNCTION("""COMPUTED_VALUE"""),"")</f>
        <v/>
      </c>
      <c r="C3232" t="str">
        <f>IFERROR(__xludf.DUMMYFUNCTION("""COMPUTED_VALUE"""),"")</f>
        <v/>
      </c>
      <c r="D3232" t="str">
        <f>IFERROR(__xludf.DUMMYFUNCTION("""COMPUTED_VALUE"""),"")</f>
        <v/>
      </c>
      <c r="E3232" t="str">
        <f>IFERROR(__xludf.DUMMYFUNCTION("""COMPUTED_VALUE"""),"")</f>
        <v/>
      </c>
      <c r="F3232" t="str">
        <f>IFERROR(__xludf.DUMMYFUNCTION("""COMPUTED_VALUE"""),"")</f>
        <v/>
      </c>
      <c r="G3232" t="str">
        <f>IFERROR(__xludf.DUMMYFUNCTION("""COMPUTED_VALUE"""),"")</f>
        <v/>
      </c>
      <c r="H3232" s="2" t="str">
        <f>IFERROR(__xludf.DUMMYFUNCTION("""COMPUTED_VALUE"""),"")</f>
        <v/>
      </c>
      <c r="I3232" s="2" t="str">
        <f>IFERROR(__xludf.DUMMYFUNCTION("""COMPUTED_VALUE"""),"")</f>
        <v/>
      </c>
      <c r="J3232" s="2">
        <f>IFERROR(__xludf.DUMMYFUNCTION("""COMPUTED_VALUE"""),0.0)</f>
        <v>0</v>
      </c>
      <c r="K3232" s="5" t="str">
        <f>IFERROR(__xludf.DUMMYFUNCTION("""COMPUTED_VALUE"""),"")</f>
        <v/>
      </c>
      <c r="L3232" t="str">
        <f>IFERROR(__xludf.DUMMYFUNCTION("""COMPUTED_VALUE"""),"")</f>
        <v/>
      </c>
      <c r="M3232" t="str">
        <f>IFERROR(__xludf.DUMMYFUNCTION("""COMPUTED_VALUE"""),"")</f>
        <v/>
      </c>
      <c r="N3232" t="str">
        <f>IFERROR(__xludf.DUMMYFUNCTION("""COMPUTED_VALUE"""),"")</f>
        <v/>
      </c>
      <c r="O3232" t="str">
        <f>IFERROR(__xludf.DUMMYFUNCTION("""COMPUTED_VALUE"""),"")</f>
        <v/>
      </c>
      <c r="P3232" t="str">
        <f>IFERROR(__xludf.DUMMYFUNCTION("""COMPUTED_VALUE"""),"ID ")</f>
        <v>ID </v>
      </c>
    </row>
    <row r="3233">
      <c r="A3233" s="6" t="str">
        <f>IFERROR(__xludf.DUMMYFUNCTION("""COMPUTED_VALUE"""),"")</f>
        <v/>
      </c>
      <c r="C3233" t="str">
        <f>IFERROR(__xludf.DUMMYFUNCTION("""COMPUTED_VALUE"""),"")</f>
        <v/>
      </c>
      <c r="D3233" t="str">
        <f>IFERROR(__xludf.DUMMYFUNCTION("""COMPUTED_VALUE"""),"")</f>
        <v/>
      </c>
      <c r="E3233" t="str">
        <f>IFERROR(__xludf.DUMMYFUNCTION("""COMPUTED_VALUE"""),"")</f>
        <v/>
      </c>
      <c r="F3233" t="str">
        <f>IFERROR(__xludf.DUMMYFUNCTION("""COMPUTED_VALUE"""),"")</f>
        <v/>
      </c>
      <c r="G3233" t="str">
        <f>IFERROR(__xludf.DUMMYFUNCTION("""COMPUTED_VALUE"""),"")</f>
        <v/>
      </c>
      <c r="H3233" s="2" t="str">
        <f>IFERROR(__xludf.DUMMYFUNCTION("""COMPUTED_VALUE"""),"")</f>
        <v/>
      </c>
      <c r="I3233" s="2" t="str">
        <f>IFERROR(__xludf.DUMMYFUNCTION("""COMPUTED_VALUE"""),"")</f>
        <v/>
      </c>
      <c r="J3233" s="2">
        <f>IFERROR(__xludf.DUMMYFUNCTION("""COMPUTED_VALUE"""),0.0)</f>
        <v>0</v>
      </c>
      <c r="K3233" s="5" t="str">
        <f>IFERROR(__xludf.DUMMYFUNCTION("""COMPUTED_VALUE"""),"")</f>
        <v/>
      </c>
      <c r="L3233" t="str">
        <f>IFERROR(__xludf.DUMMYFUNCTION("""COMPUTED_VALUE"""),"")</f>
        <v/>
      </c>
      <c r="M3233" t="str">
        <f>IFERROR(__xludf.DUMMYFUNCTION("""COMPUTED_VALUE"""),"")</f>
        <v/>
      </c>
      <c r="N3233" t="str">
        <f>IFERROR(__xludf.DUMMYFUNCTION("""COMPUTED_VALUE"""),"")</f>
        <v/>
      </c>
      <c r="O3233" t="str">
        <f>IFERROR(__xludf.DUMMYFUNCTION("""COMPUTED_VALUE"""),"")</f>
        <v/>
      </c>
      <c r="P3233" t="str">
        <f>IFERROR(__xludf.DUMMYFUNCTION("""COMPUTED_VALUE"""),"ID ")</f>
        <v>ID </v>
      </c>
    </row>
    <row r="3234">
      <c r="A3234" s="6" t="str">
        <f>IFERROR(__xludf.DUMMYFUNCTION("""COMPUTED_VALUE"""),"")</f>
        <v/>
      </c>
      <c r="C3234" t="str">
        <f>IFERROR(__xludf.DUMMYFUNCTION("""COMPUTED_VALUE"""),"")</f>
        <v/>
      </c>
      <c r="D3234" t="str">
        <f>IFERROR(__xludf.DUMMYFUNCTION("""COMPUTED_VALUE"""),"")</f>
        <v/>
      </c>
      <c r="E3234" t="str">
        <f>IFERROR(__xludf.DUMMYFUNCTION("""COMPUTED_VALUE"""),"")</f>
        <v/>
      </c>
      <c r="F3234" t="str">
        <f>IFERROR(__xludf.DUMMYFUNCTION("""COMPUTED_VALUE"""),"")</f>
        <v/>
      </c>
      <c r="G3234" t="str">
        <f>IFERROR(__xludf.DUMMYFUNCTION("""COMPUTED_VALUE"""),"")</f>
        <v/>
      </c>
      <c r="H3234" s="2" t="str">
        <f>IFERROR(__xludf.DUMMYFUNCTION("""COMPUTED_VALUE"""),"")</f>
        <v/>
      </c>
      <c r="I3234" s="2" t="str">
        <f>IFERROR(__xludf.DUMMYFUNCTION("""COMPUTED_VALUE"""),"")</f>
        <v/>
      </c>
      <c r="J3234" s="2">
        <f>IFERROR(__xludf.DUMMYFUNCTION("""COMPUTED_VALUE"""),0.0)</f>
        <v>0</v>
      </c>
      <c r="K3234" s="5" t="str">
        <f>IFERROR(__xludf.DUMMYFUNCTION("""COMPUTED_VALUE"""),"")</f>
        <v/>
      </c>
      <c r="L3234" t="str">
        <f>IFERROR(__xludf.DUMMYFUNCTION("""COMPUTED_VALUE"""),"")</f>
        <v/>
      </c>
      <c r="M3234" t="str">
        <f>IFERROR(__xludf.DUMMYFUNCTION("""COMPUTED_VALUE"""),"")</f>
        <v/>
      </c>
      <c r="N3234" t="str">
        <f>IFERROR(__xludf.DUMMYFUNCTION("""COMPUTED_VALUE"""),"")</f>
        <v/>
      </c>
      <c r="O3234" t="str">
        <f>IFERROR(__xludf.DUMMYFUNCTION("""COMPUTED_VALUE"""),"")</f>
        <v/>
      </c>
      <c r="P3234" t="str">
        <f>IFERROR(__xludf.DUMMYFUNCTION("""COMPUTED_VALUE"""),"ID ")</f>
        <v>ID </v>
      </c>
    </row>
    <row r="3235">
      <c r="A3235" s="6" t="str">
        <f>IFERROR(__xludf.DUMMYFUNCTION("""COMPUTED_VALUE"""),"")</f>
        <v/>
      </c>
      <c r="C3235" t="str">
        <f>IFERROR(__xludf.DUMMYFUNCTION("""COMPUTED_VALUE"""),"")</f>
        <v/>
      </c>
      <c r="D3235" t="str">
        <f>IFERROR(__xludf.DUMMYFUNCTION("""COMPUTED_VALUE"""),"")</f>
        <v/>
      </c>
      <c r="E3235" t="str">
        <f>IFERROR(__xludf.DUMMYFUNCTION("""COMPUTED_VALUE"""),"")</f>
        <v/>
      </c>
      <c r="F3235" t="str">
        <f>IFERROR(__xludf.DUMMYFUNCTION("""COMPUTED_VALUE"""),"")</f>
        <v/>
      </c>
      <c r="G3235" t="str">
        <f>IFERROR(__xludf.DUMMYFUNCTION("""COMPUTED_VALUE"""),"")</f>
        <v/>
      </c>
      <c r="H3235" s="2" t="str">
        <f>IFERROR(__xludf.DUMMYFUNCTION("""COMPUTED_VALUE"""),"")</f>
        <v/>
      </c>
      <c r="I3235" s="2" t="str">
        <f>IFERROR(__xludf.DUMMYFUNCTION("""COMPUTED_VALUE"""),"")</f>
        <v/>
      </c>
      <c r="J3235" s="2">
        <f>IFERROR(__xludf.DUMMYFUNCTION("""COMPUTED_VALUE"""),0.0)</f>
        <v>0</v>
      </c>
      <c r="K3235" s="5" t="str">
        <f>IFERROR(__xludf.DUMMYFUNCTION("""COMPUTED_VALUE"""),"")</f>
        <v/>
      </c>
      <c r="L3235" t="str">
        <f>IFERROR(__xludf.DUMMYFUNCTION("""COMPUTED_VALUE"""),"")</f>
        <v/>
      </c>
      <c r="M3235" t="str">
        <f>IFERROR(__xludf.DUMMYFUNCTION("""COMPUTED_VALUE"""),"")</f>
        <v/>
      </c>
      <c r="N3235" t="str">
        <f>IFERROR(__xludf.DUMMYFUNCTION("""COMPUTED_VALUE"""),"")</f>
        <v/>
      </c>
      <c r="O3235" t="str">
        <f>IFERROR(__xludf.DUMMYFUNCTION("""COMPUTED_VALUE"""),"")</f>
        <v/>
      </c>
      <c r="P3235" t="str">
        <f>IFERROR(__xludf.DUMMYFUNCTION("""COMPUTED_VALUE"""),"ID ")</f>
        <v>ID </v>
      </c>
    </row>
    <row r="3236">
      <c r="A3236" s="6" t="str">
        <f>IFERROR(__xludf.DUMMYFUNCTION("""COMPUTED_VALUE"""),"")</f>
        <v/>
      </c>
      <c r="C3236" t="str">
        <f>IFERROR(__xludf.DUMMYFUNCTION("""COMPUTED_VALUE"""),"")</f>
        <v/>
      </c>
      <c r="D3236" t="str">
        <f>IFERROR(__xludf.DUMMYFUNCTION("""COMPUTED_VALUE"""),"")</f>
        <v/>
      </c>
      <c r="E3236" t="str">
        <f>IFERROR(__xludf.DUMMYFUNCTION("""COMPUTED_VALUE"""),"")</f>
        <v/>
      </c>
      <c r="F3236" t="str">
        <f>IFERROR(__xludf.DUMMYFUNCTION("""COMPUTED_VALUE"""),"")</f>
        <v/>
      </c>
      <c r="G3236" t="str">
        <f>IFERROR(__xludf.DUMMYFUNCTION("""COMPUTED_VALUE"""),"")</f>
        <v/>
      </c>
      <c r="H3236" s="2" t="str">
        <f>IFERROR(__xludf.DUMMYFUNCTION("""COMPUTED_VALUE"""),"")</f>
        <v/>
      </c>
      <c r="I3236" s="2" t="str">
        <f>IFERROR(__xludf.DUMMYFUNCTION("""COMPUTED_VALUE"""),"")</f>
        <v/>
      </c>
      <c r="J3236" s="2">
        <f>IFERROR(__xludf.DUMMYFUNCTION("""COMPUTED_VALUE"""),0.0)</f>
        <v>0</v>
      </c>
      <c r="K3236" s="5" t="str">
        <f>IFERROR(__xludf.DUMMYFUNCTION("""COMPUTED_VALUE"""),"")</f>
        <v/>
      </c>
      <c r="L3236" t="str">
        <f>IFERROR(__xludf.DUMMYFUNCTION("""COMPUTED_VALUE"""),"")</f>
        <v/>
      </c>
      <c r="M3236" t="str">
        <f>IFERROR(__xludf.DUMMYFUNCTION("""COMPUTED_VALUE"""),"")</f>
        <v/>
      </c>
      <c r="N3236" t="str">
        <f>IFERROR(__xludf.DUMMYFUNCTION("""COMPUTED_VALUE"""),"")</f>
        <v/>
      </c>
      <c r="O3236" t="str">
        <f>IFERROR(__xludf.DUMMYFUNCTION("""COMPUTED_VALUE"""),"")</f>
        <v/>
      </c>
      <c r="P3236" t="str">
        <f>IFERROR(__xludf.DUMMYFUNCTION("""COMPUTED_VALUE"""),"ID ")</f>
        <v>ID </v>
      </c>
    </row>
    <row r="3237">
      <c r="A3237" s="6" t="str">
        <f>IFERROR(__xludf.DUMMYFUNCTION("""COMPUTED_VALUE"""),"")</f>
        <v/>
      </c>
      <c r="C3237" t="str">
        <f>IFERROR(__xludf.DUMMYFUNCTION("""COMPUTED_VALUE"""),"")</f>
        <v/>
      </c>
      <c r="D3237" t="str">
        <f>IFERROR(__xludf.DUMMYFUNCTION("""COMPUTED_VALUE"""),"")</f>
        <v/>
      </c>
      <c r="E3237" t="str">
        <f>IFERROR(__xludf.DUMMYFUNCTION("""COMPUTED_VALUE"""),"")</f>
        <v/>
      </c>
      <c r="F3237" t="str">
        <f>IFERROR(__xludf.DUMMYFUNCTION("""COMPUTED_VALUE"""),"")</f>
        <v/>
      </c>
      <c r="G3237" t="str">
        <f>IFERROR(__xludf.DUMMYFUNCTION("""COMPUTED_VALUE"""),"")</f>
        <v/>
      </c>
      <c r="H3237" s="2" t="str">
        <f>IFERROR(__xludf.DUMMYFUNCTION("""COMPUTED_VALUE"""),"")</f>
        <v/>
      </c>
      <c r="I3237" s="2" t="str">
        <f>IFERROR(__xludf.DUMMYFUNCTION("""COMPUTED_VALUE"""),"")</f>
        <v/>
      </c>
      <c r="J3237" s="2">
        <f>IFERROR(__xludf.DUMMYFUNCTION("""COMPUTED_VALUE"""),0.0)</f>
        <v>0</v>
      </c>
      <c r="K3237" s="5" t="str">
        <f>IFERROR(__xludf.DUMMYFUNCTION("""COMPUTED_VALUE"""),"")</f>
        <v/>
      </c>
      <c r="L3237" t="str">
        <f>IFERROR(__xludf.DUMMYFUNCTION("""COMPUTED_VALUE"""),"")</f>
        <v/>
      </c>
      <c r="M3237" t="str">
        <f>IFERROR(__xludf.DUMMYFUNCTION("""COMPUTED_VALUE"""),"")</f>
        <v/>
      </c>
      <c r="N3237" t="str">
        <f>IFERROR(__xludf.DUMMYFUNCTION("""COMPUTED_VALUE"""),"")</f>
        <v/>
      </c>
      <c r="O3237" t="str">
        <f>IFERROR(__xludf.DUMMYFUNCTION("""COMPUTED_VALUE"""),"")</f>
        <v/>
      </c>
      <c r="P3237" t="str">
        <f>IFERROR(__xludf.DUMMYFUNCTION("""COMPUTED_VALUE"""),"ID ")</f>
        <v>ID </v>
      </c>
    </row>
    <row r="3238">
      <c r="A3238" s="6" t="str">
        <f>IFERROR(__xludf.DUMMYFUNCTION("""COMPUTED_VALUE"""),"")</f>
        <v/>
      </c>
      <c r="C3238" t="str">
        <f>IFERROR(__xludf.DUMMYFUNCTION("""COMPUTED_VALUE"""),"")</f>
        <v/>
      </c>
      <c r="D3238" t="str">
        <f>IFERROR(__xludf.DUMMYFUNCTION("""COMPUTED_VALUE"""),"")</f>
        <v/>
      </c>
      <c r="E3238" t="str">
        <f>IFERROR(__xludf.DUMMYFUNCTION("""COMPUTED_VALUE"""),"")</f>
        <v/>
      </c>
      <c r="F3238" t="str">
        <f>IFERROR(__xludf.DUMMYFUNCTION("""COMPUTED_VALUE"""),"")</f>
        <v/>
      </c>
      <c r="G3238" t="str">
        <f>IFERROR(__xludf.DUMMYFUNCTION("""COMPUTED_VALUE"""),"")</f>
        <v/>
      </c>
      <c r="H3238" s="2" t="str">
        <f>IFERROR(__xludf.DUMMYFUNCTION("""COMPUTED_VALUE"""),"")</f>
        <v/>
      </c>
      <c r="I3238" s="2" t="str">
        <f>IFERROR(__xludf.DUMMYFUNCTION("""COMPUTED_VALUE"""),"")</f>
        <v/>
      </c>
      <c r="J3238" s="2">
        <f>IFERROR(__xludf.DUMMYFUNCTION("""COMPUTED_VALUE"""),0.0)</f>
        <v>0</v>
      </c>
      <c r="K3238" s="5" t="str">
        <f>IFERROR(__xludf.DUMMYFUNCTION("""COMPUTED_VALUE"""),"")</f>
        <v/>
      </c>
      <c r="L3238" t="str">
        <f>IFERROR(__xludf.DUMMYFUNCTION("""COMPUTED_VALUE"""),"")</f>
        <v/>
      </c>
      <c r="M3238" t="str">
        <f>IFERROR(__xludf.DUMMYFUNCTION("""COMPUTED_VALUE"""),"")</f>
        <v/>
      </c>
      <c r="N3238" t="str">
        <f>IFERROR(__xludf.DUMMYFUNCTION("""COMPUTED_VALUE"""),"")</f>
        <v/>
      </c>
      <c r="O3238" t="str">
        <f>IFERROR(__xludf.DUMMYFUNCTION("""COMPUTED_VALUE"""),"")</f>
        <v/>
      </c>
      <c r="P3238" t="str">
        <f>IFERROR(__xludf.DUMMYFUNCTION("""COMPUTED_VALUE"""),"ID ")</f>
        <v>ID </v>
      </c>
    </row>
    <row r="3239">
      <c r="A3239" s="6" t="str">
        <f>IFERROR(__xludf.DUMMYFUNCTION("""COMPUTED_VALUE"""),"")</f>
        <v/>
      </c>
      <c r="C3239" t="str">
        <f>IFERROR(__xludf.DUMMYFUNCTION("""COMPUTED_VALUE"""),"")</f>
        <v/>
      </c>
      <c r="D3239" t="str">
        <f>IFERROR(__xludf.DUMMYFUNCTION("""COMPUTED_VALUE"""),"")</f>
        <v/>
      </c>
      <c r="E3239" t="str">
        <f>IFERROR(__xludf.DUMMYFUNCTION("""COMPUTED_VALUE"""),"")</f>
        <v/>
      </c>
      <c r="F3239" t="str">
        <f>IFERROR(__xludf.DUMMYFUNCTION("""COMPUTED_VALUE"""),"")</f>
        <v/>
      </c>
      <c r="G3239" t="str">
        <f>IFERROR(__xludf.DUMMYFUNCTION("""COMPUTED_VALUE"""),"")</f>
        <v/>
      </c>
      <c r="H3239" s="2" t="str">
        <f>IFERROR(__xludf.DUMMYFUNCTION("""COMPUTED_VALUE"""),"")</f>
        <v/>
      </c>
      <c r="I3239" s="2" t="str">
        <f>IFERROR(__xludf.DUMMYFUNCTION("""COMPUTED_VALUE"""),"")</f>
        <v/>
      </c>
      <c r="J3239" s="2">
        <f>IFERROR(__xludf.DUMMYFUNCTION("""COMPUTED_VALUE"""),0.0)</f>
        <v>0</v>
      </c>
      <c r="K3239" s="5" t="str">
        <f>IFERROR(__xludf.DUMMYFUNCTION("""COMPUTED_VALUE"""),"")</f>
        <v/>
      </c>
      <c r="L3239" t="str">
        <f>IFERROR(__xludf.DUMMYFUNCTION("""COMPUTED_VALUE"""),"")</f>
        <v/>
      </c>
      <c r="M3239" t="str">
        <f>IFERROR(__xludf.DUMMYFUNCTION("""COMPUTED_VALUE"""),"")</f>
        <v/>
      </c>
      <c r="N3239" t="str">
        <f>IFERROR(__xludf.DUMMYFUNCTION("""COMPUTED_VALUE"""),"")</f>
        <v/>
      </c>
      <c r="O3239" t="str">
        <f>IFERROR(__xludf.DUMMYFUNCTION("""COMPUTED_VALUE"""),"")</f>
        <v/>
      </c>
      <c r="P3239" t="str">
        <f>IFERROR(__xludf.DUMMYFUNCTION("""COMPUTED_VALUE"""),"ID ")</f>
        <v>ID </v>
      </c>
    </row>
    <row r="3240">
      <c r="A3240" s="6" t="str">
        <f>IFERROR(__xludf.DUMMYFUNCTION("""COMPUTED_VALUE"""),"")</f>
        <v/>
      </c>
      <c r="C3240" t="str">
        <f>IFERROR(__xludf.DUMMYFUNCTION("""COMPUTED_VALUE"""),"")</f>
        <v/>
      </c>
      <c r="D3240" t="str">
        <f>IFERROR(__xludf.DUMMYFUNCTION("""COMPUTED_VALUE"""),"")</f>
        <v/>
      </c>
      <c r="E3240" t="str">
        <f>IFERROR(__xludf.DUMMYFUNCTION("""COMPUTED_VALUE"""),"")</f>
        <v/>
      </c>
      <c r="F3240" t="str">
        <f>IFERROR(__xludf.DUMMYFUNCTION("""COMPUTED_VALUE"""),"")</f>
        <v/>
      </c>
      <c r="G3240" t="str">
        <f>IFERROR(__xludf.DUMMYFUNCTION("""COMPUTED_VALUE"""),"")</f>
        <v/>
      </c>
      <c r="H3240" s="2" t="str">
        <f>IFERROR(__xludf.DUMMYFUNCTION("""COMPUTED_VALUE"""),"")</f>
        <v/>
      </c>
      <c r="I3240" s="2" t="str">
        <f>IFERROR(__xludf.DUMMYFUNCTION("""COMPUTED_VALUE"""),"")</f>
        <v/>
      </c>
      <c r="J3240" s="2">
        <f>IFERROR(__xludf.DUMMYFUNCTION("""COMPUTED_VALUE"""),0.0)</f>
        <v>0</v>
      </c>
      <c r="K3240" s="5" t="str">
        <f>IFERROR(__xludf.DUMMYFUNCTION("""COMPUTED_VALUE"""),"")</f>
        <v/>
      </c>
      <c r="L3240" t="str">
        <f>IFERROR(__xludf.DUMMYFUNCTION("""COMPUTED_VALUE"""),"")</f>
        <v/>
      </c>
      <c r="M3240" t="str">
        <f>IFERROR(__xludf.DUMMYFUNCTION("""COMPUTED_VALUE"""),"")</f>
        <v/>
      </c>
      <c r="N3240" t="str">
        <f>IFERROR(__xludf.DUMMYFUNCTION("""COMPUTED_VALUE"""),"")</f>
        <v/>
      </c>
      <c r="O3240" t="str">
        <f>IFERROR(__xludf.DUMMYFUNCTION("""COMPUTED_VALUE"""),"")</f>
        <v/>
      </c>
      <c r="P3240" t="str">
        <f>IFERROR(__xludf.DUMMYFUNCTION("""COMPUTED_VALUE"""),"ID ")</f>
        <v>ID </v>
      </c>
    </row>
    <row r="3241">
      <c r="A3241" s="6" t="str">
        <f>IFERROR(__xludf.DUMMYFUNCTION("""COMPUTED_VALUE"""),"")</f>
        <v/>
      </c>
      <c r="C3241" t="str">
        <f>IFERROR(__xludf.DUMMYFUNCTION("""COMPUTED_VALUE"""),"")</f>
        <v/>
      </c>
      <c r="D3241" t="str">
        <f>IFERROR(__xludf.DUMMYFUNCTION("""COMPUTED_VALUE"""),"")</f>
        <v/>
      </c>
      <c r="E3241" t="str">
        <f>IFERROR(__xludf.DUMMYFUNCTION("""COMPUTED_VALUE"""),"")</f>
        <v/>
      </c>
      <c r="F3241" t="str">
        <f>IFERROR(__xludf.DUMMYFUNCTION("""COMPUTED_VALUE"""),"")</f>
        <v/>
      </c>
      <c r="G3241" t="str">
        <f>IFERROR(__xludf.DUMMYFUNCTION("""COMPUTED_VALUE"""),"")</f>
        <v/>
      </c>
      <c r="H3241" s="2" t="str">
        <f>IFERROR(__xludf.DUMMYFUNCTION("""COMPUTED_VALUE"""),"")</f>
        <v/>
      </c>
      <c r="I3241" s="2" t="str">
        <f>IFERROR(__xludf.DUMMYFUNCTION("""COMPUTED_VALUE"""),"")</f>
        <v/>
      </c>
      <c r="J3241" s="2">
        <f>IFERROR(__xludf.DUMMYFUNCTION("""COMPUTED_VALUE"""),0.0)</f>
        <v>0</v>
      </c>
      <c r="K3241" s="5" t="str">
        <f>IFERROR(__xludf.DUMMYFUNCTION("""COMPUTED_VALUE"""),"")</f>
        <v/>
      </c>
      <c r="L3241" t="str">
        <f>IFERROR(__xludf.DUMMYFUNCTION("""COMPUTED_VALUE"""),"")</f>
        <v/>
      </c>
      <c r="M3241" t="str">
        <f>IFERROR(__xludf.DUMMYFUNCTION("""COMPUTED_VALUE"""),"")</f>
        <v/>
      </c>
      <c r="N3241" t="str">
        <f>IFERROR(__xludf.DUMMYFUNCTION("""COMPUTED_VALUE"""),"")</f>
        <v/>
      </c>
      <c r="O3241" t="str">
        <f>IFERROR(__xludf.DUMMYFUNCTION("""COMPUTED_VALUE"""),"")</f>
        <v/>
      </c>
      <c r="P3241" t="str">
        <f>IFERROR(__xludf.DUMMYFUNCTION("""COMPUTED_VALUE"""),"ID ")</f>
        <v>ID </v>
      </c>
    </row>
    <row r="3242">
      <c r="A3242" s="6" t="str">
        <f>IFERROR(__xludf.DUMMYFUNCTION("""COMPUTED_VALUE"""),"")</f>
        <v/>
      </c>
      <c r="C3242" t="str">
        <f>IFERROR(__xludf.DUMMYFUNCTION("""COMPUTED_VALUE"""),"")</f>
        <v/>
      </c>
      <c r="D3242" t="str">
        <f>IFERROR(__xludf.DUMMYFUNCTION("""COMPUTED_VALUE"""),"")</f>
        <v/>
      </c>
      <c r="E3242" t="str">
        <f>IFERROR(__xludf.DUMMYFUNCTION("""COMPUTED_VALUE"""),"")</f>
        <v/>
      </c>
      <c r="F3242" t="str">
        <f>IFERROR(__xludf.DUMMYFUNCTION("""COMPUTED_VALUE"""),"")</f>
        <v/>
      </c>
      <c r="G3242" t="str">
        <f>IFERROR(__xludf.DUMMYFUNCTION("""COMPUTED_VALUE"""),"")</f>
        <v/>
      </c>
      <c r="H3242" s="2" t="str">
        <f>IFERROR(__xludf.DUMMYFUNCTION("""COMPUTED_VALUE"""),"")</f>
        <v/>
      </c>
      <c r="I3242" s="2" t="str">
        <f>IFERROR(__xludf.DUMMYFUNCTION("""COMPUTED_VALUE"""),"")</f>
        <v/>
      </c>
      <c r="J3242" s="2">
        <f>IFERROR(__xludf.DUMMYFUNCTION("""COMPUTED_VALUE"""),0.0)</f>
        <v>0</v>
      </c>
      <c r="K3242" s="5" t="str">
        <f>IFERROR(__xludf.DUMMYFUNCTION("""COMPUTED_VALUE"""),"")</f>
        <v/>
      </c>
      <c r="L3242" t="str">
        <f>IFERROR(__xludf.DUMMYFUNCTION("""COMPUTED_VALUE"""),"")</f>
        <v/>
      </c>
      <c r="M3242" t="str">
        <f>IFERROR(__xludf.DUMMYFUNCTION("""COMPUTED_VALUE"""),"")</f>
        <v/>
      </c>
      <c r="N3242" t="str">
        <f>IFERROR(__xludf.DUMMYFUNCTION("""COMPUTED_VALUE"""),"")</f>
        <v/>
      </c>
      <c r="O3242" t="str">
        <f>IFERROR(__xludf.DUMMYFUNCTION("""COMPUTED_VALUE"""),"")</f>
        <v/>
      </c>
      <c r="P3242" t="str">
        <f>IFERROR(__xludf.DUMMYFUNCTION("""COMPUTED_VALUE"""),"ID ")</f>
        <v>ID </v>
      </c>
    </row>
    <row r="3243">
      <c r="A3243" s="6" t="str">
        <f>IFERROR(__xludf.DUMMYFUNCTION("""COMPUTED_VALUE"""),"")</f>
        <v/>
      </c>
      <c r="C3243" t="str">
        <f>IFERROR(__xludf.DUMMYFUNCTION("""COMPUTED_VALUE"""),"")</f>
        <v/>
      </c>
      <c r="D3243" t="str">
        <f>IFERROR(__xludf.DUMMYFUNCTION("""COMPUTED_VALUE"""),"")</f>
        <v/>
      </c>
      <c r="E3243" t="str">
        <f>IFERROR(__xludf.DUMMYFUNCTION("""COMPUTED_VALUE"""),"")</f>
        <v/>
      </c>
      <c r="F3243" t="str">
        <f>IFERROR(__xludf.DUMMYFUNCTION("""COMPUTED_VALUE"""),"")</f>
        <v/>
      </c>
      <c r="G3243" t="str">
        <f>IFERROR(__xludf.DUMMYFUNCTION("""COMPUTED_VALUE"""),"")</f>
        <v/>
      </c>
      <c r="H3243" s="2" t="str">
        <f>IFERROR(__xludf.DUMMYFUNCTION("""COMPUTED_VALUE"""),"")</f>
        <v/>
      </c>
      <c r="I3243" s="2" t="str">
        <f>IFERROR(__xludf.DUMMYFUNCTION("""COMPUTED_VALUE"""),"")</f>
        <v/>
      </c>
      <c r="J3243" s="2">
        <f>IFERROR(__xludf.DUMMYFUNCTION("""COMPUTED_VALUE"""),0.0)</f>
        <v>0</v>
      </c>
      <c r="K3243" s="5" t="str">
        <f>IFERROR(__xludf.DUMMYFUNCTION("""COMPUTED_VALUE"""),"")</f>
        <v/>
      </c>
      <c r="L3243" t="str">
        <f>IFERROR(__xludf.DUMMYFUNCTION("""COMPUTED_VALUE"""),"")</f>
        <v/>
      </c>
      <c r="M3243" t="str">
        <f>IFERROR(__xludf.DUMMYFUNCTION("""COMPUTED_VALUE"""),"")</f>
        <v/>
      </c>
      <c r="N3243" t="str">
        <f>IFERROR(__xludf.DUMMYFUNCTION("""COMPUTED_VALUE"""),"")</f>
        <v/>
      </c>
      <c r="O3243" t="str">
        <f>IFERROR(__xludf.DUMMYFUNCTION("""COMPUTED_VALUE"""),"")</f>
        <v/>
      </c>
      <c r="P3243" t="str">
        <f>IFERROR(__xludf.DUMMYFUNCTION("""COMPUTED_VALUE"""),"ID ")</f>
        <v>ID </v>
      </c>
    </row>
    <row r="3244">
      <c r="A3244" s="6" t="str">
        <f>IFERROR(__xludf.DUMMYFUNCTION("""COMPUTED_VALUE"""),"")</f>
        <v/>
      </c>
      <c r="C3244" t="str">
        <f>IFERROR(__xludf.DUMMYFUNCTION("""COMPUTED_VALUE"""),"")</f>
        <v/>
      </c>
      <c r="D3244" t="str">
        <f>IFERROR(__xludf.DUMMYFUNCTION("""COMPUTED_VALUE"""),"")</f>
        <v/>
      </c>
      <c r="E3244" t="str">
        <f>IFERROR(__xludf.DUMMYFUNCTION("""COMPUTED_VALUE"""),"")</f>
        <v/>
      </c>
      <c r="F3244" t="str">
        <f>IFERROR(__xludf.DUMMYFUNCTION("""COMPUTED_VALUE"""),"")</f>
        <v/>
      </c>
      <c r="G3244" t="str">
        <f>IFERROR(__xludf.DUMMYFUNCTION("""COMPUTED_VALUE"""),"")</f>
        <v/>
      </c>
      <c r="H3244" s="2" t="str">
        <f>IFERROR(__xludf.DUMMYFUNCTION("""COMPUTED_VALUE"""),"")</f>
        <v/>
      </c>
      <c r="I3244" s="2" t="str">
        <f>IFERROR(__xludf.DUMMYFUNCTION("""COMPUTED_VALUE"""),"")</f>
        <v/>
      </c>
      <c r="J3244" s="2">
        <f>IFERROR(__xludf.DUMMYFUNCTION("""COMPUTED_VALUE"""),0.0)</f>
        <v>0</v>
      </c>
      <c r="K3244" s="5" t="str">
        <f>IFERROR(__xludf.DUMMYFUNCTION("""COMPUTED_VALUE"""),"")</f>
        <v/>
      </c>
      <c r="L3244" t="str">
        <f>IFERROR(__xludf.DUMMYFUNCTION("""COMPUTED_VALUE"""),"")</f>
        <v/>
      </c>
      <c r="M3244" t="str">
        <f>IFERROR(__xludf.DUMMYFUNCTION("""COMPUTED_VALUE"""),"")</f>
        <v/>
      </c>
      <c r="N3244" t="str">
        <f>IFERROR(__xludf.DUMMYFUNCTION("""COMPUTED_VALUE"""),"")</f>
        <v/>
      </c>
      <c r="O3244" t="str">
        <f>IFERROR(__xludf.DUMMYFUNCTION("""COMPUTED_VALUE"""),"")</f>
        <v/>
      </c>
      <c r="P3244" t="str">
        <f>IFERROR(__xludf.DUMMYFUNCTION("""COMPUTED_VALUE"""),"ID ")</f>
        <v>ID </v>
      </c>
    </row>
    <row r="3245">
      <c r="A3245" s="6" t="str">
        <f>IFERROR(__xludf.DUMMYFUNCTION("""COMPUTED_VALUE"""),"")</f>
        <v/>
      </c>
      <c r="C3245" t="str">
        <f>IFERROR(__xludf.DUMMYFUNCTION("""COMPUTED_VALUE"""),"")</f>
        <v/>
      </c>
      <c r="D3245" t="str">
        <f>IFERROR(__xludf.DUMMYFUNCTION("""COMPUTED_VALUE"""),"")</f>
        <v/>
      </c>
      <c r="E3245" t="str">
        <f>IFERROR(__xludf.DUMMYFUNCTION("""COMPUTED_VALUE"""),"")</f>
        <v/>
      </c>
      <c r="F3245" t="str">
        <f>IFERROR(__xludf.DUMMYFUNCTION("""COMPUTED_VALUE"""),"")</f>
        <v/>
      </c>
      <c r="G3245" t="str">
        <f>IFERROR(__xludf.DUMMYFUNCTION("""COMPUTED_VALUE"""),"")</f>
        <v/>
      </c>
      <c r="H3245" s="2" t="str">
        <f>IFERROR(__xludf.DUMMYFUNCTION("""COMPUTED_VALUE"""),"")</f>
        <v/>
      </c>
      <c r="I3245" s="2" t="str">
        <f>IFERROR(__xludf.DUMMYFUNCTION("""COMPUTED_VALUE"""),"")</f>
        <v/>
      </c>
      <c r="J3245" s="2">
        <f>IFERROR(__xludf.DUMMYFUNCTION("""COMPUTED_VALUE"""),0.0)</f>
        <v>0</v>
      </c>
      <c r="K3245" s="5" t="str">
        <f>IFERROR(__xludf.DUMMYFUNCTION("""COMPUTED_VALUE"""),"")</f>
        <v/>
      </c>
      <c r="L3245" t="str">
        <f>IFERROR(__xludf.DUMMYFUNCTION("""COMPUTED_VALUE"""),"")</f>
        <v/>
      </c>
      <c r="M3245" t="str">
        <f>IFERROR(__xludf.DUMMYFUNCTION("""COMPUTED_VALUE"""),"")</f>
        <v/>
      </c>
      <c r="N3245" t="str">
        <f>IFERROR(__xludf.DUMMYFUNCTION("""COMPUTED_VALUE"""),"")</f>
        <v/>
      </c>
      <c r="O3245" t="str">
        <f>IFERROR(__xludf.DUMMYFUNCTION("""COMPUTED_VALUE"""),"")</f>
        <v/>
      </c>
      <c r="P3245" t="str">
        <f>IFERROR(__xludf.DUMMYFUNCTION("""COMPUTED_VALUE"""),"ID ")</f>
        <v>ID </v>
      </c>
    </row>
    <row r="3246">
      <c r="A3246" s="6" t="str">
        <f>IFERROR(__xludf.DUMMYFUNCTION("""COMPUTED_VALUE"""),"")</f>
        <v/>
      </c>
      <c r="C3246" t="str">
        <f>IFERROR(__xludf.DUMMYFUNCTION("""COMPUTED_VALUE"""),"")</f>
        <v/>
      </c>
      <c r="D3246" t="str">
        <f>IFERROR(__xludf.DUMMYFUNCTION("""COMPUTED_VALUE"""),"")</f>
        <v/>
      </c>
      <c r="E3246" t="str">
        <f>IFERROR(__xludf.DUMMYFUNCTION("""COMPUTED_VALUE"""),"")</f>
        <v/>
      </c>
      <c r="F3246" t="str">
        <f>IFERROR(__xludf.DUMMYFUNCTION("""COMPUTED_VALUE"""),"")</f>
        <v/>
      </c>
      <c r="G3246" t="str">
        <f>IFERROR(__xludf.DUMMYFUNCTION("""COMPUTED_VALUE"""),"")</f>
        <v/>
      </c>
      <c r="H3246" s="2" t="str">
        <f>IFERROR(__xludf.DUMMYFUNCTION("""COMPUTED_VALUE"""),"")</f>
        <v/>
      </c>
      <c r="I3246" s="2" t="str">
        <f>IFERROR(__xludf.DUMMYFUNCTION("""COMPUTED_VALUE"""),"")</f>
        <v/>
      </c>
      <c r="J3246" s="2">
        <f>IFERROR(__xludf.DUMMYFUNCTION("""COMPUTED_VALUE"""),0.0)</f>
        <v>0</v>
      </c>
      <c r="K3246" s="5" t="str">
        <f>IFERROR(__xludf.DUMMYFUNCTION("""COMPUTED_VALUE"""),"")</f>
        <v/>
      </c>
      <c r="L3246" t="str">
        <f>IFERROR(__xludf.DUMMYFUNCTION("""COMPUTED_VALUE"""),"")</f>
        <v/>
      </c>
      <c r="M3246" t="str">
        <f>IFERROR(__xludf.DUMMYFUNCTION("""COMPUTED_VALUE"""),"")</f>
        <v/>
      </c>
      <c r="N3246" t="str">
        <f>IFERROR(__xludf.DUMMYFUNCTION("""COMPUTED_VALUE"""),"")</f>
        <v/>
      </c>
      <c r="O3246" t="str">
        <f>IFERROR(__xludf.DUMMYFUNCTION("""COMPUTED_VALUE"""),"")</f>
        <v/>
      </c>
      <c r="P3246" t="str">
        <f>IFERROR(__xludf.DUMMYFUNCTION("""COMPUTED_VALUE"""),"ID ")</f>
        <v>ID </v>
      </c>
    </row>
    <row r="3247">
      <c r="A3247" s="6" t="str">
        <f>IFERROR(__xludf.DUMMYFUNCTION("""COMPUTED_VALUE"""),"")</f>
        <v/>
      </c>
      <c r="C3247" t="str">
        <f>IFERROR(__xludf.DUMMYFUNCTION("""COMPUTED_VALUE"""),"")</f>
        <v/>
      </c>
      <c r="D3247" t="str">
        <f>IFERROR(__xludf.DUMMYFUNCTION("""COMPUTED_VALUE"""),"")</f>
        <v/>
      </c>
      <c r="E3247" t="str">
        <f>IFERROR(__xludf.DUMMYFUNCTION("""COMPUTED_VALUE"""),"")</f>
        <v/>
      </c>
      <c r="F3247" t="str">
        <f>IFERROR(__xludf.DUMMYFUNCTION("""COMPUTED_VALUE"""),"")</f>
        <v/>
      </c>
      <c r="G3247" t="str">
        <f>IFERROR(__xludf.DUMMYFUNCTION("""COMPUTED_VALUE"""),"")</f>
        <v/>
      </c>
      <c r="H3247" s="2" t="str">
        <f>IFERROR(__xludf.DUMMYFUNCTION("""COMPUTED_VALUE"""),"")</f>
        <v/>
      </c>
      <c r="I3247" s="2" t="str">
        <f>IFERROR(__xludf.DUMMYFUNCTION("""COMPUTED_VALUE"""),"")</f>
        <v/>
      </c>
      <c r="J3247" s="2">
        <f>IFERROR(__xludf.DUMMYFUNCTION("""COMPUTED_VALUE"""),0.0)</f>
        <v>0</v>
      </c>
      <c r="K3247" s="5" t="str">
        <f>IFERROR(__xludf.DUMMYFUNCTION("""COMPUTED_VALUE"""),"")</f>
        <v/>
      </c>
      <c r="L3247" t="str">
        <f>IFERROR(__xludf.DUMMYFUNCTION("""COMPUTED_VALUE"""),"")</f>
        <v/>
      </c>
      <c r="M3247" t="str">
        <f>IFERROR(__xludf.DUMMYFUNCTION("""COMPUTED_VALUE"""),"")</f>
        <v/>
      </c>
      <c r="N3247" t="str">
        <f>IFERROR(__xludf.DUMMYFUNCTION("""COMPUTED_VALUE"""),"")</f>
        <v/>
      </c>
      <c r="O3247" t="str">
        <f>IFERROR(__xludf.DUMMYFUNCTION("""COMPUTED_VALUE"""),"")</f>
        <v/>
      </c>
      <c r="P3247" t="str">
        <f>IFERROR(__xludf.DUMMYFUNCTION("""COMPUTED_VALUE"""),"ID ")</f>
        <v>ID </v>
      </c>
    </row>
    <row r="3248">
      <c r="A3248" s="6" t="str">
        <f>IFERROR(__xludf.DUMMYFUNCTION("""COMPUTED_VALUE"""),"")</f>
        <v/>
      </c>
      <c r="C3248" t="str">
        <f>IFERROR(__xludf.DUMMYFUNCTION("""COMPUTED_VALUE"""),"")</f>
        <v/>
      </c>
      <c r="D3248" t="str">
        <f>IFERROR(__xludf.DUMMYFUNCTION("""COMPUTED_VALUE"""),"")</f>
        <v/>
      </c>
      <c r="E3248" t="str">
        <f>IFERROR(__xludf.DUMMYFUNCTION("""COMPUTED_VALUE"""),"")</f>
        <v/>
      </c>
      <c r="F3248" t="str">
        <f>IFERROR(__xludf.DUMMYFUNCTION("""COMPUTED_VALUE"""),"")</f>
        <v/>
      </c>
      <c r="G3248" t="str">
        <f>IFERROR(__xludf.DUMMYFUNCTION("""COMPUTED_VALUE"""),"")</f>
        <v/>
      </c>
      <c r="H3248" s="2" t="str">
        <f>IFERROR(__xludf.DUMMYFUNCTION("""COMPUTED_VALUE"""),"")</f>
        <v/>
      </c>
      <c r="I3248" s="2" t="str">
        <f>IFERROR(__xludf.DUMMYFUNCTION("""COMPUTED_VALUE"""),"")</f>
        <v/>
      </c>
      <c r="J3248" s="2">
        <f>IFERROR(__xludf.DUMMYFUNCTION("""COMPUTED_VALUE"""),0.0)</f>
        <v>0</v>
      </c>
      <c r="K3248" s="5" t="str">
        <f>IFERROR(__xludf.DUMMYFUNCTION("""COMPUTED_VALUE"""),"")</f>
        <v/>
      </c>
      <c r="L3248" t="str">
        <f>IFERROR(__xludf.DUMMYFUNCTION("""COMPUTED_VALUE"""),"")</f>
        <v/>
      </c>
      <c r="M3248" t="str">
        <f>IFERROR(__xludf.DUMMYFUNCTION("""COMPUTED_VALUE"""),"")</f>
        <v/>
      </c>
      <c r="N3248" t="str">
        <f>IFERROR(__xludf.DUMMYFUNCTION("""COMPUTED_VALUE"""),"")</f>
        <v/>
      </c>
      <c r="O3248" t="str">
        <f>IFERROR(__xludf.DUMMYFUNCTION("""COMPUTED_VALUE"""),"")</f>
        <v/>
      </c>
      <c r="P3248" t="str">
        <f>IFERROR(__xludf.DUMMYFUNCTION("""COMPUTED_VALUE"""),"ID ")</f>
        <v>ID </v>
      </c>
    </row>
    <row r="3249">
      <c r="A3249" s="6" t="str">
        <f>IFERROR(__xludf.DUMMYFUNCTION("""COMPUTED_VALUE"""),"")</f>
        <v/>
      </c>
      <c r="C3249" t="str">
        <f>IFERROR(__xludf.DUMMYFUNCTION("""COMPUTED_VALUE"""),"")</f>
        <v/>
      </c>
      <c r="D3249" t="str">
        <f>IFERROR(__xludf.DUMMYFUNCTION("""COMPUTED_VALUE"""),"")</f>
        <v/>
      </c>
      <c r="E3249" t="str">
        <f>IFERROR(__xludf.DUMMYFUNCTION("""COMPUTED_VALUE"""),"")</f>
        <v/>
      </c>
      <c r="F3249" t="str">
        <f>IFERROR(__xludf.DUMMYFUNCTION("""COMPUTED_VALUE"""),"")</f>
        <v/>
      </c>
      <c r="G3249" t="str">
        <f>IFERROR(__xludf.DUMMYFUNCTION("""COMPUTED_VALUE"""),"")</f>
        <v/>
      </c>
      <c r="H3249" s="2" t="str">
        <f>IFERROR(__xludf.DUMMYFUNCTION("""COMPUTED_VALUE"""),"")</f>
        <v/>
      </c>
      <c r="I3249" s="2" t="str">
        <f>IFERROR(__xludf.DUMMYFUNCTION("""COMPUTED_VALUE"""),"")</f>
        <v/>
      </c>
      <c r="J3249" s="2">
        <f>IFERROR(__xludf.DUMMYFUNCTION("""COMPUTED_VALUE"""),0.0)</f>
        <v>0</v>
      </c>
      <c r="K3249" s="5" t="str">
        <f>IFERROR(__xludf.DUMMYFUNCTION("""COMPUTED_VALUE"""),"")</f>
        <v/>
      </c>
      <c r="L3249" t="str">
        <f>IFERROR(__xludf.DUMMYFUNCTION("""COMPUTED_VALUE"""),"")</f>
        <v/>
      </c>
      <c r="M3249" t="str">
        <f>IFERROR(__xludf.DUMMYFUNCTION("""COMPUTED_VALUE"""),"")</f>
        <v/>
      </c>
      <c r="N3249" t="str">
        <f>IFERROR(__xludf.DUMMYFUNCTION("""COMPUTED_VALUE"""),"")</f>
        <v/>
      </c>
      <c r="O3249" t="str">
        <f>IFERROR(__xludf.DUMMYFUNCTION("""COMPUTED_VALUE"""),"")</f>
        <v/>
      </c>
      <c r="P3249" t="str">
        <f>IFERROR(__xludf.DUMMYFUNCTION("""COMPUTED_VALUE"""),"ID ")</f>
        <v>ID </v>
      </c>
    </row>
    <row r="3250">
      <c r="A3250" s="6" t="str">
        <f>IFERROR(__xludf.DUMMYFUNCTION("""COMPUTED_VALUE"""),"")</f>
        <v/>
      </c>
      <c r="C3250" t="str">
        <f>IFERROR(__xludf.DUMMYFUNCTION("""COMPUTED_VALUE"""),"")</f>
        <v/>
      </c>
      <c r="D3250" t="str">
        <f>IFERROR(__xludf.DUMMYFUNCTION("""COMPUTED_VALUE"""),"")</f>
        <v/>
      </c>
      <c r="E3250" t="str">
        <f>IFERROR(__xludf.DUMMYFUNCTION("""COMPUTED_VALUE"""),"")</f>
        <v/>
      </c>
      <c r="F3250" t="str">
        <f>IFERROR(__xludf.DUMMYFUNCTION("""COMPUTED_VALUE"""),"")</f>
        <v/>
      </c>
      <c r="G3250" t="str">
        <f>IFERROR(__xludf.DUMMYFUNCTION("""COMPUTED_VALUE"""),"")</f>
        <v/>
      </c>
      <c r="H3250" s="2" t="str">
        <f>IFERROR(__xludf.DUMMYFUNCTION("""COMPUTED_VALUE"""),"")</f>
        <v/>
      </c>
      <c r="I3250" s="2" t="str">
        <f>IFERROR(__xludf.DUMMYFUNCTION("""COMPUTED_VALUE"""),"")</f>
        <v/>
      </c>
      <c r="J3250" s="2">
        <f>IFERROR(__xludf.DUMMYFUNCTION("""COMPUTED_VALUE"""),0.0)</f>
        <v>0</v>
      </c>
      <c r="K3250" s="5" t="str">
        <f>IFERROR(__xludf.DUMMYFUNCTION("""COMPUTED_VALUE"""),"")</f>
        <v/>
      </c>
      <c r="L3250" t="str">
        <f>IFERROR(__xludf.DUMMYFUNCTION("""COMPUTED_VALUE"""),"")</f>
        <v/>
      </c>
      <c r="M3250" t="str">
        <f>IFERROR(__xludf.DUMMYFUNCTION("""COMPUTED_VALUE"""),"")</f>
        <v/>
      </c>
      <c r="N3250" t="str">
        <f>IFERROR(__xludf.DUMMYFUNCTION("""COMPUTED_VALUE"""),"")</f>
        <v/>
      </c>
      <c r="O3250" t="str">
        <f>IFERROR(__xludf.DUMMYFUNCTION("""COMPUTED_VALUE"""),"")</f>
        <v/>
      </c>
      <c r="P3250" t="str">
        <f>IFERROR(__xludf.DUMMYFUNCTION("""COMPUTED_VALUE"""),"ID ")</f>
        <v>ID </v>
      </c>
    </row>
    <row r="3251">
      <c r="A3251" s="6" t="str">
        <f>IFERROR(__xludf.DUMMYFUNCTION("""COMPUTED_VALUE"""),"")</f>
        <v/>
      </c>
      <c r="C3251" t="str">
        <f>IFERROR(__xludf.DUMMYFUNCTION("""COMPUTED_VALUE"""),"")</f>
        <v/>
      </c>
      <c r="D3251" t="str">
        <f>IFERROR(__xludf.DUMMYFUNCTION("""COMPUTED_VALUE"""),"")</f>
        <v/>
      </c>
      <c r="E3251" t="str">
        <f>IFERROR(__xludf.DUMMYFUNCTION("""COMPUTED_VALUE"""),"")</f>
        <v/>
      </c>
      <c r="F3251" t="str">
        <f>IFERROR(__xludf.DUMMYFUNCTION("""COMPUTED_VALUE"""),"")</f>
        <v/>
      </c>
      <c r="G3251" t="str">
        <f>IFERROR(__xludf.DUMMYFUNCTION("""COMPUTED_VALUE"""),"")</f>
        <v/>
      </c>
      <c r="H3251" s="2" t="str">
        <f>IFERROR(__xludf.DUMMYFUNCTION("""COMPUTED_VALUE"""),"")</f>
        <v/>
      </c>
      <c r="I3251" s="2" t="str">
        <f>IFERROR(__xludf.DUMMYFUNCTION("""COMPUTED_VALUE"""),"")</f>
        <v/>
      </c>
      <c r="J3251" s="2">
        <f>IFERROR(__xludf.DUMMYFUNCTION("""COMPUTED_VALUE"""),0.0)</f>
        <v>0</v>
      </c>
      <c r="K3251" s="5" t="str">
        <f>IFERROR(__xludf.DUMMYFUNCTION("""COMPUTED_VALUE"""),"")</f>
        <v/>
      </c>
      <c r="L3251" t="str">
        <f>IFERROR(__xludf.DUMMYFUNCTION("""COMPUTED_VALUE"""),"")</f>
        <v/>
      </c>
      <c r="M3251" t="str">
        <f>IFERROR(__xludf.DUMMYFUNCTION("""COMPUTED_VALUE"""),"")</f>
        <v/>
      </c>
      <c r="N3251" t="str">
        <f>IFERROR(__xludf.DUMMYFUNCTION("""COMPUTED_VALUE"""),"")</f>
        <v/>
      </c>
      <c r="O3251" t="str">
        <f>IFERROR(__xludf.DUMMYFUNCTION("""COMPUTED_VALUE"""),"")</f>
        <v/>
      </c>
      <c r="P3251" t="str">
        <f>IFERROR(__xludf.DUMMYFUNCTION("""COMPUTED_VALUE"""),"ID ")</f>
        <v>ID </v>
      </c>
    </row>
    <row r="3252">
      <c r="A3252" s="6" t="str">
        <f>IFERROR(__xludf.DUMMYFUNCTION("""COMPUTED_VALUE"""),"")</f>
        <v/>
      </c>
      <c r="C3252" t="str">
        <f>IFERROR(__xludf.DUMMYFUNCTION("""COMPUTED_VALUE"""),"")</f>
        <v/>
      </c>
      <c r="D3252" t="str">
        <f>IFERROR(__xludf.DUMMYFUNCTION("""COMPUTED_VALUE"""),"")</f>
        <v/>
      </c>
      <c r="E3252" t="str">
        <f>IFERROR(__xludf.DUMMYFUNCTION("""COMPUTED_VALUE"""),"")</f>
        <v/>
      </c>
      <c r="F3252" t="str">
        <f>IFERROR(__xludf.DUMMYFUNCTION("""COMPUTED_VALUE"""),"")</f>
        <v/>
      </c>
      <c r="G3252" t="str">
        <f>IFERROR(__xludf.DUMMYFUNCTION("""COMPUTED_VALUE"""),"")</f>
        <v/>
      </c>
      <c r="H3252" s="2" t="str">
        <f>IFERROR(__xludf.DUMMYFUNCTION("""COMPUTED_VALUE"""),"")</f>
        <v/>
      </c>
      <c r="I3252" s="2" t="str">
        <f>IFERROR(__xludf.DUMMYFUNCTION("""COMPUTED_VALUE"""),"")</f>
        <v/>
      </c>
      <c r="J3252" s="2">
        <f>IFERROR(__xludf.DUMMYFUNCTION("""COMPUTED_VALUE"""),0.0)</f>
        <v>0</v>
      </c>
      <c r="K3252" s="5" t="str">
        <f>IFERROR(__xludf.DUMMYFUNCTION("""COMPUTED_VALUE"""),"")</f>
        <v/>
      </c>
      <c r="L3252" t="str">
        <f>IFERROR(__xludf.DUMMYFUNCTION("""COMPUTED_VALUE"""),"")</f>
        <v/>
      </c>
      <c r="M3252" t="str">
        <f>IFERROR(__xludf.DUMMYFUNCTION("""COMPUTED_VALUE"""),"")</f>
        <v/>
      </c>
      <c r="N3252" t="str">
        <f>IFERROR(__xludf.DUMMYFUNCTION("""COMPUTED_VALUE"""),"")</f>
        <v/>
      </c>
      <c r="O3252" t="str">
        <f>IFERROR(__xludf.DUMMYFUNCTION("""COMPUTED_VALUE"""),"")</f>
        <v/>
      </c>
      <c r="P3252" t="str">
        <f>IFERROR(__xludf.DUMMYFUNCTION("""COMPUTED_VALUE"""),"ID ")</f>
        <v>ID </v>
      </c>
    </row>
    <row r="3253">
      <c r="A3253" s="6" t="str">
        <f>IFERROR(__xludf.DUMMYFUNCTION("""COMPUTED_VALUE"""),"")</f>
        <v/>
      </c>
      <c r="C3253" t="str">
        <f>IFERROR(__xludf.DUMMYFUNCTION("""COMPUTED_VALUE"""),"")</f>
        <v/>
      </c>
      <c r="D3253" t="str">
        <f>IFERROR(__xludf.DUMMYFUNCTION("""COMPUTED_VALUE"""),"")</f>
        <v/>
      </c>
      <c r="E3253" t="str">
        <f>IFERROR(__xludf.DUMMYFUNCTION("""COMPUTED_VALUE"""),"")</f>
        <v/>
      </c>
      <c r="F3253" t="str">
        <f>IFERROR(__xludf.DUMMYFUNCTION("""COMPUTED_VALUE"""),"")</f>
        <v/>
      </c>
      <c r="G3253" t="str">
        <f>IFERROR(__xludf.DUMMYFUNCTION("""COMPUTED_VALUE"""),"")</f>
        <v/>
      </c>
      <c r="H3253" s="2" t="str">
        <f>IFERROR(__xludf.DUMMYFUNCTION("""COMPUTED_VALUE"""),"")</f>
        <v/>
      </c>
      <c r="I3253" s="2" t="str">
        <f>IFERROR(__xludf.DUMMYFUNCTION("""COMPUTED_VALUE"""),"")</f>
        <v/>
      </c>
      <c r="J3253" s="2">
        <f>IFERROR(__xludf.DUMMYFUNCTION("""COMPUTED_VALUE"""),0.0)</f>
        <v>0</v>
      </c>
      <c r="K3253" s="5" t="str">
        <f>IFERROR(__xludf.DUMMYFUNCTION("""COMPUTED_VALUE"""),"")</f>
        <v/>
      </c>
      <c r="L3253" t="str">
        <f>IFERROR(__xludf.DUMMYFUNCTION("""COMPUTED_VALUE"""),"")</f>
        <v/>
      </c>
      <c r="M3253" t="str">
        <f>IFERROR(__xludf.DUMMYFUNCTION("""COMPUTED_VALUE"""),"")</f>
        <v/>
      </c>
      <c r="N3253" t="str">
        <f>IFERROR(__xludf.DUMMYFUNCTION("""COMPUTED_VALUE"""),"")</f>
        <v/>
      </c>
      <c r="O3253" t="str">
        <f>IFERROR(__xludf.DUMMYFUNCTION("""COMPUTED_VALUE"""),"")</f>
        <v/>
      </c>
      <c r="P3253" t="str">
        <f>IFERROR(__xludf.DUMMYFUNCTION("""COMPUTED_VALUE"""),"ID ")</f>
        <v>ID </v>
      </c>
    </row>
    <row r="3254">
      <c r="A3254" s="6" t="str">
        <f>IFERROR(__xludf.DUMMYFUNCTION("""COMPUTED_VALUE"""),"")</f>
        <v/>
      </c>
      <c r="C3254" t="str">
        <f>IFERROR(__xludf.DUMMYFUNCTION("""COMPUTED_VALUE"""),"")</f>
        <v/>
      </c>
      <c r="D3254" t="str">
        <f>IFERROR(__xludf.DUMMYFUNCTION("""COMPUTED_VALUE"""),"")</f>
        <v/>
      </c>
      <c r="E3254" t="str">
        <f>IFERROR(__xludf.DUMMYFUNCTION("""COMPUTED_VALUE"""),"")</f>
        <v/>
      </c>
      <c r="F3254" t="str">
        <f>IFERROR(__xludf.DUMMYFUNCTION("""COMPUTED_VALUE"""),"")</f>
        <v/>
      </c>
      <c r="G3254" t="str">
        <f>IFERROR(__xludf.DUMMYFUNCTION("""COMPUTED_VALUE"""),"")</f>
        <v/>
      </c>
      <c r="H3254" s="2" t="str">
        <f>IFERROR(__xludf.DUMMYFUNCTION("""COMPUTED_VALUE"""),"")</f>
        <v/>
      </c>
      <c r="I3254" s="2" t="str">
        <f>IFERROR(__xludf.DUMMYFUNCTION("""COMPUTED_VALUE"""),"")</f>
        <v/>
      </c>
      <c r="J3254" s="2">
        <f>IFERROR(__xludf.DUMMYFUNCTION("""COMPUTED_VALUE"""),0.0)</f>
        <v>0</v>
      </c>
      <c r="K3254" s="5" t="str">
        <f>IFERROR(__xludf.DUMMYFUNCTION("""COMPUTED_VALUE"""),"")</f>
        <v/>
      </c>
      <c r="L3254" t="str">
        <f>IFERROR(__xludf.DUMMYFUNCTION("""COMPUTED_VALUE"""),"")</f>
        <v/>
      </c>
      <c r="M3254" t="str">
        <f>IFERROR(__xludf.DUMMYFUNCTION("""COMPUTED_VALUE"""),"")</f>
        <v/>
      </c>
      <c r="N3254" t="str">
        <f>IFERROR(__xludf.DUMMYFUNCTION("""COMPUTED_VALUE"""),"")</f>
        <v/>
      </c>
      <c r="O3254" t="str">
        <f>IFERROR(__xludf.DUMMYFUNCTION("""COMPUTED_VALUE"""),"")</f>
        <v/>
      </c>
      <c r="P3254" t="str">
        <f>IFERROR(__xludf.DUMMYFUNCTION("""COMPUTED_VALUE"""),"ID ")</f>
        <v>ID </v>
      </c>
    </row>
    <row r="3255">
      <c r="A3255" s="6" t="str">
        <f>IFERROR(__xludf.DUMMYFUNCTION("""COMPUTED_VALUE"""),"")</f>
        <v/>
      </c>
      <c r="C3255" t="str">
        <f>IFERROR(__xludf.DUMMYFUNCTION("""COMPUTED_VALUE"""),"")</f>
        <v/>
      </c>
      <c r="D3255" t="str">
        <f>IFERROR(__xludf.DUMMYFUNCTION("""COMPUTED_VALUE"""),"")</f>
        <v/>
      </c>
      <c r="E3255" t="str">
        <f>IFERROR(__xludf.DUMMYFUNCTION("""COMPUTED_VALUE"""),"")</f>
        <v/>
      </c>
      <c r="F3255" t="str">
        <f>IFERROR(__xludf.DUMMYFUNCTION("""COMPUTED_VALUE"""),"")</f>
        <v/>
      </c>
      <c r="G3255" t="str">
        <f>IFERROR(__xludf.DUMMYFUNCTION("""COMPUTED_VALUE"""),"")</f>
        <v/>
      </c>
      <c r="H3255" s="2" t="str">
        <f>IFERROR(__xludf.DUMMYFUNCTION("""COMPUTED_VALUE"""),"")</f>
        <v/>
      </c>
      <c r="I3255" s="2" t="str">
        <f>IFERROR(__xludf.DUMMYFUNCTION("""COMPUTED_VALUE"""),"")</f>
        <v/>
      </c>
      <c r="J3255" s="2">
        <f>IFERROR(__xludf.DUMMYFUNCTION("""COMPUTED_VALUE"""),0.0)</f>
        <v>0</v>
      </c>
      <c r="K3255" s="5" t="str">
        <f>IFERROR(__xludf.DUMMYFUNCTION("""COMPUTED_VALUE"""),"")</f>
        <v/>
      </c>
      <c r="L3255" t="str">
        <f>IFERROR(__xludf.DUMMYFUNCTION("""COMPUTED_VALUE"""),"")</f>
        <v/>
      </c>
      <c r="M3255" t="str">
        <f>IFERROR(__xludf.DUMMYFUNCTION("""COMPUTED_VALUE"""),"")</f>
        <v/>
      </c>
      <c r="N3255" t="str">
        <f>IFERROR(__xludf.DUMMYFUNCTION("""COMPUTED_VALUE"""),"")</f>
        <v/>
      </c>
      <c r="O3255" t="str">
        <f>IFERROR(__xludf.DUMMYFUNCTION("""COMPUTED_VALUE"""),"")</f>
        <v/>
      </c>
      <c r="P3255" t="str">
        <f>IFERROR(__xludf.DUMMYFUNCTION("""COMPUTED_VALUE"""),"ID ")</f>
        <v>ID </v>
      </c>
    </row>
    <row r="3256">
      <c r="A3256" s="6" t="str">
        <f>IFERROR(__xludf.DUMMYFUNCTION("""COMPUTED_VALUE"""),"")</f>
        <v/>
      </c>
      <c r="C3256" t="str">
        <f>IFERROR(__xludf.DUMMYFUNCTION("""COMPUTED_VALUE"""),"")</f>
        <v/>
      </c>
      <c r="D3256" t="str">
        <f>IFERROR(__xludf.DUMMYFUNCTION("""COMPUTED_VALUE"""),"")</f>
        <v/>
      </c>
      <c r="E3256" t="str">
        <f>IFERROR(__xludf.DUMMYFUNCTION("""COMPUTED_VALUE"""),"")</f>
        <v/>
      </c>
      <c r="F3256" t="str">
        <f>IFERROR(__xludf.DUMMYFUNCTION("""COMPUTED_VALUE"""),"")</f>
        <v/>
      </c>
      <c r="G3256" t="str">
        <f>IFERROR(__xludf.DUMMYFUNCTION("""COMPUTED_VALUE"""),"")</f>
        <v/>
      </c>
      <c r="H3256" s="2" t="str">
        <f>IFERROR(__xludf.DUMMYFUNCTION("""COMPUTED_VALUE"""),"")</f>
        <v/>
      </c>
      <c r="I3256" s="2" t="str">
        <f>IFERROR(__xludf.DUMMYFUNCTION("""COMPUTED_VALUE"""),"")</f>
        <v/>
      </c>
      <c r="J3256" s="2">
        <f>IFERROR(__xludf.DUMMYFUNCTION("""COMPUTED_VALUE"""),0.0)</f>
        <v>0</v>
      </c>
      <c r="K3256" s="5" t="str">
        <f>IFERROR(__xludf.DUMMYFUNCTION("""COMPUTED_VALUE"""),"")</f>
        <v/>
      </c>
      <c r="L3256" t="str">
        <f>IFERROR(__xludf.DUMMYFUNCTION("""COMPUTED_VALUE"""),"")</f>
        <v/>
      </c>
      <c r="M3256" t="str">
        <f>IFERROR(__xludf.DUMMYFUNCTION("""COMPUTED_VALUE"""),"")</f>
        <v/>
      </c>
      <c r="N3256" t="str">
        <f>IFERROR(__xludf.DUMMYFUNCTION("""COMPUTED_VALUE"""),"")</f>
        <v/>
      </c>
      <c r="O3256" t="str">
        <f>IFERROR(__xludf.DUMMYFUNCTION("""COMPUTED_VALUE"""),"")</f>
        <v/>
      </c>
      <c r="P3256" t="str">
        <f>IFERROR(__xludf.DUMMYFUNCTION("""COMPUTED_VALUE"""),"ID ")</f>
        <v>ID </v>
      </c>
    </row>
    <row r="3257">
      <c r="A3257" s="6" t="str">
        <f>IFERROR(__xludf.DUMMYFUNCTION("""COMPUTED_VALUE"""),"")</f>
        <v/>
      </c>
      <c r="C3257" t="str">
        <f>IFERROR(__xludf.DUMMYFUNCTION("""COMPUTED_VALUE"""),"")</f>
        <v/>
      </c>
      <c r="D3257" t="str">
        <f>IFERROR(__xludf.DUMMYFUNCTION("""COMPUTED_VALUE"""),"")</f>
        <v/>
      </c>
      <c r="E3257" t="str">
        <f>IFERROR(__xludf.DUMMYFUNCTION("""COMPUTED_VALUE"""),"")</f>
        <v/>
      </c>
      <c r="F3257" t="str">
        <f>IFERROR(__xludf.DUMMYFUNCTION("""COMPUTED_VALUE"""),"")</f>
        <v/>
      </c>
      <c r="G3257" t="str">
        <f>IFERROR(__xludf.DUMMYFUNCTION("""COMPUTED_VALUE"""),"")</f>
        <v/>
      </c>
      <c r="H3257" s="2" t="str">
        <f>IFERROR(__xludf.DUMMYFUNCTION("""COMPUTED_VALUE"""),"")</f>
        <v/>
      </c>
      <c r="I3257" s="2" t="str">
        <f>IFERROR(__xludf.DUMMYFUNCTION("""COMPUTED_VALUE"""),"")</f>
        <v/>
      </c>
      <c r="J3257" s="2">
        <f>IFERROR(__xludf.DUMMYFUNCTION("""COMPUTED_VALUE"""),0.0)</f>
        <v>0</v>
      </c>
      <c r="K3257" s="5" t="str">
        <f>IFERROR(__xludf.DUMMYFUNCTION("""COMPUTED_VALUE"""),"")</f>
        <v/>
      </c>
      <c r="L3257" t="str">
        <f>IFERROR(__xludf.DUMMYFUNCTION("""COMPUTED_VALUE"""),"")</f>
        <v/>
      </c>
      <c r="M3257" t="str">
        <f>IFERROR(__xludf.DUMMYFUNCTION("""COMPUTED_VALUE"""),"")</f>
        <v/>
      </c>
      <c r="N3257" t="str">
        <f>IFERROR(__xludf.DUMMYFUNCTION("""COMPUTED_VALUE"""),"")</f>
        <v/>
      </c>
      <c r="O3257" t="str">
        <f>IFERROR(__xludf.DUMMYFUNCTION("""COMPUTED_VALUE"""),"")</f>
        <v/>
      </c>
      <c r="P3257" t="str">
        <f>IFERROR(__xludf.DUMMYFUNCTION("""COMPUTED_VALUE"""),"ID ")</f>
        <v>ID </v>
      </c>
    </row>
    <row r="3258">
      <c r="A3258" s="6" t="str">
        <f>IFERROR(__xludf.DUMMYFUNCTION("""COMPUTED_VALUE"""),"")</f>
        <v/>
      </c>
      <c r="C3258" t="str">
        <f>IFERROR(__xludf.DUMMYFUNCTION("""COMPUTED_VALUE"""),"")</f>
        <v/>
      </c>
      <c r="D3258" t="str">
        <f>IFERROR(__xludf.DUMMYFUNCTION("""COMPUTED_VALUE"""),"")</f>
        <v/>
      </c>
      <c r="E3258" t="str">
        <f>IFERROR(__xludf.DUMMYFUNCTION("""COMPUTED_VALUE"""),"")</f>
        <v/>
      </c>
      <c r="F3258" t="str">
        <f>IFERROR(__xludf.DUMMYFUNCTION("""COMPUTED_VALUE"""),"")</f>
        <v/>
      </c>
      <c r="G3258" t="str">
        <f>IFERROR(__xludf.DUMMYFUNCTION("""COMPUTED_VALUE"""),"")</f>
        <v/>
      </c>
      <c r="H3258" s="2" t="str">
        <f>IFERROR(__xludf.DUMMYFUNCTION("""COMPUTED_VALUE"""),"")</f>
        <v/>
      </c>
      <c r="I3258" s="2" t="str">
        <f>IFERROR(__xludf.DUMMYFUNCTION("""COMPUTED_VALUE"""),"")</f>
        <v/>
      </c>
      <c r="J3258" s="2">
        <f>IFERROR(__xludf.DUMMYFUNCTION("""COMPUTED_VALUE"""),0.0)</f>
        <v>0</v>
      </c>
      <c r="K3258" s="5" t="str">
        <f>IFERROR(__xludf.DUMMYFUNCTION("""COMPUTED_VALUE"""),"")</f>
        <v/>
      </c>
      <c r="L3258" t="str">
        <f>IFERROR(__xludf.DUMMYFUNCTION("""COMPUTED_VALUE"""),"")</f>
        <v/>
      </c>
      <c r="M3258" t="str">
        <f>IFERROR(__xludf.DUMMYFUNCTION("""COMPUTED_VALUE"""),"")</f>
        <v/>
      </c>
      <c r="N3258" t="str">
        <f>IFERROR(__xludf.DUMMYFUNCTION("""COMPUTED_VALUE"""),"")</f>
        <v/>
      </c>
      <c r="O3258" t="str">
        <f>IFERROR(__xludf.DUMMYFUNCTION("""COMPUTED_VALUE"""),"")</f>
        <v/>
      </c>
      <c r="P3258" t="str">
        <f>IFERROR(__xludf.DUMMYFUNCTION("""COMPUTED_VALUE"""),"ID ")</f>
        <v>ID </v>
      </c>
    </row>
    <row r="3259">
      <c r="A3259" s="6" t="str">
        <f>IFERROR(__xludf.DUMMYFUNCTION("""COMPUTED_VALUE"""),"")</f>
        <v/>
      </c>
      <c r="C3259" t="str">
        <f>IFERROR(__xludf.DUMMYFUNCTION("""COMPUTED_VALUE"""),"")</f>
        <v/>
      </c>
      <c r="D3259" t="str">
        <f>IFERROR(__xludf.DUMMYFUNCTION("""COMPUTED_VALUE"""),"")</f>
        <v/>
      </c>
      <c r="E3259" t="str">
        <f>IFERROR(__xludf.DUMMYFUNCTION("""COMPUTED_VALUE"""),"")</f>
        <v/>
      </c>
      <c r="F3259" t="str">
        <f>IFERROR(__xludf.DUMMYFUNCTION("""COMPUTED_VALUE"""),"")</f>
        <v/>
      </c>
      <c r="G3259" t="str">
        <f>IFERROR(__xludf.DUMMYFUNCTION("""COMPUTED_VALUE"""),"")</f>
        <v/>
      </c>
      <c r="H3259" s="2" t="str">
        <f>IFERROR(__xludf.DUMMYFUNCTION("""COMPUTED_VALUE"""),"")</f>
        <v/>
      </c>
      <c r="I3259" s="2" t="str">
        <f>IFERROR(__xludf.DUMMYFUNCTION("""COMPUTED_VALUE"""),"")</f>
        <v/>
      </c>
      <c r="J3259" s="2">
        <f>IFERROR(__xludf.DUMMYFUNCTION("""COMPUTED_VALUE"""),0.0)</f>
        <v>0</v>
      </c>
      <c r="K3259" s="5" t="str">
        <f>IFERROR(__xludf.DUMMYFUNCTION("""COMPUTED_VALUE"""),"")</f>
        <v/>
      </c>
      <c r="L3259" t="str">
        <f>IFERROR(__xludf.DUMMYFUNCTION("""COMPUTED_VALUE"""),"")</f>
        <v/>
      </c>
      <c r="M3259" t="str">
        <f>IFERROR(__xludf.DUMMYFUNCTION("""COMPUTED_VALUE"""),"")</f>
        <v/>
      </c>
      <c r="N3259" t="str">
        <f>IFERROR(__xludf.DUMMYFUNCTION("""COMPUTED_VALUE"""),"")</f>
        <v/>
      </c>
      <c r="O3259" t="str">
        <f>IFERROR(__xludf.DUMMYFUNCTION("""COMPUTED_VALUE"""),"")</f>
        <v/>
      </c>
      <c r="P3259" t="str">
        <f>IFERROR(__xludf.DUMMYFUNCTION("""COMPUTED_VALUE"""),"ID ")</f>
        <v>ID </v>
      </c>
    </row>
    <row r="3260">
      <c r="A3260" s="6" t="str">
        <f>IFERROR(__xludf.DUMMYFUNCTION("""COMPUTED_VALUE"""),"")</f>
        <v/>
      </c>
      <c r="C3260" t="str">
        <f>IFERROR(__xludf.DUMMYFUNCTION("""COMPUTED_VALUE"""),"")</f>
        <v/>
      </c>
      <c r="D3260" t="str">
        <f>IFERROR(__xludf.DUMMYFUNCTION("""COMPUTED_VALUE"""),"")</f>
        <v/>
      </c>
      <c r="E3260" t="str">
        <f>IFERROR(__xludf.DUMMYFUNCTION("""COMPUTED_VALUE"""),"")</f>
        <v/>
      </c>
      <c r="F3260" t="str">
        <f>IFERROR(__xludf.DUMMYFUNCTION("""COMPUTED_VALUE"""),"")</f>
        <v/>
      </c>
      <c r="G3260" t="str">
        <f>IFERROR(__xludf.DUMMYFUNCTION("""COMPUTED_VALUE"""),"")</f>
        <v/>
      </c>
      <c r="H3260" s="2" t="str">
        <f>IFERROR(__xludf.DUMMYFUNCTION("""COMPUTED_VALUE"""),"")</f>
        <v/>
      </c>
      <c r="I3260" s="2" t="str">
        <f>IFERROR(__xludf.DUMMYFUNCTION("""COMPUTED_VALUE"""),"")</f>
        <v/>
      </c>
      <c r="J3260" s="2">
        <f>IFERROR(__xludf.DUMMYFUNCTION("""COMPUTED_VALUE"""),0.0)</f>
        <v>0</v>
      </c>
      <c r="K3260" s="5" t="str">
        <f>IFERROR(__xludf.DUMMYFUNCTION("""COMPUTED_VALUE"""),"")</f>
        <v/>
      </c>
      <c r="L3260" t="str">
        <f>IFERROR(__xludf.DUMMYFUNCTION("""COMPUTED_VALUE"""),"")</f>
        <v/>
      </c>
      <c r="M3260" t="str">
        <f>IFERROR(__xludf.DUMMYFUNCTION("""COMPUTED_VALUE"""),"")</f>
        <v/>
      </c>
      <c r="N3260" t="str">
        <f>IFERROR(__xludf.DUMMYFUNCTION("""COMPUTED_VALUE"""),"")</f>
        <v/>
      </c>
      <c r="O3260" t="str">
        <f>IFERROR(__xludf.DUMMYFUNCTION("""COMPUTED_VALUE"""),"")</f>
        <v/>
      </c>
      <c r="P3260" t="str">
        <f>IFERROR(__xludf.DUMMYFUNCTION("""COMPUTED_VALUE"""),"ID ")</f>
        <v>ID </v>
      </c>
    </row>
    <row r="3261">
      <c r="A3261" s="6" t="str">
        <f>IFERROR(__xludf.DUMMYFUNCTION("""COMPUTED_VALUE"""),"")</f>
        <v/>
      </c>
      <c r="C3261" t="str">
        <f>IFERROR(__xludf.DUMMYFUNCTION("""COMPUTED_VALUE"""),"")</f>
        <v/>
      </c>
      <c r="D3261" t="str">
        <f>IFERROR(__xludf.DUMMYFUNCTION("""COMPUTED_VALUE"""),"")</f>
        <v/>
      </c>
      <c r="E3261" t="str">
        <f>IFERROR(__xludf.DUMMYFUNCTION("""COMPUTED_VALUE"""),"")</f>
        <v/>
      </c>
      <c r="F3261" t="str">
        <f>IFERROR(__xludf.DUMMYFUNCTION("""COMPUTED_VALUE"""),"")</f>
        <v/>
      </c>
      <c r="G3261" t="str">
        <f>IFERROR(__xludf.DUMMYFUNCTION("""COMPUTED_VALUE"""),"")</f>
        <v/>
      </c>
      <c r="H3261" s="2" t="str">
        <f>IFERROR(__xludf.DUMMYFUNCTION("""COMPUTED_VALUE"""),"")</f>
        <v/>
      </c>
      <c r="I3261" s="2" t="str">
        <f>IFERROR(__xludf.DUMMYFUNCTION("""COMPUTED_VALUE"""),"")</f>
        <v/>
      </c>
      <c r="J3261" s="2">
        <f>IFERROR(__xludf.DUMMYFUNCTION("""COMPUTED_VALUE"""),0.0)</f>
        <v>0</v>
      </c>
      <c r="K3261" s="5" t="str">
        <f>IFERROR(__xludf.DUMMYFUNCTION("""COMPUTED_VALUE"""),"")</f>
        <v/>
      </c>
      <c r="L3261" t="str">
        <f>IFERROR(__xludf.DUMMYFUNCTION("""COMPUTED_VALUE"""),"")</f>
        <v/>
      </c>
      <c r="M3261" t="str">
        <f>IFERROR(__xludf.DUMMYFUNCTION("""COMPUTED_VALUE"""),"")</f>
        <v/>
      </c>
      <c r="N3261" t="str">
        <f>IFERROR(__xludf.DUMMYFUNCTION("""COMPUTED_VALUE"""),"")</f>
        <v/>
      </c>
      <c r="O3261" t="str">
        <f>IFERROR(__xludf.DUMMYFUNCTION("""COMPUTED_VALUE"""),"")</f>
        <v/>
      </c>
      <c r="P3261" t="str">
        <f>IFERROR(__xludf.DUMMYFUNCTION("""COMPUTED_VALUE"""),"ID ")</f>
        <v>ID </v>
      </c>
    </row>
    <row r="3262">
      <c r="A3262" s="6" t="str">
        <f>IFERROR(__xludf.DUMMYFUNCTION("""COMPUTED_VALUE"""),"")</f>
        <v/>
      </c>
      <c r="C3262" t="str">
        <f>IFERROR(__xludf.DUMMYFUNCTION("""COMPUTED_VALUE"""),"")</f>
        <v/>
      </c>
      <c r="D3262" t="str">
        <f>IFERROR(__xludf.DUMMYFUNCTION("""COMPUTED_VALUE"""),"")</f>
        <v/>
      </c>
      <c r="E3262" t="str">
        <f>IFERROR(__xludf.DUMMYFUNCTION("""COMPUTED_VALUE"""),"")</f>
        <v/>
      </c>
      <c r="F3262" t="str">
        <f>IFERROR(__xludf.DUMMYFUNCTION("""COMPUTED_VALUE"""),"")</f>
        <v/>
      </c>
      <c r="G3262" t="str">
        <f>IFERROR(__xludf.DUMMYFUNCTION("""COMPUTED_VALUE"""),"")</f>
        <v/>
      </c>
      <c r="H3262" s="2" t="str">
        <f>IFERROR(__xludf.DUMMYFUNCTION("""COMPUTED_VALUE"""),"")</f>
        <v/>
      </c>
      <c r="I3262" s="2" t="str">
        <f>IFERROR(__xludf.DUMMYFUNCTION("""COMPUTED_VALUE"""),"")</f>
        <v/>
      </c>
      <c r="J3262" s="2">
        <f>IFERROR(__xludf.DUMMYFUNCTION("""COMPUTED_VALUE"""),0.0)</f>
        <v>0</v>
      </c>
      <c r="K3262" s="5" t="str">
        <f>IFERROR(__xludf.DUMMYFUNCTION("""COMPUTED_VALUE"""),"")</f>
        <v/>
      </c>
      <c r="L3262" t="str">
        <f>IFERROR(__xludf.DUMMYFUNCTION("""COMPUTED_VALUE"""),"")</f>
        <v/>
      </c>
      <c r="M3262" t="str">
        <f>IFERROR(__xludf.DUMMYFUNCTION("""COMPUTED_VALUE"""),"")</f>
        <v/>
      </c>
      <c r="N3262" t="str">
        <f>IFERROR(__xludf.DUMMYFUNCTION("""COMPUTED_VALUE"""),"")</f>
        <v/>
      </c>
      <c r="O3262" t="str">
        <f>IFERROR(__xludf.DUMMYFUNCTION("""COMPUTED_VALUE"""),"")</f>
        <v/>
      </c>
      <c r="P3262" t="str">
        <f>IFERROR(__xludf.DUMMYFUNCTION("""COMPUTED_VALUE"""),"ID ")</f>
        <v>ID </v>
      </c>
    </row>
    <row r="3263">
      <c r="A3263" s="6" t="str">
        <f>IFERROR(__xludf.DUMMYFUNCTION("""COMPUTED_VALUE"""),"")</f>
        <v/>
      </c>
      <c r="C3263" t="str">
        <f>IFERROR(__xludf.DUMMYFUNCTION("""COMPUTED_VALUE"""),"")</f>
        <v/>
      </c>
      <c r="D3263" t="str">
        <f>IFERROR(__xludf.DUMMYFUNCTION("""COMPUTED_VALUE"""),"")</f>
        <v/>
      </c>
      <c r="E3263" t="str">
        <f>IFERROR(__xludf.DUMMYFUNCTION("""COMPUTED_VALUE"""),"")</f>
        <v/>
      </c>
      <c r="F3263" t="str">
        <f>IFERROR(__xludf.DUMMYFUNCTION("""COMPUTED_VALUE"""),"")</f>
        <v/>
      </c>
      <c r="G3263" t="str">
        <f>IFERROR(__xludf.DUMMYFUNCTION("""COMPUTED_VALUE"""),"")</f>
        <v/>
      </c>
      <c r="H3263" s="2" t="str">
        <f>IFERROR(__xludf.DUMMYFUNCTION("""COMPUTED_VALUE"""),"")</f>
        <v/>
      </c>
      <c r="I3263" s="2" t="str">
        <f>IFERROR(__xludf.DUMMYFUNCTION("""COMPUTED_VALUE"""),"")</f>
        <v/>
      </c>
      <c r="J3263" s="2">
        <f>IFERROR(__xludf.DUMMYFUNCTION("""COMPUTED_VALUE"""),0.0)</f>
        <v>0</v>
      </c>
      <c r="K3263" s="5" t="str">
        <f>IFERROR(__xludf.DUMMYFUNCTION("""COMPUTED_VALUE"""),"")</f>
        <v/>
      </c>
      <c r="L3263" t="str">
        <f>IFERROR(__xludf.DUMMYFUNCTION("""COMPUTED_VALUE"""),"")</f>
        <v/>
      </c>
      <c r="M3263" t="str">
        <f>IFERROR(__xludf.DUMMYFUNCTION("""COMPUTED_VALUE"""),"")</f>
        <v/>
      </c>
      <c r="N3263" t="str">
        <f>IFERROR(__xludf.DUMMYFUNCTION("""COMPUTED_VALUE"""),"")</f>
        <v/>
      </c>
      <c r="O3263" t="str">
        <f>IFERROR(__xludf.DUMMYFUNCTION("""COMPUTED_VALUE"""),"")</f>
        <v/>
      </c>
      <c r="P3263" t="str">
        <f>IFERROR(__xludf.DUMMYFUNCTION("""COMPUTED_VALUE"""),"ID ")</f>
        <v>ID </v>
      </c>
    </row>
    <row r="3264">
      <c r="A3264" s="6" t="str">
        <f>IFERROR(__xludf.DUMMYFUNCTION("""COMPUTED_VALUE"""),"")</f>
        <v/>
      </c>
      <c r="C3264" t="str">
        <f>IFERROR(__xludf.DUMMYFUNCTION("""COMPUTED_VALUE"""),"")</f>
        <v/>
      </c>
      <c r="D3264" t="str">
        <f>IFERROR(__xludf.DUMMYFUNCTION("""COMPUTED_VALUE"""),"")</f>
        <v/>
      </c>
      <c r="E3264" t="str">
        <f>IFERROR(__xludf.DUMMYFUNCTION("""COMPUTED_VALUE"""),"")</f>
        <v/>
      </c>
      <c r="F3264" t="str">
        <f>IFERROR(__xludf.DUMMYFUNCTION("""COMPUTED_VALUE"""),"")</f>
        <v/>
      </c>
      <c r="G3264" t="str">
        <f>IFERROR(__xludf.DUMMYFUNCTION("""COMPUTED_VALUE"""),"")</f>
        <v/>
      </c>
      <c r="H3264" s="2" t="str">
        <f>IFERROR(__xludf.DUMMYFUNCTION("""COMPUTED_VALUE"""),"")</f>
        <v/>
      </c>
      <c r="I3264" s="2" t="str">
        <f>IFERROR(__xludf.DUMMYFUNCTION("""COMPUTED_VALUE"""),"")</f>
        <v/>
      </c>
      <c r="J3264" s="2">
        <f>IFERROR(__xludf.DUMMYFUNCTION("""COMPUTED_VALUE"""),0.0)</f>
        <v>0</v>
      </c>
      <c r="K3264" s="5" t="str">
        <f>IFERROR(__xludf.DUMMYFUNCTION("""COMPUTED_VALUE"""),"")</f>
        <v/>
      </c>
      <c r="L3264" t="str">
        <f>IFERROR(__xludf.DUMMYFUNCTION("""COMPUTED_VALUE"""),"")</f>
        <v/>
      </c>
      <c r="M3264" t="str">
        <f>IFERROR(__xludf.DUMMYFUNCTION("""COMPUTED_VALUE"""),"")</f>
        <v/>
      </c>
      <c r="N3264" t="str">
        <f>IFERROR(__xludf.DUMMYFUNCTION("""COMPUTED_VALUE"""),"")</f>
        <v/>
      </c>
      <c r="O3264" t="str">
        <f>IFERROR(__xludf.DUMMYFUNCTION("""COMPUTED_VALUE"""),"")</f>
        <v/>
      </c>
      <c r="P3264" t="str">
        <f>IFERROR(__xludf.DUMMYFUNCTION("""COMPUTED_VALUE"""),"ID ")</f>
        <v>ID </v>
      </c>
    </row>
    <row r="3265">
      <c r="A3265" s="6" t="str">
        <f>IFERROR(__xludf.DUMMYFUNCTION("""COMPUTED_VALUE"""),"")</f>
        <v/>
      </c>
      <c r="C3265" t="str">
        <f>IFERROR(__xludf.DUMMYFUNCTION("""COMPUTED_VALUE"""),"")</f>
        <v/>
      </c>
      <c r="D3265" t="str">
        <f>IFERROR(__xludf.DUMMYFUNCTION("""COMPUTED_VALUE"""),"")</f>
        <v/>
      </c>
      <c r="E3265" t="str">
        <f>IFERROR(__xludf.DUMMYFUNCTION("""COMPUTED_VALUE"""),"")</f>
        <v/>
      </c>
      <c r="F3265" t="str">
        <f>IFERROR(__xludf.DUMMYFUNCTION("""COMPUTED_VALUE"""),"")</f>
        <v/>
      </c>
      <c r="G3265" t="str">
        <f>IFERROR(__xludf.DUMMYFUNCTION("""COMPUTED_VALUE"""),"")</f>
        <v/>
      </c>
      <c r="H3265" s="2" t="str">
        <f>IFERROR(__xludf.DUMMYFUNCTION("""COMPUTED_VALUE"""),"")</f>
        <v/>
      </c>
      <c r="I3265" s="2" t="str">
        <f>IFERROR(__xludf.DUMMYFUNCTION("""COMPUTED_VALUE"""),"")</f>
        <v/>
      </c>
      <c r="J3265" s="2">
        <f>IFERROR(__xludf.DUMMYFUNCTION("""COMPUTED_VALUE"""),0.0)</f>
        <v>0</v>
      </c>
      <c r="K3265" s="5" t="str">
        <f>IFERROR(__xludf.DUMMYFUNCTION("""COMPUTED_VALUE"""),"")</f>
        <v/>
      </c>
      <c r="L3265" t="str">
        <f>IFERROR(__xludf.DUMMYFUNCTION("""COMPUTED_VALUE"""),"")</f>
        <v/>
      </c>
      <c r="M3265" t="str">
        <f>IFERROR(__xludf.DUMMYFUNCTION("""COMPUTED_VALUE"""),"")</f>
        <v/>
      </c>
      <c r="N3265" t="str">
        <f>IFERROR(__xludf.DUMMYFUNCTION("""COMPUTED_VALUE"""),"")</f>
        <v/>
      </c>
      <c r="O3265" t="str">
        <f>IFERROR(__xludf.DUMMYFUNCTION("""COMPUTED_VALUE"""),"")</f>
        <v/>
      </c>
      <c r="P3265" t="str">
        <f>IFERROR(__xludf.DUMMYFUNCTION("""COMPUTED_VALUE"""),"ID ")</f>
        <v>ID </v>
      </c>
    </row>
    <row r="3266">
      <c r="A3266" s="6" t="str">
        <f>IFERROR(__xludf.DUMMYFUNCTION("""COMPUTED_VALUE"""),"")</f>
        <v/>
      </c>
      <c r="C3266" t="str">
        <f>IFERROR(__xludf.DUMMYFUNCTION("""COMPUTED_VALUE"""),"")</f>
        <v/>
      </c>
      <c r="D3266" t="str">
        <f>IFERROR(__xludf.DUMMYFUNCTION("""COMPUTED_VALUE"""),"")</f>
        <v/>
      </c>
      <c r="E3266" t="str">
        <f>IFERROR(__xludf.DUMMYFUNCTION("""COMPUTED_VALUE"""),"")</f>
        <v/>
      </c>
      <c r="F3266" t="str">
        <f>IFERROR(__xludf.DUMMYFUNCTION("""COMPUTED_VALUE"""),"")</f>
        <v/>
      </c>
      <c r="G3266" t="str">
        <f>IFERROR(__xludf.DUMMYFUNCTION("""COMPUTED_VALUE"""),"")</f>
        <v/>
      </c>
      <c r="H3266" s="2" t="str">
        <f>IFERROR(__xludf.DUMMYFUNCTION("""COMPUTED_VALUE"""),"")</f>
        <v/>
      </c>
      <c r="I3266" s="2" t="str">
        <f>IFERROR(__xludf.DUMMYFUNCTION("""COMPUTED_VALUE"""),"")</f>
        <v/>
      </c>
      <c r="J3266" s="2">
        <f>IFERROR(__xludf.DUMMYFUNCTION("""COMPUTED_VALUE"""),0.0)</f>
        <v>0</v>
      </c>
      <c r="K3266" s="5" t="str">
        <f>IFERROR(__xludf.DUMMYFUNCTION("""COMPUTED_VALUE"""),"")</f>
        <v/>
      </c>
      <c r="L3266" t="str">
        <f>IFERROR(__xludf.DUMMYFUNCTION("""COMPUTED_VALUE"""),"")</f>
        <v/>
      </c>
      <c r="M3266" t="str">
        <f>IFERROR(__xludf.DUMMYFUNCTION("""COMPUTED_VALUE"""),"")</f>
        <v/>
      </c>
      <c r="N3266" t="str">
        <f>IFERROR(__xludf.DUMMYFUNCTION("""COMPUTED_VALUE"""),"")</f>
        <v/>
      </c>
      <c r="O3266" t="str">
        <f>IFERROR(__xludf.DUMMYFUNCTION("""COMPUTED_VALUE"""),"")</f>
        <v/>
      </c>
      <c r="P3266" t="str">
        <f>IFERROR(__xludf.DUMMYFUNCTION("""COMPUTED_VALUE"""),"ID ")</f>
        <v>ID </v>
      </c>
    </row>
    <row r="3267">
      <c r="A3267" s="6" t="str">
        <f>IFERROR(__xludf.DUMMYFUNCTION("""COMPUTED_VALUE"""),"")</f>
        <v/>
      </c>
      <c r="C3267" t="str">
        <f>IFERROR(__xludf.DUMMYFUNCTION("""COMPUTED_VALUE"""),"")</f>
        <v/>
      </c>
      <c r="D3267" t="str">
        <f>IFERROR(__xludf.DUMMYFUNCTION("""COMPUTED_VALUE"""),"")</f>
        <v/>
      </c>
      <c r="E3267" t="str">
        <f>IFERROR(__xludf.DUMMYFUNCTION("""COMPUTED_VALUE"""),"")</f>
        <v/>
      </c>
      <c r="F3267" t="str">
        <f>IFERROR(__xludf.DUMMYFUNCTION("""COMPUTED_VALUE"""),"")</f>
        <v/>
      </c>
      <c r="G3267" t="str">
        <f>IFERROR(__xludf.DUMMYFUNCTION("""COMPUTED_VALUE"""),"")</f>
        <v/>
      </c>
      <c r="H3267" s="2" t="str">
        <f>IFERROR(__xludf.DUMMYFUNCTION("""COMPUTED_VALUE"""),"")</f>
        <v/>
      </c>
      <c r="I3267" s="2" t="str">
        <f>IFERROR(__xludf.DUMMYFUNCTION("""COMPUTED_VALUE"""),"")</f>
        <v/>
      </c>
      <c r="J3267" s="2">
        <f>IFERROR(__xludf.DUMMYFUNCTION("""COMPUTED_VALUE"""),0.0)</f>
        <v>0</v>
      </c>
      <c r="K3267" s="5" t="str">
        <f>IFERROR(__xludf.DUMMYFUNCTION("""COMPUTED_VALUE"""),"")</f>
        <v/>
      </c>
      <c r="L3267" t="str">
        <f>IFERROR(__xludf.DUMMYFUNCTION("""COMPUTED_VALUE"""),"")</f>
        <v/>
      </c>
      <c r="M3267" t="str">
        <f>IFERROR(__xludf.DUMMYFUNCTION("""COMPUTED_VALUE"""),"")</f>
        <v/>
      </c>
      <c r="N3267" t="str">
        <f>IFERROR(__xludf.DUMMYFUNCTION("""COMPUTED_VALUE"""),"")</f>
        <v/>
      </c>
      <c r="O3267" t="str">
        <f>IFERROR(__xludf.DUMMYFUNCTION("""COMPUTED_VALUE"""),"")</f>
        <v/>
      </c>
      <c r="P3267" t="str">
        <f>IFERROR(__xludf.DUMMYFUNCTION("""COMPUTED_VALUE"""),"ID ")</f>
        <v>ID </v>
      </c>
    </row>
    <row r="3268">
      <c r="A3268" s="6" t="str">
        <f>IFERROR(__xludf.DUMMYFUNCTION("""COMPUTED_VALUE"""),"")</f>
        <v/>
      </c>
      <c r="C3268" t="str">
        <f>IFERROR(__xludf.DUMMYFUNCTION("""COMPUTED_VALUE"""),"")</f>
        <v/>
      </c>
      <c r="D3268" t="str">
        <f>IFERROR(__xludf.DUMMYFUNCTION("""COMPUTED_VALUE"""),"")</f>
        <v/>
      </c>
      <c r="E3268" t="str">
        <f>IFERROR(__xludf.DUMMYFUNCTION("""COMPUTED_VALUE"""),"")</f>
        <v/>
      </c>
      <c r="F3268" t="str">
        <f>IFERROR(__xludf.DUMMYFUNCTION("""COMPUTED_VALUE"""),"")</f>
        <v/>
      </c>
      <c r="G3268" t="str">
        <f>IFERROR(__xludf.DUMMYFUNCTION("""COMPUTED_VALUE"""),"")</f>
        <v/>
      </c>
      <c r="H3268" s="2" t="str">
        <f>IFERROR(__xludf.DUMMYFUNCTION("""COMPUTED_VALUE"""),"")</f>
        <v/>
      </c>
      <c r="I3268" s="2" t="str">
        <f>IFERROR(__xludf.DUMMYFUNCTION("""COMPUTED_VALUE"""),"")</f>
        <v/>
      </c>
      <c r="J3268" s="2">
        <f>IFERROR(__xludf.DUMMYFUNCTION("""COMPUTED_VALUE"""),0.0)</f>
        <v>0</v>
      </c>
      <c r="K3268" s="5" t="str">
        <f>IFERROR(__xludf.DUMMYFUNCTION("""COMPUTED_VALUE"""),"")</f>
        <v/>
      </c>
      <c r="L3268" t="str">
        <f>IFERROR(__xludf.DUMMYFUNCTION("""COMPUTED_VALUE"""),"")</f>
        <v/>
      </c>
      <c r="M3268" t="str">
        <f>IFERROR(__xludf.DUMMYFUNCTION("""COMPUTED_VALUE"""),"")</f>
        <v/>
      </c>
      <c r="N3268" t="str">
        <f>IFERROR(__xludf.DUMMYFUNCTION("""COMPUTED_VALUE"""),"")</f>
        <v/>
      </c>
      <c r="O3268" t="str">
        <f>IFERROR(__xludf.DUMMYFUNCTION("""COMPUTED_VALUE"""),"")</f>
        <v/>
      </c>
      <c r="P3268" t="str">
        <f>IFERROR(__xludf.DUMMYFUNCTION("""COMPUTED_VALUE"""),"ID ")</f>
        <v>ID </v>
      </c>
    </row>
    <row r="3269">
      <c r="A3269" s="6" t="str">
        <f>IFERROR(__xludf.DUMMYFUNCTION("""COMPUTED_VALUE"""),"")</f>
        <v/>
      </c>
      <c r="C3269" t="str">
        <f>IFERROR(__xludf.DUMMYFUNCTION("""COMPUTED_VALUE"""),"")</f>
        <v/>
      </c>
      <c r="D3269" t="str">
        <f>IFERROR(__xludf.DUMMYFUNCTION("""COMPUTED_VALUE"""),"")</f>
        <v/>
      </c>
      <c r="E3269" t="str">
        <f>IFERROR(__xludf.DUMMYFUNCTION("""COMPUTED_VALUE"""),"")</f>
        <v/>
      </c>
      <c r="F3269" t="str">
        <f>IFERROR(__xludf.DUMMYFUNCTION("""COMPUTED_VALUE"""),"")</f>
        <v/>
      </c>
      <c r="G3269" t="str">
        <f>IFERROR(__xludf.DUMMYFUNCTION("""COMPUTED_VALUE"""),"")</f>
        <v/>
      </c>
      <c r="H3269" s="2" t="str">
        <f>IFERROR(__xludf.DUMMYFUNCTION("""COMPUTED_VALUE"""),"")</f>
        <v/>
      </c>
      <c r="I3269" s="2" t="str">
        <f>IFERROR(__xludf.DUMMYFUNCTION("""COMPUTED_VALUE"""),"")</f>
        <v/>
      </c>
      <c r="J3269" s="2">
        <f>IFERROR(__xludf.DUMMYFUNCTION("""COMPUTED_VALUE"""),0.0)</f>
        <v>0</v>
      </c>
      <c r="K3269" s="5" t="str">
        <f>IFERROR(__xludf.DUMMYFUNCTION("""COMPUTED_VALUE"""),"")</f>
        <v/>
      </c>
      <c r="L3269" t="str">
        <f>IFERROR(__xludf.DUMMYFUNCTION("""COMPUTED_VALUE"""),"")</f>
        <v/>
      </c>
      <c r="M3269" t="str">
        <f>IFERROR(__xludf.DUMMYFUNCTION("""COMPUTED_VALUE"""),"")</f>
        <v/>
      </c>
      <c r="N3269" t="str">
        <f>IFERROR(__xludf.DUMMYFUNCTION("""COMPUTED_VALUE"""),"")</f>
        <v/>
      </c>
      <c r="O3269" t="str">
        <f>IFERROR(__xludf.DUMMYFUNCTION("""COMPUTED_VALUE"""),"")</f>
        <v/>
      </c>
      <c r="P3269" t="str">
        <f>IFERROR(__xludf.DUMMYFUNCTION("""COMPUTED_VALUE"""),"ID ")</f>
        <v>ID </v>
      </c>
    </row>
    <row r="3270">
      <c r="A3270" s="6" t="str">
        <f>IFERROR(__xludf.DUMMYFUNCTION("""COMPUTED_VALUE"""),"")</f>
        <v/>
      </c>
      <c r="C3270" t="str">
        <f>IFERROR(__xludf.DUMMYFUNCTION("""COMPUTED_VALUE"""),"")</f>
        <v/>
      </c>
      <c r="D3270" t="str">
        <f>IFERROR(__xludf.DUMMYFUNCTION("""COMPUTED_VALUE"""),"")</f>
        <v/>
      </c>
      <c r="E3270" t="str">
        <f>IFERROR(__xludf.DUMMYFUNCTION("""COMPUTED_VALUE"""),"")</f>
        <v/>
      </c>
      <c r="F3270" t="str">
        <f>IFERROR(__xludf.DUMMYFUNCTION("""COMPUTED_VALUE"""),"")</f>
        <v/>
      </c>
      <c r="G3270" t="str">
        <f>IFERROR(__xludf.DUMMYFUNCTION("""COMPUTED_VALUE"""),"")</f>
        <v/>
      </c>
      <c r="H3270" s="2" t="str">
        <f>IFERROR(__xludf.DUMMYFUNCTION("""COMPUTED_VALUE"""),"")</f>
        <v/>
      </c>
      <c r="I3270" s="2" t="str">
        <f>IFERROR(__xludf.DUMMYFUNCTION("""COMPUTED_VALUE"""),"")</f>
        <v/>
      </c>
      <c r="J3270" s="2">
        <f>IFERROR(__xludf.DUMMYFUNCTION("""COMPUTED_VALUE"""),0.0)</f>
        <v>0</v>
      </c>
      <c r="K3270" s="5" t="str">
        <f>IFERROR(__xludf.DUMMYFUNCTION("""COMPUTED_VALUE"""),"")</f>
        <v/>
      </c>
      <c r="L3270" t="str">
        <f>IFERROR(__xludf.DUMMYFUNCTION("""COMPUTED_VALUE"""),"")</f>
        <v/>
      </c>
      <c r="M3270" t="str">
        <f>IFERROR(__xludf.DUMMYFUNCTION("""COMPUTED_VALUE"""),"")</f>
        <v/>
      </c>
      <c r="N3270" t="str">
        <f>IFERROR(__xludf.DUMMYFUNCTION("""COMPUTED_VALUE"""),"")</f>
        <v/>
      </c>
      <c r="O3270" t="str">
        <f>IFERROR(__xludf.DUMMYFUNCTION("""COMPUTED_VALUE"""),"")</f>
        <v/>
      </c>
      <c r="P3270" t="str">
        <f>IFERROR(__xludf.DUMMYFUNCTION("""COMPUTED_VALUE"""),"ID ")</f>
        <v>ID </v>
      </c>
    </row>
    <row r="3271">
      <c r="A3271" s="6" t="str">
        <f>IFERROR(__xludf.DUMMYFUNCTION("""COMPUTED_VALUE"""),"")</f>
        <v/>
      </c>
      <c r="C3271" t="str">
        <f>IFERROR(__xludf.DUMMYFUNCTION("""COMPUTED_VALUE"""),"")</f>
        <v/>
      </c>
      <c r="D3271" t="str">
        <f>IFERROR(__xludf.DUMMYFUNCTION("""COMPUTED_VALUE"""),"")</f>
        <v/>
      </c>
      <c r="E3271" t="str">
        <f>IFERROR(__xludf.DUMMYFUNCTION("""COMPUTED_VALUE"""),"")</f>
        <v/>
      </c>
      <c r="F3271" t="str">
        <f>IFERROR(__xludf.DUMMYFUNCTION("""COMPUTED_VALUE"""),"")</f>
        <v/>
      </c>
      <c r="G3271" t="str">
        <f>IFERROR(__xludf.DUMMYFUNCTION("""COMPUTED_VALUE"""),"")</f>
        <v/>
      </c>
      <c r="H3271" s="2" t="str">
        <f>IFERROR(__xludf.DUMMYFUNCTION("""COMPUTED_VALUE"""),"")</f>
        <v/>
      </c>
      <c r="I3271" s="2" t="str">
        <f>IFERROR(__xludf.DUMMYFUNCTION("""COMPUTED_VALUE"""),"")</f>
        <v/>
      </c>
      <c r="J3271" s="2">
        <f>IFERROR(__xludf.DUMMYFUNCTION("""COMPUTED_VALUE"""),0.0)</f>
        <v>0</v>
      </c>
      <c r="K3271" s="5" t="str">
        <f>IFERROR(__xludf.DUMMYFUNCTION("""COMPUTED_VALUE"""),"")</f>
        <v/>
      </c>
      <c r="L3271" t="str">
        <f>IFERROR(__xludf.DUMMYFUNCTION("""COMPUTED_VALUE"""),"")</f>
        <v/>
      </c>
      <c r="M3271" t="str">
        <f>IFERROR(__xludf.DUMMYFUNCTION("""COMPUTED_VALUE"""),"")</f>
        <v/>
      </c>
      <c r="N3271" t="str">
        <f>IFERROR(__xludf.DUMMYFUNCTION("""COMPUTED_VALUE"""),"")</f>
        <v/>
      </c>
      <c r="O3271" t="str">
        <f>IFERROR(__xludf.DUMMYFUNCTION("""COMPUTED_VALUE"""),"")</f>
        <v/>
      </c>
      <c r="P3271" t="str">
        <f>IFERROR(__xludf.DUMMYFUNCTION("""COMPUTED_VALUE"""),"ID ")</f>
        <v>ID </v>
      </c>
    </row>
    <row r="3272">
      <c r="A3272" s="6" t="str">
        <f>IFERROR(__xludf.DUMMYFUNCTION("""COMPUTED_VALUE"""),"")</f>
        <v/>
      </c>
      <c r="C3272" t="str">
        <f>IFERROR(__xludf.DUMMYFUNCTION("""COMPUTED_VALUE"""),"")</f>
        <v/>
      </c>
      <c r="D3272" t="str">
        <f>IFERROR(__xludf.DUMMYFUNCTION("""COMPUTED_VALUE"""),"")</f>
        <v/>
      </c>
      <c r="E3272" t="str">
        <f>IFERROR(__xludf.DUMMYFUNCTION("""COMPUTED_VALUE"""),"")</f>
        <v/>
      </c>
      <c r="F3272" t="str">
        <f>IFERROR(__xludf.DUMMYFUNCTION("""COMPUTED_VALUE"""),"")</f>
        <v/>
      </c>
      <c r="G3272" t="str">
        <f>IFERROR(__xludf.DUMMYFUNCTION("""COMPUTED_VALUE"""),"")</f>
        <v/>
      </c>
      <c r="H3272" s="2" t="str">
        <f>IFERROR(__xludf.DUMMYFUNCTION("""COMPUTED_VALUE"""),"")</f>
        <v/>
      </c>
      <c r="I3272" s="2" t="str">
        <f>IFERROR(__xludf.DUMMYFUNCTION("""COMPUTED_VALUE"""),"")</f>
        <v/>
      </c>
      <c r="J3272" s="2">
        <f>IFERROR(__xludf.DUMMYFUNCTION("""COMPUTED_VALUE"""),0.0)</f>
        <v>0</v>
      </c>
      <c r="K3272" s="5" t="str">
        <f>IFERROR(__xludf.DUMMYFUNCTION("""COMPUTED_VALUE"""),"")</f>
        <v/>
      </c>
      <c r="L3272" t="str">
        <f>IFERROR(__xludf.DUMMYFUNCTION("""COMPUTED_VALUE"""),"")</f>
        <v/>
      </c>
      <c r="M3272" t="str">
        <f>IFERROR(__xludf.DUMMYFUNCTION("""COMPUTED_VALUE"""),"")</f>
        <v/>
      </c>
      <c r="N3272" t="str">
        <f>IFERROR(__xludf.DUMMYFUNCTION("""COMPUTED_VALUE"""),"")</f>
        <v/>
      </c>
      <c r="O3272" t="str">
        <f>IFERROR(__xludf.DUMMYFUNCTION("""COMPUTED_VALUE"""),"")</f>
        <v/>
      </c>
      <c r="P3272" t="str">
        <f>IFERROR(__xludf.DUMMYFUNCTION("""COMPUTED_VALUE"""),"ID ")</f>
        <v>ID </v>
      </c>
    </row>
    <row r="3273">
      <c r="A3273" s="6" t="str">
        <f>IFERROR(__xludf.DUMMYFUNCTION("""COMPUTED_VALUE"""),"")</f>
        <v/>
      </c>
      <c r="C3273" t="str">
        <f>IFERROR(__xludf.DUMMYFUNCTION("""COMPUTED_VALUE"""),"")</f>
        <v/>
      </c>
      <c r="D3273" t="str">
        <f>IFERROR(__xludf.DUMMYFUNCTION("""COMPUTED_VALUE"""),"")</f>
        <v/>
      </c>
      <c r="E3273" t="str">
        <f>IFERROR(__xludf.DUMMYFUNCTION("""COMPUTED_VALUE"""),"")</f>
        <v/>
      </c>
      <c r="F3273" t="str">
        <f>IFERROR(__xludf.DUMMYFUNCTION("""COMPUTED_VALUE"""),"")</f>
        <v/>
      </c>
      <c r="G3273" t="str">
        <f>IFERROR(__xludf.DUMMYFUNCTION("""COMPUTED_VALUE"""),"")</f>
        <v/>
      </c>
      <c r="H3273" s="2" t="str">
        <f>IFERROR(__xludf.DUMMYFUNCTION("""COMPUTED_VALUE"""),"")</f>
        <v/>
      </c>
      <c r="I3273" s="2" t="str">
        <f>IFERROR(__xludf.DUMMYFUNCTION("""COMPUTED_VALUE"""),"")</f>
        <v/>
      </c>
      <c r="J3273" s="2">
        <f>IFERROR(__xludf.DUMMYFUNCTION("""COMPUTED_VALUE"""),0.0)</f>
        <v>0</v>
      </c>
      <c r="K3273" s="5" t="str">
        <f>IFERROR(__xludf.DUMMYFUNCTION("""COMPUTED_VALUE"""),"")</f>
        <v/>
      </c>
      <c r="L3273" t="str">
        <f>IFERROR(__xludf.DUMMYFUNCTION("""COMPUTED_VALUE"""),"")</f>
        <v/>
      </c>
      <c r="M3273" t="str">
        <f>IFERROR(__xludf.DUMMYFUNCTION("""COMPUTED_VALUE"""),"")</f>
        <v/>
      </c>
      <c r="N3273" t="str">
        <f>IFERROR(__xludf.DUMMYFUNCTION("""COMPUTED_VALUE"""),"")</f>
        <v/>
      </c>
      <c r="O3273" t="str">
        <f>IFERROR(__xludf.DUMMYFUNCTION("""COMPUTED_VALUE"""),"")</f>
        <v/>
      </c>
      <c r="P3273" t="str">
        <f>IFERROR(__xludf.DUMMYFUNCTION("""COMPUTED_VALUE"""),"ID ")</f>
        <v>ID </v>
      </c>
    </row>
    <row r="3274">
      <c r="A3274" s="6" t="str">
        <f>IFERROR(__xludf.DUMMYFUNCTION("""COMPUTED_VALUE"""),"")</f>
        <v/>
      </c>
      <c r="C3274" t="str">
        <f>IFERROR(__xludf.DUMMYFUNCTION("""COMPUTED_VALUE"""),"")</f>
        <v/>
      </c>
      <c r="D3274" t="str">
        <f>IFERROR(__xludf.DUMMYFUNCTION("""COMPUTED_VALUE"""),"")</f>
        <v/>
      </c>
      <c r="E3274" t="str">
        <f>IFERROR(__xludf.DUMMYFUNCTION("""COMPUTED_VALUE"""),"")</f>
        <v/>
      </c>
      <c r="F3274" t="str">
        <f>IFERROR(__xludf.DUMMYFUNCTION("""COMPUTED_VALUE"""),"")</f>
        <v/>
      </c>
      <c r="G3274" t="str">
        <f>IFERROR(__xludf.DUMMYFUNCTION("""COMPUTED_VALUE"""),"")</f>
        <v/>
      </c>
      <c r="H3274" s="2" t="str">
        <f>IFERROR(__xludf.DUMMYFUNCTION("""COMPUTED_VALUE"""),"")</f>
        <v/>
      </c>
      <c r="I3274" s="2" t="str">
        <f>IFERROR(__xludf.DUMMYFUNCTION("""COMPUTED_VALUE"""),"")</f>
        <v/>
      </c>
      <c r="J3274" s="2">
        <f>IFERROR(__xludf.DUMMYFUNCTION("""COMPUTED_VALUE"""),0.0)</f>
        <v>0</v>
      </c>
      <c r="K3274" s="5" t="str">
        <f>IFERROR(__xludf.DUMMYFUNCTION("""COMPUTED_VALUE"""),"")</f>
        <v/>
      </c>
      <c r="L3274" t="str">
        <f>IFERROR(__xludf.DUMMYFUNCTION("""COMPUTED_VALUE"""),"")</f>
        <v/>
      </c>
      <c r="M3274" t="str">
        <f>IFERROR(__xludf.DUMMYFUNCTION("""COMPUTED_VALUE"""),"")</f>
        <v/>
      </c>
      <c r="N3274" t="str">
        <f>IFERROR(__xludf.DUMMYFUNCTION("""COMPUTED_VALUE"""),"")</f>
        <v/>
      </c>
      <c r="O3274" t="str">
        <f>IFERROR(__xludf.DUMMYFUNCTION("""COMPUTED_VALUE"""),"")</f>
        <v/>
      </c>
      <c r="P3274" t="str">
        <f>IFERROR(__xludf.DUMMYFUNCTION("""COMPUTED_VALUE"""),"ID ")</f>
        <v>ID </v>
      </c>
    </row>
    <row r="3275">
      <c r="A3275" s="6" t="str">
        <f>IFERROR(__xludf.DUMMYFUNCTION("""COMPUTED_VALUE"""),"")</f>
        <v/>
      </c>
      <c r="C3275" t="str">
        <f>IFERROR(__xludf.DUMMYFUNCTION("""COMPUTED_VALUE"""),"")</f>
        <v/>
      </c>
      <c r="D3275" t="str">
        <f>IFERROR(__xludf.DUMMYFUNCTION("""COMPUTED_VALUE"""),"")</f>
        <v/>
      </c>
      <c r="E3275" t="str">
        <f>IFERROR(__xludf.DUMMYFUNCTION("""COMPUTED_VALUE"""),"")</f>
        <v/>
      </c>
      <c r="F3275" t="str">
        <f>IFERROR(__xludf.DUMMYFUNCTION("""COMPUTED_VALUE"""),"")</f>
        <v/>
      </c>
      <c r="G3275" t="str">
        <f>IFERROR(__xludf.DUMMYFUNCTION("""COMPUTED_VALUE"""),"")</f>
        <v/>
      </c>
      <c r="H3275" s="2" t="str">
        <f>IFERROR(__xludf.DUMMYFUNCTION("""COMPUTED_VALUE"""),"")</f>
        <v/>
      </c>
      <c r="I3275" s="2" t="str">
        <f>IFERROR(__xludf.DUMMYFUNCTION("""COMPUTED_VALUE"""),"")</f>
        <v/>
      </c>
      <c r="J3275" s="2">
        <f>IFERROR(__xludf.DUMMYFUNCTION("""COMPUTED_VALUE"""),0.0)</f>
        <v>0</v>
      </c>
      <c r="K3275" s="5" t="str">
        <f>IFERROR(__xludf.DUMMYFUNCTION("""COMPUTED_VALUE"""),"")</f>
        <v/>
      </c>
      <c r="L3275" t="str">
        <f>IFERROR(__xludf.DUMMYFUNCTION("""COMPUTED_VALUE"""),"")</f>
        <v/>
      </c>
      <c r="M3275" t="str">
        <f>IFERROR(__xludf.DUMMYFUNCTION("""COMPUTED_VALUE"""),"")</f>
        <v/>
      </c>
      <c r="N3275" t="str">
        <f>IFERROR(__xludf.DUMMYFUNCTION("""COMPUTED_VALUE"""),"")</f>
        <v/>
      </c>
      <c r="O3275" t="str">
        <f>IFERROR(__xludf.DUMMYFUNCTION("""COMPUTED_VALUE"""),"")</f>
        <v/>
      </c>
      <c r="P3275" t="str">
        <f>IFERROR(__xludf.DUMMYFUNCTION("""COMPUTED_VALUE"""),"ID ")</f>
        <v>ID </v>
      </c>
    </row>
    <row r="3276">
      <c r="A3276" s="6" t="str">
        <f>IFERROR(__xludf.DUMMYFUNCTION("""COMPUTED_VALUE"""),"")</f>
        <v/>
      </c>
      <c r="C3276" t="str">
        <f>IFERROR(__xludf.DUMMYFUNCTION("""COMPUTED_VALUE"""),"")</f>
        <v/>
      </c>
      <c r="D3276" t="str">
        <f>IFERROR(__xludf.DUMMYFUNCTION("""COMPUTED_VALUE"""),"")</f>
        <v/>
      </c>
      <c r="E3276" t="str">
        <f>IFERROR(__xludf.DUMMYFUNCTION("""COMPUTED_VALUE"""),"")</f>
        <v/>
      </c>
      <c r="F3276" t="str">
        <f>IFERROR(__xludf.DUMMYFUNCTION("""COMPUTED_VALUE"""),"")</f>
        <v/>
      </c>
      <c r="G3276" t="str">
        <f>IFERROR(__xludf.DUMMYFUNCTION("""COMPUTED_VALUE"""),"")</f>
        <v/>
      </c>
      <c r="H3276" s="2" t="str">
        <f>IFERROR(__xludf.DUMMYFUNCTION("""COMPUTED_VALUE"""),"")</f>
        <v/>
      </c>
      <c r="I3276" s="2" t="str">
        <f>IFERROR(__xludf.DUMMYFUNCTION("""COMPUTED_VALUE"""),"")</f>
        <v/>
      </c>
      <c r="J3276" s="2">
        <f>IFERROR(__xludf.DUMMYFUNCTION("""COMPUTED_VALUE"""),0.0)</f>
        <v>0</v>
      </c>
      <c r="K3276" s="5" t="str">
        <f>IFERROR(__xludf.DUMMYFUNCTION("""COMPUTED_VALUE"""),"")</f>
        <v/>
      </c>
      <c r="L3276" t="str">
        <f>IFERROR(__xludf.DUMMYFUNCTION("""COMPUTED_VALUE"""),"")</f>
        <v/>
      </c>
      <c r="M3276" t="str">
        <f>IFERROR(__xludf.DUMMYFUNCTION("""COMPUTED_VALUE"""),"")</f>
        <v/>
      </c>
      <c r="N3276" t="str">
        <f>IFERROR(__xludf.DUMMYFUNCTION("""COMPUTED_VALUE"""),"")</f>
        <v/>
      </c>
      <c r="O3276" t="str">
        <f>IFERROR(__xludf.DUMMYFUNCTION("""COMPUTED_VALUE"""),"")</f>
        <v/>
      </c>
      <c r="P3276" t="str">
        <f>IFERROR(__xludf.DUMMYFUNCTION("""COMPUTED_VALUE"""),"ID ")</f>
        <v>ID </v>
      </c>
    </row>
    <row r="3277">
      <c r="A3277" s="6" t="str">
        <f>IFERROR(__xludf.DUMMYFUNCTION("""COMPUTED_VALUE"""),"")</f>
        <v/>
      </c>
      <c r="C3277" t="str">
        <f>IFERROR(__xludf.DUMMYFUNCTION("""COMPUTED_VALUE"""),"")</f>
        <v/>
      </c>
      <c r="D3277" t="str">
        <f>IFERROR(__xludf.DUMMYFUNCTION("""COMPUTED_VALUE"""),"")</f>
        <v/>
      </c>
      <c r="E3277" t="str">
        <f>IFERROR(__xludf.DUMMYFUNCTION("""COMPUTED_VALUE"""),"")</f>
        <v/>
      </c>
      <c r="F3277" t="str">
        <f>IFERROR(__xludf.DUMMYFUNCTION("""COMPUTED_VALUE"""),"")</f>
        <v/>
      </c>
      <c r="G3277" t="str">
        <f>IFERROR(__xludf.DUMMYFUNCTION("""COMPUTED_VALUE"""),"")</f>
        <v/>
      </c>
      <c r="H3277" s="2" t="str">
        <f>IFERROR(__xludf.DUMMYFUNCTION("""COMPUTED_VALUE"""),"")</f>
        <v/>
      </c>
      <c r="I3277" s="2" t="str">
        <f>IFERROR(__xludf.DUMMYFUNCTION("""COMPUTED_VALUE"""),"")</f>
        <v/>
      </c>
      <c r="J3277" s="2">
        <f>IFERROR(__xludf.DUMMYFUNCTION("""COMPUTED_VALUE"""),0.0)</f>
        <v>0</v>
      </c>
      <c r="K3277" s="5" t="str">
        <f>IFERROR(__xludf.DUMMYFUNCTION("""COMPUTED_VALUE"""),"")</f>
        <v/>
      </c>
      <c r="L3277" t="str">
        <f>IFERROR(__xludf.DUMMYFUNCTION("""COMPUTED_VALUE"""),"")</f>
        <v/>
      </c>
      <c r="M3277" t="str">
        <f>IFERROR(__xludf.DUMMYFUNCTION("""COMPUTED_VALUE"""),"")</f>
        <v/>
      </c>
      <c r="N3277" t="str">
        <f>IFERROR(__xludf.DUMMYFUNCTION("""COMPUTED_VALUE"""),"")</f>
        <v/>
      </c>
      <c r="O3277" t="str">
        <f>IFERROR(__xludf.DUMMYFUNCTION("""COMPUTED_VALUE"""),"")</f>
        <v/>
      </c>
      <c r="P3277" t="str">
        <f>IFERROR(__xludf.DUMMYFUNCTION("""COMPUTED_VALUE"""),"ID ")</f>
        <v>ID </v>
      </c>
    </row>
    <row r="3278">
      <c r="A3278" s="6" t="str">
        <f>IFERROR(__xludf.DUMMYFUNCTION("""COMPUTED_VALUE"""),"")</f>
        <v/>
      </c>
      <c r="C3278" t="str">
        <f>IFERROR(__xludf.DUMMYFUNCTION("""COMPUTED_VALUE"""),"")</f>
        <v/>
      </c>
      <c r="D3278" t="str">
        <f>IFERROR(__xludf.DUMMYFUNCTION("""COMPUTED_VALUE"""),"")</f>
        <v/>
      </c>
      <c r="E3278" t="str">
        <f>IFERROR(__xludf.DUMMYFUNCTION("""COMPUTED_VALUE"""),"")</f>
        <v/>
      </c>
      <c r="F3278" t="str">
        <f>IFERROR(__xludf.DUMMYFUNCTION("""COMPUTED_VALUE"""),"")</f>
        <v/>
      </c>
      <c r="G3278" t="str">
        <f>IFERROR(__xludf.DUMMYFUNCTION("""COMPUTED_VALUE"""),"")</f>
        <v/>
      </c>
      <c r="H3278" s="2" t="str">
        <f>IFERROR(__xludf.DUMMYFUNCTION("""COMPUTED_VALUE"""),"")</f>
        <v/>
      </c>
      <c r="I3278" s="2" t="str">
        <f>IFERROR(__xludf.DUMMYFUNCTION("""COMPUTED_VALUE"""),"")</f>
        <v/>
      </c>
      <c r="J3278" s="2">
        <f>IFERROR(__xludf.DUMMYFUNCTION("""COMPUTED_VALUE"""),0.0)</f>
        <v>0</v>
      </c>
      <c r="K3278" s="5" t="str">
        <f>IFERROR(__xludf.DUMMYFUNCTION("""COMPUTED_VALUE"""),"")</f>
        <v/>
      </c>
      <c r="L3278" t="str">
        <f>IFERROR(__xludf.DUMMYFUNCTION("""COMPUTED_VALUE"""),"")</f>
        <v/>
      </c>
      <c r="M3278" t="str">
        <f>IFERROR(__xludf.DUMMYFUNCTION("""COMPUTED_VALUE"""),"")</f>
        <v/>
      </c>
      <c r="N3278" t="str">
        <f>IFERROR(__xludf.DUMMYFUNCTION("""COMPUTED_VALUE"""),"")</f>
        <v/>
      </c>
      <c r="O3278" t="str">
        <f>IFERROR(__xludf.DUMMYFUNCTION("""COMPUTED_VALUE"""),"")</f>
        <v/>
      </c>
      <c r="P3278" t="str">
        <f>IFERROR(__xludf.DUMMYFUNCTION("""COMPUTED_VALUE"""),"ID ")</f>
        <v>ID </v>
      </c>
    </row>
    <row r="3279">
      <c r="A3279" s="6" t="str">
        <f>IFERROR(__xludf.DUMMYFUNCTION("""COMPUTED_VALUE"""),"")</f>
        <v/>
      </c>
      <c r="C3279" t="str">
        <f>IFERROR(__xludf.DUMMYFUNCTION("""COMPUTED_VALUE"""),"")</f>
        <v/>
      </c>
      <c r="D3279" t="str">
        <f>IFERROR(__xludf.DUMMYFUNCTION("""COMPUTED_VALUE"""),"")</f>
        <v/>
      </c>
      <c r="E3279" t="str">
        <f>IFERROR(__xludf.DUMMYFUNCTION("""COMPUTED_VALUE"""),"")</f>
        <v/>
      </c>
      <c r="F3279" t="str">
        <f>IFERROR(__xludf.DUMMYFUNCTION("""COMPUTED_VALUE"""),"")</f>
        <v/>
      </c>
      <c r="G3279" t="str">
        <f>IFERROR(__xludf.DUMMYFUNCTION("""COMPUTED_VALUE"""),"")</f>
        <v/>
      </c>
      <c r="H3279" s="2" t="str">
        <f>IFERROR(__xludf.DUMMYFUNCTION("""COMPUTED_VALUE"""),"")</f>
        <v/>
      </c>
      <c r="I3279" s="2" t="str">
        <f>IFERROR(__xludf.DUMMYFUNCTION("""COMPUTED_VALUE"""),"")</f>
        <v/>
      </c>
      <c r="J3279" s="2">
        <f>IFERROR(__xludf.DUMMYFUNCTION("""COMPUTED_VALUE"""),0.0)</f>
        <v>0</v>
      </c>
      <c r="K3279" s="5" t="str">
        <f>IFERROR(__xludf.DUMMYFUNCTION("""COMPUTED_VALUE"""),"")</f>
        <v/>
      </c>
      <c r="L3279" t="str">
        <f>IFERROR(__xludf.DUMMYFUNCTION("""COMPUTED_VALUE"""),"")</f>
        <v/>
      </c>
      <c r="M3279" t="str">
        <f>IFERROR(__xludf.DUMMYFUNCTION("""COMPUTED_VALUE"""),"")</f>
        <v/>
      </c>
      <c r="N3279" t="str">
        <f>IFERROR(__xludf.DUMMYFUNCTION("""COMPUTED_VALUE"""),"")</f>
        <v/>
      </c>
      <c r="O3279" t="str">
        <f>IFERROR(__xludf.DUMMYFUNCTION("""COMPUTED_VALUE"""),"")</f>
        <v/>
      </c>
      <c r="P3279" t="str">
        <f>IFERROR(__xludf.DUMMYFUNCTION("""COMPUTED_VALUE"""),"ID ")</f>
        <v>ID </v>
      </c>
    </row>
    <row r="3280">
      <c r="A3280" s="6" t="str">
        <f>IFERROR(__xludf.DUMMYFUNCTION("""COMPUTED_VALUE"""),"")</f>
        <v/>
      </c>
      <c r="C3280" t="str">
        <f>IFERROR(__xludf.DUMMYFUNCTION("""COMPUTED_VALUE"""),"")</f>
        <v/>
      </c>
      <c r="D3280" t="str">
        <f>IFERROR(__xludf.DUMMYFUNCTION("""COMPUTED_VALUE"""),"")</f>
        <v/>
      </c>
      <c r="E3280" t="str">
        <f>IFERROR(__xludf.DUMMYFUNCTION("""COMPUTED_VALUE"""),"")</f>
        <v/>
      </c>
      <c r="F3280" t="str">
        <f>IFERROR(__xludf.DUMMYFUNCTION("""COMPUTED_VALUE"""),"")</f>
        <v/>
      </c>
      <c r="G3280" t="str">
        <f>IFERROR(__xludf.DUMMYFUNCTION("""COMPUTED_VALUE"""),"")</f>
        <v/>
      </c>
      <c r="H3280" s="2" t="str">
        <f>IFERROR(__xludf.DUMMYFUNCTION("""COMPUTED_VALUE"""),"")</f>
        <v/>
      </c>
      <c r="I3280" s="2" t="str">
        <f>IFERROR(__xludf.DUMMYFUNCTION("""COMPUTED_VALUE"""),"")</f>
        <v/>
      </c>
      <c r="J3280" s="2">
        <f>IFERROR(__xludf.DUMMYFUNCTION("""COMPUTED_VALUE"""),0.0)</f>
        <v>0</v>
      </c>
      <c r="K3280" s="5" t="str">
        <f>IFERROR(__xludf.DUMMYFUNCTION("""COMPUTED_VALUE"""),"")</f>
        <v/>
      </c>
      <c r="L3280" t="str">
        <f>IFERROR(__xludf.DUMMYFUNCTION("""COMPUTED_VALUE"""),"")</f>
        <v/>
      </c>
      <c r="M3280" t="str">
        <f>IFERROR(__xludf.DUMMYFUNCTION("""COMPUTED_VALUE"""),"")</f>
        <v/>
      </c>
      <c r="N3280" t="str">
        <f>IFERROR(__xludf.DUMMYFUNCTION("""COMPUTED_VALUE"""),"")</f>
        <v/>
      </c>
      <c r="O3280" t="str">
        <f>IFERROR(__xludf.DUMMYFUNCTION("""COMPUTED_VALUE"""),"")</f>
        <v/>
      </c>
      <c r="P3280" t="str">
        <f>IFERROR(__xludf.DUMMYFUNCTION("""COMPUTED_VALUE"""),"ID ")</f>
        <v>ID </v>
      </c>
    </row>
    <row r="3281">
      <c r="A3281" s="6" t="str">
        <f>IFERROR(__xludf.DUMMYFUNCTION("""COMPUTED_VALUE"""),"")</f>
        <v/>
      </c>
      <c r="C3281" t="str">
        <f>IFERROR(__xludf.DUMMYFUNCTION("""COMPUTED_VALUE"""),"")</f>
        <v/>
      </c>
      <c r="D3281" t="str">
        <f>IFERROR(__xludf.DUMMYFUNCTION("""COMPUTED_VALUE"""),"")</f>
        <v/>
      </c>
      <c r="E3281" t="str">
        <f>IFERROR(__xludf.DUMMYFUNCTION("""COMPUTED_VALUE"""),"")</f>
        <v/>
      </c>
      <c r="F3281" t="str">
        <f>IFERROR(__xludf.DUMMYFUNCTION("""COMPUTED_VALUE"""),"")</f>
        <v/>
      </c>
      <c r="G3281" t="str">
        <f>IFERROR(__xludf.DUMMYFUNCTION("""COMPUTED_VALUE"""),"")</f>
        <v/>
      </c>
      <c r="H3281" s="2" t="str">
        <f>IFERROR(__xludf.DUMMYFUNCTION("""COMPUTED_VALUE"""),"")</f>
        <v/>
      </c>
      <c r="I3281" s="2" t="str">
        <f>IFERROR(__xludf.DUMMYFUNCTION("""COMPUTED_VALUE"""),"")</f>
        <v/>
      </c>
      <c r="J3281" s="2">
        <f>IFERROR(__xludf.DUMMYFUNCTION("""COMPUTED_VALUE"""),0.0)</f>
        <v>0</v>
      </c>
      <c r="K3281" s="5" t="str">
        <f>IFERROR(__xludf.DUMMYFUNCTION("""COMPUTED_VALUE"""),"")</f>
        <v/>
      </c>
      <c r="L3281" t="str">
        <f>IFERROR(__xludf.DUMMYFUNCTION("""COMPUTED_VALUE"""),"")</f>
        <v/>
      </c>
      <c r="M3281" t="str">
        <f>IFERROR(__xludf.DUMMYFUNCTION("""COMPUTED_VALUE"""),"")</f>
        <v/>
      </c>
      <c r="N3281" t="str">
        <f>IFERROR(__xludf.DUMMYFUNCTION("""COMPUTED_VALUE"""),"")</f>
        <v/>
      </c>
      <c r="O3281" t="str">
        <f>IFERROR(__xludf.DUMMYFUNCTION("""COMPUTED_VALUE"""),"")</f>
        <v/>
      </c>
      <c r="P3281" t="str">
        <f>IFERROR(__xludf.DUMMYFUNCTION("""COMPUTED_VALUE"""),"ID ")</f>
        <v>ID </v>
      </c>
    </row>
    <row r="3282">
      <c r="A3282" s="6" t="str">
        <f>IFERROR(__xludf.DUMMYFUNCTION("""COMPUTED_VALUE"""),"")</f>
        <v/>
      </c>
      <c r="C3282" t="str">
        <f>IFERROR(__xludf.DUMMYFUNCTION("""COMPUTED_VALUE"""),"")</f>
        <v/>
      </c>
      <c r="D3282" t="str">
        <f>IFERROR(__xludf.DUMMYFUNCTION("""COMPUTED_VALUE"""),"")</f>
        <v/>
      </c>
      <c r="E3282" t="str">
        <f>IFERROR(__xludf.DUMMYFUNCTION("""COMPUTED_VALUE"""),"")</f>
        <v/>
      </c>
      <c r="F3282" t="str">
        <f>IFERROR(__xludf.DUMMYFUNCTION("""COMPUTED_VALUE"""),"")</f>
        <v/>
      </c>
      <c r="G3282" t="str">
        <f>IFERROR(__xludf.DUMMYFUNCTION("""COMPUTED_VALUE"""),"")</f>
        <v/>
      </c>
      <c r="H3282" s="2" t="str">
        <f>IFERROR(__xludf.DUMMYFUNCTION("""COMPUTED_VALUE"""),"")</f>
        <v/>
      </c>
      <c r="I3282" s="2" t="str">
        <f>IFERROR(__xludf.DUMMYFUNCTION("""COMPUTED_VALUE"""),"")</f>
        <v/>
      </c>
      <c r="J3282" s="2">
        <f>IFERROR(__xludf.DUMMYFUNCTION("""COMPUTED_VALUE"""),0.0)</f>
        <v>0</v>
      </c>
      <c r="K3282" s="5" t="str">
        <f>IFERROR(__xludf.DUMMYFUNCTION("""COMPUTED_VALUE"""),"")</f>
        <v/>
      </c>
      <c r="L3282" t="str">
        <f>IFERROR(__xludf.DUMMYFUNCTION("""COMPUTED_VALUE"""),"")</f>
        <v/>
      </c>
      <c r="M3282" t="str">
        <f>IFERROR(__xludf.DUMMYFUNCTION("""COMPUTED_VALUE"""),"")</f>
        <v/>
      </c>
      <c r="N3282" t="str">
        <f>IFERROR(__xludf.DUMMYFUNCTION("""COMPUTED_VALUE"""),"")</f>
        <v/>
      </c>
      <c r="O3282" t="str">
        <f>IFERROR(__xludf.DUMMYFUNCTION("""COMPUTED_VALUE"""),"")</f>
        <v/>
      </c>
      <c r="P3282" t="str">
        <f>IFERROR(__xludf.DUMMYFUNCTION("""COMPUTED_VALUE"""),"ID ")</f>
        <v>ID </v>
      </c>
    </row>
    <row r="3283">
      <c r="A3283" s="6" t="str">
        <f>IFERROR(__xludf.DUMMYFUNCTION("""COMPUTED_VALUE"""),"")</f>
        <v/>
      </c>
      <c r="C3283" t="str">
        <f>IFERROR(__xludf.DUMMYFUNCTION("""COMPUTED_VALUE"""),"")</f>
        <v/>
      </c>
      <c r="D3283" t="str">
        <f>IFERROR(__xludf.DUMMYFUNCTION("""COMPUTED_VALUE"""),"")</f>
        <v/>
      </c>
      <c r="E3283" t="str">
        <f>IFERROR(__xludf.DUMMYFUNCTION("""COMPUTED_VALUE"""),"")</f>
        <v/>
      </c>
      <c r="F3283" t="str">
        <f>IFERROR(__xludf.DUMMYFUNCTION("""COMPUTED_VALUE"""),"")</f>
        <v/>
      </c>
      <c r="G3283" t="str">
        <f>IFERROR(__xludf.DUMMYFUNCTION("""COMPUTED_VALUE"""),"")</f>
        <v/>
      </c>
      <c r="H3283" s="2" t="str">
        <f>IFERROR(__xludf.DUMMYFUNCTION("""COMPUTED_VALUE"""),"")</f>
        <v/>
      </c>
      <c r="I3283" s="2" t="str">
        <f>IFERROR(__xludf.DUMMYFUNCTION("""COMPUTED_VALUE"""),"")</f>
        <v/>
      </c>
      <c r="J3283" s="2">
        <f>IFERROR(__xludf.DUMMYFUNCTION("""COMPUTED_VALUE"""),0.0)</f>
        <v>0</v>
      </c>
      <c r="K3283" s="5" t="str">
        <f>IFERROR(__xludf.DUMMYFUNCTION("""COMPUTED_VALUE"""),"")</f>
        <v/>
      </c>
      <c r="L3283" t="str">
        <f>IFERROR(__xludf.DUMMYFUNCTION("""COMPUTED_VALUE"""),"")</f>
        <v/>
      </c>
      <c r="M3283" t="str">
        <f>IFERROR(__xludf.DUMMYFUNCTION("""COMPUTED_VALUE"""),"")</f>
        <v/>
      </c>
      <c r="N3283" t="str">
        <f>IFERROR(__xludf.DUMMYFUNCTION("""COMPUTED_VALUE"""),"")</f>
        <v/>
      </c>
      <c r="O3283" t="str">
        <f>IFERROR(__xludf.DUMMYFUNCTION("""COMPUTED_VALUE"""),"")</f>
        <v/>
      </c>
      <c r="P3283" t="str">
        <f>IFERROR(__xludf.DUMMYFUNCTION("""COMPUTED_VALUE"""),"ID ")</f>
        <v>ID </v>
      </c>
    </row>
    <row r="3284">
      <c r="A3284" s="6" t="str">
        <f>IFERROR(__xludf.DUMMYFUNCTION("""COMPUTED_VALUE"""),"")</f>
        <v/>
      </c>
      <c r="C3284" t="str">
        <f>IFERROR(__xludf.DUMMYFUNCTION("""COMPUTED_VALUE"""),"")</f>
        <v/>
      </c>
      <c r="D3284" t="str">
        <f>IFERROR(__xludf.DUMMYFUNCTION("""COMPUTED_VALUE"""),"")</f>
        <v/>
      </c>
      <c r="E3284" t="str">
        <f>IFERROR(__xludf.DUMMYFUNCTION("""COMPUTED_VALUE"""),"")</f>
        <v/>
      </c>
      <c r="F3284" t="str">
        <f>IFERROR(__xludf.DUMMYFUNCTION("""COMPUTED_VALUE"""),"")</f>
        <v/>
      </c>
      <c r="G3284" t="str">
        <f>IFERROR(__xludf.DUMMYFUNCTION("""COMPUTED_VALUE"""),"")</f>
        <v/>
      </c>
      <c r="H3284" s="2" t="str">
        <f>IFERROR(__xludf.DUMMYFUNCTION("""COMPUTED_VALUE"""),"")</f>
        <v/>
      </c>
      <c r="I3284" s="2" t="str">
        <f>IFERROR(__xludf.DUMMYFUNCTION("""COMPUTED_VALUE"""),"")</f>
        <v/>
      </c>
      <c r="J3284" s="2">
        <f>IFERROR(__xludf.DUMMYFUNCTION("""COMPUTED_VALUE"""),0.0)</f>
        <v>0</v>
      </c>
      <c r="K3284" s="5" t="str">
        <f>IFERROR(__xludf.DUMMYFUNCTION("""COMPUTED_VALUE"""),"")</f>
        <v/>
      </c>
      <c r="L3284" t="str">
        <f>IFERROR(__xludf.DUMMYFUNCTION("""COMPUTED_VALUE"""),"")</f>
        <v/>
      </c>
      <c r="M3284" t="str">
        <f>IFERROR(__xludf.DUMMYFUNCTION("""COMPUTED_VALUE"""),"")</f>
        <v/>
      </c>
      <c r="N3284" t="str">
        <f>IFERROR(__xludf.DUMMYFUNCTION("""COMPUTED_VALUE"""),"")</f>
        <v/>
      </c>
      <c r="O3284" t="str">
        <f>IFERROR(__xludf.DUMMYFUNCTION("""COMPUTED_VALUE"""),"")</f>
        <v/>
      </c>
      <c r="P3284" t="str">
        <f>IFERROR(__xludf.DUMMYFUNCTION("""COMPUTED_VALUE"""),"ID ")</f>
        <v>ID </v>
      </c>
    </row>
    <row r="3285">
      <c r="A3285" s="6" t="str">
        <f>IFERROR(__xludf.DUMMYFUNCTION("""COMPUTED_VALUE"""),"")</f>
        <v/>
      </c>
      <c r="C3285" t="str">
        <f>IFERROR(__xludf.DUMMYFUNCTION("""COMPUTED_VALUE"""),"")</f>
        <v/>
      </c>
      <c r="D3285" t="str">
        <f>IFERROR(__xludf.DUMMYFUNCTION("""COMPUTED_VALUE"""),"")</f>
        <v/>
      </c>
      <c r="E3285" t="str">
        <f>IFERROR(__xludf.DUMMYFUNCTION("""COMPUTED_VALUE"""),"")</f>
        <v/>
      </c>
      <c r="F3285" t="str">
        <f>IFERROR(__xludf.DUMMYFUNCTION("""COMPUTED_VALUE"""),"")</f>
        <v/>
      </c>
      <c r="G3285" t="str">
        <f>IFERROR(__xludf.DUMMYFUNCTION("""COMPUTED_VALUE"""),"")</f>
        <v/>
      </c>
      <c r="H3285" s="2" t="str">
        <f>IFERROR(__xludf.DUMMYFUNCTION("""COMPUTED_VALUE"""),"")</f>
        <v/>
      </c>
      <c r="I3285" s="2" t="str">
        <f>IFERROR(__xludf.DUMMYFUNCTION("""COMPUTED_VALUE"""),"")</f>
        <v/>
      </c>
      <c r="J3285" s="2">
        <f>IFERROR(__xludf.DUMMYFUNCTION("""COMPUTED_VALUE"""),0.0)</f>
        <v>0</v>
      </c>
      <c r="K3285" s="5" t="str">
        <f>IFERROR(__xludf.DUMMYFUNCTION("""COMPUTED_VALUE"""),"")</f>
        <v/>
      </c>
      <c r="L3285" t="str">
        <f>IFERROR(__xludf.DUMMYFUNCTION("""COMPUTED_VALUE"""),"")</f>
        <v/>
      </c>
      <c r="M3285" t="str">
        <f>IFERROR(__xludf.DUMMYFUNCTION("""COMPUTED_VALUE"""),"")</f>
        <v/>
      </c>
      <c r="N3285" t="str">
        <f>IFERROR(__xludf.DUMMYFUNCTION("""COMPUTED_VALUE"""),"")</f>
        <v/>
      </c>
      <c r="O3285" t="str">
        <f>IFERROR(__xludf.DUMMYFUNCTION("""COMPUTED_VALUE"""),"")</f>
        <v/>
      </c>
      <c r="P3285" t="str">
        <f>IFERROR(__xludf.DUMMYFUNCTION("""COMPUTED_VALUE"""),"ID ")</f>
        <v>ID </v>
      </c>
    </row>
    <row r="3286">
      <c r="A3286" s="6" t="str">
        <f>IFERROR(__xludf.DUMMYFUNCTION("""COMPUTED_VALUE"""),"")</f>
        <v/>
      </c>
      <c r="C3286" t="str">
        <f>IFERROR(__xludf.DUMMYFUNCTION("""COMPUTED_VALUE"""),"")</f>
        <v/>
      </c>
      <c r="D3286" t="str">
        <f>IFERROR(__xludf.DUMMYFUNCTION("""COMPUTED_VALUE"""),"")</f>
        <v/>
      </c>
      <c r="E3286" t="str">
        <f>IFERROR(__xludf.DUMMYFUNCTION("""COMPUTED_VALUE"""),"")</f>
        <v/>
      </c>
      <c r="F3286" t="str">
        <f>IFERROR(__xludf.DUMMYFUNCTION("""COMPUTED_VALUE"""),"")</f>
        <v/>
      </c>
      <c r="G3286" t="str">
        <f>IFERROR(__xludf.DUMMYFUNCTION("""COMPUTED_VALUE"""),"")</f>
        <v/>
      </c>
      <c r="H3286" s="2" t="str">
        <f>IFERROR(__xludf.DUMMYFUNCTION("""COMPUTED_VALUE"""),"")</f>
        <v/>
      </c>
      <c r="I3286" s="2" t="str">
        <f>IFERROR(__xludf.DUMMYFUNCTION("""COMPUTED_VALUE"""),"")</f>
        <v/>
      </c>
      <c r="J3286" s="2">
        <f>IFERROR(__xludf.DUMMYFUNCTION("""COMPUTED_VALUE"""),0.0)</f>
        <v>0</v>
      </c>
      <c r="K3286" s="5" t="str">
        <f>IFERROR(__xludf.DUMMYFUNCTION("""COMPUTED_VALUE"""),"")</f>
        <v/>
      </c>
      <c r="L3286" t="str">
        <f>IFERROR(__xludf.DUMMYFUNCTION("""COMPUTED_VALUE"""),"")</f>
        <v/>
      </c>
      <c r="M3286" t="str">
        <f>IFERROR(__xludf.DUMMYFUNCTION("""COMPUTED_VALUE"""),"")</f>
        <v/>
      </c>
      <c r="N3286" t="str">
        <f>IFERROR(__xludf.DUMMYFUNCTION("""COMPUTED_VALUE"""),"")</f>
        <v/>
      </c>
      <c r="O3286" t="str">
        <f>IFERROR(__xludf.DUMMYFUNCTION("""COMPUTED_VALUE"""),"")</f>
        <v/>
      </c>
      <c r="P3286" t="str">
        <f>IFERROR(__xludf.DUMMYFUNCTION("""COMPUTED_VALUE"""),"ID ")</f>
        <v>ID </v>
      </c>
    </row>
    <row r="3287">
      <c r="A3287" s="6" t="str">
        <f>IFERROR(__xludf.DUMMYFUNCTION("""COMPUTED_VALUE"""),"")</f>
        <v/>
      </c>
      <c r="C3287" t="str">
        <f>IFERROR(__xludf.DUMMYFUNCTION("""COMPUTED_VALUE"""),"")</f>
        <v/>
      </c>
      <c r="D3287" t="str">
        <f>IFERROR(__xludf.DUMMYFUNCTION("""COMPUTED_VALUE"""),"")</f>
        <v/>
      </c>
      <c r="E3287" t="str">
        <f>IFERROR(__xludf.DUMMYFUNCTION("""COMPUTED_VALUE"""),"")</f>
        <v/>
      </c>
      <c r="F3287" t="str">
        <f>IFERROR(__xludf.DUMMYFUNCTION("""COMPUTED_VALUE"""),"")</f>
        <v/>
      </c>
      <c r="G3287" t="str">
        <f>IFERROR(__xludf.DUMMYFUNCTION("""COMPUTED_VALUE"""),"")</f>
        <v/>
      </c>
      <c r="H3287" s="2" t="str">
        <f>IFERROR(__xludf.DUMMYFUNCTION("""COMPUTED_VALUE"""),"")</f>
        <v/>
      </c>
      <c r="I3287" s="2" t="str">
        <f>IFERROR(__xludf.DUMMYFUNCTION("""COMPUTED_VALUE"""),"")</f>
        <v/>
      </c>
      <c r="J3287" s="2">
        <f>IFERROR(__xludf.DUMMYFUNCTION("""COMPUTED_VALUE"""),0.0)</f>
        <v>0</v>
      </c>
      <c r="K3287" s="5" t="str">
        <f>IFERROR(__xludf.DUMMYFUNCTION("""COMPUTED_VALUE"""),"")</f>
        <v/>
      </c>
      <c r="L3287" t="str">
        <f>IFERROR(__xludf.DUMMYFUNCTION("""COMPUTED_VALUE"""),"")</f>
        <v/>
      </c>
      <c r="M3287" t="str">
        <f>IFERROR(__xludf.DUMMYFUNCTION("""COMPUTED_VALUE"""),"")</f>
        <v/>
      </c>
      <c r="N3287" t="str">
        <f>IFERROR(__xludf.DUMMYFUNCTION("""COMPUTED_VALUE"""),"")</f>
        <v/>
      </c>
      <c r="O3287" t="str">
        <f>IFERROR(__xludf.DUMMYFUNCTION("""COMPUTED_VALUE"""),"")</f>
        <v/>
      </c>
      <c r="P3287" t="str">
        <f>IFERROR(__xludf.DUMMYFUNCTION("""COMPUTED_VALUE"""),"ID ")</f>
        <v>ID </v>
      </c>
    </row>
    <row r="3288">
      <c r="A3288" s="6" t="str">
        <f>IFERROR(__xludf.DUMMYFUNCTION("""COMPUTED_VALUE"""),"")</f>
        <v/>
      </c>
      <c r="C3288" t="str">
        <f>IFERROR(__xludf.DUMMYFUNCTION("""COMPUTED_VALUE"""),"")</f>
        <v/>
      </c>
      <c r="D3288" t="str">
        <f>IFERROR(__xludf.DUMMYFUNCTION("""COMPUTED_VALUE"""),"")</f>
        <v/>
      </c>
      <c r="E3288" t="str">
        <f>IFERROR(__xludf.DUMMYFUNCTION("""COMPUTED_VALUE"""),"")</f>
        <v/>
      </c>
      <c r="F3288" t="str">
        <f>IFERROR(__xludf.DUMMYFUNCTION("""COMPUTED_VALUE"""),"")</f>
        <v/>
      </c>
      <c r="G3288" t="str">
        <f>IFERROR(__xludf.DUMMYFUNCTION("""COMPUTED_VALUE"""),"")</f>
        <v/>
      </c>
      <c r="H3288" s="2" t="str">
        <f>IFERROR(__xludf.DUMMYFUNCTION("""COMPUTED_VALUE"""),"")</f>
        <v/>
      </c>
      <c r="I3288" s="2" t="str">
        <f>IFERROR(__xludf.DUMMYFUNCTION("""COMPUTED_VALUE"""),"")</f>
        <v/>
      </c>
      <c r="J3288" s="2">
        <f>IFERROR(__xludf.DUMMYFUNCTION("""COMPUTED_VALUE"""),0.0)</f>
        <v>0</v>
      </c>
      <c r="K3288" s="5" t="str">
        <f>IFERROR(__xludf.DUMMYFUNCTION("""COMPUTED_VALUE"""),"")</f>
        <v/>
      </c>
      <c r="L3288" t="str">
        <f>IFERROR(__xludf.DUMMYFUNCTION("""COMPUTED_VALUE"""),"")</f>
        <v/>
      </c>
      <c r="M3288" t="str">
        <f>IFERROR(__xludf.DUMMYFUNCTION("""COMPUTED_VALUE"""),"")</f>
        <v/>
      </c>
      <c r="N3288" t="str">
        <f>IFERROR(__xludf.DUMMYFUNCTION("""COMPUTED_VALUE"""),"")</f>
        <v/>
      </c>
      <c r="O3288" t="str">
        <f>IFERROR(__xludf.DUMMYFUNCTION("""COMPUTED_VALUE"""),"")</f>
        <v/>
      </c>
      <c r="P3288" t="str">
        <f>IFERROR(__xludf.DUMMYFUNCTION("""COMPUTED_VALUE"""),"ID ")</f>
        <v>ID </v>
      </c>
    </row>
    <row r="3289">
      <c r="A3289" s="6" t="str">
        <f>IFERROR(__xludf.DUMMYFUNCTION("""COMPUTED_VALUE"""),"")</f>
        <v/>
      </c>
      <c r="C3289" t="str">
        <f>IFERROR(__xludf.DUMMYFUNCTION("""COMPUTED_VALUE"""),"")</f>
        <v/>
      </c>
      <c r="D3289" t="str">
        <f>IFERROR(__xludf.DUMMYFUNCTION("""COMPUTED_VALUE"""),"")</f>
        <v/>
      </c>
      <c r="E3289" t="str">
        <f>IFERROR(__xludf.DUMMYFUNCTION("""COMPUTED_VALUE"""),"")</f>
        <v/>
      </c>
      <c r="F3289" t="str">
        <f>IFERROR(__xludf.DUMMYFUNCTION("""COMPUTED_VALUE"""),"")</f>
        <v/>
      </c>
      <c r="G3289" t="str">
        <f>IFERROR(__xludf.DUMMYFUNCTION("""COMPUTED_VALUE"""),"")</f>
        <v/>
      </c>
      <c r="H3289" s="2" t="str">
        <f>IFERROR(__xludf.DUMMYFUNCTION("""COMPUTED_VALUE"""),"")</f>
        <v/>
      </c>
      <c r="I3289" s="2" t="str">
        <f>IFERROR(__xludf.DUMMYFUNCTION("""COMPUTED_VALUE"""),"")</f>
        <v/>
      </c>
      <c r="J3289" s="2">
        <f>IFERROR(__xludf.DUMMYFUNCTION("""COMPUTED_VALUE"""),0.0)</f>
        <v>0</v>
      </c>
      <c r="K3289" s="5" t="str">
        <f>IFERROR(__xludf.DUMMYFUNCTION("""COMPUTED_VALUE"""),"")</f>
        <v/>
      </c>
      <c r="L3289" t="str">
        <f>IFERROR(__xludf.DUMMYFUNCTION("""COMPUTED_VALUE"""),"")</f>
        <v/>
      </c>
      <c r="M3289" t="str">
        <f>IFERROR(__xludf.DUMMYFUNCTION("""COMPUTED_VALUE"""),"")</f>
        <v/>
      </c>
      <c r="N3289" t="str">
        <f>IFERROR(__xludf.DUMMYFUNCTION("""COMPUTED_VALUE"""),"")</f>
        <v/>
      </c>
      <c r="O3289" t="str">
        <f>IFERROR(__xludf.DUMMYFUNCTION("""COMPUTED_VALUE"""),"")</f>
        <v/>
      </c>
      <c r="P3289" t="str">
        <f>IFERROR(__xludf.DUMMYFUNCTION("""COMPUTED_VALUE"""),"ID ")</f>
        <v>ID </v>
      </c>
    </row>
    <row r="3290">
      <c r="A3290" s="6" t="str">
        <f>IFERROR(__xludf.DUMMYFUNCTION("""COMPUTED_VALUE"""),"")</f>
        <v/>
      </c>
      <c r="C3290" t="str">
        <f>IFERROR(__xludf.DUMMYFUNCTION("""COMPUTED_VALUE"""),"")</f>
        <v/>
      </c>
      <c r="D3290" t="str">
        <f>IFERROR(__xludf.DUMMYFUNCTION("""COMPUTED_VALUE"""),"")</f>
        <v/>
      </c>
      <c r="E3290" t="str">
        <f>IFERROR(__xludf.DUMMYFUNCTION("""COMPUTED_VALUE"""),"")</f>
        <v/>
      </c>
      <c r="F3290" t="str">
        <f>IFERROR(__xludf.DUMMYFUNCTION("""COMPUTED_VALUE"""),"")</f>
        <v/>
      </c>
      <c r="G3290" t="str">
        <f>IFERROR(__xludf.DUMMYFUNCTION("""COMPUTED_VALUE"""),"")</f>
        <v/>
      </c>
      <c r="H3290" s="2" t="str">
        <f>IFERROR(__xludf.DUMMYFUNCTION("""COMPUTED_VALUE"""),"")</f>
        <v/>
      </c>
      <c r="I3290" s="2" t="str">
        <f>IFERROR(__xludf.DUMMYFUNCTION("""COMPUTED_VALUE"""),"")</f>
        <v/>
      </c>
      <c r="J3290" s="2">
        <f>IFERROR(__xludf.DUMMYFUNCTION("""COMPUTED_VALUE"""),0.0)</f>
        <v>0</v>
      </c>
      <c r="K3290" s="5" t="str">
        <f>IFERROR(__xludf.DUMMYFUNCTION("""COMPUTED_VALUE"""),"")</f>
        <v/>
      </c>
      <c r="L3290" t="str">
        <f>IFERROR(__xludf.DUMMYFUNCTION("""COMPUTED_VALUE"""),"")</f>
        <v/>
      </c>
      <c r="M3290" t="str">
        <f>IFERROR(__xludf.DUMMYFUNCTION("""COMPUTED_VALUE"""),"")</f>
        <v/>
      </c>
      <c r="N3290" t="str">
        <f>IFERROR(__xludf.DUMMYFUNCTION("""COMPUTED_VALUE"""),"")</f>
        <v/>
      </c>
      <c r="O3290" t="str">
        <f>IFERROR(__xludf.DUMMYFUNCTION("""COMPUTED_VALUE"""),"")</f>
        <v/>
      </c>
      <c r="P3290" t="str">
        <f>IFERROR(__xludf.DUMMYFUNCTION("""COMPUTED_VALUE"""),"ID ")</f>
        <v>ID </v>
      </c>
    </row>
    <row r="3291">
      <c r="A3291" s="6" t="str">
        <f>IFERROR(__xludf.DUMMYFUNCTION("""COMPUTED_VALUE"""),"")</f>
        <v/>
      </c>
      <c r="C3291" t="str">
        <f>IFERROR(__xludf.DUMMYFUNCTION("""COMPUTED_VALUE"""),"")</f>
        <v/>
      </c>
      <c r="D3291" t="str">
        <f>IFERROR(__xludf.DUMMYFUNCTION("""COMPUTED_VALUE"""),"")</f>
        <v/>
      </c>
      <c r="E3291" t="str">
        <f>IFERROR(__xludf.DUMMYFUNCTION("""COMPUTED_VALUE"""),"")</f>
        <v/>
      </c>
      <c r="F3291" t="str">
        <f>IFERROR(__xludf.DUMMYFUNCTION("""COMPUTED_VALUE"""),"")</f>
        <v/>
      </c>
      <c r="G3291" t="str">
        <f>IFERROR(__xludf.DUMMYFUNCTION("""COMPUTED_VALUE"""),"")</f>
        <v/>
      </c>
      <c r="H3291" s="2" t="str">
        <f>IFERROR(__xludf.DUMMYFUNCTION("""COMPUTED_VALUE"""),"")</f>
        <v/>
      </c>
      <c r="I3291" s="2" t="str">
        <f>IFERROR(__xludf.DUMMYFUNCTION("""COMPUTED_VALUE"""),"")</f>
        <v/>
      </c>
      <c r="J3291" s="2">
        <f>IFERROR(__xludf.DUMMYFUNCTION("""COMPUTED_VALUE"""),0.0)</f>
        <v>0</v>
      </c>
      <c r="K3291" s="5" t="str">
        <f>IFERROR(__xludf.DUMMYFUNCTION("""COMPUTED_VALUE"""),"")</f>
        <v/>
      </c>
      <c r="L3291" t="str">
        <f>IFERROR(__xludf.DUMMYFUNCTION("""COMPUTED_VALUE"""),"")</f>
        <v/>
      </c>
      <c r="M3291" t="str">
        <f>IFERROR(__xludf.DUMMYFUNCTION("""COMPUTED_VALUE"""),"")</f>
        <v/>
      </c>
      <c r="N3291" t="str">
        <f>IFERROR(__xludf.DUMMYFUNCTION("""COMPUTED_VALUE"""),"")</f>
        <v/>
      </c>
      <c r="O3291" t="str">
        <f>IFERROR(__xludf.DUMMYFUNCTION("""COMPUTED_VALUE"""),"")</f>
        <v/>
      </c>
      <c r="P3291" t="str">
        <f>IFERROR(__xludf.DUMMYFUNCTION("""COMPUTED_VALUE"""),"ID ")</f>
        <v>ID </v>
      </c>
    </row>
    <row r="3292">
      <c r="A3292" s="6" t="str">
        <f>IFERROR(__xludf.DUMMYFUNCTION("""COMPUTED_VALUE"""),"")</f>
        <v/>
      </c>
      <c r="C3292" t="str">
        <f>IFERROR(__xludf.DUMMYFUNCTION("""COMPUTED_VALUE"""),"")</f>
        <v/>
      </c>
      <c r="D3292" t="str">
        <f>IFERROR(__xludf.DUMMYFUNCTION("""COMPUTED_VALUE"""),"")</f>
        <v/>
      </c>
      <c r="E3292" t="str">
        <f>IFERROR(__xludf.DUMMYFUNCTION("""COMPUTED_VALUE"""),"")</f>
        <v/>
      </c>
      <c r="F3292" t="str">
        <f>IFERROR(__xludf.DUMMYFUNCTION("""COMPUTED_VALUE"""),"")</f>
        <v/>
      </c>
      <c r="G3292" t="str">
        <f>IFERROR(__xludf.DUMMYFUNCTION("""COMPUTED_VALUE"""),"")</f>
        <v/>
      </c>
      <c r="H3292" s="2" t="str">
        <f>IFERROR(__xludf.DUMMYFUNCTION("""COMPUTED_VALUE"""),"")</f>
        <v/>
      </c>
      <c r="I3292" s="2" t="str">
        <f>IFERROR(__xludf.DUMMYFUNCTION("""COMPUTED_VALUE"""),"")</f>
        <v/>
      </c>
      <c r="J3292" s="2">
        <f>IFERROR(__xludf.DUMMYFUNCTION("""COMPUTED_VALUE"""),0.0)</f>
        <v>0</v>
      </c>
      <c r="K3292" s="5" t="str">
        <f>IFERROR(__xludf.DUMMYFUNCTION("""COMPUTED_VALUE"""),"")</f>
        <v/>
      </c>
      <c r="L3292" t="str">
        <f>IFERROR(__xludf.DUMMYFUNCTION("""COMPUTED_VALUE"""),"")</f>
        <v/>
      </c>
      <c r="M3292" t="str">
        <f>IFERROR(__xludf.DUMMYFUNCTION("""COMPUTED_VALUE"""),"")</f>
        <v/>
      </c>
      <c r="N3292" t="str">
        <f>IFERROR(__xludf.DUMMYFUNCTION("""COMPUTED_VALUE"""),"")</f>
        <v/>
      </c>
      <c r="O3292" t="str">
        <f>IFERROR(__xludf.DUMMYFUNCTION("""COMPUTED_VALUE"""),"")</f>
        <v/>
      </c>
      <c r="P3292" t="str">
        <f>IFERROR(__xludf.DUMMYFUNCTION("""COMPUTED_VALUE"""),"ID ")</f>
        <v>ID </v>
      </c>
    </row>
    <row r="3293">
      <c r="A3293" s="6" t="str">
        <f>IFERROR(__xludf.DUMMYFUNCTION("""COMPUTED_VALUE"""),"")</f>
        <v/>
      </c>
      <c r="C3293" t="str">
        <f>IFERROR(__xludf.DUMMYFUNCTION("""COMPUTED_VALUE"""),"")</f>
        <v/>
      </c>
      <c r="D3293" t="str">
        <f>IFERROR(__xludf.DUMMYFUNCTION("""COMPUTED_VALUE"""),"")</f>
        <v/>
      </c>
      <c r="E3293" t="str">
        <f>IFERROR(__xludf.DUMMYFUNCTION("""COMPUTED_VALUE"""),"")</f>
        <v/>
      </c>
      <c r="F3293" t="str">
        <f>IFERROR(__xludf.DUMMYFUNCTION("""COMPUTED_VALUE"""),"")</f>
        <v/>
      </c>
      <c r="G3293" t="str">
        <f>IFERROR(__xludf.DUMMYFUNCTION("""COMPUTED_VALUE"""),"")</f>
        <v/>
      </c>
      <c r="H3293" s="2" t="str">
        <f>IFERROR(__xludf.DUMMYFUNCTION("""COMPUTED_VALUE"""),"")</f>
        <v/>
      </c>
      <c r="I3293" s="2" t="str">
        <f>IFERROR(__xludf.DUMMYFUNCTION("""COMPUTED_VALUE"""),"")</f>
        <v/>
      </c>
      <c r="J3293" s="2">
        <f>IFERROR(__xludf.DUMMYFUNCTION("""COMPUTED_VALUE"""),0.0)</f>
        <v>0</v>
      </c>
      <c r="K3293" s="5" t="str">
        <f>IFERROR(__xludf.DUMMYFUNCTION("""COMPUTED_VALUE"""),"")</f>
        <v/>
      </c>
      <c r="L3293" t="str">
        <f>IFERROR(__xludf.DUMMYFUNCTION("""COMPUTED_VALUE"""),"")</f>
        <v/>
      </c>
      <c r="M3293" t="str">
        <f>IFERROR(__xludf.DUMMYFUNCTION("""COMPUTED_VALUE"""),"")</f>
        <v/>
      </c>
      <c r="N3293" t="str">
        <f>IFERROR(__xludf.DUMMYFUNCTION("""COMPUTED_VALUE"""),"")</f>
        <v/>
      </c>
      <c r="O3293" t="str">
        <f>IFERROR(__xludf.DUMMYFUNCTION("""COMPUTED_VALUE"""),"")</f>
        <v/>
      </c>
      <c r="P3293" t="str">
        <f>IFERROR(__xludf.DUMMYFUNCTION("""COMPUTED_VALUE"""),"ID ")</f>
        <v>ID </v>
      </c>
    </row>
    <row r="3294">
      <c r="A3294" s="6" t="str">
        <f>IFERROR(__xludf.DUMMYFUNCTION("""COMPUTED_VALUE"""),"")</f>
        <v/>
      </c>
      <c r="C3294" t="str">
        <f>IFERROR(__xludf.DUMMYFUNCTION("""COMPUTED_VALUE"""),"")</f>
        <v/>
      </c>
      <c r="D3294" t="str">
        <f>IFERROR(__xludf.DUMMYFUNCTION("""COMPUTED_VALUE"""),"")</f>
        <v/>
      </c>
      <c r="E3294" t="str">
        <f>IFERROR(__xludf.DUMMYFUNCTION("""COMPUTED_VALUE"""),"")</f>
        <v/>
      </c>
      <c r="F3294" t="str">
        <f>IFERROR(__xludf.DUMMYFUNCTION("""COMPUTED_VALUE"""),"")</f>
        <v/>
      </c>
      <c r="G3294" t="str">
        <f>IFERROR(__xludf.DUMMYFUNCTION("""COMPUTED_VALUE"""),"")</f>
        <v/>
      </c>
      <c r="H3294" s="2" t="str">
        <f>IFERROR(__xludf.DUMMYFUNCTION("""COMPUTED_VALUE"""),"")</f>
        <v/>
      </c>
      <c r="I3294" s="2" t="str">
        <f>IFERROR(__xludf.DUMMYFUNCTION("""COMPUTED_VALUE"""),"")</f>
        <v/>
      </c>
      <c r="J3294" s="2">
        <f>IFERROR(__xludf.DUMMYFUNCTION("""COMPUTED_VALUE"""),0.0)</f>
        <v>0</v>
      </c>
      <c r="K3294" s="5" t="str">
        <f>IFERROR(__xludf.DUMMYFUNCTION("""COMPUTED_VALUE"""),"")</f>
        <v/>
      </c>
      <c r="L3294" t="str">
        <f>IFERROR(__xludf.DUMMYFUNCTION("""COMPUTED_VALUE"""),"")</f>
        <v/>
      </c>
      <c r="M3294" t="str">
        <f>IFERROR(__xludf.DUMMYFUNCTION("""COMPUTED_VALUE"""),"")</f>
        <v/>
      </c>
      <c r="N3294" t="str">
        <f>IFERROR(__xludf.DUMMYFUNCTION("""COMPUTED_VALUE"""),"")</f>
        <v/>
      </c>
      <c r="O3294" t="str">
        <f>IFERROR(__xludf.DUMMYFUNCTION("""COMPUTED_VALUE"""),"")</f>
        <v/>
      </c>
      <c r="P3294" t="str">
        <f>IFERROR(__xludf.DUMMYFUNCTION("""COMPUTED_VALUE"""),"ID ")</f>
        <v>ID </v>
      </c>
    </row>
    <row r="3295">
      <c r="A3295" s="6" t="str">
        <f>IFERROR(__xludf.DUMMYFUNCTION("""COMPUTED_VALUE"""),"")</f>
        <v/>
      </c>
      <c r="C3295" t="str">
        <f>IFERROR(__xludf.DUMMYFUNCTION("""COMPUTED_VALUE"""),"")</f>
        <v/>
      </c>
      <c r="D3295" t="str">
        <f>IFERROR(__xludf.DUMMYFUNCTION("""COMPUTED_VALUE"""),"")</f>
        <v/>
      </c>
      <c r="E3295" t="str">
        <f>IFERROR(__xludf.DUMMYFUNCTION("""COMPUTED_VALUE"""),"")</f>
        <v/>
      </c>
      <c r="F3295" t="str">
        <f>IFERROR(__xludf.DUMMYFUNCTION("""COMPUTED_VALUE"""),"")</f>
        <v/>
      </c>
      <c r="G3295" t="str">
        <f>IFERROR(__xludf.DUMMYFUNCTION("""COMPUTED_VALUE"""),"")</f>
        <v/>
      </c>
      <c r="H3295" s="2" t="str">
        <f>IFERROR(__xludf.DUMMYFUNCTION("""COMPUTED_VALUE"""),"")</f>
        <v/>
      </c>
      <c r="I3295" s="2" t="str">
        <f>IFERROR(__xludf.DUMMYFUNCTION("""COMPUTED_VALUE"""),"")</f>
        <v/>
      </c>
      <c r="J3295" s="2">
        <f>IFERROR(__xludf.DUMMYFUNCTION("""COMPUTED_VALUE"""),0.0)</f>
        <v>0</v>
      </c>
      <c r="K3295" s="5" t="str">
        <f>IFERROR(__xludf.DUMMYFUNCTION("""COMPUTED_VALUE"""),"")</f>
        <v/>
      </c>
      <c r="L3295" t="str">
        <f>IFERROR(__xludf.DUMMYFUNCTION("""COMPUTED_VALUE"""),"")</f>
        <v/>
      </c>
      <c r="M3295" t="str">
        <f>IFERROR(__xludf.DUMMYFUNCTION("""COMPUTED_VALUE"""),"")</f>
        <v/>
      </c>
      <c r="N3295" t="str">
        <f>IFERROR(__xludf.DUMMYFUNCTION("""COMPUTED_VALUE"""),"")</f>
        <v/>
      </c>
      <c r="O3295" t="str">
        <f>IFERROR(__xludf.DUMMYFUNCTION("""COMPUTED_VALUE"""),"")</f>
        <v/>
      </c>
      <c r="P3295" t="str">
        <f>IFERROR(__xludf.DUMMYFUNCTION("""COMPUTED_VALUE"""),"ID ")</f>
        <v>ID </v>
      </c>
    </row>
    <row r="3296">
      <c r="A3296" s="6" t="str">
        <f>IFERROR(__xludf.DUMMYFUNCTION("""COMPUTED_VALUE"""),"")</f>
        <v/>
      </c>
      <c r="C3296" t="str">
        <f>IFERROR(__xludf.DUMMYFUNCTION("""COMPUTED_VALUE"""),"")</f>
        <v/>
      </c>
      <c r="D3296" t="str">
        <f>IFERROR(__xludf.DUMMYFUNCTION("""COMPUTED_VALUE"""),"")</f>
        <v/>
      </c>
      <c r="E3296" t="str">
        <f>IFERROR(__xludf.DUMMYFUNCTION("""COMPUTED_VALUE"""),"")</f>
        <v/>
      </c>
      <c r="F3296" t="str">
        <f>IFERROR(__xludf.DUMMYFUNCTION("""COMPUTED_VALUE"""),"")</f>
        <v/>
      </c>
      <c r="G3296" t="str">
        <f>IFERROR(__xludf.DUMMYFUNCTION("""COMPUTED_VALUE"""),"")</f>
        <v/>
      </c>
      <c r="H3296" s="2" t="str">
        <f>IFERROR(__xludf.DUMMYFUNCTION("""COMPUTED_VALUE"""),"")</f>
        <v/>
      </c>
      <c r="I3296" s="2" t="str">
        <f>IFERROR(__xludf.DUMMYFUNCTION("""COMPUTED_VALUE"""),"")</f>
        <v/>
      </c>
      <c r="J3296" s="2">
        <f>IFERROR(__xludf.DUMMYFUNCTION("""COMPUTED_VALUE"""),0.0)</f>
        <v>0</v>
      </c>
      <c r="K3296" s="5" t="str">
        <f>IFERROR(__xludf.DUMMYFUNCTION("""COMPUTED_VALUE"""),"")</f>
        <v/>
      </c>
      <c r="L3296" t="str">
        <f>IFERROR(__xludf.DUMMYFUNCTION("""COMPUTED_VALUE"""),"")</f>
        <v/>
      </c>
      <c r="M3296" t="str">
        <f>IFERROR(__xludf.DUMMYFUNCTION("""COMPUTED_VALUE"""),"")</f>
        <v/>
      </c>
      <c r="N3296" t="str">
        <f>IFERROR(__xludf.DUMMYFUNCTION("""COMPUTED_VALUE"""),"")</f>
        <v/>
      </c>
      <c r="O3296" t="str">
        <f>IFERROR(__xludf.DUMMYFUNCTION("""COMPUTED_VALUE"""),"")</f>
        <v/>
      </c>
      <c r="P3296" t="str">
        <f>IFERROR(__xludf.DUMMYFUNCTION("""COMPUTED_VALUE"""),"ID ")</f>
        <v>ID </v>
      </c>
    </row>
    <row r="3297">
      <c r="A3297" s="6" t="str">
        <f>IFERROR(__xludf.DUMMYFUNCTION("""COMPUTED_VALUE"""),"")</f>
        <v/>
      </c>
      <c r="C3297" t="str">
        <f>IFERROR(__xludf.DUMMYFUNCTION("""COMPUTED_VALUE"""),"")</f>
        <v/>
      </c>
      <c r="D3297" t="str">
        <f>IFERROR(__xludf.DUMMYFUNCTION("""COMPUTED_VALUE"""),"")</f>
        <v/>
      </c>
      <c r="E3297" t="str">
        <f>IFERROR(__xludf.DUMMYFUNCTION("""COMPUTED_VALUE"""),"")</f>
        <v/>
      </c>
      <c r="F3297" t="str">
        <f>IFERROR(__xludf.DUMMYFUNCTION("""COMPUTED_VALUE"""),"")</f>
        <v/>
      </c>
      <c r="G3297" t="str">
        <f>IFERROR(__xludf.DUMMYFUNCTION("""COMPUTED_VALUE"""),"")</f>
        <v/>
      </c>
      <c r="H3297" s="2" t="str">
        <f>IFERROR(__xludf.DUMMYFUNCTION("""COMPUTED_VALUE"""),"")</f>
        <v/>
      </c>
      <c r="I3297" s="2" t="str">
        <f>IFERROR(__xludf.DUMMYFUNCTION("""COMPUTED_VALUE"""),"")</f>
        <v/>
      </c>
      <c r="J3297" s="2">
        <f>IFERROR(__xludf.DUMMYFUNCTION("""COMPUTED_VALUE"""),0.0)</f>
        <v>0</v>
      </c>
      <c r="K3297" s="5" t="str">
        <f>IFERROR(__xludf.DUMMYFUNCTION("""COMPUTED_VALUE"""),"")</f>
        <v/>
      </c>
      <c r="L3297" t="str">
        <f>IFERROR(__xludf.DUMMYFUNCTION("""COMPUTED_VALUE"""),"")</f>
        <v/>
      </c>
      <c r="M3297" t="str">
        <f>IFERROR(__xludf.DUMMYFUNCTION("""COMPUTED_VALUE"""),"")</f>
        <v/>
      </c>
      <c r="N3297" t="str">
        <f>IFERROR(__xludf.DUMMYFUNCTION("""COMPUTED_VALUE"""),"")</f>
        <v/>
      </c>
      <c r="O3297" t="str">
        <f>IFERROR(__xludf.DUMMYFUNCTION("""COMPUTED_VALUE"""),"")</f>
        <v/>
      </c>
      <c r="P3297" t="str">
        <f>IFERROR(__xludf.DUMMYFUNCTION("""COMPUTED_VALUE"""),"ID ")</f>
        <v>ID </v>
      </c>
    </row>
    <row r="3298">
      <c r="A3298" s="6" t="str">
        <f>IFERROR(__xludf.DUMMYFUNCTION("""COMPUTED_VALUE"""),"")</f>
        <v/>
      </c>
      <c r="C3298" t="str">
        <f>IFERROR(__xludf.DUMMYFUNCTION("""COMPUTED_VALUE"""),"")</f>
        <v/>
      </c>
      <c r="D3298" t="str">
        <f>IFERROR(__xludf.DUMMYFUNCTION("""COMPUTED_VALUE"""),"")</f>
        <v/>
      </c>
      <c r="E3298" t="str">
        <f>IFERROR(__xludf.DUMMYFUNCTION("""COMPUTED_VALUE"""),"")</f>
        <v/>
      </c>
      <c r="F3298" t="str">
        <f>IFERROR(__xludf.DUMMYFUNCTION("""COMPUTED_VALUE"""),"")</f>
        <v/>
      </c>
      <c r="G3298" t="str">
        <f>IFERROR(__xludf.DUMMYFUNCTION("""COMPUTED_VALUE"""),"")</f>
        <v/>
      </c>
      <c r="H3298" s="2" t="str">
        <f>IFERROR(__xludf.DUMMYFUNCTION("""COMPUTED_VALUE"""),"")</f>
        <v/>
      </c>
      <c r="I3298" s="2" t="str">
        <f>IFERROR(__xludf.DUMMYFUNCTION("""COMPUTED_VALUE"""),"")</f>
        <v/>
      </c>
      <c r="J3298" s="2">
        <f>IFERROR(__xludf.DUMMYFUNCTION("""COMPUTED_VALUE"""),0.0)</f>
        <v>0</v>
      </c>
      <c r="K3298" s="5" t="str">
        <f>IFERROR(__xludf.DUMMYFUNCTION("""COMPUTED_VALUE"""),"")</f>
        <v/>
      </c>
      <c r="L3298" t="str">
        <f>IFERROR(__xludf.DUMMYFUNCTION("""COMPUTED_VALUE"""),"")</f>
        <v/>
      </c>
      <c r="M3298" t="str">
        <f>IFERROR(__xludf.DUMMYFUNCTION("""COMPUTED_VALUE"""),"")</f>
        <v/>
      </c>
      <c r="N3298" t="str">
        <f>IFERROR(__xludf.DUMMYFUNCTION("""COMPUTED_VALUE"""),"")</f>
        <v/>
      </c>
      <c r="O3298" t="str">
        <f>IFERROR(__xludf.DUMMYFUNCTION("""COMPUTED_VALUE"""),"")</f>
        <v/>
      </c>
      <c r="P3298" t="str">
        <f>IFERROR(__xludf.DUMMYFUNCTION("""COMPUTED_VALUE"""),"ID ")</f>
        <v>ID </v>
      </c>
    </row>
    <row r="3299">
      <c r="A3299" s="6" t="str">
        <f>IFERROR(__xludf.DUMMYFUNCTION("""COMPUTED_VALUE"""),"")</f>
        <v/>
      </c>
      <c r="C3299" t="str">
        <f>IFERROR(__xludf.DUMMYFUNCTION("""COMPUTED_VALUE"""),"")</f>
        <v/>
      </c>
      <c r="D3299" t="str">
        <f>IFERROR(__xludf.DUMMYFUNCTION("""COMPUTED_VALUE"""),"")</f>
        <v/>
      </c>
      <c r="E3299" t="str">
        <f>IFERROR(__xludf.DUMMYFUNCTION("""COMPUTED_VALUE"""),"")</f>
        <v/>
      </c>
      <c r="F3299" t="str">
        <f>IFERROR(__xludf.DUMMYFUNCTION("""COMPUTED_VALUE"""),"")</f>
        <v/>
      </c>
      <c r="G3299" t="str">
        <f>IFERROR(__xludf.DUMMYFUNCTION("""COMPUTED_VALUE"""),"")</f>
        <v/>
      </c>
      <c r="H3299" s="2" t="str">
        <f>IFERROR(__xludf.DUMMYFUNCTION("""COMPUTED_VALUE"""),"")</f>
        <v/>
      </c>
      <c r="I3299" s="2" t="str">
        <f>IFERROR(__xludf.DUMMYFUNCTION("""COMPUTED_VALUE"""),"")</f>
        <v/>
      </c>
      <c r="J3299" s="2">
        <f>IFERROR(__xludf.DUMMYFUNCTION("""COMPUTED_VALUE"""),0.0)</f>
        <v>0</v>
      </c>
      <c r="K3299" s="5" t="str">
        <f>IFERROR(__xludf.DUMMYFUNCTION("""COMPUTED_VALUE"""),"")</f>
        <v/>
      </c>
      <c r="L3299" t="str">
        <f>IFERROR(__xludf.DUMMYFUNCTION("""COMPUTED_VALUE"""),"")</f>
        <v/>
      </c>
      <c r="M3299" t="str">
        <f>IFERROR(__xludf.DUMMYFUNCTION("""COMPUTED_VALUE"""),"")</f>
        <v/>
      </c>
      <c r="N3299" t="str">
        <f>IFERROR(__xludf.DUMMYFUNCTION("""COMPUTED_VALUE"""),"")</f>
        <v/>
      </c>
      <c r="O3299" t="str">
        <f>IFERROR(__xludf.DUMMYFUNCTION("""COMPUTED_VALUE"""),"")</f>
        <v/>
      </c>
      <c r="P3299" t="str">
        <f>IFERROR(__xludf.DUMMYFUNCTION("""COMPUTED_VALUE"""),"ID ")</f>
        <v>ID </v>
      </c>
    </row>
    <row r="3300">
      <c r="A3300" s="6" t="str">
        <f>IFERROR(__xludf.DUMMYFUNCTION("""COMPUTED_VALUE"""),"")</f>
        <v/>
      </c>
      <c r="C3300" t="str">
        <f>IFERROR(__xludf.DUMMYFUNCTION("""COMPUTED_VALUE"""),"")</f>
        <v/>
      </c>
      <c r="D3300" t="str">
        <f>IFERROR(__xludf.DUMMYFUNCTION("""COMPUTED_VALUE"""),"")</f>
        <v/>
      </c>
      <c r="E3300" t="str">
        <f>IFERROR(__xludf.DUMMYFUNCTION("""COMPUTED_VALUE"""),"")</f>
        <v/>
      </c>
      <c r="F3300" t="str">
        <f>IFERROR(__xludf.DUMMYFUNCTION("""COMPUTED_VALUE"""),"")</f>
        <v/>
      </c>
      <c r="G3300" t="str">
        <f>IFERROR(__xludf.DUMMYFUNCTION("""COMPUTED_VALUE"""),"")</f>
        <v/>
      </c>
      <c r="H3300" s="2" t="str">
        <f>IFERROR(__xludf.DUMMYFUNCTION("""COMPUTED_VALUE"""),"")</f>
        <v/>
      </c>
      <c r="I3300" s="2" t="str">
        <f>IFERROR(__xludf.DUMMYFUNCTION("""COMPUTED_VALUE"""),"")</f>
        <v/>
      </c>
      <c r="J3300" s="2">
        <f>IFERROR(__xludf.DUMMYFUNCTION("""COMPUTED_VALUE"""),0.0)</f>
        <v>0</v>
      </c>
      <c r="K3300" s="5" t="str">
        <f>IFERROR(__xludf.DUMMYFUNCTION("""COMPUTED_VALUE"""),"")</f>
        <v/>
      </c>
      <c r="L3300" t="str">
        <f>IFERROR(__xludf.DUMMYFUNCTION("""COMPUTED_VALUE"""),"")</f>
        <v/>
      </c>
      <c r="M3300" t="str">
        <f>IFERROR(__xludf.DUMMYFUNCTION("""COMPUTED_VALUE"""),"")</f>
        <v/>
      </c>
      <c r="N3300" t="str">
        <f>IFERROR(__xludf.DUMMYFUNCTION("""COMPUTED_VALUE"""),"")</f>
        <v/>
      </c>
      <c r="O3300" t="str">
        <f>IFERROR(__xludf.DUMMYFUNCTION("""COMPUTED_VALUE"""),"")</f>
        <v/>
      </c>
      <c r="P3300" t="str">
        <f>IFERROR(__xludf.DUMMYFUNCTION("""COMPUTED_VALUE"""),"ID ")</f>
        <v>ID </v>
      </c>
    </row>
    <row r="3301">
      <c r="A3301" s="6" t="str">
        <f>IFERROR(__xludf.DUMMYFUNCTION("""COMPUTED_VALUE"""),"")</f>
        <v/>
      </c>
      <c r="C3301" t="str">
        <f>IFERROR(__xludf.DUMMYFUNCTION("""COMPUTED_VALUE"""),"")</f>
        <v/>
      </c>
      <c r="D3301" t="str">
        <f>IFERROR(__xludf.DUMMYFUNCTION("""COMPUTED_VALUE"""),"")</f>
        <v/>
      </c>
      <c r="E3301" t="str">
        <f>IFERROR(__xludf.DUMMYFUNCTION("""COMPUTED_VALUE"""),"")</f>
        <v/>
      </c>
      <c r="F3301" t="str">
        <f>IFERROR(__xludf.DUMMYFUNCTION("""COMPUTED_VALUE"""),"")</f>
        <v/>
      </c>
      <c r="G3301" t="str">
        <f>IFERROR(__xludf.DUMMYFUNCTION("""COMPUTED_VALUE"""),"")</f>
        <v/>
      </c>
      <c r="H3301" s="2" t="str">
        <f>IFERROR(__xludf.DUMMYFUNCTION("""COMPUTED_VALUE"""),"")</f>
        <v/>
      </c>
      <c r="I3301" s="2" t="str">
        <f>IFERROR(__xludf.DUMMYFUNCTION("""COMPUTED_VALUE"""),"")</f>
        <v/>
      </c>
      <c r="J3301" s="2">
        <f>IFERROR(__xludf.DUMMYFUNCTION("""COMPUTED_VALUE"""),0.0)</f>
        <v>0</v>
      </c>
      <c r="K3301" s="5" t="str">
        <f>IFERROR(__xludf.DUMMYFUNCTION("""COMPUTED_VALUE"""),"")</f>
        <v/>
      </c>
      <c r="L3301" t="str">
        <f>IFERROR(__xludf.DUMMYFUNCTION("""COMPUTED_VALUE"""),"")</f>
        <v/>
      </c>
      <c r="M3301" t="str">
        <f>IFERROR(__xludf.DUMMYFUNCTION("""COMPUTED_VALUE"""),"")</f>
        <v/>
      </c>
      <c r="N3301" t="str">
        <f>IFERROR(__xludf.DUMMYFUNCTION("""COMPUTED_VALUE"""),"")</f>
        <v/>
      </c>
      <c r="O3301" t="str">
        <f>IFERROR(__xludf.DUMMYFUNCTION("""COMPUTED_VALUE"""),"")</f>
        <v/>
      </c>
      <c r="P3301" t="str">
        <f>IFERROR(__xludf.DUMMYFUNCTION("""COMPUTED_VALUE"""),"ID ")</f>
        <v>ID </v>
      </c>
    </row>
    <row r="3302">
      <c r="A3302" s="6" t="str">
        <f>IFERROR(__xludf.DUMMYFUNCTION("""COMPUTED_VALUE"""),"")</f>
        <v/>
      </c>
      <c r="C3302" t="str">
        <f>IFERROR(__xludf.DUMMYFUNCTION("""COMPUTED_VALUE"""),"")</f>
        <v/>
      </c>
      <c r="D3302" t="str">
        <f>IFERROR(__xludf.DUMMYFUNCTION("""COMPUTED_VALUE"""),"")</f>
        <v/>
      </c>
      <c r="E3302" t="str">
        <f>IFERROR(__xludf.DUMMYFUNCTION("""COMPUTED_VALUE"""),"")</f>
        <v/>
      </c>
      <c r="F3302" t="str">
        <f>IFERROR(__xludf.DUMMYFUNCTION("""COMPUTED_VALUE"""),"")</f>
        <v/>
      </c>
      <c r="G3302" t="str">
        <f>IFERROR(__xludf.DUMMYFUNCTION("""COMPUTED_VALUE"""),"")</f>
        <v/>
      </c>
      <c r="H3302" s="2" t="str">
        <f>IFERROR(__xludf.DUMMYFUNCTION("""COMPUTED_VALUE"""),"")</f>
        <v/>
      </c>
      <c r="I3302" s="2" t="str">
        <f>IFERROR(__xludf.DUMMYFUNCTION("""COMPUTED_VALUE"""),"")</f>
        <v/>
      </c>
      <c r="J3302" s="2">
        <f>IFERROR(__xludf.DUMMYFUNCTION("""COMPUTED_VALUE"""),0.0)</f>
        <v>0</v>
      </c>
      <c r="K3302" s="5" t="str">
        <f>IFERROR(__xludf.DUMMYFUNCTION("""COMPUTED_VALUE"""),"")</f>
        <v/>
      </c>
      <c r="L3302" t="str">
        <f>IFERROR(__xludf.DUMMYFUNCTION("""COMPUTED_VALUE"""),"")</f>
        <v/>
      </c>
      <c r="M3302" t="str">
        <f>IFERROR(__xludf.DUMMYFUNCTION("""COMPUTED_VALUE"""),"")</f>
        <v/>
      </c>
      <c r="N3302" t="str">
        <f>IFERROR(__xludf.DUMMYFUNCTION("""COMPUTED_VALUE"""),"")</f>
        <v/>
      </c>
      <c r="O3302" t="str">
        <f>IFERROR(__xludf.DUMMYFUNCTION("""COMPUTED_VALUE"""),"")</f>
        <v/>
      </c>
      <c r="P3302" t="str">
        <f>IFERROR(__xludf.DUMMYFUNCTION("""COMPUTED_VALUE"""),"ID ")</f>
        <v>ID </v>
      </c>
    </row>
    <row r="3303">
      <c r="A3303" s="6" t="str">
        <f>IFERROR(__xludf.DUMMYFUNCTION("""COMPUTED_VALUE"""),"")</f>
        <v/>
      </c>
      <c r="C3303" t="str">
        <f>IFERROR(__xludf.DUMMYFUNCTION("""COMPUTED_VALUE"""),"")</f>
        <v/>
      </c>
      <c r="D3303" t="str">
        <f>IFERROR(__xludf.DUMMYFUNCTION("""COMPUTED_VALUE"""),"")</f>
        <v/>
      </c>
      <c r="E3303" t="str">
        <f>IFERROR(__xludf.DUMMYFUNCTION("""COMPUTED_VALUE"""),"")</f>
        <v/>
      </c>
      <c r="F3303" t="str">
        <f>IFERROR(__xludf.DUMMYFUNCTION("""COMPUTED_VALUE"""),"")</f>
        <v/>
      </c>
      <c r="G3303" t="str">
        <f>IFERROR(__xludf.DUMMYFUNCTION("""COMPUTED_VALUE"""),"")</f>
        <v/>
      </c>
      <c r="H3303" s="2" t="str">
        <f>IFERROR(__xludf.DUMMYFUNCTION("""COMPUTED_VALUE"""),"")</f>
        <v/>
      </c>
      <c r="I3303" s="2" t="str">
        <f>IFERROR(__xludf.DUMMYFUNCTION("""COMPUTED_VALUE"""),"")</f>
        <v/>
      </c>
      <c r="J3303" s="2">
        <f>IFERROR(__xludf.DUMMYFUNCTION("""COMPUTED_VALUE"""),0.0)</f>
        <v>0</v>
      </c>
      <c r="K3303" s="5" t="str">
        <f>IFERROR(__xludf.DUMMYFUNCTION("""COMPUTED_VALUE"""),"")</f>
        <v/>
      </c>
      <c r="L3303" t="str">
        <f>IFERROR(__xludf.DUMMYFUNCTION("""COMPUTED_VALUE"""),"")</f>
        <v/>
      </c>
      <c r="M3303" t="str">
        <f>IFERROR(__xludf.DUMMYFUNCTION("""COMPUTED_VALUE"""),"")</f>
        <v/>
      </c>
      <c r="N3303" t="str">
        <f>IFERROR(__xludf.DUMMYFUNCTION("""COMPUTED_VALUE"""),"")</f>
        <v/>
      </c>
      <c r="O3303" t="str">
        <f>IFERROR(__xludf.DUMMYFUNCTION("""COMPUTED_VALUE"""),"")</f>
        <v/>
      </c>
      <c r="P3303" t="str">
        <f>IFERROR(__xludf.DUMMYFUNCTION("""COMPUTED_VALUE"""),"ID ")</f>
        <v>ID </v>
      </c>
    </row>
    <row r="3304">
      <c r="A3304" s="6" t="str">
        <f>IFERROR(__xludf.DUMMYFUNCTION("""COMPUTED_VALUE"""),"")</f>
        <v/>
      </c>
      <c r="C3304" t="str">
        <f>IFERROR(__xludf.DUMMYFUNCTION("""COMPUTED_VALUE"""),"")</f>
        <v/>
      </c>
      <c r="D3304" t="str">
        <f>IFERROR(__xludf.DUMMYFUNCTION("""COMPUTED_VALUE"""),"")</f>
        <v/>
      </c>
      <c r="E3304" t="str">
        <f>IFERROR(__xludf.DUMMYFUNCTION("""COMPUTED_VALUE"""),"")</f>
        <v/>
      </c>
      <c r="F3304" t="str">
        <f>IFERROR(__xludf.DUMMYFUNCTION("""COMPUTED_VALUE"""),"")</f>
        <v/>
      </c>
      <c r="G3304" t="str">
        <f>IFERROR(__xludf.DUMMYFUNCTION("""COMPUTED_VALUE"""),"")</f>
        <v/>
      </c>
      <c r="H3304" s="2" t="str">
        <f>IFERROR(__xludf.DUMMYFUNCTION("""COMPUTED_VALUE"""),"")</f>
        <v/>
      </c>
      <c r="I3304" s="2" t="str">
        <f>IFERROR(__xludf.DUMMYFUNCTION("""COMPUTED_VALUE"""),"")</f>
        <v/>
      </c>
      <c r="J3304" s="2">
        <f>IFERROR(__xludf.DUMMYFUNCTION("""COMPUTED_VALUE"""),0.0)</f>
        <v>0</v>
      </c>
      <c r="K3304" s="5" t="str">
        <f>IFERROR(__xludf.DUMMYFUNCTION("""COMPUTED_VALUE"""),"")</f>
        <v/>
      </c>
      <c r="L3304" t="str">
        <f>IFERROR(__xludf.DUMMYFUNCTION("""COMPUTED_VALUE"""),"")</f>
        <v/>
      </c>
      <c r="M3304" t="str">
        <f>IFERROR(__xludf.DUMMYFUNCTION("""COMPUTED_VALUE"""),"")</f>
        <v/>
      </c>
      <c r="N3304" t="str">
        <f>IFERROR(__xludf.DUMMYFUNCTION("""COMPUTED_VALUE"""),"")</f>
        <v/>
      </c>
      <c r="O3304" t="str">
        <f>IFERROR(__xludf.DUMMYFUNCTION("""COMPUTED_VALUE"""),"")</f>
        <v/>
      </c>
      <c r="P3304" t="str">
        <f>IFERROR(__xludf.DUMMYFUNCTION("""COMPUTED_VALUE"""),"ID ")</f>
        <v>ID </v>
      </c>
    </row>
    <row r="3305">
      <c r="A3305" s="6" t="str">
        <f>IFERROR(__xludf.DUMMYFUNCTION("""COMPUTED_VALUE"""),"")</f>
        <v/>
      </c>
      <c r="C3305" t="str">
        <f>IFERROR(__xludf.DUMMYFUNCTION("""COMPUTED_VALUE"""),"")</f>
        <v/>
      </c>
      <c r="D3305" t="str">
        <f>IFERROR(__xludf.DUMMYFUNCTION("""COMPUTED_VALUE"""),"")</f>
        <v/>
      </c>
      <c r="E3305" t="str">
        <f>IFERROR(__xludf.DUMMYFUNCTION("""COMPUTED_VALUE"""),"")</f>
        <v/>
      </c>
      <c r="F3305" t="str">
        <f>IFERROR(__xludf.DUMMYFUNCTION("""COMPUTED_VALUE"""),"")</f>
        <v/>
      </c>
      <c r="G3305" t="str">
        <f>IFERROR(__xludf.DUMMYFUNCTION("""COMPUTED_VALUE"""),"")</f>
        <v/>
      </c>
      <c r="H3305" s="2" t="str">
        <f>IFERROR(__xludf.DUMMYFUNCTION("""COMPUTED_VALUE"""),"")</f>
        <v/>
      </c>
      <c r="I3305" s="2" t="str">
        <f>IFERROR(__xludf.DUMMYFUNCTION("""COMPUTED_VALUE"""),"")</f>
        <v/>
      </c>
      <c r="J3305" s="2">
        <f>IFERROR(__xludf.DUMMYFUNCTION("""COMPUTED_VALUE"""),0.0)</f>
        <v>0</v>
      </c>
      <c r="K3305" s="5" t="str">
        <f>IFERROR(__xludf.DUMMYFUNCTION("""COMPUTED_VALUE"""),"")</f>
        <v/>
      </c>
      <c r="L3305" t="str">
        <f>IFERROR(__xludf.DUMMYFUNCTION("""COMPUTED_VALUE"""),"")</f>
        <v/>
      </c>
      <c r="M3305" t="str">
        <f>IFERROR(__xludf.DUMMYFUNCTION("""COMPUTED_VALUE"""),"")</f>
        <v/>
      </c>
      <c r="N3305" t="str">
        <f>IFERROR(__xludf.DUMMYFUNCTION("""COMPUTED_VALUE"""),"")</f>
        <v/>
      </c>
      <c r="O3305" t="str">
        <f>IFERROR(__xludf.DUMMYFUNCTION("""COMPUTED_VALUE"""),"")</f>
        <v/>
      </c>
      <c r="P3305" t="str">
        <f>IFERROR(__xludf.DUMMYFUNCTION("""COMPUTED_VALUE"""),"ID ")</f>
        <v>ID </v>
      </c>
    </row>
    <row r="3306">
      <c r="A3306" s="6" t="str">
        <f>IFERROR(__xludf.DUMMYFUNCTION("""COMPUTED_VALUE"""),"")</f>
        <v/>
      </c>
      <c r="C3306" t="str">
        <f>IFERROR(__xludf.DUMMYFUNCTION("""COMPUTED_VALUE"""),"")</f>
        <v/>
      </c>
      <c r="D3306" t="str">
        <f>IFERROR(__xludf.DUMMYFUNCTION("""COMPUTED_VALUE"""),"")</f>
        <v/>
      </c>
      <c r="E3306" t="str">
        <f>IFERROR(__xludf.DUMMYFUNCTION("""COMPUTED_VALUE"""),"")</f>
        <v/>
      </c>
      <c r="F3306" t="str">
        <f>IFERROR(__xludf.DUMMYFUNCTION("""COMPUTED_VALUE"""),"")</f>
        <v/>
      </c>
      <c r="G3306" t="str">
        <f>IFERROR(__xludf.DUMMYFUNCTION("""COMPUTED_VALUE"""),"")</f>
        <v/>
      </c>
      <c r="H3306" s="2" t="str">
        <f>IFERROR(__xludf.DUMMYFUNCTION("""COMPUTED_VALUE"""),"")</f>
        <v/>
      </c>
      <c r="I3306" s="2" t="str">
        <f>IFERROR(__xludf.DUMMYFUNCTION("""COMPUTED_VALUE"""),"")</f>
        <v/>
      </c>
      <c r="J3306" s="2">
        <f>IFERROR(__xludf.DUMMYFUNCTION("""COMPUTED_VALUE"""),0.0)</f>
        <v>0</v>
      </c>
      <c r="K3306" s="5" t="str">
        <f>IFERROR(__xludf.DUMMYFUNCTION("""COMPUTED_VALUE"""),"")</f>
        <v/>
      </c>
      <c r="L3306" t="str">
        <f>IFERROR(__xludf.DUMMYFUNCTION("""COMPUTED_VALUE"""),"")</f>
        <v/>
      </c>
      <c r="M3306" t="str">
        <f>IFERROR(__xludf.DUMMYFUNCTION("""COMPUTED_VALUE"""),"")</f>
        <v/>
      </c>
      <c r="N3306" t="str">
        <f>IFERROR(__xludf.DUMMYFUNCTION("""COMPUTED_VALUE"""),"")</f>
        <v/>
      </c>
      <c r="O3306" t="str">
        <f>IFERROR(__xludf.DUMMYFUNCTION("""COMPUTED_VALUE"""),"")</f>
        <v/>
      </c>
      <c r="P3306" t="str">
        <f>IFERROR(__xludf.DUMMYFUNCTION("""COMPUTED_VALUE"""),"ID ")</f>
        <v>ID </v>
      </c>
    </row>
    <row r="3307">
      <c r="A3307" s="6" t="str">
        <f>IFERROR(__xludf.DUMMYFUNCTION("""COMPUTED_VALUE"""),"")</f>
        <v/>
      </c>
      <c r="C3307" t="str">
        <f>IFERROR(__xludf.DUMMYFUNCTION("""COMPUTED_VALUE"""),"")</f>
        <v/>
      </c>
      <c r="D3307" t="str">
        <f>IFERROR(__xludf.DUMMYFUNCTION("""COMPUTED_VALUE"""),"")</f>
        <v/>
      </c>
      <c r="E3307" t="str">
        <f>IFERROR(__xludf.DUMMYFUNCTION("""COMPUTED_VALUE"""),"")</f>
        <v/>
      </c>
      <c r="F3307" t="str">
        <f>IFERROR(__xludf.DUMMYFUNCTION("""COMPUTED_VALUE"""),"")</f>
        <v/>
      </c>
      <c r="G3307" t="str">
        <f>IFERROR(__xludf.DUMMYFUNCTION("""COMPUTED_VALUE"""),"")</f>
        <v/>
      </c>
      <c r="H3307" s="2" t="str">
        <f>IFERROR(__xludf.DUMMYFUNCTION("""COMPUTED_VALUE"""),"")</f>
        <v/>
      </c>
      <c r="I3307" s="2" t="str">
        <f>IFERROR(__xludf.DUMMYFUNCTION("""COMPUTED_VALUE"""),"")</f>
        <v/>
      </c>
      <c r="J3307" s="2">
        <f>IFERROR(__xludf.DUMMYFUNCTION("""COMPUTED_VALUE"""),0.0)</f>
        <v>0</v>
      </c>
      <c r="K3307" s="5" t="str">
        <f>IFERROR(__xludf.DUMMYFUNCTION("""COMPUTED_VALUE"""),"")</f>
        <v/>
      </c>
      <c r="L3307" t="str">
        <f>IFERROR(__xludf.DUMMYFUNCTION("""COMPUTED_VALUE"""),"")</f>
        <v/>
      </c>
      <c r="M3307" t="str">
        <f>IFERROR(__xludf.DUMMYFUNCTION("""COMPUTED_VALUE"""),"")</f>
        <v/>
      </c>
      <c r="N3307" t="str">
        <f>IFERROR(__xludf.DUMMYFUNCTION("""COMPUTED_VALUE"""),"")</f>
        <v/>
      </c>
      <c r="O3307" t="str">
        <f>IFERROR(__xludf.DUMMYFUNCTION("""COMPUTED_VALUE"""),"")</f>
        <v/>
      </c>
      <c r="P3307" t="str">
        <f>IFERROR(__xludf.DUMMYFUNCTION("""COMPUTED_VALUE"""),"ID ")</f>
        <v>ID </v>
      </c>
    </row>
    <row r="3308">
      <c r="A3308" s="6" t="str">
        <f>IFERROR(__xludf.DUMMYFUNCTION("""COMPUTED_VALUE"""),"")</f>
        <v/>
      </c>
      <c r="C3308" t="str">
        <f>IFERROR(__xludf.DUMMYFUNCTION("""COMPUTED_VALUE"""),"")</f>
        <v/>
      </c>
      <c r="D3308" t="str">
        <f>IFERROR(__xludf.DUMMYFUNCTION("""COMPUTED_VALUE"""),"")</f>
        <v/>
      </c>
      <c r="E3308" t="str">
        <f>IFERROR(__xludf.DUMMYFUNCTION("""COMPUTED_VALUE"""),"")</f>
        <v/>
      </c>
      <c r="F3308" t="str">
        <f>IFERROR(__xludf.DUMMYFUNCTION("""COMPUTED_VALUE"""),"")</f>
        <v/>
      </c>
      <c r="G3308" t="str">
        <f>IFERROR(__xludf.DUMMYFUNCTION("""COMPUTED_VALUE"""),"")</f>
        <v/>
      </c>
      <c r="H3308" s="2" t="str">
        <f>IFERROR(__xludf.DUMMYFUNCTION("""COMPUTED_VALUE"""),"")</f>
        <v/>
      </c>
      <c r="I3308" s="2" t="str">
        <f>IFERROR(__xludf.DUMMYFUNCTION("""COMPUTED_VALUE"""),"")</f>
        <v/>
      </c>
      <c r="J3308" s="2">
        <f>IFERROR(__xludf.DUMMYFUNCTION("""COMPUTED_VALUE"""),0.0)</f>
        <v>0</v>
      </c>
      <c r="K3308" s="5" t="str">
        <f>IFERROR(__xludf.DUMMYFUNCTION("""COMPUTED_VALUE"""),"")</f>
        <v/>
      </c>
      <c r="L3308" t="str">
        <f>IFERROR(__xludf.DUMMYFUNCTION("""COMPUTED_VALUE"""),"")</f>
        <v/>
      </c>
      <c r="M3308" t="str">
        <f>IFERROR(__xludf.DUMMYFUNCTION("""COMPUTED_VALUE"""),"")</f>
        <v/>
      </c>
      <c r="N3308" t="str">
        <f>IFERROR(__xludf.DUMMYFUNCTION("""COMPUTED_VALUE"""),"")</f>
        <v/>
      </c>
      <c r="O3308" t="str">
        <f>IFERROR(__xludf.DUMMYFUNCTION("""COMPUTED_VALUE"""),"")</f>
        <v/>
      </c>
      <c r="P3308" t="str">
        <f>IFERROR(__xludf.DUMMYFUNCTION("""COMPUTED_VALUE"""),"ID ")</f>
        <v>ID </v>
      </c>
    </row>
    <row r="3309">
      <c r="A3309" s="6" t="str">
        <f>IFERROR(__xludf.DUMMYFUNCTION("""COMPUTED_VALUE"""),"")</f>
        <v/>
      </c>
      <c r="C3309" t="str">
        <f>IFERROR(__xludf.DUMMYFUNCTION("""COMPUTED_VALUE"""),"")</f>
        <v/>
      </c>
      <c r="D3309" t="str">
        <f>IFERROR(__xludf.DUMMYFUNCTION("""COMPUTED_VALUE"""),"")</f>
        <v/>
      </c>
      <c r="E3309" t="str">
        <f>IFERROR(__xludf.DUMMYFUNCTION("""COMPUTED_VALUE"""),"")</f>
        <v/>
      </c>
      <c r="F3309" t="str">
        <f>IFERROR(__xludf.DUMMYFUNCTION("""COMPUTED_VALUE"""),"")</f>
        <v/>
      </c>
      <c r="G3309" t="str">
        <f>IFERROR(__xludf.DUMMYFUNCTION("""COMPUTED_VALUE"""),"")</f>
        <v/>
      </c>
      <c r="H3309" s="2" t="str">
        <f>IFERROR(__xludf.DUMMYFUNCTION("""COMPUTED_VALUE"""),"")</f>
        <v/>
      </c>
      <c r="I3309" s="2" t="str">
        <f>IFERROR(__xludf.DUMMYFUNCTION("""COMPUTED_VALUE"""),"")</f>
        <v/>
      </c>
      <c r="J3309" s="2">
        <f>IFERROR(__xludf.DUMMYFUNCTION("""COMPUTED_VALUE"""),0.0)</f>
        <v>0</v>
      </c>
      <c r="K3309" s="5" t="str">
        <f>IFERROR(__xludf.DUMMYFUNCTION("""COMPUTED_VALUE"""),"")</f>
        <v/>
      </c>
      <c r="L3309" t="str">
        <f>IFERROR(__xludf.DUMMYFUNCTION("""COMPUTED_VALUE"""),"")</f>
        <v/>
      </c>
      <c r="M3309" t="str">
        <f>IFERROR(__xludf.DUMMYFUNCTION("""COMPUTED_VALUE"""),"")</f>
        <v/>
      </c>
      <c r="N3309" t="str">
        <f>IFERROR(__xludf.DUMMYFUNCTION("""COMPUTED_VALUE"""),"")</f>
        <v/>
      </c>
      <c r="O3309" t="str">
        <f>IFERROR(__xludf.DUMMYFUNCTION("""COMPUTED_VALUE"""),"")</f>
        <v/>
      </c>
      <c r="P3309" t="str">
        <f>IFERROR(__xludf.DUMMYFUNCTION("""COMPUTED_VALUE"""),"ID ")</f>
        <v>ID </v>
      </c>
    </row>
    <row r="3310">
      <c r="A3310" s="6" t="str">
        <f>IFERROR(__xludf.DUMMYFUNCTION("""COMPUTED_VALUE"""),"")</f>
        <v/>
      </c>
      <c r="C3310" t="str">
        <f>IFERROR(__xludf.DUMMYFUNCTION("""COMPUTED_VALUE"""),"")</f>
        <v/>
      </c>
      <c r="D3310" t="str">
        <f>IFERROR(__xludf.DUMMYFUNCTION("""COMPUTED_VALUE"""),"")</f>
        <v/>
      </c>
      <c r="E3310" t="str">
        <f>IFERROR(__xludf.DUMMYFUNCTION("""COMPUTED_VALUE"""),"")</f>
        <v/>
      </c>
      <c r="F3310" t="str">
        <f>IFERROR(__xludf.DUMMYFUNCTION("""COMPUTED_VALUE"""),"")</f>
        <v/>
      </c>
      <c r="G3310" t="str">
        <f>IFERROR(__xludf.DUMMYFUNCTION("""COMPUTED_VALUE"""),"")</f>
        <v/>
      </c>
      <c r="H3310" s="2" t="str">
        <f>IFERROR(__xludf.DUMMYFUNCTION("""COMPUTED_VALUE"""),"")</f>
        <v/>
      </c>
      <c r="I3310" s="2" t="str">
        <f>IFERROR(__xludf.DUMMYFUNCTION("""COMPUTED_VALUE"""),"")</f>
        <v/>
      </c>
      <c r="J3310" s="2">
        <f>IFERROR(__xludf.DUMMYFUNCTION("""COMPUTED_VALUE"""),0.0)</f>
        <v>0</v>
      </c>
      <c r="K3310" s="5" t="str">
        <f>IFERROR(__xludf.DUMMYFUNCTION("""COMPUTED_VALUE"""),"")</f>
        <v/>
      </c>
      <c r="L3310" t="str">
        <f>IFERROR(__xludf.DUMMYFUNCTION("""COMPUTED_VALUE"""),"")</f>
        <v/>
      </c>
      <c r="M3310" t="str">
        <f>IFERROR(__xludf.DUMMYFUNCTION("""COMPUTED_VALUE"""),"")</f>
        <v/>
      </c>
      <c r="N3310" t="str">
        <f>IFERROR(__xludf.DUMMYFUNCTION("""COMPUTED_VALUE"""),"")</f>
        <v/>
      </c>
      <c r="O3310" t="str">
        <f>IFERROR(__xludf.DUMMYFUNCTION("""COMPUTED_VALUE"""),"")</f>
        <v/>
      </c>
      <c r="P3310" t="str">
        <f>IFERROR(__xludf.DUMMYFUNCTION("""COMPUTED_VALUE"""),"ID ")</f>
        <v>ID </v>
      </c>
    </row>
    <row r="3311">
      <c r="A3311" s="6" t="str">
        <f>IFERROR(__xludf.DUMMYFUNCTION("""COMPUTED_VALUE"""),"")</f>
        <v/>
      </c>
      <c r="C3311" t="str">
        <f>IFERROR(__xludf.DUMMYFUNCTION("""COMPUTED_VALUE"""),"")</f>
        <v/>
      </c>
      <c r="D3311" t="str">
        <f>IFERROR(__xludf.DUMMYFUNCTION("""COMPUTED_VALUE"""),"")</f>
        <v/>
      </c>
      <c r="E3311" t="str">
        <f>IFERROR(__xludf.DUMMYFUNCTION("""COMPUTED_VALUE"""),"")</f>
        <v/>
      </c>
      <c r="F3311" t="str">
        <f>IFERROR(__xludf.DUMMYFUNCTION("""COMPUTED_VALUE"""),"")</f>
        <v/>
      </c>
      <c r="G3311" t="str">
        <f>IFERROR(__xludf.DUMMYFUNCTION("""COMPUTED_VALUE"""),"")</f>
        <v/>
      </c>
      <c r="H3311" s="2" t="str">
        <f>IFERROR(__xludf.DUMMYFUNCTION("""COMPUTED_VALUE"""),"")</f>
        <v/>
      </c>
      <c r="I3311" s="2" t="str">
        <f>IFERROR(__xludf.DUMMYFUNCTION("""COMPUTED_VALUE"""),"")</f>
        <v/>
      </c>
      <c r="J3311" s="2">
        <f>IFERROR(__xludf.DUMMYFUNCTION("""COMPUTED_VALUE"""),0.0)</f>
        <v>0</v>
      </c>
      <c r="K3311" s="5" t="str">
        <f>IFERROR(__xludf.DUMMYFUNCTION("""COMPUTED_VALUE"""),"")</f>
        <v/>
      </c>
      <c r="L3311" t="str">
        <f>IFERROR(__xludf.DUMMYFUNCTION("""COMPUTED_VALUE"""),"")</f>
        <v/>
      </c>
      <c r="M3311" t="str">
        <f>IFERROR(__xludf.DUMMYFUNCTION("""COMPUTED_VALUE"""),"")</f>
        <v/>
      </c>
      <c r="N3311" t="str">
        <f>IFERROR(__xludf.DUMMYFUNCTION("""COMPUTED_VALUE"""),"")</f>
        <v/>
      </c>
      <c r="O3311" t="str">
        <f>IFERROR(__xludf.DUMMYFUNCTION("""COMPUTED_VALUE"""),"")</f>
        <v/>
      </c>
      <c r="P3311" t="str">
        <f>IFERROR(__xludf.DUMMYFUNCTION("""COMPUTED_VALUE"""),"ID ")</f>
        <v>ID </v>
      </c>
    </row>
    <row r="3312">
      <c r="A3312" s="6" t="str">
        <f>IFERROR(__xludf.DUMMYFUNCTION("""COMPUTED_VALUE"""),"")</f>
        <v/>
      </c>
      <c r="C3312" t="str">
        <f>IFERROR(__xludf.DUMMYFUNCTION("""COMPUTED_VALUE"""),"")</f>
        <v/>
      </c>
      <c r="D3312" t="str">
        <f>IFERROR(__xludf.DUMMYFUNCTION("""COMPUTED_VALUE"""),"")</f>
        <v/>
      </c>
      <c r="E3312" t="str">
        <f>IFERROR(__xludf.DUMMYFUNCTION("""COMPUTED_VALUE"""),"")</f>
        <v/>
      </c>
      <c r="F3312" t="str">
        <f>IFERROR(__xludf.DUMMYFUNCTION("""COMPUTED_VALUE"""),"")</f>
        <v/>
      </c>
      <c r="G3312" t="str">
        <f>IFERROR(__xludf.DUMMYFUNCTION("""COMPUTED_VALUE"""),"")</f>
        <v/>
      </c>
      <c r="H3312" s="2" t="str">
        <f>IFERROR(__xludf.DUMMYFUNCTION("""COMPUTED_VALUE"""),"")</f>
        <v/>
      </c>
      <c r="I3312" s="2" t="str">
        <f>IFERROR(__xludf.DUMMYFUNCTION("""COMPUTED_VALUE"""),"")</f>
        <v/>
      </c>
      <c r="J3312" s="2">
        <f>IFERROR(__xludf.DUMMYFUNCTION("""COMPUTED_VALUE"""),0.0)</f>
        <v>0</v>
      </c>
      <c r="K3312" s="5" t="str">
        <f>IFERROR(__xludf.DUMMYFUNCTION("""COMPUTED_VALUE"""),"")</f>
        <v/>
      </c>
      <c r="L3312" t="str">
        <f>IFERROR(__xludf.DUMMYFUNCTION("""COMPUTED_VALUE"""),"")</f>
        <v/>
      </c>
      <c r="M3312" t="str">
        <f>IFERROR(__xludf.DUMMYFUNCTION("""COMPUTED_VALUE"""),"")</f>
        <v/>
      </c>
      <c r="N3312" t="str">
        <f>IFERROR(__xludf.DUMMYFUNCTION("""COMPUTED_VALUE"""),"")</f>
        <v/>
      </c>
      <c r="O3312" t="str">
        <f>IFERROR(__xludf.DUMMYFUNCTION("""COMPUTED_VALUE"""),"")</f>
        <v/>
      </c>
      <c r="P3312" t="str">
        <f>IFERROR(__xludf.DUMMYFUNCTION("""COMPUTED_VALUE"""),"ID ")</f>
        <v>ID </v>
      </c>
    </row>
    <row r="3313">
      <c r="A3313" s="6" t="str">
        <f>IFERROR(__xludf.DUMMYFUNCTION("""COMPUTED_VALUE"""),"")</f>
        <v/>
      </c>
      <c r="C3313" t="str">
        <f>IFERROR(__xludf.DUMMYFUNCTION("""COMPUTED_VALUE"""),"")</f>
        <v/>
      </c>
      <c r="D3313" t="str">
        <f>IFERROR(__xludf.DUMMYFUNCTION("""COMPUTED_VALUE"""),"")</f>
        <v/>
      </c>
      <c r="E3313" t="str">
        <f>IFERROR(__xludf.DUMMYFUNCTION("""COMPUTED_VALUE"""),"")</f>
        <v/>
      </c>
      <c r="F3313" t="str">
        <f>IFERROR(__xludf.DUMMYFUNCTION("""COMPUTED_VALUE"""),"")</f>
        <v/>
      </c>
      <c r="G3313" t="str">
        <f>IFERROR(__xludf.DUMMYFUNCTION("""COMPUTED_VALUE"""),"")</f>
        <v/>
      </c>
      <c r="H3313" s="2" t="str">
        <f>IFERROR(__xludf.DUMMYFUNCTION("""COMPUTED_VALUE"""),"")</f>
        <v/>
      </c>
      <c r="I3313" s="2" t="str">
        <f>IFERROR(__xludf.DUMMYFUNCTION("""COMPUTED_VALUE"""),"")</f>
        <v/>
      </c>
      <c r="J3313" s="2">
        <f>IFERROR(__xludf.DUMMYFUNCTION("""COMPUTED_VALUE"""),0.0)</f>
        <v>0</v>
      </c>
      <c r="K3313" s="5" t="str">
        <f>IFERROR(__xludf.DUMMYFUNCTION("""COMPUTED_VALUE"""),"")</f>
        <v/>
      </c>
      <c r="L3313" t="str">
        <f>IFERROR(__xludf.DUMMYFUNCTION("""COMPUTED_VALUE"""),"")</f>
        <v/>
      </c>
      <c r="M3313" t="str">
        <f>IFERROR(__xludf.DUMMYFUNCTION("""COMPUTED_VALUE"""),"")</f>
        <v/>
      </c>
      <c r="N3313" t="str">
        <f>IFERROR(__xludf.DUMMYFUNCTION("""COMPUTED_VALUE"""),"")</f>
        <v/>
      </c>
      <c r="O3313" t="str">
        <f>IFERROR(__xludf.DUMMYFUNCTION("""COMPUTED_VALUE"""),"")</f>
        <v/>
      </c>
      <c r="P3313" t="str">
        <f>IFERROR(__xludf.DUMMYFUNCTION("""COMPUTED_VALUE"""),"ID ")</f>
        <v>ID </v>
      </c>
    </row>
    <row r="3314">
      <c r="A3314" s="6" t="str">
        <f>IFERROR(__xludf.DUMMYFUNCTION("""COMPUTED_VALUE"""),"")</f>
        <v/>
      </c>
      <c r="C3314" t="str">
        <f>IFERROR(__xludf.DUMMYFUNCTION("""COMPUTED_VALUE"""),"")</f>
        <v/>
      </c>
      <c r="D3314" t="str">
        <f>IFERROR(__xludf.DUMMYFUNCTION("""COMPUTED_VALUE"""),"")</f>
        <v/>
      </c>
      <c r="E3314" t="str">
        <f>IFERROR(__xludf.DUMMYFUNCTION("""COMPUTED_VALUE"""),"")</f>
        <v/>
      </c>
      <c r="F3314" t="str">
        <f>IFERROR(__xludf.DUMMYFUNCTION("""COMPUTED_VALUE"""),"")</f>
        <v/>
      </c>
      <c r="G3314" t="str">
        <f>IFERROR(__xludf.DUMMYFUNCTION("""COMPUTED_VALUE"""),"")</f>
        <v/>
      </c>
      <c r="H3314" s="2" t="str">
        <f>IFERROR(__xludf.DUMMYFUNCTION("""COMPUTED_VALUE"""),"")</f>
        <v/>
      </c>
      <c r="I3314" s="2" t="str">
        <f>IFERROR(__xludf.DUMMYFUNCTION("""COMPUTED_VALUE"""),"")</f>
        <v/>
      </c>
      <c r="J3314" s="2">
        <f>IFERROR(__xludf.DUMMYFUNCTION("""COMPUTED_VALUE"""),0.0)</f>
        <v>0</v>
      </c>
      <c r="K3314" s="5" t="str">
        <f>IFERROR(__xludf.DUMMYFUNCTION("""COMPUTED_VALUE"""),"")</f>
        <v/>
      </c>
      <c r="L3314" t="str">
        <f>IFERROR(__xludf.DUMMYFUNCTION("""COMPUTED_VALUE"""),"")</f>
        <v/>
      </c>
      <c r="M3314" t="str">
        <f>IFERROR(__xludf.DUMMYFUNCTION("""COMPUTED_VALUE"""),"")</f>
        <v/>
      </c>
      <c r="N3314" t="str">
        <f>IFERROR(__xludf.DUMMYFUNCTION("""COMPUTED_VALUE"""),"")</f>
        <v/>
      </c>
      <c r="O3314" t="str">
        <f>IFERROR(__xludf.DUMMYFUNCTION("""COMPUTED_VALUE"""),"")</f>
        <v/>
      </c>
      <c r="P3314" t="str">
        <f>IFERROR(__xludf.DUMMYFUNCTION("""COMPUTED_VALUE"""),"ID ")</f>
        <v>ID </v>
      </c>
    </row>
    <row r="3315">
      <c r="A3315" s="6" t="str">
        <f>IFERROR(__xludf.DUMMYFUNCTION("""COMPUTED_VALUE"""),"")</f>
        <v/>
      </c>
      <c r="C3315" t="str">
        <f>IFERROR(__xludf.DUMMYFUNCTION("""COMPUTED_VALUE"""),"")</f>
        <v/>
      </c>
      <c r="D3315" t="str">
        <f>IFERROR(__xludf.DUMMYFUNCTION("""COMPUTED_VALUE"""),"")</f>
        <v/>
      </c>
      <c r="E3315" t="str">
        <f>IFERROR(__xludf.DUMMYFUNCTION("""COMPUTED_VALUE"""),"")</f>
        <v/>
      </c>
      <c r="F3315" t="str">
        <f>IFERROR(__xludf.DUMMYFUNCTION("""COMPUTED_VALUE"""),"")</f>
        <v/>
      </c>
      <c r="G3315" t="str">
        <f>IFERROR(__xludf.DUMMYFUNCTION("""COMPUTED_VALUE"""),"")</f>
        <v/>
      </c>
      <c r="H3315" s="2" t="str">
        <f>IFERROR(__xludf.DUMMYFUNCTION("""COMPUTED_VALUE"""),"")</f>
        <v/>
      </c>
      <c r="I3315" s="2" t="str">
        <f>IFERROR(__xludf.DUMMYFUNCTION("""COMPUTED_VALUE"""),"")</f>
        <v/>
      </c>
      <c r="J3315" s="2">
        <f>IFERROR(__xludf.DUMMYFUNCTION("""COMPUTED_VALUE"""),0.0)</f>
        <v>0</v>
      </c>
      <c r="K3315" s="5" t="str">
        <f>IFERROR(__xludf.DUMMYFUNCTION("""COMPUTED_VALUE"""),"")</f>
        <v/>
      </c>
      <c r="L3315" t="str">
        <f>IFERROR(__xludf.DUMMYFUNCTION("""COMPUTED_VALUE"""),"")</f>
        <v/>
      </c>
      <c r="M3315" t="str">
        <f>IFERROR(__xludf.DUMMYFUNCTION("""COMPUTED_VALUE"""),"")</f>
        <v/>
      </c>
      <c r="N3315" t="str">
        <f>IFERROR(__xludf.DUMMYFUNCTION("""COMPUTED_VALUE"""),"")</f>
        <v/>
      </c>
      <c r="O3315" t="str">
        <f>IFERROR(__xludf.DUMMYFUNCTION("""COMPUTED_VALUE"""),"")</f>
        <v/>
      </c>
      <c r="P3315" t="str">
        <f>IFERROR(__xludf.DUMMYFUNCTION("""COMPUTED_VALUE"""),"ID ")</f>
        <v>ID </v>
      </c>
    </row>
    <row r="3316">
      <c r="A3316" s="6" t="str">
        <f>IFERROR(__xludf.DUMMYFUNCTION("""COMPUTED_VALUE"""),"")</f>
        <v/>
      </c>
      <c r="C3316" t="str">
        <f>IFERROR(__xludf.DUMMYFUNCTION("""COMPUTED_VALUE"""),"")</f>
        <v/>
      </c>
      <c r="D3316" t="str">
        <f>IFERROR(__xludf.DUMMYFUNCTION("""COMPUTED_VALUE"""),"")</f>
        <v/>
      </c>
      <c r="E3316" t="str">
        <f>IFERROR(__xludf.DUMMYFUNCTION("""COMPUTED_VALUE"""),"")</f>
        <v/>
      </c>
      <c r="F3316" t="str">
        <f>IFERROR(__xludf.DUMMYFUNCTION("""COMPUTED_VALUE"""),"")</f>
        <v/>
      </c>
      <c r="G3316" t="str">
        <f>IFERROR(__xludf.DUMMYFUNCTION("""COMPUTED_VALUE"""),"")</f>
        <v/>
      </c>
      <c r="H3316" s="2" t="str">
        <f>IFERROR(__xludf.DUMMYFUNCTION("""COMPUTED_VALUE"""),"")</f>
        <v/>
      </c>
      <c r="I3316" s="2" t="str">
        <f>IFERROR(__xludf.DUMMYFUNCTION("""COMPUTED_VALUE"""),"")</f>
        <v/>
      </c>
      <c r="J3316" s="2">
        <f>IFERROR(__xludf.DUMMYFUNCTION("""COMPUTED_VALUE"""),0.0)</f>
        <v>0</v>
      </c>
      <c r="K3316" s="5" t="str">
        <f>IFERROR(__xludf.DUMMYFUNCTION("""COMPUTED_VALUE"""),"")</f>
        <v/>
      </c>
      <c r="L3316" t="str">
        <f>IFERROR(__xludf.DUMMYFUNCTION("""COMPUTED_VALUE"""),"")</f>
        <v/>
      </c>
      <c r="M3316" t="str">
        <f>IFERROR(__xludf.DUMMYFUNCTION("""COMPUTED_VALUE"""),"")</f>
        <v/>
      </c>
      <c r="N3316" t="str">
        <f>IFERROR(__xludf.DUMMYFUNCTION("""COMPUTED_VALUE"""),"")</f>
        <v/>
      </c>
      <c r="O3316" t="str">
        <f>IFERROR(__xludf.DUMMYFUNCTION("""COMPUTED_VALUE"""),"")</f>
        <v/>
      </c>
      <c r="P3316" t="str">
        <f>IFERROR(__xludf.DUMMYFUNCTION("""COMPUTED_VALUE"""),"ID ")</f>
        <v>ID </v>
      </c>
    </row>
    <row r="3317">
      <c r="A3317" s="6" t="str">
        <f>IFERROR(__xludf.DUMMYFUNCTION("""COMPUTED_VALUE"""),"")</f>
        <v/>
      </c>
      <c r="C3317" t="str">
        <f>IFERROR(__xludf.DUMMYFUNCTION("""COMPUTED_VALUE"""),"")</f>
        <v/>
      </c>
      <c r="D3317" t="str">
        <f>IFERROR(__xludf.DUMMYFUNCTION("""COMPUTED_VALUE"""),"")</f>
        <v/>
      </c>
      <c r="E3317" t="str">
        <f>IFERROR(__xludf.DUMMYFUNCTION("""COMPUTED_VALUE"""),"")</f>
        <v/>
      </c>
      <c r="F3317" t="str">
        <f>IFERROR(__xludf.DUMMYFUNCTION("""COMPUTED_VALUE"""),"")</f>
        <v/>
      </c>
      <c r="G3317" t="str">
        <f>IFERROR(__xludf.DUMMYFUNCTION("""COMPUTED_VALUE"""),"")</f>
        <v/>
      </c>
      <c r="H3317" s="2" t="str">
        <f>IFERROR(__xludf.DUMMYFUNCTION("""COMPUTED_VALUE"""),"")</f>
        <v/>
      </c>
      <c r="I3317" s="2" t="str">
        <f>IFERROR(__xludf.DUMMYFUNCTION("""COMPUTED_VALUE"""),"")</f>
        <v/>
      </c>
      <c r="J3317" s="2">
        <f>IFERROR(__xludf.DUMMYFUNCTION("""COMPUTED_VALUE"""),0.0)</f>
        <v>0</v>
      </c>
      <c r="K3317" s="5" t="str">
        <f>IFERROR(__xludf.DUMMYFUNCTION("""COMPUTED_VALUE"""),"")</f>
        <v/>
      </c>
      <c r="L3317" t="str">
        <f>IFERROR(__xludf.DUMMYFUNCTION("""COMPUTED_VALUE"""),"")</f>
        <v/>
      </c>
      <c r="M3317" t="str">
        <f>IFERROR(__xludf.DUMMYFUNCTION("""COMPUTED_VALUE"""),"")</f>
        <v/>
      </c>
      <c r="N3317" t="str">
        <f>IFERROR(__xludf.DUMMYFUNCTION("""COMPUTED_VALUE"""),"")</f>
        <v/>
      </c>
      <c r="O3317" t="str">
        <f>IFERROR(__xludf.DUMMYFUNCTION("""COMPUTED_VALUE"""),"")</f>
        <v/>
      </c>
      <c r="P3317" t="str">
        <f>IFERROR(__xludf.DUMMYFUNCTION("""COMPUTED_VALUE"""),"ID ")</f>
        <v>ID </v>
      </c>
    </row>
    <row r="3318">
      <c r="A3318" s="6" t="str">
        <f>IFERROR(__xludf.DUMMYFUNCTION("""COMPUTED_VALUE"""),"")</f>
        <v/>
      </c>
      <c r="C3318" t="str">
        <f>IFERROR(__xludf.DUMMYFUNCTION("""COMPUTED_VALUE"""),"")</f>
        <v/>
      </c>
      <c r="D3318" t="str">
        <f>IFERROR(__xludf.DUMMYFUNCTION("""COMPUTED_VALUE"""),"")</f>
        <v/>
      </c>
      <c r="E3318" t="str">
        <f>IFERROR(__xludf.DUMMYFUNCTION("""COMPUTED_VALUE"""),"")</f>
        <v/>
      </c>
      <c r="F3318" t="str">
        <f>IFERROR(__xludf.DUMMYFUNCTION("""COMPUTED_VALUE"""),"")</f>
        <v/>
      </c>
      <c r="G3318" t="str">
        <f>IFERROR(__xludf.DUMMYFUNCTION("""COMPUTED_VALUE"""),"")</f>
        <v/>
      </c>
      <c r="H3318" s="2" t="str">
        <f>IFERROR(__xludf.DUMMYFUNCTION("""COMPUTED_VALUE"""),"")</f>
        <v/>
      </c>
      <c r="I3318" s="2" t="str">
        <f>IFERROR(__xludf.DUMMYFUNCTION("""COMPUTED_VALUE"""),"")</f>
        <v/>
      </c>
      <c r="J3318" s="2">
        <f>IFERROR(__xludf.DUMMYFUNCTION("""COMPUTED_VALUE"""),0.0)</f>
        <v>0</v>
      </c>
      <c r="K3318" s="5" t="str">
        <f>IFERROR(__xludf.DUMMYFUNCTION("""COMPUTED_VALUE"""),"")</f>
        <v/>
      </c>
      <c r="L3318" t="str">
        <f>IFERROR(__xludf.DUMMYFUNCTION("""COMPUTED_VALUE"""),"")</f>
        <v/>
      </c>
      <c r="M3318" t="str">
        <f>IFERROR(__xludf.DUMMYFUNCTION("""COMPUTED_VALUE"""),"")</f>
        <v/>
      </c>
      <c r="N3318" t="str">
        <f>IFERROR(__xludf.DUMMYFUNCTION("""COMPUTED_VALUE"""),"")</f>
        <v/>
      </c>
      <c r="O3318" t="str">
        <f>IFERROR(__xludf.DUMMYFUNCTION("""COMPUTED_VALUE"""),"")</f>
        <v/>
      </c>
      <c r="P3318" t="str">
        <f>IFERROR(__xludf.DUMMYFUNCTION("""COMPUTED_VALUE"""),"ID ")</f>
        <v>ID </v>
      </c>
    </row>
    <row r="3319">
      <c r="A3319" s="6" t="str">
        <f>IFERROR(__xludf.DUMMYFUNCTION("""COMPUTED_VALUE"""),"")</f>
        <v/>
      </c>
      <c r="C3319" t="str">
        <f>IFERROR(__xludf.DUMMYFUNCTION("""COMPUTED_VALUE"""),"")</f>
        <v/>
      </c>
      <c r="D3319" t="str">
        <f>IFERROR(__xludf.DUMMYFUNCTION("""COMPUTED_VALUE"""),"")</f>
        <v/>
      </c>
      <c r="E3319" t="str">
        <f>IFERROR(__xludf.DUMMYFUNCTION("""COMPUTED_VALUE"""),"")</f>
        <v/>
      </c>
      <c r="F3319" t="str">
        <f>IFERROR(__xludf.DUMMYFUNCTION("""COMPUTED_VALUE"""),"")</f>
        <v/>
      </c>
      <c r="G3319" t="str">
        <f>IFERROR(__xludf.DUMMYFUNCTION("""COMPUTED_VALUE"""),"")</f>
        <v/>
      </c>
      <c r="H3319" s="2" t="str">
        <f>IFERROR(__xludf.DUMMYFUNCTION("""COMPUTED_VALUE"""),"")</f>
        <v/>
      </c>
      <c r="I3319" s="2" t="str">
        <f>IFERROR(__xludf.DUMMYFUNCTION("""COMPUTED_VALUE"""),"")</f>
        <v/>
      </c>
      <c r="J3319" s="2">
        <f>IFERROR(__xludf.DUMMYFUNCTION("""COMPUTED_VALUE"""),0.0)</f>
        <v>0</v>
      </c>
      <c r="K3319" s="5" t="str">
        <f>IFERROR(__xludf.DUMMYFUNCTION("""COMPUTED_VALUE"""),"")</f>
        <v/>
      </c>
      <c r="L3319" t="str">
        <f>IFERROR(__xludf.DUMMYFUNCTION("""COMPUTED_VALUE"""),"")</f>
        <v/>
      </c>
      <c r="M3319" t="str">
        <f>IFERROR(__xludf.DUMMYFUNCTION("""COMPUTED_VALUE"""),"")</f>
        <v/>
      </c>
      <c r="N3319" t="str">
        <f>IFERROR(__xludf.DUMMYFUNCTION("""COMPUTED_VALUE"""),"")</f>
        <v/>
      </c>
      <c r="O3319" t="str">
        <f>IFERROR(__xludf.DUMMYFUNCTION("""COMPUTED_VALUE"""),"")</f>
        <v/>
      </c>
      <c r="P3319" t="str">
        <f>IFERROR(__xludf.DUMMYFUNCTION("""COMPUTED_VALUE"""),"ID ")</f>
        <v>ID </v>
      </c>
    </row>
    <row r="3320">
      <c r="A3320" s="6" t="str">
        <f>IFERROR(__xludf.DUMMYFUNCTION("""COMPUTED_VALUE"""),"")</f>
        <v/>
      </c>
      <c r="C3320" t="str">
        <f>IFERROR(__xludf.DUMMYFUNCTION("""COMPUTED_VALUE"""),"")</f>
        <v/>
      </c>
      <c r="D3320" t="str">
        <f>IFERROR(__xludf.DUMMYFUNCTION("""COMPUTED_VALUE"""),"")</f>
        <v/>
      </c>
      <c r="E3320" t="str">
        <f>IFERROR(__xludf.DUMMYFUNCTION("""COMPUTED_VALUE"""),"")</f>
        <v/>
      </c>
      <c r="F3320" t="str">
        <f>IFERROR(__xludf.DUMMYFUNCTION("""COMPUTED_VALUE"""),"")</f>
        <v/>
      </c>
      <c r="G3320" t="str">
        <f>IFERROR(__xludf.DUMMYFUNCTION("""COMPUTED_VALUE"""),"")</f>
        <v/>
      </c>
      <c r="H3320" s="2" t="str">
        <f>IFERROR(__xludf.DUMMYFUNCTION("""COMPUTED_VALUE"""),"")</f>
        <v/>
      </c>
      <c r="I3320" s="2" t="str">
        <f>IFERROR(__xludf.DUMMYFUNCTION("""COMPUTED_VALUE"""),"")</f>
        <v/>
      </c>
      <c r="J3320" s="2">
        <f>IFERROR(__xludf.DUMMYFUNCTION("""COMPUTED_VALUE"""),0.0)</f>
        <v>0</v>
      </c>
      <c r="K3320" s="5" t="str">
        <f>IFERROR(__xludf.DUMMYFUNCTION("""COMPUTED_VALUE"""),"")</f>
        <v/>
      </c>
      <c r="L3320" t="str">
        <f>IFERROR(__xludf.DUMMYFUNCTION("""COMPUTED_VALUE"""),"")</f>
        <v/>
      </c>
      <c r="M3320" t="str">
        <f>IFERROR(__xludf.DUMMYFUNCTION("""COMPUTED_VALUE"""),"")</f>
        <v/>
      </c>
      <c r="N3320" t="str">
        <f>IFERROR(__xludf.DUMMYFUNCTION("""COMPUTED_VALUE"""),"")</f>
        <v/>
      </c>
      <c r="O3320" t="str">
        <f>IFERROR(__xludf.DUMMYFUNCTION("""COMPUTED_VALUE"""),"")</f>
        <v/>
      </c>
      <c r="P3320" t="str">
        <f>IFERROR(__xludf.DUMMYFUNCTION("""COMPUTED_VALUE"""),"ID ")</f>
        <v>ID </v>
      </c>
    </row>
    <row r="3321">
      <c r="A3321" s="6" t="str">
        <f>IFERROR(__xludf.DUMMYFUNCTION("""COMPUTED_VALUE"""),"")</f>
        <v/>
      </c>
      <c r="C3321" t="str">
        <f>IFERROR(__xludf.DUMMYFUNCTION("""COMPUTED_VALUE"""),"")</f>
        <v/>
      </c>
      <c r="D3321" t="str">
        <f>IFERROR(__xludf.DUMMYFUNCTION("""COMPUTED_VALUE"""),"")</f>
        <v/>
      </c>
      <c r="E3321" t="str">
        <f>IFERROR(__xludf.DUMMYFUNCTION("""COMPUTED_VALUE"""),"")</f>
        <v/>
      </c>
      <c r="F3321" t="str">
        <f>IFERROR(__xludf.DUMMYFUNCTION("""COMPUTED_VALUE"""),"")</f>
        <v/>
      </c>
      <c r="G3321" t="str">
        <f>IFERROR(__xludf.DUMMYFUNCTION("""COMPUTED_VALUE"""),"")</f>
        <v/>
      </c>
      <c r="H3321" s="2" t="str">
        <f>IFERROR(__xludf.DUMMYFUNCTION("""COMPUTED_VALUE"""),"")</f>
        <v/>
      </c>
      <c r="I3321" s="2" t="str">
        <f>IFERROR(__xludf.DUMMYFUNCTION("""COMPUTED_VALUE"""),"")</f>
        <v/>
      </c>
      <c r="J3321" s="2">
        <f>IFERROR(__xludf.DUMMYFUNCTION("""COMPUTED_VALUE"""),0.0)</f>
        <v>0</v>
      </c>
      <c r="K3321" s="5" t="str">
        <f>IFERROR(__xludf.DUMMYFUNCTION("""COMPUTED_VALUE"""),"")</f>
        <v/>
      </c>
      <c r="L3321" t="str">
        <f>IFERROR(__xludf.DUMMYFUNCTION("""COMPUTED_VALUE"""),"")</f>
        <v/>
      </c>
      <c r="M3321" t="str">
        <f>IFERROR(__xludf.DUMMYFUNCTION("""COMPUTED_VALUE"""),"")</f>
        <v/>
      </c>
      <c r="N3321" t="str">
        <f>IFERROR(__xludf.DUMMYFUNCTION("""COMPUTED_VALUE"""),"")</f>
        <v/>
      </c>
      <c r="O3321" t="str">
        <f>IFERROR(__xludf.DUMMYFUNCTION("""COMPUTED_VALUE"""),"")</f>
        <v/>
      </c>
      <c r="P3321" t="str">
        <f>IFERROR(__xludf.DUMMYFUNCTION("""COMPUTED_VALUE"""),"ID ")</f>
        <v>ID </v>
      </c>
    </row>
    <row r="3322">
      <c r="A3322" s="6" t="str">
        <f>IFERROR(__xludf.DUMMYFUNCTION("""COMPUTED_VALUE"""),"")</f>
        <v/>
      </c>
      <c r="C3322" t="str">
        <f>IFERROR(__xludf.DUMMYFUNCTION("""COMPUTED_VALUE"""),"")</f>
        <v/>
      </c>
      <c r="D3322" t="str">
        <f>IFERROR(__xludf.DUMMYFUNCTION("""COMPUTED_VALUE"""),"")</f>
        <v/>
      </c>
      <c r="E3322" t="str">
        <f>IFERROR(__xludf.DUMMYFUNCTION("""COMPUTED_VALUE"""),"")</f>
        <v/>
      </c>
      <c r="F3322" t="str">
        <f>IFERROR(__xludf.DUMMYFUNCTION("""COMPUTED_VALUE"""),"")</f>
        <v/>
      </c>
      <c r="G3322" t="str">
        <f>IFERROR(__xludf.DUMMYFUNCTION("""COMPUTED_VALUE"""),"")</f>
        <v/>
      </c>
      <c r="H3322" s="2" t="str">
        <f>IFERROR(__xludf.DUMMYFUNCTION("""COMPUTED_VALUE"""),"")</f>
        <v/>
      </c>
      <c r="I3322" s="2" t="str">
        <f>IFERROR(__xludf.DUMMYFUNCTION("""COMPUTED_VALUE"""),"")</f>
        <v/>
      </c>
      <c r="J3322" s="2">
        <f>IFERROR(__xludf.DUMMYFUNCTION("""COMPUTED_VALUE"""),0.0)</f>
        <v>0</v>
      </c>
      <c r="K3322" s="5" t="str">
        <f>IFERROR(__xludf.DUMMYFUNCTION("""COMPUTED_VALUE"""),"")</f>
        <v/>
      </c>
      <c r="L3322" t="str">
        <f>IFERROR(__xludf.DUMMYFUNCTION("""COMPUTED_VALUE"""),"")</f>
        <v/>
      </c>
      <c r="M3322" t="str">
        <f>IFERROR(__xludf.DUMMYFUNCTION("""COMPUTED_VALUE"""),"")</f>
        <v/>
      </c>
      <c r="N3322" t="str">
        <f>IFERROR(__xludf.DUMMYFUNCTION("""COMPUTED_VALUE"""),"")</f>
        <v/>
      </c>
      <c r="O3322" t="str">
        <f>IFERROR(__xludf.DUMMYFUNCTION("""COMPUTED_VALUE"""),"")</f>
        <v/>
      </c>
      <c r="P3322" t="str">
        <f>IFERROR(__xludf.DUMMYFUNCTION("""COMPUTED_VALUE"""),"ID ")</f>
        <v>ID </v>
      </c>
    </row>
    <row r="3323">
      <c r="A3323" s="6" t="str">
        <f>IFERROR(__xludf.DUMMYFUNCTION("""COMPUTED_VALUE"""),"")</f>
        <v/>
      </c>
      <c r="C3323" t="str">
        <f>IFERROR(__xludf.DUMMYFUNCTION("""COMPUTED_VALUE"""),"")</f>
        <v/>
      </c>
      <c r="D3323" t="str">
        <f>IFERROR(__xludf.DUMMYFUNCTION("""COMPUTED_VALUE"""),"")</f>
        <v/>
      </c>
      <c r="E3323" t="str">
        <f>IFERROR(__xludf.DUMMYFUNCTION("""COMPUTED_VALUE"""),"")</f>
        <v/>
      </c>
      <c r="F3323" t="str">
        <f>IFERROR(__xludf.DUMMYFUNCTION("""COMPUTED_VALUE"""),"")</f>
        <v/>
      </c>
      <c r="G3323" t="str">
        <f>IFERROR(__xludf.DUMMYFUNCTION("""COMPUTED_VALUE"""),"")</f>
        <v/>
      </c>
      <c r="H3323" s="2" t="str">
        <f>IFERROR(__xludf.DUMMYFUNCTION("""COMPUTED_VALUE"""),"")</f>
        <v/>
      </c>
      <c r="I3323" s="2" t="str">
        <f>IFERROR(__xludf.DUMMYFUNCTION("""COMPUTED_VALUE"""),"")</f>
        <v/>
      </c>
      <c r="J3323" s="2">
        <f>IFERROR(__xludf.DUMMYFUNCTION("""COMPUTED_VALUE"""),0.0)</f>
        <v>0</v>
      </c>
      <c r="K3323" s="5" t="str">
        <f>IFERROR(__xludf.DUMMYFUNCTION("""COMPUTED_VALUE"""),"")</f>
        <v/>
      </c>
      <c r="L3323" t="str">
        <f>IFERROR(__xludf.DUMMYFUNCTION("""COMPUTED_VALUE"""),"")</f>
        <v/>
      </c>
      <c r="M3323" t="str">
        <f>IFERROR(__xludf.DUMMYFUNCTION("""COMPUTED_VALUE"""),"")</f>
        <v/>
      </c>
      <c r="N3323" t="str">
        <f>IFERROR(__xludf.DUMMYFUNCTION("""COMPUTED_VALUE"""),"")</f>
        <v/>
      </c>
      <c r="O3323" t="str">
        <f>IFERROR(__xludf.DUMMYFUNCTION("""COMPUTED_VALUE"""),"")</f>
        <v/>
      </c>
      <c r="P3323" t="str">
        <f>IFERROR(__xludf.DUMMYFUNCTION("""COMPUTED_VALUE"""),"ID ")</f>
        <v>ID </v>
      </c>
    </row>
    <row r="3324">
      <c r="A3324" s="6" t="str">
        <f>IFERROR(__xludf.DUMMYFUNCTION("""COMPUTED_VALUE"""),"")</f>
        <v/>
      </c>
      <c r="C3324" t="str">
        <f>IFERROR(__xludf.DUMMYFUNCTION("""COMPUTED_VALUE"""),"")</f>
        <v/>
      </c>
      <c r="D3324" t="str">
        <f>IFERROR(__xludf.DUMMYFUNCTION("""COMPUTED_VALUE"""),"")</f>
        <v/>
      </c>
      <c r="E3324" t="str">
        <f>IFERROR(__xludf.DUMMYFUNCTION("""COMPUTED_VALUE"""),"")</f>
        <v/>
      </c>
      <c r="F3324" t="str">
        <f>IFERROR(__xludf.DUMMYFUNCTION("""COMPUTED_VALUE"""),"")</f>
        <v/>
      </c>
      <c r="G3324" t="str">
        <f>IFERROR(__xludf.DUMMYFUNCTION("""COMPUTED_VALUE"""),"")</f>
        <v/>
      </c>
      <c r="H3324" s="2" t="str">
        <f>IFERROR(__xludf.DUMMYFUNCTION("""COMPUTED_VALUE"""),"")</f>
        <v/>
      </c>
      <c r="I3324" s="2" t="str">
        <f>IFERROR(__xludf.DUMMYFUNCTION("""COMPUTED_VALUE"""),"")</f>
        <v/>
      </c>
      <c r="J3324" s="2">
        <f>IFERROR(__xludf.DUMMYFUNCTION("""COMPUTED_VALUE"""),0.0)</f>
        <v>0</v>
      </c>
      <c r="K3324" s="5" t="str">
        <f>IFERROR(__xludf.DUMMYFUNCTION("""COMPUTED_VALUE"""),"")</f>
        <v/>
      </c>
      <c r="L3324" t="str">
        <f>IFERROR(__xludf.DUMMYFUNCTION("""COMPUTED_VALUE"""),"")</f>
        <v/>
      </c>
      <c r="M3324" t="str">
        <f>IFERROR(__xludf.DUMMYFUNCTION("""COMPUTED_VALUE"""),"")</f>
        <v/>
      </c>
      <c r="N3324" t="str">
        <f>IFERROR(__xludf.DUMMYFUNCTION("""COMPUTED_VALUE"""),"")</f>
        <v/>
      </c>
      <c r="O3324" t="str">
        <f>IFERROR(__xludf.DUMMYFUNCTION("""COMPUTED_VALUE"""),"")</f>
        <v/>
      </c>
      <c r="P3324" t="str">
        <f>IFERROR(__xludf.DUMMYFUNCTION("""COMPUTED_VALUE"""),"ID ")</f>
        <v>ID </v>
      </c>
    </row>
    <row r="3325">
      <c r="A3325" s="6" t="str">
        <f>IFERROR(__xludf.DUMMYFUNCTION("""COMPUTED_VALUE"""),"")</f>
        <v/>
      </c>
      <c r="C3325" t="str">
        <f>IFERROR(__xludf.DUMMYFUNCTION("""COMPUTED_VALUE"""),"")</f>
        <v/>
      </c>
      <c r="D3325" t="str">
        <f>IFERROR(__xludf.DUMMYFUNCTION("""COMPUTED_VALUE"""),"")</f>
        <v/>
      </c>
      <c r="E3325" t="str">
        <f>IFERROR(__xludf.DUMMYFUNCTION("""COMPUTED_VALUE"""),"")</f>
        <v/>
      </c>
      <c r="F3325" t="str">
        <f>IFERROR(__xludf.DUMMYFUNCTION("""COMPUTED_VALUE"""),"")</f>
        <v/>
      </c>
      <c r="G3325" t="str">
        <f>IFERROR(__xludf.DUMMYFUNCTION("""COMPUTED_VALUE"""),"")</f>
        <v/>
      </c>
      <c r="H3325" s="2" t="str">
        <f>IFERROR(__xludf.DUMMYFUNCTION("""COMPUTED_VALUE"""),"")</f>
        <v/>
      </c>
      <c r="I3325" s="2" t="str">
        <f>IFERROR(__xludf.DUMMYFUNCTION("""COMPUTED_VALUE"""),"")</f>
        <v/>
      </c>
      <c r="J3325" s="2">
        <f>IFERROR(__xludf.DUMMYFUNCTION("""COMPUTED_VALUE"""),0.0)</f>
        <v>0</v>
      </c>
      <c r="K3325" s="5" t="str">
        <f>IFERROR(__xludf.DUMMYFUNCTION("""COMPUTED_VALUE"""),"")</f>
        <v/>
      </c>
      <c r="L3325" t="str">
        <f>IFERROR(__xludf.DUMMYFUNCTION("""COMPUTED_VALUE"""),"")</f>
        <v/>
      </c>
      <c r="M3325" t="str">
        <f>IFERROR(__xludf.DUMMYFUNCTION("""COMPUTED_VALUE"""),"")</f>
        <v/>
      </c>
      <c r="N3325" t="str">
        <f>IFERROR(__xludf.DUMMYFUNCTION("""COMPUTED_VALUE"""),"")</f>
        <v/>
      </c>
      <c r="O3325" t="str">
        <f>IFERROR(__xludf.DUMMYFUNCTION("""COMPUTED_VALUE"""),"")</f>
        <v/>
      </c>
      <c r="P3325" t="str">
        <f>IFERROR(__xludf.DUMMYFUNCTION("""COMPUTED_VALUE"""),"ID ")</f>
        <v>ID </v>
      </c>
    </row>
    <row r="3326">
      <c r="A3326" s="6" t="str">
        <f>IFERROR(__xludf.DUMMYFUNCTION("""COMPUTED_VALUE"""),"")</f>
        <v/>
      </c>
      <c r="C3326" t="str">
        <f>IFERROR(__xludf.DUMMYFUNCTION("""COMPUTED_VALUE"""),"")</f>
        <v/>
      </c>
      <c r="D3326" t="str">
        <f>IFERROR(__xludf.DUMMYFUNCTION("""COMPUTED_VALUE"""),"")</f>
        <v/>
      </c>
      <c r="E3326" t="str">
        <f>IFERROR(__xludf.DUMMYFUNCTION("""COMPUTED_VALUE"""),"")</f>
        <v/>
      </c>
      <c r="F3326" t="str">
        <f>IFERROR(__xludf.DUMMYFUNCTION("""COMPUTED_VALUE"""),"")</f>
        <v/>
      </c>
      <c r="G3326" t="str">
        <f>IFERROR(__xludf.DUMMYFUNCTION("""COMPUTED_VALUE"""),"")</f>
        <v/>
      </c>
      <c r="H3326" s="2" t="str">
        <f>IFERROR(__xludf.DUMMYFUNCTION("""COMPUTED_VALUE"""),"")</f>
        <v/>
      </c>
      <c r="I3326" s="2" t="str">
        <f>IFERROR(__xludf.DUMMYFUNCTION("""COMPUTED_VALUE"""),"")</f>
        <v/>
      </c>
      <c r="J3326" s="2">
        <f>IFERROR(__xludf.DUMMYFUNCTION("""COMPUTED_VALUE"""),0.0)</f>
        <v>0</v>
      </c>
      <c r="K3326" s="5" t="str">
        <f>IFERROR(__xludf.DUMMYFUNCTION("""COMPUTED_VALUE"""),"")</f>
        <v/>
      </c>
      <c r="L3326" t="str">
        <f>IFERROR(__xludf.DUMMYFUNCTION("""COMPUTED_VALUE"""),"")</f>
        <v/>
      </c>
      <c r="M3326" t="str">
        <f>IFERROR(__xludf.DUMMYFUNCTION("""COMPUTED_VALUE"""),"")</f>
        <v/>
      </c>
      <c r="N3326" t="str">
        <f>IFERROR(__xludf.DUMMYFUNCTION("""COMPUTED_VALUE"""),"")</f>
        <v/>
      </c>
      <c r="O3326" t="str">
        <f>IFERROR(__xludf.DUMMYFUNCTION("""COMPUTED_VALUE"""),"")</f>
        <v/>
      </c>
      <c r="P3326" t="str">
        <f>IFERROR(__xludf.DUMMYFUNCTION("""COMPUTED_VALUE"""),"ID ")</f>
        <v>ID </v>
      </c>
    </row>
    <row r="3327">
      <c r="A3327" s="6" t="str">
        <f>IFERROR(__xludf.DUMMYFUNCTION("""COMPUTED_VALUE"""),"")</f>
        <v/>
      </c>
      <c r="C3327" t="str">
        <f>IFERROR(__xludf.DUMMYFUNCTION("""COMPUTED_VALUE"""),"")</f>
        <v/>
      </c>
      <c r="D3327" t="str">
        <f>IFERROR(__xludf.DUMMYFUNCTION("""COMPUTED_VALUE"""),"")</f>
        <v/>
      </c>
      <c r="E3327" t="str">
        <f>IFERROR(__xludf.DUMMYFUNCTION("""COMPUTED_VALUE"""),"")</f>
        <v/>
      </c>
      <c r="F3327" t="str">
        <f>IFERROR(__xludf.DUMMYFUNCTION("""COMPUTED_VALUE"""),"")</f>
        <v/>
      </c>
      <c r="G3327" t="str">
        <f>IFERROR(__xludf.DUMMYFUNCTION("""COMPUTED_VALUE"""),"")</f>
        <v/>
      </c>
      <c r="H3327" s="2" t="str">
        <f>IFERROR(__xludf.DUMMYFUNCTION("""COMPUTED_VALUE"""),"")</f>
        <v/>
      </c>
      <c r="I3327" s="2" t="str">
        <f>IFERROR(__xludf.DUMMYFUNCTION("""COMPUTED_VALUE"""),"")</f>
        <v/>
      </c>
      <c r="J3327" s="2">
        <f>IFERROR(__xludf.DUMMYFUNCTION("""COMPUTED_VALUE"""),0.0)</f>
        <v>0</v>
      </c>
      <c r="K3327" s="5" t="str">
        <f>IFERROR(__xludf.DUMMYFUNCTION("""COMPUTED_VALUE"""),"")</f>
        <v/>
      </c>
      <c r="L3327" t="str">
        <f>IFERROR(__xludf.DUMMYFUNCTION("""COMPUTED_VALUE"""),"")</f>
        <v/>
      </c>
      <c r="M3327" t="str">
        <f>IFERROR(__xludf.DUMMYFUNCTION("""COMPUTED_VALUE"""),"")</f>
        <v/>
      </c>
      <c r="N3327" t="str">
        <f>IFERROR(__xludf.DUMMYFUNCTION("""COMPUTED_VALUE"""),"")</f>
        <v/>
      </c>
      <c r="O3327" t="str">
        <f>IFERROR(__xludf.DUMMYFUNCTION("""COMPUTED_VALUE"""),"")</f>
        <v/>
      </c>
      <c r="P3327" t="str">
        <f>IFERROR(__xludf.DUMMYFUNCTION("""COMPUTED_VALUE"""),"ID ")</f>
        <v>ID </v>
      </c>
    </row>
    <row r="3328">
      <c r="A3328" s="6" t="str">
        <f>IFERROR(__xludf.DUMMYFUNCTION("""COMPUTED_VALUE"""),"")</f>
        <v/>
      </c>
      <c r="C3328" t="str">
        <f>IFERROR(__xludf.DUMMYFUNCTION("""COMPUTED_VALUE"""),"")</f>
        <v/>
      </c>
      <c r="D3328" t="str">
        <f>IFERROR(__xludf.DUMMYFUNCTION("""COMPUTED_VALUE"""),"")</f>
        <v/>
      </c>
      <c r="E3328" t="str">
        <f>IFERROR(__xludf.DUMMYFUNCTION("""COMPUTED_VALUE"""),"")</f>
        <v/>
      </c>
      <c r="F3328" t="str">
        <f>IFERROR(__xludf.DUMMYFUNCTION("""COMPUTED_VALUE"""),"")</f>
        <v/>
      </c>
      <c r="G3328" t="str">
        <f>IFERROR(__xludf.DUMMYFUNCTION("""COMPUTED_VALUE"""),"")</f>
        <v/>
      </c>
      <c r="H3328" s="2" t="str">
        <f>IFERROR(__xludf.DUMMYFUNCTION("""COMPUTED_VALUE"""),"")</f>
        <v/>
      </c>
      <c r="I3328" s="2" t="str">
        <f>IFERROR(__xludf.DUMMYFUNCTION("""COMPUTED_VALUE"""),"")</f>
        <v/>
      </c>
      <c r="J3328" s="2">
        <f>IFERROR(__xludf.DUMMYFUNCTION("""COMPUTED_VALUE"""),0.0)</f>
        <v>0</v>
      </c>
      <c r="K3328" s="5" t="str">
        <f>IFERROR(__xludf.DUMMYFUNCTION("""COMPUTED_VALUE"""),"")</f>
        <v/>
      </c>
      <c r="L3328" t="str">
        <f>IFERROR(__xludf.DUMMYFUNCTION("""COMPUTED_VALUE"""),"")</f>
        <v/>
      </c>
      <c r="M3328" t="str">
        <f>IFERROR(__xludf.DUMMYFUNCTION("""COMPUTED_VALUE"""),"")</f>
        <v/>
      </c>
      <c r="N3328" t="str">
        <f>IFERROR(__xludf.DUMMYFUNCTION("""COMPUTED_VALUE"""),"")</f>
        <v/>
      </c>
      <c r="O3328" t="str">
        <f>IFERROR(__xludf.DUMMYFUNCTION("""COMPUTED_VALUE"""),"")</f>
        <v/>
      </c>
      <c r="P3328" t="str">
        <f>IFERROR(__xludf.DUMMYFUNCTION("""COMPUTED_VALUE"""),"ID ")</f>
        <v>ID </v>
      </c>
    </row>
    <row r="3329">
      <c r="A3329" s="6" t="str">
        <f>IFERROR(__xludf.DUMMYFUNCTION("""COMPUTED_VALUE"""),"")</f>
        <v/>
      </c>
      <c r="C3329" t="str">
        <f>IFERROR(__xludf.DUMMYFUNCTION("""COMPUTED_VALUE"""),"")</f>
        <v/>
      </c>
      <c r="D3329" t="str">
        <f>IFERROR(__xludf.DUMMYFUNCTION("""COMPUTED_VALUE"""),"")</f>
        <v/>
      </c>
      <c r="E3329" t="str">
        <f>IFERROR(__xludf.DUMMYFUNCTION("""COMPUTED_VALUE"""),"")</f>
        <v/>
      </c>
      <c r="F3329" t="str">
        <f>IFERROR(__xludf.DUMMYFUNCTION("""COMPUTED_VALUE"""),"")</f>
        <v/>
      </c>
      <c r="G3329" t="str">
        <f>IFERROR(__xludf.DUMMYFUNCTION("""COMPUTED_VALUE"""),"")</f>
        <v/>
      </c>
      <c r="H3329" s="2" t="str">
        <f>IFERROR(__xludf.DUMMYFUNCTION("""COMPUTED_VALUE"""),"")</f>
        <v/>
      </c>
      <c r="I3329" s="2" t="str">
        <f>IFERROR(__xludf.DUMMYFUNCTION("""COMPUTED_VALUE"""),"")</f>
        <v/>
      </c>
      <c r="J3329" s="2">
        <f>IFERROR(__xludf.DUMMYFUNCTION("""COMPUTED_VALUE"""),0.0)</f>
        <v>0</v>
      </c>
      <c r="K3329" s="5" t="str">
        <f>IFERROR(__xludf.DUMMYFUNCTION("""COMPUTED_VALUE"""),"")</f>
        <v/>
      </c>
      <c r="L3329" t="str">
        <f>IFERROR(__xludf.DUMMYFUNCTION("""COMPUTED_VALUE"""),"")</f>
        <v/>
      </c>
      <c r="M3329" t="str">
        <f>IFERROR(__xludf.DUMMYFUNCTION("""COMPUTED_VALUE"""),"")</f>
        <v/>
      </c>
      <c r="N3329" t="str">
        <f>IFERROR(__xludf.DUMMYFUNCTION("""COMPUTED_VALUE"""),"")</f>
        <v/>
      </c>
      <c r="O3329" t="str">
        <f>IFERROR(__xludf.DUMMYFUNCTION("""COMPUTED_VALUE"""),"")</f>
        <v/>
      </c>
      <c r="P3329" t="str">
        <f>IFERROR(__xludf.DUMMYFUNCTION("""COMPUTED_VALUE"""),"ID ")</f>
        <v>ID </v>
      </c>
    </row>
    <row r="3330">
      <c r="A3330" s="6" t="str">
        <f>IFERROR(__xludf.DUMMYFUNCTION("""COMPUTED_VALUE"""),"")</f>
        <v/>
      </c>
      <c r="C3330" t="str">
        <f>IFERROR(__xludf.DUMMYFUNCTION("""COMPUTED_VALUE"""),"")</f>
        <v/>
      </c>
      <c r="D3330" t="str">
        <f>IFERROR(__xludf.DUMMYFUNCTION("""COMPUTED_VALUE"""),"")</f>
        <v/>
      </c>
      <c r="E3330" t="str">
        <f>IFERROR(__xludf.DUMMYFUNCTION("""COMPUTED_VALUE"""),"")</f>
        <v/>
      </c>
      <c r="F3330" t="str">
        <f>IFERROR(__xludf.DUMMYFUNCTION("""COMPUTED_VALUE"""),"")</f>
        <v/>
      </c>
      <c r="G3330" t="str">
        <f>IFERROR(__xludf.DUMMYFUNCTION("""COMPUTED_VALUE"""),"")</f>
        <v/>
      </c>
      <c r="H3330" s="2" t="str">
        <f>IFERROR(__xludf.DUMMYFUNCTION("""COMPUTED_VALUE"""),"")</f>
        <v/>
      </c>
      <c r="I3330" s="2" t="str">
        <f>IFERROR(__xludf.DUMMYFUNCTION("""COMPUTED_VALUE"""),"")</f>
        <v/>
      </c>
      <c r="J3330" s="2">
        <f>IFERROR(__xludf.DUMMYFUNCTION("""COMPUTED_VALUE"""),0.0)</f>
        <v>0</v>
      </c>
      <c r="K3330" s="5" t="str">
        <f>IFERROR(__xludf.DUMMYFUNCTION("""COMPUTED_VALUE"""),"")</f>
        <v/>
      </c>
      <c r="L3330" t="str">
        <f>IFERROR(__xludf.DUMMYFUNCTION("""COMPUTED_VALUE"""),"")</f>
        <v/>
      </c>
      <c r="M3330" t="str">
        <f>IFERROR(__xludf.DUMMYFUNCTION("""COMPUTED_VALUE"""),"")</f>
        <v/>
      </c>
      <c r="N3330" t="str">
        <f>IFERROR(__xludf.DUMMYFUNCTION("""COMPUTED_VALUE"""),"")</f>
        <v/>
      </c>
      <c r="O3330" t="str">
        <f>IFERROR(__xludf.DUMMYFUNCTION("""COMPUTED_VALUE"""),"")</f>
        <v/>
      </c>
      <c r="P3330" t="str">
        <f>IFERROR(__xludf.DUMMYFUNCTION("""COMPUTED_VALUE"""),"ID ")</f>
        <v>ID </v>
      </c>
    </row>
    <row r="3331">
      <c r="A3331" s="6" t="str">
        <f>IFERROR(__xludf.DUMMYFUNCTION("""COMPUTED_VALUE"""),"")</f>
        <v/>
      </c>
      <c r="C3331" t="str">
        <f>IFERROR(__xludf.DUMMYFUNCTION("""COMPUTED_VALUE"""),"")</f>
        <v/>
      </c>
      <c r="D3331" t="str">
        <f>IFERROR(__xludf.DUMMYFUNCTION("""COMPUTED_VALUE"""),"")</f>
        <v/>
      </c>
      <c r="E3331" t="str">
        <f>IFERROR(__xludf.DUMMYFUNCTION("""COMPUTED_VALUE"""),"")</f>
        <v/>
      </c>
      <c r="F3331" t="str">
        <f>IFERROR(__xludf.DUMMYFUNCTION("""COMPUTED_VALUE"""),"")</f>
        <v/>
      </c>
      <c r="G3331" t="str">
        <f>IFERROR(__xludf.DUMMYFUNCTION("""COMPUTED_VALUE"""),"")</f>
        <v/>
      </c>
      <c r="H3331" s="2" t="str">
        <f>IFERROR(__xludf.DUMMYFUNCTION("""COMPUTED_VALUE"""),"")</f>
        <v/>
      </c>
      <c r="I3331" s="2" t="str">
        <f>IFERROR(__xludf.DUMMYFUNCTION("""COMPUTED_VALUE"""),"")</f>
        <v/>
      </c>
      <c r="J3331" s="2">
        <f>IFERROR(__xludf.DUMMYFUNCTION("""COMPUTED_VALUE"""),0.0)</f>
        <v>0</v>
      </c>
      <c r="K3331" s="5" t="str">
        <f>IFERROR(__xludf.DUMMYFUNCTION("""COMPUTED_VALUE"""),"")</f>
        <v/>
      </c>
      <c r="L3331" t="str">
        <f>IFERROR(__xludf.DUMMYFUNCTION("""COMPUTED_VALUE"""),"")</f>
        <v/>
      </c>
      <c r="M3331" t="str">
        <f>IFERROR(__xludf.DUMMYFUNCTION("""COMPUTED_VALUE"""),"")</f>
        <v/>
      </c>
      <c r="N3331" t="str">
        <f>IFERROR(__xludf.DUMMYFUNCTION("""COMPUTED_VALUE"""),"")</f>
        <v/>
      </c>
      <c r="O3331" t="str">
        <f>IFERROR(__xludf.DUMMYFUNCTION("""COMPUTED_VALUE"""),"")</f>
        <v/>
      </c>
      <c r="P3331" t="str">
        <f>IFERROR(__xludf.DUMMYFUNCTION("""COMPUTED_VALUE"""),"ID ")</f>
        <v>ID </v>
      </c>
    </row>
    <row r="3332">
      <c r="A3332" s="6" t="str">
        <f>IFERROR(__xludf.DUMMYFUNCTION("""COMPUTED_VALUE"""),"")</f>
        <v/>
      </c>
      <c r="C3332" t="str">
        <f>IFERROR(__xludf.DUMMYFUNCTION("""COMPUTED_VALUE"""),"")</f>
        <v/>
      </c>
      <c r="D3332" t="str">
        <f>IFERROR(__xludf.DUMMYFUNCTION("""COMPUTED_VALUE"""),"")</f>
        <v/>
      </c>
      <c r="E3332" t="str">
        <f>IFERROR(__xludf.DUMMYFUNCTION("""COMPUTED_VALUE"""),"")</f>
        <v/>
      </c>
      <c r="F3332" t="str">
        <f>IFERROR(__xludf.DUMMYFUNCTION("""COMPUTED_VALUE"""),"")</f>
        <v/>
      </c>
      <c r="G3332" t="str">
        <f>IFERROR(__xludf.DUMMYFUNCTION("""COMPUTED_VALUE"""),"")</f>
        <v/>
      </c>
      <c r="H3332" s="2" t="str">
        <f>IFERROR(__xludf.DUMMYFUNCTION("""COMPUTED_VALUE"""),"")</f>
        <v/>
      </c>
      <c r="I3332" s="2" t="str">
        <f>IFERROR(__xludf.DUMMYFUNCTION("""COMPUTED_VALUE"""),"")</f>
        <v/>
      </c>
      <c r="J3332" s="2">
        <f>IFERROR(__xludf.DUMMYFUNCTION("""COMPUTED_VALUE"""),0.0)</f>
        <v>0</v>
      </c>
      <c r="K3332" s="5" t="str">
        <f>IFERROR(__xludf.DUMMYFUNCTION("""COMPUTED_VALUE"""),"")</f>
        <v/>
      </c>
      <c r="L3332" t="str">
        <f>IFERROR(__xludf.DUMMYFUNCTION("""COMPUTED_VALUE"""),"")</f>
        <v/>
      </c>
      <c r="M3332" t="str">
        <f>IFERROR(__xludf.DUMMYFUNCTION("""COMPUTED_VALUE"""),"")</f>
        <v/>
      </c>
      <c r="N3332" t="str">
        <f>IFERROR(__xludf.DUMMYFUNCTION("""COMPUTED_VALUE"""),"")</f>
        <v/>
      </c>
      <c r="O3332" t="str">
        <f>IFERROR(__xludf.DUMMYFUNCTION("""COMPUTED_VALUE"""),"")</f>
        <v/>
      </c>
      <c r="P3332" t="str">
        <f>IFERROR(__xludf.DUMMYFUNCTION("""COMPUTED_VALUE"""),"ID ")</f>
        <v>ID </v>
      </c>
    </row>
    <row r="3333">
      <c r="A3333" s="6" t="str">
        <f>IFERROR(__xludf.DUMMYFUNCTION("""COMPUTED_VALUE"""),"")</f>
        <v/>
      </c>
      <c r="C3333" t="str">
        <f>IFERROR(__xludf.DUMMYFUNCTION("""COMPUTED_VALUE"""),"")</f>
        <v/>
      </c>
      <c r="D3333" t="str">
        <f>IFERROR(__xludf.DUMMYFUNCTION("""COMPUTED_VALUE"""),"")</f>
        <v/>
      </c>
      <c r="E3333" t="str">
        <f>IFERROR(__xludf.DUMMYFUNCTION("""COMPUTED_VALUE"""),"")</f>
        <v/>
      </c>
      <c r="F3333" t="str">
        <f>IFERROR(__xludf.DUMMYFUNCTION("""COMPUTED_VALUE"""),"")</f>
        <v/>
      </c>
      <c r="G3333" t="str">
        <f>IFERROR(__xludf.DUMMYFUNCTION("""COMPUTED_VALUE"""),"")</f>
        <v/>
      </c>
      <c r="H3333" s="2" t="str">
        <f>IFERROR(__xludf.DUMMYFUNCTION("""COMPUTED_VALUE"""),"")</f>
        <v/>
      </c>
      <c r="I3333" s="2" t="str">
        <f>IFERROR(__xludf.DUMMYFUNCTION("""COMPUTED_VALUE"""),"")</f>
        <v/>
      </c>
      <c r="J3333" s="2">
        <f>IFERROR(__xludf.DUMMYFUNCTION("""COMPUTED_VALUE"""),0.0)</f>
        <v>0</v>
      </c>
      <c r="K3333" s="5" t="str">
        <f>IFERROR(__xludf.DUMMYFUNCTION("""COMPUTED_VALUE"""),"")</f>
        <v/>
      </c>
      <c r="L3333" t="str">
        <f>IFERROR(__xludf.DUMMYFUNCTION("""COMPUTED_VALUE"""),"")</f>
        <v/>
      </c>
      <c r="M3333" t="str">
        <f>IFERROR(__xludf.DUMMYFUNCTION("""COMPUTED_VALUE"""),"")</f>
        <v/>
      </c>
      <c r="N3333" t="str">
        <f>IFERROR(__xludf.DUMMYFUNCTION("""COMPUTED_VALUE"""),"")</f>
        <v/>
      </c>
      <c r="O3333" t="str">
        <f>IFERROR(__xludf.DUMMYFUNCTION("""COMPUTED_VALUE"""),"")</f>
        <v/>
      </c>
      <c r="P3333" t="str">
        <f>IFERROR(__xludf.DUMMYFUNCTION("""COMPUTED_VALUE"""),"ID ")</f>
        <v>ID </v>
      </c>
    </row>
    <row r="3334">
      <c r="A3334" s="6" t="str">
        <f>IFERROR(__xludf.DUMMYFUNCTION("""COMPUTED_VALUE"""),"")</f>
        <v/>
      </c>
      <c r="C3334" t="str">
        <f>IFERROR(__xludf.DUMMYFUNCTION("""COMPUTED_VALUE"""),"")</f>
        <v/>
      </c>
      <c r="D3334" t="str">
        <f>IFERROR(__xludf.DUMMYFUNCTION("""COMPUTED_VALUE"""),"")</f>
        <v/>
      </c>
      <c r="E3334" t="str">
        <f>IFERROR(__xludf.DUMMYFUNCTION("""COMPUTED_VALUE"""),"")</f>
        <v/>
      </c>
      <c r="F3334" t="str">
        <f>IFERROR(__xludf.DUMMYFUNCTION("""COMPUTED_VALUE"""),"")</f>
        <v/>
      </c>
      <c r="G3334" t="str">
        <f>IFERROR(__xludf.DUMMYFUNCTION("""COMPUTED_VALUE"""),"")</f>
        <v/>
      </c>
      <c r="H3334" s="2" t="str">
        <f>IFERROR(__xludf.DUMMYFUNCTION("""COMPUTED_VALUE"""),"")</f>
        <v/>
      </c>
      <c r="I3334" s="2" t="str">
        <f>IFERROR(__xludf.DUMMYFUNCTION("""COMPUTED_VALUE"""),"")</f>
        <v/>
      </c>
      <c r="J3334" s="2">
        <f>IFERROR(__xludf.DUMMYFUNCTION("""COMPUTED_VALUE"""),0.0)</f>
        <v>0</v>
      </c>
      <c r="K3334" s="5" t="str">
        <f>IFERROR(__xludf.DUMMYFUNCTION("""COMPUTED_VALUE"""),"")</f>
        <v/>
      </c>
      <c r="L3334" t="str">
        <f>IFERROR(__xludf.DUMMYFUNCTION("""COMPUTED_VALUE"""),"")</f>
        <v/>
      </c>
      <c r="M3334" t="str">
        <f>IFERROR(__xludf.DUMMYFUNCTION("""COMPUTED_VALUE"""),"")</f>
        <v/>
      </c>
      <c r="N3334" t="str">
        <f>IFERROR(__xludf.DUMMYFUNCTION("""COMPUTED_VALUE"""),"")</f>
        <v/>
      </c>
      <c r="O3334" t="str">
        <f>IFERROR(__xludf.DUMMYFUNCTION("""COMPUTED_VALUE"""),"")</f>
        <v/>
      </c>
      <c r="P3334" t="str">
        <f>IFERROR(__xludf.DUMMYFUNCTION("""COMPUTED_VALUE"""),"ID ")</f>
        <v>ID </v>
      </c>
    </row>
    <row r="3335">
      <c r="A3335" s="6" t="str">
        <f>IFERROR(__xludf.DUMMYFUNCTION("""COMPUTED_VALUE"""),"")</f>
        <v/>
      </c>
      <c r="C3335" t="str">
        <f>IFERROR(__xludf.DUMMYFUNCTION("""COMPUTED_VALUE"""),"")</f>
        <v/>
      </c>
      <c r="D3335" t="str">
        <f>IFERROR(__xludf.DUMMYFUNCTION("""COMPUTED_VALUE"""),"")</f>
        <v/>
      </c>
      <c r="E3335" t="str">
        <f>IFERROR(__xludf.DUMMYFUNCTION("""COMPUTED_VALUE"""),"")</f>
        <v/>
      </c>
      <c r="F3335" t="str">
        <f>IFERROR(__xludf.DUMMYFUNCTION("""COMPUTED_VALUE"""),"")</f>
        <v/>
      </c>
      <c r="G3335" t="str">
        <f>IFERROR(__xludf.DUMMYFUNCTION("""COMPUTED_VALUE"""),"")</f>
        <v/>
      </c>
      <c r="H3335" s="2" t="str">
        <f>IFERROR(__xludf.DUMMYFUNCTION("""COMPUTED_VALUE"""),"")</f>
        <v/>
      </c>
      <c r="I3335" s="2" t="str">
        <f>IFERROR(__xludf.DUMMYFUNCTION("""COMPUTED_VALUE"""),"")</f>
        <v/>
      </c>
      <c r="J3335" s="2">
        <f>IFERROR(__xludf.DUMMYFUNCTION("""COMPUTED_VALUE"""),0.0)</f>
        <v>0</v>
      </c>
      <c r="K3335" s="5" t="str">
        <f>IFERROR(__xludf.DUMMYFUNCTION("""COMPUTED_VALUE"""),"")</f>
        <v/>
      </c>
      <c r="L3335" t="str">
        <f>IFERROR(__xludf.DUMMYFUNCTION("""COMPUTED_VALUE"""),"")</f>
        <v/>
      </c>
      <c r="M3335" t="str">
        <f>IFERROR(__xludf.DUMMYFUNCTION("""COMPUTED_VALUE"""),"")</f>
        <v/>
      </c>
      <c r="N3335" t="str">
        <f>IFERROR(__xludf.DUMMYFUNCTION("""COMPUTED_VALUE"""),"")</f>
        <v/>
      </c>
      <c r="O3335" t="str">
        <f>IFERROR(__xludf.DUMMYFUNCTION("""COMPUTED_VALUE"""),"")</f>
        <v/>
      </c>
      <c r="P3335" t="str">
        <f>IFERROR(__xludf.DUMMYFUNCTION("""COMPUTED_VALUE"""),"ID ")</f>
        <v>ID </v>
      </c>
    </row>
    <row r="3336">
      <c r="A3336" s="6" t="str">
        <f>IFERROR(__xludf.DUMMYFUNCTION("""COMPUTED_VALUE"""),"")</f>
        <v/>
      </c>
      <c r="C3336" t="str">
        <f>IFERROR(__xludf.DUMMYFUNCTION("""COMPUTED_VALUE"""),"")</f>
        <v/>
      </c>
      <c r="D3336" t="str">
        <f>IFERROR(__xludf.DUMMYFUNCTION("""COMPUTED_VALUE"""),"")</f>
        <v/>
      </c>
      <c r="E3336" t="str">
        <f>IFERROR(__xludf.DUMMYFUNCTION("""COMPUTED_VALUE"""),"")</f>
        <v/>
      </c>
      <c r="F3336" t="str">
        <f>IFERROR(__xludf.DUMMYFUNCTION("""COMPUTED_VALUE"""),"")</f>
        <v/>
      </c>
      <c r="G3336" t="str">
        <f>IFERROR(__xludf.DUMMYFUNCTION("""COMPUTED_VALUE"""),"")</f>
        <v/>
      </c>
      <c r="H3336" s="2" t="str">
        <f>IFERROR(__xludf.DUMMYFUNCTION("""COMPUTED_VALUE"""),"")</f>
        <v/>
      </c>
      <c r="I3336" s="2" t="str">
        <f>IFERROR(__xludf.DUMMYFUNCTION("""COMPUTED_VALUE"""),"")</f>
        <v/>
      </c>
      <c r="J3336" s="2">
        <f>IFERROR(__xludf.DUMMYFUNCTION("""COMPUTED_VALUE"""),0.0)</f>
        <v>0</v>
      </c>
      <c r="K3336" s="5" t="str">
        <f>IFERROR(__xludf.DUMMYFUNCTION("""COMPUTED_VALUE"""),"")</f>
        <v/>
      </c>
      <c r="L3336" t="str">
        <f>IFERROR(__xludf.DUMMYFUNCTION("""COMPUTED_VALUE"""),"")</f>
        <v/>
      </c>
      <c r="M3336" t="str">
        <f>IFERROR(__xludf.DUMMYFUNCTION("""COMPUTED_VALUE"""),"")</f>
        <v/>
      </c>
      <c r="N3336" t="str">
        <f>IFERROR(__xludf.DUMMYFUNCTION("""COMPUTED_VALUE"""),"")</f>
        <v/>
      </c>
      <c r="O3336" t="str">
        <f>IFERROR(__xludf.DUMMYFUNCTION("""COMPUTED_VALUE"""),"")</f>
        <v/>
      </c>
      <c r="P3336" t="str">
        <f>IFERROR(__xludf.DUMMYFUNCTION("""COMPUTED_VALUE"""),"ID ")</f>
        <v>ID </v>
      </c>
    </row>
    <row r="3337">
      <c r="A3337" s="6" t="str">
        <f>IFERROR(__xludf.DUMMYFUNCTION("""COMPUTED_VALUE"""),"")</f>
        <v/>
      </c>
      <c r="C3337" t="str">
        <f>IFERROR(__xludf.DUMMYFUNCTION("""COMPUTED_VALUE"""),"")</f>
        <v/>
      </c>
      <c r="D3337" t="str">
        <f>IFERROR(__xludf.DUMMYFUNCTION("""COMPUTED_VALUE"""),"")</f>
        <v/>
      </c>
      <c r="E3337" t="str">
        <f>IFERROR(__xludf.DUMMYFUNCTION("""COMPUTED_VALUE"""),"")</f>
        <v/>
      </c>
      <c r="F3337" t="str">
        <f>IFERROR(__xludf.DUMMYFUNCTION("""COMPUTED_VALUE"""),"")</f>
        <v/>
      </c>
      <c r="G3337" t="str">
        <f>IFERROR(__xludf.DUMMYFUNCTION("""COMPUTED_VALUE"""),"")</f>
        <v/>
      </c>
      <c r="H3337" s="2" t="str">
        <f>IFERROR(__xludf.DUMMYFUNCTION("""COMPUTED_VALUE"""),"")</f>
        <v/>
      </c>
      <c r="I3337" s="2" t="str">
        <f>IFERROR(__xludf.DUMMYFUNCTION("""COMPUTED_VALUE"""),"")</f>
        <v/>
      </c>
      <c r="J3337" s="2">
        <f>IFERROR(__xludf.DUMMYFUNCTION("""COMPUTED_VALUE"""),0.0)</f>
        <v>0</v>
      </c>
      <c r="K3337" s="5" t="str">
        <f>IFERROR(__xludf.DUMMYFUNCTION("""COMPUTED_VALUE"""),"")</f>
        <v/>
      </c>
      <c r="L3337" t="str">
        <f>IFERROR(__xludf.DUMMYFUNCTION("""COMPUTED_VALUE"""),"")</f>
        <v/>
      </c>
      <c r="M3337" t="str">
        <f>IFERROR(__xludf.DUMMYFUNCTION("""COMPUTED_VALUE"""),"")</f>
        <v/>
      </c>
      <c r="N3337" t="str">
        <f>IFERROR(__xludf.DUMMYFUNCTION("""COMPUTED_VALUE"""),"")</f>
        <v/>
      </c>
      <c r="O3337" t="str">
        <f>IFERROR(__xludf.DUMMYFUNCTION("""COMPUTED_VALUE"""),"")</f>
        <v/>
      </c>
      <c r="P3337" t="str">
        <f>IFERROR(__xludf.DUMMYFUNCTION("""COMPUTED_VALUE"""),"ID ")</f>
        <v>ID </v>
      </c>
    </row>
    <row r="3338">
      <c r="A3338" s="6" t="str">
        <f>IFERROR(__xludf.DUMMYFUNCTION("""COMPUTED_VALUE"""),"")</f>
        <v/>
      </c>
      <c r="C3338" t="str">
        <f>IFERROR(__xludf.DUMMYFUNCTION("""COMPUTED_VALUE"""),"")</f>
        <v/>
      </c>
      <c r="D3338" t="str">
        <f>IFERROR(__xludf.DUMMYFUNCTION("""COMPUTED_VALUE"""),"")</f>
        <v/>
      </c>
      <c r="E3338" t="str">
        <f>IFERROR(__xludf.DUMMYFUNCTION("""COMPUTED_VALUE"""),"")</f>
        <v/>
      </c>
      <c r="F3338" t="str">
        <f>IFERROR(__xludf.DUMMYFUNCTION("""COMPUTED_VALUE"""),"")</f>
        <v/>
      </c>
      <c r="G3338" t="str">
        <f>IFERROR(__xludf.DUMMYFUNCTION("""COMPUTED_VALUE"""),"")</f>
        <v/>
      </c>
      <c r="H3338" s="2" t="str">
        <f>IFERROR(__xludf.DUMMYFUNCTION("""COMPUTED_VALUE"""),"")</f>
        <v/>
      </c>
      <c r="I3338" s="2" t="str">
        <f>IFERROR(__xludf.DUMMYFUNCTION("""COMPUTED_VALUE"""),"")</f>
        <v/>
      </c>
      <c r="J3338" s="2">
        <f>IFERROR(__xludf.DUMMYFUNCTION("""COMPUTED_VALUE"""),0.0)</f>
        <v>0</v>
      </c>
      <c r="K3338" s="5" t="str">
        <f>IFERROR(__xludf.DUMMYFUNCTION("""COMPUTED_VALUE"""),"")</f>
        <v/>
      </c>
      <c r="L3338" t="str">
        <f>IFERROR(__xludf.DUMMYFUNCTION("""COMPUTED_VALUE"""),"")</f>
        <v/>
      </c>
      <c r="M3338" t="str">
        <f>IFERROR(__xludf.DUMMYFUNCTION("""COMPUTED_VALUE"""),"")</f>
        <v/>
      </c>
      <c r="N3338" t="str">
        <f>IFERROR(__xludf.DUMMYFUNCTION("""COMPUTED_VALUE"""),"")</f>
        <v/>
      </c>
      <c r="O3338" t="str">
        <f>IFERROR(__xludf.DUMMYFUNCTION("""COMPUTED_VALUE"""),"")</f>
        <v/>
      </c>
      <c r="P3338" t="str">
        <f>IFERROR(__xludf.DUMMYFUNCTION("""COMPUTED_VALUE"""),"ID ")</f>
        <v>ID </v>
      </c>
    </row>
    <row r="3339">
      <c r="A3339" s="6" t="str">
        <f>IFERROR(__xludf.DUMMYFUNCTION("""COMPUTED_VALUE"""),"")</f>
        <v/>
      </c>
      <c r="C3339" t="str">
        <f>IFERROR(__xludf.DUMMYFUNCTION("""COMPUTED_VALUE"""),"")</f>
        <v/>
      </c>
      <c r="D3339" t="str">
        <f>IFERROR(__xludf.DUMMYFUNCTION("""COMPUTED_VALUE"""),"")</f>
        <v/>
      </c>
      <c r="E3339" t="str">
        <f>IFERROR(__xludf.DUMMYFUNCTION("""COMPUTED_VALUE"""),"")</f>
        <v/>
      </c>
      <c r="F3339" t="str">
        <f>IFERROR(__xludf.DUMMYFUNCTION("""COMPUTED_VALUE"""),"")</f>
        <v/>
      </c>
      <c r="G3339" t="str">
        <f>IFERROR(__xludf.DUMMYFUNCTION("""COMPUTED_VALUE"""),"")</f>
        <v/>
      </c>
      <c r="H3339" s="2" t="str">
        <f>IFERROR(__xludf.DUMMYFUNCTION("""COMPUTED_VALUE"""),"")</f>
        <v/>
      </c>
      <c r="I3339" s="2" t="str">
        <f>IFERROR(__xludf.DUMMYFUNCTION("""COMPUTED_VALUE"""),"")</f>
        <v/>
      </c>
      <c r="J3339" s="2">
        <f>IFERROR(__xludf.DUMMYFUNCTION("""COMPUTED_VALUE"""),0.0)</f>
        <v>0</v>
      </c>
      <c r="K3339" s="5" t="str">
        <f>IFERROR(__xludf.DUMMYFUNCTION("""COMPUTED_VALUE"""),"")</f>
        <v/>
      </c>
      <c r="L3339" t="str">
        <f>IFERROR(__xludf.DUMMYFUNCTION("""COMPUTED_VALUE"""),"")</f>
        <v/>
      </c>
      <c r="M3339" t="str">
        <f>IFERROR(__xludf.DUMMYFUNCTION("""COMPUTED_VALUE"""),"")</f>
        <v/>
      </c>
      <c r="N3339" t="str">
        <f>IFERROR(__xludf.DUMMYFUNCTION("""COMPUTED_VALUE"""),"")</f>
        <v/>
      </c>
      <c r="O3339" t="str">
        <f>IFERROR(__xludf.DUMMYFUNCTION("""COMPUTED_VALUE"""),"")</f>
        <v/>
      </c>
      <c r="P3339" t="str">
        <f>IFERROR(__xludf.DUMMYFUNCTION("""COMPUTED_VALUE"""),"ID ")</f>
        <v>ID </v>
      </c>
    </row>
    <row r="3340">
      <c r="A3340" s="6" t="str">
        <f>IFERROR(__xludf.DUMMYFUNCTION("""COMPUTED_VALUE"""),"")</f>
        <v/>
      </c>
      <c r="C3340" t="str">
        <f>IFERROR(__xludf.DUMMYFUNCTION("""COMPUTED_VALUE"""),"")</f>
        <v/>
      </c>
      <c r="D3340" t="str">
        <f>IFERROR(__xludf.DUMMYFUNCTION("""COMPUTED_VALUE"""),"")</f>
        <v/>
      </c>
      <c r="E3340" t="str">
        <f>IFERROR(__xludf.DUMMYFUNCTION("""COMPUTED_VALUE"""),"")</f>
        <v/>
      </c>
      <c r="F3340" t="str">
        <f>IFERROR(__xludf.DUMMYFUNCTION("""COMPUTED_VALUE"""),"")</f>
        <v/>
      </c>
      <c r="G3340" t="str">
        <f>IFERROR(__xludf.DUMMYFUNCTION("""COMPUTED_VALUE"""),"")</f>
        <v/>
      </c>
      <c r="H3340" s="2" t="str">
        <f>IFERROR(__xludf.DUMMYFUNCTION("""COMPUTED_VALUE"""),"")</f>
        <v/>
      </c>
      <c r="I3340" s="2" t="str">
        <f>IFERROR(__xludf.DUMMYFUNCTION("""COMPUTED_VALUE"""),"")</f>
        <v/>
      </c>
      <c r="J3340" s="2">
        <f>IFERROR(__xludf.DUMMYFUNCTION("""COMPUTED_VALUE"""),0.0)</f>
        <v>0</v>
      </c>
      <c r="K3340" s="5" t="str">
        <f>IFERROR(__xludf.DUMMYFUNCTION("""COMPUTED_VALUE"""),"")</f>
        <v/>
      </c>
      <c r="L3340" t="str">
        <f>IFERROR(__xludf.DUMMYFUNCTION("""COMPUTED_VALUE"""),"")</f>
        <v/>
      </c>
      <c r="M3340" t="str">
        <f>IFERROR(__xludf.DUMMYFUNCTION("""COMPUTED_VALUE"""),"")</f>
        <v/>
      </c>
      <c r="N3340" t="str">
        <f>IFERROR(__xludf.DUMMYFUNCTION("""COMPUTED_VALUE"""),"")</f>
        <v/>
      </c>
      <c r="O3340" t="str">
        <f>IFERROR(__xludf.DUMMYFUNCTION("""COMPUTED_VALUE"""),"")</f>
        <v/>
      </c>
      <c r="P3340" t="str">
        <f>IFERROR(__xludf.DUMMYFUNCTION("""COMPUTED_VALUE"""),"ID ")</f>
        <v>ID </v>
      </c>
    </row>
    <row r="3341">
      <c r="A3341" s="6" t="str">
        <f>IFERROR(__xludf.DUMMYFUNCTION("""COMPUTED_VALUE"""),"")</f>
        <v/>
      </c>
      <c r="C3341" t="str">
        <f>IFERROR(__xludf.DUMMYFUNCTION("""COMPUTED_VALUE"""),"")</f>
        <v/>
      </c>
      <c r="D3341" t="str">
        <f>IFERROR(__xludf.DUMMYFUNCTION("""COMPUTED_VALUE"""),"")</f>
        <v/>
      </c>
      <c r="E3341" t="str">
        <f>IFERROR(__xludf.DUMMYFUNCTION("""COMPUTED_VALUE"""),"")</f>
        <v/>
      </c>
      <c r="F3341" t="str">
        <f>IFERROR(__xludf.DUMMYFUNCTION("""COMPUTED_VALUE"""),"")</f>
        <v/>
      </c>
      <c r="G3341" t="str">
        <f>IFERROR(__xludf.DUMMYFUNCTION("""COMPUTED_VALUE"""),"")</f>
        <v/>
      </c>
      <c r="H3341" s="2" t="str">
        <f>IFERROR(__xludf.DUMMYFUNCTION("""COMPUTED_VALUE"""),"")</f>
        <v/>
      </c>
      <c r="I3341" s="2" t="str">
        <f>IFERROR(__xludf.DUMMYFUNCTION("""COMPUTED_VALUE"""),"")</f>
        <v/>
      </c>
      <c r="J3341" s="2">
        <f>IFERROR(__xludf.DUMMYFUNCTION("""COMPUTED_VALUE"""),0.0)</f>
        <v>0</v>
      </c>
      <c r="K3341" s="5" t="str">
        <f>IFERROR(__xludf.DUMMYFUNCTION("""COMPUTED_VALUE"""),"")</f>
        <v/>
      </c>
      <c r="L3341" t="str">
        <f>IFERROR(__xludf.DUMMYFUNCTION("""COMPUTED_VALUE"""),"")</f>
        <v/>
      </c>
      <c r="M3341" t="str">
        <f>IFERROR(__xludf.DUMMYFUNCTION("""COMPUTED_VALUE"""),"")</f>
        <v/>
      </c>
      <c r="N3341" t="str">
        <f>IFERROR(__xludf.DUMMYFUNCTION("""COMPUTED_VALUE"""),"")</f>
        <v/>
      </c>
      <c r="O3341" t="str">
        <f>IFERROR(__xludf.DUMMYFUNCTION("""COMPUTED_VALUE"""),"")</f>
        <v/>
      </c>
      <c r="P3341" t="str">
        <f>IFERROR(__xludf.DUMMYFUNCTION("""COMPUTED_VALUE"""),"ID ")</f>
        <v>ID </v>
      </c>
    </row>
    <row r="3342">
      <c r="A3342" s="6" t="str">
        <f>IFERROR(__xludf.DUMMYFUNCTION("""COMPUTED_VALUE"""),"")</f>
        <v/>
      </c>
      <c r="C3342" t="str">
        <f>IFERROR(__xludf.DUMMYFUNCTION("""COMPUTED_VALUE"""),"")</f>
        <v/>
      </c>
      <c r="D3342" t="str">
        <f>IFERROR(__xludf.DUMMYFUNCTION("""COMPUTED_VALUE"""),"")</f>
        <v/>
      </c>
      <c r="E3342" t="str">
        <f>IFERROR(__xludf.DUMMYFUNCTION("""COMPUTED_VALUE"""),"")</f>
        <v/>
      </c>
      <c r="F3342" t="str">
        <f>IFERROR(__xludf.DUMMYFUNCTION("""COMPUTED_VALUE"""),"")</f>
        <v/>
      </c>
      <c r="G3342" t="str">
        <f>IFERROR(__xludf.DUMMYFUNCTION("""COMPUTED_VALUE"""),"")</f>
        <v/>
      </c>
      <c r="H3342" s="2" t="str">
        <f>IFERROR(__xludf.DUMMYFUNCTION("""COMPUTED_VALUE"""),"")</f>
        <v/>
      </c>
      <c r="I3342" s="2" t="str">
        <f>IFERROR(__xludf.DUMMYFUNCTION("""COMPUTED_VALUE"""),"")</f>
        <v/>
      </c>
      <c r="J3342" s="2">
        <f>IFERROR(__xludf.DUMMYFUNCTION("""COMPUTED_VALUE"""),0.0)</f>
        <v>0</v>
      </c>
      <c r="K3342" s="5" t="str">
        <f>IFERROR(__xludf.DUMMYFUNCTION("""COMPUTED_VALUE"""),"")</f>
        <v/>
      </c>
      <c r="L3342" t="str">
        <f>IFERROR(__xludf.DUMMYFUNCTION("""COMPUTED_VALUE"""),"")</f>
        <v/>
      </c>
      <c r="M3342" t="str">
        <f>IFERROR(__xludf.DUMMYFUNCTION("""COMPUTED_VALUE"""),"")</f>
        <v/>
      </c>
      <c r="N3342" t="str">
        <f>IFERROR(__xludf.DUMMYFUNCTION("""COMPUTED_VALUE"""),"")</f>
        <v/>
      </c>
      <c r="O3342" t="str">
        <f>IFERROR(__xludf.DUMMYFUNCTION("""COMPUTED_VALUE"""),"")</f>
        <v/>
      </c>
      <c r="P3342" t="str">
        <f>IFERROR(__xludf.DUMMYFUNCTION("""COMPUTED_VALUE"""),"ID ")</f>
        <v>ID </v>
      </c>
    </row>
    <row r="3343">
      <c r="A3343" s="6" t="str">
        <f>IFERROR(__xludf.DUMMYFUNCTION("""COMPUTED_VALUE"""),"")</f>
        <v/>
      </c>
      <c r="C3343" t="str">
        <f>IFERROR(__xludf.DUMMYFUNCTION("""COMPUTED_VALUE"""),"")</f>
        <v/>
      </c>
      <c r="D3343" t="str">
        <f>IFERROR(__xludf.DUMMYFUNCTION("""COMPUTED_VALUE"""),"")</f>
        <v/>
      </c>
      <c r="E3343" t="str">
        <f>IFERROR(__xludf.DUMMYFUNCTION("""COMPUTED_VALUE"""),"")</f>
        <v/>
      </c>
      <c r="F3343" t="str">
        <f>IFERROR(__xludf.DUMMYFUNCTION("""COMPUTED_VALUE"""),"")</f>
        <v/>
      </c>
      <c r="G3343" t="str">
        <f>IFERROR(__xludf.DUMMYFUNCTION("""COMPUTED_VALUE"""),"")</f>
        <v/>
      </c>
      <c r="H3343" s="2" t="str">
        <f>IFERROR(__xludf.DUMMYFUNCTION("""COMPUTED_VALUE"""),"")</f>
        <v/>
      </c>
      <c r="I3343" s="2" t="str">
        <f>IFERROR(__xludf.DUMMYFUNCTION("""COMPUTED_VALUE"""),"")</f>
        <v/>
      </c>
      <c r="J3343" s="2">
        <f>IFERROR(__xludf.DUMMYFUNCTION("""COMPUTED_VALUE"""),0.0)</f>
        <v>0</v>
      </c>
      <c r="K3343" s="5" t="str">
        <f>IFERROR(__xludf.DUMMYFUNCTION("""COMPUTED_VALUE"""),"")</f>
        <v/>
      </c>
      <c r="L3343" t="str">
        <f>IFERROR(__xludf.DUMMYFUNCTION("""COMPUTED_VALUE"""),"")</f>
        <v/>
      </c>
      <c r="M3343" t="str">
        <f>IFERROR(__xludf.DUMMYFUNCTION("""COMPUTED_VALUE"""),"")</f>
        <v/>
      </c>
      <c r="N3343" t="str">
        <f>IFERROR(__xludf.DUMMYFUNCTION("""COMPUTED_VALUE"""),"")</f>
        <v/>
      </c>
      <c r="O3343" t="str">
        <f>IFERROR(__xludf.DUMMYFUNCTION("""COMPUTED_VALUE"""),"")</f>
        <v/>
      </c>
      <c r="P3343" t="str">
        <f>IFERROR(__xludf.DUMMYFUNCTION("""COMPUTED_VALUE"""),"ID ")</f>
        <v>ID </v>
      </c>
    </row>
    <row r="3344">
      <c r="A3344" s="6" t="str">
        <f>IFERROR(__xludf.DUMMYFUNCTION("""COMPUTED_VALUE"""),"")</f>
        <v/>
      </c>
      <c r="C3344" t="str">
        <f>IFERROR(__xludf.DUMMYFUNCTION("""COMPUTED_VALUE"""),"")</f>
        <v/>
      </c>
      <c r="D3344" t="str">
        <f>IFERROR(__xludf.DUMMYFUNCTION("""COMPUTED_VALUE"""),"")</f>
        <v/>
      </c>
      <c r="E3344" t="str">
        <f>IFERROR(__xludf.DUMMYFUNCTION("""COMPUTED_VALUE"""),"")</f>
        <v/>
      </c>
      <c r="F3344" t="str">
        <f>IFERROR(__xludf.DUMMYFUNCTION("""COMPUTED_VALUE"""),"")</f>
        <v/>
      </c>
      <c r="G3344" t="str">
        <f>IFERROR(__xludf.DUMMYFUNCTION("""COMPUTED_VALUE"""),"")</f>
        <v/>
      </c>
      <c r="H3344" s="2" t="str">
        <f>IFERROR(__xludf.DUMMYFUNCTION("""COMPUTED_VALUE"""),"")</f>
        <v/>
      </c>
      <c r="I3344" s="2" t="str">
        <f>IFERROR(__xludf.DUMMYFUNCTION("""COMPUTED_VALUE"""),"")</f>
        <v/>
      </c>
      <c r="J3344" s="2">
        <f>IFERROR(__xludf.DUMMYFUNCTION("""COMPUTED_VALUE"""),0.0)</f>
        <v>0</v>
      </c>
      <c r="K3344" s="5" t="str">
        <f>IFERROR(__xludf.DUMMYFUNCTION("""COMPUTED_VALUE"""),"")</f>
        <v/>
      </c>
      <c r="L3344" t="str">
        <f>IFERROR(__xludf.DUMMYFUNCTION("""COMPUTED_VALUE"""),"")</f>
        <v/>
      </c>
      <c r="M3344" t="str">
        <f>IFERROR(__xludf.DUMMYFUNCTION("""COMPUTED_VALUE"""),"")</f>
        <v/>
      </c>
      <c r="N3344" t="str">
        <f>IFERROR(__xludf.DUMMYFUNCTION("""COMPUTED_VALUE"""),"")</f>
        <v/>
      </c>
      <c r="O3344" t="str">
        <f>IFERROR(__xludf.DUMMYFUNCTION("""COMPUTED_VALUE"""),"")</f>
        <v/>
      </c>
      <c r="P3344" t="str">
        <f>IFERROR(__xludf.DUMMYFUNCTION("""COMPUTED_VALUE"""),"ID ")</f>
        <v>ID </v>
      </c>
    </row>
    <row r="3345">
      <c r="A3345" s="6" t="str">
        <f>IFERROR(__xludf.DUMMYFUNCTION("""COMPUTED_VALUE"""),"")</f>
        <v/>
      </c>
      <c r="C3345" t="str">
        <f>IFERROR(__xludf.DUMMYFUNCTION("""COMPUTED_VALUE"""),"")</f>
        <v/>
      </c>
      <c r="D3345" t="str">
        <f>IFERROR(__xludf.DUMMYFUNCTION("""COMPUTED_VALUE"""),"")</f>
        <v/>
      </c>
      <c r="E3345" t="str">
        <f>IFERROR(__xludf.DUMMYFUNCTION("""COMPUTED_VALUE"""),"")</f>
        <v/>
      </c>
      <c r="F3345" t="str">
        <f>IFERROR(__xludf.DUMMYFUNCTION("""COMPUTED_VALUE"""),"")</f>
        <v/>
      </c>
      <c r="G3345" t="str">
        <f>IFERROR(__xludf.DUMMYFUNCTION("""COMPUTED_VALUE"""),"")</f>
        <v/>
      </c>
      <c r="H3345" s="2" t="str">
        <f>IFERROR(__xludf.DUMMYFUNCTION("""COMPUTED_VALUE"""),"")</f>
        <v/>
      </c>
      <c r="I3345" s="2" t="str">
        <f>IFERROR(__xludf.DUMMYFUNCTION("""COMPUTED_VALUE"""),"")</f>
        <v/>
      </c>
      <c r="J3345" s="2">
        <f>IFERROR(__xludf.DUMMYFUNCTION("""COMPUTED_VALUE"""),0.0)</f>
        <v>0</v>
      </c>
      <c r="K3345" s="5" t="str">
        <f>IFERROR(__xludf.DUMMYFUNCTION("""COMPUTED_VALUE"""),"")</f>
        <v/>
      </c>
      <c r="L3345" t="str">
        <f>IFERROR(__xludf.DUMMYFUNCTION("""COMPUTED_VALUE"""),"")</f>
        <v/>
      </c>
      <c r="M3345" t="str">
        <f>IFERROR(__xludf.DUMMYFUNCTION("""COMPUTED_VALUE"""),"")</f>
        <v/>
      </c>
      <c r="N3345" t="str">
        <f>IFERROR(__xludf.DUMMYFUNCTION("""COMPUTED_VALUE"""),"")</f>
        <v/>
      </c>
      <c r="O3345" t="str">
        <f>IFERROR(__xludf.DUMMYFUNCTION("""COMPUTED_VALUE"""),"")</f>
        <v/>
      </c>
      <c r="P3345" t="str">
        <f>IFERROR(__xludf.DUMMYFUNCTION("""COMPUTED_VALUE"""),"ID ")</f>
        <v>ID </v>
      </c>
    </row>
    <row r="3346">
      <c r="A3346" s="6" t="str">
        <f>IFERROR(__xludf.DUMMYFUNCTION("""COMPUTED_VALUE"""),"")</f>
        <v/>
      </c>
      <c r="C3346" t="str">
        <f>IFERROR(__xludf.DUMMYFUNCTION("""COMPUTED_VALUE"""),"")</f>
        <v/>
      </c>
      <c r="D3346" t="str">
        <f>IFERROR(__xludf.DUMMYFUNCTION("""COMPUTED_VALUE"""),"")</f>
        <v/>
      </c>
      <c r="E3346" t="str">
        <f>IFERROR(__xludf.DUMMYFUNCTION("""COMPUTED_VALUE"""),"")</f>
        <v/>
      </c>
      <c r="F3346" t="str">
        <f>IFERROR(__xludf.DUMMYFUNCTION("""COMPUTED_VALUE"""),"")</f>
        <v/>
      </c>
      <c r="G3346" t="str">
        <f>IFERROR(__xludf.DUMMYFUNCTION("""COMPUTED_VALUE"""),"")</f>
        <v/>
      </c>
      <c r="H3346" s="2" t="str">
        <f>IFERROR(__xludf.DUMMYFUNCTION("""COMPUTED_VALUE"""),"")</f>
        <v/>
      </c>
      <c r="I3346" s="2" t="str">
        <f>IFERROR(__xludf.DUMMYFUNCTION("""COMPUTED_VALUE"""),"")</f>
        <v/>
      </c>
      <c r="J3346" s="2">
        <f>IFERROR(__xludf.DUMMYFUNCTION("""COMPUTED_VALUE"""),0.0)</f>
        <v>0</v>
      </c>
      <c r="K3346" s="5" t="str">
        <f>IFERROR(__xludf.DUMMYFUNCTION("""COMPUTED_VALUE"""),"")</f>
        <v/>
      </c>
      <c r="L3346" t="str">
        <f>IFERROR(__xludf.DUMMYFUNCTION("""COMPUTED_VALUE"""),"")</f>
        <v/>
      </c>
      <c r="M3346" t="str">
        <f>IFERROR(__xludf.DUMMYFUNCTION("""COMPUTED_VALUE"""),"")</f>
        <v/>
      </c>
      <c r="N3346" t="str">
        <f>IFERROR(__xludf.DUMMYFUNCTION("""COMPUTED_VALUE"""),"")</f>
        <v/>
      </c>
      <c r="O3346" t="str">
        <f>IFERROR(__xludf.DUMMYFUNCTION("""COMPUTED_VALUE"""),"")</f>
        <v/>
      </c>
      <c r="P3346" t="str">
        <f>IFERROR(__xludf.DUMMYFUNCTION("""COMPUTED_VALUE"""),"ID ")</f>
        <v>ID </v>
      </c>
    </row>
    <row r="3347">
      <c r="A3347" s="6" t="str">
        <f>IFERROR(__xludf.DUMMYFUNCTION("""COMPUTED_VALUE"""),"")</f>
        <v/>
      </c>
      <c r="C3347" t="str">
        <f>IFERROR(__xludf.DUMMYFUNCTION("""COMPUTED_VALUE"""),"")</f>
        <v/>
      </c>
      <c r="D3347" t="str">
        <f>IFERROR(__xludf.DUMMYFUNCTION("""COMPUTED_VALUE"""),"")</f>
        <v/>
      </c>
      <c r="E3347" t="str">
        <f>IFERROR(__xludf.DUMMYFUNCTION("""COMPUTED_VALUE"""),"")</f>
        <v/>
      </c>
      <c r="F3347" t="str">
        <f>IFERROR(__xludf.DUMMYFUNCTION("""COMPUTED_VALUE"""),"")</f>
        <v/>
      </c>
      <c r="G3347" t="str">
        <f>IFERROR(__xludf.DUMMYFUNCTION("""COMPUTED_VALUE"""),"")</f>
        <v/>
      </c>
      <c r="H3347" s="2" t="str">
        <f>IFERROR(__xludf.DUMMYFUNCTION("""COMPUTED_VALUE"""),"")</f>
        <v/>
      </c>
      <c r="I3347" s="2" t="str">
        <f>IFERROR(__xludf.DUMMYFUNCTION("""COMPUTED_VALUE"""),"")</f>
        <v/>
      </c>
      <c r="J3347" s="2">
        <f>IFERROR(__xludf.DUMMYFUNCTION("""COMPUTED_VALUE"""),0.0)</f>
        <v>0</v>
      </c>
      <c r="K3347" s="5" t="str">
        <f>IFERROR(__xludf.DUMMYFUNCTION("""COMPUTED_VALUE"""),"")</f>
        <v/>
      </c>
      <c r="L3347" t="str">
        <f>IFERROR(__xludf.DUMMYFUNCTION("""COMPUTED_VALUE"""),"")</f>
        <v/>
      </c>
      <c r="M3347" t="str">
        <f>IFERROR(__xludf.DUMMYFUNCTION("""COMPUTED_VALUE"""),"")</f>
        <v/>
      </c>
      <c r="N3347" t="str">
        <f>IFERROR(__xludf.DUMMYFUNCTION("""COMPUTED_VALUE"""),"")</f>
        <v/>
      </c>
      <c r="O3347" t="str">
        <f>IFERROR(__xludf.DUMMYFUNCTION("""COMPUTED_VALUE"""),"")</f>
        <v/>
      </c>
      <c r="P3347" t="str">
        <f>IFERROR(__xludf.DUMMYFUNCTION("""COMPUTED_VALUE"""),"ID ")</f>
        <v>ID </v>
      </c>
    </row>
    <row r="3348">
      <c r="A3348" s="6" t="str">
        <f>IFERROR(__xludf.DUMMYFUNCTION("""COMPUTED_VALUE"""),"")</f>
        <v/>
      </c>
      <c r="C3348" t="str">
        <f>IFERROR(__xludf.DUMMYFUNCTION("""COMPUTED_VALUE"""),"")</f>
        <v/>
      </c>
      <c r="D3348" t="str">
        <f>IFERROR(__xludf.DUMMYFUNCTION("""COMPUTED_VALUE"""),"")</f>
        <v/>
      </c>
      <c r="E3348" t="str">
        <f>IFERROR(__xludf.DUMMYFUNCTION("""COMPUTED_VALUE"""),"")</f>
        <v/>
      </c>
      <c r="F3348" t="str">
        <f>IFERROR(__xludf.DUMMYFUNCTION("""COMPUTED_VALUE"""),"")</f>
        <v/>
      </c>
      <c r="G3348" t="str">
        <f>IFERROR(__xludf.DUMMYFUNCTION("""COMPUTED_VALUE"""),"")</f>
        <v/>
      </c>
      <c r="H3348" s="2" t="str">
        <f>IFERROR(__xludf.DUMMYFUNCTION("""COMPUTED_VALUE"""),"")</f>
        <v/>
      </c>
      <c r="I3348" s="2" t="str">
        <f>IFERROR(__xludf.DUMMYFUNCTION("""COMPUTED_VALUE"""),"")</f>
        <v/>
      </c>
      <c r="J3348" s="2">
        <f>IFERROR(__xludf.DUMMYFUNCTION("""COMPUTED_VALUE"""),0.0)</f>
        <v>0</v>
      </c>
      <c r="K3348" s="5" t="str">
        <f>IFERROR(__xludf.DUMMYFUNCTION("""COMPUTED_VALUE"""),"")</f>
        <v/>
      </c>
      <c r="L3348" t="str">
        <f>IFERROR(__xludf.DUMMYFUNCTION("""COMPUTED_VALUE"""),"")</f>
        <v/>
      </c>
      <c r="M3348" t="str">
        <f>IFERROR(__xludf.DUMMYFUNCTION("""COMPUTED_VALUE"""),"")</f>
        <v/>
      </c>
      <c r="N3348" t="str">
        <f>IFERROR(__xludf.DUMMYFUNCTION("""COMPUTED_VALUE"""),"")</f>
        <v/>
      </c>
      <c r="O3348" t="str">
        <f>IFERROR(__xludf.DUMMYFUNCTION("""COMPUTED_VALUE"""),"")</f>
        <v/>
      </c>
      <c r="P3348" t="str">
        <f>IFERROR(__xludf.DUMMYFUNCTION("""COMPUTED_VALUE"""),"ID ")</f>
        <v>ID </v>
      </c>
    </row>
    <row r="3349">
      <c r="A3349" s="6" t="str">
        <f>IFERROR(__xludf.DUMMYFUNCTION("""COMPUTED_VALUE"""),"")</f>
        <v/>
      </c>
      <c r="C3349" t="str">
        <f>IFERROR(__xludf.DUMMYFUNCTION("""COMPUTED_VALUE"""),"")</f>
        <v/>
      </c>
      <c r="D3349" t="str">
        <f>IFERROR(__xludf.DUMMYFUNCTION("""COMPUTED_VALUE"""),"")</f>
        <v/>
      </c>
      <c r="E3349" t="str">
        <f>IFERROR(__xludf.DUMMYFUNCTION("""COMPUTED_VALUE"""),"")</f>
        <v/>
      </c>
      <c r="F3349" t="str">
        <f>IFERROR(__xludf.DUMMYFUNCTION("""COMPUTED_VALUE"""),"")</f>
        <v/>
      </c>
      <c r="G3349" t="str">
        <f>IFERROR(__xludf.DUMMYFUNCTION("""COMPUTED_VALUE"""),"")</f>
        <v/>
      </c>
      <c r="H3349" s="2" t="str">
        <f>IFERROR(__xludf.DUMMYFUNCTION("""COMPUTED_VALUE"""),"")</f>
        <v/>
      </c>
      <c r="I3349" s="2" t="str">
        <f>IFERROR(__xludf.DUMMYFUNCTION("""COMPUTED_VALUE"""),"")</f>
        <v/>
      </c>
      <c r="J3349" s="2">
        <f>IFERROR(__xludf.DUMMYFUNCTION("""COMPUTED_VALUE"""),0.0)</f>
        <v>0</v>
      </c>
      <c r="K3349" s="5" t="str">
        <f>IFERROR(__xludf.DUMMYFUNCTION("""COMPUTED_VALUE"""),"")</f>
        <v/>
      </c>
      <c r="L3349" t="str">
        <f>IFERROR(__xludf.DUMMYFUNCTION("""COMPUTED_VALUE"""),"")</f>
        <v/>
      </c>
      <c r="M3349" t="str">
        <f>IFERROR(__xludf.DUMMYFUNCTION("""COMPUTED_VALUE"""),"")</f>
        <v/>
      </c>
      <c r="N3349" t="str">
        <f>IFERROR(__xludf.DUMMYFUNCTION("""COMPUTED_VALUE"""),"")</f>
        <v/>
      </c>
      <c r="O3349" t="str">
        <f>IFERROR(__xludf.DUMMYFUNCTION("""COMPUTED_VALUE"""),"")</f>
        <v/>
      </c>
      <c r="P3349" t="str">
        <f>IFERROR(__xludf.DUMMYFUNCTION("""COMPUTED_VALUE"""),"ID ")</f>
        <v>ID </v>
      </c>
    </row>
    <row r="3350">
      <c r="A3350" s="6" t="str">
        <f>IFERROR(__xludf.DUMMYFUNCTION("""COMPUTED_VALUE"""),"")</f>
        <v/>
      </c>
      <c r="C3350" t="str">
        <f>IFERROR(__xludf.DUMMYFUNCTION("""COMPUTED_VALUE"""),"")</f>
        <v/>
      </c>
      <c r="D3350" t="str">
        <f>IFERROR(__xludf.DUMMYFUNCTION("""COMPUTED_VALUE"""),"")</f>
        <v/>
      </c>
      <c r="E3350" t="str">
        <f>IFERROR(__xludf.DUMMYFUNCTION("""COMPUTED_VALUE"""),"")</f>
        <v/>
      </c>
      <c r="F3350" t="str">
        <f>IFERROR(__xludf.DUMMYFUNCTION("""COMPUTED_VALUE"""),"")</f>
        <v/>
      </c>
      <c r="G3350" t="str">
        <f>IFERROR(__xludf.DUMMYFUNCTION("""COMPUTED_VALUE"""),"")</f>
        <v/>
      </c>
      <c r="H3350" s="2" t="str">
        <f>IFERROR(__xludf.DUMMYFUNCTION("""COMPUTED_VALUE"""),"")</f>
        <v/>
      </c>
      <c r="I3350" s="2" t="str">
        <f>IFERROR(__xludf.DUMMYFUNCTION("""COMPUTED_VALUE"""),"")</f>
        <v/>
      </c>
      <c r="J3350" s="2">
        <f>IFERROR(__xludf.DUMMYFUNCTION("""COMPUTED_VALUE"""),0.0)</f>
        <v>0</v>
      </c>
      <c r="K3350" s="5" t="str">
        <f>IFERROR(__xludf.DUMMYFUNCTION("""COMPUTED_VALUE"""),"")</f>
        <v/>
      </c>
      <c r="L3350" t="str">
        <f>IFERROR(__xludf.DUMMYFUNCTION("""COMPUTED_VALUE"""),"")</f>
        <v/>
      </c>
      <c r="M3350" t="str">
        <f>IFERROR(__xludf.DUMMYFUNCTION("""COMPUTED_VALUE"""),"")</f>
        <v/>
      </c>
      <c r="N3350" t="str">
        <f>IFERROR(__xludf.DUMMYFUNCTION("""COMPUTED_VALUE"""),"")</f>
        <v/>
      </c>
      <c r="O3350" t="str">
        <f>IFERROR(__xludf.DUMMYFUNCTION("""COMPUTED_VALUE"""),"")</f>
        <v/>
      </c>
      <c r="P3350" t="str">
        <f>IFERROR(__xludf.DUMMYFUNCTION("""COMPUTED_VALUE"""),"ID ")</f>
        <v>ID </v>
      </c>
    </row>
    <row r="3351">
      <c r="A3351" s="6" t="str">
        <f>IFERROR(__xludf.DUMMYFUNCTION("""COMPUTED_VALUE"""),"")</f>
        <v/>
      </c>
      <c r="C3351" t="str">
        <f>IFERROR(__xludf.DUMMYFUNCTION("""COMPUTED_VALUE"""),"")</f>
        <v/>
      </c>
      <c r="D3351" t="str">
        <f>IFERROR(__xludf.DUMMYFUNCTION("""COMPUTED_VALUE"""),"")</f>
        <v/>
      </c>
      <c r="E3351" t="str">
        <f>IFERROR(__xludf.DUMMYFUNCTION("""COMPUTED_VALUE"""),"")</f>
        <v/>
      </c>
      <c r="F3351" t="str">
        <f>IFERROR(__xludf.DUMMYFUNCTION("""COMPUTED_VALUE"""),"")</f>
        <v/>
      </c>
      <c r="G3351" t="str">
        <f>IFERROR(__xludf.DUMMYFUNCTION("""COMPUTED_VALUE"""),"")</f>
        <v/>
      </c>
      <c r="H3351" s="2" t="str">
        <f>IFERROR(__xludf.DUMMYFUNCTION("""COMPUTED_VALUE"""),"")</f>
        <v/>
      </c>
      <c r="I3351" s="2" t="str">
        <f>IFERROR(__xludf.DUMMYFUNCTION("""COMPUTED_VALUE"""),"")</f>
        <v/>
      </c>
      <c r="J3351" s="2">
        <f>IFERROR(__xludf.DUMMYFUNCTION("""COMPUTED_VALUE"""),0.0)</f>
        <v>0</v>
      </c>
      <c r="K3351" s="5" t="str">
        <f>IFERROR(__xludf.DUMMYFUNCTION("""COMPUTED_VALUE"""),"")</f>
        <v/>
      </c>
      <c r="L3351" t="str">
        <f>IFERROR(__xludf.DUMMYFUNCTION("""COMPUTED_VALUE"""),"")</f>
        <v/>
      </c>
      <c r="M3351" t="str">
        <f>IFERROR(__xludf.DUMMYFUNCTION("""COMPUTED_VALUE"""),"")</f>
        <v/>
      </c>
      <c r="N3351" t="str">
        <f>IFERROR(__xludf.DUMMYFUNCTION("""COMPUTED_VALUE"""),"")</f>
        <v/>
      </c>
      <c r="O3351" t="str">
        <f>IFERROR(__xludf.DUMMYFUNCTION("""COMPUTED_VALUE"""),"")</f>
        <v/>
      </c>
      <c r="P3351" t="str">
        <f>IFERROR(__xludf.DUMMYFUNCTION("""COMPUTED_VALUE"""),"ID ")</f>
        <v>ID </v>
      </c>
    </row>
    <row r="3352">
      <c r="A3352" s="6" t="str">
        <f>IFERROR(__xludf.DUMMYFUNCTION("""COMPUTED_VALUE"""),"")</f>
        <v/>
      </c>
      <c r="C3352" t="str">
        <f>IFERROR(__xludf.DUMMYFUNCTION("""COMPUTED_VALUE"""),"")</f>
        <v/>
      </c>
      <c r="D3352" t="str">
        <f>IFERROR(__xludf.DUMMYFUNCTION("""COMPUTED_VALUE"""),"")</f>
        <v/>
      </c>
      <c r="E3352" t="str">
        <f>IFERROR(__xludf.DUMMYFUNCTION("""COMPUTED_VALUE"""),"")</f>
        <v/>
      </c>
      <c r="F3352" t="str">
        <f>IFERROR(__xludf.DUMMYFUNCTION("""COMPUTED_VALUE"""),"")</f>
        <v/>
      </c>
      <c r="G3352" t="str">
        <f>IFERROR(__xludf.DUMMYFUNCTION("""COMPUTED_VALUE"""),"")</f>
        <v/>
      </c>
      <c r="H3352" s="2" t="str">
        <f>IFERROR(__xludf.DUMMYFUNCTION("""COMPUTED_VALUE"""),"")</f>
        <v/>
      </c>
      <c r="I3352" s="2" t="str">
        <f>IFERROR(__xludf.DUMMYFUNCTION("""COMPUTED_VALUE"""),"")</f>
        <v/>
      </c>
      <c r="J3352" s="2">
        <f>IFERROR(__xludf.DUMMYFUNCTION("""COMPUTED_VALUE"""),0.0)</f>
        <v>0</v>
      </c>
      <c r="K3352" s="5" t="str">
        <f>IFERROR(__xludf.DUMMYFUNCTION("""COMPUTED_VALUE"""),"")</f>
        <v/>
      </c>
      <c r="L3352" t="str">
        <f>IFERROR(__xludf.DUMMYFUNCTION("""COMPUTED_VALUE"""),"")</f>
        <v/>
      </c>
      <c r="M3352" t="str">
        <f>IFERROR(__xludf.DUMMYFUNCTION("""COMPUTED_VALUE"""),"")</f>
        <v/>
      </c>
      <c r="N3352" t="str">
        <f>IFERROR(__xludf.DUMMYFUNCTION("""COMPUTED_VALUE"""),"")</f>
        <v/>
      </c>
      <c r="O3352" t="str">
        <f>IFERROR(__xludf.DUMMYFUNCTION("""COMPUTED_VALUE"""),"")</f>
        <v/>
      </c>
      <c r="P3352" t="str">
        <f>IFERROR(__xludf.DUMMYFUNCTION("""COMPUTED_VALUE"""),"ID ")</f>
        <v>ID </v>
      </c>
    </row>
    <row r="3353">
      <c r="A3353" s="6" t="str">
        <f>IFERROR(__xludf.DUMMYFUNCTION("""COMPUTED_VALUE"""),"")</f>
        <v/>
      </c>
      <c r="C3353" t="str">
        <f>IFERROR(__xludf.DUMMYFUNCTION("""COMPUTED_VALUE"""),"")</f>
        <v/>
      </c>
      <c r="D3353" t="str">
        <f>IFERROR(__xludf.DUMMYFUNCTION("""COMPUTED_VALUE"""),"")</f>
        <v/>
      </c>
      <c r="E3353" t="str">
        <f>IFERROR(__xludf.DUMMYFUNCTION("""COMPUTED_VALUE"""),"")</f>
        <v/>
      </c>
      <c r="F3353" t="str">
        <f>IFERROR(__xludf.DUMMYFUNCTION("""COMPUTED_VALUE"""),"")</f>
        <v/>
      </c>
      <c r="G3353" t="str">
        <f>IFERROR(__xludf.DUMMYFUNCTION("""COMPUTED_VALUE"""),"")</f>
        <v/>
      </c>
      <c r="H3353" s="2" t="str">
        <f>IFERROR(__xludf.DUMMYFUNCTION("""COMPUTED_VALUE"""),"")</f>
        <v/>
      </c>
      <c r="I3353" s="2" t="str">
        <f>IFERROR(__xludf.DUMMYFUNCTION("""COMPUTED_VALUE"""),"")</f>
        <v/>
      </c>
      <c r="J3353" s="2">
        <f>IFERROR(__xludf.DUMMYFUNCTION("""COMPUTED_VALUE"""),0.0)</f>
        <v>0</v>
      </c>
      <c r="K3353" s="5" t="str">
        <f>IFERROR(__xludf.DUMMYFUNCTION("""COMPUTED_VALUE"""),"")</f>
        <v/>
      </c>
      <c r="L3353" t="str">
        <f>IFERROR(__xludf.DUMMYFUNCTION("""COMPUTED_VALUE"""),"")</f>
        <v/>
      </c>
      <c r="M3353" t="str">
        <f>IFERROR(__xludf.DUMMYFUNCTION("""COMPUTED_VALUE"""),"")</f>
        <v/>
      </c>
      <c r="N3353" t="str">
        <f>IFERROR(__xludf.DUMMYFUNCTION("""COMPUTED_VALUE"""),"")</f>
        <v/>
      </c>
      <c r="O3353" t="str">
        <f>IFERROR(__xludf.DUMMYFUNCTION("""COMPUTED_VALUE"""),"")</f>
        <v/>
      </c>
      <c r="P3353" t="str">
        <f>IFERROR(__xludf.DUMMYFUNCTION("""COMPUTED_VALUE"""),"ID ")</f>
        <v>ID </v>
      </c>
    </row>
    <row r="3354">
      <c r="A3354" s="6" t="str">
        <f>IFERROR(__xludf.DUMMYFUNCTION("""COMPUTED_VALUE"""),"")</f>
        <v/>
      </c>
      <c r="C3354" t="str">
        <f>IFERROR(__xludf.DUMMYFUNCTION("""COMPUTED_VALUE"""),"")</f>
        <v/>
      </c>
      <c r="D3354" t="str">
        <f>IFERROR(__xludf.DUMMYFUNCTION("""COMPUTED_VALUE"""),"")</f>
        <v/>
      </c>
      <c r="E3354" t="str">
        <f>IFERROR(__xludf.DUMMYFUNCTION("""COMPUTED_VALUE"""),"")</f>
        <v/>
      </c>
      <c r="F3354" t="str">
        <f>IFERROR(__xludf.DUMMYFUNCTION("""COMPUTED_VALUE"""),"")</f>
        <v/>
      </c>
      <c r="G3354" t="str">
        <f>IFERROR(__xludf.DUMMYFUNCTION("""COMPUTED_VALUE"""),"")</f>
        <v/>
      </c>
      <c r="H3354" s="2" t="str">
        <f>IFERROR(__xludf.DUMMYFUNCTION("""COMPUTED_VALUE"""),"")</f>
        <v/>
      </c>
      <c r="I3354" s="2" t="str">
        <f>IFERROR(__xludf.DUMMYFUNCTION("""COMPUTED_VALUE"""),"")</f>
        <v/>
      </c>
      <c r="J3354" s="2">
        <f>IFERROR(__xludf.DUMMYFUNCTION("""COMPUTED_VALUE"""),0.0)</f>
        <v>0</v>
      </c>
      <c r="K3354" s="5" t="str">
        <f>IFERROR(__xludf.DUMMYFUNCTION("""COMPUTED_VALUE"""),"")</f>
        <v/>
      </c>
      <c r="L3354" t="str">
        <f>IFERROR(__xludf.DUMMYFUNCTION("""COMPUTED_VALUE"""),"")</f>
        <v/>
      </c>
      <c r="M3354" t="str">
        <f>IFERROR(__xludf.DUMMYFUNCTION("""COMPUTED_VALUE"""),"")</f>
        <v/>
      </c>
      <c r="N3354" t="str">
        <f>IFERROR(__xludf.DUMMYFUNCTION("""COMPUTED_VALUE"""),"")</f>
        <v/>
      </c>
      <c r="O3354" t="str">
        <f>IFERROR(__xludf.DUMMYFUNCTION("""COMPUTED_VALUE"""),"")</f>
        <v/>
      </c>
      <c r="P3354" t="str">
        <f>IFERROR(__xludf.DUMMYFUNCTION("""COMPUTED_VALUE"""),"ID ")</f>
        <v>ID </v>
      </c>
    </row>
    <row r="3355">
      <c r="A3355" s="6" t="str">
        <f>IFERROR(__xludf.DUMMYFUNCTION("""COMPUTED_VALUE"""),"")</f>
        <v/>
      </c>
      <c r="C3355" t="str">
        <f>IFERROR(__xludf.DUMMYFUNCTION("""COMPUTED_VALUE"""),"")</f>
        <v/>
      </c>
      <c r="D3355" t="str">
        <f>IFERROR(__xludf.DUMMYFUNCTION("""COMPUTED_VALUE"""),"")</f>
        <v/>
      </c>
      <c r="E3355" t="str">
        <f>IFERROR(__xludf.DUMMYFUNCTION("""COMPUTED_VALUE"""),"")</f>
        <v/>
      </c>
      <c r="F3355" t="str">
        <f>IFERROR(__xludf.DUMMYFUNCTION("""COMPUTED_VALUE"""),"")</f>
        <v/>
      </c>
      <c r="G3355" t="str">
        <f>IFERROR(__xludf.DUMMYFUNCTION("""COMPUTED_VALUE"""),"")</f>
        <v/>
      </c>
      <c r="H3355" s="2" t="str">
        <f>IFERROR(__xludf.DUMMYFUNCTION("""COMPUTED_VALUE"""),"")</f>
        <v/>
      </c>
      <c r="I3355" s="2" t="str">
        <f>IFERROR(__xludf.DUMMYFUNCTION("""COMPUTED_VALUE"""),"")</f>
        <v/>
      </c>
      <c r="J3355" s="2">
        <f>IFERROR(__xludf.DUMMYFUNCTION("""COMPUTED_VALUE"""),0.0)</f>
        <v>0</v>
      </c>
      <c r="K3355" s="5" t="str">
        <f>IFERROR(__xludf.DUMMYFUNCTION("""COMPUTED_VALUE"""),"")</f>
        <v/>
      </c>
      <c r="L3355" t="str">
        <f>IFERROR(__xludf.DUMMYFUNCTION("""COMPUTED_VALUE"""),"")</f>
        <v/>
      </c>
      <c r="M3355" t="str">
        <f>IFERROR(__xludf.DUMMYFUNCTION("""COMPUTED_VALUE"""),"")</f>
        <v/>
      </c>
      <c r="N3355" t="str">
        <f>IFERROR(__xludf.DUMMYFUNCTION("""COMPUTED_VALUE"""),"")</f>
        <v/>
      </c>
      <c r="O3355" t="str">
        <f>IFERROR(__xludf.DUMMYFUNCTION("""COMPUTED_VALUE"""),"")</f>
        <v/>
      </c>
      <c r="P3355" t="str">
        <f>IFERROR(__xludf.DUMMYFUNCTION("""COMPUTED_VALUE"""),"ID ")</f>
        <v>ID </v>
      </c>
    </row>
    <row r="3356">
      <c r="A3356" s="6" t="str">
        <f>IFERROR(__xludf.DUMMYFUNCTION("""COMPUTED_VALUE"""),"")</f>
        <v/>
      </c>
      <c r="C3356" t="str">
        <f>IFERROR(__xludf.DUMMYFUNCTION("""COMPUTED_VALUE"""),"")</f>
        <v/>
      </c>
      <c r="D3356" t="str">
        <f>IFERROR(__xludf.DUMMYFUNCTION("""COMPUTED_VALUE"""),"")</f>
        <v/>
      </c>
      <c r="E3356" t="str">
        <f>IFERROR(__xludf.DUMMYFUNCTION("""COMPUTED_VALUE"""),"")</f>
        <v/>
      </c>
      <c r="F3356" t="str">
        <f>IFERROR(__xludf.DUMMYFUNCTION("""COMPUTED_VALUE"""),"")</f>
        <v/>
      </c>
      <c r="G3356" t="str">
        <f>IFERROR(__xludf.DUMMYFUNCTION("""COMPUTED_VALUE"""),"")</f>
        <v/>
      </c>
      <c r="H3356" s="2" t="str">
        <f>IFERROR(__xludf.DUMMYFUNCTION("""COMPUTED_VALUE"""),"")</f>
        <v/>
      </c>
      <c r="I3356" s="2" t="str">
        <f>IFERROR(__xludf.DUMMYFUNCTION("""COMPUTED_VALUE"""),"")</f>
        <v/>
      </c>
      <c r="J3356" s="2">
        <f>IFERROR(__xludf.DUMMYFUNCTION("""COMPUTED_VALUE"""),0.0)</f>
        <v>0</v>
      </c>
      <c r="K3356" s="5" t="str">
        <f>IFERROR(__xludf.DUMMYFUNCTION("""COMPUTED_VALUE"""),"")</f>
        <v/>
      </c>
      <c r="L3356" t="str">
        <f>IFERROR(__xludf.DUMMYFUNCTION("""COMPUTED_VALUE"""),"")</f>
        <v/>
      </c>
      <c r="M3356" t="str">
        <f>IFERROR(__xludf.DUMMYFUNCTION("""COMPUTED_VALUE"""),"")</f>
        <v/>
      </c>
      <c r="N3356" t="str">
        <f>IFERROR(__xludf.DUMMYFUNCTION("""COMPUTED_VALUE"""),"")</f>
        <v/>
      </c>
      <c r="O3356" t="str">
        <f>IFERROR(__xludf.DUMMYFUNCTION("""COMPUTED_VALUE"""),"")</f>
        <v/>
      </c>
      <c r="P3356" t="str">
        <f>IFERROR(__xludf.DUMMYFUNCTION("""COMPUTED_VALUE"""),"ID ")</f>
        <v>ID </v>
      </c>
    </row>
    <row r="3357">
      <c r="A3357" s="6" t="str">
        <f>IFERROR(__xludf.DUMMYFUNCTION("""COMPUTED_VALUE"""),"")</f>
        <v/>
      </c>
      <c r="C3357" t="str">
        <f>IFERROR(__xludf.DUMMYFUNCTION("""COMPUTED_VALUE"""),"")</f>
        <v/>
      </c>
      <c r="D3357" t="str">
        <f>IFERROR(__xludf.DUMMYFUNCTION("""COMPUTED_VALUE"""),"")</f>
        <v/>
      </c>
      <c r="E3357" t="str">
        <f>IFERROR(__xludf.DUMMYFUNCTION("""COMPUTED_VALUE"""),"")</f>
        <v/>
      </c>
      <c r="F3357" t="str">
        <f>IFERROR(__xludf.DUMMYFUNCTION("""COMPUTED_VALUE"""),"")</f>
        <v/>
      </c>
      <c r="G3357" t="str">
        <f>IFERROR(__xludf.DUMMYFUNCTION("""COMPUTED_VALUE"""),"")</f>
        <v/>
      </c>
      <c r="H3357" s="2" t="str">
        <f>IFERROR(__xludf.DUMMYFUNCTION("""COMPUTED_VALUE"""),"")</f>
        <v/>
      </c>
      <c r="I3357" s="2" t="str">
        <f>IFERROR(__xludf.DUMMYFUNCTION("""COMPUTED_VALUE"""),"")</f>
        <v/>
      </c>
      <c r="J3357" s="2">
        <f>IFERROR(__xludf.DUMMYFUNCTION("""COMPUTED_VALUE"""),0.0)</f>
        <v>0</v>
      </c>
      <c r="K3357" s="5" t="str">
        <f>IFERROR(__xludf.DUMMYFUNCTION("""COMPUTED_VALUE"""),"")</f>
        <v/>
      </c>
      <c r="L3357" t="str">
        <f>IFERROR(__xludf.DUMMYFUNCTION("""COMPUTED_VALUE"""),"")</f>
        <v/>
      </c>
      <c r="M3357" t="str">
        <f>IFERROR(__xludf.DUMMYFUNCTION("""COMPUTED_VALUE"""),"")</f>
        <v/>
      </c>
      <c r="N3357" t="str">
        <f>IFERROR(__xludf.DUMMYFUNCTION("""COMPUTED_VALUE"""),"")</f>
        <v/>
      </c>
      <c r="O3357" t="str">
        <f>IFERROR(__xludf.DUMMYFUNCTION("""COMPUTED_VALUE"""),"")</f>
        <v/>
      </c>
      <c r="P3357" t="str">
        <f>IFERROR(__xludf.DUMMYFUNCTION("""COMPUTED_VALUE"""),"ID ")</f>
        <v>ID </v>
      </c>
    </row>
    <row r="3358">
      <c r="A3358" s="6" t="str">
        <f>IFERROR(__xludf.DUMMYFUNCTION("""COMPUTED_VALUE"""),"")</f>
        <v/>
      </c>
      <c r="C3358" t="str">
        <f>IFERROR(__xludf.DUMMYFUNCTION("""COMPUTED_VALUE"""),"")</f>
        <v/>
      </c>
      <c r="D3358" t="str">
        <f>IFERROR(__xludf.DUMMYFUNCTION("""COMPUTED_VALUE"""),"")</f>
        <v/>
      </c>
      <c r="E3358" t="str">
        <f>IFERROR(__xludf.DUMMYFUNCTION("""COMPUTED_VALUE"""),"")</f>
        <v/>
      </c>
      <c r="F3358" t="str">
        <f>IFERROR(__xludf.DUMMYFUNCTION("""COMPUTED_VALUE"""),"")</f>
        <v/>
      </c>
      <c r="G3358" t="str">
        <f>IFERROR(__xludf.DUMMYFUNCTION("""COMPUTED_VALUE"""),"")</f>
        <v/>
      </c>
      <c r="H3358" s="2" t="str">
        <f>IFERROR(__xludf.DUMMYFUNCTION("""COMPUTED_VALUE"""),"")</f>
        <v/>
      </c>
      <c r="I3358" s="2" t="str">
        <f>IFERROR(__xludf.DUMMYFUNCTION("""COMPUTED_VALUE"""),"")</f>
        <v/>
      </c>
      <c r="J3358" s="2">
        <f>IFERROR(__xludf.DUMMYFUNCTION("""COMPUTED_VALUE"""),0.0)</f>
        <v>0</v>
      </c>
      <c r="K3358" s="5" t="str">
        <f>IFERROR(__xludf.DUMMYFUNCTION("""COMPUTED_VALUE"""),"")</f>
        <v/>
      </c>
      <c r="L3358" t="str">
        <f>IFERROR(__xludf.DUMMYFUNCTION("""COMPUTED_VALUE"""),"")</f>
        <v/>
      </c>
      <c r="M3358" t="str">
        <f>IFERROR(__xludf.DUMMYFUNCTION("""COMPUTED_VALUE"""),"")</f>
        <v/>
      </c>
      <c r="N3358" t="str">
        <f>IFERROR(__xludf.DUMMYFUNCTION("""COMPUTED_VALUE"""),"")</f>
        <v/>
      </c>
      <c r="O3358" t="str">
        <f>IFERROR(__xludf.DUMMYFUNCTION("""COMPUTED_VALUE"""),"")</f>
        <v/>
      </c>
      <c r="P3358" t="str">
        <f>IFERROR(__xludf.DUMMYFUNCTION("""COMPUTED_VALUE"""),"ID ")</f>
        <v>ID </v>
      </c>
    </row>
    <row r="3359">
      <c r="A3359" s="6" t="str">
        <f>IFERROR(__xludf.DUMMYFUNCTION("""COMPUTED_VALUE"""),"")</f>
        <v/>
      </c>
      <c r="C3359" t="str">
        <f>IFERROR(__xludf.DUMMYFUNCTION("""COMPUTED_VALUE"""),"")</f>
        <v/>
      </c>
      <c r="D3359" t="str">
        <f>IFERROR(__xludf.DUMMYFUNCTION("""COMPUTED_VALUE"""),"")</f>
        <v/>
      </c>
      <c r="E3359" t="str">
        <f>IFERROR(__xludf.DUMMYFUNCTION("""COMPUTED_VALUE"""),"")</f>
        <v/>
      </c>
      <c r="F3359" t="str">
        <f>IFERROR(__xludf.DUMMYFUNCTION("""COMPUTED_VALUE"""),"")</f>
        <v/>
      </c>
      <c r="G3359" t="str">
        <f>IFERROR(__xludf.DUMMYFUNCTION("""COMPUTED_VALUE"""),"")</f>
        <v/>
      </c>
      <c r="H3359" s="2" t="str">
        <f>IFERROR(__xludf.DUMMYFUNCTION("""COMPUTED_VALUE"""),"")</f>
        <v/>
      </c>
      <c r="I3359" s="2" t="str">
        <f>IFERROR(__xludf.DUMMYFUNCTION("""COMPUTED_VALUE"""),"")</f>
        <v/>
      </c>
      <c r="J3359" s="2">
        <f>IFERROR(__xludf.DUMMYFUNCTION("""COMPUTED_VALUE"""),0.0)</f>
        <v>0</v>
      </c>
      <c r="K3359" s="5" t="str">
        <f>IFERROR(__xludf.DUMMYFUNCTION("""COMPUTED_VALUE"""),"")</f>
        <v/>
      </c>
      <c r="L3359" t="str">
        <f>IFERROR(__xludf.DUMMYFUNCTION("""COMPUTED_VALUE"""),"")</f>
        <v/>
      </c>
      <c r="M3359" t="str">
        <f>IFERROR(__xludf.DUMMYFUNCTION("""COMPUTED_VALUE"""),"")</f>
        <v/>
      </c>
      <c r="N3359" t="str">
        <f>IFERROR(__xludf.DUMMYFUNCTION("""COMPUTED_VALUE"""),"")</f>
        <v/>
      </c>
      <c r="O3359" t="str">
        <f>IFERROR(__xludf.DUMMYFUNCTION("""COMPUTED_VALUE"""),"")</f>
        <v/>
      </c>
      <c r="P3359" t="str">
        <f>IFERROR(__xludf.DUMMYFUNCTION("""COMPUTED_VALUE"""),"ID ")</f>
        <v>ID </v>
      </c>
    </row>
    <row r="3360">
      <c r="A3360" s="6" t="str">
        <f>IFERROR(__xludf.DUMMYFUNCTION("""COMPUTED_VALUE"""),"")</f>
        <v/>
      </c>
      <c r="C3360" t="str">
        <f>IFERROR(__xludf.DUMMYFUNCTION("""COMPUTED_VALUE"""),"")</f>
        <v/>
      </c>
      <c r="D3360" t="str">
        <f>IFERROR(__xludf.DUMMYFUNCTION("""COMPUTED_VALUE"""),"")</f>
        <v/>
      </c>
      <c r="E3360" t="str">
        <f>IFERROR(__xludf.DUMMYFUNCTION("""COMPUTED_VALUE"""),"")</f>
        <v/>
      </c>
      <c r="F3360" t="str">
        <f>IFERROR(__xludf.DUMMYFUNCTION("""COMPUTED_VALUE"""),"")</f>
        <v/>
      </c>
      <c r="G3360" t="str">
        <f>IFERROR(__xludf.DUMMYFUNCTION("""COMPUTED_VALUE"""),"")</f>
        <v/>
      </c>
      <c r="H3360" s="2" t="str">
        <f>IFERROR(__xludf.DUMMYFUNCTION("""COMPUTED_VALUE"""),"")</f>
        <v/>
      </c>
      <c r="I3360" s="2" t="str">
        <f>IFERROR(__xludf.DUMMYFUNCTION("""COMPUTED_VALUE"""),"")</f>
        <v/>
      </c>
      <c r="J3360" s="2">
        <f>IFERROR(__xludf.DUMMYFUNCTION("""COMPUTED_VALUE"""),0.0)</f>
        <v>0</v>
      </c>
      <c r="K3360" s="5" t="str">
        <f>IFERROR(__xludf.DUMMYFUNCTION("""COMPUTED_VALUE"""),"")</f>
        <v/>
      </c>
      <c r="L3360" t="str">
        <f>IFERROR(__xludf.DUMMYFUNCTION("""COMPUTED_VALUE"""),"")</f>
        <v/>
      </c>
      <c r="M3360" t="str">
        <f>IFERROR(__xludf.DUMMYFUNCTION("""COMPUTED_VALUE"""),"")</f>
        <v/>
      </c>
      <c r="N3360" t="str">
        <f>IFERROR(__xludf.DUMMYFUNCTION("""COMPUTED_VALUE"""),"")</f>
        <v/>
      </c>
      <c r="O3360" t="str">
        <f>IFERROR(__xludf.DUMMYFUNCTION("""COMPUTED_VALUE"""),"")</f>
        <v/>
      </c>
      <c r="P3360" t="str">
        <f>IFERROR(__xludf.DUMMYFUNCTION("""COMPUTED_VALUE"""),"ID ")</f>
        <v>ID </v>
      </c>
    </row>
    <row r="3361">
      <c r="A3361" s="6" t="str">
        <f>IFERROR(__xludf.DUMMYFUNCTION("""COMPUTED_VALUE"""),"")</f>
        <v/>
      </c>
      <c r="C3361" t="str">
        <f>IFERROR(__xludf.DUMMYFUNCTION("""COMPUTED_VALUE"""),"")</f>
        <v/>
      </c>
      <c r="D3361" t="str">
        <f>IFERROR(__xludf.DUMMYFUNCTION("""COMPUTED_VALUE"""),"")</f>
        <v/>
      </c>
      <c r="E3361" t="str">
        <f>IFERROR(__xludf.DUMMYFUNCTION("""COMPUTED_VALUE"""),"")</f>
        <v/>
      </c>
      <c r="F3361" t="str">
        <f>IFERROR(__xludf.DUMMYFUNCTION("""COMPUTED_VALUE"""),"")</f>
        <v/>
      </c>
      <c r="G3361" t="str">
        <f>IFERROR(__xludf.DUMMYFUNCTION("""COMPUTED_VALUE"""),"")</f>
        <v/>
      </c>
      <c r="H3361" s="2" t="str">
        <f>IFERROR(__xludf.DUMMYFUNCTION("""COMPUTED_VALUE"""),"")</f>
        <v/>
      </c>
      <c r="I3361" s="2" t="str">
        <f>IFERROR(__xludf.DUMMYFUNCTION("""COMPUTED_VALUE"""),"")</f>
        <v/>
      </c>
      <c r="J3361" s="2">
        <f>IFERROR(__xludf.DUMMYFUNCTION("""COMPUTED_VALUE"""),0.0)</f>
        <v>0</v>
      </c>
      <c r="K3361" s="5" t="str">
        <f>IFERROR(__xludf.DUMMYFUNCTION("""COMPUTED_VALUE"""),"")</f>
        <v/>
      </c>
      <c r="L3361" t="str">
        <f>IFERROR(__xludf.DUMMYFUNCTION("""COMPUTED_VALUE"""),"")</f>
        <v/>
      </c>
      <c r="M3361" t="str">
        <f>IFERROR(__xludf.DUMMYFUNCTION("""COMPUTED_VALUE"""),"")</f>
        <v/>
      </c>
      <c r="N3361" t="str">
        <f>IFERROR(__xludf.DUMMYFUNCTION("""COMPUTED_VALUE"""),"")</f>
        <v/>
      </c>
      <c r="O3361" t="str">
        <f>IFERROR(__xludf.DUMMYFUNCTION("""COMPUTED_VALUE"""),"")</f>
        <v/>
      </c>
      <c r="P3361" t="str">
        <f>IFERROR(__xludf.DUMMYFUNCTION("""COMPUTED_VALUE"""),"ID ")</f>
        <v>ID </v>
      </c>
    </row>
    <row r="3362">
      <c r="A3362" s="6" t="str">
        <f>IFERROR(__xludf.DUMMYFUNCTION("""COMPUTED_VALUE"""),"")</f>
        <v/>
      </c>
      <c r="C3362" t="str">
        <f>IFERROR(__xludf.DUMMYFUNCTION("""COMPUTED_VALUE"""),"")</f>
        <v/>
      </c>
      <c r="D3362" t="str">
        <f>IFERROR(__xludf.DUMMYFUNCTION("""COMPUTED_VALUE"""),"")</f>
        <v/>
      </c>
      <c r="E3362" t="str">
        <f>IFERROR(__xludf.DUMMYFUNCTION("""COMPUTED_VALUE"""),"")</f>
        <v/>
      </c>
      <c r="F3362" t="str">
        <f>IFERROR(__xludf.DUMMYFUNCTION("""COMPUTED_VALUE"""),"")</f>
        <v/>
      </c>
      <c r="G3362" t="str">
        <f>IFERROR(__xludf.DUMMYFUNCTION("""COMPUTED_VALUE"""),"")</f>
        <v/>
      </c>
      <c r="H3362" s="2" t="str">
        <f>IFERROR(__xludf.DUMMYFUNCTION("""COMPUTED_VALUE"""),"")</f>
        <v/>
      </c>
      <c r="I3362" s="2" t="str">
        <f>IFERROR(__xludf.DUMMYFUNCTION("""COMPUTED_VALUE"""),"")</f>
        <v/>
      </c>
      <c r="J3362" s="2">
        <f>IFERROR(__xludf.DUMMYFUNCTION("""COMPUTED_VALUE"""),0.0)</f>
        <v>0</v>
      </c>
      <c r="K3362" s="5" t="str">
        <f>IFERROR(__xludf.DUMMYFUNCTION("""COMPUTED_VALUE"""),"")</f>
        <v/>
      </c>
      <c r="L3362" t="str">
        <f>IFERROR(__xludf.DUMMYFUNCTION("""COMPUTED_VALUE"""),"")</f>
        <v/>
      </c>
      <c r="M3362" t="str">
        <f>IFERROR(__xludf.DUMMYFUNCTION("""COMPUTED_VALUE"""),"")</f>
        <v/>
      </c>
      <c r="N3362" t="str">
        <f>IFERROR(__xludf.DUMMYFUNCTION("""COMPUTED_VALUE"""),"")</f>
        <v/>
      </c>
      <c r="O3362" t="str">
        <f>IFERROR(__xludf.DUMMYFUNCTION("""COMPUTED_VALUE"""),"")</f>
        <v/>
      </c>
      <c r="P3362" t="str">
        <f>IFERROR(__xludf.DUMMYFUNCTION("""COMPUTED_VALUE"""),"ID ")</f>
        <v>ID </v>
      </c>
    </row>
    <row r="3363">
      <c r="A3363" s="6" t="str">
        <f>IFERROR(__xludf.DUMMYFUNCTION("""COMPUTED_VALUE"""),"")</f>
        <v/>
      </c>
      <c r="C3363" t="str">
        <f>IFERROR(__xludf.DUMMYFUNCTION("""COMPUTED_VALUE"""),"")</f>
        <v/>
      </c>
      <c r="D3363" t="str">
        <f>IFERROR(__xludf.DUMMYFUNCTION("""COMPUTED_VALUE"""),"")</f>
        <v/>
      </c>
      <c r="E3363" t="str">
        <f>IFERROR(__xludf.DUMMYFUNCTION("""COMPUTED_VALUE"""),"")</f>
        <v/>
      </c>
      <c r="F3363" t="str">
        <f>IFERROR(__xludf.DUMMYFUNCTION("""COMPUTED_VALUE"""),"")</f>
        <v/>
      </c>
      <c r="G3363" t="str">
        <f>IFERROR(__xludf.DUMMYFUNCTION("""COMPUTED_VALUE"""),"")</f>
        <v/>
      </c>
      <c r="H3363" s="2" t="str">
        <f>IFERROR(__xludf.DUMMYFUNCTION("""COMPUTED_VALUE"""),"")</f>
        <v/>
      </c>
      <c r="I3363" s="2" t="str">
        <f>IFERROR(__xludf.DUMMYFUNCTION("""COMPUTED_VALUE"""),"")</f>
        <v/>
      </c>
      <c r="J3363" s="2">
        <f>IFERROR(__xludf.DUMMYFUNCTION("""COMPUTED_VALUE"""),0.0)</f>
        <v>0</v>
      </c>
      <c r="K3363" s="5" t="str">
        <f>IFERROR(__xludf.DUMMYFUNCTION("""COMPUTED_VALUE"""),"")</f>
        <v/>
      </c>
      <c r="L3363" t="str">
        <f>IFERROR(__xludf.DUMMYFUNCTION("""COMPUTED_VALUE"""),"")</f>
        <v/>
      </c>
      <c r="M3363" t="str">
        <f>IFERROR(__xludf.DUMMYFUNCTION("""COMPUTED_VALUE"""),"")</f>
        <v/>
      </c>
      <c r="N3363" t="str">
        <f>IFERROR(__xludf.DUMMYFUNCTION("""COMPUTED_VALUE"""),"")</f>
        <v/>
      </c>
      <c r="O3363" t="str">
        <f>IFERROR(__xludf.DUMMYFUNCTION("""COMPUTED_VALUE"""),"")</f>
        <v/>
      </c>
      <c r="P3363" t="str">
        <f>IFERROR(__xludf.DUMMYFUNCTION("""COMPUTED_VALUE"""),"ID ")</f>
        <v>ID </v>
      </c>
    </row>
    <row r="3364">
      <c r="A3364" s="6" t="str">
        <f>IFERROR(__xludf.DUMMYFUNCTION("""COMPUTED_VALUE"""),"")</f>
        <v/>
      </c>
      <c r="C3364" t="str">
        <f>IFERROR(__xludf.DUMMYFUNCTION("""COMPUTED_VALUE"""),"")</f>
        <v/>
      </c>
      <c r="D3364" t="str">
        <f>IFERROR(__xludf.DUMMYFUNCTION("""COMPUTED_VALUE"""),"")</f>
        <v/>
      </c>
      <c r="E3364" t="str">
        <f>IFERROR(__xludf.DUMMYFUNCTION("""COMPUTED_VALUE"""),"")</f>
        <v/>
      </c>
      <c r="F3364" t="str">
        <f>IFERROR(__xludf.DUMMYFUNCTION("""COMPUTED_VALUE"""),"")</f>
        <v/>
      </c>
      <c r="G3364" t="str">
        <f>IFERROR(__xludf.DUMMYFUNCTION("""COMPUTED_VALUE"""),"")</f>
        <v/>
      </c>
      <c r="H3364" s="2" t="str">
        <f>IFERROR(__xludf.DUMMYFUNCTION("""COMPUTED_VALUE"""),"")</f>
        <v/>
      </c>
      <c r="I3364" s="2" t="str">
        <f>IFERROR(__xludf.DUMMYFUNCTION("""COMPUTED_VALUE"""),"")</f>
        <v/>
      </c>
      <c r="J3364" s="2">
        <f>IFERROR(__xludf.DUMMYFUNCTION("""COMPUTED_VALUE"""),0.0)</f>
        <v>0</v>
      </c>
      <c r="K3364" s="5" t="str">
        <f>IFERROR(__xludf.DUMMYFUNCTION("""COMPUTED_VALUE"""),"")</f>
        <v/>
      </c>
      <c r="L3364" t="str">
        <f>IFERROR(__xludf.DUMMYFUNCTION("""COMPUTED_VALUE"""),"")</f>
        <v/>
      </c>
      <c r="M3364" t="str">
        <f>IFERROR(__xludf.DUMMYFUNCTION("""COMPUTED_VALUE"""),"")</f>
        <v/>
      </c>
      <c r="N3364" t="str">
        <f>IFERROR(__xludf.DUMMYFUNCTION("""COMPUTED_VALUE"""),"")</f>
        <v/>
      </c>
      <c r="O3364" t="str">
        <f>IFERROR(__xludf.DUMMYFUNCTION("""COMPUTED_VALUE"""),"")</f>
        <v/>
      </c>
      <c r="P3364" t="str">
        <f>IFERROR(__xludf.DUMMYFUNCTION("""COMPUTED_VALUE"""),"ID ")</f>
        <v>ID </v>
      </c>
    </row>
    <row r="3365">
      <c r="A3365" s="6" t="str">
        <f>IFERROR(__xludf.DUMMYFUNCTION("""COMPUTED_VALUE"""),"")</f>
        <v/>
      </c>
      <c r="C3365" t="str">
        <f>IFERROR(__xludf.DUMMYFUNCTION("""COMPUTED_VALUE"""),"")</f>
        <v/>
      </c>
      <c r="D3365" t="str">
        <f>IFERROR(__xludf.DUMMYFUNCTION("""COMPUTED_VALUE"""),"")</f>
        <v/>
      </c>
      <c r="E3365" t="str">
        <f>IFERROR(__xludf.DUMMYFUNCTION("""COMPUTED_VALUE"""),"")</f>
        <v/>
      </c>
      <c r="F3365" t="str">
        <f>IFERROR(__xludf.DUMMYFUNCTION("""COMPUTED_VALUE"""),"")</f>
        <v/>
      </c>
      <c r="G3365" t="str">
        <f>IFERROR(__xludf.DUMMYFUNCTION("""COMPUTED_VALUE"""),"")</f>
        <v/>
      </c>
      <c r="H3365" s="2" t="str">
        <f>IFERROR(__xludf.DUMMYFUNCTION("""COMPUTED_VALUE"""),"")</f>
        <v/>
      </c>
      <c r="I3365" s="2" t="str">
        <f>IFERROR(__xludf.DUMMYFUNCTION("""COMPUTED_VALUE"""),"")</f>
        <v/>
      </c>
      <c r="J3365" s="2">
        <f>IFERROR(__xludf.DUMMYFUNCTION("""COMPUTED_VALUE"""),0.0)</f>
        <v>0</v>
      </c>
      <c r="K3365" s="5" t="str">
        <f>IFERROR(__xludf.DUMMYFUNCTION("""COMPUTED_VALUE"""),"")</f>
        <v/>
      </c>
      <c r="L3365" t="str">
        <f>IFERROR(__xludf.DUMMYFUNCTION("""COMPUTED_VALUE"""),"")</f>
        <v/>
      </c>
      <c r="M3365" t="str">
        <f>IFERROR(__xludf.DUMMYFUNCTION("""COMPUTED_VALUE"""),"")</f>
        <v/>
      </c>
      <c r="N3365" t="str">
        <f>IFERROR(__xludf.DUMMYFUNCTION("""COMPUTED_VALUE"""),"")</f>
        <v/>
      </c>
      <c r="O3365" t="str">
        <f>IFERROR(__xludf.DUMMYFUNCTION("""COMPUTED_VALUE"""),"")</f>
        <v/>
      </c>
      <c r="P3365" t="str">
        <f>IFERROR(__xludf.DUMMYFUNCTION("""COMPUTED_VALUE"""),"ID ")</f>
        <v>ID </v>
      </c>
    </row>
    <row r="3366">
      <c r="A3366" s="6" t="str">
        <f>IFERROR(__xludf.DUMMYFUNCTION("""COMPUTED_VALUE"""),"")</f>
        <v/>
      </c>
      <c r="C3366" t="str">
        <f>IFERROR(__xludf.DUMMYFUNCTION("""COMPUTED_VALUE"""),"")</f>
        <v/>
      </c>
      <c r="D3366" t="str">
        <f>IFERROR(__xludf.DUMMYFUNCTION("""COMPUTED_VALUE"""),"")</f>
        <v/>
      </c>
      <c r="E3366" t="str">
        <f>IFERROR(__xludf.DUMMYFUNCTION("""COMPUTED_VALUE"""),"")</f>
        <v/>
      </c>
      <c r="F3366" t="str">
        <f>IFERROR(__xludf.DUMMYFUNCTION("""COMPUTED_VALUE"""),"")</f>
        <v/>
      </c>
      <c r="G3366" t="str">
        <f>IFERROR(__xludf.DUMMYFUNCTION("""COMPUTED_VALUE"""),"")</f>
        <v/>
      </c>
      <c r="H3366" s="2" t="str">
        <f>IFERROR(__xludf.DUMMYFUNCTION("""COMPUTED_VALUE"""),"")</f>
        <v/>
      </c>
      <c r="I3366" s="2" t="str">
        <f>IFERROR(__xludf.DUMMYFUNCTION("""COMPUTED_VALUE"""),"")</f>
        <v/>
      </c>
      <c r="J3366" s="2">
        <f>IFERROR(__xludf.DUMMYFUNCTION("""COMPUTED_VALUE"""),0.0)</f>
        <v>0</v>
      </c>
      <c r="K3366" s="5" t="str">
        <f>IFERROR(__xludf.DUMMYFUNCTION("""COMPUTED_VALUE"""),"")</f>
        <v/>
      </c>
      <c r="L3366" t="str">
        <f>IFERROR(__xludf.DUMMYFUNCTION("""COMPUTED_VALUE"""),"")</f>
        <v/>
      </c>
      <c r="M3366" t="str">
        <f>IFERROR(__xludf.DUMMYFUNCTION("""COMPUTED_VALUE"""),"")</f>
        <v/>
      </c>
      <c r="N3366" t="str">
        <f>IFERROR(__xludf.DUMMYFUNCTION("""COMPUTED_VALUE"""),"")</f>
        <v/>
      </c>
      <c r="O3366" t="str">
        <f>IFERROR(__xludf.DUMMYFUNCTION("""COMPUTED_VALUE"""),"")</f>
        <v/>
      </c>
      <c r="P3366" t="str">
        <f>IFERROR(__xludf.DUMMYFUNCTION("""COMPUTED_VALUE"""),"ID ")</f>
        <v>ID </v>
      </c>
    </row>
    <row r="3367">
      <c r="A3367" s="6" t="str">
        <f>IFERROR(__xludf.DUMMYFUNCTION("""COMPUTED_VALUE"""),"")</f>
        <v/>
      </c>
      <c r="C3367" t="str">
        <f>IFERROR(__xludf.DUMMYFUNCTION("""COMPUTED_VALUE"""),"")</f>
        <v/>
      </c>
      <c r="D3367" t="str">
        <f>IFERROR(__xludf.DUMMYFUNCTION("""COMPUTED_VALUE"""),"")</f>
        <v/>
      </c>
      <c r="E3367" t="str">
        <f>IFERROR(__xludf.DUMMYFUNCTION("""COMPUTED_VALUE"""),"")</f>
        <v/>
      </c>
      <c r="F3367" t="str">
        <f>IFERROR(__xludf.DUMMYFUNCTION("""COMPUTED_VALUE"""),"")</f>
        <v/>
      </c>
      <c r="G3367" t="str">
        <f>IFERROR(__xludf.DUMMYFUNCTION("""COMPUTED_VALUE"""),"")</f>
        <v/>
      </c>
      <c r="H3367" s="2" t="str">
        <f>IFERROR(__xludf.DUMMYFUNCTION("""COMPUTED_VALUE"""),"")</f>
        <v/>
      </c>
      <c r="I3367" s="2" t="str">
        <f>IFERROR(__xludf.DUMMYFUNCTION("""COMPUTED_VALUE"""),"")</f>
        <v/>
      </c>
      <c r="J3367" s="2">
        <f>IFERROR(__xludf.DUMMYFUNCTION("""COMPUTED_VALUE"""),0.0)</f>
        <v>0</v>
      </c>
      <c r="K3367" s="5" t="str">
        <f>IFERROR(__xludf.DUMMYFUNCTION("""COMPUTED_VALUE"""),"")</f>
        <v/>
      </c>
      <c r="L3367" t="str">
        <f>IFERROR(__xludf.DUMMYFUNCTION("""COMPUTED_VALUE"""),"")</f>
        <v/>
      </c>
      <c r="M3367" t="str">
        <f>IFERROR(__xludf.DUMMYFUNCTION("""COMPUTED_VALUE"""),"")</f>
        <v/>
      </c>
      <c r="N3367" t="str">
        <f>IFERROR(__xludf.DUMMYFUNCTION("""COMPUTED_VALUE"""),"")</f>
        <v/>
      </c>
      <c r="O3367" t="str">
        <f>IFERROR(__xludf.DUMMYFUNCTION("""COMPUTED_VALUE"""),"")</f>
        <v/>
      </c>
      <c r="P3367" t="str">
        <f>IFERROR(__xludf.DUMMYFUNCTION("""COMPUTED_VALUE"""),"ID ")</f>
        <v>ID </v>
      </c>
    </row>
    <row r="3368">
      <c r="A3368" s="6" t="str">
        <f>IFERROR(__xludf.DUMMYFUNCTION("""COMPUTED_VALUE"""),"")</f>
        <v/>
      </c>
      <c r="C3368" t="str">
        <f>IFERROR(__xludf.DUMMYFUNCTION("""COMPUTED_VALUE"""),"")</f>
        <v/>
      </c>
      <c r="D3368" t="str">
        <f>IFERROR(__xludf.DUMMYFUNCTION("""COMPUTED_VALUE"""),"")</f>
        <v/>
      </c>
      <c r="E3368" t="str">
        <f>IFERROR(__xludf.DUMMYFUNCTION("""COMPUTED_VALUE"""),"")</f>
        <v/>
      </c>
      <c r="F3368" t="str">
        <f>IFERROR(__xludf.DUMMYFUNCTION("""COMPUTED_VALUE"""),"")</f>
        <v/>
      </c>
      <c r="G3368" t="str">
        <f>IFERROR(__xludf.DUMMYFUNCTION("""COMPUTED_VALUE"""),"")</f>
        <v/>
      </c>
      <c r="H3368" s="2" t="str">
        <f>IFERROR(__xludf.DUMMYFUNCTION("""COMPUTED_VALUE"""),"")</f>
        <v/>
      </c>
      <c r="I3368" s="2" t="str">
        <f>IFERROR(__xludf.DUMMYFUNCTION("""COMPUTED_VALUE"""),"")</f>
        <v/>
      </c>
      <c r="J3368" s="2">
        <f>IFERROR(__xludf.DUMMYFUNCTION("""COMPUTED_VALUE"""),0.0)</f>
        <v>0</v>
      </c>
      <c r="K3368" s="5" t="str">
        <f>IFERROR(__xludf.DUMMYFUNCTION("""COMPUTED_VALUE"""),"")</f>
        <v/>
      </c>
      <c r="L3368" t="str">
        <f>IFERROR(__xludf.DUMMYFUNCTION("""COMPUTED_VALUE"""),"")</f>
        <v/>
      </c>
      <c r="M3368" t="str">
        <f>IFERROR(__xludf.DUMMYFUNCTION("""COMPUTED_VALUE"""),"")</f>
        <v/>
      </c>
      <c r="N3368" t="str">
        <f>IFERROR(__xludf.DUMMYFUNCTION("""COMPUTED_VALUE"""),"")</f>
        <v/>
      </c>
      <c r="O3368" t="str">
        <f>IFERROR(__xludf.DUMMYFUNCTION("""COMPUTED_VALUE"""),"")</f>
        <v/>
      </c>
      <c r="P3368" t="str">
        <f>IFERROR(__xludf.DUMMYFUNCTION("""COMPUTED_VALUE"""),"ID ")</f>
        <v>ID </v>
      </c>
    </row>
    <row r="3369">
      <c r="A3369" s="6" t="str">
        <f>IFERROR(__xludf.DUMMYFUNCTION("""COMPUTED_VALUE"""),"")</f>
        <v/>
      </c>
      <c r="C3369" t="str">
        <f>IFERROR(__xludf.DUMMYFUNCTION("""COMPUTED_VALUE"""),"")</f>
        <v/>
      </c>
      <c r="D3369" t="str">
        <f>IFERROR(__xludf.DUMMYFUNCTION("""COMPUTED_VALUE"""),"")</f>
        <v/>
      </c>
      <c r="E3369" t="str">
        <f>IFERROR(__xludf.DUMMYFUNCTION("""COMPUTED_VALUE"""),"")</f>
        <v/>
      </c>
      <c r="F3369" t="str">
        <f>IFERROR(__xludf.DUMMYFUNCTION("""COMPUTED_VALUE"""),"")</f>
        <v/>
      </c>
      <c r="G3369" t="str">
        <f>IFERROR(__xludf.DUMMYFUNCTION("""COMPUTED_VALUE"""),"")</f>
        <v/>
      </c>
      <c r="H3369" s="2" t="str">
        <f>IFERROR(__xludf.DUMMYFUNCTION("""COMPUTED_VALUE"""),"")</f>
        <v/>
      </c>
      <c r="I3369" s="2" t="str">
        <f>IFERROR(__xludf.DUMMYFUNCTION("""COMPUTED_VALUE"""),"")</f>
        <v/>
      </c>
      <c r="J3369" s="2">
        <f>IFERROR(__xludf.DUMMYFUNCTION("""COMPUTED_VALUE"""),0.0)</f>
        <v>0</v>
      </c>
      <c r="K3369" s="5" t="str">
        <f>IFERROR(__xludf.DUMMYFUNCTION("""COMPUTED_VALUE"""),"")</f>
        <v/>
      </c>
      <c r="L3369" t="str">
        <f>IFERROR(__xludf.DUMMYFUNCTION("""COMPUTED_VALUE"""),"")</f>
        <v/>
      </c>
      <c r="M3369" t="str">
        <f>IFERROR(__xludf.DUMMYFUNCTION("""COMPUTED_VALUE"""),"")</f>
        <v/>
      </c>
      <c r="N3369" t="str">
        <f>IFERROR(__xludf.DUMMYFUNCTION("""COMPUTED_VALUE"""),"")</f>
        <v/>
      </c>
      <c r="O3369" t="str">
        <f>IFERROR(__xludf.DUMMYFUNCTION("""COMPUTED_VALUE"""),"")</f>
        <v/>
      </c>
      <c r="P3369" t="str">
        <f>IFERROR(__xludf.DUMMYFUNCTION("""COMPUTED_VALUE"""),"ID ")</f>
        <v>ID </v>
      </c>
    </row>
    <row r="3370">
      <c r="A3370" s="6" t="str">
        <f>IFERROR(__xludf.DUMMYFUNCTION("""COMPUTED_VALUE"""),"")</f>
        <v/>
      </c>
      <c r="C3370" t="str">
        <f>IFERROR(__xludf.DUMMYFUNCTION("""COMPUTED_VALUE"""),"")</f>
        <v/>
      </c>
      <c r="D3370" t="str">
        <f>IFERROR(__xludf.DUMMYFUNCTION("""COMPUTED_VALUE"""),"")</f>
        <v/>
      </c>
      <c r="E3370" t="str">
        <f>IFERROR(__xludf.DUMMYFUNCTION("""COMPUTED_VALUE"""),"")</f>
        <v/>
      </c>
      <c r="F3370" t="str">
        <f>IFERROR(__xludf.DUMMYFUNCTION("""COMPUTED_VALUE"""),"")</f>
        <v/>
      </c>
      <c r="G3370" t="str">
        <f>IFERROR(__xludf.DUMMYFUNCTION("""COMPUTED_VALUE"""),"")</f>
        <v/>
      </c>
      <c r="H3370" s="2" t="str">
        <f>IFERROR(__xludf.DUMMYFUNCTION("""COMPUTED_VALUE"""),"")</f>
        <v/>
      </c>
      <c r="I3370" s="2" t="str">
        <f>IFERROR(__xludf.DUMMYFUNCTION("""COMPUTED_VALUE"""),"")</f>
        <v/>
      </c>
      <c r="J3370" s="2">
        <f>IFERROR(__xludf.DUMMYFUNCTION("""COMPUTED_VALUE"""),0.0)</f>
        <v>0</v>
      </c>
      <c r="K3370" s="5" t="str">
        <f>IFERROR(__xludf.DUMMYFUNCTION("""COMPUTED_VALUE"""),"")</f>
        <v/>
      </c>
      <c r="L3370" t="str">
        <f>IFERROR(__xludf.DUMMYFUNCTION("""COMPUTED_VALUE"""),"")</f>
        <v/>
      </c>
      <c r="M3370" t="str">
        <f>IFERROR(__xludf.DUMMYFUNCTION("""COMPUTED_VALUE"""),"")</f>
        <v/>
      </c>
      <c r="N3370" t="str">
        <f>IFERROR(__xludf.DUMMYFUNCTION("""COMPUTED_VALUE"""),"")</f>
        <v/>
      </c>
      <c r="O3370" t="str">
        <f>IFERROR(__xludf.DUMMYFUNCTION("""COMPUTED_VALUE"""),"")</f>
        <v/>
      </c>
      <c r="P3370" t="str">
        <f>IFERROR(__xludf.DUMMYFUNCTION("""COMPUTED_VALUE"""),"ID ")</f>
        <v>ID </v>
      </c>
    </row>
    <row r="3371">
      <c r="A3371" s="6" t="str">
        <f>IFERROR(__xludf.DUMMYFUNCTION("""COMPUTED_VALUE"""),"")</f>
        <v/>
      </c>
      <c r="C3371" t="str">
        <f>IFERROR(__xludf.DUMMYFUNCTION("""COMPUTED_VALUE"""),"")</f>
        <v/>
      </c>
      <c r="D3371" t="str">
        <f>IFERROR(__xludf.DUMMYFUNCTION("""COMPUTED_VALUE"""),"")</f>
        <v/>
      </c>
      <c r="E3371" t="str">
        <f>IFERROR(__xludf.DUMMYFUNCTION("""COMPUTED_VALUE"""),"")</f>
        <v/>
      </c>
      <c r="F3371" t="str">
        <f>IFERROR(__xludf.DUMMYFUNCTION("""COMPUTED_VALUE"""),"")</f>
        <v/>
      </c>
      <c r="G3371" t="str">
        <f>IFERROR(__xludf.DUMMYFUNCTION("""COMPUTED_VALUE"""),"")</f>
        <v/>
      </c>
      <c r="H3371" s="2" t="str">
        <f>IFERROR(__xludf.DUMMYFUNCTION("""COMPUTED_VALUE"""),"")</f>
        <v/>
      </c>
      <c r="I3371" s="2" t="str">
        <f>IFERROR(__xludf.DUMMYFUNCTION("""COMPUTED_VALUE"""),"")</f>
        <v/>
      </c>
      <c r="J3371" s="2">
        <f>IFERROR(__xludf.DUMMYFUNCTION("""COMPUTED_VALUE"""),0.0)</f>
        <v>0</v>
      </c>
      <c r="K3371" s="5" t="str">
        <f>IFERROR(__xludf.DUMMYFUNCTION("""COMPUTED_VALUE"""),"")</f>
        <v/>
      </c>
      <c r="L3371" t="str">
        <f>IFERROR(__xludf.DUMMYFUNCTION("""COMPUTED_VALUE"""),"")</f>
        <v/>
      </c>
      <c r="M3371" t="str">
        <f>IFERROR(__xludf.DUMMYFUNCTION("""COMPUTED_VALUE"""),"")</f>
        <v/>
      </c>
      <c r="N3371" t="str">
        <f>IFERROR(__xludf.DUMMYFUNCTION("""COMPUTED_VALUE"""),"")</f>
        <v/>
      </c>
      <c r="O3371" t="str">
        <f>IFERROR(__xludf.DUMMYFUNCTION("""COMPUTED_VALUE"""),"")</f>
        <v/>
      </c>
      <c r="P3371" t="str">
        <f>IFERROR(__xludf.DUMMYFUNCTION("""COMPUTED_VALUE"""),"ID ")</f>
        <v>ID </v>
      </c>
    </row>
    <row r="3372">
      <c r="A3372" s="6" t="str">
        <f>IFERROR(__xludf.DUMMYFUNCTION("""COMPUTED_VALUE"""),"")</f>
        <v/>
      </c>
      <c r="C3372" t="str">
        <f>IFERROR(__xludf.DUMMYFUNCTION("""COMPUTED_VALUE"""),"")</f>
        <v/>
      </c>
      <c r="D3372" t="str">
        <f>IFERROR(__xludf.DUMMYFUNCTION("""COMPUTED_VALUE"""),"")</f>
        <v/>
      </c>
      <c r="E3372" t="str">
        <f>IFERROR(__xludf.DUMMYFUNCTION("""COMPUTED_VALUE"""),"")</f>
        <v/>
      </c>
      <c r="F3372" t="str">
        <f>IFERROR(__xludf.DUMMYFUNCTION("""COMPUTED_VALUE"""),"")</f>
        <v/>
      </c>
      <c r="G3372" t="str">
        <f>IFERROR(__xludf.DUMMYFUNCTION("""COMPUTED_VALUE"""),"")</f>
        <v/>
      </c>
      <c r="H3372" s="2" t="str">
        <f>IFERROR(__xludf.DUMMYFUNCTION("""COMPUTED_VALUE"""),"")</f>
        <v/>
      </c>
      <c r="I3372" s="2" t="str">
        <f>IFERROR(__xludf.DUMMYFUNCTION("""COMPUTED_VALUE"""),"")</f>
        <v/>
      </c>
      <c r="J3372" s="2">
        <f>IFERROR(__xludf.DUMMYFUNCTION("""COMPUTED_VALUE"""),0.0)</f>
        <v>0</v>
      </c>
      <c r="K3372" s="5" t="str">
        <f>IFERROR(__xludf.DUMMYFUNCTION("""COMPUTED_VALUE"""),"")</f>
        <v/>
      </c>
      <c r="L3372" t="str">
        <f>IFERROR(__xludf.DUMMYFUNCTION("""COMPUTED_VALUE"""),"")</f>
        <v/>
      </c>
      <c r="M3372" t="str">
        <f>IFERROR(__xludf.DUMMYFUNCTION("""COMPUTED_VALUE"""),"")</f>
        <v/>
      </c>
      <c r="N3372" t="str">
        <f>IFERROR(__xludf.DUMMYFUNCTION("""COMPUTED_VALUE"""),"")</f>
        <v/>
      </c>
      <c r="O3372" t="str">
        <f>IFERROR(__xludf.DUMMYFUNCTION("""COMPUTED_VALUE"""),"")</f>
        <v/>
      </c>
      <c r="P3372" t="str">
        <f>IFERROR(__xludf.DUMMYFUNCTION("""COMPUTED_VALUE"""),"ID ")</f>
        <v>ID </v>
      </c>
    </row>
    <row r="3373">
      <c r="A3373" s="6" t="str">
        <f>IFERROR(__xludf.DUMMYFUNCTION("""COMPUTED_VALUE"""),"")</f>
        <v/>
      </c>
      <c r="C3373" t="str">
        <f>IFERROR(__xludf.DUMMYFUNCTION("""COMPUTED_VALUE"""),"")</f>
        <v/>
      </c>
      <c r="D3373" t="str">
        <f>IFERROR(__xludf.DUMMYFUNCTION("""COMPUTED_VALUE"""),"")</f>
        <v/>
      </c>
      <c r="E3373" t="str">
        <f>IFERROR(__xludf.DUMMYFUNCTION("""COMPUTED_VALUE"""),"")</f>
        <v/>
      </c>
      <c r="F3373" t="str">
        <f>IFERROR(__xludf.DUMMYFUNCTION("""COMPUTED_VALUE"""),"")</f>
        <v/>
      </c>
      <c r="G3373" t="str">
        <f>IFERROR(__xludf.DUMMYFUNCTION("""COMPUTED_VALUE"""),"")</f>
        <v/>
      </c>
      <c r="H3373" s="2" t="str">
        <f>IFERROR(__xludf.DUMMYFUNCTION("""COMPUTED_VALUE"""),"")</f>
        <v/>
      </c>
      <c r="I3373" s="2" t="str">
        <f>IFERROR(__xludf.DUMMYFUNCTION("""COMPUTED_VALUE"""),"")</f>
        <v/>
      </c>
      <c r="J3373" s="2">
        <f>IFERROR(__xludf.DUMMYFUNCTION("""COMPUTED_VALUE"""),0.0)</f>
        <v>0</v>
      </c>
      <c r="K3373" s="5" t="str">
        <f>IFERROR(__xludf.DUMMYFUNCTION("""COMPUTED_VALUE"""),"")</f>
        <v/>
      </c>
      <c r="L3373" t="str">
        <f>IFERROR(__xludf.DUMMYFUNCTION("""COMPUTED_VALUE"""),"")</f>
        <v/>
      </c>
      <c r="M3373" t="str">
        <f>IFERROR(__xludf.DUMMYFUNCTION("""COMPUTED_VALUE"""),"")</f>
        <v/>
      </c>
      <c r="N3373" t="str">
        <f>IFERROR(__xludf.DUMMYFUNCTION("""COMPUTED_VALUE"""),"")</f>
        <v/>
      </c>
      <c r="O3373" t="str">
        <f>IFERROR(__xludf.DUMMYFUNCTION("""COMPUTED_VALUE"""),"")</f>
        <v/>
      </c>
      <c r="P3373" t="str">
        <f>IFERROR(__xludf.DUMMYFUNCTION("""COMPUTED_VALUE"""),"ID ")</f>
        <v>ID </v>
      </c>
    </row>
    <row r="3374">
      <c r="A3374" s="6" t="str">
        <f>IFERROR(__xludf.DUMMYFUNCTION("""COMPUTED_VALUE"""),"")</f>
        <v/>
      </c>
      <c r="C3374" t="str">
        <f>IFERROR(__xludf.DUMMYFUNCTION("""COMPUTED_VALUE"""),"")</f>
        <v/>
      </c>
      <c r="D3374" t="str">
        <f>IFERROR(__xludf.DUMMYFUNCTION("""COMPUTED_VALUE"""),"")</f>
        <v/>
      </c>
      <c r="E3374" t="str">
        <f>IFERROR(__xludf.DUMMYFUNCTION("""COMPUTED_VALUE"""),"")</f>
        <v/>
      </c>
      <c r="F3374" t="str">
        <f>IFERROR(__xludf.DUMMYFUNCTION("""COMPUTED_VALUE"""),"")</f>
        <v/>
      </c>
      <c r="G3374" t="str">
        <f>IFERROR(__xludf.DUMMYFUNCTION("""COMPUTED_VALUE"""),"")</f>
        <v/>
      </c>
      <c r="H3374" s="2" t="str">
        <f>IFERROR(__xludf.DUMMYFUNCTION("""COMPUTED_VALUE"""),"")</f>
        <v/>
      </c>
      <c r="I3374" s="2" t="str">
        <f>IFERROR(__xludf.DUMMYFUNCTION("""COMPUTED_VALUE"""),"")</f>
        <v/>
      </c>
      <c r="J3374" s="2">
        <f>IFERROR(__xludf.DUMMYFUNCTION("""COMPUTED_VALUE"""),0.0)</f>
        <v>0</v>
      </c>
      <c r="K3374" s="5" t="str">
        <f>IFERROR(__xludf.DUMMYFUNCTION("""COMPUTED_VALUE"""),"")</f>
        <v/>
      </c>
      <c r="L3374" t="str">
        <f>IFERROR(__xludf.DUMMYFUNCTION("""COMPUTED_VALUE"""),"")</f>
        <v/>
      </c>
      <c r="M3374" t="str">
        <f>IFERROR(__xludf.DUMMYFUNCTION("""COMPUTED_VALUE"""),"")</f>
        <v/>
      </c>
      <c r="N3374" t="str">
        <f>IFERROR(__xludf.DUMMYFUNCTION("""COMPUTED_VALUE"""),"")</f>
        <v/>
      </c>
      <c r="O3374" t="str">
        <f>IFERROR(__xludf.DUMMYFUNCTION("""COMPUTED_VALUE"""),"")</f>
        <v/>
      </c>
      <c r="P3374" t="str">
        <f>IFERROR(__xludf.DUMMYFUNCTION("""COMPUTED_VALUE"""),"ID ")</f>
        <v>ID </v>
      </c>
    </row>
    <row r="3375">
      <c r="A3375" s="6" t="str">
        <f>IFERROR(__xludf.DUMMYFUNCTION("""COMPUTED_VALUE"""),"")</f>
        <v/>
      </c>
      <c r="C3375" t="str">
        <f>IFERROR(__xludf.DUMMYFUNCTION("""COMPUTED_VALUE"""),"")</f>
        <v/>
      </c>
      <c r="D3375" t="str">
        <f>IFERROR(__xludf.DUMMYFUNCTION("""COMPUTED_VALUE"""),"")</f>
        <v/>
      </c>
      <c r="E3375" t="str">
        <f>IFERROR(__xludf.DUMMYFUNCTION("""COMPUTED_VALUE"""),"")</f>
        <v/>
      </c>
      <c r="F3375" t="str">
        <f>IFERROR(__xludf.DUMMYFUNCTION("""COMPUTED_VALUE"""),"")</f>
        <v/>
      </c>
      <c r="G3375" t="str">
        <f>IFERROR(__xludf.DUMMYFUNCTION("""COMPUTED_VALUE"""),"")</f>
        <v/>
      </c>
      <c r="H3375" s="2" t="str">
        <f>IFERROR(__xludf.DUMMYFUNCTION("""COMPUTED_VALUE"""),"")</f>
        <v/>
      </c>
      <c r="I3375" s="2" t="str">
        <f>IFERROR(__xludf.DUMMYFUNCTION("""COMPUTED_VALUE"""),"")</f>
        <v/>
      </c>
      <c r="J3375" s="2">
        <f>IFERROR(__xludf.DUMMYFUNCTION("""COMPUTED_VALUE"""),0.0)</f>
        <v>0</v>
      </c>
      <c r="K3375" s="5" t="str">
        <f>IFERROR(__xludf.DUMMYFUNCTION("""COMPUTED_VALUE"""),"")</f>
        <v/>
      </c>
      <c r="L3375" t="str">
        <f>IFERROR(__xludf.DUMMYFUNCTION("""COMPUTED_VALUE"""),"")</f>
        <v/>
      </c>
      <c r="M3375" t="str">
        <f>IFERROR(__xludf.DUMMYFUNCTION("""COMPUTED_VALUE"""),"")</f>
        <v/>
      </c>
      <c r="N3375" t="str">
        <f>IFERROR(__xludf.DUMMYFUNCTION("""COMPUTED_VALUE"""),"")</f>
        <v/>
      </c>
      <c r="O3375" t="str">
        <f>IFERROR(__xludf.DUMMYFUNCTION("""COMPUTED_VALUE"""),"")</f>
        <v/>
      </c>
      <c r="P3375" t="str">
        <f>IFERROR(__xludf.DUMMYFUNCTION("""COMPUTED_VALUE"""),"ID ")</f>
        <v>ID </v>
      </c>
    </row>
    <row r="3376">
      <c r="A3376" s="6" t="str">
        <f>IFERROR(__xludf.DUMMYFUNCTION("""COMPUTED_VALUE"""),"")</f>
        <v/>
      </c>
      <c r="C3376" t="str">
        <f>IFERROR(__xludf.DUMMYFUNCTION("""COMPUTED_VALUE"""),"")</f>
        <v/>
      </c>
      <c r="D3376" t="str">
        <f>IFERROR(__xludf.DUMMYFUNCTION("""COMPUTED_VALUE"""),"")</f>
        <v/>
      </c>
      <c r="E3376" t="str">
        <f>IFERROR(__xludf.DUMMYFUNCTION("""COMPUTED_VALUE"""),"")</f>
        <v/>
      </c>
      <c r="F3376" t="str">
        <f>IFERROR(__xludf.DUMMYFUNCTION("""COMPUTED_VALUE"""),"")</f>
        <v/>
      </c>
      <c r="G3376" t="str">
        <f>IFERROR(__xludf.DUMMYFUNCTION("""COMPUTED_VALUE"""),"")</f>
        <v/>
      </c>
      <c r="H3376" s="2" t="str">
        <f>IFERROR(__xludf.DUMMYFUNCTION("""COMPUTED_VALUE"""),"")</f>
        <v/>
      </c>
      <c r="I3376" s="2" t="str">
        <f>IFERROR(__xludf.DUMMYFUNCTION("""COMPUTED_VALUE"""),"")</f>
        <v/>
      </c>
      <c r="J3376" s="2">
        <f>IFERROR(__xludf.DUMMYFUNCTION("""COMPUTED_VALUE"""),0.0)</f>
        <v>0</v>
      </c>
      <c r="K3376" s="5" t="str">
        <f>IFERROR(__xludf.DUMMYFUNCTION("""COMPUTED_VALUE"""),"")</f>
        <v/>
      </c>
      <c r="L3376" t="str">
        <f>IFERROR(__xludf.DUMMYFUNCTION("""COMPUTED_VALUE"""),"")</f>
        <v/>
      </c>
      <c r="M3376" t="str">
        <f>IFERROR(__xludf.DUMMYFUNCTION("""COMPUTED_VALUE"""),"")</f>
        <v/>
      </c>
      <c r="N3376" t="str">
        <f>IFERROR(__xludf.DUMMYFUNCTION("""COMPUTED_VALUE"""),"")</f>
        <v/>
      </c>
      <c r="O3376" t="str">
        <f>IFERROR(__xludf.DUMMYFUNCTION("""COMPUTED_VALUE"""),"")</f>
        <v/>
      </c>
      <c r="P3376" t="str">
        <f>IFERROR(__xludf.DUMMYFUNCTION("""COMPUTED_VALUE"""),"ID ")</f>
        <v>ID </v>
      </c>
    </row>
    <row r="3377">
      <c r="A3377" s="6" t="str">
        <f>IFERROR(__xludf.DUMMYFUNCTION("""COMPUTED_VALUE"""),"")</f>
        <v/>
      </c>
      <c r="C3377" t="str">
        <f>IFERROR(__xludf.DUMMYFUNCTION("""COMPUTED_VALUE"""),"")</f>
        <v/>
      </c>
      <c r="D3377" t="str">
        <f>IFERROR(__xludf.DUMMYFUNCTION("""COMPUTED_VALUE"""),"")</f>
        <v/>
      </c>
      <c r="E3377" t="str">
        <f>IFERROR(__xludf.DUMMYFUNCTION("""COMPUTED_VALUE"""),"")</f>
        <v/>
      </c>
      <c r="F3377" t="str">
        <f>IFERROR(__xludf.DUMMYFUNCTION("""COMPUTED_VALUE"""),"")</f>
        <v/>
      </c>
      <c r="G3377" t="str">
        <f>IFERROR(__xludf.DUMMYFUNCTION("""COMPUTED_VALUE"""),"")</f>
        <v/>
      </c>
      <c r="H3377" s="2" t="str">
        <f>IFERROR(__xludf.DUMMYFUNCTION("""COMPUTED_VALUE"""),"")</f>
        <v/>
      </c>
      <c r="I3377" s="2" t="str">
        <f>IFERROR(__xludf.DUMMYFUNCTION("""COMPUTED_VALUE"""),"")</f>
        <v/>
      </c>
      <c r="J3377" s="2">
        <f>IFERROR(__xludf.DUMMYFUNCTION("""COMPUTED_VALUE"""),0.0)</f>
        <v>0</v>
      </c>
      <c r="K3377" s="5" t="str">
        <f>IFERROR(__xludf.DUMMYFUNCTION("""COMPUTED_VALUE"""),"")</f>
        <v/>
      </c>
      <c r="L3377" t="str">
        <f>IFERROR(__xludf.DUMMYFUNCTION("""COMPUTED_VALUE"""),"")</f>
        <v/>
      </c>
      <c r="M3377" t="str">
        <f>IFERROR(__xludf.DUMMYFUNCTION("""COMPUTED_VALUE"""),"")</f>
        <v/>
      </c>
      <c r="N3377" t="str">
        <f>IFERROR(__xludf.DUMMYFUNCTION("""COMPUTED_VALUE"""),"")</f>
        <v/>
      </c>
      <c r="O3377" t="str">
        <f>IFERROR(__xludf.DUMMYFUNCTION("""COMPUTED_VALUE"""),"")</f>
        <v/>
      </c>
      <c r="P3377" t="str">
        <f>IFERROR(__xludf.DUMMYFUNCTION("""COMPUTED_VALUE"""),"ID ")</f>
        <v>ID </v>
      </c>
    </row>
    <row r="3378">
      <c r="A3378" s="6" t="str">
        <f>IFERROR(__xludf.DUMMYFUNCTION("""COMPUTED_VALUE"""),"")</f>
        <v/>
      </c>
      <c r="C3378" t="str">
        <f>IFERROR(__xludf.DUMMYFUNCTION("""COMPUTED_VALUE"""),"")</f>
        <v/>
      </c>
      <c r="D3378" t="str">
        <f>IFERROR(__xludf.DUMMYFUNCTION("""COMPUTED_VALUE"""),"")</f>
        <v/>
      </c>
      <c r="E3378" t="str">
        <f>IFERROR(__xludf.DUMMYFUNCTION("""COMPUTED_VALUE"""),"")</f>
        <v/>
      </c>
      <c r="F3378" t="str">
        <f>IFERROR(__xludf.DUMMYFUNCTION("""COMPUTED_VALUE"""),"")</f>
        <v/>
      </c>
      <c r="G3378" t="str">
        <f>IFERROR(__xludf.DUMMYFUNCTION("""COMPUTED_VALUE"""),"")</f>
        <v/>
      </c>
      <c r="H3378" s="2" t="str">
        <f>IFERROR(__xludf.DUMMYFUNCTION("""COMPUTED_VALUE"""),"")</f>
        <v/>
      </c>
      <c r="I3378" s="2" t="str">
        <f>IFERROR(__xludf.DUMMYFUNCTION("""COMPUTED_VALUE"""),"")</f>
        <v/>
      </c>
      <c r="J3378" s="2">
        <f>IFERROR(__xludf.DUMMYFUNCTION("""COMPUTED_VALUE"""),0.0)</f>
        <v>0</v>
      </c>
      <c r="K3378" s="5" t="str">
        <f>IFERROR(__xludf.DUMMYFUNCTION("""COMPUTED_VALUE"""),"")</f>
        <v/>
      </c>
      <c r="L3378" t="str">
        <f>IFERROR(__xludf.DUMMYFUNCTION("""COMPUTED_VALUE"""),"")</f>
        <v/>
      </c>
      <c r="M3378" t="str">
        <f>IFERROR(__xludf.DUMMYFUNCTION("""COMPUTED_VALUE"""),"")</f>
        <v/>
      </c>
      <c r="N3378" t="str">
        <f>IFERROR(__xludf.DUMMYFUNCTION("""COMPUTED_VALUE"""),"")</f>
        <v/>
      </c>
      <c r="O3378" t="str">
        <f>IFERROR(__xludf.DUMMYFUNCTION("""COMPUTED_VALUE"""),"")</f>
        <v/>
      </c>
      <c r="P3378" t="str">
        <f>IFERROR(__xludf.DUMMYFUNCTION("""COMPUTED_VALUE"""),"ID ")</f>
        <v>ID </v>
      </c>
    </row>
    <row r="3379">
      <c r="A3379" s="6" t="str">
        <f>IFERROR(__xludf.DUMMYFUNCTION("""COMPUTED_VALUE"""),"")</f>
        <v/>
      </c>
      <c r="C3379" t="str">
        <f>IFERROR(__xludf.DUMMYFUNCTION("""COMPUTED_VALUE"""),"")</f>
        <v/>
      </c>
      <c r="D3379" t="str">
        <f>IFERROR(__xludf.DUMMYFUNCTION("""COMPUTED_VALUE"""),"")</f>
        <v/>
      </c>
      <c r="E3379" t="str">
        <f>IFERROR(__xludf.DUMMYFUNCTION("""COMPUTED_VALUE"""),"")</f>
        <v/>
      </c>
      <c r="F3379" t="str">
        <f>IFERROR(__xludf.DUMMYFUNCTION("""COMPUTED_VALUE"""),"")</f>
        <v/>
      </c>
      <c r="G3379" t="str">
        <f>IFERROR(__xludf.DUMMYFUNCTION("""COMPUTED_VALUE"""),"")</f>
        <v/>
      </c>
      <c r="H3379" s="2" t="str">
        <f>IFERROR(__xludf.DUMMYFUNCTION("""COMPUTED_VALUE"""),"")</f>
        <v/>
      </c>
      <c r="I3379" s="2" t="str">
        <f>IFERROR(__xludf.DUMMYFUNCTION("""COMPUTED_VALUE"""),"")</f>
        <v/>
      </c>
      <c r="J3379" s="2">
        <f>IFERROR(__xludf.DUMMYFUNCTION("""COMPUTED_VALUE"""),0.0)</f>
        <v>0</v>
      </c>
      <c r="K3379" s="5" t="str">
        <f>IFERROR(__xludf.DUMMYFUNCTION("""COMPUTED_VALUE"""),"")</f>
        <v/>
      </c>
      <c r="L3379" t="str">
        <f>IFERROR(__xludf.DUMMYFUNCTION("""COMPUTED_VALUE"""),"")</f>
        <v/>
      </c>
      <c r="M3379" t="str">
        <f>IFERROR(__xludf.DUMMYFUNCTION("""COMPUTED_VALUE"""),"")</f>
        <v/>
      </c>
      <c r="N3379" t="str">
        <f>IFERROR(__xludf.DUMMYFUNCTION("""COMPUTED_VALUE"""),"")</f>
        <v/>
      </c>
      <c r="O3379" t="str">
        <f>IFERROR(__xludf.DUMMYFUNCTION("""COMPUTED_VALUE"""),"")</f>
        <v/>
      </c>
      <c r="P3379" t="str">
        <f>IFERROR(__xludf.DUMMYFUNCTION("""COMPUTED_VALUE"""),"ID ")</f>
        <v>ID </v>
      </c>
    </row>
    <row r="3380">
      <c r="A3380" s="6" t="str">
        <f>IFERROR(__xludf.DUMMYFUNCTION("""COMPUTED_VALUE"""),"")</f>
        <v/>
      </c>
      <c r="C3380" t="str">
        <f>IFERROR(__xludf.DUMMYFUNCTION("""COMPUTED_VALUE"""),"")</f>
        <v/>
      </c>
      <c r="D3380" t="str">
        <f>IFERROR(__xludf.DUMMYFUNCTION("""COMPUTED_VALUE"""),"")</f>
        <v/>
      </c>
      <c r="E3380" t="str">
        <f>IFERROR(__xludf.DUMMYFUNCTION("""COMPUTED_VALUE"""),"")</f>
        <v/>
      </c>
      <c r="F3380" t="str">
        <f>IFERROR(__xludf.DUMMYFUNCTION("""COMPUTED_VALUE"""),"")</f>
        <v/>
      </c>
      <c r="G3380" t="str">
        <f>IFERROR(__xludf.DUMMYFUNCTION("""COMPUTED_VALUE"""),"")</f>
        <v/>
      </c>
      <c r="H3380" s="2" t="str">
        <f>IFERROR(__xludf.DUMMYFUNCTION("""COMPUTED_VALUE"""),"")</f>
        <v/>
      </c>
      <c r="I3380" s="2" t="str">
        <f>IFERROR(__xludf.DUMMYFUNCTION("""COMPUTED_VALUE"""),"")</f>
        <v/>
      </c>
      <c r="J3380" s="2">
        <f>IFERROR(__xludf.DUMMYFUNCTION("""COMPUTED_VALUE"""),0.0)</f>
        <v>0</v>
      </c>
      <c r="K3380" s="5" t="str">
        <f>IFERROR(__xludf.DUMMYFUNCTION("""COMPUTED_VALUE"""),"")</f>
        <v/>
      </c>
      <c r="L3380" t="str">
        <f>IFERROR(__xludf.DUMMYFUNCTION("""COMPUTED_VALUE"""),"")</f>
        <v/>
      </c>
      <c r="M3380" t="str">
        <f>IFERROR(__xludf.DUMMYFUNCTION("""COMPUTED_VALUE"""),"")</f>
        <v/>
      </c>
      <c r="N3380" t="str">
        <f>IFERROR(__xludf.DUMMYFUNCTION("""COMPUTED_VALUE"""),"")</f>
        <v/>
      </c>
      <c r="O3380" t="str">
        <f>IFERROR(__xludf.DUMMYFUNCTION("""COMPUTED_VALUE"""),"")</f>
        <v/>
      </c>
      <c r="P3380" t="str">
        <f>IFERROR(__xludf.DUMMYFUNCTION("""COMPUTED_VALUE"""),"ID ")</f>
        <v>ID </v>
      </c>
    </row>
    <row r="3381">
      <c r="A3381" s="6" t="str">
        <f>IFERROR(__xludf.DUMMYFUNCTION("""COMPUTED_VALUE"""),"")</f>
        <v/>
      </c>
      <c r="C3381" t="str">
        <f>IFERROR(__xludf.DUMMYFUNCTION("""COMPUTED_VALUE"""),"")</f>
        <v/>
      </c>
      <c r="D3381" t="str">
        <f>IFERROR(__xludf.DUMMYFUNCTION("""COMPUTED_VALUE"""),"")</f>
        <v/>
      </c>
      <c r="E3381" t="str">
        <f>IFERROR(__xludf.DUMMYFUNCTION("""COMPUTED_VALUE"""),"")</f>
        <v/>
      </c>
      <c r="F3381" t="str">
        <f>IFERROR(__xludf.DUMMYFUNCTION("""COMPUTED_VALUE"""),"")</f>
        <v/>
      </c>
      <c r="G3381" t="str">
        <f>IFERROR(__xludf.DUMMYFUNCTION("""COMPUTED_VALUE"""),"")</f>
        <v/>
      </c>
      <c r="H3381" s="2" t="str">
        <f>IFERROR(__xludf.DUMMYFUNCTION("""COMPUTED_VALUE"""),"")</f>
        <v/>
      </c>
      <c r="I3381" s="2" t="str">
        <f>IFERROR(__xludf.DUMMYFUNCTION("""COMPUTED_VALUE"""),"")</f>
        <v/>
      </c>
      <c r="J3381" s="2">
        <f>IFERROR(__xludf.DUMMYFUNCTION("""COMPUTED_VALUE"""),0.0)</f>
        <v>0</v>
      </c>
      <c r="K3381" s="5" t="str">
        <f>IFERROR(__xludf.DUMMYFUNCTION("""COMPUTED_VALUE"""),"")</f>
        <v/>
      </c>
      <c r="L3381" t="str">
        <f>IFERROR(__xludf.DUMMYFUNCTION("""COMPUTED_VALUE"""),"")</f>
        <v/>
      </c>
      <c r="M3381" t="str">
        <f>IFERROR(__xludf.DUMMYFUNCTION("""COMPUTED_VALUE"""),"")</f>
        <v/>
      </c>
      <c r="N3381" t="str">
        <f>IFERROR(__xludf.DUMMYFUNCTION("""COMPUTED_VALUE"""),"")</f>
        <v/>
      </c>
      <c r="O3381" t="str">
        <f>IFERROR(__xludf.DUMMYFUNCTION("""COMPUTED_VALUE"""),"")</f>
        <v/>
      </c>
      <c r="P3381" t="str">
        <f>IFERROR(__xludf.DUMMYFUNCTION("""COMPUTED_VALUE"""),"ID ")</f>
        <v>ID </v>
      </c>
    </row>
    <row r="3382">
      <c r="A3382" s="6" t="str">
        <f>IFERROR(__xludf.DUMMYFUNCTION("""COMPUTED_VALUE"""),"")</f>
        <v/>
      </c>
      <c r="C3382" t="str">
        <f>IFERROR(__xludf.DUMMYFUNCTION("""COMPUTED_VALUE"""),"")</f>
        <v/>
      </c>
      <c r="D3382" t="str">
        <f>IFERROR(__xludf.DUMMYFUNCTION("""COMPUTED_VALUE"""),"")</f>
        <v/>
      </c>
      <c r="E3382" t="str">
        <f>IFERROR(__xludf.DUMMYFUNCTION("""COMPUTED_VALUE"""),"")</f>
        <v/>
      </c>
      <c r="F3382" t="str">
        <f>IFERROR(__xludf.DUMMYFUNCTION("""COMPUTED_VALUE"""),"")</f>
        <v/>
      </c>
      <c r="G3382" t="str">
        <f>IFERROR(__xludf.DUMMYFUNCTION("""COMPUTED_VALUE"""),"")</f>
        <v/>
      </c>
      <c r="H3382" s="2" t="str">
        <f>IFERROR(__xludf.DUMMYFUNCTION("""COMPUTED_VALUE"""),"")</f>
        <v/>
      </c>
      <c r="I3382" s="2" t="str">
        <f>IFERROR(__xludf.DUMMYFUNCTION("""COMPUTED_VALUE"""),"")</f>
        <v/>
      </c>
      <c r="J3382" s="2">
        <f>IFERROR(__xludf.DUMMYFUNCTION("""COMPUTED_VALUE"""),0.0)</f>
        <v>0</v>
      </c>
      <c r="K3382" s="5" t="str">
        <f>IFERROR(__xludf.DUMMYFUNCTION("""COMPUTED_VALUE"""),"")</f>
        <v/>
      </c>
      <c r="L3382" t="str">
        <f>IFERROR(__xludf.DUMMYFUNCTION("""COMPUTED_VALUE"""),"")</f>
        <v/>
      </c>
      <c r="M3382" t="str">
        <f>IFERROR(__xludf.DUMMYFUNCTION("""COMPUTED_VALUE"""),"")</f>
        <v/>
      </c>
      <c r="N3382" t="str">
        <f>IFERROR(__xludf.DUMMYFUNCTION("""COMPUTED_VALUE"""),"")</f>
        <v/>
      </c>
      <c r="O3382" t="str">
        <f>IFERROR(__xludf.DUMMYFUNCTION("""COMPUTED_VALUE"""),"")</f>
        <v/>
      </c>
      <c r="P3382" t="str">
        <f>IFERROR(__xludf.DUMMYFUNCTION("""COMPUTED_VALUE"""),"ID ")</f>
        <v>ID </v>
      </c>
    </row>
    <row r="3383">
      <c r="A3383" s="6" t="str">
        <f>IFERROR(__xludf.DUMMYFUNCTION("""COMPUTED_VALUE"""),"")</f>
        <v/>
      </c>
      <c r="C3383" t="str">
        <f>IFERROR(__xludf.DUMMYFUNCTION("""COMPUTED_VALUE"""),"")</f>
        <v/>
      </c>
      <c r="D3383" t="str">
        <f>IFERROR(__xludf.DUMMYFUNCTION("""COMPUTED_VALUE"""),"")</f>
        <v/>
      </c>
      <c r="E3383" t="str">
        <f>IFERROR(__xludf.DUMMYFUNCTION("""COMPUTED_VALUE"""),"")</f>
        <v/>
      </c>
      <c r="F3383" t="str">
        <f>IFERROR(__xludf.DUMMYFUNCTION("""COMPUTED_VALUE"""),"")</f>
        <v/>
      </c>
      <c r="G3383" t="str">
        <f>IFERROR(__xludf.DUMMYFUNCTION("""COMPUTED_VALUE"""),"")</f>
        <v/>
      </c>
      <c r="H3383" s="2" t="str">
        <f>IFERROR(__xludf.DUMMYFUNCTION("""COMPUTED_VALUE"""),"")</f>
        <v/>
      </c>
      <c r="I3383" s="2" t="str">
        <f>IFERROR(__xludf.DUMMYFUNCTION("""COMPUTED_VALUE"""),"")</f>
        <v/>
      </c>
      <c r="J3383" s="2">
        <f>IFERROR(__xludf.DUMMYFUNCTION("""COMPUTED_VALUE"""),0.0)</f>
        <v>0</v>
      </c>
      <c r="K3383" s="5" t="str">
        <f>IFERROR(__xludf.DUMMYFUNCTION("""COMPUTED_VALUE"""),"")</f>
        <v/>
      </c>
      <c r="L3383" t="str">
        <f>IFERROR(__xludf.DUMMYFUNCTION("""COMPUTED_VALUE"""),"")</f>
        <v/>
      </c>
      <c r="M3383" t="str">
        <f>IFERROR(__xludf.DUMMYFUNCTION("""COMPUTED_VALUE"""),"")</f>
        <v/>
      </c>
      <c r="N3383" t="str">
        <f>IFERROR(__xludf.DUMMYFUNCTION("""COMPUTED_VALUE"""),"")</f>
        <v/>
      </c>
      <c r="O3383" t="str">
        <f>IFERROR(__xludf.DUMMYFUNCTION("""COMPUTED_VALUE"""),"")</f>
        <v/>
      </c>
      <c r="P3383" t="str">
        <f>IFERROR(__xludf.DUMMYFUNCTION("""COMPUTED_VALUE"""),"ID ")</f>
        <v>ID </v>
      </c>
    </row>
    <row r="3384">
      <c r="A3384" s="6" t="str">
        <f>IFERROR(__xludf.DUMMYFUNCTION("""COMPUTED_VALUE"""),"")</f>
        <v/>
      </c>
      <c r="C3384" t="str">
        <f>IFERROR(__xludf.DUMMYFUNCTION("""COMPUTED_VALUE"""),"")</f>
        <v/>
      </c>
      <c r="D3384" t="str">
        <f>IFERROR(__xludf.DUMMYFUNCTION("""COMPUTED_VALUE"""),"")</f>
        <v/>
      </c>
      <c r="E3384" t="str">
        <f>IFERROR(__xludf.DUMMYFUNCTION("""COMPUTED_VALUE"""),"")</f>
        <v/>
      </c>
      <c r="F3384" t="str">
        <f>IFERROR(__xludf.DUMMYFUNCTION("""COMPUTED_VALUE"""),"")</f>
        <v/>
      </c>
      <c r="G3384" t="str">
        <f>IFERROR(__xludf.DUMMYFUNCTION("""COMPUTED_VALUE"""),"")</f>
        <v/>
      </c>
      <c r="H3384" s="2" t="str">
        <f>IFERROR(__xludf.DUMMYFUNCTION("""COMPUTED_VALUE"""),"")</f>
        <v/>
      </c>
      <c r="I3384" s="2" t="str">
        <f>IFERROR(__xludf.DUMMYFUNCTION("""COMPUTED_VALUE"""),"")</f>
        <v/>
      </c>
      <c r="J3384" s="2">
        <f>IFERROR(__xludf.DUMMYFUNCTION("""COMPUTED_VALUE"""),0.0)</f>
        <v>0</v>
      </c>
      <c r="K3384" s="5" t="str">
        <f>IFERROR(__xludf.DUMMYFUNCTION("""COMPUTED_VALUE"""),"")</f>
        <v/>
      </c>
      <c r="L3384" t="str">
        <f>IFERROR(__xludf.DUMMYFUNCTION("""COMPUTED_VALUE"""),"")</f>
        <v/>
      </c>
      <c r="M3384" t="str">
        <f>IFERROR(__xludf.DUMMYFUNCTION("""COMPUTED_VALUE"""),"")</f>
        <v/>
      </c>
      <c r="N3384" t="str">
        <f>IFERROR(__xludf.DUMMYFUNCTION("""COMPUTED_VALUE"""),"")</f>
        <v/>
      </c>
      <c r="O3384" t="str">
        <f>IFERROR(__xludf.DUMMYFUNCTION("""COMPUTED_VALUE"""),"")</f>
        <v/>
      </c>
      <c r="P3384" t="str">
        <f>IFERROR(__xludf.DUMMYFUNCTION("""COMPUTED_VALUE"""),"ID ")</f>
        <v>ID </v>
      </c>
    </row>
    <row r="3385">
      <c r="A3385" s="6" t="str">
        <f>IFERROR(__xludf.DUMMYFUNCTION("""COMPUTED_VALUE"""),"")</f>
        <v/>
      </c>
      <c r="C3385" t="str">
        <f>IFERROR(__xludf.DUMMYFUNCTION("""COMPUTED_VALUE"""),"")</f>
        <v/>
      </c>
      <c r="D3385" t="str">
        <f>IFERROR(__xludf.DUMMYFUNCTION("""COMPUTED_VALUE"""),"")</f>
        <v/>
      </c>
      <c r="E3385" t="str">
        <f>IFERROR(__xludf.DUMMYFUNCTION("""COMPUTED_VALUE"""),"")</f>
        <v/>
      </c>
      <c r="F3385" t="str">
        <f>IFERROR(__xludf.DUMMYFUNCTION("""COMPUTED_VALUE"""),"")</f>
        <v/>
      </c>
      <c r="G3385" t="str">
        <f>IFERROR(__xludf.DUMMYFUNCTION("""COMPUTED_VALUE"""),"")</f>
        <v/>
      </c>
      <c r="H3385" s="2" t="str">
        <f>IFERROR(__xludf.DUMMYFUNCTION("""COMPUTED_VALUE"""),"")</f>
        <v/>
      </c>
      <c r="I3385" s="2" t="str">
        <f>IFERROR(__xludf.DUMMYFUNCTION("""COMPUTED_VALUE"""),"")</f>
        <v/>
      </c>
      <c r="J3385" s="2">
        <f>IFERROR(__xludf.DUMMYFUNCTION("""COMPUTED_VALUE"""),0.0)</f>
        <v>0</v>
      </c>
      <c r="K3385" s="5" t="str">
        <f>IFERROR(__xludf.DUMMYFUNCTION("""COMPUTED_VALUE"""),"")</f>
        <v/>
      </c>
      <c r="L3385" t="str">
        <f>IFERROR(__xludf.DUMMYFUNCTION("""COMPUTED_VALUE"""),"")</f>
        <v/>
      </c>
      <c r="M3385" t="str">
        <f>IFERROR(__xludf.DUMMYFUNCTION("""COMPUTED_VALUE"""),"")</f>
        <v/>
      </c>
      <c r="N3385" t="str">
        <f>IFERROR(__xludf.DUMMYFUNCTION("""COMPUTED_VALUE"""),"")</f>
        <v/>
      </c>
      <c r="O3385" t="str">
        <f>IFERROR(__xludf.DUMMYFUNCTION("""COMPUTED_VALUE"""),"")</f>
        <v/>
      </c>
      <c r="P3385" t="str">
        <f>IFERROR(__xludf.DUMMYFUNCTION("""COMPUTED_VALUE"""),"ID ")</f>
        <v>ID </v>
      </c>
    </row>
    <row r="3386">
      <c r="A3386" s="6" t="str">
        <f>IFERROR(__xludf.DUMMYFUNCTION("""COMPUTED_VALUE"""),"")</f>
        <v/>
      </c>
      <c r="C3386" t="str">
        <f>IFERROR(__xludf.DUMMYFUNCTION("""COMPUTED_VALUE"""),"")</f>
        <v/>
      </c>
      <c r="D3386" t="str">
        <f>IFERROR(__xludf.DUMMYFUNCTION("""COMPUTED_VALUE"""),"")</f>
        <v/>
      </c>
      <c r="E3386" t="str">
        <f>IFERROR(__xludf.DUMMYFUNCTION("""COMPUTED_VALUE"""),"")</f>
        <v/>
      </c>
      <c r="F3386" t="str">
        <f>IFERROR(__xludf.DUMMYFUNCTION("""COMPUTED_VALUE"""),"")</f>
        <v/>
      </c>
      <c r="G3386" t="str">
        <f>IFERROR(__xludf.DUMMYFUNCTION("""COMPUTED_VALUE"""),"")</f>
        <v/>
      </c>
      <c r="H3386" s="2" t="str">
        <f>IFERROR(__xludf.DUMMYFUNCTION("""COMPUTED_VALUE"""),"")</f>
        <v/>
      </c>
      <c r="I3386" s="2" t="str">
        <f>IFERROR(__xludf.DUMMYFUNCTION("""COMPUTED_VALUE"""),"")</f>
        <v/>
      </c>
      <c r="J3386" s="2">
        <f>IFERROR(__xludf.DUMMYFUNCTION("""COMPUTED_VALUE"""),0.0)</f>
        <v>0</v>
      </c>
      <c r="K3386" s="5" t="str">
        <f>IFERROR(__xludf.DUMMYFUNCTION("""COMPUTED_VALUE"""),"")</f>
        <v/>
      </c>
      <c r="L3386" t="str">
        <f>IFERROR(__xludf.DUMMYFUNCTION("""COMPUTED_VALUE"""),"")</f>
        <v/>
      </c>
      <c r="M3386" t="str">
        <f>IFERROR(__xludf.DUMMYFUNCTION("""COMPUTED_VALUE"""),"")</f>
        <v/>
      </c>
      <c r="N3386" t="str">
        <f>IFERROR(__xludf.DUMMYFUNCTION("""COMPUTED_VALUE"""),"")</f>
        <v/>
      </c>
      <c r="O3386" t="str">
        <f>IFERROR(__xludf.DUMMYFUNCTION("""COMPUTED_VALUE"""),"")</f>
        <v/>
      </c>
      <c r="P3386" t="str">
        <f>IFERROR(__xludf.DUMMYFUNCTION("""COMPUTED_VALUE"""),"ID ")</f>
        <v>ID </v>
      </c>
    </row>
    <row r="3387">
      <c r="A3387" s="6" t="str">
        <f>IFERROR(__xludf.DUMMYFUNCTION("""COMPUTED_VALUE"""),"")</f>
        <v/>
      </c>
      <c r="C3387" t="str">
        <f>IFERROR(__xludf.DUMMYFUNCTION("""COMPUTED_VALUE"""),"")</f>
        <v/>
      </c>
      <c r="D3387" t="str">
        <f>IFERROR(__xludf.DUMMYFUNCTION("""COMPUTED_VALUE"""),"")</f>
        <v/>
      </c>
      <c r="E3387" t="str">
        <f>IFERROR(__xludf.DUMMYFUNCTION("""COMPUTED_VALUE"""),"")</f>
        <v/>
      </c>
      <c r="F3387" t="str">
        <f>IFERROR(__xludf.DUMMYFUNCTION("""COMPUTED_VALUE"""),"")</f>
        <v/>
      </c>
      <c r="G3387" t="str">
        <f>IFERROR(__xludf.DUMMYFUNCTION("""COMPUTED_VALUE"""),"")</f>
        <v/>
      </c>
      <c r="H3387" s="2" t="str">
        <f>IFERROR(__xludf.DUMMYFUNCTION("""COMPUTED_VALUE"""),"")</f>
        <v/>
      </c>
      <c r="I3387" s="2" t="str">
        <f>IFERROR(__xludf.DUMMYFUNCTION("""COMPUTED_VALUE"""),"")</f>
        <v/>
      </c>
      <c r="J3387" s="2">
        <f>IFERROR(__xludf.DUMMYFUNCTION("""COMPUTED_VALUE"""),0.0)</f>
        <v>0</v>
      </c>
      <c r="K3387" s="5" t="str">
        <f>IFERROR(__xludf.DUMMYFUNCTION("""COMPUTED_VALUE"""),"")</f>
        <v/>
      </c>
      <c r="L3387" t="str">
        <f>IFERROR(__xludf.DUMMYFUNCTION("""COMPUTED_VALUE"""),"")</f>
        <v/>
      </c>
      <c r="M3387" t="str">
        <f>IFERROR(__xludf.DUMMYFUNCTION("""COMPUTED_VALUE"""),"")</f>
        <v/>
      </c>
      <c r="N3387" t="str">
        <f>IFERROR(__xludf.DUMMYFUNCTION("""COMPUTED_VALUE"""),"")</f>
        <v/>
      </c>
      <c r="O3387" t="str">
        <f>IFERROR(__xludf.DUMMYFUNCTION("""COMPUTED_VALUE"""),"")</f>
        <v/>
      </c>
      <c r="P3387" t="str">
        <f>IFERROR(__xludf.DUMMYFUNCTION("""COMPUTED_VALUE"""),"ID ")</f>
        <v>ID </v>
      </c>
    </row>
    <row r="3388">
      <c r="A3388" s="6" t="str">
        <f>IFERROR(__xludf.DUMMYFUNCTION("""COMPUTED_VALUE"""),"")</f>
        <v/>
      </c>
      <c r="C3388" t="str">
        <f>IFERROR(__xludf.DUMMYFUNCTION("""COMPUTED_VALUE"""),"")</f>
        <v/>
      </c>
      <c r="D3388" t="str">
        <f>IFERROR(__xludf.DUMMYFUNCTION("""COMPUTED_VALUE"""),"")</f>
        <v/>
      </c>
      <c r="E3388" t="str">
        <f>IFERROR(__xludf.DUMMYFUNCTION("""COMPUTED_VALUE"""),"")</f>
        <v/>
      </c>
      <c r="F3388" t="str">
        <f>IFERROR(__xludf.DUMMYFUNCTION("""COMPUTED_VALUE"""),"")</f>
        <v/>
      </c>
      <c r="G3388" t="str">
        <f>IFERROR(__xludf.DUMMYFUNCTION("""COMPUTED_VALUE"""),"")</f>
        <v/>
      </c>
      <c r="H3388" s="2" t="str">
        <f>IFERROR(__xludf.DUMMYFUNCTION("""COMPUTED_VALUE"""),"")</f>
        <v/>
      </c>
      <c r="I3388" s="2" t="str">
        <f>IFERROR(__xludf.DUMMYFUNCTION("""COMPUTED_VALUE"""),"")</f>
        <v/>
      </c>
      <c r="J3388" s="2">
        <f>IFERROR(__xludf.DUMMYFUNCTION("""COMPUTED_VALUE"""),0.0)</f>
        <v>0</v>
      </c>
      <c r="K3388" s="5" t="str">
        <f>IFERROR(__xludf.DUMMYFUNCTION("""COMPUTED_VALUE"""),"")</f>
        <v/>
      </c>
      <c r="L3388" t="str">
        <f>IFERROR(__xludf.DUMMYFUNCTION("""COMPUTED_VALUE"""),"")</f>
        <v/>
      </c>
      <c r="M3388" t="str">
        <f>IFERROR(__xludf.DUMMYFUNCTION("""COMPUTED_VALUE"""),"")</f>
        <v/>
      </c>
      <c r="N3388" t="str">
        <f>IFERROR(__xludf.DUMMYFUNCTION("""COMPUTED_VALUE"""),"")</f>
        <v/>
      </c>
      <c r="O3388" t="str">
        <f>IFERROR(__xludf.DUMMYFUNCTION("""COMPUTED_VALUE"""),"")</f>
        <v/>
      </c>
      <c r="P3388" t="str">
        <f>IFERROR(__xludf.DUMMYFUNCTION("""COMPUTED_VALUE"""),"ID ")</f>
        <v>ID </v>
      </c>
    </row>
    <row r="3389">
      <c r="A3389" s="6" t="str">
        <f>IFERROR(__xludf.DUMMYFUNCTION("""COMPUTED_VALUE"""),"")</f>
        <v/>
      </c>
      <c r="C3389" t="str">
        <f>IFERROR(__xludf.DUMMYFUNCTION("""COMPUTED_VALUE"""),"")</f>
        <v/>
      </c>
      <c r="D3389" t="str">
        <f>IFERROR(__xludf.DUMMYFUNCTION("""COMPUTED_VALUE"""),"")</f>
        <v/>
      </c>
      <c r="E3389" t="str">
        <f>IFERROR(__xludf.DUMMYFUNCTION("""COMPUTED_VALUE"""),"")</f>
        <v/>
      </c>
      <c r="F3389" t="str">
        <f>IFERROR(__xludf.DUMMYFUNCTION("""COMPUTED_VALUE"""),"")</f>
        <v/>
      </c>
      <c r="G3389" t="str">
        <f>IFERROR(__xludf.DUMMYFUNCTION("""COMPUTED_VALUE"""),"")</f>
        <v/>
      </c>
      <c r="H3389" s="2" t="str">
        <f>IFERROR(__xludf.DUMMYFUNCTION("""COMPUTED_VALUE"""),"")</f>
        <v/>
      </c>
      <c r="I3389" s="2" t="str">
        <f>IFERROR(__xludf.DUMMYFUNCTION("""COMPUTED_VALUE"""),"")</f>
        <v/>
      </c>
      <c r="J3389" s="2">
        <f>IFERROR(__xludf.DUMMYFUNCTION("""COMPUTED_VALUE"""),0.0)</f>
        <v>0</v>
      </c>
      <c r="K3389" s="5" t="str">
        <f>IFERROR(__xludf.DUMMYFUNCTION("""COMPUTED_VALUE"""),"")</f>
        <v/>
      </c>
      <c r="L3389" t="str">
        <f>IFERROR(__xludf.DUMMYFUNCTION("""COMPUTED_VALUE"""),"")</f>
        <v/>
      </c>
      <c r="M3389" t="str">
        <f>IFERROR(__xludf.DUMMYFUNCTION("""COMPUTED_VALUE"""),"")</f>
        <v/>
      </c>
      <c r="N3389" t="str">
        <f>IFERROR(__xludf.DUMMYFUNCTION("""COMPUTED_VALUE"""),"")</f>
        <v/>
      </c>
      <c r="O3389" t="str">
        <f>IFERROR(__xludf.DUMMYFUNCTION("""COMPUTED_VALUE"""),"")</f>
        <v/>
      </c>
      <c r="P3389" t="str">
        <f>IFERROR(__xludf.DUMMYFUNCTION("""COMPUTED_VALUE"""),"ID ")</f>
        <v>ID </v>
      </c>
    </row>
    <row r="3390">
      <c r="A3390" s="6" t="str">
        <f>IFERROR(__xludf.DUMMYFUNCTION("""COMPUTED_VALUE"""),"")</f>
        <v/>
      </c>
      <c r="C3390" t="str">
        <f>IFERROR(__xludf.DUMMYFUNCTION("""COMPUTED_VALUE"""),"")</f>
        <v/>
      </c>
      <c r="D3390" t="str">
        <f>IFERROR(__xludf.DUMMYFUNCTION("""COMPUTED_VALUE"""),"")</f>
        <v/>
      </c>
      <c r="E3390" t="str">
        <f>IFERROR(__xludf.DUMMYFUNCTION("""COMPUTED_VALUE"""),"")</f>
        <v/>
      </c>
      <c r="F3390" t="str">
        <f>IFERROR(__xludf.DUMMYFUNCTION("""COMPUTED_VALUE"""),"")</f>
        <v/>
      </c>
      <c r="G3390" t="str">
        <f>IFERROR(__xludf.DUMMYFUNCTION("""COMPUTED_VALUE"""),"")</f>
        <v/>
      </c>
      <c r="H3390" s="2" t="str">
        <f>IFERROR(__xludf.DUMMYFUNCTION("""COMPUTED_VALUE"""),"")</f>
        <v/>
      </c>
      <c r="I3390" s="2" t="str">
        <f>IFERROR(__xludf.DUMMYFUNCTION("""COMPUTED_VALUE"""),"")</f>
        <v/>
      </c>
      <c r="J3390" s="2">
        <f>IFERROR(__xludf.DUMMYFUNCTION("""COMPUTED_VALUE"""),0.0)</f>
        <v>0</v>
      </c>
      <c r="K3390" s="5" t="str">
        <f>IFERROR(__xludf.DUMMYFUNCTION("""COMPUTED_VALUE"""),"")</f>
        <v/>
      </c>
      <c r="L3390" t="str">
        <f>IFERROR(__xludf.DUMMYFUNCTION("""COMPUTED_VALUE"""),"")</f>
        <v/>
      </c>
      <c r="M3390" t="str">
        <f>IFERROR(__xludf.DUMMYFUNCTION("""COMPUTED_VALUE"""),"")</f>
        <v/>
      </c>
      <c r="N3390" t="str">
        <f>IFERROR(__xludf.DUMMYFUNCTION("""COMPUTED_VALUE"""),"")</f>
        <v/>
      </c>
      <c r="O3390" t="str">
        <f>IFERROR(__xludf.DUMMYFUNCTION("""COMPUTED_VALUE"""),"")</f>
        <v/>
      </c>
      <c r="P3390" t="str">
        <f>IFERROR(__xludf.DUMMYFUNCTION("""COMPUTED_VALUE"""),"ID ")</f>
        <v>ID </v>
      </c>
    </row>
    <row r="3391">
      <c r="A3391" s="6" t="str">
        <f>IFERROR(__xludf.DUMMYFUNCTION("""COMPUTED_VALUE"""),"")</f>
        <v/>
      </c>
      <c r="C3391" t="str">
        <f>IFERROR(__xludf.DUMMYFUNCTION("""COMPUTED_VALUE"""),"")</f>
        <v/>
      </c>
      <c r="D3391" t="str">
        <f>IFERROR(__xludf.DUMMYFUNCTION("""COMPUTED_VALUE"""),"")</f>
        <v/>
      </c>
      <c r="E3391" t="str">
        <f>IFERROR(__xludf.DUMMYFUNCTION("""COMPUTED_VALUE"""),"")</f>
        <v/>
      </c>
      <c r="F3391" t="str">
        <f>IFERROR(__xludf.DUMMYFUNCTION("""COMPUTED_VALUE"""),"")</f>
        <v/>
      </c>
      <c r="G3391" t="str">
        <f>IFERROR(__xludf.DUMMYFUNCTION("""COMPUTED_VALUE"""),"")</f>
        <v/>
      </c>
      <c r="H3391" s="2" t="str">
        <f>IFERROR(__xludf.DUMMYFUNCTION("""COMPUTED_VALUE"""),"")</f>
        <v/>
      </c>
      <c r="I3391" s="2" t="str">
        <f>IFERROR(__xludf.DUMMYFUNCTION("""COMPUTED_VALUE"""),"")</f>
        <v/>
      </c>
      <c r="J3391" s="2">
        <f>IFERROR(__xludf.DUMMYFUNCTION("""COMPUTED_VALUE"""),0.0)</f>
        <v>0</v>
      </c>
      <c r="K3391" s="5" t="str">
        <f>IFERROR(__xludf.DUMMYFUNCTION("""COMPUTED_VALUE"""),"")</f>
        <v/>
      </c>
      <c r="L3391" t="str">
        <f>IFERROR(__xludf.DUMMYFUNCTION("""COMPUTED_VALUE"""),"")</f>
        <v/>
      </c>
      <c r="M3391" t="str">
        <f>IFERROR(__xludf.DUMMYFUNCTION("""COMPUTED_VALUE"""),"")</f>
        <v/>
      </c>
      <c r="N3391" t="str">
        <f>IFERROR(__xludf.DUMMYFUNCTION("""COMPUTED_VALUE"""),"")</f>
        <v/>
      </c>
      <c r="O3391" t="str">
        <f>IFERROR(__xludf.DUMMYFUNCTION("""COMPUTED_VALUE"""),"")</f>
        <v/>
      </c>
      <c r="P3391" t="str">
        <f>IFERROR(__xludf.DUMMYFUNCTION("""COMPUTED_VALUE"""),"ID ")</f>
        <v>ID </v>
      </c>
    </row>
    <row r="3392">
      <c r="A3392" s="6" t="str">
        <f>IFERROR(__xludf.DUMMYFUNCTION("""COMPUTED_VALUE"""),"")</f>
        <v/>
      </c>
      <c r="C3392" t="str">
        <f>IFERROR(__xludf.DUMMYFUNCTION("""COMPUTED_VALUE"""),"")</f>
        <v/>
      </c>
      <c r="D3392" t="str">
        <f>IFERROR(__xludf.DUMMYFUNCTION("""COMPUTED_VALUE"""),"")</f>
        <v/>
      </c>
      <c r="E3392" t="str">
        <f>IFERROR(__xludf.DUMMYFUNCTION("""COMPUTED_VALUE"""),"")</f>
        <v/>
      </c>
      <c r="F3392" t="str">
        <f>IFERROR(__xludf.DUMMYFUNCTION("""COMPUTED_VALUE"""),"")</f>
        <v/>
      </c>
      <c r="G3392" t="str">
        <f>IFERROR(__xludf.DUMMYFUNCTION("""COMPUTED_VALUE"""),"")</f>
        <v/>
      </c>
      <c r="H3392" s="2" t="str">
        <f>IFERROR(__xludf.DUMMYFUNCTION("""COMPUTED_VALUE"""),"")</f>
        <v/>
      </c>
      <c r="I3392" s="2" t="str">
        <f>IFERROR(__xludf.DUMMYFUNCTION("""COMPUTED_VALUE"""),"")</f>
        <v/>
      </c>
      <c r="J3392" s="2">
        <f>IFERROR(__xludf.DUMMYFUNCTION("""COMPUTED_VALUE"""),0.0)</f>
        <v>0</v>
      </c>
      <c r="K3392" s="5" t="str">
        <f>IFERROR(__xludf.DUMMYFUNCTION("""COMPUTED_VALUE"""),"")</f>
        <v/>
      </c>
      <c r="L3392" t="str">
        <f>IFERROR(__xludf.DUMMYFUNCTION("""COMPUTED_VALUE"""),"")</f>
        <v/>
      </c>
      <c r="M3392" t="str">
        <f>IFERROR(__xludf.DUMMYFUNCTION("""COMPUTED_VALUE"""),"")</f>
        <v/>
      </c>
      <c r="N3392" t="str">
        <f>IFERROR(__xludf.DUMMYFUNCTION("""COMPUTED_VALUE"""),"")</f>
        <v/>
      </c>
      <c r="O3392" t="str">
        <f>IFERROR(__xludf.DUMMYFUNCTION("""COMPUTED_VALUE"""),"")</f>
        <v/>
      </c>
      <c r="P3392" t="str">
        <f>IFERROR(__xludf.DUMMYFUNCTION("""COMPUTED_VALUE"""),"ID ")</f>
        <v>ID </v>
      </c>
    </row>
    <row r="3393">
      <c r="A3393" s="6" t="str">
        <f>IFERROR(__xludf.DUMMYFUNCTION("""COMPUTED_VALUE"""),"")</f>
        <v/>
      </c>
      <c r="C3393" t="str">
        <f>IFERROR(__xludf.DUMMYFUNCTION("""COMPUTED_VALUE"""),"")</f>
        <v/>
      </c>
      <c r="D3393" t="str">
        <f>IFERROR(__xludf.DUMMYFUNCTION("""COMPUTED_VALUE"""),"")</f>
        <v/>
      </c>
      <c r="E3393" t="str">
        <f>IFERROR(__xludf.DUMMYFUNCTION("""COMPUTED_VALUE"""),"")</f>
        <v/>
      </c>
      <c r="F3393" t="str">
        <f>IFERROR(__xludf.DUMMYFUNCTION("""COMPUTED_VALUE"""),"")</f>
        <v/>
      </c>
      <c r="G3393" t="str">
        <f>IFERROR(__xludf.DUMMYFUNCTION("""COMPUTED_VALUE"""),"")</f>
        <v/>
      </c>
      <c r="H3393" s="2" t="str">
        <f>IFERROR(__xludf.DUMMYFUNCTION("""COMPUTED_VALUE"""),"")</f>
        <v/>
      </c>
      <c r="I3393" s="2" t="str">
        <f>IFERROR(__xludf.DUMMYFUNCTION("""COMPUTED_VALUE"""),"")</f>
        <v/>
      </c>
      <c r="J3393" s="2">
        <f>IFERROR(__xludf.DUMMYFUNCTION("""COMPUTED_VALUE"""),0.0)</f>
        <v>0</v>
      </c>
      <c r="K3393" s="5" t="str">
        <f>IFERROR(__xludf.DUMMYFUNCTION("""COMPUTED_VALUE"""),"")</f>
        <v/>
      </c>
      <c r="L3393" t="str">
        <f>IFERROR(__xludf.DUMMYFUNCTION("""COMPUTED_VALUE"""),"")</f>
        <v/>
      </c>
      <c r="M3393" t="str">
        <f>IFERROR(__xludf.DUMMYFUNCTION("""COMPUTED_VALUE"""),"")</f>
        <v/>
      </c>
      <c r="N3393" t="str">
        <f>IFERROR(__xludf.DUMMYFUNCTION("""COMPUTED_VALUE"""),"")</f>
        <v/>
      </c>
      <c r="O3393" t="str">
        <f>IFERROR(__xludf.DUMMYFUNCTION("""COMPUTED_VALUE"""),"")</f>
        <v/>
      </c>
      <c r="P3393" t="str">
        <f>IFERROR(__xludf.DUMMYFUNCTION("""COMPUTED_VALUE"""),"ID ")</f>
        <v>ID </v>
      </c>
    </row>
    <row r="3394">
      <c r="A3394" s="6" t="str">
        <f>IFERROR(__xludf.DUMMYFUNCTION("""COMPUTED_VALUE"""),"")</f>
        <v/>
      </c>
      <c r="C3394" t="str">
        <f>IFERROR(__xludf.DUMMYFUNCTION("""COMPUTED_VALUE"""),"")</f>
        <v/>
      </c>
      <c r="D3394" t="str">
        <f>IFERROR(__xludf.DUMMYFUNCTION("""COMPUTED_VALUE"""),"")</f>
        <v/>
      </c>
      <c r="E3394" t="str">
        <f>IFERROR(__xludf.DUMMYFUNCTION("""COMPUTED_VALUE"""),"")</f>
        <v/>
      </c>
      <c r="F3394" t="str">
        <f>IFERROR(__xludf.DUMMYFUNCTION("""COMPUTED_VALUE"""),"")</f>
        <v/>
      </c>
      <c r="G3394" t="str">
        <f>IFERROR(__xludf.DUMMYFUNCTION("""COMPUTED_VALUE"""),"")</f>
        <v/>
      </c>
      <c r="H3394" s="2" t="str">
        <f>IFERROR(__xludf.DUMMYFUNCTION("""COMPUTED_VALUE"""),"")</f>
        <v/>
      </c>
      <c r="I3394" s="2" t="str">
        <f>IFERROR(__xludf.DUMMYFUNCTION("""COMPUTED_VALUE"""),"")</f>
        <v/>
      </c>
      <c r="J3394" s="2">
        <f>IFERROR(__xludf.DUMMYFUNCTION("""COMPUTED_VALUE"""),0.0)</f>
        <v>0</v>
      </c>
      <c r="K3394" s="5" t="str">
        <f>IFERROR(__xludf.DUMMYFUNCTION("""COMPUTED_VALUE"""),"")</f>
        <v/>
      </c>
      <c r="L3394" t="str">
        <f>IFERROR(__xludf.DUMMYFUNCTION("""COMPUTED_VALUE"""),"")</f>
        <v/>
      </c>
      <c r="M3394" t="str">
        <f>IFERROR(__xludf.DUMMYFUNCTION("""COMPUTED_VALUE"""),"")</f>
        <v/>
      </c>
      <c r="N3394" t="str">
        <f>IFERROR(__xludf.DUMMYFUNCTION("""COMPUTED_VALUE"""),"")</f>
        <v/>
      </c>
      <c r="O3394" t="str">
        <f>IFERROR(__xludf.DUMMYFUNCTION("""COMPUTED_VALUE"""),"")</f>
        <v/>
      </c>
      <c r="P3394" t="str">
        <f>IFERROR(__xludf.DUMMYFUNCTION("""COMPUTED_VALUE"""),"ID ")</f>
        <v>ID </v>
      </c>
    </row>
    <row r="3395">
      <c r="A3395" s="6" t="str">
        <f>IFERROR(__xludf.DUMMYFUNCTION("""COMPUTED_VALUE"""),"")</f>
        <v/>
      </c>
      <c r="C3395" t="str">
        <f>IFERROR(__xludf.DUMMYFUNCTION("""COMPUTED_VALUE"""),"")</f>
        <v/>
      </c>
      <c r="D3395" t="str">
        <f>IFERROR(__xludf.DUMMYFUNCTION("""COMPUTED_VALUE"""),"")</f>
        <v/>
      </c>
      <c r="E3395" t="str">
        <f>IFERROR(__xludf.DUMMYFUNCTION("""COMPUTED_VALUE"""),"")</f>
        <v/>
      </c>
      <c r="F3395" t="str">
        <f>IFERROR(__xludf.DUMMYFUNCTION("""COMPUTED_VALUE"""),"")</f>
        <v/>
      </c>
      <c r="G3395" t="str">
        <f>IFERROR(__xludf.DUMMYFUNCTION("""COMPUTED_VALUE"""),"")</f>
        <v/>
      </c>
      <c r="H3395" s="2" t="str">
        <f>IFERROR(__xludf.DUMMYFUNCTION("""COMPUTED_VALUE"""),"")</f>
        <v/>
      </c>
      <c r="I3395" s="2" t="str">
        <f>IFERROR(__xludf.DUMMYFUNCTION("""COMPUTED_VALUE"""),"")</f>
        <v/>
      </c>
      <c r="J3395" s="2">
        <f>IFERROR(__xludf.DUMMYFUNCTION("""COMPUTED_VALUE"""),0.0)</f>
        <v>0</v>
      </c>
      <c r="K3395" s="5" t="str">
        <f>IFERROR(__xludf.DUMMYFUNCTION("""COMPUTED_VALUE"""),"")</f>
        <v/>
      </c>
      <c r="L3395" t="str">
        <f>IFERROR(__xludf.DUMMYFUNCTION("""COMPUTED_VALUE"""),"")</f>
        <v/>
      </c>
      <c r="M3395" t="str">
        <f>IFERROR(__xludf.DUMMYFUNCTION("""COMPUTED_VALUE"""),"")</f>
        <v/>
      </c>
      <c r="N3395" t="str">
        <f>IFERROR(__xludf.DUMMYFUNCTION("""COMPUTED_VALUE"""),"")</f>
        <v/>
      </c>
      <c r="O3395" t="str">
        <f>IFERROR(__xludf.DUMMYFUNCTION("""COMPUTED_VALUE"""),"")</f>
        <v/>
      </c>
      <c r="P3395" t="str">
        <f>IFERROR(__xludf.DUMMYFUNCTION("""COMPUTED_VALUE"""),"ID ")</f>
        <v>ID </v>
      </c>
    </row>
    <row r="3396">
      <c r="A3396" s="6" t="str">
        <f>IFERROR(__xludf.DUMMYFUNCTION("""COMPUTED_VALUE"""),"")</f>
        <v/>
      </c>
      <c r="C3396" t="str">
        <f>IFERROR(__xludf.DUMMYFUNCTION("""COMPUTED_VALUE"""),"")</f>
        <v/>
      </c>
      <c r="D3396" t="str">
        <f>IFERROR(__xludf.DUMMYFUNCTION("""COMPUTED_VALUE"""),"")</f>
        <v/>
      </c>
      <c r="E3396" t="str">
        <f>IFERROR(__xludf.DUMMYFUNCTION("""COMPUTED_VALUE"""),"")</f>
        <v/>
      </c>
      <c r="F3396" t="str">
        <f>IFERROR(__xludf.DUMMYFUNCTION("""COMPUTED_VALUE"""),"")</f>
        <v/>
      </c>
      <c r="G3396" t="str">
        <f>IFERROR(__xludf.DUMMYFUNCTION("""COMPUTED_VALUE"""),"")</f>
        <v/>
      </c>
      <c r="H3396" s="2" t="str">
        <f>IFERROR(__xludf.DUMMYFUNCTION("""COMPUTED_VALUE"""),"")</f>
        <v/>
      </c>
      <c r="I3396" s="2" t="str">
        <f>IFERROR(__xludf.DUMMYFUNCTION("""COMPUTED_VALUE"""),"")</f>
        <v/>
      </c>
      <c r="J3396" s="2">
        <f>IFERROR(__xludf.DUMMYFUNCTION("""COMPUTED_VALUE"""),0.0)</f>
        <v>0</v>
      </c>
      <c r="K3396" s="5" t="str">
        <f>IFERROR(__xludf.DUMMYFUNCTION("""COMPUTED_VALUE"""),"")</f>
        <v/>
      </c>
      <c r="L3396" t="str">
        <f>IFERROR(__xludf.DUMMYFUNCTION("""COMPUTED_VALUE"""),"")</f>
        <v/>
      </c>
      <c r="M3396" t="str">
        <f>IFERROR(__xludf.DUMMYFUNCTION("""COMPUTED_VALUE"""),"")</f>
        <v/>
      </c>
      <c r="N3396" t="str">
        <f>IFERROR(__xludf.DUMMYFUNCTION("""COMPUTED_VALUE"""),"")</f>
        <v/>
      </c>
      <c r="O3396" t="str">
        <f>IFERROR(__xludf.DUMMYFUNCTION("""COMPUTED_VALUE"""),"")</f>
        <v/>
      </c>
      <c r="P3396" t="str">
        <f>IFERROR(__xludf.DUMMYFUNCTION("""COMPUTED_VALUE"""),"ID ")</f>
        <v>ID </v>
      </c>
    </row>
    <row r="3397">
      <c r="A3397" s="6" t="str">
        <f>IFERROR(__xludf.DUMMYFUNCTION("""COMPUTED_VALUE"""),"")</f>
        <v/>
      </c>
      <c r="C3397" t="str">
        <f>IFERROR(__xludf.DUMMYFUNCTION("""COMPUTED_VALUE"""),"")</f>
        <v/>
      </c>
      <c r="D3397" t="str">
        <f>IFERROR(__xludf.DUMMYFUNCTION("""COMPUTED_VALUE"""),"")</f>
        <v/>
      </c>
      <c r="E3397" t="str">
        <f>IFERROR(__xludf.DUMMYFUNCTION("""COMPUTED_VALUE"""),"")</f>
        <v/>
      </c>
      <c r="F3397" t="str">
        <f>IFERROR(__xludf.DUMMYFUNCTION("""COMPUTED_VALUE"""),"")</f>
        <v/>
      </c>
      <c r="G3397" t="str">
        <f>IFERROR(__xludf.DUMMYFUNCTION("""COMPUTED_VALUE"""),"")</f>
        <v/>
      </c>
      <c r="H3397" s="2" t="str">
        <f>IFERROR(__xludf.DUMMYFUNCTION("""COMPUTED_VALUE"""),"")</f>
        <v/>
      </c>
      <c r="I3397" s="2" t="str">
        <f>IFERROR(__xludf.DUMMYFUNCTION("""COMPUTED_VALUE"""),"")</f>
        <v/>
      </c>
      <c r="J3397" s="2">
        <f>IFERROR(__xludf.DUMMYFUNCTION("""COMPUTED_VALUE"""),0.0)</f>
        <v>0</v>
      </c>
      <c r="K3397" s="5" t="str">
        <f>IFERROR(__xludf.DUMMYFUNCTION("""COMPUTED_VALUE"""),"")</f>
        <v/>
      </c>
      <c r="L3397" t="str">
        <f>IFERROR(__xludf.DUMMYFUNCTION("""COMPUTED_VALUE"""),"")</f>
        <v/>
      </c>
      <c r="M3397" t="str">
        <f>IFERROR(__xludf.DUMMYFUNCTION("""COMPUTED_VALUE"""),"")</f>
        <v/>
      </c>
      <c r="N3397" t="str">
        <f>IFERROR(__xludf.DUMMYFUNCTION("""COMPUTED_VALUE"""),"")</f>
        <v/>
      </c>
      <c r="O3397" t="str">
        <f>IFERROR(__xludf.DUMMYFUNCTION("""COMPUTED_VALUE"""),"")</f>
        <v/>
      </c>
      <c r="P3397" t="str">
        <f>IFERROR(__xludf.DUMMYFUNCTION("""COMPUTED_VALUE"""),"ID ")</f>
        <v>ID </v>
      </c>
    </row>
    <row r="3398">
      <c r="A3398" s="6" t="str">
        <f>IFERROR(__xludf.DUMMYFUNCTION("""COMPUTED_VALUE"""),"")</f>
        <v/>
      </c>
      <c r="C3398" t="str">
        <f>IFERROR(__xludf.DUMMYFUNCTION("""COMPUTED_VALUE"""),"")</f>
        <v/>
      </c>
      <c r="D3398" t="str">
        <f>IFERROR(__xludf.DUMMYFUNCTION("""COMPUTED_VALUE"""),"")</f>
        <v/>
      </c>
      <c r="E3398" t="str">
        <f>IFERROR(__xludf.DUMMYFUNCTION("""COMPUTED_VALUE"""),"")</f>
        <v/>
      </c>
      <c r="F3398" t="str">
        <f>IFERROR(__xludf.DUMMYFUNCTION("""COMPUTED_VALUE"""),"")</f>
        <v/>
      </c>
      <c r="G3398" t="str">
        <f>IFERROR(__xludf.DUMMYFUNCTION("""COMPUTED_VALUE"""),"")</f>
        <v/>
      </c>
      <c r="H3398" s="2" t="str">
        <f>IFERROR(__xludf.DUMMYFUNCTION("""COMPUTED_VALUE"""),"")</f>
        <v/>
      </c>
      <c r="I3398" s="2" t="str">
        <f>IFERROR(__xludf.DUMMYFUNCTION("""COMPUTED_VALUE"""),"")</f>
        <v/>
      </c>
      <c r="J3398" s="2">
        <f>IFERROR(__xludf.DUMMYFUNCTION("""COMPUTED_VALUE"""),0.0)</f>
        <v>0</v>
      </c>
      <c r="K3398" s="5" t="str">
        <f>IFERROR(__xludf.DUMMYFUNCTION("""COMPUTED_VALUE"""),"")</f>
        <v/>
      </c>
      <c r="L3398" t="str">
        <f>IFERROR(__xludf.DUMMYFUNCTION("""COMPUTED_VALUE"""),"")</f>
        <v/>
      </c>
      <c r="M3398" t="str">
        <f>IFERROR(__xludf.DUMMYFUNCTION("""COMPUTED_VALUE"""),"")</f>
        <v/>
      </c>
      <c r="N3398" t="str">
        <f>IFERROR(__xludf.DUMMYFUNCTION("""COMPUTED_VALUE"""),"")</f>
        <v/>
      </c>
      <c r="O3398" t="str">
        <f>IFERROR(__xludf.DUMMYFUNCTION("""COMPUTED_VALUE"""),"")</f>
        <v/>
      </c>
      <c r="P3398" t="str">
        <f>IFERROR(__xludf.DUMMYFUNCTION("""COMPUTED_VALUE"""),"ID ")</f>
        <v>ID </v>
      </c>
    </row>
    <row r="3399">
      <c r="A3399" s="6" t="str">
        <f>IFERROR(__xludf.DUMMYFUNCTION("""COMPUTED_VALUE"""),"")</f>
        <v/>
      </c>
      <c r="C3399" t="str">
        <f>IFERROR(__xludf.DUMMYFUNCTION("""COMPUTED_VALUE"""),"")</f>
        <v/>
      </c>
      <c r="D3399" t="str">
        <f>IFERROR(__xludf.DUMMYFUNCTION("""COMPUTED_VALUE"""),"")</f>
        <v/>
      </c>
      <c r="E3399" t="str">
        <f>IFERROR(__xludf.DUMMYFUNCTION("""COMPUTED_VALUE"""),"")</f>
        <v/>
      </c>
      <c r="F3399" t="str">
        <f>IFERROR(__xludf.DUMMYFUNCTION("""COMPUTED_VALUE"""),"")</f>
        <v/>
      </c>
      <c r="G3399" t="str">
        <f>IFERROR(__xludf.DUMMYFUNCTION("""COMPUTED_VALUE"""),"")</f>
        <v/>
      </c>
      <c r="H3399" s="2" t="str">
        <f>IFERROR(__xludf.DUMMYFUNCTION("""COMPUTED_VALUE"""),"")</f>
        <v/>
      </c>
      <c r="I3399" s="2" t="str">
        <f>IFERROR(__xludf.DUMMYFUNCTION("""COMPUTED_VALUE"""),"")</f>
        <v/>
      </c>
      <c r="J3399" s="2">
        <f>IFERROR(__xludf.DUMMYFUNCTION("""COMPUTED_VALUE"""),0.0)</f>
        <v>0</v>
      </c>
      <c r="K3399" s="5" t="str">
        <f>IFERROR(__xludf.DUMMYFUNCTION("""COMPUTED_VALUE"""),"")</f>
        <v/>
      </c>
      <c r="L3399" t="str">
        <f>IFERROR(__xludf.DUMMYFUNCTION("""COMPUTED_VALUE"""),"")</f>
        <v/>
      </c>
      <c r="M3399" t="str">
        <f>IFERROR(__xludf.DUMMYFUNCTION("""COMPUTED_VALUE"""),"")</f>
        <v/>
      </c>
      <c r="N3399" t="str">
        <f>IFERROR(__xludf.DUMMYFUNCTION("""COMPUTED_VALUE"""),"")</f>
        <v/>
      </c>
      <c r="O3399" t="str">
        <f>IFERROR(__xludf.DUMMYFUNCTION("""COMPUTED_VALUE"""),"")</f>
        <v/>
      </c>
      <c r="P3399" t="str">
        <f>IFERROR(__xludf.DUMMYFUNCTION("""COMPUTED_VALUE"""),"ID ")</f>
        <v>ID </v>
      </c>
    </row>
    <row r="3400">
      <c r="A3400" s="6" t="str">
        <f>IFERROR(__xludf.DUMMYFUNCTION("""COMPUTED_VALUE"""),"")</f>
        <v/>
      </c>
      <c r="C3400" t="str">
        <f>IFERROR(__xludf.DUMMYFUNCTION("""COMPUTED_VALUE"""),"")</f>
        <v/>
      </c>
      <c r="D3400" t="str">
        <f>IFERROR(__xludf.DUMMYFUNCTION("""COMPUTED_VALUE"""),"")</f>
        <v/>
      </c>
      <c r="E3400" t="str">
        <f>IFERROR(__xludf.DUMMYFUNCTION("""COMPUTED_VALUE"""),"")</f>
        <v/>
      </c>
      <c r="F3400" t="str">
        <f>IFERROR(__xludf.DUMMYFUNCTION("""COMPUTED_VALUE"""),"")</f>
        <v/>
      </c>
      <c r="G3400" t="str">
        <f>IFERROR(__xludf.DUMMYFUNCTION("""COMPUTED_VALUE"""),"")</f>
        <v/>
      </c>
      <c r="H3400" s="2" t="str">
        <f>IFERROR(__xludf.DUMMYFUNCTION("""COMPUTED_VALUE"""),"")</f>
        <v/>
      </c>
      <c r="I3400" s="2" t="str">
        <f>IFERROR(__xludf.DUMMYFUNCTION("""COMPUTED_VALUE"""),"")</f>
        <v/>
      </c>
      <c r="J3400" s="2">
        <f>IFERROR(__xludf.DUMMYFUNCTION("""COMPUTED_VALUE"""),0.0)</f>
        <v>0</v>
      </c>
      <c r="K3400" s="5" t="str">
        <f>IFERROR(__xludf.DUMMYFUNCTION("""COMPUTED_VALUE"""),"")</f>
        <v/>
      </c>
      <c r="L3400" t="str">
        <f>IFERROR(__xludf.DUMMYFUNCTION("""COMPUTED_VALUE"""),"")</f>
        <v/>
      </c>
      <c r="M3400" t="str">
        <f>IFERROR(__xludf.DUMMYFUNCTION("""COMPUTED_VALUE"""),"")</f>
        <v/>
      </c>
      <c r="N3400" t="str">
        <f>IFERROR(__xludf.DUMMYFUNCTION("""COMPUTED_VALUE"""),"")</f>
        <v/>
      </c>
      <c r="O3400" t="str">
        <f>IFERROR(__xludf.DUMMYFUNCTION("""COMPUTED_VALUE"""),"")</f>
        <v/>
      </c>
      <c r="P3400" t="str">
        <f>IFERROR(__xludf.DUMMYFUNCTION("""COMPUTED_VALUE"""),"ID ")</f>
        <v>ID </v>
      </c>
    </row>
    <row r="3401">
      <c r="A3401" s="6" t="str">
        <f>IFERROR(__xludf.DUMMYFUNCTION("""COMPUTED_VALUE"""),"")</f>
        <v/>
      </c>
      <c r="C3401" t="str">
        <f>IFERROR(__xludf.DUMMYFUNCTION("""COMPUTED_VALUE"""),"")</f>
        <v/>
      </c>
      <c r="D3401" t="str">
        <f>IFERROR(__xludf.DUMMYFUNCTION("""COMPUTED_VALUE"""),"")</f>
        <v/>
      </c>
      <c r="E3401" t="str">
        <f>IFERROR(__xludf.DUMMYFUNCTION("""COMPUTED_VALUE"""),"")</f>
        <v/>
      </c>
      <c r="F3401" t="str">
        <f>IFERROR(__xludf.DUMMYFUNCTION("""COMPUTED_VALUE"""),"")</f>
        <v/>
      </c>
      <c r="G3401" t="str">
        <f>IFERROR(__xludf.DUMMYFUNCTION("""COMPUTED_VALUE"""),"")</f>
        <v/>
      </c>
      <c r="H3401" s="2" t="str">
        <f>IFERROR(__xludf.DUMMYFUNCTION("""COMPUTED_VALUE"""),"")</f>
        <v/>
      </c>
      <c r="I3401" s="2" t="str">
        <f>IFERROR(__xludf.DUMMYFUNCTION("""COMPUTED_VALUE"""),"")</f>
        <v/>
      </c>
      <c r="J3401" s="2">
        <f>IFERROR(__xludf.DUMMYFUNCTION("""COMPUTED_VALUE"""),0.0)</f>
        <v>0</v>
      </c>
      <c r="K3401" s="5" t="str">
        <f>IFERROR(__xludf.DUMMYFUNCTION("""COMPUTED_VALUE"""),"")</f>
        <v/>
      </c>
      <c r="L3401" t="str">
        <f>IFERROR(__xludf.DUMMYFUNCTION("""COMPUTED_VALUE"""),"")</f>
        <v/>
      </c>
      <c r="M3401" t="str">
        <f>IFERROR(__xludf.DUMMYFUNCTION("""COMPUTED_VALUE"""),"")</f>
        <v/>
      </c>
      <c r="N3401" t="str">
        <f>IFERROR(__xludf.DUMMYFUNCTION("""COMPUTED_VALUE"""),"")</f>
        <v/>
      </c>
      <c r="O3401" t="str">
        <f>IFERROR(__xludf.DUMMYFUNCTION("""COMPUTED_VALUE"""),"")</f>
        <v/>
      </c>
      <c r="P3401" t="str">
        <f>IFERROR(__xludf.DUMMYFUNCTION("""COMPUTED_VALUE"""),"ID ")</f>
        <v>ID </v>
      </c>
    </row>
    <row r="3402">
      <c r="A3402" s="6" t="str">
        <f>IFERROR(__xludf.DUMMYFUNCTION("""COMPUTED_VALUE"""),"")</f>
        <v/>
      </c>
      <c r="C3402" t="str">
        <f>IFERROR(__xludf.DUMMYFUNCTION("""COMPUTED_VALUE"""),"")</f>
        <v/>
      </c>
      <c r="D3402" t="str">
        <f>IFERROR(__xludf.DUMMYFUNCTION("""COMPUTED_VALUE"""),"")</f>
        <v/>
      </c>
      <c r="E3402" t="str">
        <f>IFERROR(__xludf.DUMMYFUNCTION("""COMPUTED_VALUE"""),"")</f>
        <v/>
      </c>
      <c r="F3402" t="str">
        <f>IFERROR(__xludf.DUMMYFUNCTION("""COMPUTED_VALUE"""),"")</f>
        <v/>
      </c>
      <c r="G3402" t="str">
        <f>IFERROR(__xludf.DUMMYFUNCTION("""COMPUTED_VALUE"""),"")</f>
        <v/>
      </c>
      <c r="H3402" s="2" t="str">
        <f>IFERROR(__xludf.DUMMYFUNCTION("""COMPUTED_VALUE"""),"")</f>
        <v/>
      </c>
      <c r="I3402" s="2" t="str">
        <f>IFERROR(__xludf.DUMMYFUNCTION("""COMPUTED_VALUE"""),"")</f>
        <v/>
      </c>
      <c r="J3402" s="2">
        <f>IFERROR(__xludf.DUMMYFUNCTION("""COMPUTED_VALUE"""),0.0)</f>
        <v>0</v>
      </c>
      <c r="K3402" s="5" t="str">
        <f>IFERROR(__xludf.DUMMYFUNCTION("""COMPUTED_VALUE"""),"")</f>
        <v/>
      </c>
      <c r="L3402" t="str">
        <f>IFERROR(__xludf.DUMMYFUNCTION("""COMPUTED_VALUE"""),"")</f>
        <v/>
      </c>
      <c r="M3402" t="str">
        <f>IFERROR(__xludf.DUMMYFUNCTION("""COMPUTED_VALUE"""),"")</f>
        <v/>
      </c>
      <c r="N3402" t="str">
        <f>IFERROR(__xludf.DUMMYFUNCTION("""COMPUTED_VALUE"""),"")</f>
        <v/>
      </c>
      <c r="O3402" t="str">
        <f>IFERROR(__xludf.DUMMYFUNCTION("""COMPUTED_VALUE"""),"")</f>
        <v/>
      </c>
      <c r="P3402" t="str">
        <f>IFERROR(__xludf.DUMMYFUNCTION("""COMPUTED_VALUE"""),"ID ")</f>
        <v>ID </v>
      </c>
    </row>
    <row r="3403">
      <c r="A3403" s="6" t="str">
        <f>IFERROR(__xludf.DUMMYFUNCTION("""COMPUTED_VALUE"""),"")</f>
        <v/>
      </c>
      <c r="C3403" t="str">
        <f>IFERROR(__xludf.DUMMYFUNCTION("""COMPUTED_VALUE"""),"")</f>
        <v/>
      </c>
      <c r="D3403" t="str">
        <f>IFERROR(__xludf.DUMMYFUNCTION("""COMPUTED_VALUE"""),"")</f>
        <v/>
      </c>
      <c r="E3403" t="str">
        <f>IFERROR(__xludf.DUMMYFUNCTION("""COMPUTED_VALUE"""),"")</f>
        <v/>
      </c>
      <c r="F3403" t="str">
        <f>IFERROR(__xludf.DUMMYFUNCTION("""COMPUTED_VALUE"""),"")</f>
        <v/>
      </c>
      <c r="G3403" t="str">
        <f>IFERROR(__xludf.DUMMYFUNCTION("""COMPUTED_VALUE"""),"")</f>
        <v/>
      </c>
      <c r="H3403" s="2" t="str">
        <f>IFERROR(__xludf.DUMMYFUNCTION("""COMPUTED_VALUE"""),"")</f>
        <v/>
      </c>
      <c r="I3403" s="2" t="str">
        <f>IFERROR(__xludf.DUMMYFUNCTION("""COMPUTED_VALUE"""),"")</f>
        <v/>
      </c>
      <c r="J3403" s="2">
        <f>IFERROR(__xludf.DUMMYFUNCTION("""COMPUTED_VALUE"""),0.0)</f>
        <v>0</v>
      </c>
      <c r="K3403" s="5" t="str">
        <f>IFERROR(__xludf.DUMMYFUNCTION("""COMPUTED_VALUE"""),"")</f>
        <v/>
      </c>
      <c r="L3403" t="str">
        <f>IFERROR(__xludf.DUMMYFUNCTION("""COMPUTED_VALUE"""),"")</f>
        <v/>
      </c>
      <c r="M3403" t="str">
        <f>IFERROR(__xludf.DUMMYFUNCTION("""COMPUTED_VALUE"""),"")</f>
        <v/>
      </c>
      <c r="N3403" t="str">
        <f>IFERROR(__xludf.DUMMYFUNCTION("""COMPUTED_VALUE"""),"")</f>
        <v/>
      </c>
      <c r="O3403" t="str">
        <f>IFERROR(__xludf.DUMMYFUNCTION("""COMPUTED_VALUE"""),"")</f>
        <v/>
      </c>
      <c r="P3403" t="str">
        <f>IFERROR(__xludf.DUMMYFUNCTION("""COMPUTED_VALUE"""),"ID ")</f>
        <v>ID </v>
      </c>
    </row>
    <row r="3404">
      <c r="A3404" s="6" t="str">
        <f>IFERROR(__xludf.DUMMYFUNCTION("""COMPUTED_VALUE"""),"")</f>
        <v/>
      </c>
      <c r="C3404" t="str">
        <f>IFERROR(__xludf.DUMMYFUNCTION("""COMPUTED_VALUE"""),"")</f>
        <v/>
      </c>
      <c r="D3404" t="str">
        <f>IFERROR(__xludf.DUMMYFUNCTION("""COMPUTED_VALUE"""),"")</f>
        <v/>
      </c>
      <c r="E3404" t="str">
        <f>IFERROR(__xludf.DUMMYFUNCTION("""COMPUTED_VALUE"""),"")</f>
        <v/>
      </c>
      <c r="F3404" t="str">
        <f>IFERROR(__xludf.DUMMYFUNCTION("""COMPUTED_VALUE"""),"")</f>
        <v/>
      </c>
      <c r="G3404" t="str">
        <f>IFERROR(__xludf.DUMMYFUNCTION("""COMPUTED_VALUE"""),"")</f>
        <v/>
      </c>
      <c r="H3404" s="2" t="str">
        <f>IFERROR(__xludf.DUMMYFUNCTION("""COMPUTED_VALUE"""),"")</f>
        <v/>
      </c>
      <c r="I3404" s="2" t="str">
        <f>IFERROR(__xludf.DUMMYFUNCTION("""COMPUTED_VALUE"""),"")</f>
        <v/>
      </c>
      <c r="J3404" s="2">
        <f>IFERROR(__xludf.DUMMYFUNCTION("""COMPUTED_VALUE"""),0.0)</f>
        <v>0</v>
      </c>
      <c r="K3404" s="5" t="str">
        <f>IFERROR(__xludf.DUMMYFUNCTION("""COMPUTED_VALUE"""),"")</f>
        <v/>
      </c>
      <c r="L3404" t="str">
        <f>IFERROR(__xludf.DUMMYFUNCTION("""COMPUTED_VALUE"""),"")</f>
        <v/>
      </c>
      <c r="M3404" t="str">
        <f>IFERROR(__xludf.DUMMYFUNCTION("""COMPUTED_VALUE"""),"")</f>
        <v/>
      </c>
      <c r="N3404" t="str">
        <f>IFERROR(__xludf.DUMMYFUNCTION("""COMPUTED_VALUE"""),"")</f>
        <v/>
      </c>
      <c r="O3404" t="str">
        <f>IFERROR(__xludf.DUMMYFUNCTION("""COMPUTED_VALUE"""),"")</f>
        <v/>
      </c>
      <c r="P3404" t="str">
        <f>IFERROR(__xludf.DUMMYFUNCTION("""COMPUTED_VALUE"""),"ID ")</f>
        <v>ID </v>
      </c>
    </row>
    <row r="3405">
      <c r="A3405" s="6" t="str">
        <f>IFERROR(__xludf.DUMMYFUNCTION("""COMPUTED_VALUE"""),"")</f>
        <v/>
      </c>
      <c r="C3405" t="str">
        <f>IFERROR(__xludf.DUMMYFUNCTION("""COMPUTED_VALUE"""),"")</f>
        <v/>
      </c>
      <c r="D3405" t="str">
        <f>IFERROR(__xludf.DUMMYFUNCTION("""COMPUTED_VALUE"""),"")</f>
        <v/>
      </c>
      <c r="E3405" t="str">
        <f>IFERROR(__xludf.DUMMYFUNCTION("""COMPUTED_VALUE"""),"")</f>
        <v/>
      </c>
      <c r="F3405" t="str">
        <f>IFERROR(__xludf.DUMMYFUNCTION("""COMPUTED_VALUE"""),"")</f>
        <v/>
      </c>
      <c r="G3405" t="str">
        <f>IFERROR(__xludf.DUMMYFUNCTION("""COMPUTED_VALUE"""),"")</f>
        <v/>
      </c>
      <c r="H3405" s="2" t="str">
        <f>IFERROR(__xludf.DUMMYFUNCTION("""COMPUTED_VALUE"""),"")</f>
        <v/>
      </c>
      <c r="I3405" s="2" t="str">
        <f>IFERROR(__xludf.DUMMYFUNCTION("""COMPUTED_VALUE"""),"")</f>
        <v/>
      </c>
      <c r="J3405" s="2">
        <f>IFERROR(__xludf.DUMMYFUNCTION("""COMPUTED_VALUE"""),0.0)</f>
        <v>0</v>
      </c>
      <c r="K3405" s="5" t="str">
        <f>IFERROR(__xludf.DUMMYFUNCTION("""COMPUTED_VALUE"""),"")</f>
        <v/>
      </c>
      <c r="L3405" t="str">
        <f>IFERROR(__xludf.DUMMYFUNCTION("""COMPUTED_VALUE"""),"")</f>
        <v/>
      </c>
      <c r="M3405" t="str">
        <f>IFERROR(__xludf.DUMMYFUNCTION("""COMPUTED_VALUE"""),"")</f>
        <v/>
      </c>
      <c r="N3405" t="str">
        <f>IFERROR(__xludf.DUMMYFUNCTION("""COMPUTED_VALUE"""),"")</f>
        <v/>
      </c>
      <c r="O3405" t="str">
        <f>IFERROR(__xludf.DUMMYFUNCTION("""COMPUTED_VALUE"""),"")</f>
        <v/>
      </c>
      <c r="P3405" t="str">
        <f>IFERROR(__xludf.DUMMYFUNCTION("""COMPUTED_VALUE"""),"ID ")</f>
        <v>ID </v>
      </c>
    </row>
    <row r="3406">
      <c r="A3406" s="6" t="str">
        <f>IFERROR(__xludf.DUMMYFUNCTION("""COMPUTED_VALUE"""),"")</f>
        <v/>
      </c>
      <c r="C3406" t="str">
        <f>IFERROR(__xludf.DUMMYFUNCTION("""COMPUTED_VALUE"""),"")</f>
        <v/>
      </c>
      <c r="D3406" t="str">
        <f>IFERROR(__xludf.DUMMYFUNCTION("""COMPUTED_VALUE"""),"")</f>
        <v/>
      </c>
      <c r="E3406" t="str">
        <f>IFERROR(__xludf.DUMMYFUNCTION("""COMPUTED_VALUE"""),"")</f>
        <v/>
      </c>
      <c r="F3406" t="str">
        <f>IFERROR(__xludf.DUMMYFUNCTION("""COMPUTED_VALUE"""),"")</f>
        <v/>
      </c>
      <c r="G3406" t="str">
        <f>IFERROR(__xludf.DUMMYFUNCTION("""COMPUTED_VALUE"""),"")</f>
        <v/>
      </c>
      <c r="H3406" s="2" t="str">
        <f>IFERROR(__xludf.DUMMYFUNCTION("""COMPUTED_VALUE"""),"")</f>
        <v/>
      </c>
      <c r="I3406" s="2" t="str">
        <f>IFERROR(__xludf.DUMMYFUNCTION("""COMPUTED_VALUE"""),"")</f>
        <v/>
      </c>
      <c r="J3406" s="2">
        <f>IFERROR(__xludf.DUMMYFUNCTION("""COMPUTED_VALUE"""),0.0)</f>
        <v>0</v>
      </c>
      <c r="K3406" s="5" t="str">
        <f>IFERROR(__xludf.DUMMYFUNCTION("""COMPUTED_VALUE"""),"")</f>
        <v/>
      </c>
      <c r="L3406" t="str">
        <f>IFERROR(__xludf.DUMMYFUNCTION("""COMPUTED_VALUE"""),"")</f>
        <v/>
      </c>
      <c r="M3406" t="str">
        <f>IFERROR(__xludf.DUMMYFUNCTION("""COMPUTED_VALUE"""),"")</f>
        <v/>
      </c>
      <c r="N3406" t="str">
        <f>IFERROR(__xludf.DUMMYFUNCTION("""COMPUTED_VALUE"""),"")</f>
        <v/>
      </c>
      <c r="O3406" t="str">
        <f>IFERROR(__xludf.DUMMYFUNCTION("""COMPUTED_VALUE"""),"")</f>
        <v/>
      </c>
      <c r="P3406" t="str">
        <f>IFERROR(__xludf.DUMMYFUNCTION("""COMPUTED_VALUE"""),"ID ")</f>
        <v>ID </v>
      </c>
    </row>
    <row r="3407">
      <c r="A3407" s="6" t="str">
        <f>IFERROR(__xludf.DUMMYFUNCTION("""COMPUTED_VALUE"""),"")</f>
        <v/>
      </c>
      <c r="C3407" t="str">
        <f>IFERROR(__xludf.DUMMYFUNCTION("""COMPUTED_VALUE"""),"")</f>
        <v/>
      </c>
      <c r="D3407" t="str">
        <f>IFERROR(__xludf.DUMMYFUNCTION("""COMPUTED_VALUE"""),"")</f>
        <v/>
      </c>
      <c r="E3407" t="str">
        <f>IFERROR(__xludf.DUMMYFUNCTION("""COMPUTED_VALUE"""),"")</f>
        <v/>
      </c>
      <c r="F3407" t="str">
        <f>IFERROR(__xludf.DUMMYFUNCTION("""COMPUTED_VALUE"""),"")</f>
        <v/>
      </c>
      <c r="G3407" t="str">
        <f>IFERROR(__xludf.DUMMYFUNCTION("""COMPUTED_VALUE"""),"")</f>
        <v/>
      </c>
      <c r="H3407" s="2" t="str">
        <f>IFERROR(__xludf.DUMMYFUNCTION("""COMPUTED_VALUE"""),"")</f>
        <v/>
      </c>
      <c r="I3407" s="2" t="str">
        <f>IFERROR(__xludf.DUMMYFUNCTION("""COMPUTED_VALUE"""),"")</f>
        <v/>
      </c>
      <c r="J3407" s="2">
        <f>IFERROR(__xludf.DUMMYFUNCTION("""COMPUTED_VALUE"""),0.0)</f>
        <v>0</v>
      </c>
      <c r="K3407" s="5" t="str">
        <f>IFERROR(__xludf.DUMMYFUNCTION("""COMPUTED_VALUE"""),"")</f>
        <v/>
      </c>
      <c r="L3407" t="str">
        <f>IFERROR(__xludf.DUMMYFUNCTION("""COMPUTED_VALUE"""),"")</f>
        <v/>
      </c>
      <c r="M3407" t="str">
        <f>IFERROR(__xludf.DUMMYFUNCTION("""COMPUTED_VALUE"""),"")</f>
        <v/>
      </c>
      <c r="N3407" t="str">
        <f>IFERROR(__xludf.DUMMYFUNCTION("""COMPUTED_VALUE"""),"")</f>
        <v/>
      </c>
      <c r="O3407" t="str">
        <f>IFERROR(__xludf.DUMMYFUNCTION("""COMPUTED_VALUE"""),"")</f>
        <v/>
      </c>
      <c r="P3407" t="str">
        <f>IFERROR(__xludf.DUMMYFUNCTION("""COMPUTED_VALUE"""),"ID ")</f>
        <v>ID </v>
      </c>
    </row>
    <row r="3408">
      <c r="A3408" s="6" t="str">
        <f>IFERROR(__xludf.DUMMYFUNCTION("""COMPUTED_VALUE"""),"")</f>
        <v/>
      </c>
      <c r="C3408" t="str">
        <f>IFERROR(__xludf.DUMMYFUNCTION("""COMPUTED_VALUE"""),"")</f>
        <v/>
      </c>
      <c r="D3408" t="str">
        <f>IFERROR(__xludf.DUMMYFUNCTION("""COMPUTED_VALUE"""),"")</f>
        <v/>
      </c>
      <c r="E3408" t="str">
        <f>IFERROR(__xludf.DUMMYFUNCTION("""COMPUTED_VALUE"""),"")</f>
        <v/>
      </c>
      <c r="F3408" t="str">
        <f>IFERROR(__xludf.DUMMYFUNCTION("""COMPUTED_VALUE"""),"")</f>
        <v/>
      </c>
      <c r="G3408" t="str">
        <f>IFERROR(__xludf.DUMMYFUNCTION("""COMPUTED_VALUE"""),"")</f>
        <v/>
      </c>
      <c r="H3408" s="2" t="str">
        <f>IFERROR(__xludf.DUMMYFUNCTION("""COMPUTED_VALUE"""),"")</f>
        <v/>
      </c>
      <c r="I3408" s="2" t="str">
        <f>IFERROR(__xludf.DUMMYFUNCTION("""COMPUTED_VALUE"""),"")</f>
        <v/>
      </c>
      <c r="J3408" s="2">
        <f>IFERROR(__xludf.DUMMYFUNCTION("""COMPUTED_VALUE"""),0.0)</f>
        <v>0</v>
      </c>
      <c r="K3408" s="5" t="str">
        <f>IFERROR(__xludf.DUMMYFUNCTION("""COMPUTED_VALUE"""),"")</f>
        <v/>
      </c>
      <c r="L3408" t="str">
        <f>IFERROR(__xludf.DUMMYFUNCTION("""COMPUTED_VALUE"""),"")</f>
        <v/>
      </c>
      <c r="M3408" t="str">
        <f>IFERROR(__xludf.DUMMYFUNCTION("""COMPUTED_VALUE"""),"")</f>
        <v/>
      </c>
      <c r="N3408" t="str">
        <f>IFERROR(__xludf.DUMMYFUNCTION("""COMPUTED_VALUE"""),"")</f>
        <v/>
      </c>
      <c r="O3408" t="str">
        <f>IFERROR(__xludf.DUMMYFUNCTION("""COMPUTED_VALUE"""),"")</f>
        <v/>
      </c>
      <c r="P3408" t="str">
        <f>IFERROR(__xludf.DUMMYFUNCTION("""COMPUTED_VALUE"""),"ID ")</f>
        <v>ID </v>
      </c>
    </row>
    <row r="3409">
      <c r="A3409" s="6" t="str">
        <f>IFERROR(__xludf.DUMMYFUNCTION("""COMPUTED_VALUE"""),"")</f>
        <v/>
      </c>
      <c r="C3409" t="str">
        <f>IFERROR(__xludf.DUMMYFUNCTION("""COMPUTED_VALUE"""),"")</f>
        <v/>
      </c>
      <c r="D3409" t="str">
        <f>IFERROR(__xludf.DUMMYFUNCTION("""COMPUTED_VALUE"""),"")</f>
        <v/>
      </c>
      <c r="E3409" t="str">
        <f>IFERROR(__xludf.DUMMYFUNCTION("""COMPUTED_VALUE"""),"")</f>
        <v/>
      </c>
      <c r="F3409" t="str">
        <f>IFERROR(__xludf.DUMMYFUNCTION("""COMPUTED_VALUE"""),"")</f>
        <v/>
      </c>
      <c r="G3409" t="str">
        <f>IFERROR(__xludf.DUMMYFUNCTION("""COMPUTED_VALUE"""),"")</f>
        <v/>
      </c>
      <c r="H3409" s="2" t="str">
        <f>IFERROR(__xludf.DUMMYFUNCTION("""COMPUTED_VALUE"""),"")</f>
        <v/>
      </c>
      <c r="I3409" s="2" t="str">
        <f>IFERROR(__xludf.DUMMYFUNCTION("""COMPUTED_VALUE"""),"")</f>
        <v/>
      </c>
      <c r="J3409" s="2">
        <f>IFERROR(__xludf.DUMMYFUNCTION("""COMPUTED_VALUE"""),0.0)</f>
        <v>0</v>
      </c>
      <c r="K3409" s="5" t="str">
        <f>IFERROR(__xludf.DUMMYFUNCTION("""COMPUTED_VALUE"""),"")</f>
        <v/>
      </c>
      <c r="L3409" t="str">
        <f>IFERROR(__xludf.DUMMYFUNCTION("""COMPUTED_VALUE"""),"")</f>
        <v/>
      </c>
      <c r="M3409" t="str">
        <f>IFERROR(__xludf.DUMMYFUNCTION("""COMPUTED_VALUE"""),"")</f>
        <v/>
      </c>
      <c r="N3409" t="str">
        <f>IFERROR(__xludf.DUMMYFUNCTION("""COMPUTED_VALUE"""),"")</f>
        <v/>
      </c>
      <c r="O3409" t="str">
        <f>IFERROR(__xludf.DUMMYFUNCTION("""COMPUTED_VALUE"""),"")</f>
        <v/>
      </c>
      <c r="P3409" t="str">
        <f>IFERROR(__xludf.DUMMYFUNCTION("""COMPUTED_VALUE"""),"ID ")</f>
        <v>ID </v>
      </c>
    </row>
    <row r="3410">
      <c r="A3410" s="6" t="str">
        <f>IFERROR(__xludf.DUMMYFUNCTION("""COMPUTED_VALUE"""),"")</f>
        <v/>
      </c>
      <c r="C3410" t="str">
        <f>IFERROR(__xludf.DUMMYFUNCTION("""COMPUTED_VALUE"""),"")</f>
        <v/>
      </c>
      <c r="D3410" t="str">
        <f>IFERROR(__xludf.DUMMYFUNCTION("""COMPUTED_VALUE"""),"")</f>
        <v/>
      </c>
      <c r="E3410" t="str">
        <f>IFERROR(__xludf.DUMMYFUNCTION("""COMPUTED_VALUE"""),"")</f>
        <v/>
      </c>
      <c r="F3410" t="str">
        <f>IFERROR(__xludf.DUMMYFUNCTION("""COMPUTED_VALUE"""),"")</f>
        <v/>
      </c>
      <c r="G3410" t="str">
        <f>IFERROR(__xludf.DUMMYFUNCTION("""COMPUTED_VALUE"""),"")</f>
        <v/>
      </c>
      <c r="H3410" s="2" t="str">
        <f>IFERROR(__xludf.DUMMYFUNCTION("""COMPUTED_VALUE"""),"")</f>
        <v/>
      </c>
      <c r="I3410" s="2" t="str">
        <f>IFERROR(__xludf.DUMMYFUNCTION("""COMPUTED_VALUE"""),"")</f>
        <v/>
      </c>
      <c r="J3410" s="2">
        <f>IFERROR(__xludf.DUMMYFUNCTION("""COMPUTED_VALUE"""),0.0)</f>
        <v>0</v>
      </c>
      <c r="K3410" s="5" t="str">
        <f>IFERROR(__xludf.DUMMYFUNCTION("""COMPUTED_VALUE"""),"")</f>
        <v/>
      </c>
      <c r="L3410" t="str">
        <f>IFERROR(__xludf.DUMMYFUNCTION("""COMPUTED_VALUE"""),"")</f>
        <v/>
      </c>
      <c r="M3410" t="str">
        <f>IFERROR(__xludf.DUMMYFUNCTION("""COMPUTED_VALUE"""),"")</f>
        <v/>
      </c>
      <c r="N3410" t="str">
        <f>IFERROR(__xludf.DUMMYFUNCTION("""COMPUTED_VALUE"""),"")</f>
        <v/>
      </c>
      <c r="O3410" t="str">
        <f>IFERROR(__xludf.DUMMYFUNCTION("""COMPUTED_VALUE"""),"")</f>
        <v/>
      </c>
      <c r="P3410" t="str">
        <f>IFERROR(__xludf.DUMMYFUNCTION("""COMPUTED_VALUE"""),"ID ")</f>
        <v>ID </v>
      </c>
    </row>
    <row r="3411">
      <c r="A3411" s="6" t="str">
        <f>IFERROR(__xludf.DUMMYFUNCTION("""COMPUTED_VALUE"""),"")</f>
        <v/>
      </c>
      <c r="C3411" t="str">
        <f>IFERROR(__xludf.DUMMYFUNCTION("""COMPUTED_VALUE"""),"")</f>
        <v/>
      </c>
      <c r="D3411" t="str">
        <f>IFERROR(__xludf.DUMMYFUNCTION("""COMPUTED_VALUE"""),"")</f>
        <v/>
      </c>
      <c r="E3411" t="str">
        <f>IFERROR(__xludf.DUMMYFUNCTION("""COMPUTED_VALUE"""),"")</f>
        <v/>
      </c>
      <c r="F3411" t="str">
        <f>IFERROR(__xludf.DUMMYFUNCTION("""COMPUTED_VALUE"""),"")</f>
        <v/>
      </c>
      <c r="G3411" t="str">
        <f>IFERROR(__xludf.DUMMYFUNCTION("""COMPUTED_VALUE"""),"")</f>
        <v/>
      </c>
      <c r="H3411" s="2" t="str">
        <f>IFERROR(__xludf.DUMMYFUNCTION("""COMPUTED_VALUE"""),"")</f>
        <v/>
      </c>
      <c r="I3411" s="2" t="str">
        <f>IFERROR(__xludf.DUMMYFUNCTION("""COMPUTED_VALUE"""),"")</f>
        <v/>
      </c>
      <c r="J3411" s="2">
        <f>IFERROR(__xludf.DUMMYFUNCTION("""COMPUTED_VALUE"""),0.0)</f>
        <v>0</v>
      </c>
      <c r="K3411" s="5" t="str">
        <f>IFERROR(__xludf.DUMMYFUNCTION("""COMPUTED_VALUE"""),"")</f>
        <v/>
      </c>
      <c r="L3411" t="str">
        <f>IFERROR(__xludf.DUMMYFUNCTION("""COMPUTED_VALUE"""),"")</f>
        <v/>
      </c>
      <c r="M3411" t="str">
        <f>IFERROR(__xludf.DUMMYFUNCTION("""COMPUTED_VALUE"""),"")</f>
        <v/>
      </c>
      <c r="N3411" t="str">
        <f>IFERROR(__xludf.DUMMYFUNCTION("""COMPUTED_VALUE"""),"")</f>
        <v/>
      </c>
      <c r="O3411" t="str">
        <f>IFERROR(__xludf.DUMMYFUNCTION("""COMPUTED_VALUE"""),"")</f>
        <v/>
      </c>
      <c r="P3411" t="str">
        <f>IFERROR(__xludf.DUMMYFUNCTION("""COMPUTED_VALUE"""),"ID ")</f>
        <v>ID </v>
      </c>
    </row>
    <row r="3412">
      <c r="A3412" s="6" t="str">
        <f>IFERROR(__xludf.DUMMYFUNCTION("""COMPUTED_VALUE"""),"")</f>
        <v/>
      </c>
      <c r="C3412" t="str">
        <f>IFERROR(__xludf.DUMMYFUNCTION("""COMPUTED_VALUE"""),"")</f>
        <v/>
      </c>
      <c r="D3412" t="str">
        <f>IFERROR(__xludf.DUMMYFUNCTION("""COMPUTED_VALUE"""),"")</f>
        <v/>
      </c>
      <c r="E3412" t="str">
        <f>IFERROR(__xludf.DUMMYFUNCTION("""COMPUTED_VALUE"""),"")</f>
        <v/>
      </c>
      <c r="F3412" t="str">
        <f>IFERROR(__xludf.DUMMYFUNCTION("""COMPUTED_VALUE"""),"")</f>
        <v/>
      </c>
      <c r="G3412" t="str">
        <f>IFERROR(__xludf.DUMMYFUNCTION("""COMPUTED_VALUE"""),"")</f>
        <v/>
      </c>
      <c r="H3412" s="2" t="str">
        <f>IFERROR(__xludf.DUMMYFUNCTION("""COMPUTED_VALUE"""),"")</f>
        <v/>
      </c>
      <c r="I3412" s="2" t="str">
        <f>IFERROR(__xludf.DUMMYFUNCTION("""COMPUTED_VALUE"""),"")</f>
        <v/>
      </c>
      <c r="J3412" s="2">
        <f>IFERROR(__xludf.DUMMYFUNCTION("""COMPUTED_VALUE"""),0.0)</f>
        <v>0</v>
      </c>
      <c r="K3412" s="5" t="str">
        <f>IFERROR(__xludf.DUMMYFUNCTION("""COMPUTED_VALUE"""),"")</f>
        <v/>
      </c>
      <c r="L3412" t="str">
        <f>IFERROR(__xludf.DUMMYFUNCTION("""COMPUTED_VALUE"""),"")</f>
        <v/>
      </c>
      <c r="M3412" t="str">
        <f>IFERROR(__xludf.DUMMYFUNCTION("""COMPUTED_VALUE"""),"")</f>
        <v/>
      </c>
      <c r="N3412" t="str">
        <f>IFERROR(__xludf.DUMMYFUNCTION("""COMPUTED_VALUE"""),"")</f>
        <v/>
      </c>
      <c r="O3412" t="str">
        <f>IFERROR(__xludf.DUMMYFUNCTION("""COMPUTED_VALUE"""),"")</f>
        <v/>
      </c>
      <c r="P3412" t="str">
        <f>IFERROR(__xludf.DUMMYFUNCTION("""COMPUTED_VALUE"""),"ID ")</f>
        <v>ID </v>
      </c>
    </row>
    <row r="3413">
      <c r="A3413" s="6" t="str">
        <f>IFERROR(__xludf.DUMMYFUNCTION("""COMPUTED_VALUE"""),"")</f>
        <v/>
      </c>
      <c r="C3413" t="str">
        <f>IFERROR(__xludf.DUMMYFUNCTION("""COMPUTED_VALUE"""),"")</f>
        <v/>
      </c>
      <c r="D3413" t="str">
        <f>IFERROR(__xludf.DUMMYFUNCTION("""COMPUTED_VALUE"""),"")</f>
        <v/>
      </c>
      <c r="E3413" t="str">
        <f>IFERROR(__xludf.DUMMYFUNCTION("""COMPUTED_VALUE"""),"")</f>
        <v/>
      </c>
      <c r="F3413" t="str">
        <f>IFERROR(__xludf.DUMMYFUNCTION("""COMPUTED_VALUE"""),"")</f>
        <v/>
      </c>
      <c r="G3413" t="str">
        <f>IFERROR(__xludf.DUMMYFUNCTION("""COMPUTED_VALUE"""),"")</f>
        <v/>
      </c>
      <c r="H3413" s="2" t="str">
        <f>IFERROR(__xludf.DUMMYFUNCTION("""COMPUTED_VALUE"""),"")</f>
        <v/>
      </c>
      <c r="I3413" s="2" t="str">
        <f>IFERROR(__xludf.DUMMYFUNCTION("""COMPUTED_VALUE"""),"")</f>
        <v/>
      </c>
      <c r="J3413" s="2">
        <f>IFERROR(__xludf.DUMMYFUNCTION("""COMPUTED_VALUE"""),0.0)</f>
        <v>0</v>
      </c>
      <c r="K3413" s="5" t="str">
        <f>IFERROR(__xludf.DUMMYFUNCTION("""COMPUTED_VALUE"""),"")</f>
        <v/>
      </c>
      <c r="L3413" t="str">
        <f>IFERROR(__xludf.DUMMYFUNCTION("""COMPUTED_VALUE"""),"")</f>
        <v/>
      </c>
      <c r="M3413" t="str">
        <f>IFERROR(__xludf.DUMMYFUNCTION("""COMPUTED_VALUE"""),"")</f>
        <v/>
      </c>
      <c r="N3413" t="str">
        <f>IFERROR(__xludf.DUMMYFUNCTION("""COMPUTED_VALUE"""),"")</f>
        <v/>
      </c>
      <c r="O3413" t="str">
        <f>IFERROR(__xludf.DUMMYFUNCTION("""COMPUTED_VALUE"""),"")</f>
        <v/>
      </c>
      <c r="P3413" t="str">
        <f>IFERROR(__xludf.DUMMYFUNCTION("""COMPUTED_VALUE"""),"ID ")</f>
        <v>ID </v>
      </c>
    </row>
    <row r="3414">
      <c r="A3414" s="6" t="str">
        <f>IFERROR(__xludf.DUMMYFUNCTION("""COMPUTED_VALUE"""),"")</f>
        <v/>
      </c>
      <c r="C3414" t="str">
        <f>IFERROR(__xludf.DUMMYFUNCTION("""COMPUTED_VALUE"""),"")</f>
        <v/>
      </c>
      <c r="D3414" t="str">
        <f>IFERROR(__xludf.DUMMYFUNCTION("""COMPUTED_VALUE"""),"")</f>
        <v/>
      </c>
      <c r="E3414" t="str">
        <f>IFERROR(__xludf.DUMMYFUNCTION("""COMPUTED_VALUE"""),"")</f>
        <v/>
      </c>
      <c r="F3414" t="str">
        <f>IFERROR(__xludf.DUMMYFUNCTION("""COMPUTED_VALUE"""),"")</f>
        <v/>
      </c>
      <c r="G3414" t="str">
        <f>IFERROR(__xludf.DUMMYFUNCTION("""COMPUTED_VALUE"""),"")</f>
        <v/>
      </c>
      <c r="H3414" s="2" t="str">
        <f>IFERROR(__xludf.DUMMYFUNCTION("""COMPUTED_VALUE"""),"")</f>
        <v/>
      </c>
      <c r="I3414" s="2" t="str">
        <f>IFERROR(__xludf.DUMMYFUNCTION("""COMPUTED_VALUE"""),"")</f>
        <v/>
      </c>
      <c r="J3414" s="2">
        <f>IFERROR(__xludf.DUMMYFUNCTION("""COMPUTED_VALUE"""),0.0)</f>
        <v>0</v>
      </c>
      <c r="K3414" s="5" t="str">
        <f>IFERROR(__xludf.DUMMYFUNCTION("""COMPUTED_VALUE"""),"")</f>
        <v/>
      </c>
      <c r="L3414" t="str">
        <f>IFERROR(__xludf.DUMMYFUNCTION("""COMPUTED_VALUE"""),"")</f>
        <v/>
      </c>
      <c r="M3414" t="str">
        <f>IFERROR(__xludf.DUMMYFUNCTION("""COMPUTED_VALUE"""),"")</f>
        <v/>
      </c>
      <c r="N3414" t="str">
        <f>IFERROR(__xludf.DUMMYFUNCTION("""COMPUTED_VALUE"""),"")</f>
        <v/>
      </c>
      <c r="O3414" t="str">
        <f>IFERROR(__xludf.DUMMYFUNCTION("""COMPUTED_VALUE"""),"")</f>
        <v/>
      </c>
      <c r="P3414" t="str">
        <f>IFERROR(__xludf.DUMMYFUNCTION("""COMPUTED_VALUE"""),"ID ")</f>
        <v>ID </v>
      </c>
    </row>
    <row r="3415">
      <c r="A3415" s="6" t="str">
        <f>IFERROR(__xludf.DUMMYFUNCTION("""COMPUTED_VALUE"""),"")</f>
        <v/>
      </c>
      <c r="C3415" t="str">
        <f>IFERROR(__xludf.DUMMYFUNCTION("""COMPUTED_VALUE"""),"")</f>
        <v/>
      </c>
      <c r="D3415" t="str">
        <f>IFERROR(__xludf.DUMMYFUNCTION("""COMPUTED_VALUE"""),"")</f>
        <v/>
      </c>
      <c r="E3415" t="str">
        <f>IFERROR(__xludf.DUMMYFUNCTION("""COMPUTED_VALUE"""),"")</f>
        <v/>
      </c>
      <c r="F3415" t="str">
        <f>IFERROR(__xludf.DUMMYFUNCTION("""COMPUTED_VALUE"""),"")</f>
        <v/>
      </c>
      <c r="G3415" t="str">
        <f>IFERROR(__xludf.DUMMYFUNCTION("""COMPUTED_VALUE"""),"")</f>
        <v/>
      </c>
      <c r="H3415" s="2" t="str">
        <f>IFERROR(__xludf.DUMMYFUNCTION("""COMPUTED_VALUE"""),"")</f>
        <v/>
      </c>
      <c r="I3415" s="2" t="str">
        <f>IFERROR(__xludf.DUMMYFUNCTION("""COMPUTED_VALUE"""),"")</f>
        <v/>
      </c>
      <c r="J3415" s="2">
        <f>IFERROR(__xludf.DUMMYFUNCTION("""COMPUTED_VALUE"""),0.0)</f>
        <v>0</v>
      </c>
      <c r="K3415" s="5" t="str">
        <f>IFERROR(__xludf.DUMMYFUNCTION("""COMPUTED_VALUE"""),"")</f>
        <v/>
      </c>
      <c r="L3415" t="str">
        <f>IFERROR(__xludf.DUMMYFUNCTION("""COMPUTED_VALUE"""),"")</f>
        <v/>
      </c>
      <c r="M3415" t="str">
        <f>IFERROR(__xludf.DUMMYFUNCTION("""COMPUTED_VALUE"""),"")</f>
        <v/>
      </c>
      <c r="N3415" t="str">
        <f>IFERROR(__xludf.DUMMYFUNCTION("""COMPUTED_VALUE"""),"")</f>
        <v/>
      </c>
      <c r="O3415" t="str">
        <f>IFERROR(__xludf.DUMMYFUNCTION("""COMPUTED_VALUE"""),"")</f>
        <v/>
      </c>
      <c r="P3415" t="str">
        <f>IFERROR(__xludf.DUMMYFUNCTION("""COMPUTED_VALUE"""),"ID ")</f>
        <v>ID </v>
      </c>
    </row>
    <row r="3416">
      <c r="A3416" s="6" t="str">
        <f>IFERROR(__xludf.DUMMYFUNCTION("""COMPUTED_VALUE"""),"")</f>
        <v/>
      </c>
      <c r="C3416" t="str">
        <f>IFERROR(__xludf.DUMMYFUNCTION("""COMPUTED_VALUE"""),"")</f>
        <v/>
      </c>
      <c r="D3416" t="str">
        <f>IFERROR(__xludf.DUMMYFUNCTION("""COMPUTED_VALUE"""),"")</f>
        <v/>
      </c>
      <c r="E3416" t="str">
        <f>IFERROR(__xludf.DUMMYFUNCTION("""COMPUTED_VALUE"""),"")</f>
        <v/>
      </c>
      <c r="F3416" t="str">
        <f>IFERROR(__xludf.DUMMYFUNCTION("""COMPUTED_VALUE"""),"")</f>
        <v/>
      </c>
      <c r="G3416" t="str">
        <f>IFERROR(__xludf.DUMMYFUNCTION("""COMPUTED_VALUE"""),"")</f>
        <v/>
      </c>
      <c r="H3416" s="2" t="str">
        <f>IFERROR(__xludf.DUMMYFUNCTION("""COMPUTED_VALUE"""),"")</f>
        <v/>
      </c>
      <c r="I3416" s="2" t="str">
        <f>IFERROR(__xludf.DUMMYFUNCTION("""COMPUTED_VALUE"""),"")</f>
        <v/>
      </c>
      <c r="J3416" s="2">
        <f>IFERROR(__xludf.DUMMYFUNCTION("""COMPUTED_VALUE"""),0.0)</f>
        <v>0</v>
      </c>
      <c r="K3416" s="5" t="str">
        <f>IFERROR(__xludf.DUMMYFUNCTION("""COMPUTED_VALUE"""),"")</f>
        <v/>
      </c>
      <c r="L3416" t="str">
        <f>IFERROR(__xludf.DUMMYFUNCTION("""COMPUTED_VALUE"""),"")</f>
        <v/>
      </c>
      <c r="M3416" t="str">
        <f>IFERROR(__xludf.DUMMYFUNCTION("""COMPUTED_VALUE"""),"")</f>
        <v/>
      </c>
      <c r="N3416" t="str">
        <f>IFERROR(__xludf.DUMMYFUNCTION("""COMPUTED_VALUE"""),"")</f>
        <v/>
      </c>
      <c r="O3416" t="str">
        <f>IFERROR(__xludf.DUMMYFUNCTION("""COMPUTED_VALUE"""),"")</f>
        <v/>
      </c>
      <c r="P3416" t="str">
        <f>IFERROR(__xludf.DUMMYFUNCTION("""COMPUTED_VALUE"""),"ID ")</f>
        <v>ID </v>
      </c>
    </row>
    <row r="3417">
      <c r="A3417" s="6" t="str">
        <f>IFERROR(__xludf.DUMMYFUNCTION("""COMPUTED_VALUE"""),"")</f>
        <v/>
      </c>
      <c r="C3417" t="str">
        <f>IFERROR(__xludf.DUMMYFUNCTION("""COMPUTED_VALUE"""),"")</f>
        <v/>
      </c>
      <c r="D3417" t="str">
        <f>IFERROR(__xludf.DUMMYFUNCTION("""COMPUTED_VALUE"""),"")</f>
        <v/>
      </c>
      <c r="E3417" t="str">
        <f>IFERROR(__xludf.DUMMYFUNCTION("""COMPUTED_VALUE"""),"")</f>
        <v/>
      </c>
      <c r="F3417" t="str">
        <f>IFERROR(__xludf.DUMMYFUNCTION("""COMPUTED_VALUE"""),"")</f>
        <v/>
      </c>
      <c r="G3417" t="str">
        <f>IFERROR(__xludf.DUMMYFUNCTION("""COMPUTED_VALUE"""),"")</f>
        <v/>
      </c>
      <c r="H3417" s="2" t="str">
        <f>IFERROR(__xludf.DUMMYFUNCTION("""COMPUTED_VALUE"""),"")</f>
        <v/>
      </c>
      <c r="I3417" s="2" t="str">
        <f>IFERROR(__xludf.DUMMYFUNCTION("""COMPUTED_VALUE"""),"")</f>
        <v/>
      </c>
      <c r="J3417" s="2">
        <f>IFERROR(__xludf.DUMMYFUNCTION("""COMPUTED_VALUE"""),0.0)</f>
        <v>0</v>
      </c>
      <c r="K3417" s="5" t="str">
        <f>IFERROR(__xludf.DUMMYFUNCTION("""COMPUTED_VALUE"""),"")</f>
        <v/>
      </c>
      <c r="L3417" t="str">
        <f>IFERROR(__xludf.DUMMYFUNCTION("""COMPUTED_VALUE"""),"")</f>
        <v/>
      </c>
      <c r="M3417" t="str">
        <f>IFERROR(__xludf.DUMMYFUNCTION("""COMPUTED_VALUE"""),"")</f>
        <v/>
      </c>
      <c r="N3417" t="str">
        <f>IFERROR(__xludf.DUMMYFUNCTION("""COMPUTED_VALUE"""),"")</f>
        <v/>
      </c>
      <c r="O3417" t="str">
        <f>IFERROR(__xludf.DUMMYFUNCTION("""COMPUTED_VALUE"""),"")</f>
        <v/>
      </c>
      <c r="P3417" t="str">
        <f>IFERROR(__xludf.DUMMYFUNCTION("""COMPUTED_VALUE"""),"ID ")</f>
        <v>ID </v>
      </c>
    </row>
    <row r="3418">
      <c r="A3418" s="6" t="str">
        <f>IFERROR(__xludf.DUMMYFUNCTION("""COMPUTED_VALUE"""),"")</f>
        <v/>
      </c>
      <c r="C3418" t="str">
        <f>IFERROR(__xludf.DUMMYFUNCTION("""COMPUTED_VALUE"""),"")</f>
        <v/>
      </c>
      <c r="D3418" t="str">
        <f>IFERROR(__xludf.DUMMYFUNCTION("""COMPUTED_VALUE"""),"")</f>
        <v/>
      </c>
      <c r="E3418" t="str">
        <f>IFERROR(__xludf.DUMMYFUNCTION("""COMPUTED_VALUE"""),"")</f>
        <v/>
      </c>
      <c r="F3418" t="str">
        <f>IFERROR(__xludf.DUMMYFUNCTION("""COMPUTED_VALUE"""),"")</f>
        <v/>
      </c>
      <c r="G3418" t="str">
        <f>IFERROR(__xludf.DUMMYFUNCTION("""COMPUTED_VALUE"""),"")</f>
        <v/>
      </c>
      <c r="H3418" s="2" t="str">
        <f>IFERROR(__xludf.DUMMYFUNCTION("""COMPUTED_VALUE"""),"")</f>
        <v/>
      </c>
      <c r="I3418" s="2" t="str">
        <f>IFERROR(__xludf.DUMMYFUNCTION("""COMPUTED_VALUE"""),"")</f>
        <v/>
      </c>
      <c r="J3418" s="2">
        <f>IFERROR(__xludf.DUMMYFUNCTION("""COMPUTED_VALUE"""),0.0)</f>
        <v>0</v>
      </c>
      <c r="K3418" s="5" t="str">
        <f>IFERROR(__xludf.DUMMYFUNCTION("""COMPUTED_VALUE"""),"")</f>
        <v/>
      </c>
      <c r="L3418" t="str">
        <f>IFERROR(__xludf.DUMMYFUNCTION("""COMPUTED_VALUE"""),"")</f>
        <v/>
      </c>
      <c r="M3418" t="str">
        <f>IFERROR(__xludf.DUMMYFUNCTION("""COMPUTED_VALUE"""),"")</f>
        <v/>
      </c>
      <c r="N3418" t="str">
        <f>IFERROR(__xludf.DUMMYFUNCTION("""COMPUTED_VALUE"""),"")</f>
        <v/>
      </c>
      <c r="O3418" t="str">
        <f>IFERROR(__xludf.DUMMYFUNCTION("""COMPUTED_VALUE"""),"")</f>
        <v/>
      </c>
      <c r="P3418" t="str">
        <f>IFERROR(__xludf.DUMMYFUNCTION("""COMPUTED_VALUE"""),"ID ")</f>
        <v>ID </v>
      </c>
    </row>
    <row r="3419">
      <c r="A3419" s="6" t="str">
        <f>IFERROR(__xludf.DUMMYFUNCTION("""COMPUTED_VALUE"""),"")</f>
        <v/>
      </c>
      <c r="C3419" t="str">
        <f>IFERROR(__xludf.DUMMYFUNCTION("""COMPUTED_VALUE"""),"")</f>
        <v/>
      </c>
      <c r="D3419" t="str">
        <f>IFERROR(__xludf.DUMMYFUNCTION("""COMPUTED_VALUE"""),"")</f>
        <v/>
      </c>
      <c r="E3419" t="str">
        <f>IFERROR(__xludf.DUMMYFUNCTION("""COMPUTED_VALUE"""),"")</f>
        <v/>
      </c>
      <c r="F3419" t="str">
        <f>IFERROR(__xludf.DUMMYFUNCTION("""COMPUTED_VALUE"""),"")</f>
        <v/>
      </c>
      <c r="G3419" t="str">
        <f>IFERROR(__xludf.DUMMYFUNCTION("""COMPUTED_VALUE"""),"")</f>
        <v/>
      </c>
      <c r="H3419" s="2" t="str">
        <f>IFERROR(__xludf.DUMMYFUNCTION("""COMPUTED_VALUE"""),"")</f>
        <v/>
      </c>
      <c r="I3419" s="2" t="str">
        <f>IFERROR(__xludf.DUMMYFUNCTION("""COMPUTED_VALUE"""),"")</f>
        <v/>
      </c>
      <c r="J3419" s="2">
        <f>IFERROR(__xludf.DUMMYFUNCTION("""COMPUTED_VALUE"""),0.0)</f>
        <v>0</v>
      </c>
      <c r="K3419" s="5" t="str">
        <f>IFERROR(__xludf.DUMMYFUNCTION("""COMPUTED_VALUE"""),"")</f>
        <v/>
      </c>
      <c r="L3419" t="str">
        <f>IFERROR(__xludf.DUMMYFUNCTION("""COMPUTED_VALUE"""),"")</f>
        <v/>
      </c>
      <c r="M3419" t="str">
        <f>IFERROR(__xludf.DUMMYFUNCTION("""COMPUTED_VALUE"""),"")</f>
        <v/>
      </c>
      <c r="N3419" t="str">
        <f>IFERROR(__xludf.DUMMYFUNCTION("""COMPUTED_VALUE"""),"")</f>
        <v/>
      </c>
      <c r="O3419" t="str">
        <f>IFERROR(__xludf.DUMMYFUNCTION("""COMPUTED_VALUE"""),"")</f>
        <v/>
      </c>
      <c r="P3419" t="str">
        <f>IFERROR(__xludf.DUMMYFUNCTION("""COMPUTED_VALUE"""),"ID ")</f>
        <v>ID </v>
      </c>
    </row>
    <row r="3420">
      <c r="A3420" s="6" t="str">
        <f>IFERROR(__xludf.DUMMYFUNCTION("""COMPUTED_VALUE"""),"")</f>
        <v/>
      </c>
      <c r="C3420" t="str">
        <f>IFERROR(__xludf.DUMMYFUNCTION("""COMPUTED_VALUE"""),"")</f>
        <v/>
      </c>
      <c r="D3420" t="str">
        <f>IFERROR(__xludf.DUMMYFUNCTION("""COMPUTED_VALUE"""),"")</f>
        <v/>
      </c>
      <c r="E3420" t="str">
        <f>IFERROR(__xludf.DUMMYFUNCTION("""COMPUTED_VALUE"""),"")</f>
        <v/>
      </c>
      <c r="F3420" t="str">
        <f>IFERROR(__xludf.DUMMYFUNCTION("""COMPUTED_VALUE"""),"")</f>
        <v/>
      </c>
      <c r="G3420" t="str">
        <f>IFERROR(__xludf.DUMMYFUNCTION("""COMPUTED_VALUE"""),"")</f>
        <v/>
      </c>
      <c r="H3420" s="2" t="str">
        <f>IFERROR(__xludf.DUMMYFUNCTION("""COMPUTED_VALUE"""),"")</f>
        <v/>
      </c>
      <c r="I3420" s="2" t="str">
        <f>IFERROR(__xludf.DUMMYFUNCTION("""COMPUTED_VALUE"""),"")</f>
        <v/>
      </c>
      <c r="J3420" s="2">
        <f>IFERROR(__xludf.DUMMYFUNCTION("""COMPUTED_VALUE"""),0.0)</f>
        <v>0</v>
      </c>
      <c r="K3420" s="5" t="str">
        <f>IFERROR(__xludf.DUMMYFUNCTION("""COMPUTED_VALUE"""),"")</f>
        <v/>
      </c>
      <c r="L3420" t="str">
        <f>IFERROR(__xludf.DUMMYFUNCTION("""COMPUTED_VALUE"""),"")</f>
        <v/>
      </c>
      <c r="M3420" t="str">
        <f>IFERROR(__xludf.DUMMYFUNCTION("""COMPUTED_VALUE"""),"")</f>
        <v/>
      </c>
      <c r="N3420" t="str">
        <f>IFERROR(__xludf.DUMMYFUNCTION("""COMPUTED_VALUE"""),"")</f>
        <v/>
      </c>
      <c r="O3420" t="str">
        <f>IFERROR(__xludf.DUMMYFUNCTION("""COMPUTED_VALUE"""),"")</f>
        <v/>
      </c>
      <c r="P3420" t="str">
        <f>IFERROR(__xludf.DUMMYFUNCTION("""COMPUTED_VALUE"""),"ID ")</f>
        <v>ID </v>
      </c>
    </row>
    <row r="3421">
      <c r="A3421" s="6" t="str">
        <f>IFERROR(__xludf.DUMMYFUNCTION("""COMPUTED_VALUE"""),"")</f>
        <v/>
      </c>
      <c r="C3421" t="str">
        <f>IFERROR(__xludf.DUMMYFUNCTION("""COMPUTED_VALUE"""),"")</f>
        <v/>
      </c>
      <c r="D3421" t="str">
        <f>IFERROR(__xludf.DUMMYFUNCTION("""COMPUTED_VALUE"""),"")</f>
        <v/>
      </c>
      <c r="E3421" t="str">
        <f>IFERROR(__xludf.DUMMYFUNCTION("""COMPUTED_VALUE"""),"")</f>
        <v/>
      </c>
      <c r="F3421" t="str">
        <f>IFERROR(__xludf.DUMMYFUNCTION("""COMPUTED_VALUE"""),"")</f>
        <v/>
      </c>
      <c r="G3421" t="str">
        <f>IFERROR(__xludf.DUMMYFUNCTION("""COMPUTED_VALUE"""),"")</f>
        <v/>
      </c>
      <c r="H3421" s="2" t="str">
        <f>IFERROR(__xludf.DUMMYFUNCTION("""COMPUTED_VALUE"""),"")</f>
        <v/>
      </c>
      <c r="I3421" s="2" t="str">
        <f>IFERROR(__xludf.DUMMYFUNCTION("""COMPUTED_VALUE"""),"")</f>
        <v/>
      </c>
      <c r="J3421" s="2">
        <f>IFERROR(__xludf.DUMMYFUNCTION("""COMPUTED_VALUE"""),0.0)</f>
        <v>0</v>
      </c>
      <c r="K3421" s="5" t="str">
        <f>IFERROR(__xludf.DUMMYFUNCTION("""COMPUTED_VALUE"""),"")</f>
        <v/>
      </c>
      <c r="L3421" t="str">
        <f>IFERROR(__xludf.DUMMYFUNCTION("""COMPUTED_VALUE"""),"")</f>
        <v/>
      </c>
      <c r="M3421" t="str">
        <f>IFERROR(__xludf.DUMMYFUNCTION("""COMPUTED_VALUE"""),"")</f>
        <v/>
      </c>
      <c r="N3421" t="str">
        <f>IFERROR(__xludf.DUMMYFUNCTION("""COMPUTED_VALUE"""),"")</f>
        <v/>
      </c>
      <c r="O3421" t="str">
        <f>IFERROR(__xludf.DUMMYFUNCTION("""COMPUTED_VALUE"""),"")</f>
        <v/>
      </c>
      <c r="P3421" t="str">
        <f>IFERROR(__xludf.DUMMYFUNCTION("""COMPUTED_VALUE"""),"ID ")</f>
        <v>ID </v>
      </c>
    </row>
    <row r="3422">
      <c r="A3422" s="6" t="str">
        <f>IFERROR(__xludf.DUMMYFUNCTION("""COMPUTED_VALUE"""),"")</f>
        <v/>
      </c>
      <c r="C3422" t="str">
        <f>IFERROR(__xludf.DUMMYFUNCTION("""COMPUTED_VALUE"""),"")</f>
        <v/>
      </c>
      <c r="D3422" t="str">
        <f>IFERROR(__xludf.DUMMYFUNCTION("""COMPUTED_VALUE"""),"")</f>
        <v/>
      </c>
      <c r="E3422" t="str">
        <f>IFERROR(__xludf.DUMMYFUNCTION("""COMPUTED_VALUE"""),"")</f>
        <v/>
      </c>
      <c r="F3422" t="str">
        <f>IFERROR(__xludf.DUMMYFUNCTION("""COMPUTED_VALUE"""),"")</f>
        <v/>
      </c>
      <c r="G3422" t="str">
        <f>IFERROR(__xludf.DUMMYFUNCTION("""COMPUTED_VALUE"""),"")</f>
        <v/>
      </c>
      <c r="H3422" s="2" t="str">
        <f>IFERROR(__xludf.DUMMYFUNCTION("""COMPUTED_VALUE"""),"")</f>
        <v/>
      </c>
      <c r="I3422" s="2" t="str">
        <f>IFERROR(__xludf.DUMMYFUNCTION("""COMPUTED_VALUE"""),"")</f>
        <v/>
      </c>
      <c r="J3422" s="2">
        <f>IFERROR(__xludf.DUMMYFUNCTION("""COMPUTED_VALUE"""),0.0)</f>
        <v>0</v>
      </c>
      <c r="K3422" s="5" t="str">
        <f>IFERROR(__xludf.DUMMYFUNCTION("""COMPUTED_VALUE"""),"")</f>
        <v/>
      </c>
      <c r="L3422" t="str">
        <f>IFERROR(__xludf.DUMMYFUNCTION("""COMPUTED_VALUE"""),"")</f>
        <v/>
      </c>
      <c r="M3422" t="str">
        <f>IFERROR(__xludf.DUMMYFUNCTION("""COMPUTED_VALUE"""),"")</f>
        <v/>
      </c>
      <c r="N3422" t="str">
        <f>IFERROR(__xludf.DUMMYFUNCTION("""COMPUTED_VALUE"""),"")</f>
        <v/>
      </c>
      <c r="O3422" t="str">
        <f>IFERROR(__xludf.DUMMYFUNCTION("""COMPUTED_VALUE"""),"")</f>
        <v/>
      </c>
      <c r="P3422" t="str">
        <f>IFERROR(__xludf.DUMMYFUNCTION("""COMPUTED_VALUE"""),"ID ")</f>
        <v>ID </v>
      </c>
    </row>
    <row r="3423">
      <c r="A3423" s="6" t="str">
        <f>IFERROR(__xludf.DUMMYFUNCTION("""COMPUTED_VALUE"""),"")</f>
        <v/>
      </c>
      <c r="C3423" t="str">
        <f>IFERROR(__xludf.DUMMYFUNCTION("""COMPUTED_VALUE"""),"")</f>
        <v/>
      </c>
      <c r="D3423" t="str">
        <f>IFERROR(__xludf.DUMMYFUNCTION("""COMPUTED_VALUE"""),"")</f>
        <v/>
      </c>
      <c r="E3423" t="str">
        <f>IFERROR(__xludf.DUMMYFUNCTION("""COMPUTED_VALUE"""),"")</f>
        <v/>
      </c>
      <c r="F3423" t="str">
        <f>IFERROR(__xludf.DUMMYFUNCTION("""COMPUTED_VALUE"""),"")</f>
        <v/>
      </c>
      <c r="G3423" t="str">
        <f>IFERROR(__xludf.DUMMYFUNCTION("""COMPUTED_VALUE"""),"")</f>
        <v/>
      </c>
      <c r="H3423" s="2" t="str">
        <f>IFERROR(__xludf.DUMMYFUNCTION("""COMPUTED_VALUE"""),"")</f>
        <v/>
      </c>
      <c r="I3423" s="2" t="str">
        <f>IFERROR(__xludf.DUMMYFUNCTION("""COMPUTED_VALUE"""),"")</f>
        <v/>
      </c>
      <c r="J3423" s="2">
        <f>IFERROR(__xludf.DUMMYFUNCTION("""COMPUTED_VALUE"""),0.0)</f>
        <v>0</v>
      </c>
      <c r="K3423" s="5" t="str">
        <f>IFERROR(__xludf.DUMMYFUNCTION("""COMPUTED_VALUE"""),"")</f>
        <v/>
      </c>
      <c r="L3423" t="str">
        <f>IFERROR(__xludf.DUMMYFUNCTION("""COMPUTED_VALUE"""),"")</f>
        <v/>
      </c>
      <c r="M3423" t="str">
        <f>IFERROR(__xludf.DUMMYFUNCTION("""COMPUTED_VALUE"""),"")</f>
        <v/>
      </c>
      <c r="N3423" t="str">
        <f>IFERROR(__xludf.DUMMYFUNCTION("""COMPUTED_VALUE"""),"")</f>
        <v/>
      </c>
      <c r="O3423" t="str">
        <f>IFERROR(__xludf.DUMMYFUNCTION("""COMPUTED_VALUE"""),"")</f>
        <v/>
      </c>
      <c r="P3423" t="str">
        <f>IFERROR(__xludf.DUMMYFUNCTION("""COMPUTED_VALUE"""),"ID ")</f>
        <v>ID </v>
      </c>
    </row>
    <row r="3424">
      <c r="A3424" s="6" t="str">
        <f>IFERROR(__xludf.DUMMYFUNCTION("""COMPUTED_VALUE"""),"")</f>
        <v/>
      </c>
      <c r="C3424" t="str">
        <f>IFERROR(__xludf.DUMMYFUNCTION("""COMPUTED_VALUE"""),"")</f>
        <v/>
      </c>
      <c r="D3424" t="str">
        <f>IFERROR(__xludf.DUMMYFUNCTION("""COMPUTED_VALUE"""),"")</f>
        <v/>
      </c>
      <c r="E3424" t="str">
        <f>IFERROR(__xludf.DUMMYFUNCTION("""COMPUTED_VALUE"""),"")</f>
        <v/>
      </c>
      <c r="F3424" t="str">
        <f>IFERROR(__xludf.DUMMYFUNCTION("""COMPUTED_VALUE"""),"")</f>
        <v/>
      </c>
      <c r="G3424" t="str">
        <f>IFERROR(__xludf.DUMMYFUNCTION("""COMPUTED_VALUE"""),"")</f>
        <v/>
      </c>
      <c r="H3424" s="2" t="str">
        <f>IFERROR(__xludf.DUMMYFUNCTION("""COMPUTED_VALUE"""),"")</f>
        <v/>
      </c>
      <c r="I3424" s="2" t="str">
        <f>IFERROR(__xludf.DUMMYFUNCTION("""COMPUTED_VALUE"""),"")</f>
        <v/>
      </c>
      <c r="J3424" s="2">
        <f>IFERROR(__xludf.DUMMYFUNCTION("""COMPUTED_VALUE"""),0.0)</f>
        <v>0</v>
      </c>
      <c r="K3424" s="5" t="str">
        <f>IFERROR(__xludf.DUMMYFUNCTION("""COMPUTED_VALUE"""),"")</f>
        <v/>
      </c>
      <c r="L3424" t="str">
        <f>IFERROR(__xludf.DUMMYFUNCTION("""COMPUTED_VALUE"""),"")</f>
        <v/>
      </c>
      <c r="M3424" t="str">
        <f>IFERROR(__xludf.DUMMYFUNCTION("""COMPUTED_VALUE"""),"")</f>
        <v/>
      </c>
      <c r="N3424" t="str">
        <f>IFERROR(__xludf.DUMMYFUNCTION("""COMPUTED_VALUE"""),"")</f>
        <v/>
      </c>
      <c r="O3424" t="str">
        <f>IFERROR(__xludf.DUMMYFUNCTION("""COMPUTED_VALUE"""),"")</f>
        <v/>
      </c>
      <c r="P3424" t="str">
        <f>IFERROR(__xludf.DUMMYFUNCTION("""COMPUTED_VALUE"""),"ID ")</f>
        <v>ID </v>
      </c>
    </row>
    <row r="3425">
      <c r="A3425" s="6" t="str">
        <f>IFERROR(__xludf.DUMMYFUNCTION("""COMPUTED_VALUE"""),"")</f>
        <v/>
      </c>
      <c r="C3425" t="str">
        <f>IFERROR(__xludf.DUMMYFUNCTION("""COMPUTED_VALUE"""),"")</f>
        <v/>
      </c>
      <c r="D3425" t="str">
        <f>IFERROR(__xludf.DUMMYFUNCTION("""COMPUTED_VALUE"""),"")</f>
        <v/>
      </c>
      <c r="E3425" t="str">
        <f>IFERROR(__xludf.DUMMYFUNCTION("""COMPUTED_VALUE"""),"")</f>
        <v/>
      </c>
      <c r="F3425" t="str">
        <f>IFERROR(__xludf.DUMMYFUNCTION("""COMPUTED_VALUE"""),"")</f>
        <v/>
      </c>
      <c r="G3425" t="str">
        <f>IFERROR(__xludf.DUMMYFUNCTION("""COMPUTED_VALUE"""),"")</f>
        <v/>
      </c>
      <c r="H3425" s="2" t="str">
        <f>IFERROR(__xludf.DUMMYFUNCTION("""COMPUTED_VALUE"""),"")</f>
        <v/>
      </c>
      <c r="I3425" s="2" t="str">
        <f>IFERROR(__xludf.DUMMYFUNCTION("""COMPUTED_VALUE"""),"")</f>
        <v/>
      </c>
      <c r="J3425" s="2">
        <f>IFERROR(__xludf.DUMMYFUNCTION("""COMPUTED_VALUE"""),0.0)</f>
        <v>0</v>
      </c>
      <c r="K3425" s="5" t="str">
        <f>IFERROR(__xludf.DUMMYFUNCTION("""COMPUTED_VALUE"""),"")</f>
        <v/>
      </c>
      <c r="L3425" t="str">
        <f>IFERROR(__xludf.DUMMYFUNCTION("""COMPUTED_VALUE"""),"")</f>
        <v/>
      </c>
      <c r="M3425" t="str">
        <f>IFERROR(__xludf.DUMMYFUNCTION("""COMPUTED_VALUE"""),"")</f>
        <v/>
      </c>
      <c r="N3425" t="str">
        <f>IFERROR(__xludf.DUMMYFUNCTION("""COMPUTED_VALUE"""),"")</f>
        <v/>
      </c>
      <c r="O3425" t="str">
        <f>IFERROR(__xludf.DUMMYFUNCTION("""COMPUTED_VALUE"""),"")</f>
        <v/>
      </c>
      <c r="P3425" t="str">
        <f>IFERROR(__xludf.DUMMYFUNCTION("""COMPUTED_VALUE"""),"ID ")</f>
        <v>ID </v>
      </c>
    </row>
    <row r="3426">
      <c r="A3426" s="6" t="str">
        <f>IFERROR(__xludf.DUMMYFUNCTION("""COMPUTED_VALUE"""),"")</f>
        <v/>
      </c>
      <c r="C3426" t="str">
        <f>IFERROR(__xludf.DUMMYFUNCTION("""COMPUTED_VALUE"""),"")</f>
        <v/>
      </c>
      <c r="D3426" t="str">
        <f>IFERROR(__xludf.DUMMYFUNCTION("""COMPUTED_VALUE"""),"")</f>
        <v/>
      </c>
      <c r="E3426" t="str">
        <f>IFERROR(__xludf.DUMMYFUNCTION("""COMPUTED_VALUE"""),"")</f>
        <v/>
      </c>
      <c r="F3426" t="str">
        <f>IFERROR(__xludf.DUMMYFUNCTION("""COMPUTED_VALUE"""),"")</f>
        <v/>
      </c>
      <c r="G3426" t="str">
        <f>IFERROR(__xludf.DUMMYFUNCTION("""COMPUTED_VALUE"""),"")</f>
        <v/>
      </c>
      <c r="H3426" s="2" t="str">
        <f>IFERROR(__xludf.DUMMYFUNCTION("""COMPUTED_VALUE"""),"")</f>
        <v/>
      </c>
      <c r="I3426" s="2" t="str">
        <f>IFERROR(__xludf.DUMMYFUNCTION("""COMPUTED_VALUE"""),"")</f>
        <v/>
      </c>
      <c r="J3426" s="2">
        <f>IFERROR(__xludf.DUMMYFUNCTION("""COMPUTED_VALUE"""),0.0)</f>
        <v>0</v>
      </c>
      <c r="K3426" s="5" t="str">
        <f>IFERROR(__xludf.DUMMYFUNCTION("""COMPUTED_VALUE"""),"")</f>
        <v/>
      </c>
      <c r="L3426" t="str">
        <f>IFERROR(__xludf.DUMMYFUNCTION("""COMPUTED_VALUE"""),"")</f>
        <v/>
      </c>
      <c r="M3426" t="str">
        <f>IFERROR(__xludf.DUMMYFUNCTION("""COMPUTED_VALUE"""),"")</f>
        <v/>
      </c>
      <c r="N3426" t="str">
        <f>IFERROR(__xludf.DUMMYFUNCTION("""COMPUTED_VALUE"""),"")</f>
        <v/>
      </c>
      <c r="O3426" t="str">
        <f>IFERROR(__xludf.DUMMYFUNCTION("""COMPUTED_VALUE"""),"")</f>
        <v/>
      </c>
      <c r="P3426" t="str">
        <f>IFERROR(__xludf.DUMMYFUNCTION("""COMPUTED_VALUE"""),"ID ")</f>
        <v>ID </v>
      </c>
    </row>
    <row r="3427">
      <c r="A3427" s="6" t="str">
        <f>IFERROR(__xludf.DUMMYFUNCTION("""COMPUTED_VALUE"""),"")</f>
        <v/>
      </c>
      <c r="C3427" t="str">
        <f>IFERROR(__xludf.DUMMYFUNCTION("""COMPUTED_VALUE"""),"")</f>
        <v/>
      </c>
      <c r="D3427" t="str">
        <f>IFERROR(__xludf.DUMMYFUNCTION("""COMPUTED_VALUE"""),"")</f>
        <v/>
      </c>
      <c r="E3427" t="str">
        <f>IFERROR(__xludf.DUMMYFUNCTION("""COMPUTED_VALUE"""),"")</f>
        <v/>
      </c>
      <c r="F3427" t="str">
        <f>IFERROR(__xludf.DUMMYFUNCTION("""COMPUTED_VALUE"""),"")</f>
        <v/>
      </c>
      <c r="G3427" t="str">
        <f>IFERROR(__xludf.DUMMYFUNCTION("""COMPUTED_VALUE"""),"")</f>
        <v/>
      </c>
      <c r="H3427" s="2" t="str">
        <f>IFERROR(__xludf.DUMMYFUNCTION("""COMPUTED_VALUE"""),"")</f>
        <v/>
      </c>
      <c r="I3427" s="2" t="str">
        <f>IFERROR(__xludf.DUMMYFUNCTION("""COMPUTED_VALUE"""),"")</f>
        <v/>
      </c>
      <c r="J3427" s="2">
        <f>IFERROR(__xludf.DUMMYFUNCTION("""COMPUTED_VALUE"""),0.0)</f>
        <v>0</v>
      </c>
      <c r="K3427" s="5" t="str">
        <f>IFERROR(__xludf.DUMMYFUNCTION("""COMPUTED_VALUE"""),"")</f>
        <v/>
      </c>
      <c r="L3427" t="str">
        <f>IFERROR(__xludf.DUMMYFUNCTION("""COMPUTED_VALUE"""),"")</f>
        <v/>
      </c>
      <c r="M3427" t="str">
        <f>IFERROR(__xludf.DUMMYFUNCTION("""COMPUTED_VALUE"""),"")</f>
        <v/>
      </c>
      <c r="N3427" t="str">
        <f>IFERROR(__xludf.DUMMYFUNCTION("""COMPUTED_VALUE"""),"")</f>
        <v/>
      </c>
      <c r="O3427" t="str">
        <f>IFERROR(__xludf.DUMMYFUNCTION("""COMPUTED_VALUE"""),"")</f>
        <v/>
      </c>
      <c r="P3427" t="str">
        <f>IFERROR(__xludf.DUMMYFUNCTION("""COMPUTED_VALUE"""),"ID ")</f>
        <v>ID </v>
      </c>
    </row>
    <row r="3428">
      <c r="A3428" s="6" t="str">
        <f>IFERROR(__xludf.DUMMYFUNCTION("""COMPUTED_VALUE"""),"")</f>
        <v/>
      </c>
      <c r="C3428" t="str">
        <f>IFERROR(__xludf.DUMMYFUNCTION("""COMPUTED_VALUE"""),"")</f>
        <v/>
      </c>
      <c r="D3428" t="str">
        <f>IFERROR(__xludf.DUMMYFUNCTION("""COMPUTED_VALUE"""),"")</f>
        <v/>
      </c>
      <c r="E3428" t="str">
        <f>IFERROR(__xludf.DUMMYFUNCTION("""COMPUTED_VALUE"""),"")</f>
        <v/>
      </c>
      <c r="F3428" t="str">
        <f>IFERROR(__xludf.DUMMYFUNCTION("""COMPUTED_VALUE"""),"")</f>
        <v/>
      </c>
      <c r="G3428" t="str">
        <f>IFERROR(__xludf.DUMMYFUNCTION("""COMPUTED_VALUE"""),"")</f>
        <v/>
      </c>
      <c r="H3428" s="2" t="str">
        <f>IFERROR(__xludf.DUMMYFUNCTION("""COMPUTED_VALUE"""),"")</f>
        <v/>
      </c>
      <c r="I3428" s="2" t="str">
        <f>IFERROR(__xludf.DUMMYFUNCTION("""COMPUTED_VALUE"""),"")</f>
        <v/>
      </c>
      <c r="J3428" s="2">
        <f>IFERROR(__xludf.DUMMYFUNCTION("""COMPUTED_VALUE"""),0.0)</f>
        <v>0</v>
      </c>
      <c r="K3428" s="5" t="str">
        <f>IFERROR(__xludf.DUMMYFUNCTION("""COMPUTED_VALUE"""),"")</f>
        <v/>
      </c>
      <c r="L3428" t="str">
        <f>IFERROR(__xludf.DUMMYFUNCTION("""COMPUTED_VALUE"""),"")</f>
        <v/>
      </c>
      <c r="M3428" t="str">
        <f>IFERROR(__xludf.DUMMYFUNCTION("""COMPUTED_VALUE"""),"")</f>
        <v/>
      </c>
      <c r="N3428" t="str">
        <f>IFERROR(__xludf.DUMMYFUNCTION("""COMPUTED_VALUE"""),"")</f>
        <v/>
      </c>
      <c r="O3428" t="str">
        <f>IFERROR(__xludf.DUMMYFUNCTION("""COMPUTED_VALUE"""),"")</f>
        <v/>
      </c>
      <c r="P3428" t="str">
        <f>IFERROR(__xludf.DUMMYFUNCTION("""COMPUTED_VALUE"""),"ID ")</f>
        <v>ID </v>
      </c>
    </row>
    <row r="3429">
      <c r="A3429" s="6" t="str">
        <f>IFERROR(__xludf.DUMMYFUNCTION("""COMPUTED_VALUE"""),"")</f>
        <v/>
      </c>
      <c r="C3429" t="str">
        <f>IFERROR(__xludf.DUMMYFUNCTION("""COMPUTED_VALUE"""),"")</f>
        <v/>
      </c>
      <c r="D3429" t="str">
        <f>IFERROR(__xludf.DUMMYFUNCTION("""COMPUTED_VALUE"""),"")</f>
        <v/>
      </c>
      <c r="E3429" t="str">
        <f>IFERROR(__xludf.DUMMYFUNCTION("""COMPUTED_VALUE"""),"")</f>
        <v/>
      </c>
      <c r="F3429" t="str">
        <f>IFERROR(__xludf.DUMMYFUNCTION("""COMPUTED_VALUE"""),"")</f>
        <v/>
      </c>
      <c r="G3429" t="str">
        <f>IFERROR(__xludf.DUMMYFUNCTION("""COMPUTED_VALUE"""),"")</f>
        <v/>
      </c>
      <c r="H3429" s="2" t="str">
        <f>IFERROR(__xludf.DUMMYFUNCTION("""COMPUTED_VALUE"""),"")</f>
        <v/>
      </c>
      <c r="I3429" s="2" t="str">
        <f>IFERROR(__xludf.DUMMYFUNCTION("""COMPUTED_VALUE"""),"")</f>
        <v/>
      </c>
      <c r="J3429" s="2">
        <f>IFERROR(__xludf.DUMMYFUNCTION("""COMPUTED_VALUE"""),0.0)</f>
        <v>0</v>
      </c>
      <c r="K3429" s="5" t="str">
        <f>IFERROR(__xludf.DUMMYFUNCTION("""COMPUTED_VALUE"""),"")</f>
        <v/>
      </c>
      <c r="L3429" t="str">
        <f>IFERROR(__xludf.DUMMYFUNCTION("""COMPUTED_VALUE"""),"")</f>
        <v/>
      </c>
      <c r="M3429" t="str">
        <f>IFERROR(__xludf.DUMMYFUNCTION("""COMPUTED_VALUE"""),"")</f>
        <v/>
      </c>
      <c r="N3429" t="str">
        <f>IFERROR(__xludf.DUMMYFUNCTION("""COMPUTED_VALUE"""),"")</f>
        <v/>
      </c>
      <c r="O3429" t="str">
        <f>IFERROR(__xludf.DUMMYFUNCTION("""COMPUTED_VALUE"""),"")</f>
        <v/>
      </c>
      <c r="P3429" t="str">
        <f>IFERROR(__xludf.DUMMYFUNCTION("""COMPUTED_VALUE"""),"ID ")</f>
        <v>ID </v>
      </c>
    </row>
    <row r="3430">
      <c r="A3430" s="6" t="str">
        <f>IFERROR(__xludf.DUMMYFUNCTION("""COMPUTED_VALUE"""),"")</f>
        <v/>
      </c>
      <c r="C3430" t="str">
        <f>IFERROR(__xludf.DUMMYFUNCTION("""COMPUTED_VALUE"""),"")</f>
        <v/>
      </c>
      <c r="D3430" t="str">
        <f>IFERROR(__xludf.DUMMYFUNCTION("""COMPUTED_VALUE"""),"")</f>
        <v/>
      </c>
      <c r="E3430" t="str">
        <f>IFERROR(__xludf.DUMMYFUNCTION("""COMPUTED_VALUE"""),"")</f>
        <v/>
      </c>
      <c r="F3430" t="str">
        <f>IFERROR(__xludf.DUMMYFUNCTION("""COMPUTED_VALUE"""),"")</f>
        <v/>
      </c>
      <c r="G3430" t="str">
        <f>IFERROR(__xludf.DUMMYFUNCTION("""COMPUTED_VALUE"""),"")</f>
        <v/>
      </c>
      <c r="H3430" s="2" t="str">
        <f>IFERROR(__xludf.DUMMYFUNCTION("""COMPUTED_VALUE"""),"")</f>
        <v/>
      </c>
      <c r="I3430" s="2" t="str">
        <f>IFERROR(__xludf.DUMMYFUNCTION("""COMPUTED_VALUE"""),"")</f>
        <v/>
      </c>
      <c r="J3430" s="2">
        <f>IFERROR(__xludf.DUMMYFUNCTION("""COMPUTED_VALUE"""),0.0)</f>
        <v>0</v>
      </c>
      <c r="K3430" s="5" t="str">
        <f>IFERROR(__xludf.DUMMYFUNCTION("""COMPUTED_VALUE"""),"")</f>
        <v/>
      </c>
      <c r="L3430" t="str">
        <f>IFERROR(__xludf.DUMMYFUNCTION("""COMPUTED_VALUE"""),"")</f>
        <v/>
      </c>
      <c r="M3430" t="str">
        <f>IFERROR(__xludf.DUMMYFUNCTION("""COMPUTED_VALUE"""),"")</f>
        <v/>
      </c>
      <c r="N3430" t="str">
        <f>IFERROR(__xludf.DUMMYFUNCTION("""COMPUTED_VALUE"""),"")</f>
        <v/>
      </c>
      <c r="O3430" t="str">
        <f>IFERROR(__xludf.DUMMYFUNCTION("""COMPUTED_VALUE"""),"")</f>
        <v/>
      </c>
      <c r="P3430" t="str">
        <f>IFERROR(__xludf.DUMMYFUNCTION("""COMPUTED_VALUE"""),"ID ")</f>
        <v>ID </v>
      </c>
    </row>
    <row r="3431">
      <c r="A3431" s="6" t="str">
        <f>IFERROR(__xludf.DUMMYFUNCTION("""COMPUTED_VALUE"""),"")</f>
        <v/>
      </c>
      <c r="C3431" t="str">
        <f>IFERROR(__xludf.DUMMYFUNCTION("""COMPUTED_VALUE"""),"")</f>
        <v/>
      </c>
      <c r="D3431" t="str">
        <f>IFERROR(__xludf.DUMMYFUNCTION("""COMPUTED_VALUE"""),"")</f>
        <v/>
      </c>
      <c r="E3431" t="str">
        <f>IFERROR(__xludf.DUMMYFUNCTION("""COMPUTED_VALUE"""),"")</f>
        <v/>
      </c>
      <c r="F3431" t="str">
        <f>IFERROR(__xludf.DUMMYFUNCTION("""COMPUTED_VALUE"""),"")</f>
        <v/>
      </c>
      <c r="G3431" t="str">
        <f>IFERROR(__xludf.DUMMYFUNCTION("""COMPUTED_VALUE"""),"")</f>
        <v/>
      </c>
      <c r="H3431" s="2" t="str">
        <f>IFERROR(__xludf.DUMMYFUNCTION("""COMPUTED_VALUE"""),"")</f>
        <v/>
      </c>
      <c r="I3431" s="2" t="str">
        <f>IFERROR(__xludf.DUMMYFUNCTION("""COMPUTED_VALUE"""),"")</f>
        <v/>
      </c>
      <c r="J3431" s="2">
        <f>IFERROR(__xludf.DUMMYFUNCTION("""COMPUTED_VALUE"""),0.0)</f>
        <v>0</v>
      </c>
      <c r="K3431" s="5" t="str">
        <f>IFERROR(__xludf.DUMMYFUNCTION("""COMPUTED_VALUE"""),"")</f>
        <v/>
      </c>
      <c r="L3431" t="str">
        <f>IFERROR(__xludf.DUMMYFUNCTION("""COMPUTED_VALUE"""),"")</f>
        <v/>
      </c>
      <c r="M3431" t="str">
        <f>IFERROR(__xludf.DUMMYFUNCTION("""COMPUTED_VALUE"""),"")</f>
        <v/>
      </c>
      <c r="N3431" t="str">
        <f>IFERROR(__xludf.DUMMYFUNCTION("""COMPUTED_VALUE"""),"")</f>
        <v/>
      </c>
      <c r="O3431" t="str">
        <f>IFERROR(__xludf.DUMMYFUNCTION("""COMPUTED_VALUE"""),"")</f>
        <v/>
      </c>
      <c r="P3431" t="str">
        <f>IFERROR(__xludf.DUMMYFUNCTION("""COMPUTED_VALUE"""),"ID ")</f>
        <v>ID </v>
      </c>
    </row>
    <row r="3432">
      <c r="A3432" s="6" t="str">
        <f>IFERROR(__xludf.DUMMYFUNCTION("""COMPUTED_VALUE"""),"")</f>
        <v/>
      </c>
      <c r="C3432" t="str">
        <f>IFERROR(__xludf.DUMMYFUNCTION("""COMPUTED_VALUE"""),"")</f>
        <v/>
      </c>
      <c r="D3432" t="str">
        <f>IFERROR(__xludf.DUMMYFUNCTION("""COMPUTED_VALUE"""),"")</f>
        <v/>
      </c>
      <c r="E3432" t="str">
        <f>IFERROR(__xludf.DUMMYFUNCTION("""COMPUTED_VALUE"""),"")</f>
        <v/>
      </c>
      <c r="F3432" t="str">
        <f>IFERROR(__xludf.DUMMYFUNCTION("""COMPUTED_VALUE"""),"")</f>
        <v/>
      </c>
      <c r="G3432" t="str">
        <f>IFERROR(__xludf.DUMMYFUNCTION("""COMPUTED_VALUE"""),"")</f>
        <v/>
      </c>
      <c r="H3432" s="2" t="str">
        <f>IFERROR(__xludf.DUMMYFUNCTION("""COMPUTED_VALUE"""),"")</f>
        <v/>
      </c>
      <c r="I3432" s="2" t="str">
        <f>IFERROR(__xludf.DUMMYFUNCTION("""COMPUTED_VALUE"""),"")</f>
        <v/>
      </c>
      <c r="J3432" s="2">
        <f>IFERROR(__xludf.DUMMYFUNCTION("""COMPUTED_VALUE"""),0.0)</f>
        <v>0</v>
      </c>
      <c r="K3432" s="5" t="str">
        <f>IFERROR(__xludf.DUMMYFUNCTION("""COMPUTED_VALUE"""),"")</f>
        <v/>
      </c>
      <c r="L3432" t="str">
        <f>IFERROR(__xludf.DUMMYFUNCTION("""COMPUTED_VALUE"""),"")</f>
        <v/>
      </c>
      <c r="M3432" t="str">
        <f>IFERROR(__xludf.DUMMYFUNCTION("""COMPUTED_VALUE"""),"")</f>
        <v/>
      </c>
      <c r="N3432" t="str">
        <f>IFERROR(__xludf.DUMMYFUNCTION("""COMPUTED_VALUE"""),"")</f>
        <v/>
      </c>
      <c r="O3432" t="str">
        <f>IFERROR(__xludf.DUMMYFUNCTION("""COMPUTED_VALUE"""),"")</f>
        <v/>
      </c>
      <c r="P3432" t="str">
        <f>IFERROR(__xludf.DUMMYFUNCTION("""COMPUTED_VALUE"""),"ID ")</f>
        <v>ID </v>
      </c>
    </row>
    <row r="3433">
      <c r="A3433" s="6" t="str">
        <f>IFERROR(__xludf.DUMMYFUNCTION("""COMPUTED_VALUE"""),"")</f>
        <v/>
      </c>
      <c r="C3433" t="str">
        <f>IFERROR(__xludf.DUMMYFUNCTION("""COMPUTED_VALUE"""),"")</f>
        <v/>
      </c>
      <c r="D3433" t="str">
        <f>IFERROR(__xludf.DUMMYFUNCTION("""COMPUTED_VALUE"""),"")</f>
        <v/>
      </c>
      <c r="E3433" t="str">
        <f>IFERROR(__xludf.DUMMYFUNCTION("""COMPUTED_VALUE"""),"")</f>
        <v/>
      </c>
      <c r="F3433" t="str">
        <f>IFERROR(__xludf.DUMMYFUNCTION("""COMPUTED_VALUE"""),"")</f>
        <v/>
      </c>
      <c r="G3433" t="str">
        <f>IFERROR(__xludf.DUMMYFUNCTION("""COMPUTED_VALUE"""),"")</f>
        <v/>
      </c>
      <c r="H3433" s="2" t="str">
        <f>IFERROR(__xludf.DUMMYFUNCTION("""COMPUTED_VALUE"""),"")</f>
        <v/>
      </c>
      <c r="I3433" s="2" t="str">
        <f>IFERROR(__xludf.DUMMYFUNCTION("""COMPUTED_VALUE"""),"")</f>
        <v/>
      </c>
      <c r="J3433" s="2">
        <f>IFERROR(__xludf.DUMMYFUNCTION("""COMPUTED_VALUE"""),0.0)</f>
        <v>0</v>
      </c>
      <c r="K3433" s="5" t="str">
        <f>IFERROR(__xludf.DUMMYFUNCTION("""COMPUTED_VALUE"""),"")</f>
        <v/>
      </c>
      <c r="L3433" t="str">
        <f>IFERROR(__xludf.DUMMYFUNCTION("""COMPUTED_VALUE"""),"")</f>
        <v/>
      </c>
      <c r="M3433" t="str">
        <f>IFERROR(__xludf.DUMMYFUNCTION("""COMPUTED_VALUE"""),"")</f>
        <v/>
      </c>
      <c r="N3433" t="str">
        <f>IFERROR(__xludf.DUMMYFUNCTION("""COMPUTED_VALUE"""),"")</f>
        <v/>
      </c>
      <c r="O3433" t="str">
        <f>IFERROR(__xludf.DUMMYFUNCTION("""COMPUTED_VALUE"""),"")</f>
        <v/>
      </c>
      <c r="P3433" t="str">
        <f>IFERROR(__xludf.DUMMYFUNCTION("""COMPUTED_VALUE"""),"ID ")</f>
        <v>ID </v>
      </c>
    </row>
    <row r="3434">
      <c r="A3434" s="6" t="str">
        <f>IFERROR(__xludf.DUMMYFUNCTION("""COMPUTED_VALUE"""),"")</f>
        <v/>
      </c>
      <c r="C3434" t="str">
        <f>IFERROR(__xludf.DUMMYFUNCTION("""COMPUTED_VALUE"""),"")</f>
        <v/>
      </c>
      <c r="D3434" t="str">
        <f>IFERROR(__xludf.DUMMYFUNCTION("""COMPUTED_VALUE"""),"")</f>
        <v/>
      </c>
      <c r="E3434" t="str">
        <f>IFERROR(__xludf.DUMMYFUNCTION("""COMPUTED_VALUE"""),"")</f>
        <v/>
      </c>
      <c r="F3434" t="str">
        <f>IFERROR(__xludf.DUMMYFUNCTION("""COMPUTED_VALUE"""),"")</f>
        <v/>
      </c>
      <c r="G3434" t="str">
        <f>IFERROR(__xludf.DUMMYFUNCTION("""COMPUTED_VALUE"""),"")</f>
        <v/>
      </c>
      <c r="H3434" s="2" t="str">
        <f>IFERROR(__xludf.DUMMYFUNCTION("""COMPUTED_VALUE"""),"")</f>
        <v/>
      </c>
      <c r="I3434" s="2" t="str">
        <f>IFERROR(__xludf.DUMMYFUNCTION("""COMPUTED_VALUE"""),"")</f>
        <v/>
      </c>
      <c r="J3434" s="2">
        <f>IFERROR(__xludf.DUMMYFUNCTION("""COMPUTED_VALUE"""),0.0)</f>
        <v>0</v>
      </c>
      <c r="K3434" s="5" t="str">
        <f>IFERROR(__xludf.DUMMYFUNCTION("""COMPUTED_VALUE"""),"")</f>
        <v/>
      </c>
      <c r="L3434" t="str">
        <f>IFERROR(__xludf.DUMMYFUNCTION("""COMPUTED_VALUE"""),"")</f>
        <v/>
      </c>
      <c r="M3434" t="str">
        <f>IFERROR(__xludf.DUMMYFUNCTION("""COMPUTED_VALUE"""),"")</f>
        <v/>
      </c>
      <c r="N3434" t="str">
        <f>IFERROR(__xludf.DUMMYFUNCTION("""COMPUTED_VALUE"""),"")</f>
        <v/>
      </c>
      <c r="O3434" t="str">
        <f>IFERROR(__xludf.DUMMYFUNCTION("""COMPUTED_VALUE"""),"")</f>
        <v/>
      </c>
      <c r="P3434" t="str">
        <f>IFERROR(__xludf.DUMMYFUNCTION("""COMPUTED_VALUE"""),"ID ")</f>
        <v>ID </v>
      </c>
    </row>
    <row r="3435">
      <c r="A3435" s="6" t="str">
        <f>IFERROR(__xludf.DUMMYFUNCTION("""COMPUTED_VALUE"""),"")</f>
        <v/>
      </c>
      <c r="C3435" t="str">
        <f>IFERROR(__xludf.DUMMYFUNCTION("""COMPUTED_VALUE"""),"")</f>
        <v/>
      </c>
      <c r="D3435" t="str">
        <f>IFERROR(__xludf.DUMMYFUNCTION("""COMPUTED_VALUE"""),"")</f>
        <v/>
      </c>
      <c r="E3435" t="str">
        <f>IFERROR(__xludf.DUMMYFUNCTION("""COMPUTED_VALUE"""),"")</f>
        <v/>
      </c>
      <c r="F3435" t="str">
        <f>IFERROR(__xludf.DUMMYFUNCTION("""COMPUTED_VALUE"""),"")</f>
        <v/>
      </c>
      <c r="G3435" t="str">
        <f>IFERROR(__xludf.DUMMYFUNCTION("""COMPUTED_VALUE"""),"")</f>
        <v/>
      </c>
      <c r="H3435" s="2" t="str">
        <f>IFERROR(__xludf.DUMMYFUNCTION("""COMPUTED_VALUE"""),"")</f>
        <v/>
      </c>
      <c r="I3435" s="2" t="str">
        <f>IFERROR(__xludf.DUMMYFUNCTION("""COMPUTED_VALUE"""),"")</f>
        <v/>
      </c>
      <c r="J3435" s="2">
        <f>IFERROR(__xludf.DUMMYFUNCTION("""COMPUTED_VALUE"""),0.0)</f>
        <v>0</v>
      </c>
      <c r="K3435" s="5" t="str">
        <f>IFERROR(__xludf.DUMMYFUNCTION("""COMPUTED_VALUE"""),"")</f>
        <v/>
      </c>
      <c r="L3435" t="str">
        <f>IFERROR(__xludf.DUMMYFUNCTION("""COMPUTED_VALUE"""),"")</f>
        <v/>
      </c>
      <c r="M3435" t="str">
        <f>IFERROR(__xludf.DUMMYFUNCTION("""COMPUTED_VALUE"""),"")</f>
        <v/>
      </c>
      <c r="N3435" t="str">
        <f>IFERROR(__xludf.DUMMYFUNCTION("""COMPUTED_VALUE"""),"")</f>
        <v/>
      </c>
      <c r="O3435" t="str">
        <f>IFERROR(__xludf.DUMMYFUNCTION("""COMPUTED_VALUE"""),"")</f>
        <v/>
      </c>
      <c r="P3435" t="str">
        <f>IFERROR(__xludf.DUMMYFUNCTION("""COMPUTED_VALUE"""),"ID ")</f>
        <v>ID </v>
      </c>
    </row>
    <row r="3436">
      <c r="A3436" s="6" t="str">
        <f>IFERROR(__xludf.DUMMYFUNCTION("""COMPUTED_VALUE"""),"")</f>
        <v/>
      </c>
      <c r="C3436" t="str">
        <f>IFERROR(__xludf.DUMMYFUNCTION("""COMPUTED_VALUE"""),"")</f>
        <v/>
      </c>
      <c r="D3436" t="str">
        <f>IFERROR(__xludf.DUMMYFUNCTION("""COMPUTED_VALUE"""),"")</f>
        <v/>
      </c>
      <c r="E3436" t="str">
        <f>IFERROR(__xludf.DUMMYFUNCTION("""COMPUTED_VALUE"""),"")</f>
        <v/>
      </c>
      <c r="F3436" t="str">
        <f>IFERROR(__xludf.DUMMYFUNCTION("""COMPUTED_VALUE"""),"")</f>
        <v/>
      </c>
      <c r="G3436" t="str">
        <f>IFERROR(__xludf.DUMMYFUNCTION("""COMPUTED_VALUE"""),"")</f>
        <v/>
      </c>
      <c r="H3436" s="2" t="str">
        <f>IFERROR(__xludf.DUMMYFUNCTION("""COMPUTED_VALUE"""),"")</f>
        <v/>
      </c>
      <c r="I3436" s="2" t="str">
        <f>IFERROR(__xludf.DUMMYFUNCTION("""COMPUTED_VALUE"""),"")</f>
        <v/>
      </c>
      <c r="J3436" s="2">
        <f>IFERROR(__xludf.DUMMYFUNCTION("""COMPUTED_VALUE"""),0.0)</f>
        <v>0</v>
      </c>
      <c r="K3436" s="5" t="str">
        <f>IFERROR(__xludf.DUMMYFUNCTION("""COMPUTED_VALUE"""),"")</f>
        <v/>
      </c>
      <c r="L3436" t="str">
        <f>IFERROR(__xludf.DUMMYFUNCTION("""COMPUTED_VALUE"""),"")</f>
        <v/>
      </c>
      <c r="M3436" t="str">
        <f>IFERROR(__xludf.DUMMYFUNCTION("""COMPUTED_VALUE"""),"")</f>
        <v/>
      </c>
      <c r="N3436" t="str">
        <f>IFERROR(__xludf.DUMMYFUNCTION("""COMPUTED_VALUE"""),"")</f>
        <v/>
      </c>
      <c r="O3436" t="str">
        <f>IFERROR(__xludf.DUMMYFUNCTION("""COMPUTED_VALUE"""),"")</f>
        <v/>
      </c>
      <c r="P3436" t="str">
        <f>IFERROR(__xludf.DUMMYFUNCTION("""COMPUTED_VALUE"""),"ID ")</f>
        <v>ID </v>
      </c>
    </row>
    <row r="3437">
      <c r="A3437" s="6" t="str">
        <f>IFERROR(__xludf.DUMMYFUNCTION("""COMPUTED_VALUE"""),"")</f>
        <v/>
      </c>
      <c r="C3437" t="str">
        <f>IFERROR(__xludf.DUMMYFUNCTION("""COMPUTED_VALUE"""),"")</f>
        <v/>
      </c>
      <c r="D3437" t="str">
        <f>IFERROR(__xludf.DUMMYFUNCTION("""COMPUTED_VALUE"""),"")</f>
        <v/>
      </c>
      <c r="E3437" t="str">
        <f>IFERROR(__xludf.DUMMYFUNCTION("""COMPUTED_VALUE"""),"")</f>
        <v/>
      </c>
      <c r="F3437" t="str">
        <f>IFERROR(__xludf.DUMMYFUNCTION("""COMPUTED_VALUE"""),"")</f>
        <v/>
      </c>
      <c r="G3437" t="str">
        <f>IFERROR(__xludf.DUMMYFUNCTION("""COMPUTED_VALUE"""),"")</f>
        <v/>
      </c>
      <c r="H3437" s="2" t="str">
        <f>IFERROR(__xludf.DUMMYFUNCTION("""COMPUTED_VALUE"""),"")</f>
        <v/>
      </c>
      <c r="I3437" s="2" t="str">
        <f>IFERROR(__xludf.DUMMYFUNCTION("""COMPUTED_VALUE"""),"")</f>
        <v/>
      </c>
      <c r="J3437" s="2">
        <f>IFERROR(__xludf.DUMMYFUNCTION("""COMPUTED_VALUE"""),0.0)</f>
        <v>0</v>
      </c>
      <c r="K3437" s="5" t="str">
        <f>IFERROR(__xludf.DUMMYFUNCTION("""COMPUTED_VALUE"""),"")</f>
        <v/>
      </c>
      <c r="L3437" t="str">
        <f>IFERROR(__xludf.DUMMYFUNCTION("""COMPUTED_VALUE"""),"")</f>
        <v/>
      </c>
      <c r="M3437" t="str">
        <f>IFERROR(__xludf.DUMMYFUNCTION("""COMPUTED_VALUE"""),"")</f>
        <v/>
      </c>
      <c r="N3437" t="str">
        <f>IFERROR(__xludf.DUMMYFUNCTION("""COMPUTED_VALUE"""),"")</f>
        <v/>
      </c>
      <c r="O3437" t="str">
        <f>IFERROR(__xludf.DUMMYFUNCTION("""COMPUTED_VALUE"""),"")</f>
        <v/>
      </c>
      <c r="P3437" t="str">
        <f>IFERROR(__xludf.DUMMYFUNCTION("""COMPUTED_VALUE"""),"ID ")</f>
        <v>ID </v>
      </c>
    </row>
    <row r="3438">
      <c r="A3438" s="6" t="str">
        <f>IFERROR(__xludf.DUMMYFUNCTION("""COMPUTED_VALUE"""),"")</f>
        <v/>
      </c>
      <c r="C3438" t="str">
        <f>IFERROR(__xludf.DUMMYFUNCTION("""COMPUTED_VALUE"""),"")</f>
        <v/>
      </c>
      <c r="D3438" t="str">
        <f>IFERROR(__xludf.DUMMYFUNCTION("""COMPUTED_VALUE"""),"")</f>
        <v/>
      </c>
      <c r="E3438" t="str">
        <f>IFERROR(__xludf.DUMMYFUNCTION("""COMPUTED_VALUE"""),"")</f>
        <v/>
      </c>
      <c r="F3438" t="str">
        <f>IFERROR(__xludf.DUMMYFUNCTION("""COMPUTED_VALUE"""),"")</f>
        <v/>
      </c>
      <c r="G3438" t="str">
        <f>IFERROR(__xludf.DUMMYFUNCTION("""COMPUTED_VALUE"""),"")</f>
        <v/>
      </c>
      <c r="H3438" s="2" t="str">
        <f>IFERROR(__xludf.DUMMYFUNCTION("""COMPUTED_VALUE"""),"")</f>
        <v/>
      </c>
      <c r="I3438" s="2" t="str">
        <f>IFERROR(__xludf.DUMMYFUNCTION("""COMPUTED_VALUE"""),"")</f>
        <v/>
      </c>
      <c r="J3438" s="2">
        <f>IFERROR(__xludf.DUMMYFUNCTION("""COMPUTED_VALUE"""),0.0)</f>
        <v>0</v>
      </c>
      <c r="K3438" s="5" t="str">
        <f>IFERROR(__xludf.DUMMYFUNCTION("""COMPUTED_VALUE"""),"")</f>
        <v/>
      </c>
      <c r="L3438" t="str">
        <f>IFERROR(__xludf.DUMMYFUNCTION("""COMPUTED_VALUE"""),"")</f>
        <v/>
      </c>
      <c r="M3438" t="str">
        <f>IFERROR(__xludf.DUMMYFUNCTION("""COMPUTED_VALUE"""),"")</f>
        <v/>
      </c>
      <c r="N3438" t="str">
        <f>IFERROR(__xludf.DUMMYFUNCTION("""COMPUTED_VALUE"""),"")</f>
        <v/>
      </c>
      <c r="O3438" t="str">
        <f>IFERROR(__xludf.DUMMYFUNCTION("""COMPUTED_VALUE"""),"")</f>
        <v/>
      </c>
      <c r="P3438" t="str">
        <f>IFERROR(__xludf.DUMMYFUNCTION("""COMPUTED_VALUE"""),"ID ")</f>
        <v>ID </v>
      </c>
    </row>
    <row r="3439">
      <c r="A3439" s="6" t="str">
        <f>IFERROR(__xludf.DUMMYFUNCTION("""COMPUTED_VALUE"""),"")</f>
        <v/>
      </c>
      <c r="C3439" t="str">
        <f>IFERROR(__xludf.DUMMYFUNCTION("""COMPUTED_VALUE"""),"")</f>
        <v/>
      </c>
      <c r="D3439" t="str">
        <f>IFERROR(__xludf.DUMMYFUNCTION("""COMPUTED_VALUE"""),"")</f>
        <v/>
      </c>
      <c r="E3439" t="str">
        <f>IFERROR(__xludf.DUMMYFUNCTION("""COMPUTED_VALUE"""),"")</f>
        <v/>
      </c>
      <c r="F3439" t="str">
        <f>IFERROR(__xludf.DUMMYFUNCTION("""COMPUTED_VALUE"""),"")</f>
        <v/>
      </c>
      <c r="G3439" t="str">
        <f>IFERROR(__xludf.DUMMYFUNCTION("""COMPUTED_VALUE"""),"")</f>
        <v/>
      </c>
      <c r="H3439" s="2" t="str">
        <f>IFERROR(__xludf.DUMMYFUNCTION("""COMPUTED_VALUE"""),"")</f>
        <v/>
      </c>
      <c r="I3439" s="2" t="str">
        <f>IFERROR(__xludf.DUMMYFUNCTION("""COMPUTED_VALUE"""),"")</f>
        <v/>
      </c>
      <c r="J3439" s="2">
        <f>IFERROR(__xludf.DUMMYFUNCTION("""COMPUTED_VALUE"""),0.0)</f>
        <v>0</v>
      </c>
      <c r="K3439" s="5" t="str">
        <f>IFERROR(__xludf.DUMMYFUNCTION("""COMPUTED_VALUE"""),"")</f>
        <v/>
      </c>
      <c r="L3439" t="str">
        <f>IFERROR(__xludf.DUMMYFUNCTION("""COMPUTED_VALUE"""),"")</f>
        <v/>
      </c>
      <c r="M3439" t="str">
        <f>IFERROR(__xludf.DUMMYFUNCTION("""COMPUTED_VALUE"""),"")</f>
        <v/>
      </c>
      <c r="N3439" t="str">
        <f>IFERROR(__xludf.DUMMYFUNCTION("""COMPUTED_VALUE"""),"")</f>
        <v/>
      </c>
      <c r="O3439" t="str">
        <f>IFERROR(__xludf.DUMMYFUNCTION("""COMPUTED_VALUE"""),"")</f>
        <v/>
      </c>
      <c r="P3439" t="str">
        <f>IFERROR(__xludf.DUMMYFUNCTION("""COMPUTED_VALUE"""),"ID ")</f>
        <v>ID </v>
      </c>
    </row>
    <row r="3440">
      <c r="A3440" s="6" t="str">
        <f>IFERROR(__xludf.DUMMYFUNCTION("""COMPUTED_VALUE"""),"")</f>
        <v/>
      </c>
      <c r="C3440" t="str">
        <f>IFERROR(__xludf.DUMMYFUNCTION("""COMPUTED_VALUE"""),"")</f>
        <v/>
      </c>
      <c r="D3440" t="str">
        <f>IFERROR(__xludf.DUMMYFUNCTION("""COMPUTED_VALUE"""),"")</f>
        <v/>
      </c>
      <c r="E3440" t="str">
        <f>IFERROR(__xludf.DUMMYFUNCTION("""COMPUTED_VALUE"""),"")</f>
        <v/>
      </c>
      <c r="F3440" t="str">
        <f>IFERROR(__xludf.DUMMYFUNCTION("""COMPUTED_VALUE"""),"")</f>
        <v/>
      </c>
      <c r="G3440" t="str">
        <f>IFERROR(__xludf.DUMMYFUNCTION("""COMPUTED_VALUE"""),"")</f>
        <v/>
      </c>
      <c r="H3440" s="2" t="str">
        <f>IFERROR(__xludf.DUMMYFUNCTION("""COMPUTED_VALUE"""),"")</f>
        <v/>
      </c>
      <c r="I3440" s="2" t="str">
        <f>IFERROR(__xludf.DUMMYFUNCTION("""COMPUTED_VALUE"""),"")</f>
        <v/>
      </c>
      <c r="J3440" s="2">
        <f>IFERROR(__xludf.DUMMYFUNCTION("""COMPUTED_VALUE"""),0.0)</f>
        <v>0</v>
      </c>
      <c r="K3440" s="5" t="str">
        <f>IFERROR(__xludf.DUMMYFUNCTION("""COMPUTED_VALUE"""),"")</f>
        <v/>
      </c>
      <c r="L3440" t="str">
        <f>IFERROR(__xludf.DUMMYFUNCTION("""COMPUTED_VALUE"""),"")</f>
        <v/>
      </c>
      <c r="M3440" t="str">
        <f>IFERROR(__xludf.DUMMYFUNCTION("""COMPUTED_VALUE"""),"")</f>
        <v/>
      </c>
      <c r="N3440" t="str">
        <f>IFERROR(__xludf.DUMMYFUNCTION("""COMPUTED_VALUE"""),"")</f>
        <v/>
      </c>
      <c r="O3440" t="str">
        <f>IFERROR(__xludf.DUMMYFUNCTION("""COMPUTED_VALUE"""),"")</f>
        <v/>
      </c>
      <c r="P3440" t="str">
        <f>IFERROR(__xludf.DUMMYFUNCTION("""COMPUTED_VALUE"""),"ID ")</f>
        <v>ID </v>
      </c>
    </row>
    <row r="3441">
      <c r="A3441" s="6" t="str">
        <f>IFERROR(__xludf.DUMMYFUNCTION("""COMPUTED_VALUE"""),"")</f>
        <v/>
      </c>
      <c r="C3441" t="str">
        <f>IFERROR(__xludf.DUMMYFUNCTION("""COMPUTED_VALUE"""),"")</f>
        <v/>
      </c>
      <c r="D3441" t="str">
        <f>IFERROR(__xludf.DUMMYFUNCTION("""COMPUTED_VALUE"""),"")</f>
        <v/>
      </c>
      <c r="E3441" t="str">
        <f>IFERROR(__xludf.DUMMYFUNCTION("""COMPUTED_VALUE"""),"")</f>
        <v/>
      </c>
      <c r="F3441" t="str">
        <f>IFERROR(__xludf.DUMMYFUNCTION("""COMPUTED_VALUE"""),"")</f>
        <v/>
      </c>
      <c r="G3441" t="str">
        <f>IFERROR(__xludf.DUMMYFUNCTION("""COMPUTED_VALUE"""),"")</f>
        <v/>
      </c>
      <c r="H3441" s="2" t="str">
        <f>IFERROR(__xludf.DUMMYFUNCTION("""COMPUTED_VALUE"""),"")</f>
        <v/>
      </c>
      <c r="I3441" s="2" t="str">
        <f>IFERROR(__xludf.DUMMYFUNCTION("""COMPUTED_VALUE"""),"")</f>
        <v/>
      </c>
      <c r="J3441" s="2">
        <f>IFERROR(__xludf.DUMMYFUNCTION("""COMPUTED_VALUE"""),0.0)</f>
        <v>0</v>
      </c>
      <c r="K3441" s="5" t="str">
        <f>IFERROR(__xludf.DUMMYFUNCTION("""COMPUTED_VALUE"""),"")</f>
        <v/>
      </c>
      <c r="L3441" t="str">
        <f>IFERROR(__xludf.DUMMYFUNCTION("""COMPUTED_VALUE"""),"")</f>
        <v/>
      </c>
      <c r="M3441" t="str">
        <f>IFERROR(__xludf.DUMMYFUNCTION("""COMPUTED_VALUE"""),"")</f>
        <v/>
      </c>
      <c r="N3441" t="str">
        <f>IFERROR(__xludf.DUMMYFUNCTION("""COMPUTED_VALUE"""),"")</f>
        <v/>
      </c>
      <c r="O3441" t="str">
        <f>IFERROR(__xludf.DUMMYFUNCTION("""COMPUTED_VALUE"""),"")</f>
        <v/>
      </c>
      <c r="P3441" t="str">
        <f>IFERROR(__xludf.DUMMYFUNCTION("""COMPUTED_VALUE"""),"ID ")</f>
        <v>ID </v>
      </c>
    </row>
    <row r="3442">
      <c r="A3442" s="6" t="str">
        <f>IFERROR(__xludf.DUMMYFUNCTION("""COMPUTED_VALUE"""),"")</f>
        <v/>
      </c>
      <c r="C3442" t="str">
        <f>IFERROR(__xludf.DUMMYFUNCTION("""COMPUTED_VALUE"""),"")</f>
        <v/>
      </c>
      <c r="D3442" t="str">
        <f>IFERROR(__xludf.DUMMYFUNCTION("""COMPUTED_VALUE"""),"")</f>
        <v/>
      </c>
      <c r="E3442" t="str">
        <f>IFERROR(__xludf.DUMMYFUNCTION("""COMPUTED_VALUE"""),"")</f>
        <v/>
      </c>
      <c r="F3442" t="str">
        <f>IFERROR(__xludf.DUMMYFUNCTION("""COMPUTED_VALUE"""),"")</f>
        <v/>
      </c>
      <c r="G3442" t="str">
        <f>IFERROR(__xludf.DUMMYFUNCTION("""COMPUTED_VALUE"""),"")</f>
        <v/>
      </c>
      <c r="H3442" s="2" t="str">
        <f>IFERROR(__xludf.DUMMYFUNCTION("""COMPUTED_VALUE"""),"")</f>
        <v/>
      </c>
      <c r="I3442" s="2" t="str">
        <f>IFERROR(__xludf.DUMMYFUNCTION("""COMPUTED_VALUE"""),"")</f>
        <v/>
      </c>
      <c r="J3442" s="2">
        <f>IFERROR(__xludf.DUMMYFUNCTION("""COMPUTED_VALUE"""),0.0)</f>
        <v>0</v>
      </c>
      <c r="K3442" s="5" t="str">
        <f>IFERROR(__xludf.DUMMYFUNCTION("""COMPUTED_VALUE"""),"")</f>
        <v/>
      </c>
      <c r="L3442" t="str">
        <f>IFERROR(__xludf.DUMMYFUNCTION("""COMPUTED_VALUE"""),"")</f>
        <v/>
      </c>
      <c r="M3442" t="str">
        <f>IFERROR(__xludf.DUMMYFUNCTION("""COMPUTED_VALUE"""),"")</f>
        <v/>
      </c>
      <c r="N3442" t="str">
        <f>IFERROR(__xludf.DUMMYFUNCTION("""COMPUTED_VALUE"""),"")</f>
        <v/>
      </c>
      <c r="O3442" t="str">
        <f>IFERROR(__xludf.DUMMYFUNCTION("""COMPUTED_VALUE"""),"")</f>
        <v/>
      </c>
      <c r="P3442" t="str">
        <f>IFERROR(__xludf.DUMMYFUNCTION("""COMPUTED_VALUE"""),"ID ")</f>
        <v>ID </v>
      </c>
    </row>
    <row r="3443">
      <c r="A3443" s="6" t="str">
        <f>IFERROR(__xludf.DUMMYFUNCTION("""COMPUTED_VALUE"""),"")</f>
        <v/>
      </c>
      <c r="C3443" t="str">
        <f>IFERROR(__xludf.DUMMYFUNCTION("""COMPUTED_VALUE"""),"")</f>
        <v/>
      </c>
      <c r="D3443" t="str">
        <f>IFERROR(__xludf.DUMMYFUNCTION("""COMPUTED_VALUE"""),"")</f>
        <v/>
      </c>
      <c r="E3443" t="str">
        <f>IFERROR(__xludf.DUMMYFUNCTION("""COMPUTED_VALUE"""),"")</f>
        <v/>
      </c>
      <c r="F3443" t="str">
        <f>IFERROR(__xludf.DUMMYFUNCTION("""COMPUTED_VALUE"""),"")</f>
        <v/>
      </c>
      <c r="G3443" t="str">
        <f>IFERROR(__xludf.DUMMYFUNCTION("""COMPUTED_VALUE"""),"")</f>
        <v/>
      </c>
      <c r="H3443" s="2" t="str">
        <f>IFERROR(__xludf.DUMMYFUNCTION("""COMPUTED_VALUE"""),"")</f>
        <v/>
      </c>
      <c r="I3443" s="2" t="str">
        <f>IFERROR(__xludf.DUMMYFUNCTION("""COMPUTED_VALUE"""),"")</f>
        <v/>
      </c>
      <c r="J3443" s="2">
        <f>IFERROR(__xludf.DUMMYFUNCTION("""COMPUTED_VALUE"""),0.0)</f>
        <v>0</v>
      </c>
      <c r="K3443" s="5" t="str">
        <f>IFERROR(__xludf.DUMMYFUNCTION("""COMPUTED_VALUE"""),"")</f>
        <v/>
      </c>
      <c r="L3443" t="str">
        <f>IFERROR(__xludf.DUMMYFUNCTION("""COMPUTED_VALUE"""),"")</f>
        <v/>
      </c>
      <c r="M3443" t="str">
        <f>IFERROR(__xludf.DUMMYFUNCTION("""COMPUTED_VALUE"""),"")</f>
        <v/>
      </c>
      <c r="N3443" t="str">
        <f>IFERROR(__xludf.DUMMYFUNCTION("""COMPUTED_VALUE"""),"")</f>
        <v/>
      </c>
      <c r="O3443" t="str">
        <f>IFERROR(__xludf.DUMMYFUNCTION("""COMPUTED_VALUE"""),"")</f>
        <v/>
      </c>
      <c r="P3443" t="str">
        <f>IFERROR(__xludf.DUMMYFUNCTION("""COMPUTED_VALUE"""),"ID ")</f>
        <v>ID </v>
      </c>
    </row>
    <row r="3444">
      <c r="A3444" s="6" t="str">
        <f>IFERROR(__xludf.DUMMYFUNCTION("""COMPUTED_VALUE"""),"")</f>
        <v/>
      </c>
      <c r="C3444" t="str">
        <f>IFERROR(__xludf.DUMMYFUNCTION("""COMPUTED_VALUE"""),"")</f>
        <v/>
      </c>
      <c r="D3444" t="str">
        <f>IFERROR(__xludf.DUMMYFUNCTION("""COMPUTED_VALUE"""),"")</f>
        <v/>
      </c>
      <c r="E3444" t="str">
        <f>IFERROR(__xludf.DUMMYFUNCTION("""COMPUTED_VALUE"""),"")</f>
        <v/>
      </c>
      <c r="F3444" t="str">
        <f>IFERROR(__xludf.DUMMYFUNCTION("""COMPUTED_VALUE"""),"")</f>
        <v/>
      </c>
      <c r="G3444" t="str">
        <f>IFERROR(__xludf.DUMMYFUNCTION("""COMPUTED_VALUE"""),"")</f>
        <v/>
      </c>
      <c r="H3444" s="2" t="str">
        <f>IFERROR(__xludf.DUMMYFUNCTION("""COMPUTED_VALUE"""),"")</f>
        <v/>
      </c>
      <c r="I3444" s="2" t="str">
        <f>IFERROR(__xludf.DUMMYFUNCTION("""COMPUTED_VALUE"""),"")</f>
        <v/>
      </c>
      <c r="J3444" s="2">
        <f>IFERROR(__xludf.DUMMYFUNCTION("""COMPUTED_VALUE"""),0.0)</f>
        <v>0</v>
      </c>
      <c r="K3444" s="5" t="str">
        <f>IFERROR(__xludf.DUMMYFUNCTION("""COMPUTED_VALUE"""),"")</f>
        <v/>
      </c>
      <c r="L3444" t="str">
        <f>IFERROR(__xludf.DUMMYFUNCTION("""COMPUTED_VALUE"""),"")</f>
        <v/>
      </c>
      <c r="M3444" t="str">
        <f>IFERROR(__xludf.DUMMYFUNCTION("""COMPUTED_VALUE"""),"")</f>
        <v/>
      </c>
      <c r="N3444" t="str">
        <f>IFERROR(__xludf.DUMMYFUNCTION("""COMPUTED_VALUE"""),"")</f>
        <v/>
      </c>
      <c r="O3444" t="str">
        <f>IFERROR(__xludf.DUMMYFUNCTION("""COMPUTED_VALUE"""),"")</f>
        <v/>
      </c>
      <c r="P3444" t="str">
        <f>IFERROR(__xludf.DUMMYFUNCTION("""COMPUTED_VALUE"""),"ID ")</f>
        <v>ID </v>
      </c>
    </row>
    <row r="3445">
      <c r="A3445" s="6" t="str">
        <f>IFERROR(__xludf.DUMMYFUNCTION("""COMPUTED_VALUE"""),"")</f>
        <v/>
      </c>
      <c r="C3445" t="str">
        <f>IFERROR(__xludf.DUMMYFUNCTION("""COMPUTED_VALUE"""),"")</f>
        <v/>
      </c>
      <c r="D3445" t="str">
        <f>IFERROR(__xludf.DUMMYFUNCTION("""COMPUTED_VALUE"""),"")</f>
        <v/>
      </c>
      <c r="E3445" t="str">
        <f>IFERROR(__xludf.DUMMYFUNCTION("""COMPUTED_VALUE"""),"")</f>
        <v/>
      </c>
      <c r="F3445" t="str">
        <f>IFERROR(__xludf.DUMMYFUNCTION("""COMPUTED_VALUE"""),"")</f>
        <v/>
      </c>
      <c r="G3445" t="str">
        <f>IFERROR(__xludf.DUMMYFUNCTION("""COMPUTED_VALUE"""),"")</f>
        <v/>
      </c>
      <c r="H3445" s="2" t="str">
        <f>IFERROR(__xludf.DUMMYFUNCTION("""COMPUTED_VALUE"""),"")</f>
        <v/>
      </c>
      <c r="I3445" s="2" t="str">
        <f>IFERROR(__xludf.DUMMYFUNCTION("""COMPUTED_VALUE"""),"")</f>
        <v/>
      </c>
      <c r="J3445" s="2">
        <f>IFERROR(__xludf.DUMMYFUNCTION("""COMPUTED_VALUE"""),0.0)</f>
        <v>0</v>
      </c>
      <c r="K3445" s="5" t="str">
        <f>IFERROR(__xludf.DUMMYFUNCTION("""COMPUTED_VALUE"""),"")</f>
        <v/>
      </c>
      <c r="L3445" t="str">
        <f>IFERROR(__xludf.DUMMYFUNCTION("""COMPUTED_VALUE"""),"")</f>
        <v/>
      </c>
      <c r="M3445" t="str">
        <f>IFERROR(__xludf.DUMMYFUNCTION("""COMPUTED_VALUE"""),"")</f>
        <v/>
      </c>
      <c r="N3445" t="str">
        <f>IFERROR(__xludf.DUMMYFUNCTION("""COMPUTED_VALUE"""),"")</f>
        <v/>
      </c>
      <c r="O3445" t="str">
        <f>IFERROR(__xludf.DUMMYFUNCTION("""COMPUTED_VALUE"""),"")</f>
        <v/>
      </c>
      <c r="P3445" t="str">
        <f>IFERROR(__xludf.DUMMYFUNCTION("""COMPUTED_VALUE"""),"ID ")</f>
        <v>ID </v>
      </c>
    </row>
    <row r="3446">
      <c r="A3446" s="6" t="str">
        <f>IFERROR(__xludf.DUMMYFUNCTION("""COMPUTED_VALUE"""),"")</f>
        <v/>
      </c>
      <c r="C3446" t="str">
        <f>IFERROR(__xludf.DUMMYFUNCTION("""COMPUTED_VALUE"""),"")</f>
        <v/>
      </c>
      <c r="D3446" t="str">
        <f>IFERROR(__xludf.DUMMYFUNCTION("""COMPUTED_VALUE"""),"")</f>
        <v/>
      </c>
      <c r="E3446" t="str">
        <f>IFERROR(__xludf.DUMMYFUNCTION("""COMPUTED_VALUE"""),"")</f>
        <v/>
      </c>
      <c r="F3446" t="str">
        <f>IFERROR(__xludf.DUMMYFUNCTION("""COMPUTED_VALUE"""),"")</f>
        <v/>
      </c>
      <c r="G3446" t="str">
        <f>IFERROR(__xludf.DUMMYFUNCTION("""COMPUTED_VALUE"""),"")</f>
        <v/>
      </c>
      <c r="H3446" s="2" t="str">
        <f>IFERROR(__xludf.DUMMYFUNCTION("""COMPUTED_VALUE"""),"")</f>
        <v/>
      </c>
      <c r="I3446" s="2" t="str">
        <f>IFERROR(__xludf.DUMMYFUNCTION("""COMPUTED_VALUE"""),"")</f>
        <v/>
      </c>
      <c r="J3446" s="2">
        <f>IFERROR(__xludf.DUMMYFUNCTION("""COMPUTED_VALUE"""),0.0)</f>
        <v>0</v>
      </c>
      <c r="K3446" s="5" t="str">
        <f>IFERROR(__xludf.DUMMYFUNCTION("""COMPUTED_VALUE"""),"")</f>
        <v/>
      </c>
      <c r="L3446" t="str">
        <f>IFERROR(__xludf.DUMMYFUNCTION("""COMPUTED_VALUE"""),"")</f>
        <v/>
      </c>
      <c r="M3446" t="str">
        <f>IFERROR(__xludf.DUMMYFUNCTION("""COMPUTED_VALUE"""),"")</f>
        <v/>
      </c>
      <c r="N3446" t="str">
        <f>IFERROR(__xludf.DUMMYFUNCTION("""COMPUTED_VALUE"""),"")</f>
        <v/>
      </c>
      <c r="O3446" t="str">
        <f>IFERROR(__xludf.DUMMYFUNCTION("""COMPUTED_VALUE"""),"")</f>
        <v/>
      </c>
      <c r="P3446" t="str">
        <f>IFERROR(__xludf.DUMMYFUNCTION("""COMPUTED_VALUE"""),"ID ")</f>
        <v>ID </v>
      </c>
    </row>
    <row r="3447">
      <c r="A3447" s="6" t="str">
        <f>IFERROR(__xludf.DUMMYFUNCTION("""COMPUTED_VALUE"""),"")</f>
        <v/>
      </c>
      <c r="C3447" t="str">
        <f>IFERROR(__xludf.DUMMYFUNCTION("""COMPUTED_VALUE"""),"")</f>
        <v/>
      </c>
      <c r="D3447" t="str">
        <f>IFERROR(__xludf.DUMMYFUNCTION("""COMPUTED_VALUE"""),"")</f>
        <v/>
      </c>
      <c r="E3447" t="str">
        <f>IFERROR(__xludf.DUMMYFUNCTION("""COMPUTED_VALUE"""),"")</f>
        <v/>
      </c>
      <c r="F3447" t="str">
        <f>IFERROR(__xludf.DUMMYFUNCTION("""COMPUTED_VALUE"""),"")</f>
        <v/>
      </c>
      <c r="G3447" t="str">
        <f>IFERROR(__xludf.DUMMYFUNCTION("""COMPUTED_VALUE"""),"")</f>
        <v/>
      </c>
      <c r="H3447" s="2" t="str">
        <f>IFERROR(__xludf.DUMMYFUNCTION("""COMPUTED_VALUE"""),"")</f>
        <v/>
      </c>
      <c r="I3447" s="2" t="str">
        <f>IFERROR(__xludf.DUMMYFUNCTION("""COMPUTED_VALUE"""),"")</f>
        <v/>
      </c>
      <c r="J3447" s="2">
        <f>IFERROR(__xludf.DUMMYFUNCTION("""COMPUTED_VALUE"""),0.0)</f>
        <v>0</v>
      </c>
      <c r="K3447" s="5" t="str">
        <f>IFERROR(__xludf.DUMMYFUNCTION("""COMPUTED_VALUE"""),"")</f>
        <v/>
      </c>
      <c r="L3447" t="str">
        <f>IFERROR(__xludf.DUMMYFUNCTION("""COMPUTED_VALUE"""),"")</f>
        <v/>
      </c>
      <c r="M3447" t="str">
        <f>IFERROR(__xludf.DUMMYFUNCTION("""COMPUTED_VALUE"""),"")</f>
        <v/>
      </c>
      <c r="N3447" t="str">
        <f>IFERROR(__xludf.DUMMYFUNCTION("""COMPUTED_VALUE"""),"")</f>
        <v/>
      </c>
      <c r="O3447" t="str">
        <f>IFERROR(__xludf.DUMMYFUNCTION("""COMPUTED_VALUE"""),"")</f>
        <v/>
      </c>
      <c r="P3447" t="str">
        <f>IFERROR(__xludf.DUMMYFUNCTION("""COMPUTED_VALUE"""),"ID ")</f>
        <v>ID </v>
      </c>
    </row>
    <row r="3448">
      <c r="A3448" s="6" t="str">
        <f>IFERROR(__xludf.DUMMYFUNCTION("""COMPUTED_VALUE"""),"")</f>
        <v/>
      </c>
      <c r="C3448" t="str">
        <f>IFERROR(__xludf.DUMMYFUNCTION("""COMPUTED_VALUE"""),"")</f>
        <v/>
      </c>
      <c r="D3448" t="str">
        <f>IFERROR(__xludf.DUMMYFUNCTION("""COMPUTED_VALUE"""),"")</f>
        <v/>
      </c>
      <c r="E3448" t="str">
        <f>IFERROR(__xludf.DUMMYFUNCTION("""COMPUTED_VALUE"""),"")</f>
        <v/>
      </c>
      <c r="F3448" t="str">
        <f>IFERROR(__xludf.DUMMYFUNCTION("""COMPUTED_VALUE"""),"")</f>
        <v/>
      </c>
      <c r="G3448" t="str">
        <f>IFERROR(__xludf.DUMMYFUNCTION("""COMPUTED_VALUE"""),"")</f>
        <v/>
      </c>
      <c r="H3448" s="2" t="str">
        <f>IFERROR(__xludf.DUMMYFUNCTION("""COMPUTED_VALUE"""),"")</f>
        <v/>
      </c>
      <c r="I3448" s="2" t="str">
        <f>IFERROR(__xludf.DUMMYFUNCTION("""COMPUTED_VALUE"""),"")</f>
        <v/>
      </c>
      <c r="J3448" s="2">
        <f>IFERROR(__xludf.DUMMYFUNCTION("""COMPUTED_VALUE"""),0.0)</f>
        <v>0</v>
      </c>
      <c r="K3448" s="5" t="str">
        <f>IFERROR(__xludf.DUMMYFUNCTION("""COMPUTED_VALUE"""),"")</f>
        <v/>
      </c>
      <c r="L3448" t="str">
        <f>IFERROR(__xludf.DUMMYFUNCTION("""COMPUTED_VALUE"""),"")</f>
        <v/>
      </c>
      <c r="M3448" t="str">
        <f>IFERROR(__xludf.DUMMYFUNCTION("""COMPUTED_VALUE"""),"")</f>
        <v/>
      </c>
      <c r="N3448" t="str">
        <f>IFERROR(__xludf.DUMMYFUNCTION("""COMPUTED_VALUE"""),"")</f>
        <v/>
      </c>
      <c r="O3448" t="str">
        <f>IFERROR(__xludf.DUMMYFUNCTION("""COMPUTED_VALUE"""),"")</f>
        <v/>
      </c>
      <c r="P3448" t="str">
        <f>IFERROR(__xludf.DUMMYFUNCTION("""COMPUTED_VALUE"""),"ID ")</f>
        <v>ID </v>
      </c>
    </row>
    <row r="3449">
      <c r="A3449" s="6" t="str">
        <f>IFERROR(__xludf.DUMMYFUNCTION("""COMPUTED_VALUE"""),"")</f>
        <v/>
      </c>
      <c r="C3449" t="str">
        <f>IFERROR(__xludf.DUMMYFUNCTION("""COMPUTED_VALUE"""),"")</f>
        <v/>
      </c>
      <c r="D3449" t="str">
        <f>IFERROR(__xludf.DUMMYFUNCTION("""COMPUTED_VALUE"""),"")</f>
        <v/>
      </c>
      <c r="E3449" t="str">
        <f>IFERROR(__xludf.DUMMYFUNCTION("""COMPUTED_VALUE"""),"")</f>
        <v/>
      </c>
      <c r="F3449" t="str">
        <f>IFERROR(__xludf.DUMMYFUNCTION("""COMPUTED_VALUE"""),"")</f>
        <v/>
      </c>
      <c r="G3449" t="str">
        <f>IFERROR(__xludf.DUMMYFUNCTION("""COMPUTED_VALUE"""),"")</f>
        <v/>
      </c>
      <c r="H3449" s="2" t="str">
        <f>IFERROR(__xludf.DUMMYFUNCTION("""COMPUTED_VALUE"""),"")</f>
        <v/>
      </c>
      <c r="I3449" s="2" t="str">
        <f>IFERROR(__xludf.DUMMYFUNCTION("""COMPUTED_VALUE"""),"")</f>
        <v/>
      </c>
      <c r="J3449" s="2">
        <f>IFERROR(__xludf.DUMMYFUNCTION("""COMPUTED_VALUE"""),0.0)</f>
        <v>0</v>
      </c>
      <c r="K3449" s="5" t="str">
        <f>IFERROR(__xludf.DUMMYFUNCTION("""COMPUTED_VALUE"""),"")</f>
        <v/>
      </c>
      <c r="L3449" t="str">
        <f>IFERROR(__xludf.DUMMYFUNCTION("""COMPUTED_VALUE"""),"")</f>
        <v/>
      </c>
      <c r="M3449" t="str">
        <f>IFERROR(__xludf.DUMMYFUNCTION("""COMPUTED_VALUE"""),"")</f>
        <v/>
      </c>
      <c r="N3449" t="str">
        <f>IFERROR(__xludf.DUMMYFUNCTION("""COMPUTED_VALUE"""),"")</f>
        <v/>
      </c>
      <c r="O3449" t="str">
        <f>IFERROR(__xludf.DUMMYFUNCTION("""COMPUTED_VALUE"""),"")</f>
        <v/>
      </c>
      <c r="P3449" t="str">
        <f>IFERROR(__xludf.DUMMYFUNCTION("""COMPUTED_VALUE"""),"ID ")</f>
        <v>ID </v>
      </c>
    </row>
    <row r="3450">
      <c r="A3450" s="6" t="str">
        <f>IFERROR(__xludf.DUMMYFUNCTION("""COMPUTED_VALUE"""),"")</f>
        <v/>
      </c>
      <c r="C3450" t="str">
        <f>IFERROR(__xludf.DUMMYFUNCTION("""COMPUTED_VALUE"""),"")</f>
        <v/>
      </c>
      <c r="D3450" t="str">
        <f>IFERROR(__xludf.DUMMYFUNCTION("""COMPUTED_VALUE"""),"")</f>
        <v/>
      </c>
      <c r="E3450" t="str">
        <f>IFERROR(__xludf.DUMMYFUNCTION("""COMPUTED_VALUE"""),"")</f>
        <v/>
      </c>
      <c r="F3450" t="str">
        <f>IFERROR(__xludf.DUMMYFUNCTION("""COMPUTED_VALUE"""),"")</f>
        <v/>
      </c>
      <c r="G3450" t="str">
        <f>IFERROR(__xludf.DUMMYFUNCTION("""COMPUTED_VALUE"""),"")</f>
        <v/>
      </c>
      <c r="H3450" s="2" t="str">
        <f>IFERROR(__xludf.DUMMYFUNCTION("""COMPUTED_VALUE"""),"")</f>
        <v/>
      </c>
      <c r="I3450" s="2" t="str">
        <f>IFERROR(__xludf.DUMMYFUNCTION("""COMPUTED_VALUE"""),"")</f>
        <v/>
      </c>
      <c r="J3450" s="2">
        <f>IFERROR(__xludf.DUMMYFUNCTION("""COMPUTED_VALUE"""),0.0)</f>
        <v>0</v>
      </c>
      <c r="K3450" s="5" t="str">
        <f>IFERROR(__xludf.DUMMYFUNCTION("""COMPUTED_VALUE"""),"")</f>
        <v/>
      </c>
      <c r="L3450" t="str">
        <f>IFERROR(__xludf.DUMMYFUNCTION("""COMPUTED_VALUE"""),"")</f>
        <v/>
      </c>
      <c r="M3450" t="str">
        <f>IFERROR(__xludf.DUMMYFUNCTION("""COMPUTED_VALUE"""),"")</f>
        <v/>
      </c>
      <c r="N3450" t="str">
        <f>IFERROR(__xludf.DUMMYFUNCTION("""COMPUTED_VALUE"""),"")</f>
        <v/>
      </c>
      <c r="O3450" t="str">
        <f>IFERROR(__xludf.DUMMYFUNCTION("""COMPUTED_VALUE"""),"")</f>
        <v/>
      </c>
      <c r="P3450" t="str">
        <f>IFERROR(__xludf.DUMMYFUNCTION("""COMPUTED_VALUE"""),"ID ")</f>
        <v>ID </v>
      </c>
    </row>
    <row r="3451">
      <c r="A3451" s="6" t="str">
        <f>IFERROR(__xludf.DUMMYFUNCTION("""COMPUTED_VALUE"""),"")</f>
        <v/>
      </c>
      <c r="C3451" t="str">
        <f>IFERROR(__xludf.DUMMYFUNCTION("""COMPUTED_VALUE"""),"")</f>
        <v/>
      </c>
      <c r="D3451" t="str">
        <f>IFERROR(__xludf.DUMMYFUNCTION("""COMPUTED_VALUE"""),"")</f>
        <v/>
      </c>
      <c r="E3451" t="str">
        <f>IFERROR(__xludf.DUMMYFUNCTION("""COMPUTED_VALUE"""),"")</f>
        <v/>
      </c>
      <c r="F3451" t="str">
        <f>IFERROR(__xludf.DUMMYFUNCTION("""COMPUTED_VALUE"""),"")</f>
        <v/>
      </c>
      <c r="G3451" t="str">
        <f>IFERROR(__xludf.DUMMYFUNCTION("""COMPUTED_VALUE"""),"")</f>
        <v/>
      </c>
      <c r="H3451" s="2" t="str">
        <f>IFERROR(__xludf.DUMMYFUNCTION("""COMPUTED_VALUE"""),"")</f>
        <v/>
      </c>
      <c r="I3451" s="2" t="str">
        <f>IFERROR(__xludf.DUMMYFUNCTION("""COMPUTED_VALUE"""),"")</f>
        <v/>
      </c>
      <c r="J3451" s="2">
        <f>IFERROR(__xludf.DUMMYFUNCTION("""COMPUTED_VALUE"""),0.0)</f>
        <v>0</v>
      </c>
      <c r="K3451" s="5" t="str">
        <f>IFERROR(__xludf.DUMMYFUNCTION("""COMPUTED_VALUE"""),"")</f>
        <v/>
      </c>
      <c r="L3451" t="str">
        <f>IFERROR(__xludf.DUMMYFUNCTION("""COMPUTED_VALUE"""),"")</f>
        <v/>
      </c>
      <c r="M3451" t="str">
        <f>IFERROR(__xludf.DUMMYFUNCTION("""COMPUTED_VALUE"""),"")</f>
        <v/>
      </c>
      <c r="N3451" t="str">
        <f>IFERROR(__xludf.DUMMYFUNCTION("""COMPUTED_VALUE"""),"")</f>
        <v/>
      </c>
      <c r="O3451" t="str">
        <f>IFERROR(__xludf.DUMMYFUNCTION("""COMPUTED_VALUE"""),"")</f>
        <v/>
      </c>
      <c r="P3451" t="str">
        <f>IFERROR(__xludf.DUMMYFUNCTION("""COMPUTED_VALUE"""),"ID ")</f>
        <v>ID </v>
      </c>
    </row>
    <row r="3452">
      <c r="A3452" s="6" t="str">
        <f>IFERROR(__xludf.DUMMYFUNCTION("""COMPUTED_VALUE"""),"")</f>
        <v/>
      </c>
      <c r="C3452" t="str">
        <f>IFERROR(__xludf.DUMMYFUNCTION("""COMPUTED_VALUE"""),"")</f>
        <v/>
      </c>
      <c r="D3452" t="str">
        <f>IFERROR(__xludf.DUMMYFUNCTION("""COMPUTED_VALUE"""),"")</f>
        <v/>
      </c>
      <c r="E3452" t="str">
        <f>IFERROR(__xludf.DUMMYFUNCTION("""COMPUTED_VALUE"""),"")</f>
        <v/>
      </c>
      <c r="F3452" t="str">
        <f>IFERROR(__xludf.DUMMYFUNCTION("""COMPUTED_VALUE"""),"")</f>
        <v/>
      </c>
      <c r="G3452" t="str">
        <f>IFERROR(__xludf.DUMMYFUNCTION("""COMPUTED_VALUE"""),"")</f>
        <v/>
      </c>
      <c r="H3452" s="2" t="str">
        <f>IFERROR(__xludf.DUMMYFUNCTION("""COMPUTED_VALUE"""),"")</f>
        <v/>
      </c>
      <c r="I3452" s="2" t="str">
        <f>IFERROR(__xludf.DUMMYFUNCTION("""COMPUTED_VALUE"""),"")</f>
        <v/>
      </c>
      <c r="J3452" s="2">
        <f>IFERROR(__xludf.DUMMYFUNCTION("""COMPUTED_VALUE"""),0.0)</f>
        <v>0</v>
      </c>
      <c r="K3452" s="5" t="str">
        <f>IFERROR(__xludf.DUMMYFUNCTION("""COMPUTED_VALUE"""),"")</f>
        <v/>
      </c>
      <c r="L3452" t="str">
        <f>IFERROR(__xludf.DUMMYFUNCTION("""COMPUTED_VALUE"""),"")</f>
        <v/>
      </c>
      <c r="M3452" t="str">
        <f>IFERROR(__xludf.DUMMYFUNCTION("""COMPUTED_VALUE"""),"")</f>
        <v/>
      </c>
      <c r="N3452" t="str">
        <f>IFERROR(__xludf.DUMMYFUNCTION("""COMPUTED_VALUE"""),"")</f>
        <v/>
      </c>
      <c r="O3452" t="str">
        <f>IFERROR(__xludf.DUMMYFUNCTION("""COMPUTED_VALUE"""),"")</f>
        <v/>
      </c>
      <c r="P3452" t="str">
        <f>IFERROR(__xludf.DUMMYFUNCTION("""COMPUTED_VALUE"""),"ID ")</f>
        <v>ID </v>
      </c>
    </row>
    <row r="3453">
      <c r="A3453" s="6" t="str">
        <f>IFERROR(__xludf.DUMMYFUNCTION("""COMPUTED_VALUE"""),"")</f>
        <v/>
      </c>
      <c r="C3453" t="str">
        <f>IFERROR(__xludf.DUMMYFUNCTION("""COMPUTED_VALUE"""),"")</f>
        <v/>
      </c>
      <c r="D3453" t="str">
        <f>IFERROR(__xludf.DUMMYFUNCTION("""COMPUTED_VALUE"""),"")</f>
        <v/>
      </c>
      <c r="E3453" t="str">
        <f>IFERROR(__xludf.DUMMYFUNCTION("""COMPUTED_VALUE"""),"")</f>
        <v/>
      </c>
      <c r="F3453" t="str">
        <f>IFERROR(__xludf.DUMMYFUNCTION("""COMPUTED_VALUE"""),"")</f>
        <v/>
      </c>
      <c r="G3453" t="str">
        <f>IFERROR(__xludf.DUMMYFUNCTION("""COMPUTED_VALUE"""),"")</f>
        <v/>
      </c>
      <c r="H3453" s="2" t="str">
        <f>IFERROR(__xludf.DUMMYFUNCTION("""COMPUTED_VALUE"""),"")</f>
        <v/>
      </c>
      <c r="I3453" s="2" t="str">
        <f>IFERROR(__xludf.DUMMYFUNCTION("""COMPUTED_VALUE"""),"")</f>
        <v/>
      </c>
      <c r="J3453" s="2">
        <f>IFERROR(__xludf.DUMMYFUNCTION("""COMPUTED_VALUE"""),0.0)</f>
        <v>0</v>
      </c>
      <c r="K3453" s="5" t="str">
        <f>IFERROR(__xludf.DUMMYFUNCTION("""COMPUTED_VALUE"""),"")</f>
        <v/>
      </c>
      <c r="L3453" t="str">
        <f>IFERROR(__xludf.DUMMYFUNCTION("""COMPUTED_VALUE"""),"")</f>
        <v/>
      </c>
      <c r="M3453" t="str">
        <f>IFERROR(__xludf.DUMMYFUNCTION("""COMPUTED_VALUE"""),"")</f>
        <v/>
      </c>
      <c r="N3453" t="str">
        <f>IFERROR(__xludf.DUMMYFUNCTION("""COMPUTED_VALUE"""),"")</f>
        <v/>
      </c>
      <c r="O3453" t="str">
        <f>IFERROR(__xludf.DUMMYFUNCTION("""COMPUTED_VALUE"""),"")</f>
        <v/>
      </c>
      <c r="P3453" t="str">
        <f>IFERROR(__xludf.DUMMYFUNCTION("""COMPUTED_VALUE"""),"ID ")</f>
        <v>ID </v>
      </c>
    </row>
    <row r="3454">
      <c r="A3454" s="6" t="str">
        <f>IFERROR(__xludf.DUMMYFUNCTION("""COMPUTED_VALUE"""),"")</f>
        <v/>
      </c>
      <c r="C3454" t="str">
        <f>IFERROR(__xludf.DUMMYFUNCTION("""COMPUTED_VALUE"""),"")</f>
        <v/>
      </c>
      <c r="D3454" t="str">
        <f>IFERROR(__xludf.DUMMYFUNCTION("""COMPUTED_VALUE"""),"")</f>
        <v/>
      </c>
      <c r="E3454" t="str">
        <f>IFERROR(__xludf.DUMMYFUNCTION("""COMPUTED_VALUE"""),"")</f>
        <v/>
      </c>
      <c r="F3454" t="str">
        <f>IFERROR(__xludf.DUMMYFUNCTION("""COMPUTED_VALUE"""),"")</f>
        <v/>
      </c>
      <c r="G3454" t="str">
        <f>IFERROR(__xludf.DUMMYFUNCTION("""COMPUTED_VALUE"""),"")</f>
        <v/>
      </c>
      <c r="H3454" s="2" t="str">
        <f>IFERROR(__xludf.DUMMYFUNCTION("""COMPUTED_VALUE"""),"")</f>
        <v/>
      </c>
      <c r="I3454" s="2" t="str">
        <f>IFERROR(__xludf.DUMMYFUNCTION("""COMPUTED_VALUE"""),"")</f>
        <v/>
      </c>
      <c r="J3454" s="2">
        <f>IFERROR(__xludf.DUMMYFUNCTION("""COMPUTED_VALUE"""),0.0)</f>
        <v>0</v>
      </c>
      <c r="K3454" s="5" t="str">
        <f>IFERROR(__xludf.DUMMYFUNCTION("""COMPUTED_VALUE"""),"")</f>
        <v/>
      </c>
      <c r="L3454" t="str">
        <f>IFERROR(__xludf.DUMMYFUNCTION("""COMPUTED_VALUE"""),"")</f>
        <v/>
      </c>
      <c r="M3454" t="str">
        <f>IFERROR(__xludf.DUMMYFUNCTION("""COMPUTED_VALUE"""),"")</f>
        <v/>
      </c>
      <c r="N3454" t="str">
        <f>IFERROR(__xludf.DUMMYFUNCTION("""COMPUTED_VALUE"""),"")</f>
        <v/>
      </c>
      <c r="O3454" t="str">
        <f>IFERROR(__xludf.DUMMYFUNCTION("""COMPUTED_VALUE"""),"")</f>
        <v/>
      </c>
      <c r="P3454" t="str">
        <f>IFERROR(__xludf.DUMMYFUNCTION("""COMPUTED_VALUE"""),"ID ")</f>
        <v>ID </v>
      </c>
    </row>
    <row r="3455">
      <c r="A3455" s="6" t="str">
        <f>IFERROR(__xludf.DUMMYFUNCTION("""COMPUTED_VALUE"""),"")</f>
        <v/>
      </c>
      <c r="C3455" t="str">
        <f>IFERROR(__xludf.DUMMYFUNCTION("""COMPUTED_VALUE"""),"")</f>
        <v/>
      </c>
      <c r="D3455" t="str">
        <f>IFERROR(__xludf.DUMMYFUNCTION("""COMPUTED_VALUE"""),"")</f>
        <v/>
      </c>
      <c r="E3455" t="str">
        <f>IFERROR(__xludf.DUMMYFUNCTION("""COMPUTED_VALUE"""),"")</f>
        <v/>
      </c>
      <c r="F3455" t="str">
        <f>IFERROR(__xludf.DUMMYFUNCTION("""COMPUTED_VALUE"""),"")</f>
        <v/>
      </c>
      <c r="G3455" t="str">
        <f>IFERROR(__xludf.DUMMYFUNCTION("""COMPUTED_VALUE"""),"")</f>
        <v/>
      </c>
      <c r="H3455" s="2" t="str">
        <f>IFERROR(__xludf.DUMMYFUNCTION("""COMPUTED_VALUE"""),"")</f>
        <v/>
      </c>
      <c r="I3455" s="2" t="str">
        <f>IFERROR(__xludf.DUMMYFUNCTION("""COMPUTED_VALUE"""),"")</f>
        <v/>
      </c>
      <c r="J3455" s="2">
        <f>IFERROR(__xludf.DUMMYFUNCTION("""COMPUTED_VALUE"""),0.0)</f>
        <v>0</v>
      </c>
      <c r="K3455" s="5" t="str">
        <f>IFERROR(__xludf.DUMMYFUNCTION("""COMPUTED_VALUE"""),"")</f>
        <v/>
      </c>
      <c r="L3455" t="str">
        <f>IFERROR(__xludf.DUMMYFUNCTION("""COMPUTED_VALUE"""),"")</f>
        <v/>
      </c>
      <c r="M3455" t="str">
        <f>IFERROR(__xludf.DUMMYFUNCTION("""COMPUTED_VALUE"""),"")</f>
        <v/>
      </c>
      <c r="N3455" t="str">
        <f>IFERROR(__xludf.DUMMYFUNCTION("""COMPUTED_VALUE"""),"")</f>
        <v/>
      </c>
      <c r="O3455" t="str">
        <f>IFERROR(__xludf.DUMMYFUNCTION("""COMPUTED_VALUE"""),"")</f>
        <v/>
      </c>
      <c r="P3455" t="str">
        <f>IFERROR(__xludf.DUMMYFUNCTION("""COMPUTED_VALUE"""),"ID ")</f>
        <v>ID </v>
      </c>
    </row>
    <row r="3456">
      <c r="A3456" s="6" t="str">
        <f>IFERROR(__xludf.DUMMYFUNCTION("""COMPUTED_VALUE"""),"")</f>
        <v/>
      </c>
      <c r="C3456" t="str">
        <f>IFERROR(__xludf.DUMMYFUNCTION("""COMPUTED_VALUE"""),"")</f>
        <v/>
      </c>
      <c r="D3456" t="str">
        <f>IFERROR(__xludf.DUMMYFUNCTION("""COMPUTED_VALUE"""),"")</f>
        <v/>
      </c>
      <c r="E3456" t="str">
        <f>IFERROR(__xludf.DUMMYFUNCTION("""COMPUTED_VALUE"""),"")</f>
        <v/>
      </c>
      <c r="F3456" t="str">
        <f>IFERROR(__xludf.DUMMYFUNCTION("""COMPUTED_VALUE"""),"")</f>
        <v/>
      </c>
      <c r="G3456" t="str">
        <f>IFERROR(__xludf.DUMMYFUNCTION("""COMPUTED_VALUE"""),"")</f>
        <v/>
      </c>
      <c r="H3456" s="2" t="str">
        <f>IFERROR(__xludf.DUMMYFUNCTION("""COMPUTED_VALUE"""),"")</f>
        <v/>
      </c>
      <c r="I3456" s="2" t="str">
        <f>IFERROR(__xludf.DUMMYFUNCTION("""COMPUTED_VALUE"""),"")</f>
        <v/>
      </c>
      <c r="J3456" s="2">
        <f>IFERROR(__xludf.DUMMYFUNCTION("""COMPUTED_VALUE"""),0.0)</f>
        <v>0</v>
      </c>
      <c r="K3456" s="5" t="str">
        <f>IFERROR(__xludf.DUMMYFUNCTION("""COMPUTED_VALUE"""),"")</f>
        <v/>
      </c>
      <c r="L3456" t="str">
        <f>IFERROR(__xludf.DUMMYFUNCTION("""COMPUTED_VALUE"""),"")</f>
        <v/>
      </c>
      <c r="M3456" t="str">
        <f>IFERROR(__xludf.DUMMYFUNCTION("""COMPUTED_VALUE"""),"")</f>
        <v/>
      </c>
      <c r="N3456" t="str">
        <f>IFERROR(__xludf.DUMMYFUNCTION("""COMPUTED_VALUE"""),"")</f>
        <v/>
      </c>
      <c r="O3456" t="str">
        <f>IFERROR(__xludf.DUMMYFUNCTION("""COMPUTED_VALUE"""),"")</f>
        <v/>
      </c>
      <c r="P3456" t="str">
        <f>IFERROR(__xludf.DUMMYFUNCTION("""COMPUTED_VALUE"""),"ID ")</f>
        <v>ID </v>
      </c>
    </row>
    <row r="3457">
      <c r="A3457" s="6" t="str">
        <f>IFERROR(__xludf.DUMMYFUNCTION("""COMPUTED_VALUE"""),"")</f>
        <v/>
      </c>
      <c r="C3457" t="str">
        <f>IFERROR(__xludf.DUMMYFUNCTION("""COMPUTED_VALUE"""),"")</f>
        <v/>
      </c>
      <c r="D3457" t="str">
        <f>IFERROR(__xludf.DUMMYFUNCTION("""COMPUTED_VALUE"""),"")</f>
        <v/>
      </c>
      <c r="E3457" t="str">
        <f>IFERROR(__xludf.DUMMYFUNCTION("""COMPUTED_VALUE"""),"")</f>
        <v/>
      </c>
      <c r="F3457" t="str">
        <f>IFERROR(__xludf.DUMMYFUNCTION("""COMPUTED_VALUE"""),"")</f>
        <v/>
      </c>
      <c r="G3457" t="str">
        <f>IFERROR(__xludf.DUMMYFUNCTION("""COMPUTED_VALUE"""),"")</f>
        <v/>
      </c>
      <c r="H3457" s="2" t="str">
        <f>IFERROR(__xludf.DUMMYFUNCTION("""COMPUTED_VALUE"""),"")</f>
        <v/>
      </c>
      <c r="I3457" s="2" t="str">
        <f>IFERROR(__xludf.DUMMYFUNCTION("""COMPUTED_VALUE"""),"")</f>
        <v/>
      </c>
      <c r="J3457" s="2">
        <f>IFERROR(__xludf.DUMMYFUNCTION("""COMPUTED_VALUE"""),0.0)</f>
        <v>0</v>
      </c>
      <c r="K3457" s="5" t="str">
        <f>IFERROR(__xludf.DUMMYFUNCTION("""COMPUTED_VALUE"""),"")</f>
        <v/>
      </c>
      <c r="L3457" t="str">
        <f>IFERROR(__xludf.DUMMYFUNCTION("""COMPUTED_VALUE"""),"")</f>
        <v/>
      </c>
      <c r="M3457" t="str">
        <f>IFERROR(__xludf.DUMMYFUNCTION("""COMPUTED_VALUE"""),"")</f>
        <v/>
      </c>
      <c r="N3457" t="str">
        <f>IFERROR(__xludf.DUMMYFUNCTION("""COMPUTED_VALUE"""),"")</f>
        <v/>
      </c>
      <c r="O3457" t="str">
        <f>IFERROR(__xludf.DUMMYFUNCTION("""COMPUTED_VALUE"""),"")</f>
        <v/>
      </c>
      <c r="P3457" t="str">
        <f>IFERROR(__xludf.DUMMYFUNCTION("""COMPUTED_VALUE"""),"ID ")</f>
        <v>ID </v>
      </c>
    </row>
    <row r="3458">
      <c r="A3458" s="6" t="str">
        <f>IFERROR(__xludf.DUMMYFUNCTION("""COMPUTED_VALUE"""),"")</f>
        <v/>
      </c>
      <c r="C3458" t="str">
        <f>IFERROR(__xludf.DUMMYFUNCTION("""COMPUTED_VALUE"""),"")</f>
        <v/>
      </c>
      <c r="D3458" t="str">
        <f>IFERROR(__xludf.DUMMYFUNCTION("""COMPUTED_VALUE"""),"")</f>
        <v/>
      </c>
      <c r="E3458" t="str">
        <f>IFERROR(__xludf.DUMMYFUNCTION("""COMPUTED_VALUE"""),"")</f>
        <v/>
      </c>
      <c r="F3458" t="str">
        <f>IFERROR(__xludf.DUMMYFUNCTION("""COMPUTED_VALUE"""),"")</f>
        <v/>
      </c>
      <c r="G3458" t="str">
        <f>IFERROR(__xludf.DUMMYFUNCTION("""COMPUTED_VALUE"""),"")</f>
        <v/>
      </c>
      <c r="H3458" s="2" t="str">
        <f>IFERROR(__xludf.DUMMYFUNCTION("""COMPUTED_VALUE"""),"")</f>
        <v/>
      </c>
      <c r="I3458" s="2" t="str">
        <f>IFERROR(__xludf.DUMMYFUNCTION("""COMPUTED_VALUE"""),"")</f>
        <v/>
      </c>
      <c r="J3458" s="2">
        <f>IFERROR(__xludf.DUMMYFUNCTION("""COMPUTED_VALUE"""),0.0)</f>
        <v>0</v>
      </c>
      <c r="K3458" s="5" t="str">
        <f>IFERROR(__xludf.DUMMYFUNCTION("""COMPUTED_VALUE"""),"")</f>
        <v/>
      </c>
      <c r="L3458" t="str">
        <f>IFERROR(__xludf.DUMMYFUNCTION("""COMPUTED_VALUE"""),"")</f>
        <v/>
      </c>
      <c r="M3458" t="str">
        <f>IFERROR(__xludf.DUMMYFUNCTION("""COMPUTED_VALUE"""),"")</f>
        <v/>
      </c>
      <c r="N3458" t="str">
        <f>IFERROR(__xludf.DUMMYFUNCTION("""COMPUTED_VALUE"""),"")</f>
        <v/>
      </c>
      <c r="O3458" t="str">
        <f>IFERROR(__xludf.DUMMYFUNCTION("""COMPUTED_VALUE"""),"")</f>
        <v/>
      </c>
      <c r="P3458" t="str">
        <f>IFERROR(__xludf.DUMMYFUNCTION("""COMPUTED_VALUE"""),"ID ")</f>
        <v>ID </v>
      </c>
    </row>
    <row r="3459">
      <c r="A3459" s="6" t="str">
        <f>IFERROR(__xludf.DUMMYFUNCTION("""COMPUTED_VALUE"""),"")</f>
        <v/>
      </c>
      <c r="C3459" t="str">
        <f>IFERROR(__xludf.DUMMYFUNCTION("""COMPUTED_VALUE"""),"")</f>
        <v/>
      </c>
      <c r="D3459" t="str">
        <f>IFERROR(__xludf.DUMMYFUNCTION("""COMPUTED_VALUE"""),"")</f>
        <v/>
      </c>
      <c r="E3459" t="str">
        <f>IFERROR(__xludf.DUMMYFUNCTION("""COMPUTED_VALUE"""),"")</f>
        <v/>
      </c>
      <c r="F3459" t="str">
        <f>IFERROR(__xludf.DUMMYFUNCTION("""COMPUTED_VALUE"""),"")</f>
        <v/>
      </c>
      <c r="G3459" t="str">
        <f>IFERROR(__xludf.DUMMYFUNCTION("""COMPUTED_VALUE"""),"")</f>
        <v/>
      </c>
      <c r="H3459" s="2" t="str">
        <f>IFERROR(__xludf.DUMMYFUNCTION("""COMPUTED_VALUE"""),"")</f>
        <v/>
      </c>
      <c r="I3459" s="2" t="str">
        <f>IFERROR(__xludf.DUMMYFUNCTION("""COMPUTED_VALUE"""),"")</f>
        <v/>
      </c>
      <c r="J3459" s="2">
        <f>IFERROR(__xludf.DUMMYFUNCTION("""COMPUTED_VALUE"""),0.0)</f>
        <v>0</v>
      </c>
      <c r="K3459" s="5" t="str">
        <f>IFERROR(__xludf.DUMMYFUNCTION("""COMPUTED_VALUE"""),"")</f>
        <v/>
      </c>
      <c r="L3459" t="str">
        <f>IFERROR(__xludf.DUMMYFUNCTION("""COMPUTED_VALUE"""),"")</f>
        <v/>
      </c>
      <c r="M3459" t="str">
        <f>IFERROR(__xludf.DUMMYFUNCTION("""COMPUTED_VALUE"""),"")</f>
        <v/>
      </c>
      <c r="N3459" t="str">
        <f>IFERROR(__xludf.DUMMYFUNCTION("""COMPUTED_VALUE"""),"")</f>
        <v/>
      </c>
      <c r="O3459" t="str">
        <f>IFERROR(__xludf.DUMMYFUNCTION("""COMPUTED_VALUE"""),"")</f>
        <v/>
      </c>
      <c r="P3459" t="str">
        <f>IFERROR(__xludf.DUMMYFUNCTION("""COMPUTED_VALUE"""),"ID ")</f>
        <v>ID </v>
      </c>
    </row>
    <row r="3460">
      <c r="A3460" s="6" t="str">
        <f>IFERROR(__xludf.DUMMYFUNCTION("""COMPUTED_VALUE"""),"")</f>
        <v/>
      </c>
      <c r="C3460" t="str">
        <f>IFERROR(__xludf.DUMMYFUNCTION("""COMPUTED_VALUE"""),"")</f>
        <v/>
      </c>
      <c r="D3460" t="str">
        <f>IFERROR(__xludf.DUMMYFUNCTION("""COMPUTED_VALUE"""),"")</f>
        <v/>
      </c>
      <c r="E3460" t="str">
        <f>IFERROR(__xludf.DUMMYFUNCTION("""COMPUTED_VALUE"""),"")</f>
        <v/>
      </c>
      <c r="F3460" t="str">
        <f>IFERROR(__xludf.DUMMYFUNCTION("""COMPUTED_VALUE"""),"")</f>
        <v/>
      </c>
      <c r="G3460" t="str">
        <f>IFERROR(__xludf.DUMMYFUNCTION("""COMPUTED_VALUE"""),"")</f>
        <v/>
      </c>
      <c r="H3460" s="2" t="str">
        <f>IFERROR(__xludf.DUMMYFUNCTION("""COMPUTED_VALUE"""),"")</f>
        <v/>
      </c>
      <c r="I3460" s="2" t="str">
        <f>IFERROR(__xludf.DUMMYFUNCTION("""COMPUTED_VALUE"""),"")</f>
        <v/>
      </c>
      <c r="J3460" s="2">
        <f>IFERROR(__xludf.DUMMYFUNCTION("""COMPUTED_VALUE"""),0.0)</f>
        <v>0</v>
      </c>
      <c r="K3460" s="5" t="str">
        <f>IFERROR(__xludf.DUMMYFUNCTION("""COMPUTED_VALUE"""),"")</f>
        <v/>
      </c>
      <c r="L3460" t="str">
        <f>IFERROR(__xludf.DUMMYFUNCTION("""COMPUTED_VALUE"""),"")</f>
        <v/>
      </c>
      <c r="M3460" t="str">
        <f>IFERROR(__xludf.DUMMYFUNCTION("""COMPUTED_VALUE"""),"")</f>
        <v/>
      </c>
      <c r="N3460" t="str">
        <f>IFERROR(__xludf.DUMMYFUNCTION("""COMPUTED_VALUE"""),"")</f>
        <v/>
      </c>
      <c r="O3460" t="str">
        <f>IFERROR(__xludf.DUMMYFUNCTION("""COMPUTED_VALUE"""),"")</f>
        <v/>
      </c>
      <c r="P3460" t="str">
        <f>IFERROR(__xludf.DUMMYFUNCTION("""COMPUTED_VALUE"""),"ID ")</f>
        <v>ID </v>
      </c>
    </row>
    <row r="3461">
      <c r="A3461" s="6" t="str">
        <f>IFERROR(__xludf.DUMMYFUNCTION("""COMPUTED_VALUE"""),"")</f>
        <v/>
      </c>
      <c r="C3461" t="str">
        <f>IFERROR(__xludf.DUMMYFUNCTION("""COMPUTED_VALUE"""),"")</f>
        <v/>
      </c>
      <c r="D3461" t="str">
        <f>IFERROR(__xludf.DUMMYFUNCTION("""COMPUTED_VALUE"""),"")</f>
        <v/>
      </c>
      <c r="E3461" t="str">
        <f>IFERROR(__xludf.DUMMYFUNCTION("""COMPUTED_VALUE"""),"")</f>
        <v/>
      </c>
      <c r="F3461" t="str">
        <f>IFERROR(__xludf.DUMMYFUNCTION("""COMPUTED_VALUE"""),"")</f>
        <v/>
      </c>
      <c r="G3461" t="str">
        <f>IFERROR(__xludf.DUMMYFUNCTION("""COMPUTED_VALUE"""),"")</f>
        <v/>
      </c>
      <c r="H3461" s="2" t="str">
        <f>IFERROR(__xludf.DUMMYFUNCTION("""COMPUTED_VALUE"""),"")</f>
        <v/>
      </c>
      <c r="I3461" s="2" t="str">
        <f>IFERROR(__xludf.DUMMYFUNCTION("""COMPUTED_VALUE"""),"")</f>
        <v/>
      </c>
      <c r="J3461" s="2">
        <f>IFERROR(__xludf.DUMMYFUNCTION("""COMPUTED_VALUE"""),0.0)</f>
        <v>0</v>
      </c>
      <c r="K3461" s="5" t="str">
        <f>IFERROR(__xludf.DUMMYFUNCTION("""COMPUTED_VALUE"""),"")</f>
        <v/>
      </c>
      <c r="L3461" t="str">
        <f>IFERROR(__xludf.DUMMYFUNCTION("""COMPUTED_VALUE"""),"")</f>
        <v/>
      </c>
      <c r="M3461" t="str">
        <f>IFERROR(__xludf.DUMMYFUNCTION("""COMPUTED_VALUE"""),"")</f>
        <v/>
      </c>
      <c r="N3461" t="str">
        <f>IFERROR(__xludf.DUMMYFUNCTION("""COMPUTED_VALUE"""),"")</f>
        <v/>
      </c>
      <c r="O3461" t="str">
        <f>IFERROR(__xludf.DUMMYFUNCTION("""COMPUTED_VALUE"""),"")</f>
        <v/>
      </c>
      <c r="P3461" t="str">
        <f>IFERROR(__xludf.DUMMYFUNCTION("""COMPUTED_VALUE"""),"ID ")</f>
        <v>ID </v>
      </c>
    </row>
    <row r="3462">
      <c r="A3462" s="6" t="str">
        <f>IFERROR(__xludf.DUMMYFUNCTION("""COMPUTED_VALUE"""),"")</f>
        <v/>
      </c>
      <c r="C3462" t="str">
        <f>IFERROR(__xludf.DUMMYFUNCTION("""COMPUTED_VALUE"""),"")</f>
        <v/>
      </c>
      <c r="D3462" t="str">
        <f>IFERROR(__xludf.DUMMYFUNCTION("""COMPUTED_VALUE"""),"")</f>
        <v/>
      </c>
      <c r="E3462" t="str">
        <f>IFERROR(__xludf.DUMMYFUNCTION("""COMPUTED_VALUE"""),"")</f>
        <v/>
      </c>
      <c r="F3462" t="str">
        <f>IFERROR(__xludf.DUMMYFUNCTION("""COMPUTED_VALUE"""),"")</f>
        <v/>
      </c>
      <c r="G3462" t="str">
        <f>IFERROR(__xludf.DUMMYFUNCTION("""COMPUTED_VALUE"""),"")</f>
        <v/>
      </c>
      <c r="H3462" s="2" t="str">
        <f>IFERROR(__xludf.DUMMYFUNCTION("""COMPUTED_VALUE"""),"")</f>
        <v/>
      </c>
      <c r="I3462" s="2" t="str">
        <f>IFERROR(__xludf.DUMMYFUNCTION("""COMPUTED_VALUE"""),"")</f>
        <v/>
      </c>
      <c r="J3462" s="2">
        <f>IFERROR(__xludf.DUMMYFUNCTION("""COMPUTED_VALUE"""),0.0)</f>
        <v>0</v>
      </c>
      <c r="K3462" s="5" t="str">
        <f>IFERROR(__xludf.DUMMYFUNCTION("""COMPUTED_VALUE"""),"")</f>
        <v/>
      </c>
      <c r="L3462" t="str">
        <f>IFERROR(__xludf.DUMMYFUNCTION("""COMPUTED_VALUE"""),"")</f>
        <v/>
      </c>
      <c r="M3462" t="str">
        <f>IFERROR(__xludf.DUMMYFUNCTION("""COMPUTED_VALUE"""),"")</f>
        <v/>
      </c>
      <c r="N3462" t="str">
        <f>IFERROR(__xludf.DUMMYFUNCTION("""COMPUTED_VALUE"""),"")</f>
        <v/>
      </c>
      <c r="O3462" t="str">
        <f>IFERROR(__xludf.DUMMYFUNCTION("""COMPUTED_VALUE"""),"")</f>
        <v/>
      </c>
      <c r="P3462" t="str">
        <f>IFERROR(__xludf.DUMMYFUNCTION("""COMPUTED_VALUE"""),"ID ")</f>
        <v>ID </v>
      </c>
    </row>
    <row r="3463">
      <c r="A3463" s="6" t="str">
        <f>IFERROR(__xludf.DUMMYFUNCTION("""COMPUTED_VALUE"""),"")</f>
        <v/>
      </c>
      <c r="C3463" t="str">
        <f>IFERROR(__xludf.DUMMYFUNCTION("""COMPUTED_VALUE"""),"")</f>
        <v/>
      </c>
      <c r="D3463" t="str">
        <f>IFERROR(__xludf.DUMMYFUNCTION("""COMPUTED_VALUE"""),"")</f>
        <v/>
      </c>
      <c r="E3463" t="str">
        <f>IFERROR(__xludf.DUMMYFUNCTION("""COMPUTED_VALUE"""),"")</f>
        <v/>
      </c>
      <c r="F3463" t="str">
        <f>IFERROR(__xludf.DUMMYFUNCTION("""COMPUTED_VALUE"""),"")</f>
        <v/>
      </c>
      <c r="G3463" t="str">
        <f>IFERROR(__xludf.DUMMYFUNCTION("""COMPUTED_VALUE"""),"")</f>
        <v/>
      </c>
      <c r="H3463" s="2" t="str">
        <f>IFERROR(__xludf.DUMMYFUNCTION("""COMPUTED_VALUE"""),"")</f>
        <v/>
      </c>
      <c r="I3463" s="2" t="str">
        <f>IFERROR(__xludf.DUMMYFUNCTION("""COMPUTED_VALUE"""),"")</f>
        <v/>
      </c>
      <c r="J3463" s="2">
        <f>IFERROR(__xludf.DUMMYFUNCTION("""COMPUTED_VALUE"""),0.0)</f>
        <v>0</v>
      </c>
      <c r="K3463" s="5" t="str">
        <f>IFERROR(__xludf.DUMMYFUNCTION("""COMPUTED_VALUE"""),"")</f>
        <v/>
      </c>
      <c r="L3463" t="str">
        <f>IFERROR(__xludf.DUMMYFUNCTION("""COMPUTED_VALUE"""),"")</f>
        <v/>
      </c>
      <c r="M3463" t="str">
        <f>IFERROR(__xludf.DUMMYFUNCTION("""COMPUTED_VALUE"""),"")</f>
        <v/>
      </c>
      <c r="N3463" t="str">
        <f>IFERROR(__xludf.DUMMYFUNCTION("""COMPUTED_VALUE"""),"")</f>
        <v/>
      </c>
      <c r="O3463" t="str">
        <f>IFERROR(__xludf.DUMMYFUNCTION("""COMPUTED_VALUE"""),"")</f>
        <v/>
      </c>
      <c r="P3463" t="str">
        <f>IFERROR(__xludf.DUMMYFUNCTION("""COMPUTED_VALUE"""),"ID ")</f>
        <v>ID </v>
      </c>
    </row>
    <row r="3464">
      <c r="A3464" s="6" t="str">
        <f>IFERROR(__xludf.DUMMYFUNCTION("""COMPUTED_VALUE"""),"")</f>
        <v/>
      </c>
      <c r="C3464" t="str">
        <f>IFERROR(__xludf.DUMMYFUNCTION("""COMPUTED_VALUE"""),"")</f>
        <v/>
      </c>
      <c r="D3464" t="str">
        <f>IFERROR(__xludf.DUMMYFUNCTION("""COMPUTED_VALUE"""),"")</f>
        <v/>
      </c>
      <c r="E3464" t="str">
        <f>IFERROR(__xludf.DUMMYFUNCTION("""COMPUTED_VALUE"""),"")</f>
        <v/>
      </c>
      <c r="F3464" t="str">
        <f>IFERROR(__xludf.DUMMYFUNCTION("""COMPUTED_VALUE"""),"")</f>
        <v/>
      </c>
      <c r="G3464" t="str">
        <f>IFERROR(__xludf.DUMMYFUNCTION("""COMPUTED_VALUE"""),"")</f>
        <v/>
      </c>
      <c r="H3464" s="2" t="str">
        <f>IFERROR(__xludf.DUMMYFUNCTION("""COMPUTED_VALUE"""),"")</f>
        <v/>
      </c>
      <c r="I3464" s="2" t="str">
        <f>IFERROR(__xludf.DUMMYFUNCTION("""COMPUTED_VALUE"""),"")</f>
        <v/>
      </c>
      <c r="J3464" s="2">
        <f>IFERROR(__xludf.DUMMYFUNCTION("""COMPUTED_VALUE"""),0.0)</f>
        <v>0</v>
      </c>
      <c r="K3464" s="5" t="str">
        <f>IFERROR(__xludf.DUMMYFUNCTION("""COMPUTED_VALUE"""),"")</f>
        <v/>
      </c>
      <c r="L3464" t="str">
        <f>IFERROR(__xludf.DUMMYFUNCTION("""COMPUTED_VALUE"""),"")</f>
        <v/>
      </c>
      <c r="M3464" t="str">
        <f>IFERROR(__xludf.DUMMYFUNCTION("""COMPUTED_VALUE"""),"")</f>
        <v/>
      </c>
      <c r="N3464" t="str">
        <f>IFERROR(__xludf.DUMMYFUNCTION("""COMPUTED_VALUE"""),"")</f>
        <v/>
      </c>
      <c r="O3464" t="str">
        <f>IFERROR(__xludf.DUMMYFUNCTION("""COMPUTED_VALUE"""),"")</f>
        <v/>
      </c>
      <c r="P3464" t="str">
        <f>IFERROR(__xludf.DUMMYFUNCTION("""COMPUTED_VALUE"""),"ID ")</f>
        <v>ID </v>
      </c>
    </row>
    <row r="3465">
      <c r="A3465" s="6" t="str">
        <f>IFERROR(__xludf.DUMMYFUNCTION("""COMPUTED_VALUE"""),"")</f>
        <v/>
      </c>
      <c r="C3465" t="str">
        <f>IFERROR(__xludf.DUMMYFUNCTION("""COMPUTED_VALUE"""),"")</f>
        <v/>
      </c>
      <c r="D3465" t="str">
        <f>IFERROR(__xludf.DUMMYFUNCTION("""COMPUTED_VALUE"""),"")</f>
        <v/>
      </c>
      <c r="E3465" t="str">
        <f>IFERROR(__xludf.DUMMYFUNCTION("""COMPUTED_VALUE"""),"")</f>
        <v/>
      </c>
      <c r="F3465" t="str">
        <f>IFERROR(__xludf.DUMMYFUNCTION("""COMPUTED_VALUE"""),"")</f>
        <v/>
      </c>
      <c r="G3465" t="str">
        <f>IFERROR(__xludf.DUMMYFUNCTION("""COMPUTED_VALUE"""),"")</f>
        <v/>
      </c>
      <c r="H3465" s="2" t="str">
        <f>IFERROR(__xludf.DUMMYFUNCTION("""COMPUTED_VALUE"""),"")</f>
        <v/>
      </c>
      <c r="I3465" s="2" t="str">
        <f>IFERROR(__xludf.DUMMYFUNCTION("""COMPUTED_VALUE"""),"")</f>
        <v/>
      </c>
      <c r="J3465" s="2">
        <f>IFERROR(__xludf.DUMMYFUNCTION("""COMPUTED_VALUE"""),0.0)</f>
        <v>0</v>
      </c>
      <c r="K3465" s="5" t="str">
        <f>IFERROR(__xludf.DUMMYFUNCTION("""COMPUTED_VALUE"""),"")</f>
        <v/>
      </c>
      <c r="L3465" t="str">
        <f>IFERROR(__xludf.DUMMYFUNCTION("""COMPUTED_VALUE"""),"")</f>
        <v/>
      </c>
      <c r="M3465" t="str">
        <f>IFERROR(__xludf.DUMMYFUNCTION("""COMPUTED_VALUE"""),"")</f>
        <v/>
      </c>
      <c r="N3465" t="str">
        <f>IFERROR(__xludf.DUMMYFUNCTION("""COMPUTED_VALUE"""),"")</f>
        <v/>
      </c>
      <c r="O3465" t="str">
        <f>IFERROR(__xludf.DUMMYFUNCTION("""COMPUTED_VALUE"""),"")</f>
        <v/>
      </c>
      <c r="P3465" t="str">
        <f>IFERROR(__xludf.DUMMYFUNCTION("""COMPUTED_VALUE"""),"ID ")</f>
        <v>ID </v>
      </c>
    </row>
    <row r="3466">
      <c r="A3466" s="6" t="str">
        <f>IFERROR(__xludf.DUMMYFUNCTION("""COMPUTED_VALUE"""),"")</f>
        <v/>
      </c>
      <c r="C3466" t="str">
        <f>IFERROR(__xludf.DUMMYFUNCTION("""COMPUTED_VALUE"""),"")</f>
        <v/>
      </c>
      <c r="D3466" t="str">
        <f>IFERROR(__xludf.DUMMYFUNCTION("""COMPUTED_VALUE"""),"")</f>
        <v/>
      </c>
      <c r="E3466" t="str">
        <f>IFERROR(__xludf.DUMMYFUNCTION("""COMPUTED_VALUE"""),"")</f>
        <v/>
      </c>
      <c r="F3466" t="str">
        <f>IFERROR(__xludf.DUMMYFUNCTION("""COMPUTED_VALUE"""),"")</f>
        <v/>
      </c>
      <c r="G3466" t="str">
        <f>IFERROR(__xludf.DUMMYFUNCTION("""COMPUTED_VALUE"""),"")</f>
        <v/>
      </c>
      <c r="H3466" s="2" t="str">
        <f>IFERROR(__xludf.DUMMYFUNCTION("""COMPUTED_VALUE"""),"")</f>
        <v/>
      </c>
      <c r="I3466" s="2" t="str">
        <f>IFERROR(__xludf.DUMMYFUNCTION("""COMPUTED_VALUE"""),"")</f>
        <v/>
      </c>
      <c r="J3466" s="2">
        <f>IFERROR(__xludf.DUMMYFUNCTION("""COMPUTED_VALUE"""),0.0)</f>
        <v>0</v>
      </c>
      <c r="K3466" s="5" t="str">
        <f>IFERROR(__xludf.DUMMYFUNCTION("""COMPUTED_VALUE"""),"")</f>
        <v/>
      </c>
      <c r="L3466" t="str">
        <f>IFERROR(__xludf.DUMMYFUNCTION("""COMPUTED_VALUE"""),"")</f>
        <v/>
      </c>
      <c r="M3466" t="str">
        <f>IFERROR(__xludf.DUMMYFUNCTION("""COMPUTED_VALUE"""),"")</f>
        <v/>
      </c>
      <c r="N3466" t="str">
        <f>IFERROR(__xludf.DUMMYFUNCTION("""COMPUTED_VALUE"""),"")</f>
        <v/>
      </c>
      <c r="O3466" t="str">
        <f>IFERROR(__xludf.DUMMYFUNCTION("""COMPUTED_VALUE"""),"")</f>
        <v/>
      </c>
      <c r="P3466" t="str">
        <f>IFERROR(__xludf.DUMMYFUNCTION("""COMPUTED_VALUE"""),"ID ")</f>
        <v>ID </v>
      </c>
    </row>
    <row r="3467">
      <c r="A3467" s="6" t="str">
        <f>IFERROR(__xludf.DUMMYFUNCTION("""COMPUTED_VALUE"""),"")</f>
        <v/>
      </c>
      <c r="C3467" t="str">
        <f>IFERROR(__xludf.DUMMYFUNCTION("""COMPUTED_VALUE"""),"")</f>
        <v/>
      </c>
      <c r="D3467" t="str">
        <f>IFERROR(__xludf.DUMMYFUNCTION("""COMPUTED_VALUE"""),"")</f>
        <v/>
      </c>
      <c r="E3467" t="str">
        <f>IFERROR(__xludf.DUMMYFUNCTION("""COMPUTED_VALUE"""),"")</f>
        <v/>
      </c>
      <c r="F3467" t="str">
        <f>IFERROR(__xludf.DUMMYFUNCTION("""COMPUTED_VALUE"""),"")</f>
        <v/>
      </c>
      <c r="G3467" t="str">
        <f>IFERROR(__xludf.DUMMYFUNCTION("""COMPUTED_VALUE"""),"")</f>
        <v/>
      </c>
      <c r="H3467" s="2" t="str">
        <f>IFERROR(__xludf.DUMMYFUNCTION("""COMPUTED_VALUE"""),"")</f>
        <v/>
      </c>
      <c r="I3467" s="2" t="str">
        <f>IFERROR(__xludf.DUMMYFUNCTION("""COMPUTED_VALUE"""),"")</f>
        <v/>
      </c>
      <c r="J3467" s="2">
        <f>IFERROR(__xludf.DUMMYFUNCTION("""COMPUTED_VALUE"""),0.0)</f>
        <v>0</v>
      </c>
      <c r="K3467" s="5" t="str">
        <f>IFERROR(__xludf.DUMMYFUNCTION("""COMPUTED_VALUE"""),"")</f>
        <v/>
      </c>
      <c r="L3467" t="str">
        <f>IFERROR(__xludf.DUMMYFUNCTION("""COMPUTED_VALUE"""),"")</f>
        <v/>
      </c>
      <c r="M3467" t="str">
        <f>IFERROR(__xludf.DUMMYFUNCTION("""COMPUTED_VALUE"""),"")</f>
        <v/>
      </c>
      <c r="N3467" t="str">
        <f>IFERROR(__xludf.DUMMYFUNCTION("""COMPUTED_VALUE"""),"")</f>
        <v/>
      </c>
      <c r="O3467" t="str">
        <f>IFERROR(__xludf.DUMMYFUNCTION("""COMPUTED_VALUE"""),"")</f>
        <v/>
      </c>
      <c r="P3467" t="str">
        <f>IFERROR(__xludf.DUMMYFUNCTION("""COMPUTED_VALUE"""),"ID ")</f>
        <v>ID </v>
      </c>
    </row>
    <row r="3468">
      <c r="A3468" s="6" t="str">
        <f>IFERROR(__xludf.DUMMYFUNCTION("""COMPUTED_VALUE"""),"")</f>
        <v/>
      </c>
      <c r="C3468" t="str">
        <f>IFERROR(__xludf.DUMMYFUNCTION("""COMPUTED_VALUE"""),"")</f>
        <v/>
      </c>
      <c r="D3468" t="str">
        <f>IFERROR(__xludf.DUMMYFUNCTION("""COMPUTED_VALUE"""),"")</f>
        <v/>
      </c>
      <c r="E3468" t="str">
        <f>IFERROR(__xludf.DUMMYFUNCTION("""COMPUTED_VALUE"""),"")</f>
        <v/>
      </c>
      <c r="F3468" t="str">
        <f>IFERROR(__xludf.DUMMYFUNCTION("""COMPUTED_VALUE"""),"")</f>
        <v/>
      </c>
      <c r="G3468" t="str">
        <f>IFERROR(__xludf.DUMMYFUNCTION("""COMPUTED_VALUE"""),"")</f>
        <v/>
      </c>
      <c r="H3468" s="2" t="str">
        <f>IFERROR(__xludf.DUMMYFUNCTION("""COMPUTED_VALUE"""),"")</f>
        <v/>
      </c>
      <c r="I3468" s="2" t="str">
        <f>IFERROR(__xludf.DUMMYFUNCTION("""COMPUTED_VALUE"""),"")</f>
        <v/>
      </c>
      <c r="J3468" s="2">
        <f>IFERROR(__xludf.DUMMYFUNCTION("""COMPUTED_VALUE"""),0.0)</f>
        <v>0</v>
      </c>
      <c r="K3468" s="5" t="str">
        <f>IFERROR(__xludf.DUMMYFUNCTION("""COMPUTED_VALUE"""),"")</f>
        <v/>
      </c>
      <c r="L3468" t="str">
        <f>IFERROR(__xludf.DUMMYFUNCTION("""COMPUTED_VALUE"""),"")</f>
        <v/>
      </c>
      <c r="M3468" t="str">
        <f>IFERROR(__xludf.DUMMYFUNCTION("""COMPUTED_VALUE"""),"")</f>
        <v/>
      </c>
      <c r="N3468" t="str">
        <f>IFERROR(__xludf.DUMMYFUNCTION("""COMPUTED_VALUE"""),"")</f>
        <v/>
      </c>
      <c r="O3468" t="str">
        <f>IFERROR(__xludf.DUMMYFUNCTION("""COMPUTED_VALUE"""),"")</f>
        <v/>
      </c>
      <c r="P3468" t="str">
        <f>IFERROR(__xludf.DUMMYFUNCTION("""COMPUTED_VALUE"""),"ID ")</f>
        <v>ID </v>
      </c>
    </row>
    <row r="3469">
      <c r="A3469" s="6" t="str">
        <f>IFERROR(__xludf.DUMMYFUNCTION("""COMPUTED_VALUE"""),"")</f>
        <v/>
      </c>
      <c r="C3469" t="str">
        <f>IFERROR(__xludf.DUMMYFUNCTION("""COMPUTED_VALUE"""),"")</f>
        <v/>
      </c>
      <c r="D3469" t="str">
        <f>IFERROR(__xludf.DUMMYFUNCTION("""COMPUTED_VALUE"""),"")</f>
        <v/>
      </c>
      <c r="E3469" t="str">
        <f>IFERROR(__xludf.DUMMYFUNCTION("""COMPUTED_VALUE"""),"")</f>
        <v/>
      </c>
      <c r="F3469" t="str">
        <f>IFERROR(__xludf.DUMMYFUNCTION("""COMPUTED_VALUE"""),"")</f>
        <v/>
      </c>
      <c r="G3469" t="str">
        <f>IFERROR(__xludf.DUMMYFUNCTION("""COMPUTED_VALUE"""),"")</f>
        <v/>
      </c>
      <c r="H3469" s="2" t="str">
        <f>IFERROR(__xludf.DUMMYFUNCTION("""COMPUTED_VALUE"""),"")</f>
        <v/>
      </c>
      <c r="I3469" s="2" t="str">
        <f>IFERROR(__xludf.DUMMYFUNCTION("""COMPUTED_VALUE"""),"")</f>
        <v/>
      </c>
      <c r="J3469" s="2">
        <f>IFERROR(__xludf.DUMMYFUNCTION("""COMPUTED_VALUE"""),0.0)</f>
        <v>0</v>
      </c>
      <c r="K3469" s="5" t="str">
        <f>IFERROR(__xludf.DUMMYFUNCTION("""COMPUTED_VALUE"""),"")</f>
        <v/>
      </c>
      <c r="L3469" t="str">
        <f>IFERROR(__xludf.DUMMYFUNCTION("""COMPUTED_VALUE"""),"")</f>
        <v/>
      </c>
      <c r="M3469" t="str">
        <f>IFERROR(__xludf.DUMMYFUNCTION("""COMPUTED_VALUE"""),"")</f>
        <v/>
      </c>
      <c r="N3469" t="str">
        <f>IFERROR(__xludf.DUMMYFUNCTION("""COMPUTED_VALUE"""),"")</f>
        <v/>
      </c>
      <c r="O3469" t="str">
        <f>IFERROR(__xludf.DUMMYFUNCTION("""COMPUTED_VALUE"""),"")</f>
        <v/>
      </c>
      <c r="P3469" t="str">
        <f>IFERROR(__xludf.DUMMYFUNCTION("""COMPUTED_VALUE"""),"ID ")</f>
        <v>ID </v>
      </c>
    </row>
    <row r="3470">
      <c r="A3470" s="6" t="str">
        <f>IFERROR(__xludf.DUMMYFUNCTION("""COMPUTED_VALUE"""),"")</f>
        <v/>
      </c>
      <c r="C3470" t="str">
        <f>IFERROR(__xludf.DUMMYFUNCTION("""COMPUTED_VALUE"""),"")</f>
        <v/>
      </c>
      <c r="D3470" t="str">
        <f>IFERROR(__xludf.DUMMYFUNCTION("""COMPUTED_VALUE"""),"")</f>
        <v/>
      </c>
      <c r="E3470" t="str">
        <f>IFERROR(__xludf.DUMMYFUNCTION("""COMPUTED_VALUE"""),"")</f>
        <v/>
      </c>
      <c r="F3470" t="str">
        <f>IFERROR(__xludf.DUMMYFUNCTION("""COMPUTED_VALUE"""),"")</f>
        <v/>
      </c>
      <c r="G3470" t="str">
        <f>IFERROR(__xludf.DUMMYFUNCTION("""COMPUTED_VALUE"""),"")</f>
        <v/>
      </c>
      <c r="H3470" s="2" t="str">
        <f>IFERROR(__xludf.DUMMYFUNCTION("""COMPUTED_VALUE"""),"")</f>
        <v/>
      </c>
      <c r="I3470" s="2" t="str">
        <f>IFERROR(__xludf.DUMMYFUNCTION("""COMPUTED_VALUE"""),"")</f>
        <v/>
      </c>
      <c r="J3470" s="2">
        <f>IFERROR(__xludf.DUMMYFUNCTION("""COMPUTED_VALUE"""),0.0)</f>
        <v>0</v>
      </c>
      <c r="K3470" s="5" t="str">
        <f>IFERROR(__xludf.DUMMYFUNCTION("""COMPUTED_VALUE"""),"")</f>
        <v/>
      </c>
      <c r="L3470" t="str">
        <f>IFERROR(__xludf.DUMMYFUNCTION("""COMPUTED_VALUE"""),"")</f>
        <v/>
      </c>
      <c r="M3470" t="str">
        <f>IFERROR(__xludf.DUMMYFUNCTION("""COMPUTED_VALUE"""),"")</f>
        <v/>
      </c>
      <c r="N3470" t="str">
        <f>IFERROR(__xludf.DUMMYFUNCTION("""COMPUTED_VALUE"""),"")</f>
        <v/>
      </c>
      <c r="O3470" t="str">
        <f>IFERROR(__xludf.DUMMYFUNCTION("""COMPUTED_VALUE"""),"")</f>
        <v/>
      </c>
      <c r="P3470" t="str">
        <f>IFERROR(__xludf.DUMMYFUNCTION("""COMPUTED_VALUE"""),"ID ")</f>
        <v>ID </v>
      </c>
    </row>
    <row r="3471">
      <c r="A3471" s="6" t="str">
        <f>IFERROR(__xludf.DUMMYFUNCTION("""COMPUTED_VALUE"""),"")</f>
        <v/>
      </c>
      <c r="C3471" t="str">
        <f>IFERROR(__xludf.DUMMYFUNCTION("""COMPUTED_VALUE"""),"")</f>
        <v/>
      </c>
      <c r="D3471" t="str">
        <f>IFERROR(__xludf.DUMMYFUNCTION("""COMPUTED_VALUE"""),"")</f>
        <v/>
      </c>
      <c r="E3471" t="str">
        <f>IFERROR(__xludf.DUMMYFUNCTION("""COMPUTED_VALUE"""),"")</f>
        <v/>
      </c>
      <c r="F3471" t="str">
        <f>IFERROR(__xludf.DUMMYFUNCTION("""COMPUTED_VALUE"""),"")</f>
        <v/>
      </c>
      <c r="G3471" t="str">
        <f>IFERROR(__xludf.DUMMYFUNCTION("""COMPUTED_VALUE"""),"")</f>
        <v/>
      </c>
      <c r="H3471" s="2" t="str">
        <f>IFERROR(__xludf.DUMMYFUNCTION("""COMPUTED_VALUE"""),"")</f>
        <v/>
      </c>
      <c r="I3471" s="2" t="str">
        <f>IFERROR(__xludf.DUMMYFUNCTION("""COMPUTED_VALUE"""),"")</f>
        <v/>
      </c>
      <c r="J3471" s="2">
        <f>IFERROR(__xludf.DUMMYFUNCTION("""COMPUTED_VALUE"""),0.0)</f>
        <v>0</v>
      </c>
      <c r="K3471" s="5" t="str">
        <f>IFERROR(__xludf.DUMMYFUNCTION("""COMPUTED_VALUE"""),"")</f>
        <v/>
      </c>
      <c r="L3471" t="str">
        <f>IFERROR(__xludf.DUMMYFUNCTION("""COMPUTED_VALUE"""),"")</f>
        <v/>
      </c>
      <c r="M3471" t="str">
        <f>IFERROR(__xludf.DUMMYFUNCTION("""COMPUTED_VALUE"""),"")</f>
        <v/>
      </c>
      <c r="N3471" t="str">
        <f>IFERROR(__xludf.DUMMYFUNCTION("""COMPUTED_VALUE"""),"")</f>
        <v/>
      </c>
      <c r="O3471" t="str">
        <f>IFERROR(__xludf.DUMMYFUNCTION("""COMPUTED_VALUE"""),"")</f>
        <v/>
      </c>
      <c r="P3471" t="str">
        <f>IFERROR(__xludf.DUMMYFUNCTION("""COMPUTED_VALUE"""),"ID ")</f>
        <v>ID </v>
      </c>
    </row>
    <row r="3472">
      <c r="A3472" s="6" t="str">
        <f>IFERROR(__xludf.DUMMYFUNCTION("""COMPUTED_VALUE"""),"")</f>
        <v/>
      </c>
      <c r="C3472" t="str">
        <f>IFERROR(__xludf.DUMMYFUNCTION("""COMPUTED_VALUE"""),"")</f>
        <v/>
      </c>
      <c r="D3472" t="str">
        <f>IFERROR(__xludf.DUMMYFUNCTION("""COMPUTED_VALUE"""),"")</f>
        <v/>
      </c>
      <c r="E3472" t="str">
        <f>IFERROR(__xludf.DUMMYFUNCTION("""COMPUTED_VALUE"""),"")</f>
        <v/>
      </c>
      <c r="F3472" t="str">
        <f>IFERROR(__xludf.DUMMYFUNCTION("""COMPUTED_VALUE"""),"")</f>
        <v/>
      </c>
      <c r="G3472" t="str">
        <f>IFERROR(__xludf.DUMMYFUNCTION("""COMPUTED_VALUE"""),"")</f>
        <v/>
      </c>
      <c r="H3472" s="2" t="str">
        <f>IFERROR(__xludf.DUMMYFUNCTION("""COMPUTED_VALUE"""),"")</f>
        <v/>
      </c>
      <c r="I3472" s="2" t="str">
        <f>IFERROR(__xludf.DUMMYFUNCTION("""COMPUTED_VALUE"""),"")</f>
        <v/>
      </c>
      <c r="J3472" s="2">
        <f>IFERROR(__xludf.DUMMYFUNCTION("""COMPUTED_VALUE"""),0.0)</f>
        <v>0</v>
      </c>
      <c r="K3472" s="5" t="str">
        <f>IFERROR(__xludf.DUMMYFUNCTION("""COMPUTED_VALUE"""),"")</f>
        <v/>
      </c>
      <c r="L3472" t="str">
        <f>IFERROR(__xludf.DUMMYFUNCTION("""COMPUTED_VALUE"""),"")</f>
        <v/>
      </c>
      <c r="M3472" t="str">
        <f>IFERROR(__xludf.DUMMYFUNCTION("""COMPUTED_VALUE"""),"")</f>
        <v/>
      </c>
      <c r="N3472" t="str">
        <f>IFERROR(__xludf.DUMMYFUNCTION("""COMPUTED_VALUE"""),"")</f>
        <v/>
      </c>
      <c r="O3472" t="str">
        <f>IFERROR(__xludf.DUMMYFUNCTION("""COMPUTED_VALUE"""),"")</f>
        <v/>
      </c>
      <c r="P3472" t="str">
        <f>IFERROR(__xludf.DUMMYFUNCTION("""COMPUTED_VALUE"""),"ID ")</f>
        <v>ID </v>
      </c>
    </row>
    <row r="3473">
      <c r="A3473" s="6" t="str">
        <f>IFERROR(__xludf.DUMMYFUNCTION("""COMPUTED_VALUE"""),"")</f>
        <v/>
      </c>
      <c r="C3473" t="str">
        <f>IFERROR(__xludf.DUMMYFUNCTION("""COMPUTED_VALUE"""),"")</f>
        <v/>
      </c>
      <c r="D3473" t="str">
        <f>IFERROR(__xludf.DUMMYFUNCTION("""COMPUTED_VALUE"""),"")</f>
        <v/>
      </c>
      <c r="E3473" t="str">
        <f>IFERROR(__xludf.DUMMYFUNCTION("""COMPUTED_VALUE"""),"")</f>
        <v/>
      </c>
      <c r="F3473" t="str">
        <f>IFERROR(__xludf.DUMMYFUNCTION("""COMPUTED_VALUE"""),"")</f>
        <v/>
      </c>
      <c r="G3473" t="str">
        <f>IFERROR(__xludf.DUMMYFUNCTION("""COMPUTED_VALUE"""),"")</f>
        <v/>
      </c>
      <c r="H3473" s="2" t="str">
        <f>IFERROR(__xludf.DUMMYFUNCTION("""COMPUTED_VALUE"""),"")</f>
        <v/>
      </c>
      <c r="I3473" s="2" t="str">
        <f>IFERROR(__xludf.DUMMYFUNCTION("""COMPUTED_VALUE"""),"")</f>
        <v/>
      </c>
      <c r="J3473" s="2">
        <f>IFERROR(__xludf.DUMMYFUNCTION("""COMPUTED_VALUE"""),0.0)</f>
        <v>0</v>
      </c>
      <c r="K3473" s="5" t="str">
        <f>IFERROR(__xludf.DUMMYFUNCTION("""COMPUTED_VALUE"""),"")</f>
        <v/>
      </c>
      <c r="L3473" t="str">
        <f>IFERROR(__xludf.DUMMYFUNCTION("""COMPUTED_VALUE"""),"")</f>
        <v/>
      </c>
      <c r="M3473" t="str">
        <f>IFERROR(__xludf.DUMMYFUNCTION("""COMPUTED_VALUE"""),"")</f>
        <v/>
      </c>
      <c r="N3473" t="str">
        <f>IFERROR(__xludf.DUMMYFUNCTION("""COMPUTED_VALUE"""),"")</f>
        <v/>
      </c>
      <c r="O3473" t="str">
        <f>IFERROR(__xludf.DUMMYFUNCTION("""COMPUTED_VALUE"""),"")</f>
        <v/>
      </c>
      <c r="P3473" t="str">
        <f>IFERROR(__xludf.DUMMYFUNCTION("""COMPUTED_VALUE"""),"ID ")</f>
        <v>ID </v>
      </c>
    </row>
    <row r="3474">
      <c r="A3474" s="6" t="str">
        <f>IFERROR(__xludf.DUMMYFUNCTION("""COMPUTED_VALUE"""),"")</f>
        <v/>
      </c>
      <c r="C3474" t="str">
        <f>IFERROR(__xludf.DUMMYFUNCTION("""COMPUTED_VALUE"""),"")</f>
        <v/>
      </c>
      <c r="D3474" t="str">
        <f>IFERROR(__xludf.DUMMYFUNCTION("""COMPUTED_VALUE"""),"")</f>
        <v/>
      </c>
      <c r="E3474" t="str">
        <f>IFERROR(__xludf.DUMMYFUNCTION("""COMPUTED_VALUE"""),"")</f>
        <v/>
      </c>
      <c r="F3474" t="str">
        <f>IFERROR(__xludf.DUMMYFUNCTION("""COMPUTED_VALUE"""),"")</f>
        <v/>
      </c>
      <c r="G3474" t="str">
        <f>IFERROR(__xludf.DUMMYFUNCTION("""COMPUTED_VALUE"""),"")</f>
        <v/>
      </c>
      <c r="H3474" s="2" t="str">
        <f>IFERROR(__xludf.DUMMYFUNCTION("""COMPUTED_VALUE"""),"")</f>
        <v/>
      </c>
      <c r="I3474" s="2" t="str">
        <f>IFERROR(__xludf.DUMMYFUNCTION("""COMPUTED_VALUE"""),"")</f>
        <v/>
      </c>
      <c r="J3474" s="2">
        <f>IFERROR(__xludf.DUMMYFUNCTION("""COMPUTED_VALUE"""),0.0)</f>
        <v>0</v>
      </c>
      <c r="K3474" s="5" t="str">
        <f>IFERROR(__xludf.DUMMYFUNCTION("""COMPUTED_VALUE"""),"")</f>
        <v/>
      </c>
      <c r="L3474" t="str">
        <f>IFERROR(__xludf.DUMMYFUNCTION("""COMPUTED_VALUE"""),"")</f>
        <v/>
      </c>
      <c r="M3474" t="str">
        <f>IFERROR(__xludf.DUMMYFUNCTION("""COMPUTED_VALUE"""),"")</f>
        <v/>
      </c>
      <c r="N3474" t="str">
        <f>IFERROR(__xludf.DUMMYFUNCTION("""COMPUTED_VALUE"""),"")</f>
        <v/>
      </c>
      <c r="O3474" t="str">
        <f>IFERROR(__xludf.DUMMYFUNCTION("""COMPUTED_VALUE"""),"")</f>
        <v/>
      </c>
      <c r="P3474" t="str">
        <f>IFERROR(__xludf.DUMMYFUNCTION("""COMPUTED_VALUE"""),"ID ")</f>
        <v>ID </v>
      </c>
    </row>
    <row r="3475">
      <c r="A3475" s="6" t="str">
        <f>IFERROR(__xludf.DUMMYFUNCTION("""COMPUTED_VALUE"""),"")</f>
        <v/>
      </c>
      <c r="C3475" t="str">
        <f>IFERROR(__xludf.DUMMYFUNCTION("""COMPUTED_VALUE"""),"")</f>
        <v/>
      </c>
      <c r="D3475" t="str">
        <f>IFERROR(__xludf.DUMMYFUNCTION("""COMPUTED_VALUE"""),"")</f>
        <v/>
      </c>
      <c r="E3475" t="str">
        <f>IFERROR(__xludf.DUMMYFUNCTION("""COMPUTED_VALUE"""),"")</f>
        <v/>
      </c>
      <c r="F3475" t="str">
        <f>IFERROR(__xludf.DUMMYFUNCTION("""COMPUTED_VALUE"""),"")</f>
        <v/>
      </c>
      <c r="G3475" t="str">
        <f>IFERROR(__xludf.DUMMYFUNCTION("""COMPUTED_VALUE"""),"")</f>
        <v/>
      </c>
      <c r="H3475" s="2" t="str">
        <f>IFERROR(__xludf.DUMMYFUNCTION("""COMPUTED_VALUE"""),"")</f>
        <v/>
      </c>
      <c r="I3475" s="2" t="str">
        <f>IFERROR(__xludf.DUMMYFUNCTION("""COMPUTED_VALUE"""),"")</f>
        <v/>
      </c>
      <c r="J3475" s="2">
        <f>IFERROR(__xludf.DUMMYFUNCTION("""COMPUTED_VALUE"""),0.0)</f>
        <v>0</v>
      </c>
      <c r="K3475" s="5" t="str">
        <f>IFERROR(__xludf.DUMMYFUNCTION("""COMPUTED_VALUE"""),"")</f>
        <v/>
      </c>
      <c r="L3475" t="str">
        <f>IFERROR(__xludf.DUMMYFUNCTION("""COMPUTED_VALUE"""),"")</f>
        <v/>
      </c>
      <c r="M3475" t="str">
        <f>IFERROR(__xludf.DUMMYFUNCTION("""COMPUTED_VALUE"""),"")</f>
        <v/>
      </c>
      <c r="N3475" t="str">
        <f>IFERROR(__xludf.DUMMYFUNCTION("""COMPUTED_VALUE"""),"")</f>
        <v/>
      </c>
      <c r="O3475" t="str">
        <f>IFERROR(__xludf.DUMMYFUNCTION("""COMPUTED_VALUE"""),"")</f>
        <v/>
      </c>
      <c r="P3475" t="str">
        <f>IFERROR(__xludf.DUMMYFUNCTION("""COMPUTED_VALUE"""),"ID ")</f>
        <v>ID </v>
      </c>
    </row>
    <row r="3476">
      <c r="A3476" s="6" t="str">
        <f>IFERROR(__xludf.DUMMYFUNCTION("""COMPUTED_VALUE"""),"")</f>
        <v/>
      </c>
      <c r="C3476" t="str">
        <f>IFERROR(__xludf.DUMMYFUNCTION("""COMPUTED_VALUE"""),"")</f>
        <v/>
      </c>
      <c r="D3476" t="str">
        <f>IFERROR(__xludf.DUMMYFUNCTION("""COMPUTED_VALUE"""),"")</f>
        <v/>
      </c>
      <c r="E3476" t="str">
        <f>IFERROR(__xludf.DUMMYFUNCTION("""COMPUTED_VALUE"""),"")</f>
        <v/>
      </c>
      <c r="F3476" t="str">
        <f>IFERROR(__xludf.DUMMYFUNCTION("""COMPUTED_VALUE"""),"")</f>
        <v/>
      </c>
      <c r="G3476" t="str">
        <f>IFERROR(__xludf.DUMMYFUNCTION("""COMPUTED_VALUE"""),"")</f>
        <v/>
      </c>
      <c r="H3476" s="2" t="str">
        <f>IFERROR(__xludf.DUMMYFUNCTION("""COMPUTED_VALUE"""),"")</f>
        <v/>
      </c>
      <c r="I3476" s="2" t="str">
        <f>IFERROR(__xludf.DUMMYFUNCTION("""COMPUTED_VALUE"""),"")</f>
        <v/>
      </c>
      <c r="J3476" s="2">
        <f>IFERROR(__xludf.DUMMYFUNCTION("""COMPUTED_VALUE"""),0.0)</f>
        <v>0</v>
      </c>
      <c r="K3476" s="5" t="str">
        <f>IFERROR(__xludf.DUMMYFUNCTION("""COMPUTED_VALUE"""),"")</f>
        <v/>
      </c>
      <c r="L3476" t="str">
        <f>IFERROR(__xludf.DUMMYFUNCTION("""COMPUTED_VALUE"""),"")</f>
        <v/>
      </c>
      <c r="M3476" t="str">
        <f>IFERROR(__xludf.DUMMYFUNCTION("""COMPUTED_VALUE"""),"")</f>
        <v/>
      </c>
      <c r="N3476" t="str">
        <f>IFERROR(__xludf.DUMMYFUNCTION("""COMPUTED_VALUE"""),"")</f>
        <v/>
      </c>
      <c r="O3476" t="str">
        <f>IFERROR(__xludf.DUMMYFUNCTION("""COMPUTED_VALUE"""),"")</f>
        <v/>
      </c>
      <c r="P3476" t="str">
        <f>IFERROR(__xludf.DUMMYFUNCTION("""COMPUTED_VALUE"""),"ID ")</f>
        <v>ID </v>
      </c>
    </row>
    <row r="3477">
      <c r="A3477" s="6" t="str">
        <f>IFERROR(__xludf.DUMMYFUNCTION("""COMPUTED_VALUE"""),"")</f>
        <v/>
      </c>
      <c r="C3477" t="str">
        <f>IFERROR(__xludf.DUMMYFUNCTION("""COMPUTED_VALUE"""),"")</f>
        <v/>
      </c>
      <c r="D3477" t="str">
        <f>IFERROR(__xludf.DUMMYFUNCTION("""COMPUTED_VALUE"""),"")</f>
        <v/>
      </c>
      <c r="E3477" t="str">
        <f>IFERROR(__xludf.DUMMYFUNCTION("""COMPUTED_VALUE"""),"")</f>
        <v/>
      </c>
      <c r="F3477" t="str">
        <f>IFERROR(__xludf.DUMMYFUNCTION("""COMPUTED_VALUE"""),"")</f>
        <v/>
      </c>
      <c r="G3477" t="str">
        <f>IFERROR(__xludf.DUMMYFUNCTION("""COMPUTED_VALUE"""),"")</f>
        <v/>
      </c>
      <c r="H3477" s="2" t="str">
        <f>IFERROR(__xludf.DUMMYFUNCTION("""COMPUTED_VALUE"""),"")</f>
        <v/>
      </c>
      <c r="I3477" s="2" t="str">
        <f>IFERROR(__xludf.DUMMYFUNCTION("""COMPUTED_VALUE"""),"")</f>
        <v/>
      </c>
      <c r="J3477" s="2">
        <f>IFERROR(__xludf.DUMMYFUNCTION("""COMPUTED_VALUE"""),0.0)</f>
        <v>0</v>
      </c>
      <c r="K3477" s="5" t="str">
        <f>IFERROR(__xludf.DUMMYFUNCTION("""COMPUTED_VALUE"""),"")</f>
        <v/>
      </c>
      <c r="L3477" t="str">
        <f>IFERROR(__xludf.DUMMYFUNCTION("""COMPUTED_VALUE"""),"")</f>
        <v/>
      </c>
      <c r="M3477" t="str">
        <f>IFERROR(__xludf.DUMMYFUNCTION("""COMPUTED_VALUE"""),"")</f>
        <v/>
      </c>
      <c r="N3477" t="str">
        <f>IFERROR(__xludf.DUMMYFUNCTION("""COMPUTED_VALUE"""),"")</f>
        <v/>
      </c>
      <c r="O3477" t="str">
        <f>IFERROR(__xludf.DUMMYFUNCTION("""COMPUTED_VALUE"""),"")</f>
        <v/>
      </c>
      <c r="P3477" t="str">
        <f>IFERROR(__xludf.DUMMYFUNCTION("""COMPUTED_VALUE"""),"ID ")</f>
        <v>ID </v>
      </c>
    </row>
    <row r="3478">
      <c r="A3478" s="6" t="str">
        <f>IFERROR(__xludf.DUMMYFUNCTION("""COMPUTED_VALUE"""),"")</f>
        <v/>
      </c>
      <c r="C3478" t="str">
        <f>IFERROR(__xludf.DUMMYFUNCTION("""COMPUTED_VALUE"""),"")</f>
        <v/>
      </c>
      <c r="D3478" t="str">
        <f>IFERROR(__xludf.DUMMYFUNCTION("""COMPUTED_VALUE"""),"")</f>
        <v/>
      </c>
      <c r="E3478" t="str">
        <f>IFERROR(__xludf.DUMMYFUNCTION("""COMPUTED_VALUE"""),"")</f>
        <v/>
      </c>
      <c r="F3478" t="str">
        <f>IFERROR(__xludf.DUMMYFUNCTION("""COMPUTED_VALUE"""),"")</f>
        <v/>
      </c>
      <c r="G3478" t="str">
        <f>IFERROR(__xludf.DUMMYFUNCTION("""COMPUTED_VALUE"""),"")</f>
        <v/>
      </c>
      <c r="H3478" s="2" t="str">
        <f>IFERROR(__xludf.DUMMYFUNCTION("""COMPUTED_VALUE"""),"")</f>
        <v/>
      </c>
      <c r="I3478" s="2" t="str">
        <f>IFERROR(__xludf.DUMMYFUNCTION("""COMPUTED_VALUE"""),"")</f>
        <v/>
      </c>
      <c r="J3478" s="2">
        <f>IFERROR(__xludf.DUMMYFUNCTION("""COMPUTED_VALUE"""),0.0)</f>
        <v>0</v>
      </c>
      <c r="K3478" s="5" t="str">
        <f>IFERROR(__xludf.DUMMYFUNCTION("""COMPUTED_VALUE"""),"")</f>
        <v/>
      </c>
      <c r="L3478" t="str">
        <f>IFERROR(__xludf.DUMMYFUNCTION("""COMPUTED_VALUE"""),"")</f>
        <v/>
      </c>
      <c r="M3478" t="str">
        <f>IFERROR(__xludf.DUMMYFUNCTION("""COMPUTED_VALUE"""),"")</f>
        <v/>
      </c>
      <c r="N3478" t="str">
        <f>IFERROR(__xludf.DUMMYFUNCTION("""COMPUTED_VALUE"""),"")</f>
        <v/>
      </c>
      <c r="O3478" t="str">
        <f>IFERROR(__xludf.DUMMYFUNCTION("""COMPUTED_VALUE"""),"")</f>
        <v/>
      </c>
      <c r="P3478" t="str">
        <f>IFERROR(__xludf.DUMMYFUNCTION("""COMPUTED_VALUE"""),"ID ")</f>
        <v>ID </v>
      </c>
    </row>
    <row r="3479">
      <c r="A3479" s="6" t="str">
        <f>IFERROR(__xludf.DUMMYFUNCTION("""COMPUTED_VALUE"""),"")</f>
        <v/>
      </c>
      <c r="C3479" t="str">
        <f>IFERROR(__xludf.DUMMYFUNCTION("""COMPUTED_VALUE"""),"")</f>
        <v/>
      </c>
      <c r="D3479" t="str">
        <f>IFERROR(__xludf.DUMMYFUNCTION("""COMPUTED_VALUE"""),"")</f>
        <v/>
      </c>
      <c r="E3479" t="str">
        <f>IFERROR(__xludf.DUMMYFUNCTION("""COMPUTED_VALUE"""),"")</f>
        <v/>
      </c>
      <c r="F3479" t="str">
        <f>IFERROR(__xludf.DUMMYFUNCTION("""COMPUTED_VALUE"""),"")</f>
        <v/>
      </c>
      <c r="G3479" t="str">
        <f>IFERROR(__xludf.DUMMYFUNCTION("""COMPUTED_VALUE"""),"")</f>
        <v/>
      </c>
      <c r="H3479" s="2" t="str">
        <f>IFERROR(__xludf.DUMMYFUNCTION("""COMPUTED_VALUE"""),"")</f>
        <v/>
      </c>
      <c r="I3479" s="2" t="str">
        <f>IFERROR(__xludf.DUMMYFUNCTION("""COMPUTED_VALUE"""),"")</f>
        <v/>
      </c>
      <c r="J3479" s="2">
        <f>IFERROR(__xludf.DUMMYFUNCTION("""COMPUTED_VALUE"""),0.0)</f>
        <v>0</v>
      </c>
      <c r="K3479" s="5" t="str">
        <f>IFERROR(__xludf.DUMMYFUNCTION("""COMPUTED_VALUE"""),"")</f>
        <v/>
      </c>
      <c r="L3479" t="str">
        <f>IFERROR(__xludf.DUMMYFUNCTION("""COMPUTED_VALUE"""),"")</f>
        <v/>
      </c>
      <c r="M3479" t="str">
        <f>IFERROR(__xludf.DUMMYFUNCTION("""COMPUTED_VALUE"""),"")</f>
        <v/>
      </c>
      <c r="N3479" t="str">
        <f>IFERROR(__xludf.DUMMYFUNCTION("""COMPUTED_VALUE"""),"")</f>
        <v/>
      </c>
      <c r="O3479" t="str">
        <f>IFERROR(__xludf.DUMMYFUNCTION("""COMPUTED_VALUE"""),"")</f>
        <v/>
      </c>
      <c r="P3479" t="str">
        <f>IFERROR(__xludf.DUMMYFUNCTION("""COMPUTED_VALUE"""),"ID ")</f>
        <v>ID </v>
      </c>
    </row>
    <row r="3480">
      <c r="A3480" s="6" t="str">
        <f>IFERROR(__xludf.DUMMYFUNCTION("""COMPUTED_VALUE"""),"")</f>
        <v/>
      </c>
      <c r="C3480" t="str">
        <f>IFERROR(__xludf.DUMMYFUNCTION("""COMPUTED_VALUE"""),"")</f>
        <v/>
      </c>
      <c r="D3480" t="str">
        <f>IFERROR(__xludf.DUMMYFUNCTION("""COMPUTED_VALUE"""),"")</f>
        <v/>
      </c>
      <c r="E3480" t="str">
        <f>IFERROR(__xludf.DUMMYFUNCTION("""COMPUTED_VALUE"""),"")</f>
        <v/>
      </c>
      <c r="F3480" t="str">
        <f>IFERROR(__xludf.DUMMYFUNCTION("""COMPUTED_VALUE"""),"")</f>
        <v/>
      </c>
      <c r="G3480" t="str">
        <f>IFERROR(__xludf.DUMMYFUNCTION("""COMPUTED_VALUE"""),"")</f>
        <v/>
      </c>
      <c r="H3480" s="2" t="str">
        <f>IFERROR(__xludf.DUMMYFUNCTION("""COMPUTED_VALUE"""),"")</f>
        <v/>
      </c>
      <c r="I3480" s="2" t="str">
        <f>IFERROR(__xludf.DUMMYFUNCTION("""COMPUTED_VALUE"""),"")</f>
        <v/>
      </c>
      <c r="J3480" s="2">
        <f>IFERROR(__xludf.DUMMYFUNCTION("""COMPUTED_VALUE"""),0.0)</f>
        <v>0</v>
      </c>
      <c r="K3480" s="5" t="str">
        <f>IFERROR(__xludf.DUMMYFUNCTION("""COMPUTED_VALUE"""),"")</f>
        <v/>
      </c>
      <c r="L3480" t="str">
        <f>IFERROR(__xludf.DUMMYFUNCTION("""COMPUTED_VALUE"""),"")</f>
        <v/>
      </c>
      <c r="M3480" t="str">
        <f>IFERROR(__xludf.DUMMYFUNCTION("""COMPUTED_VALUE"""),"")</f>
        <v/>
      </c>
      <c r="N3480" t="str">
        <f>IFERROR(__xludf.DUMMYFUNCTION("""COMPUTED_VALUE"""),"")</f>
        <v/>
      </c>
      <c r="O3480" t="str">
        <f>IFERROR(__xludf.DUMMYFUNCTION("""COMPUTED_VALUE"""),"")</f>
        <v/>
      </c>
      <c r="P3480" t="str">
        <f>IFERROR(__xludf.DUMMYFUNCTION("""COMPUTED_VALUE"""),"ID ")</f>
        <v>ID </v>
      </c>
    </row>
    <row r="3481">
      <c r="A3481" s="6" t="str">
        <f>IFERROR(__xludf.DUMMYFUNCTION("""COMPUTED_VALUE"""),"")</f>
        <v/>
      </c>
      <c r="C3481" t="str">
        <f>IFERROR(__xludf.DUMMYFUNCTION("""COMPUTED_VALUE"""),"")</f>
        <v/>
      </c>
      <c r="D3481" t="str">
        <f>IFERROR(__xludf.DUMMYFUNCTION("""COMPUTED_VALUE"""),"")</f>
        <v/>
      </c>
      <c r="E3481" t="str">
        <f>IFERROR(__xludf.DUMMYFUNCTION("""COMPUTED_VALUE"""),"")</f>
        <v/>
      </c>
      <c r="F3481" t="str">
        <f>IFERROR(__xludf.DUMMYFUNCTION("""COMPUTED_VALUE"""),"")</f>
        <v/>
      </c>
      <c r="G3481" t="str">
        <f>IFERROR(__xludf.DUMMYFUNCTION("""COMPUTED_VALUE"""),"")</f>
        <v/>
      </c>
      <c r="H3481" s="2" t="str">
        <f>IFERROR(__xludf.DUMMYFUNCTION("""COMPUTED_VALUE"""),"")</f>
        <v/>
      </c>
      <c r="I3481" s="2" t="str">
        <f>IFERROR(__xludf.DUMMYFUNCTION("""COMPUTED_VALUE"""),"")</f>
        <v/>
      </c>
      <c r="J3481" s="2">
        <f>IFERROR(__xludf.DUMMYFUNCTION("""COMPUTED_VALUE"""),0.0)</f>
        <v>0</v>
      </c>
      <c r="K3481" s="5" t="str">
        <f>IFERROR(__xludf.DUMMYFUNCTION("""COMPUTED_VALUE"""),"")</f>
        <v/>
      </c>
      <c r="L3481" t="str">
        <f>IFERROR(__xludf.DUMMYFUNCTION("""COMPUTED_VALUE"""),"")</f>
        <v/>
      </c>
      <c r="M3481" t="str">
        <f>IFERROR(__xludf.DUMMYFUNCTION("""COMPUTED_VALUE"""),"")</f>
        <v/>
      </c>
      <c r="N3481" t="str">
        <f>IFERROR(__xludf.DUMMYFUNCTION("""COMPUTED_VALUE"""),"")</f>
        <v/>
      </c>
      <c r="O3481" t="str">
        <f>IFERROR(__xludf.DUMMYFUNCTION("""COMPUTED_VALUE"""),"")</f>
        <v/>
      </c>
      <c r="P3481" t="str">
        <f>IFERROR(__xludf.DUMMYFUNCTION("""COMPUTED_VALUE"""),"ID ")</f>
        <v>ID </v>
      </c>
    </row>
    <row r="3482">
      <c r="A3482" s="6" t="str">
        <f>IFERROR(__xludf.DUMMYFUNCTION("""COMPUTED_VALUE"""),"")</f>
        <v/>
      </c>
      <c r="C3482" t="str">
        <f>IFERROR(__xludf.DUMMYFUNCTION("""COMPUTED_VALUE"""),"")</f>
        <v/>
      </c>
      <c r="D3482" t="str">
        <f>IFERROR(__xludf.DUMMYFUNCTION("""COMPUTED_VALUE"""),"")</f>
        <v/>
      </c>
      <c r="E3482" t="str">
        <f>IFERROR(__xludf.DUMMYFUNCTION("""COMPUTED_VALUE"""),"")</f>
        <v/>
      </c>
      <c r="F3482" t="str">
        <f>IFERROR(__xludf.DUMMYFUNCTION("""COMPUTED_VALUE"""),"")</f>
        <v/>
      </c>
      <c r="G3482" t="str">
        <f>IFERROR(__xludf.DUMMYFUNCTION("""COMPUTED_VALUE"""),"")</f>
        <v/>
      </c>
      <c r="H3482" s="2" t="str">
        <f>IFERROR(__xludf.DUMMYFUNCTION("""COMPUTED_VALUE"""),"")</f>
        <v/>
      </c>
      <c r="I3482" s="2" t="str">
        <f>IFERROR(__xludf.DUMMYFUNCTION("""COMPUTED_VALUE"""),"")</f>
        <v/>
      </c>
      <c r="J3482" s="2">
        <f>IFERROR(__xludf.DUMMYFUNCTION("""COMPUTED_VALUE"""),0.0)</f>
        <v>0</v>
      </c>
      <c r="K3482" s="5" t="str">
        <f>IFERROR(__xludf.DUMMYFUNCTION("""COMPUTED_VALUE"""),"")</f>
        <v/>
      </c>
      <c r="L3482" t="str">
        <f>IFERROR(__xludf.DUMMYFUNCTION("""COMPUTED_VALUE"""),"")</f>
        <v/>
      </c>
      <c r="M3482" t="str">
        <f>IFERROR(__xludf.DUMMYFUNCTION("""COMPUTED_VALUE"""),"")</f>
        <v/>
      </c>
      <c r="N3482" t="str">
        <f>IFERROR(__xludf.DUMMYFUNCTION("""COMPUTED_VALUE"""),"")</f>
        <v/>
      </c>
      <c r="O3482" t="str">
        <f>IFERROR(__xludf.DUMMYFUNCTION("""COMPUTED_VALUE"""),"")</f>
        <v/>
      </c>
      <c r="P3482" t="str">
        <f>IFERROR(__xludf.DUMMYFUNCTION("""COMPUTED_VALUE"""),"ID ")</f>
        <v>ID </v>
      </c>
    </row>
    <row r="3483">
      <c r="A3483" s="6" t="str">
        <f>IFERROR(__xludf.DUMMYFUNCTION("""COMPUTED_VALUE"""),"")</f>
        <v/>
      </c>
      <c r="C3483" t="str">
        <f>IFERROR(__xludf.DUMMYFUNCTION("""COMPUTED_VALUE"""),"")</f>
        <v/>
      </c>
      <c r="D3483" t="str">
        <f>IFERROR(__xludf.DUMMYFUNCTION("""COMPUTED_VALUE"""),"")</f>
        <v/>
      </c>
      <c r="E3483" t="str">
        <f>IFERROR(__xludf.DUMMYFUNCTION("""COMPUTED_VALUE"""),"")</f>
        <v/>
      </c>
      <c r="F3483" t="str">
        <f>IFERROR(__xludf.DUMMYFUNCTION("""COMPUTED_VALUE"""),"")</f>
        <v/>
      </c>
      <c r="G3483" t="str">
        <f>IFERROR(__xludf.DUMMYFUNCTION("""COMPUTED_VALUE"""),"")</f>
        <v/>
      </c>
      <c r="H3483" s="2" t="str">
        <f>IFERROR(__xludf.DUMMYFUNCTION("""COMPUTED_VALUE"""),"")</f>
        <v/>
      </c>
      <c r="I3483" s="2" t="str">
        <f>IFERROR(__xludf.DUMMYFUNCTION("""COMPUTED_VALUE"""),"")</f>
        <v/>
      </c>
      <c r="J3483" s="2">
        <f>IFERROR(__xludf.DUMMYFUNCTION("""COMPUTED_VALUE"""),0.0)</f>
        <v>0</v>
      </c>
      <c r="K3483" s="5" t="str">
        <f>IFERROR(__xludf.DUMMYFUNCTION("""COMPUTED_VALUE"""),"")</f>
        <v/>
      </c>
      <c r="L3483" t="str">
        <f>IFERROR(__xludf.DUMMYFUNCTION("""COMPUTED_VALUE"""),"")</f>
        <v/>
      </c>
      <c r="M3483" t="str">
        <f>IFERROR(__xludf.DUMMYFUNCTION("""COMPUTED_VALUE"""),"")</f>
        <v/>
      </c>
      <c r="N3483" t="str">
        <f>IFERROR(__xludf.DUMMYFUNCTION("""COMPUTED_VALUE"""),"")</f>
        <v/>
      </c>
      <c r="O3483" t="str">
        <f>IFERROR(__xludf.DUMMYFUNCTION("""COMPUTED_VALUE"""),"")</f>
        <v/>
      </c>
      <c r="P3483" t="str">
        <f>IFERROR(__xludf.DUMMYFUNCTION("""COMPUTED_VALUE"""),"ID ")</f>
        <v>ID </v>
      </c>
    </row>
    <row r="3484">
      <c r="A3484" s="6" t="str">
        <f>IFERROR(__xludf.DUMMYFUNCTION("""COMPUTED_VALUE"""),"")</f>
        <v/>
      </c>
      <c r="C3484" t="str">
        <f>IFERROR(__xludf.DUMMYFUNCTION("""COMPUTED_VALUE"""),"")</f>
        <v/>
      </c>
      <c r="D3484" t="str">
        <f>IFERROR(__xludf.DUMMYFUNCTION("""COMPUTED_VALUE"""),"")</f>
        <v/>
      </c>
      <c r="E3484" t="str">
        <f>IFERROR(__xludf.DUMMYFUNCTION("""COMPUTED_VALUE"""),"")</f>
        <v/>
      </c>
      <c r="F3484" t="str">
        <f>IFERROR(__xludf.DUMMYFUNCTION("""COMPUTED_VALUE"""),"")</f>
        <v/>
      </c>
      <c r="G3484" t="str">
        <f>IFERROR(__xludf.DUMMYFUNCTION("""COMPUTED_VALUE"""),"")</f>
        <v/>
      </c>
      <c r="H3484" s="2" t="str">
        <f>IFERROR(__xludf.DUMMYFUNCTION("""COMPUTED_VALUE"""),"")</f>
        <v/>
      </c>
      <c r="I3484" s="2" t="str">
        <f>IFERROR(__xludf.DUMMYFUNCTION("""COMPUTED_VALUE"""),"")</f>
        <v/>
      </c>
      <c r="J3484" s="2">
        <f>IFERROR(__xludf.DUMMYFUNCTION("""COMPUTED_VALUE"""),0.0)</f>
        <v>0</v>
      </c>
      <c r="K3484" s="5" t="str">
        <f>IFERROR(__xludf.DUMMYFUNCTION("""COMPUTED_VALUE"""),"")</f>
        <v/>
      </c>
      <c r="L3484" t="str">
        <f>IFERROR(__xludf.DUMMYFUNCTION("""COMPUTED_VALUE"""),"")</f>
        <v/>
      </c>
      <c r="M3484" t="str">
        <f>IFERROR(__xludf.DUMMYFUNCTION("""COMPUTED_VALUE"""),"")</f>
        <v/>
      </c>
      <c r="N3484" t="str">
        <f>IFERROR(__xludf.DUMMYFUNCTION("""COMPUTED_VALUE"""),"")</f>
        <v/>
      </c>
      <c r="O3484" t="str">
        <f>IFERROR(__xludf.DUMMYFUNCTION("""COMPUTED_VALUE"""),"")</f>
        <v/>
      </c>
      <c r="P3484" t="str">
        <f>IFERROR(__xludf.DUMMYFUNCTION("""COMPUTED_VALUE"""),"ID ")</f>
        <v>ID </v>
      </c>
    </row>
    <row r="3485">
      <c r="A3485" s="6" t="str">
        <f>IFERROR(__xludf.DUMMYFUNCTION("""COMPUTED_VALUE"""),"")</f>
        <v/>
      </c>
      <c r="C3485" t="str">
        <f>IFERROR(__xludf.DUMMYFUNCTION("""COMPUTED_VALUE"""),"")</f>
        <v/>
      </c>
      <c r="D3485" t="str">
        <f>IFERROR(__xludf.DUMMYFUNCTION("""COMPUTED_VALUE"""),"")</f>
        <v/>
      </c>
      <c r="E3485" t="str">
        <f>IFERROR(__xludf.DUMMYFUNCTION("""COMPUTED_VALUE"""),"")</f>
        <v/>
      </c>
      <c r="F3485" t="str">
        <f>IFERROR(__xludf.DUMMYFUNCTION("""COMPUTED_VALUE"""),"")</f>
        <v/>
      </c>
      <c r="G3485" t="str">
        <f>IFERROR(__xludf.DUMMYFUNCTION("""COMPUTED_VALUE"""),"")</f>
        <v/>
      </c>
      <c r="H3485" s="2" t="str">
        <f>IFERROR(__xludf.DUMMYFUNCTION("""COMPUTED_VALUE"""),"")</f>
        <v/>
      </c>
      <c r="I3485" s="2" t="str">
        <f>IFERROR(__xludf.DUMMYFUNCTION("""COMPUTED_VALUE"""),"")</f>
        <v/>
      </c>
      <c r="J3485" s="2">
        <f>IFERROR(__xludf.DUMMYFUNCTION("""COMPUTED_VALUE"""),0.0)</f>
        <v>0</v>
      </c>
      <c r="K3485" s="5" t="str">
        <f>IFERROR(__xludf.DUMMYFUNCTION("""COMPUTED_VALUE"""),"")</f>
        <v/>
      </c>
      <c r="L3485" t="str">
        <f>IFERROR(__xludf.DUMMYFUNCTION("""COMPUTED_VALUE"""),"")</f>
        <v/>
      </c>
      <c r="M3485" t="str">
        <f>IFERROR(__xludf.DUMMYFUNCTION("""COMPUTED_VALUE"""),"")</f>
        <v/>
      </c>
      <c r="N3485" t="str">
        <f>IFERROR(__xludf.DUMMYFUNCTION("""COMPUTED_VALUE"""),"")</f>
        <v/>
      </c>
      <c r="O3485" t="str">
        <f>IFERROR(__xludf.DUMMYFUNCTION("""COMPUTED_VALUE"""),"")</f>
        <v/>
      </c>
      <c r="P3485" t="str">
        <f>IFERROR(__xludf.DUMMYFUNCTION("""COMPUTED_VALUE"""),"ID ")</f>
        <v>ID </v>
      </c>
    </row>
    <row r="3486">
      <c r="A3486" s="6" t="str">
        <f>IFERROR(__xludf.DUMMYFUNCTION("""COMPUTED_VALUE"""),"")</f>
        <v/>
      </c>
      <c r="C3486" t="str">
        <f>IFERROR(__xludf.DUMMYFUNCTION("""COMPUTED_VALUE"""),"")</f>
        <v/>
      </c>
      <c r="D3486" t="str">
        <f>IFERROR(__xludf.DUMMYFUNCTION("""COMPUTED_VALUE"""),"")</f>
        <v/>
      </c>
      <c r="E3486" t="str">
        <f>IFERROR(__xludf.DUMMYFUNCTION("""COMPUTED_VALUE"""),"")</f>
        <v/>
      </c>
      <c r="F3486" t="str">
        <f>IFERROR(__xludf.DUMMYFUNCTION("""COMPUTED_VALUE"""),"")</f>
        <v/>
      </c>
      <c r="G3486" t="str">
        <f>IFERROR(__xludf.DUMMYFUNCTION("""COMPUTED_VALUE"""),"")</f>
        <v/>
      </c>
      <c r="H3486" s="2" t="str">
        <f>IFERROR(__xludf.DUMMYFUNCTION("""COMPUTED_VALUE"""),"")</f>
        <v/>
      </c>
      <c r="I3486" s="2" t="str">
        <f>IFERROR(__xludf.DUMMYFUNCTION("""COMPUTED_VALUE"""),"")</f>
        <v/>
      </c>
      <c r="J3486" s="2">
        <f>IFERROR(__xludf.DUMMYFUNCTION("""COMPUTED_VALUE"""),0.0)</f>
        <v>0</v>
      </c>
      <c r="K3486" s="5" t="str">
        <f>IFERROR(__xludf.DUMMYFUNCTION("""COMPUTED_VALUE"""),"")</f>
        <v/>
      </c>
      <c r="L3486" t="str">
        <f>IFERROR(__xludf.DUMMYFUNCTION("""COMPUTED_VALUE"""),"")</f>
        <v/>
      </c>
      <c r="M3486" t="str">
        <f>IFERROR(__xludf.DUMMYFUNCTION("""COMPUTED_VALUE"""),"")</f>
        <v/>
      </c>
      <c r="N3486" t="str">
        <f>IFERROR(__xludf.DUMMYFUNCTION("""COMPUTED_VALUE"""),"")</f>
        <v/>
      </c>
      <c r="O3486" t="str">
        <f>IFERROR(__xludf.DUMMYFUNCTION("""COMPUTED_VALUE"""),"")</f>
        <v/>
      </c>
      <c r="P3486" t="str">
        <f>IFERROR(__xludf.DUMMYFUNCTION("""COMPUTED_VALUE"""),"ID ")</f>
        <v>ID </v>
      </c>
    </row>
    <row r="3487">
      <c r="A3487" s="6" t="str">
        <f>IFERROR(__xludf.DUMMYFUNCTION("""COMPUTED_VALUE"""),"")</f>
        <v/>
      </c>
      <c r="C3487" t="str">
        <f>IFERROR(__xludf.DUMMYFUNCTION("""COMPUTED_VALUE"""),"")</f>
        <v/>
      </c>
      <c r="D3487" t="str">
        <f>IFERROR(__xludf.DUMMYFUNCTION("""COMPUTED_VALUE"""),"")</f>
        <v/>
      </c>
      <c r="E3487" t="str">
        <f>IFERROR(__xludf.DUMMYFUNCTION("""COMPUTED_VALUE"""),"")</f>
        <v/>
      </c>
      <c r="F3487" t="str">
        <f>IFERROR(__xludf.DUMMYFUNCTION("""COMPUTED_VALUE"""),"")</f>
        <v/>
      </c>
      <c r="G3487" t="str">
        <f>IFERROR(__xludf.DUMMYFUNCTION("""COMPUTED_VALUE"""),"")</f>
        <v/>
      </c>
      <c r="H3487" s="2" t="str">
        <f>IFERROR(__xludf.DUMMYFUNCTION("""COMPUTED_VALUE"""),"")</f>
        <v/>
      </c>
      <c r="I3487" s="2" t="str">
        <f>IFERROR(__xludf.DUMMYFUNCTION("""COMPUTED_VALUE"""),"")</f>
        <v/>
      </c>
      <c r="J3487" s="2">
        <f>IFERROR(__xludf.DUMMYFUNCTION("""COMPUTED_VALUE"""),0.0)</f>
        <v>0</v>
      </c>
      <c r="K3487" s="5" t="str">
        <f>IFERROR(__xludf.DUMMYFUNCTION("""COMPUTED_VALUE"""),"")</f>
        <v/>
      </c>
      <c r="L3487" t="str">
        <f>IFERROR(__xludf.DUMMYFUNCTION("""COMPUTED_VALUE"""),"")</f>
        <v/>
      </c>
      <c r="M3487" t="str">
        <f>IFERROR(__xludf.DUMMYFUNCTION("""COMPUTED_VALUE"""),"")</f>
        <v/>
      </c>
      <c r="N3487" t="str">
        <f>IFERROR(__xludf.DUMMYFUNCTION("""COMPUTED_VALUE"""),"")</f>
        <v/>
      </c>
      <c r="O3487" t="str">
        <f>IFERROR(__xludf.DUMMYFUNCTION("""COMPUTED_VALUE"""),"")</f>
        <v/>
      </c>
      <c r="P3487" t="str">
        <f>IFERROR(__xludf.DUMMYFUNCTION("""COMPUTED_VALUE"""),"ID ")</f>
        <v>ID </v>
      </c>
    </row>
    <row r="3488">
      <c r="A3488" s="6" t="str">
        <f>IFERROR(__xludf.DUMMYFUNCTION("""COMPUTED_VALUE"""),"")</f>
        <v/>
      </c>
      <c r="C3488" t="str">
        <f>IFERROR(__xludf.DUMMYFUNCTION("""COMPUTED_VALUE"""),"")</f>
        <v/>
      </c>
      <c r="D3488" t="str">
        <f>IFERROR(__xludf.DUMMYFUNCTION("""COMPUTED_VALUE"""),"")</f>
        <v/>
      </c>
      <c r="E3488" t="str">
        <f>IFERROR(__xludf.DUMMYFUNCTION("""COMPUTED_VALUE"""),"")</f>
        <v/>
      </c>
      <c r="F3488" t="str">
        <f>IFERROR(__xludf.DUMMYFUNCTION("""COMPUTED_VALUE"""),"")</f>
        <v/>
      </c>
      <c r="G3488" t="str">
        <f>IFERROR(__xludf.DUMMYFUNCTION("""COMPUTED_VALUE"""),"")</f>
        <v/>
      </c>
      <c r="H3488" s="2" t="str">
        <f>IFERROR(__xludf.DUMMYFUNCTION("""COMPUTED_VALUE"""),"")</f>
        <v/>
      </c>
      <c r="I3488" s="2" t="str">
        <f>IFERROR(__xludf.DUMMYFUNCTION("""COMPUTED_VALUE"""),"")</f>
        <v/>
      </c>
      <c r="J3488" s="2">
        <f>IFERROR(__xludf.DUMMYFUNCTION("""COMPUTED_VALUE"""),0.0)</f>
        <v>0</v>
      </c>
      <c r="K3488" s="5" t="str">
        <f>IFERROR(__xludf.DUMMYFUNCTION("""COMPUTED_VALUE"""),"")</f>
        <v/>
      </c>
      <c r="L3488" t="str">
        <f>IFERROR(__xludf.DUMMYFUNCTION("""COMPUTED_VALUE"""),"")</f>
        <v/>
      </c>
      <c r="M3488" t="str">
        <f>IFERROR(__xludf.DUMMYFUNCTION("""COMPUTED_VALUE"""),"")</f>
        <v/>
      </c>
      <c r="N3488" t="str">
        <f>IFERROR(__xludf.DUMMYFUNCTION("""COMPUTED_VALUE"""),"")</f>
        <v/>
      </c>
      <c r="O3488" t="str">
        <f>IFERROR(__xludf.DUMMYFUNCTION("""COMPUTED_VALUE"""),"")</f>
        <v/>
      </c>
      <c r="P3488" t="str">
        <f>IFERROR(__xludf.DUMMYFUNCTION("""COMPUTED_VALUE"""),"ID ")</f>
        <v>ID </v>
      </c>
    </row>
    <row r="3489">
      <c r="A3489" s="6" t="str">
        <f>IFERROR(__xludf.DUMMYFUNCTION("""COMPUTED_VALUE"""),"")</f>
        <v/>
      </c>
      <c r="C3489" t="str">
        <f>IFERROR(__xludf.DUMMYFUNCTION("""COMPUTED_VALUE"""),"")</f>
        <v/>
      </c>
      <c r="D3489" t="str">
        <f>IFERROR(__xludf.DUMMYFUNCTION("""COMPUTED_VALUE"""),"")</f>
        <v/>
      </c>
      <c r="E3489" t="str">
        <f>IFERROR(__xludf.DUMMYFUNCTION("""COMPUTED_VALUE"""),"")</f>
        <v/>
      </c>
      <c r="F3489" t="str">
        <f>IFERROR(__xludf.DUMMYFUNCTION("""COMPUTED_VALUE"""),"")</f>
        <v/>
      </c>
      <c r="G3489" t="str">
        <f>IFERROR(__xludf.DUMMYFUNCTION("""COMPUTED_VALUE"""),"")</f>
        <v/>
      </c>
      <c r="H3489" s="2" t="str">
        <f>IFERROR(__xludf.DUMMYFUNCTION("""COMPUTED_VALUE"""),"")</f>
        <v/>
      </c>
      <c r="I3489" s="2" t="str">
        <f>IFERROR(__xludf.DUMMYFUNCTION("""COMPUTED_VALUE"""),"")</f>
        <v/>
      </c>
      <c r="J3489" s="2">
        <f>IFERROR(__xludf.DUMMYFUNCTION("""COMPUTED_VALUE"""),0.0)</f>
        <v>0</v>
      </c>
      <c r="K3489" s="5" t="str">
        <f>IFERROR(__xludf.DUMMYFUNCTION("""COMPUTED_VALUE"""),"")</f>
        <v/>
      </c>
      <c r="L3489" t="str">
        <f>IFERROR(__xludf.DUMMYFUNCTION("""COMPUTED_VALUE"""),"")</f>
        <v/>
      </c>
      <c r="M3489" t="str">
        <f>IFERROR(__xludf.DUMMYFUNCTION("""COMPUTED_VALUE"""),"")</f>
        <v/>
      </c>
      <c r="N3489" t="str">
        <f>IFERROR(__xludf.DUMMYFUNCTION("""COMPUTED_VALUE"""),"")</f>
        <v/>
      </c>
      <c r="O3489" t="str">
        <f>IFERROR(__xludf.DUMMYFUNCTION("""COMPUTED_VALUE"""),"")</f>
        <v/>
      </c>
      <c r="P3489" t="str">
        <f>IFERROR(__xludf.DUMMYFUNCTION("""COMPUTED_VALUE"""),"ID ")</f>
        <v>ID </v>
      </c>
    </row>
    <row r="3490">
      <c r="A3490" s="6" t="str">
        <f>IFERROR(__xludf.DUMMYFUNCTION("""COMPUTED_VALUE"""),"")</f>
        <v/>
      </c>
      <c r="C3490" t="str">
        <f>IFERROR(__xludf.DUMMYFUNCTION("""COMPUTED_VALUE"""),"")</f>
        <v/>
      </c>
      <c r="D3490" t="str">
        <f>IFERROR(__xludf.DUMMYFUNCTION("""COMPUTED_VALUE"""),"")</f>
        <v/>
      </c>
      <c r="E3490" t="str">
        <f>IFERROR(__xludf.DUMMYFUNCTION("""COMPUTED_VALUE"""),"")</f>
        <v/>
      </c>
      <c r="F3490" t="str">
        <f>IFERROR(__xludf.DUMMYFUNCTION("""COMPUTED_VALUE"""),"")</f>
        <v/>
      </c>
      <c r="G3490" t="str">
        <f>IFERROR(__xludf.DUMMYFUNCTION("""COMPUTED_VALUE"""),"")</f>
        <v/>
      </c>
      <c r="H3490" s="2" t="str">
        <f>IFERROR(__xludf.DUMMYFUNCTION("""COMPUTED_VALUE"""),"")</f>
        <v/>
      </c>
      <c r="I3490" s="2" t="str">
        <f>IFERROR(__xludf.DUMMYFUNCTION("""COMPUTED_VALUE"""),"")</f>
        <v/>
      </c>
      <c r="J3490" s="2">
        <f>IFERROR(__xludf.DUMMYFUNCTION("""COMPUTED_VALUE"""),0.0)</f>
        <v>0</v>
      </c>
      <c r="K3490" s="5" t="str">
        <f>IFERROR(__xludf.DUMMYFUNCTION("""COMPUTED_VALUE"""),"")</f>
        <v/>
      </c>
      <c r="L3490" t="str">
        <f>IFERROR(__xludf.DUMMYFUNCTION("""COMPUTED_VALUE"""),"")</f>
        <v/>
      </c>
      <c r="M3490" t="str">
        <f>IFERROR(__xludf.DUMMYFUNCTION("""COMPUTED_VALUE"""),"")</f>
        <v/>
      </c>
      <c r="N3490" t="str">
        <f>IFERROR(__xludf.DUMMYFUNCTION("""COMPUTED_VALUE"""),"")</f>
        <v/>
      </c>
      <c r="O3490" t="str">
        <f>IFERROR(__xludf.DUMMYFUNCTION("""COMPUTED_VALUE"""),"")</f>
        <v/>
      </c>
      <c r="P3490" t="str">
        <f>IFERROR(__xludf.DUMMYFUNCTION("""COMPUTED_VALUE"""),"ID ")</f>
        <v>ID </v>
      </c>
    </row>
    <row r="3491">
      <c r="A3491" s="6" t="str">
        <f>IFERROR(__xludf.DUMMYFUNCTION("""COMPUTED_VALUE"""),"")</f>
        <v/>
      </c>
      <c r="C3491" t="str">
        <f>IFERROR(__xludf.DUMMYFUNCTION("""COMPUTED_VALUE"""),"")</f>
        <v/>
      </c>
      <c r="D3491" t="str">
        <f>IFERROR(__xludf.DUMMYFUNCTION("""COMPUTED_VALUE"""),"")</f>
        <v/>
      </c>
      <c r="E3491" t="str">
        <f>IFERROR(__xludf.DUMMYFUNCTION("""COMPUTED_VALUE"""),"")</f>
        <v/>
      </c>
      <c r="F3491" t="str">
        <f>IFERROR(__xludf.DUMMYFUNCTION("""COMPUTED_VALUE"""),"")</f>
        <v/>
      </c>
      <c r="G3491" t="str">
        <f>IFERROR(__xludf.DUMMYFUNCTION("""COMPUTED_VALUE"""),"")</f>
        <v/>
      </c>
      <c r="H3491" s="2" t="str">
        <f>IFERROR(__xludf.DUMMYFUNCTION("""COMPUTED_VALUE"""),"")</f>
        <v/>
      </c>
      <c r="I3491" s="2" t="str">
        <f>IFERROR(__xludf.DUMMYFUNCTION("""COMPUTED_VALUE"""),"")</f>
        <v/>
      </c>
      <c r="J3491" s="2">
        <f>IFERROR(__xludf.DUMMYFUNCTION("""COMPUTED_VALUE"""),0.0)</f>
        <v>0</v>
      </c>
      <c r="K3491" s="5" t="str">
        <f>IFERROR(__xludf.DUMMYFUNCTION("""COMPUTED_VALUE"""),"")</f>
        <v/>
      </c>
      <c r="L3491" t="str">
        <f>IFERROR(__xludf.DUMMYFUNCTION("""COMPUTED_VALUE"""),"")</f>
        <v/>
      </c>
      <c r="M3491" t="str">
        <f>IFERROR(__xludf.DUMMYFUNCTION("""COMPUTED_VALUE"""),"")</f>
        <v/>
      </c>
      <c r="N3491" t="str">
        <f>IFERROR(__xludf.DUMMYFUNCTION("""COMPUTED_VALUE"""),"")</f>
        <v/>
      </c>
      <c r="O3491" t="str">
        <f>IFERROR(__xludf.DUMMYFUNCTION("""COMPUTED_VALUE"""),"")</f>
        <v/>
      </c>
      <c r="P3491" t="str">
        <f>IFERROR(__xludf.DUMMYFUNCTION("""COMPUTED_VALUE"""),"ID ")</f>
        <v>ID </v>
      </c>
    </row>
    <row r="3492">
      <c r="A3492" s="6" t="str">
        <f>IFERROR(__xludf.DUMMYFUNCTION("""COMPUTED_VALUE"""),"")</f>
        <v/>
      </c>
      <c r="C3492" t="str">
        <f>IFERROR(__xludf.DUMMYFUNCTION("""COMPUTED_VALUE"""),"")</f>
        <v/>
      </c>
      <c r="D3492" t="str">
        <f>IFERROR(__xludf.DUMMYFUNCTION("""COMPUTED_VALUE"""),"")</f>
        <v/>
      </c>
      <c r="E3492" t="str">
        <f>IFERROR(__xludf.DUMMYFUNCTION("""COMPUTED_VALUE"""),"")</f>
        <v/>
      </c>
      <c r="F3492" t="str">
        <f>IFERROR(__xludf.DUMMYFUNCTION("""COMPUTED_VALUE"""),"")</f>
        <v/>
      </c>
      <c r="G3492" t="str">
        <f>IFERROR(__xludf.DUMMYFUNCTION("""COMPUTED_VALUE"""),"")</f>
        <v/>
      </c>
      <c r="H3492" s="2" t="str">
        <f>IFERROR(__xludf.DUMMYFUNCTION("""COMPUTED_VALUE"""),"")</f>
        <v/>
      </c>
      <c r="I3492" s="2" t="str">
        <f>IFERROR(__xludf.DUMMYFUNCTION("""COMPUTED_VALUE"""),"")</f>
        <v/>
      </c>
      <c r="J3492" s="2">
        <f>IFERROR(__xludf.DUMMYFUNCTION("""COMPUTED_VALUE"""),0.0)</f>
        <v>0</v>
      </c>
      <c r="K3492" s="5" t="str">
        <f>IFERROR(__xludf.DUMMYFUNCTION("""COMPUTED_VALUE"""),"")</f>
        <v/>
      </c>
      <c r="L3492" t="str">
        <f>IFERROR(__xludf.DUMMYFUNCTION("""COMPUTED_VALUE"""),"")</f>
        <v/>
      </c>
      <c r="M3492" t="str">
        <f>IFERROR(__xludf.DUMMYFUNCTION("""COMPUTED_VALUE"""),"")</f>
        <v/>
      </c>
      <c r="N3492" t="str">
        <f>IFERROR(__xludf.DUMMYFUNCTION("""COMPUTED_VALUE"""),"")</f>
        <v/>
      </c>
      <c r="O3492" t="str">
        <f>IFERROR(__xludf.DUMMYFUNCTION("""COMPUTED_VALUE"""),"")</f>
        <v/>
      </c>
      <c r="P3492" t="str">
        <f>IFERROR(__xludf.DUMMYFUNCTION("""COMPUTED_VALUE"""),"ID ")</f>
        <v>ID </v>
      </c>
    </row>
    <row r="3493">
      <c r="A3493" s="6" t="str">
        <f>IFERROR(__xludf.DUMMYFUNCTION("""COMPUTED_VALUE"""),"")</f>
        <v/>
      </c>
      <c r="C3493" t="str">
        <f>IFERROR(__xludf.DUMMYFUNCTION("""COMPUTED_VALUE"""),"")</f>
        <v/>
      </c>
      <c r="D3493" t="str">
        <f>IFERROR(__xludf.DUMMYFUNCTION("""COMPUTED_VALUE"""),"")</f>
        <v/>
      </c>
      <c r="E3493" t="str">
        <f>IFERROR(__xludf.DUMMYFUNCTION("""COMPUTED_VALUE"""),"")</f>
        <v/>
      </c>
      <c r="F3493" t="str">
        <f>IFERROR(__xludf.DUMMYFUNCTION("""COMPUTED_VALUE"""),"")</f>
        <v/>
      </c>
      <c r="G3493" t="str">
        <f>IFERROR(__xludf.DUMMYFUNCTION("""COMPUTED_VALUE"""),"")</f>
        <v/>
      </c>
      <c r="H3493" s="2" t="str">
        <f>IFERROR(__xludf.DUMMYFUNCTION("""COMPUTED_VALUE"""),"")</f>
        <v/>
      </c>
      <c r="I3493" s="2" t="str">
        <f>IFERROR(__xludf.DUMMYFUNCTION("""COMPUTED_VALUE"""),"")</f>
        <v/>
      </c>
      <c r="J3493" s="2">
        <f>IFERROR(__xludf.DUMMYFUNCTION("""COMPUTED_VALUE"""),0.0)</f>
        <v>0</v>
      </c>
      <c r="K3493" s="5" t="str">
        <f>IFERROR(__xludf.DUMMYFUNCTION("""COMPUTED_VALUE"""),"")</f>
        <v/>
      </c>
      <c r="L3493" t="str">
        <f>IFERROR(__xludf.DUMMYFUNCTION("""COMPUTED_VALUE"""),"")</f>
        <v/>
      </c>
      <c r="M3493" t="str">
        <f>IFERROR(__xludf.DUMMYFUNCTION("""COMPUTED_VALUE"""),"")</f>
        <v/>
      </c>
      <c r="N3493" t="str">
        <f>IFERROR(__xludf.DUMMYFUNCTION("""COMPUTED_VALUE"""),"")</f>
        <v/>
      </c>
      <c r="O3493" t="str">
        <f>IFERROR(__xludf.DUMMYFUNCTION("""COMPUTED_VALUE"""),"")</f>
        <v/>
      </c>
      <c r="P3493" t="str">
        <f>IFERROR(__xludf.DUMMYFUNCTION("""COMPUTED_VALUE"""),"ID ")</f>
        <v>ID </v>
      </c>
    </row>
    <row r="3494">
      <c r="A3494" s="6" t="str">
        <f>IFERROR(__xludf.DUMMYFUNCTION("""COMPUTED_VALUE"""),"")</f>
        <v/>
      </c>
      <c r="C3494" t="str">
        <f>IFERROR(__xludf.DUMMYFUNCTION("""COMPUTED_VALUE"""),"")</f>
        <v/>
      </c>
      <c r="D3494" t="str">
        <f>IFERROR(__xludf.DUMMYFUNCTION("""COMPUTED_VALUE"""),"")</f>
        <v/>
      </c>
      <c r="E3494" t="str">
        <f>IFERROR(__xludf.DUMMYFUNCTION("""COMPUTED_VALUE"""),"")</f>
        <v/>
      </c>
      <c r="F3494" t="str">
        <f>IFERROR(__xludf.DUMMYFUNCTION("""COMPUTED_VALUE"""),"")</f>
        <v/>
      </c>
      <c r="G3494" t="str">
        <f>IFERROR(__xludf.DUMMYFUNCTION("""COMPUTED_VALUE"""),"")</f>
        <v/>
      </c>
      <c r="H3494" s="2" t="str">
        <f>IFERROR(__xludf.DUMMYFUNCTION("""COMPUTED_VALUE"""),"")</f>
        <v/>
      </c>
      <c r="I3494" s="2" t="str">
        <f>IFERROR(__xludf.DUMMYFUNCTION("""COMPUTED_VALUE"""),"")</f>
        <v/>
      </c>
      <c r="J3494" s="2">
        <f>IFERROR(__xludf.DUMMYFUNCTION("""COMPUTED_VALUE"""),0.0)</f>
        <v>0</v>
      </c>
      <c r="K3494" s="5" t="str">
        <f>IFERROR(__xludf.DUMMYFUNCTION("""COMPUTED_VALUE"""),"")</f>
        <v/>
      </c>
      <c r="L3494" t="str">
        <f>IFERROR(__xludf.DUMMYFUNCTION("""COMPUTED_VALUE"""),"")</f>
        <v/>
      </c>
      <c r="M3494" t="str">
        <f>IFERROR(__xludf.DUMMYFUNCTION("""COMPUTED_VALUE"""),"")</f>
        <v/>
      </c>
      <c r="N3494" t="str">
        <f>IFERROR(__xludf.DUMMYFUNCTION("""COMPUTED_VALUE"""),"")</f>
        <v/>
      </c>
      <c r="O3494" t="str">
        <f>IFERROR(__xludf.DUMMYFUNCTION("""COMPUTED_VALUE"""),"")</f>
        <v/>
      </c>
      <c r="P3494" t="str">
        <f>IFERROR(__xludf.DUMMYFUNCTION("""COMPUTED_VALUE"""),"ID ")</f>
        <v>ID </v>
      </c>
    </row>
    <row r="3495">
      <c r="A3495" s="6" t="str">
        <f>IFERROR(__xludf.DUMMYFUNCTION("""COMPUTED_VALUE"""),"")</f>
        <v/>
      </c>
      <c r="C3495" t="str">
        <f>IFERROR(__xludf.DUMMYFUNCTION("""COMPUTED_VALUE"""),"")</f>
        <v/>
      </c>
      <c r="D3495" t="str">
        <f>IFERROR(__xludf.DUMMYFUNCTION("""COMPUTED_VALUE"""),"")</f>
        <v/>
      </c>
      <c r="E3495" t="str">
        <f>IFERROR(__xludf.DUMMYFUNCTION("""COMPUTED_VALUE"""),"")</f>
        <v/>
      </c>
      <c r="F3495" t="str">
        <f>IFERROR(__xludf.DUMMYFUNCTION("""COMPUTED_VALUE"""),"")</f>
        <v/>
      </c>
      <c r="G3495" t="str">
        <f>IFERROR(__xludf.DUMMYFUNCTION("""COMPUTED_VALUE"""),"")</f>
        <v/>
      </c>
      <c r="H3495" s="2" t="str">
        <f>IFERROR(__xludf.DUMMYFUNCTION("""COMPUTED_VALUE"""),"")</f>
        <v/>
      </c>
      <c r="I3495" s="2" t="str">
        <f>IFERROR(__xludf.DUMMYFUNCTION("""COMPUTED_VALUE"""),"")</f>
        <v/>
      </c>
      <c r="J3495" s="2">
        <f>IFERROR(__xludf.DUMMYFUNCTION("""COMPUTED_VALUE"""),0.0)</f>
        <v>0</v>
      </c>
      <c r="K3495" s="5" t="str">
        <f>IFERROR(__xludf.DUMMYFUNCTION("""COMPUTED_VALUE"""),"")</f>
        <v/>
      </c>
      <c r="L3495" t="str">
        <f>IFERROR(__xludf.DUMMYFUNCTION("""COMPUTED_VALUE"""),"")</f>
        <v/>
      </c>
      <c r="M3495" t="str">
        <f>IFERROR(__xludf.DUMMYFUNCTION("""COMPUTED_VALUE"""),"")</f>
        <v/>
      </c>
      <c r="N3495" t="str">
        <f>IFERROR(__xludf.DUMMYFUNCTION("""COMPUTED_VALUE"""),"")</f>
        <v/>
      </c>
      <c r="O3495" t="str">
        <f>IFERROR(__xludf.DUMMYFUNCTION("""COMPUTED_VALUE"""),"")</f>
        <v/>
      </c>
      <c r="P3495" t="str">
        <f>IFERROR(__xludf.DUMMYFUNCTION("""COMPUTED_VALUE"""),"ID ")</f>
        <v>ID </v>
      </c>
    </row>
    <row r="3496">
      <c r="A3496" s="6" t="str">
        <f>IFERROR(__xludf.DUMMYFUNCTION("""COMPUTED_VALUE"""),"")</f>
        <v/>
      </c>
      <c r="C3496" t="str">
        <f>IFERROR(__xludf.DUMMYFUNCTION("""COMPUTED_VALUE"""),"")</f>
        <v/>
      </c>
      <c r="D3496" t="str">
        <f>IFERROR(__xludf.DUMMYFUNCTION("""COMPUTED_VALUE"""),"")</f>
        <v/>
      </c>
      <c r="E3496" t="str">
        <f>IFERROR(__xludf.DUMMYFUNCTION("""COMPUTED_VALUE"""),"")</f>
        <v/>
      </c>
      <c r="F3496" t="str">
        <f>IFERROR(__xludf.DUMMYFUNCTION("""COMPUTED_VALUE"""),"")</f>
        <v/>
      </c>
      <c r="G3496" t="str">
        <f>IFERROR(__xludf.DUMMYFUNCTION("""COMPUTED_VALUE"""),"")</f>
        <v/>
      </c>
      <c r="H3496" s="2" t="str">
        <f>IFERROR(__xludf.DUMMYFUNCTION("""COMPUTED_VALUE"""),"")</f>
        <v/>
      </c>
      <c r="I3496" s="2" t="str">
        <f>IFERROR(__xludf.DUMMYFUNCTION("""COMPUTED_VALUE"""),"")</f>
        <v/>
      </c>
      <c r="J3496" s="2">
        <f>IFERROR(__xludf.DUMMYFUNCTION("""COMPUTED_VALUE"""),0.0)</f>
        <v>0</v>
      </c>
      <c r="K3496" s="5" t="str">
        <f>IFERROR(__xludf.DUMMYFUNCTION("""COMPUTED_VALUE"""),"")</f>
        <v/>
      </c>
      <c r="L3496" t="str">
        <f>IFERROR(__xludf.DUMMYFUNCTION("""COMPUTED_VALUE"""),"")</f>
        <v/>
      </c>
      <c r="M3496" t="str">
        <f>IFERROR(__xludf.DUMMYFUNCTION("""COMPUTED_VALUE"""),"")</f>
        <v/>
      </c>
      <c r="N3496" t="str">
        <f>IFERROR(__xludf.DUMMYFUNCTION("""COMPUTED_VALUE"""),"")</f>
        <v/>
      </c>
      <c r="O3496" t="str">
        <f>IFERROR(__xludf.DUMMYFUNCTION("""COMPUTED_VALUE"""),"")</f>
        <v/>
      </c>
      <c r="P3496" t="str">
        <f>IFERROR(__xludf.DUMMYFUNCTION("""COMPUTED_VALUE"""),"ID ")</f>
        <v>ID </v>
      </c>
    </row>
    <row r="3497">
      <c r="A3497" s="6" t="str">
        <f>IFERROR(__xludf.DUMMYFUNCTION("""COMPUTED_VALUE"""),"")</f>
        <v/>
      </c>
      <c r="C3497" t="str">
        <f>IFERROR(__xludf.DUMMYFUNCTION("""COMPUTED_VALUE"""),"")</f>
        <v/>
      </c>
      <c r="D3497" t="str">
        <f>IFERROR(__xludf.DUMMYFUNCTION("""COMPUTED_VALUE"""),"")</f>
        <v/>
      </c>
      <c r="E3497" t="str">
        <f>IFERROR(__xludf.DUMMYFUNCTION("""COMPUTED_VALUE"""),"")</f>
        <v/>
      </c>
      <c r="F3497" t="str">
        <f>IFERROR(__xludf.DUMMYFUNCTION("""COMPUTED_VALUE"""),"")</f>
        <v/>
      </c>
      <c r="G3497" t="str">
        <f>IFERROR(__xludf.DUMMYFUNCTION("""COMPUTED_VALUE"""),"")</f>
        <v/>
      </c>
      <c r="H3497" s="2" t="str">
        <f>IFERROR(__xludf.DUMMYFUNCTION("""COMPUTED_VALUE"""),"")</f>
        <v/>
      </c>
      <c r="I3497" s="2" t="str">
        <f>IFERROR(__xludf.DUMMYFUNCTION("""COMPUTED_VALUE"""),"")</f>
        <v/>
      </c>
      <c r="J3497" s="2">
        <f>IFERROR(__xludf.DUMMYFUNCTION("""COMPUTED_VALUE"""),0.0)</f>
        <v>0</v>
      </c>
      <c r="K3497" s="5" t="str">
        <f>IFERROR(__xludf.DUMMYFUNCTION("""COMPUTED_VALUE"""),"")</f>
        <v/>
      </c>
      <c r="L3497" t="str">
        <f>IFERROR(__xludf.DUMMYFUNCTION("""COMPUTED_VALUE"""),"")</f>
        <v/>
      </c>
      <c r="M3497" t="str">
        <f>IFERROR(__xludf.DUMMYFUNCTION("""COMPUTED_VALUE"""),"")</f>
        <v/>
      </c>
      <c r="N3497" t="str">
        <f>IFERROR(__xludf.DUMMYFUNCTION("""COMPUTED_VALUE"""),"")</f>
        <v/>
      </c>
      <c r="O3497" t="str">
        <f>IFERROR(__xludf.DUMMYFUNCTION("""COMPUTED_VALUE"""),"")</f>
        <v/>
      </c>
      <c r="P3497" t="str">
        <f>IFERROR(__xludf.DUMMYFUNCTION("""COMPUTED_VALUE"""),"ID ")</f>
        <v>ID </v>
      </c>
    </row>
    <row r="3498">
      <c r="A3498" s="6" t="str">
        <f>IFERROR(__xludf.DUMMYFUNCTION("""COMPUTED_VALUE"""),"")</f>
        <v/>
      </c>
      <c r="C3498" t="str">
        <f>IFERROR(__xludf.DUMMYFUNCTION("""COMPUTED_VALUE"""),"")</f>
        <v/>
      </c>
      <c r="D3498" t="str">
        <f>IFERROR(__xludf.DUMMYFUNCTION("""COMPUTED_VALUE"""),"")</f>
        <v/>
      </c>
      <c r="E3498" t="str">
        <f>IFERROR(__xludf.DUMMYFUNCTION("""COMPUTED_VALUE"""),"")</f>
        <v/>
      </c>
      <c r="F3498" t="str">
        <f>IFERROR(__xludf.DUMMYFUNCTION("""COMPUTED_VALUE"""),"")</f>
        <v/>
      </c>
      <c r="G3498" t="str">
        <f>IFERROR(__xludf.DUMMYFUNCTION("""COMPUTED_VALUE"""),"")</f>
        <v/>
      </c>
      <c r="H3498" s="2" t="str">
        <f>IFERROR(__xludf.DUMMYFUNCTION("""COMPUTED_VALUE"""),"")</f>
        <v/>
      </c>
      <c r="I3498" s="2" t="str">
        <f>IFERROR(__xludf.DUMMYFUNCTION("""COMPUTED_VALUE"""),"")</f>
        <v/>
      </c>
      <c r="J3498" s="2">
        <f>IFERROR(__xludf.DUMMYFUNCTION("""COMPUTED_VALUE"""),0.0)</f>
        <v>0</v>
      </c>
      <c r="K3498" s="5" t="str">
        <f>IFERROR(__xludf.DUMMYFUNCTION("""COMPUTED_VALUE"""),"")</f>
        <v/>
      </c>
      <c r="L3498" t="str">
        <f>IFERROR(__xludf.DUMMYFUNCTION("""COMPUTED_VALUE"""),"")</f>
        <v/>
      </c>
      <c r="M3498" t="str">
        <f>IFERROR(__xludf.DUMMYFUNCTION("""COMPUTED_VALUE"""),"")</f>
        <v/>
      </c>
      <c r="N3498" t="str">
        <f>IFERROR(__xludf.DUMMYFUNCTION("""COMPUTED_VALUE"""),"")</f>
        <v/>
      </c>
      <c r="O3498" t="str">
        <f>IFERROR(__xludf.DUMMYFUNCTION("""COMPUTED_VALUE"""),"")</f>
        <v/>
      </c>
      <c r="P3498" t="str">
        <f>IFERROR(__xludf.DUMMYFUNCTION("""COMPUTED_VALUE"""),"ID ")</f>
        <v>ID </v>
      </c>
    </row>
    <row r="3499">
      <c r="A3499" s="6" t="str">
        <f>IFERROR(__xludf.DUMMYFUNCTION("""COMPUTED_VALUE"""),"")</f>
        <v/>
      </c>
      <c r="C3499" t="str">
        <f>IFERROR(__xludf.DUMMYFUNCTION("""COMPUTED_VALUE"""),"")</f>
        <v/>
      </c>
      <c r="D3499" t="str">
        <f>IFERROR(__xludf.DUMMYFUNCTION("""COMPUTED_VALUE"""),"")</f>
        <v/>
      </c>
      <c r="E3499" t="str">
        <f>IFERROR(__xludf.DUMMYFUNCTION("""COMPUTED_VALUE"""),"")</f>
        <v/>
      </c>
      <c r="F3499" t="str">
        <f>IFERROR(__xludf.DUMMYFUNCTION("""COMPUTED_VALUE"""),"")</f>
        <v/>
      </c>
      <c r="G3499" t="str">
        <f>IFERROR(__xludf.DUMMYFUNCTION("""COMPUTED_VALUE"""),"")</f>
        <v/>
      </c>
      <c r="H3499" s="2" t="str">
        <f>IFERROR(__xludf.DUMMYFUNCTION("""COMPUTED_VALUE"""),"")</f>
        <v/>
      </c>
      <c r="I3499" s="2" t="str">
        <f>IFERROR(__xludf.DUMMYFUNCTION("""COMPUTED_VALUE"""),"")</f>
        <v/>
      </c>
      <c r="J3499" s="2">
        <f>IFERROR(__xludf.DUMMYFUNCTION("""COMPUTED_VALUE"""),0.0)</f>
        <v>0</v>
      </c>
      <c r="K3499" s="5" t="str">
        <f>IFERROR(__xludf.DUMMYFUNCTION("""COMPUTED_VALUE"""),"")</f>
        <v/>
      </c>
      <c r="L3499" t="str">
        <f>IFERROR(__xludf.DUMMYFUNCTION("""COMPUTED_VALUE"""),"")</f>
        <v/>
      </c>
      <c r="M3499" t="str">
        <f>IFERROR(__xludf.DUMMYFUNCTION("""COMPUTED_VALUE"""),"")</f>
        <v/>
      </c>
      <c r="N3499" t="str">
        <f>IFERROR(__xludf.DUMMYFUNCTION("""COMPUTED_VALUE"""),"")</f>
        <v/>
      </c>
      <c r="O3499" t="str">
        <f>IFERROR(__xludf.DUMMYFUNCTION("""COMPUTED_VALUE"""),"")</f>
        <v/>
      </c>
      <c r="P3499" t="str">
        <f>IFERROR(__xludf.DUMMYFUNCTION("""COMPUTED_VALUE"""),"ID ")</f>
        <v>ID </v>
      </c>
    </row>
    <row r="3500">
      <c r="A3500" s="6" t="str">
        <f>IFERROR(__xludf.DUMMYFUNCTION("""COMPUTED_VALUE"""),"")</f>
        <v/>
      </c>
      <c r="C3500" t="str">
        <f>IFERROR(__xludf.DUMMYFUNCTION("""COMPUTED_VALUE"""),"")</f>
        <v/>
      </c>
      <c r="D3500" t="str">
        <f>IFERROR(__xludf.DUMMYFUNCTION("""COMPUTED_VALUE"""),"")</f>
        <v/>
      </c>
      <c r="E3500" t="str">
        <f>IFERROR(__xludf.DUMMYFUNCTION("""COMPUTED_VALUE"""),"")</f>
        <v/>
      </c>
      <c r="F3500" t="str">
        <f>IFERROR(__xludf.DUMMYFUNCTION("""COMPUTED_VALUE"""),"")</f>
        <v/>
      </c>
      <c r="G3500" t="str">
        <f>IFERROR(__xludf.DUMMYFUNCTION("""COMPUTED_VALUE"""),"")</f>
        <v/>
      </c>
      <c r="H3500" s="2" t="str">
        <f>IFERROR(__xludf.DUMMYFUNCTION("""COMPUTED_VALUE"""),"")</f>
        <v/>
      </c>
      <c r="I3500" s="2" t="str">
        <f>IFERROR(__xludf.DUMMYFUNCTION("""COMPUTED_VALUE"""),"")</f>
        <v/>
      </c>
      <c r="J3500" s="2">
        <f>IFERROR(__xludf.DUMMYFUNCTION("""COMPUTED_VALUE"""),0.0)</f>
        <v>0</v>
      </c>
      <c r="K3500" s="5" t="str">
        <f>IFERROR(__xludf.DUMMYFUNCTION("""COMPUTED_VALUE"""),"")</f>
        <v/>
      </c>
      <c r="L3500" t="str">
        <f>IFERROR(__xludf.DUMMYFUNCTION("""COMPUTED_VALUE"""),"")</f>
        <v/>
      </c>
      <c r="M3500" t="str">
        <f>IFERROR(__xludf.DUMMYFUNCTION("""COMPUTED_VALUE"""),"")</f>
        <v/>
      </c>
      <c r="N3500" t="str">
        <f>IFERROR(__xludf.DUMMYFUNCTION("""COMPUTED_VALUE"""),"")</f>
        <v/>
      </c>
      <c r="O3500" t="str">
        <f>IFERROR(__xludf.DUMMYFUNCTION("""COMPUTED_VALUE"""),"")</f>
        <v/>
      </c>
      <c r="P3500" t="str">
        <f>IFERROR(__xludf.DUMMYFUNCTION("""COMPUTED_VALUE"""),"ID ")</f>
        <v>ID </v>
      </c>
    </row>
    <row r="3501">
      <c r="A3501" s="6" t="str">
        <f>IFERROR(__xludf.DUMMYFUNCTION("""COMPUTED_VALUE"""),"")</f>
        <v/>
      </c>
      <c r="C3501" t="str">
        <f>IFERROR(__xludf.DUMMYFUNCTION("""COMPUTED_VALUE"""),"")</f>
        <v/>
      </c>
      <c r="D3501" t="str">
        <f>IFERROR(__xludf.DUMMYFUNCTION("""COMPUTED_VALUE"""),"")</f>
        <v/>
      </c>
      <c r="E3501" t="str">
        <f>IFERROR(__xludf.DUMMYFUNCTION("""COMPUTED_VALUE"""),"")</f>
        <v/>
      </c>
      <c r="F3501" t="str">
        <f>IFERROR(__xludf.DUMMYFUNCTION("""COMPUTED_VALUE"""),"")</f>
        <v/>
      </c>
      <c r="G3501" t="str">
        <f>IFERROR(__xludf.DUMMYFUNCTION("""COMPUTED_VALUE"""),"")</f>
        <v/>
      </c>
      <c r="H3501" s="2" t="str">
        <f>IFERROR(__xludf.DUMMYFUNCTION("""COMPUTED_VALUE"""),"")</f>
        <v/>
      </c>
      <c r="I3501" s="2" t="str">
        <f>IFERROR(__xludf.DUMMYFUNCTION("""COMPUTED_VALUE"""),"")</f>
        <v/>
      </c>
      <c r="J3501" s="2">
        <f>IFERROR(__xludf.DUMMYFUNCTION("""COMPUTED_VALUE"""),0.0)</f>
        <v>0</v>
      </c>
      <c r="K3501" s="5" t="str">
        <f>IFERROR(__xludf.DUMMYFUNCTION("""COMPUTED_VALUE"""),"")</f>
        <v/>
      </c>
      <c r="L3501" t="str">
        <f>IFERROR(__xludf.DUMMYFUNCTION("""COMPUTED_VALUE"""),"")</f>
        <v/>
      </c>
      <c r="M3501" t="str">
        <f>IFERROR(__xludf.DUMMYFUNCTION("""COMPUTED_VALUE"""),"")</f>
        <v/>
      </c>
      <c r="N3501" t="str">
        <f>IFERROR(__xludf.DUMMYFUNCTION("""COMPUTED_VALUE"""),"")</f>
        <v/>
      </c>
      <c r="O3501" t="str">
        <f>IFERROR(__xludf.DUMMYFUNCTION("""COMPUTED_VALUE"""),"")</f>
        <v/>
      </c>
      <c r="P3501" t="str">
        <f>IFERROR(__xludf.DUMMYFUNCTION("""COMPUTED_VALUE"""),"ID ")</f>
        <v>ID </v>
      </c>
    </row>
    <row r="3502">
      <c r="A3502" s="6" t="str">
        <f>IFERROR(__xludf.DUMMYFUNCTION("""COMPUTED_VALUE"""),"")</f>
        <v/>
      </c>
      <c r="C3502" t="str">
        <f>IFERROR(__xludf.DUMMYFUNCTION("""COMPUTED_VALUE"""),"")</f>
        <v/>
      </c>
      <c r="D3502" t="str">
        <f>IFERROR(__xludf.DUMMYFUNCTION("""COMPUTED_VALUE"""),"")</f>
        <v/>
      </c>
      <c r="E3502" t="str">
        <f>IFERROR(__xludf.DUMMYFUNCTION("""COMPUTED_VALUE"""),"")</f>
        <v/>
      </c>
      <c r="F3502" t="str">
        <f>IFERROR(__xludf.DUMMYFUNCTION("""COMPUTED_VALUE"""),"")</f>
        <v/>
      </c>
      <c r="G3502" t="str">
        <f>IFERROR(__xludf.DUMMYFUNCTION("""COMPUTED_VALUE"""),"")</f>
        <v/>
      </c>
      <c r="H3502" s="2" t="str">
        <f>IFERROR(__xludf.DUMMYFUNCTION("""COMPUTED_VALUE"""),"")</f>
        <v/>
      </c>
      <c r="I3502" s="2" t="str">
        <f>IFERROR(__xludf.DUMMYFUNCTION("""COMPUTED_VALUE"""),"")</f>
        <v/>
      </c>
      <c r="J3502" s="2">
        <f>IFERROR(__xludf.DUMMYFUNCTION("""COMPUTED_VALUE"""),0.0)</f>
        <v>0</v>
      </c>
      <c r="K3502" s="5" t="str">
        <f>IFERROR(__xludf.DUMMYFUNCTION("""COMPUTED_VALUE"""),"")</f>
        <v/>
      </c>
      <c r="L3502" t="str">
        <f>IFERROR(__xludf.DUMMYFUNCTION("""COMPUTED_VALUE"""),"")</f>
        <v/>
      </c>
      <c r="M3502" t="str">
        <f>IFERROR(__xludf.DUMMYFUNCTION("""COMPUTED_VALUE"""),"")</f>
        <v/>
      </c>
      <c r="N3502" t="str">
        <f>IFERROR(__xludf.DUMMYFUNCTION("""COMPUTED_VALUE"""),"")</f>
        <v/>
      </c>
      <c r="O3502" t="str">
        <f>IFERROR(__xludf.DUMMYFUNCTION("""COMPUTED_VALUE"""),"")</f>
        <v/>
      </c>
      <c r="P3502" t="str">
        <f>IFERROR(__xludf.DUMMYFUNCTION("""COMPUTED_VALUE"""),"ID ")</f>
        <v>ID </v>
      </c>
    </row>
    <row r="3503">
      <c r="A3503" s="6" t="str">
        <f>IFERROR(__xludf.DUMMYFUNCTION("""COMPUTED_VALUE"""),"")</f>
        <v/>
      </c>
      <c r="C3503" t="str">
        <f>IFERROR(__xludf.DUMMYFUNCTION("""COMPUTED_VALUE"""),"")</f>
        <v/>
      </c>
      <c r="D3503" t="str">
        <f>IFERROR(__xludf.DUMMYFUNCTION("""COMPUTED_VALUE"""),"")</f>
        <v/>
      </c>
      <c r="E3503" t="str">
        <f>IFERROR(__xludf.DUMMYFUNCTION("""COMPUTED_VALUE"""),"")</f>
        <v/>
      </c>
      <c r="F3503" t="str">
        <f>IFERROR(__xludf.DUMMYFUNCTION("""COMPUTED_VALUE"""),"")</f>
        <v/>
      </c>
      <c r="G3503" t="str">
        <f>IFERROR(__xludf.DUMMYFUNCTION("""COMPUTED_VALUE"""),"")</f>
        <v/>
      </c>
      <c r="H3503" s="2" t="str">
        <f>IFERROR(__xludf.DUMMYFUNCTION("""COMPUTED_VALUE"""),"")</f>
        <v/>
      </c>
      <c r="I3503" s="2" t="str">
        <f>IFERROR(__xludf.DUMMYFUNCTION("""COMPUTED_VALUE"""),"")</f>
        <v/>
      </c>
      <c r="J3503" s="2">
        <f>IFERROR(__xludf.DUMMYFUNCTION("""COMPUTED_VALUE"""),0.0)</f>
        <v>0</v>
      </c>
      <c r="K3503" s="5" t="str">
        <f>IFERROR(__xludf.DUMMYFUNCTION("""COMPUTED_VALUE"""),"")</f>
        <v/>
      </c>
      <c r="L3503" t="str">
        <f>IFERROR(__xludf.DUMMYFUNCTION("""COMPUTED_VALUE"""),"")</f>
        <v/>
      </c>
      <c r="M3503" t="str">
        <f>IFERROR(__xludf.DUMMYFUNCTION("""COMPUTED_VALUE"""),"")</f>
        <v/>
      </c>
      <c r="N3503" t="str">
        <f>IFERROR(__xludf.DUMMYFUNCTION("""COMPUTED_VALUE"""),"")</f>
        <v/>
      </c>
      <c r="O3503" t="str">
        <f>IFERROR(__xludf.DUMMYFUNCTION("""COMPUTED_VALUE"""),"")</f>
        <v/>
      </c>
      <c r="P3503" t="str">
        <f>IFERROR(__xludf.DUMMYFUNCTION("""COMPUTED_VALUE"""),"ID ")</f>
        <v>ID </v>
      </c>
    </row>
    <row r="3504">
      <c r="A3504" s="6" t="str">
        <f>IFERROR(__xludf.DUMMYFUNCTION("""COMPUTED_VALUE"""),"")</f>
        <v/>
      </c>
      <c r="C3504" t="str">
        <f>IFERROR(__xludf.DUMMYFUNCTION("""COMPUTED_VALUE"""),"")</f>
        <v/>
      </c>
      <c r="D3504" t="str">
        <f>IFERROR(__xludf.DUMMYFUNCTION("""COMPUTED_VALUE"""),"")</f>
        <v/>
      </c>
      <c r="E3504" t="str">
        <f>IFERROR(__xludf.DUMMYFUNCTION("""COMPUTED_VALUE"""),"")</f>
        <v/>
      </c>
      <c r="F3504" t="str">
        <f>IFERROR(__xludf.DUMMYFUNCTION("""COMPUTED_VALUE"""),"")</f>
        <v/>
      </c>
      <c r="G3504" t="str">
        <f>IFERROR(__xludf.DUMMYFUNCTION("""COMPUTED_VALUE"""),"")</f>
        <v/>
      </c>
      <c r="H3504" s="2" t="str">
        <f>IFERROR(__xludf.DUMMYFUNCTION("""COMPUTED_VALUE"""),"")</f>
        <v/>
      </c>
      <c r="I3504" s="2" t="str">
        <f>IFERROR(__xludf.DUMMYFUNCTION("""COMPUTED_VALUE"""),"")</f>
        <v/>
      </c>
      <c r="J3504" s="2">
        <f>IFERROR(__xludf.DUMMYFUNCTION("""COMPUTED_VALUE"""),0.0)</f>
        <v>0</v>
      </c>
      <c r="K3504" s="5" t="str">
        <f>IFERROR(__xludf.DUMMYFUNCTION("""COMPUTED_VALUE"""),"")</f>
        <v/>
      </c>
      <c r="L3504" t="str">
        <f>IFERROR(__xludf.DUMMYFUNCTION("""COMPUTED_VALUE"""),"")</f>
        <v/>
      </c>
      <c r="M3504" t="str">
        <f>IFERROR(__xludf.DUMMYFUNCTION("""COMPUTED_VALUE"""),"")</f>
        <v/>
      </c>
      <c r="N3504" t="str">
        <f>IFERROR(__xludf.DUMMYFUNCTION("""COMPUTED_VALUE"""),"")</f>
        <v/>
      </c>
      <c r="O3504" t="str">
        <f>IFERROR(__xludf.DUMMYFUNCTION("""COMPUTED_VALUE"""),"")</f>
        <v/>
      </c>
      <c r="P3504" t="str">
        <f>IFERROR(__xludf.DUMMYFUNCTION("""COMPUTED_VALUE"""),"ID ")</f>
        <v>ID </v>
      </c>
    </row>
    <row r="3505">
      <c r="A3505" s="6" t="str">
        <f>IFERROR(__xludf.DUMMYFUNCTION("""COMPUTED_VALUE"""),"")</f>
        <v/>
      </c>
      <c r="C3505" t="str">
        <f>IFERROR(__xludf.DUMMYFUNCTION("""COMPUTED_VALUE"""),"")</f>
        <v/>
      </c>
      <c r="D3505" t="str">
        <f>IFERROR(__xludf.DUMMYFUNCTION("""COMPUTED_VALUE"""),"")</f>
        <v/>
      </c>
      <c r="E3505" t="str">
        <f>IFERROR(__xludf.DUMMYFUNCTION("""COMPUTED_VALUE"""),"")</f>
        <v/>
      </c>
      <c r="F3505" t="str">
        <f>IFERROR(__xludf.DUMMYFUNCTION("""COMPUTED_VALUE"""),"")</f>
        <v/>
      </c>
      <c r="G3505" t="str">
        <f>IFERROR(__xludf.DUMMYFUNCTION("""COMPUTED_VALUE"""),"")</f>
        <v/>
      </c>
      <c r="H3505" s="2" t="str">
        <f>IFERROR(__xludf.DUMMYFUNCTION("""COMPUTED_VALUE"""),"")</f>
        <v/>
      </c>
      <c r="I3505" s="2" t="str">
        <f>IFERROR(__xludf.DUMMYFUNCTION("""COMPUTED_VALUE"""),"")</f>
        <v/>
      </c>
      <c r="J3505" s="2">
        <f>IFERROR(__xludf.DUMMYFUNCTION("""COMPUTED_VALUE"""),0.0)</f>
        <v>0</v>
      </c>
      <c r="K3505" s="5" t="str">
        <f>IFERROR(__xludf.DUMMYFUNCTION("""COMPUTED_VALUE"""),"")</f>
        <v/>
      </c>
      <c r="L3505" t="str">
        <f>IFERROR(__xludf.DUMMYFUNCTION("""COMPUTED_VALUE"""),"")</f>
        <v/>
      </c>
      <c r="M3505" t="str">
        <f>IFERROR(__xludf.DUMMYFUNCTION("""COMPUTED_VALUE"""),"")</f>
        <v/>
      </c>
      <c r="N3505" t="str">
        <f>IFERROR(__xludf.DUMMYFUNCTION("""COMPUTED_VALUE"""),"")</f>
        <v/>
      </c>
      <c r="O3505" t="str">
        <f>IFERROR(__xludf.DUMMYFUNCTION("""COMPUTED_VALUE"""),"")</f>
        <v/>
      </c>
      <c r="P3505" t="str">
        <f>IFERROR(__xludf.DUMMYFUNCTION("""COMPUTED_VALUE"""),"ID ")</f>
        <v>ID </v>
      </c>
    </row>
    <row r="3506">
      <c r="A3506" s="6" t="str">
        <f>IFERROR(__xludf.DUMMYFUNCTION("""COMPUTED_VALUE"""),"")</f>
        <v/>
      </c>
      <c r="C3506" t="str">
        <f>IFERROR(__xludf.DUMMYFUNCTION("""COMPUTED_VALUE"""),"")</f>
        <v/>
      </c>
      <c r="D3506" t="str">
        <f>IFERROR(__xludf.DUMMYFUNCTION("""COMPUTED_VALUE"""),"")</f>
        <v/>
      </c>
      <c r="E3506" t="str">
        <f>IFERROR(__xludf.DUMMYFUNCTION("""COMPUTED_VALUE"""),"")</f>
        <v/>
      </c>
      <c r="F3506" t="str">
        <f>IFERROR(__xludf.DUMMYFUNCTION("""COMPUTED_VALUE"""),"")</f>
        <v/>
      </c>
      <c r="G3506" t="str">
        <f>IFERROR(__xludf.DUMMYFUNCTION("""COMPUTED_VALUE"""),"")</f>
        <v/>
      </c>
      <c r="H3506" s="2" t="str">
        <f>IFERROR(__xludf.DUMMYFUNCTION("""COMPUTED_VALUE"""),"")</f>
        <v/>
      </c>
      <c r="I3506" s="2" t="str">
        <f>IFERROR(__xludf.DUMMYFUNCTION("""COMPUTED_VALUE"""),"")</f>
        <v/>
      </c>
      <c r="J3506" s="2">
        <f>IFERROR(__xludf.DUMMYFUNCTION("""COMPUTED_VALUE"""),0.0)</f>
        <v>0</v>
      </c>
      <c r="K3506" s="5" t="str">
        <f>IFERROR(__xludf.DUMMYFUNCTION("""COMPUTED_VALUE"""),"")</f>
        <v/>
      </c>
      <c r="L3506" t="str">
        <f>IFERROR(__xludf.DUMMYFUNCTION("""COMPUTED_VALUE"""),"")</f>
        <v/>
      </c>
      <c r="M3506" t="str">
        <f>IFERROR(__xludf.DUMMYFUNCTION("""COMPUTED_VALUE"""),"")</f>
        <v/>
      </c>
      <c r="N3506" t="str">
        <f>IFERROR(__xludf.DUMMYFUNCTION("""COMPUTED_VALUE"""),"")</f>
        <v/>
      </c>
      <c r="O3506" t="str">
        <f>IFERROR(__xludf.DUMMYFUNCTION("""COMPUTED_VALUE"""),"")</f>
        <v/>
      </c>
      <c r="P3506" t="str">
        <f>IFERROR(__xludf.DUMMYFUNCTION("""COMPUTED_VALUE"""),"ID ")</f>
        <v>ID </v>
      </c>
    </row>
    <row r="3507">
      <c r="A3507" s="6" t="str">
        <f>IFERROR(__xludf.DUMMYFUNCTION("""COMPUTED_VALUE"""),"")</f>
        <v/>
      </c>
      <c r="C3507" t="str">
        <f>IFERROR(__xludf.DUMMYFUNCTION("""COMPUTED_VALUE"""),"")</f>
        <v/>
      </c>
      <c r="D3507" t="str">
        <f>IFERROR(__xludf.DUMMYFUNCTION("""COMPUTED_VALUE"""),"")</f>
        <v/>
      </c>
      <c r="E3507" t="str">
        <f>IFERROR(__xludf.DUMMYFUNCTION("""COMPUTED_VALUE"""),"")</f>
        <v/>
      </c>
      <c r="F3507" t="str">
        <f>IFERROR(__xludf.DUMMYFUNCTION("""COMPUTED_VALUE"""),"")</f>
        <v/>
      </c>
      <c r="G3507" t="str">
        <f>IFERROR(__xludf.DUMMYFUNCTION("""COMPUTED_VALUE"""),"")</f>
        <v/>
      </c>
      <c r="H3507" s="2" t="str">
        <f>IFERROR(__xludf.DUMMYFUNCTION("""COMPUTED_VALUE"""),"")</f>
        <v/>
      </c>
      <c r="I3507" s="2" t="str">
        <f>IFERROR(__xludf.DUMMYFUNCTION("""COMPUTED_VALUE"""),"")</f>
        <v/>
      </c>
      <c r="J3507" s="2">
        <f>IFERROR(__xludf.DUMMYFUNCTION("""COMPUTED_VALUE"""),0.0)</f>
        <v>0</v>
      </c>
      <c r="K3507" s="5" t="str">
        <f>IFERROR(__xludf.DUMMYFUNCTION("""COMPUTED_VALUE"""),"")</f>
        <v/>
      </c>
      <c r="L3507" t="str">
        <f>IFERROR(__xludf.DUMMYFUNCTION("""COMPUTED_VALUE"""),"")</f>
        <v/>
      </c>
      <c r="M3507" t="str">
        <f>IFERROR(__xludf.DUMMYFUNCTION("""COMPUTED_VALUE"""),"")</f>
        <v/>
      </c>
      <c r="N3507" t="str">
        <f>IFERROR(__xludf.DUMMYFUNCTION("""COMPUTED_VALUE"""),"")</f>
        <v/>
      </c>
      <c r="O3507" t="str">
        <f>IFERROR(__xludf.DUMMYFUNCTION("""COMPUTED_VALUE"""),"")</f>
        <v/>
      </c>
      <c r="P3507" t="str">
        <f>IFERROR(__xludf.DUMMYFUNCTION("""COMPUTED_VALUE"""),"ID ")</f>
        <v>ID </v>
      </c>
    </row>
    <row r="3508">
      <c r="A3508" s="6" t="str">
        <f>IFERROR(__xludf.DUMMYFUNCTION("""COMPUTED_VALUE"""),"")</f>
        <v/>
      </c>
      <c r="C3508" t="str">
        <f>IFERROR(__xludf.DUMMYFUNCTION("""COMPUTED_VALUE"""),"")</f>
        <v/>
      </c>
      <c r="D3508" t="str">
        <f>IFERROR(__xludf.DUMMYFUNCTION("""COMPUTED_VALUE"""),"")</f>
        <v/>
      </c>
      <c r="E3508" t="str">
        <f>IFERROR(__xludf.DUMMYFUNCTION("""COMPUTED_VALUE"""),"")</f>
        <v/>
      </c>
      <c r="F3508" t="str">
        <f>IFERROR(__xludf.DUMMYFUNCTION("""COMPUTED_VALUE"""),"")</f>
        <v/>
      </c>
      <c r="G3508" t="str">
        <f>IFERROR(__xludf.DUMMYFUNCTION("""COMPUTED_VALUE"""),"")</f>
        <v/>
      </c>
      <c r="H3508" s="2" t="str">
        <f>IFERROR(__xludf.DUMMYFUNCTION("""COMPUTED_VALUE"""),"")</f>
        <v/>
      </c>
      <c r="I3508" s="2" t="str">
        <f>IFERROR(__xludf.DUMMYFUNCTION("""COMPUTED_VALUE"""),"")</f>
        <v/>
      </c>
      <c r="J3508" s="2">
        <f>IFERROR(__xludf.DUMMYFUNCTION("""COMPUTED_VALUE"""),0.0)</f>
        <v>0</v>
      </c>
      <c r="K3508" s="5" t="str">
        <f>IFERROR(__xludf.DUMMYFUNCTION("""COMPUTED_VALUE"""),"")</f>
        <v/>
      </c>
      <c r="L3508" t="str">
        <f>IFERROR(__xludf.DUMMYFUNCTION("""COMPUTED_VALUE"""),"")</f>
        <v/>
      </c>
      <c r="M3508" t="str">
        <f>IFERROR(__xludf.DUMMYFUNCTION("""COMPUTED_VALUE"""),"")</f>
        <v/>
      </c>
      <c r="N3508" t="str">
        <f>IFERROR(__xludf.DUMMYFUNCTION("""COMPUTED_VALUE"""),"")</f>
        <v/>
      </c>
      <c r="O3508" t="str">
        <f>IFERROR(__xludf.DUMMYFUNCTION("""COMPUTED_VALUE"""),"")</f>
        <v/>
      </c>
      <c r="P3508" t="str">
        <f>IFERROR(__xludf.DUMMYFUNCTION("""COMPUTED_VALUE"""),"ID ")</f>
        <v>ID </v>
      </c>
    </row>
    <row r="3509">
      <c r="A3509" s="6" t="str">
        <f>IFERROR(__xludf.DUMMYFUNCTION("""COMPUTED_VALUE"""),"")</f>
        <v/>
      </c>
      <c r="C3509" t="str">
        <f>IFERROR(__xludf.DUMMYFUNCTION("""COMPUTED_VALUE"""),"")</f>
        <v/>
      </c>
      <c r="D3509" t="str">
        <f>IFERROR(__xludf.DUMMYFUNCTION("""COMPUTED_VALUE"""),"")</f>
        <v/>
      </c>
      <c r="E3509" t="str">
        <f>IFERROR(__xludf.DUMMYFUNCTION("""COMPUTED_VALUE"""),"")</f>
        <v/>
      </c>
      <c r="F3509" t="str">
        <f>IFERROR(__xludf.DUMMYFUNCTION("""COMPUTED_VALUE"""),"")</f>
        <v/>
      </c>
      <c r="G3509" t="str">
        <f>IFERROR(__xludf.DUMMYFUNCTION("""COMPUTED_VALUE"""),"")</f>
        <v/>
      </c>
      <c r="H3509" s="2" t="str">
        <f>IFERROR(__xludf.DUMMYFUNCTION("""COMPUTED_VALUE"""),"")</f>
        <v/>
      </c>
      <c r="I3509" s="2" t="str">
        <f>IFERROR(__xludf.DUMMYFUNCTION("""COMPUTED_VALUE"""),"")</f>
        <v/>
      </c>
      <c r="J3509" s="2">
        <f>IFERROR(__xludf.DUMMYFUNCTION("""COMPUTED_VALUE"""),0.0)</f>
        <v>0</v>
      </c>
      <c r="K3509" s="5" t="str">
        <f>IFERROR(__xludf.DUMMYFUNCTION("""COMPUTED_VALUE"""),"")</f>
        <v/>
      </c>
      <c r="L3509" t="str">
        <f>IFERROR(__xludf.DUMMYFUNCTION("""COMPUTED_VALUE"""),"")</f>
        <v/>
      </c>
      <c r="M3509" t="str">
        <f>IFERROR(__xludf.DUMMYFUNCTION("""COMPUTED_VALUE"""),"")</f>
        <v/>
      </c>
      <c r="N3509" t="str">
        <f>IFERROR(__xludf.DUMMYFUNCTION("""COMPUTED_VALUE"""),"")</f>
        <v/>
      </c>
      <c r="O3509" t="str">
        <f>IFERROR(__xludf.DUMMYFUNCTION("""COMPUTED_VALUE"""),"")</f>
        <v/>
      </c>
      <c r="P3509" t="str">
        <f>IFERROR(__xludf.DUMMYFUNCTION("""COMPUTED_VALUE"""),"ID ")</f>
        <v>ID </v>
      </c>
    </row>
    <row r="3510">
      <c r="A3510" s="6" t="str">
        <f>IFERROR(__xludf.DUMMYFUNCTION("""COMPUTED_VALUE"""),"")</f>
        <v/>
      </c>
      <c r="C3510" t="str">
        <f>IFERROR(__xludf.DUMMYFUNCTION("""COMPUTED_VALUE"""),"")</f>
        <v/>
      </c>
      <c r="D3510" t="str">
        <f>IFERROR(__xludf.DUMMYFUNCTION("""COMPUTED_VALUE"""),"")</f>
        <v/>
      </c>
      <c r="E3510" t="str">
        <f>IFERROR(__xludf.DUMMYFUNCTION("""COMPUTED_VALUE"""),"")</f>
        <v/>
      </c>
      <c r="F3510" t="str">
        <f>IFERROR(__xludf.DUMMYFUNCTION("""COMPUTED_VALUE"""),"")</f>
        <v/>
      </c>
      <c r="G3510" t="str">
        <f>IFERROR(__xludf.DUMMYFUNCTION("""COMPUTED_VALUE"""),"")</f>
        <v/>
      </c>
      <c r="H3510" s="2" t="str">
        <f>IFERROR(__xludf.DUMMYFUNCTION("""COMPUTED_VALUE"""),"")</f>
        <v/>
      </c>
      <c r="I3510" s="2" t="str">
        <f>IFERROR(__xludf.DUMMYFUNCTION("""COMPUTED_VALUE"""),"")</f>
        <v/>
      </c>
      <c r="J3510" s="2">
        <f>IFERROR(__xludf.DUMMYFUNCTION("""COMPUTED_VALUE"""),0.0)</f>
        <v>0</v>
      </c>
      <c r="K3510" s="5" t="str">
        <f>IFERROR(__xludf.DUMMYFUNCTION("""COMPUTED_VALUE"""),"")</f>
        <v/>
      </c>
      <c r="L3510" t="str">
        <f>IFERROR(__xludf.DUMMYFUNCTION("""COMPUTED_VALUE"""),"")</f>
        <v/>
      </c>
      <c r="M3510" t="str">
        <f>IFERROR(__xludf.DUMMYFUNCTION("""COMPUTED_VALUE"""),"")</f>
        <v/>
      </c>
      <c r="N3510" t="str">
        <f>IFERROR(__xludf.DUMMYFUNCTION("""COMPUTED_VALUE"""),"")</f>
        <v/>
      </c>
      <c r="O3510" t="str">
        <f>IFERROR(__xludf.DUMMYFUNCTION("""COMPUTED_VALUE"""),"")</f>
        <v/>
      </c>
      <c r="P3510" t="str">
        <f>IFERROR(__xludf.DUMMYFUNCTION("""COMPUTED_VALUE"""),"ID ")</f>
        <v>ID </v>
      </c>
    </row>
    <row r="3511">
      <c r="A3511" s="6" t="str">
        <f>IFERROR(__xludf.DUMMYFUNCTION("""COMPUTED_VALUE"""),"")</f>
        <v/>
      </c>
      <c r="C3511" t="str">
        <f>IFERROR(__xludf.DUMMYFUNCTION("""COMPUTED_VALUE"""),"")</f>
        <v/>
      </c>
      <c r="D3511" t="str">
        <f>IFERROR(__xludf.DUMMYFUNCTION("""COMPUTED_VALUE"""),"")</f>
        <v/>
      </c>
      <c r="E3511" t="str">
        <f>IFERROR(__xludf.DUMMYFUNCTION("""COMPUTED_VALUE"""),"")</f>
        <v/>
      </c>
      <c r="F3511" t="str">
        <f>IFERROR(__xludf.DUMMYFUNCTION("""COMPUTED_VALUE"""),"")</f>
        <v/>
      </c>
      <c r="G3511" t="str">
        <f>IFERROR(__xludf.DUMMYFUNCTION("""COMPUTED_VALUE"""),"")</f>
        <v/>
      </c>
      <c r="H3511" s="2" t="str">
        <f>IFERROR(__xludf.DUMMYFUNCTION("""COMPUTED_VALUE"""),"")</f>
        <v/>
      </c>
      <c r="I3511" s="2" t="str">
        <f>IFERROR(__xludf.DUMMYFUNCTION("""COMPUTED_VALUE"""),"")</f>
        <v/>
      </c>
      <c r="J3511" s="2">
        <f>IFERROR(__xludf.DUMMYFUNCTION("""COMPUTED_VALUE"""),0.0)</f>
        <v>0</v>
      </c>
      <c r="K3511" s="5" t="str">
        <f>IFERROR(__xludf.DUMMYFUNCTION("""COMPUTED_VALUE"""),"")</f>
        <v/>
      </c>
      <c r="L3511" t="str">
        <f>IFERROR(__xludf.DUMMYFUNCTION("""COMPUTED_VALUE"""),"")</f>
        <v/>
      </c>
      <c r="M3511" t="str">
        <f>IFERROR(__xludf.DUMMYFUNCTION("""COMPUTED_VALUE"""),"")</f>
        <v/>
      </c>
      <c r="N3511" t="str">
        <f>IFERROR(__xludf.DUMMYFUNCTION("""COMPUTED_VALUE"""),"")</f>
        <v/>
      </c>
      <c r="O3511" t="str">
        <f>IFERROR(__xludf.DUMMYFUNCTION("""COMPUTED_VALUE"""),"")</f>
        <v/>
      </c>
      <c r="P3511" t="str">
        <f>IFERROR(__xludf.DUMMYFUNCTION("""COMPUTED_VALUE"""),"ID ")</f>
        <v>ID </v>
      </c>
    </row>
    <row r="3512">
      <c r="A3512" s="6" t="str">
        <f>IFERROR(__xludf.DUMMYFUNCTION("""COMPUTED_VALUE"""),"")</f>
        <v/>
      </c>
      <c r="C3512" t="str">
        <f>IFERROR(__xludf.DUMMYFUNCTION("""COMPUTED_VALUE"""),"")</f>
        <v/>
      </c>
      <c r="D3512" t="str">
        <f>IFERROR(__xludf.DUMMYFUNCTION("""COMPUTED_VALUE"""),"")</f>
        <v/>
      </c>
      <c r="E3512" t="str">
        <f>IFERROR(__xludf.DUMMYFUNCTION("""COMPUTED_VALUE"""),"")</f>
        <v/>
      </c>
      <c r="F3512" t="str">
        <f>IFERROR(__xludf.DUMMYFUNCTION("""COMPUTED_VALUE"""),"")</f>
        <v/>
      </c>
      <c r="G3512" t="str">
        <f>IFERROR(__xludf.DUMMYFUNCTION("""COMPUTED_VALUE"""),"")</f>
        <v/>
      </c>
      <c r="H3512" s="2" t="str">
        <f>IFERROR(__xludf.DUMMYFUNCTION("""COMPUTED_VALUE"""),"")</f>
        <v/>
      </c>
      <c r="I3512" s="2" t="str">
        <f>IFERROR(__xludf.DUMMYFUNCTION("""COMPUTED_VALUE"""),"")</f>
        <v/>
      </c>
      <c r="J3512" s="2">
        <f>IFERROR(__xludf.DUMMYFUNCTION("""COMPUTED_VALUE"""),0.0)</f>
        <v>0</v>
      </c>
      <c r="K3512" s="5" t="str">
        <f>IFERROR(__xludf.DUMMYFUNCTION("""COMPUTED_VALUE"""),"")</f>
        <v/>
      </c>
      <c r="L3512" t="str">
        <f>IFERROR(__xludf.DUMMYFUNCTION("""COMPUTED_VALUE"""),"")</f>
        <v/>
      </c>
      <c r="M3512" t="str">
        <f>IFERROR(__xludf.DUMMYFUNCTION("""COMPUTED_VALUE"""),"")</f>
        <v/>
      </c>
      <c r="N3512" t="str">
        <f>IFERROR(__xludf.DUMMYFUNCTION("""COMPUTED_VALUE"""),"")</f>
        <v/>
      </c>
      <c r="O3512" t="str">
        <f>IFERROR(__xludf.DUMMYFUNCTION("""COMPUTED_VALUE"""),"")</f>
        <v/>
      </c>
      <c r="P3512" t="str">
        <f>IFERROR(__xludf.DUMMYFUNCTION("""COMPUTED_VALUE"""),"ID ")</f>
        <v>ID </v>
      </c>
    </row>
    <row r="3513">
      <c r="A3513" s="6" t="str">
        <f>IFERROR(__xludf.DUMMYFUNCTION("""COMPUTED_VALUE"""),"")</f>
        <v/>
      </c>
      <c r="C3513" t="str">
        <f>IFERROR(__xludf.DUMMYFUNCTION("""COMPUTED_VALUE"""),"")</f>
        <v/>
      </c>
      <c r="D3513" t="str">
        <f>IFERROR(__xludf.DUMMYFUNCTION("""COMPUTED_VALUE"""),"")</f>
        <v/>
      </c>
      <c r="E3513" t="str">
        <f>IFERROR(__xludf.DUMMYFUNCTION("""COMPUTED_VALUE"""),"")</f>
        <v/>
      </c>
      <c r="F3513" t="str">
        <f>IFERROR(__xludf.DUMMYFUNCTION("""COMPUTED_VALUE"""),"")</f>
        <v/>
      </c>
      <c r="G3513" t="str">
        <f>IFERROR(__xludf.DUMMYFUNCTION("""COMPUTED_VALUE"""),"")</f>
        <v/>
      </c>
      <c r="H3513" s="2" t="str">
        <f>IFERROR(__xludf.DUMMYFUNCTION("""COMPUTED_VALUE"""),"")</f>
        <v/>
      </c>
      <c r="I3513" s="2" t="str">
        <f>IFERROR(__xludf.DUMMYFUNCTION("""COMPUTED_VALUE"""),"")</f>
        <v/>
      </c>
      <c r="J3513" s="2">
        <f>IFERROR(__xludf.DUMMYFUNCTION("""COMPUTED_VALUE"""),0.0)</f>
        <v>0</v>
      </c>
      <c r="K3513" s="5" t="str">
        <f>IFERROR(__xludf.DUMMYFUNCTION("""COMPUTED_VALUE"""),"")</f>
        <v/>
      </c>
      <c r="L3513" t="str">
        <f>IFERROR(__xludf.DUMMYFUNCTION("""COMPUTED_VALUE"""),"")</f>
        <v/>
      </c>
      <c r="M3513" t="str">
        <f>IFERROR(__xludf.DUMMYFUNCTION("""COMPUTED_VALUE"""),"")</f>
        <v/>
      </c>
      <c r="N3513" t="str">
        <f>IFERROR(__xludf.DUMMYFUNCTION("""COMPUTED_VALUE"""),"")</f>
        <v/>
      </c>
      <c r="O3513" t="str">
        <f>IFERROR(__xludf.DUMMYFUNCTION("""COMPUTED_VALUE"""),"")</f>
        <v/>
      </c>
      <c r="P3513" t="str">
        <f>IFERROR(__xludf.DUMMYFUNCTION("""COMPUTED_VALUE"""),"ID ")</f>
        <v>ID </v>
      </c>
    </row>
    <row r="3514">
      <c r="A3514" s="6" t="str">
        <f>IFERROR(__xludf.DUMMYFUNCTION("""COMPUTED_VALUE"""),"")</f>
        <v/>
      </c>
      <c r="C3514" t="str">
        <f>IFERROR(__xludf.DUMMYFUNCTION("""COMPUTED_VALUE"""),"")</f>
        <v/>
      </c>
      <c r="D3514" t="str">
        <f>IFERROR(__xludf.DUMMYFUNCTION("""COMPUTED_VALUE"""),"")</f>
        <v/>
      </c>
      <c r="E3514" t="str">
        <f>IFERROR(__xludf.DUMMYFUNCTION("""COMPUTED_VALUE"""),"")</f>
        <v/>
      </c>
      <c r="F3514" t="str">
        <f>IFERROR(__xludf.DUMMYFUNCTION("""COMPUTED_VALUE"""),"")</f>
        <v/>
      </c>
      <c r="G3514" t="str">
        <f>IFERROR(__xludf.DUMMYFUNCTION("""COMPUTED_VALUE"""),"")</f>
        <v/>
      </c>
      <c r="H3514" s="2" t="str">
        <f>IFERROR(__xludf.DUMMYFUNCTION("""COMPUTED_VALUE"""),"")</f>
        <v/>
      </c>
      <c r="I3514" s="2" t="str">
        <f>IFERROR(__xludf.DUMMYFUNCTION("""COMPUTED_VALUE"""),"")</f>
        <v/>
      </c>
      <c r="J3514" s="2">
        <f>IFERROR(__xludf.DUMMYFUNCTION("""COMPUTED_VALUE"""),0.0)</f>
        <v>0</v>
      </c>
      <c r="K3514" s="5" t="str">
        <f>IFERROR(__xludf.DUMMYFUNCTION("""COMPUTED_VALUE"""),"")</f>
        <v/>
      </c>
      <c r="L3514" t="str">
        <f>IFERROR(__xludf.DUMMYFUNCTION("""COMPUTED_VALUE"""),"")</f>
        <v/>
      </c>
      <c r="M3514" t="str">
        <f>IFERROR(__xludf.DUMMYFUNCTION("""COMPUTED_VALUE"""),"")</f>
        <v/>
      </c>
      <c r="N3514" t="str">
        <f>IFERROR(__xludf.DUMMYFUNCTION("""COMPUTED_VALUE"""),"")</f>
        <v/>
      </c>
      <c r="O3514" t="str">
        <f>IFERROR(__xludf.DUMMYFUNCTION("""COMPUTED_VALUE"""),"")</f>
        <v/>
      </c>
      <c r="P3514" t="str">
        <f>IFERROR(__xludf.DUMMYFUNCTION("""COMPUTED_VALUE"""),"ID ")</f>
        <v>ID </v>
      </c>
    </row>
    <row r="3515">
      <c r="A3515" s="6" t="str">
        <f>IFERROR(__xludf.DUMMYFUNCTION("""COMPUTED_VALUE"""),"")</f>
        <v/>
      </c>
      <c r="C3515" t="str">
        <f>IFERROR(__xludf.DUMMYFUNCTION("""COMPUTED_VALUE"""),"")</f>
        <v/>
      </c>
      <c r="D3515" t="str">
        <f>IFERROR(__xludf.DUMMYFUNCTION("""COMPUTED_VALUE"""),"")</f>
        <v/>
      </c>
      <c r="E3515" t="str">
        <f>IFERROR(__xludf.DUMMYFUNCTION("""COMPUTED_VALUE"""),"")</f>
        <v/>
      </c>
      <c r="F3515" t="str">
        <f>IFERROR(__xludf.DUMMYFUNCTION("""COMPUTED_VALUE"""),"")</f>
        <v/>
      </c>
      <c r="G3515" t="str">
        <f>IFERROR(__xludf.DUMMYFUNCTION("""COMPUTED_VALUE"""),"")</f>
        <v/>
      </c>
      <c r="H3515" s="2" t="str">
        <f>IFERROR(__xludf.DUMMYFUNCTION("""COMPUTED_VALUE"""),"")</f>
        <v/>
      </c>
      <c r="I3515" s="2" t="str">
        <f>IFERROR(__xludf.DUMMYFUNCTION("""COMPUTED_VALUE"""),"")</f>
        <v/>
      </c>
      <c r="J3515" s="2">
        <f>IFERROR(__xludf.DUMMYFUNCTION("""COMPUTED_VALUE"""),0.0)</f>
        <v>0</v>
      </c>
      <c r="K3515" s="5" t="str">
        <f>IFERROR(__xludf.DUMMYFUNCTION("""COMPUTED_VALUE"""),"")</f>
        <v/>
      </c>
      <c r="L3515" t="str">
        <f>IFERROR(__xludf.DUMMYFUNCTION("""COMPUTED_VALUE"""),"")</f>
        <v/>
      </c>
      <c r="M3515" t="str">
        <f>IFERROR(__xludf.DUMMYFUNCTION("""COMPUTED_VALUE"""),"")</f>
        <v/>
      </c>
      <c r="N3515" t="str">
        <f>IFERROR(__xludf.DUMMYFUNCTION("""COMPUTED_VALUE"""),"")</f>
        <v/>
      </c>
      <c r="O3515" t="str">
        <f>IFERROR(__xludf.DUMMYFUNCTION("""COMPUTED_VALUE"""),"")</f>
        <v/>
      </c>
      <c r="P3515" t="str">
        <f>IFERROR(__xludf.DUMMYFUNCTION("""COMPUTED_VALUE"""),"ID ")</f>
        <v>ID </v>
      </c>
    </row>
    <row r="3516">
      <c r="A3516" s="6" t="str">
        <f>IFERROR(__xludf.DUMMYFUNCTION("""COMPUTED_VALUE"""),"")</f>
        <v/>
      </c>
      <c r="C3516" t="str">
        <f>IFERROR(__xludf.DUMMYFUNCTION("""COMPUTED_VALUE"""),"")</f>
        <v/>
      </c>
      <c r="D3516" t="str">
        <f>IFERROR(__xludf.DUMMYFUNCTION("""COMPUTED_VALUE"""),"")</f>
        <v/>
      </c>
      <c r="E3516" t="str">
        <f>IFERROR(__xludf.DUMMYFUNCTION("""COMPUTED_VALUE"""),"")</f>
        <v/>
      </c>
      <c r="F3516" t="str">
        <f>IFERROR(__xludf.DUMMYFUNCTION("""COMPUTED_VALUE"""),"")</f>
        <v/>
      </c>
      <c r="G3516" t="str">
        <f>IFERROR(__xludf.DUMMYFUNCTION("""COMPUTED_VALUE"""),"")</f>
        <v/>
      </c>
      <c r="H3516" s="2" t="str">
        <f>IFERROR(__xludf.DUMMYFUNCTION("""COMPUTED_VALUE"""),"")</f>
        <v/>
      </c>
      <c r="I3516" s="2" t="str">
        <f>IFERROR(__xludf.DUMMYFUNCTION("""COMPUTED_VALUE"""),"")</f>
        <v/>
      </c>
      <c r="J3516" s="2">
        <f>IFERROR(__xludf.DUMMYFUNCTION("""COMPUTED_VALUE"""),0.0)</f>
        <v>0</v>
      </c>
      <c r="K3516" s="5" t="str">
        <f>IFERROR(__xludf.DUMMYFUNCTION("""COMPUTED_VALUE"""),"")</f>
        <v/>
      </c>
      <c r="L3516" t="str">
        <f>IFERROR(__xludf.DUMMYFUNCTION("""COMPUTED_VALUE"""),"")</f>
        <v/>
      </c>
      <c r="M3516" t="str">
        <f>IFERROR(__xludf.DUMMYFUNCTION("""COMPUTED_VALUE"""),"")</f>
        <v/>
      </c>
      <c r="N3516" t="str">
        <f>IFERROR(__xludf.DUMMYFUNCTION("""COMPUTED_VALUE"""),"")</f>
        <v/>
      </c>
      <c r="O3516" t="str">
        <f>IFERROR(__xludf.DUMMYFUNCTION("""COMPUTED_VALUE"""),"")</f>
        <v/>
      </c>
      <c r="P3516" t="str">
        <f>IFERROR(__xludf.DUMMYFUNCTION("""COMPUTED_VALUE"""),"ID ")</f>
        <v>ID </v>
      </c>
    </row>
    <row r="3517">
      <c r="A3517" s="6" t="str">
        <f>IFERROR(__xludf.DUMMYFUNCTION("""COMPUTED_VALUE"""),"")</f>
        <v/>
      </c>
      <c r="C3517" t="str">
        <f>IFERROR(__xludf.DUMMYFUNCTION("""COMPUTED_VALUE"""),"")</f>
        <v/>
      </c>
      <c r="D3517" t="str">
        <f>IFERROR(__xludf.DUMMYFUNCTION("""COMPUTED_VALUE"""),"")</f>
        <v/>
      </c>
      <c r="E3517" t="str">
        <f>IFERROR(__xludf.DUMMYFUNCTION("""COMPUTED_VALUE"""),"")</f>
        <v/>
      </c>
      <c r="F3517" t="str">
        <f>IFERROR(__xludf.DUMMYFUNCTION("""COMPUTED_VALUE"""),"")</f>
        <v/>
      </c>
      <c r="G3517" t="str">
        <f>IFERROR(__xludf.DUMMYFUNCTION("""COMPUTED_VALUE"""),"")</f>
        <v/>
      </c>
      <c r="H3517" s="2" t="str">
        <f>IFERROR(__xludf.DUMMYFUNCTION("""COMPUTED_VALUE"""),"")</f>
        <v/>
      </c>
      <c r="I3517" s="2" t="str">
        <f>IFERROR(__xludf.DUMMYFUNCTION("""COMPUTED_VALUE"""),"")</f>
        <v/>
      </c>
      <c r="J3517" s="2">
        <f>IFERROR(__xludf.DUMMYFUNCTION("""COMPUTED_VALUE"""),0.0)</f>
        <v>0</v>
      </c>
      <c r="K3517" s="5" t="str">
        <f>IFERROR(__xludf.DUMMYFUNCTION("""COMPUTED_VALUE"""),"")</f>
        <v/>
      </c>
      <c r="L3517" t="str">
        <f>IFERROR(__xludf.DUMMYFUNCTION("""COMPUTED_VALUE"""),"")</f>
        <v/>
      </c>
      <c r="M3517" t="str">
        <f>IFERROR(__xludf.DUMMYFUNCTION("""COMPUTED_VALUE"""),"")</f>
        <v/>
      </c>
      <c r="N3517" t="str">
        <f>IFERROR(__xludf.DUMMYFUNCTION("""COMPUTED_VALUE"""),"")</f>
        <v/>
      </c>
      <c r="O3517" t="str">
        <f>IFERROR(__xludf.DUMMYFUNCTION("""COMPUTED_VALUE"""),"")</f>
        <v/>
      </c>
      <c r="P3517" t="str">
        <f>IFERROR(__xludf.DUMMYFUNCTION("""COMPUTED_VALUE"""),"ID ")</f>
        <v>ID </v>
      </c>
    </row>
    <row r="3518">
      <c r="A3518" s="6" t="str">
        <f>IFERROR(__xludf.DUMMYFUNCTION("""COMPUTED_VALUE"""),"")</f>
        <v/>
      </c>
      <c r="C3518" t="str">
        <f>IFERROR(__xludf.DUMMYFUNCTION("""COMPUTED_VALUE"""),"")</f>
        <v/>
      </c>
      <c r="D3518" t="str">
        <f>IFERROR(__xludf.DUMMYFUNCTION("""COMPUTED_VALUE"""),"")</f>
        <v/>
      </c>
      <c r="E3518" t="str">
        <f>IFERROR(__xludf.DUMMYFUNCTION("""COMPUTED_VALUE"""),"")</f>
        <v/>
      </c>
      <c r="F3518" t="str">
        <f>IFERROR(__xludf.DUMMYFUNCTION("""COMPUTED_VALUE"""),"")</f>
        <v/>
      </c>
      <c r="G3518" t="str">
        <f>IFERROR(__xludf.DUMMYFUNCTION("""COMPUTED_VALUE"""),"")</f>
        <v/>
      </c>
      <c r="H3518" s="2" t="str">
        <f>IFERROR(__xludf.DUMMYFUNCTION("""COMPUTED_VALUE"""),"")</f>
        <v/>
      </c>
      <c r="I3518" s="2" t="str">
        <f>IFERROR(__xludf.DUMMYFUNCTION("""COMPUTED_VALUE"""),"")</f>
        <v/>
      </c>
      <c r="J3518" s="2">
        <f>IFERROR(__xludf.DUMMYFUNCTION("""COMPUTED_VALUE"""),0.0)</f>
        <v>0</v>
      </c>
      <c r="K3518" s="5" t="str">
        <f>IFERROR(__xludf.DUMMYFUNCTION("""COMPUTED_VALUE"""),"")</f>
        <v/>
      </c>
      <c r="L3518" t="str">
        <f>IFERROR(__xludf.DUMMYFUNCTION("""COMPUTED_VALUE"""),"")</f>
        <v/>
      </c>
      <c r="M3518" t="str">
        <f>IFERROR(__xludf.DUMMYFUNCTION("""COMPUTED_VALUE"""),"")</f>
        <v/>
      </c>
      <c r="N3518" t="str">
        <f>IFERROR(__xludf.DUMMYFUNCTION("""COMPUTED_VALUE"""),"")</f>
        <v/>
      </c>
      <c r="O3518" t="str">
        <f>IFERROR(__xludf.DUMMYFUNCTION("""COMPUTED_VALUE"""),"")</f>
        <v/>
      </c>
      <c r="P3518" t="str">
        <f>IFERROR(__xludf.DUMMYFUNCTION("""COMPUTED_VALUE"""),"ID ")</f>
        <v>ID </v>
      </c>
    </row>
    <row r="3519">
      <c r="A3519" s="6" t="str">
        <f>IFERROR(__xludf.DUMMYFUNCTION("""COMPUTED_VALUE"""),"")</f>
        <v/>
      </c>
      <c r="C3519" t="str">
        <f>IFERROR(__xludf.DUMMYFUNCTION("""COMPUTED_VALUE"""),"")</f>
        <v/>
      </c>
      <c r="D3519" t="str">
        <f>IFERROR(__xludf.DUMMYFUNCTION("""COMPUTED_VALUE"""),"")</f>
        <v/>
      </c>
      <c r="E3519" t="str">
        <f>IFERROR(__xludf.DUMMYFUNCTION("""COMPUTED_VALUE"""),"")</f>
        <v/>
      </c>
      <c r="F3519" t="str">
        <f>IFERROR(__xludf.DUMMYFUNCTION("""COMPUTED_VALUE"""),"")</f>
        <v/>
      </c>
      <c r="G3519" t="str">
        <f>IFERROR(__xludf.DUMMYFUNCTION("""COMPUTED_VALUE"""),"")</f>
        <v/>
      </c>
      <c r="H3519" s="2" t="str">
        <f>IFERROR(__xludf.DUMMYFUNCTION("""COMPUTED_VALUE"""),"")</f>
        <v/>
      </c>
      <c r="I3519" s="2" t="str">
        <f>IFERROR(__xludf.DUMMYFUNCTION("""COMPUTED_VALUE"""),"")</f>
        <v/>
      </c>
      <c r="J3519" s="2">
        <f>IFERROR(__xludf.DUMMYFUNCTION("""COMPUTED_VALUE"""),0.0)</f>
        <v>0</v>
      </c>
      <c r="K3519" s="5" t="str">
        <f>IFERROR(__xludf.DUMMYFUNCTION("""COMPUTED_VALUE"""),"")</f>
        <v/>
      </c>
      <c r="L3519" t="str">
        <f>IFERROR(__xludf.DUMMYFUNCTION("""COMPUTED_VALUE"""),"")</f>
        <v/>
      </c>
      <c r="M3519" t="str">
        <f>IFERROR(__xludf.DUMMYFUNCTION("""COMPUTED_VALUE"""),"")</f>
        <v/>
      </c>
      <c r="N3519" t="str">
        <f>IFERROR(__xludf.DUMMYFUNCTION("""COMPUTED_VALUE"""),"")</f>
        <v/>
      </c>
      <c r="O3519" t="str">
        <f>IFERROR(__xludf.DUMMYFUNCTION("""COMPUTED_VALUE"""),"")</f>
        <v/>
      </c>
      <c r="P3519" t="str">
        <f>IFERROR(__xludf.DUMMYFUNCTION("""COMPUTED_VALUE"""),"ID ")</f>
        <v>ID </v>
      </c>
    </row>
    <row r="3520">
      <c r="A3520" s="6" t="str">
        <f>IFERROR(__xludf.DUMMYFUNCTION("""COMPUTED_VALUE"""),"")</f>
        <v/>
      </c>
      <c r="C3520" t="str">
        <f>IFERROR(__xludf.DUMMYFUNCTION("""COMPUTED_VALUE"""),"")</f>
        <v/>
      </c>
      <c r="D3520" t="str">
        <f>IFERROR(__xludf.DUMMYFUNCTION("""COMPUTED_VALUE"""),"")</f>
        <v/>
      </c>
      <c r="E3520" t="str">
        <f>IFERROR(__xludf.DUMMYFUNCTION("""COMPUTED_VALUE"""),"")</f>
        <v/>
      </c>
      <c r="F3520" t="str">
        <f>IFERROR(__xludf.DUMMYFUNCTION("""COMPUTED_VALUE"""),"")</f>
        <v/>
      </c>
      <c r="G3520" t="str">
        <f>IFERROR(__xludf.DUMMYFUNCTION("""COMPUTED_VALUE"""),"")</f>
        <v/>
      </c>
      <c r="H3520" s="2" t="str">
        <f>IFERROR(__xludf.DUMMYFUNCTION("""COMPUTED_VALUE"""),"")</f>
        <v/>
      </c>
      <c r="I3520" s="2" t="str">
        <f>IFERROR(__xludf.DUMMYFUNCTION("""COMPUTED_VALUE"""),"")</f>
        <v/>
      </c>
      <c r="J3520" s="2">
        <f>IFERROR(__xludf.DUMMYFUNCTION("""COMPUTED_VALUE"""),0.0)</f>
        <v>0</v>
      </c>
      <c r="K3520" s="5" t="str">
        <f>IFERROR(__xludf.DUMMYFUNCTION("""COMPUTED_VALUE"""),"")</f>
        <v/>
      </c>
      <c r="L3520" t="str">
        <f>IFERROR(__xludf.DUMMYFUNCTION("""COMPUTED_VALUE"""),"")</f>
        <v/>
      </c>
      <c r="M3520" t="str">
        <f>IFERROR(__xludf.DUMMYFUNCTION("""COMPUTED_VALUE"""),"")</f>
        <v/>
      </c>
      <c r="N3520" t="str">
        <f>IFERROR(__xludf.DUMMYFUNCTION("""COMPUTED_VALUE"""),"")</f>
        <v/>
      </c>
      <c r="O3520" t="str">
        <f>IFERROR(__xludf.DUMMYFUNCTION("""COMPUTED_VALUE"""),"")</f>
        <v/>
      </c>
      <c r="P3520" t="str">
        <f>IFERROR(__xludf.DUMMYFUNCTION("""COMPUTED_VALUE"""),"ID ")</f>
        <v>ID </v>
      </c>
    </row>
    <row r="3521">
      <c r="A3521" s="6" t="str">
        <f>IFERROR(__xludf.DUMMYFUNCTION("""COMPUTED_VALUE"""),"")</f>
        <v/>
      </c>
      <c r="C3521" t="str">
        <f>IFERROR(__xludf.DUMMYFUNCTION("""COMPUTED_VALUE"""),"")</f>
        <v/>
      </c>
      <c r="D3521" t="str">
        <f>IFERROR(__xludf.DUMMYFUNCTION("""COMPUTED_VALUE"""),"")</f>
        <v/>
      </c>
      <c r="E3521" t="str">
        <f>IFERROR(__xludf.DUMMYFUNCTION("""COMPUTED_VALUE"""),"")</f>
        <v/>
      </c>
      <c r="F3521" t="str">
        <f>IFERROR(__xludf.DUMMYFUNCTION("""COMPUTED_VALUE"""),"")</f>
        <v/>
      </c>
      <c r="G3521" t="str">
        <f>IFERROR(__xludf.DUMMYFUNCTION("""COMPUTED_VALUE"""),"")</f>
        <v/>
      </c>
      <c r="H3521" s="2" t="str">
        <f>IFERROR(__xludf.DUMMYFUNCTION("""COMPUTED_VALUE"""),"")</f>
        <v/>
      </c>
      <c r="I3521" s="2" t="str">
        <f>IFERROR(__xludf.DUMMYFUNCTION("""COMPUTED_VALUE"""),"")</f>
        <v/>
      </c>
      <c r="J3521" s="2">
        <f>IFERROR(__xludf.DUMMYFUNCTION("""COMPUTED_VALUE"""),0.0)</f>
        <v>0</v>
      </c>
      <c r="K3521" s="5" t="str">
        <f>IFERROR(__xludf.DUMMYFUNCTION("""COMPUTED_VALUE"""),"")</f>
        <v/>
      </c>
      <c r="L3521" t="str">
        <f>IFERROR(__xludf.DUMMYFUNCTION("""COMPUTED_VALUE"""),"")</f>
        <v/>
      </c>
      <c r="M3521" t="str">
        <f>IFERROR(__xludf.DUMMYFUNCTION("""COMPUTED_VALUE"""),"")</f>
        <v/>
      </c>
      <c r="N3521" t="str">
        <f>IFERROR(__xludf.DUMMYFUNCTION("""COMPUTED_VALUE"""),"")</f>
        <v/>
      </c>
      <c r="O3521" t="str">
        <f>IFERROR(__xludf.DUMMYFUNCTION("""COMPUTED_VALUE"""),"")</f>
        <v/>
      </c>
      <c r="P3521" t="str">
        <f>IFERROR(__xludf.DUMMYFUNCTION("""COMPUTED_VALUE"""),"ID ")</f>
        <v>ID </v>
      </c>
    </row>
    <row r="3522">
      <c r="A3522" s="6" t="str">
        <f>IFERROR(__xludf.DUMMYFUNCTION("""COMPUTED_VALUE"""),"")</f>
        <v/>
      </c>
      <c r="C3522" t="str">
        <f>IFERROR(__xludf.DUMMYFUNCTION("""COMPUTED_VALUE"""),"")</f>
        <v/>
      </c>
      <c r="D3522" t="str">
        <f>IFERROR(__xludf.DUMMYFUNCTION("""COMPUTED_VALUE"""),"")</f>
        <v/>
      </c>
      <c r="E3522" t="str">
        <f>IFERROR(__xludf.DUMMYFUNCTION("""COMPUTED_VALUE"""),"")</f>
        <v/>
      </c>
      <c r="F3522" t="str">
        <f>IFERROR(__xludf.DUMMYFUNCTION("""COMPUTED_VALUE"""),"")</f>
        <v/>
      </c>
      <c r="G3522" t="str">
        <f>IFERROR(__xludf.DUMMYFUNCTION("""COMPUTED_VALUE"""),"")</f>
        <v/>
      </c>
      <c r="H3522" s="2" t="str">
        <f>IFERROR(__xludf.DUMMYFUNCTION("""COMPUTED_VALUE"""),"")</f>
        <v/>
      </c>
      <c r="I3522" s="2" t="str">
        <f>IFERROR(__xludf.DUMMYFUNCTION("""COMPUTED_VALUE"""),"")</f>
        <v/>
      </c>
      <c r="J3522" s="2">
        <f>IFERROR(__xludf.DUMMYFUNCTION("""COMPUTED_VALUE"""),0.0)</f>
        <v>0</v>
      </c>
      <c r="K3522" s="5" t="str">
        <f>IFERROR(__xludf.DUMMYFUNCTION("""COMPUTED_VALUE"""),"")</f>
        <v/>
      </c>
      <c r="L3522" t="str">
        <f>IFERROR(__xludf.DUMMYFUNCTION("""COMPUTED_VALUE"""),"")</f>
        <v/>
      </c>
      <c r="M3522" t="str">
        <f>IFERROR(__xludf.DUMMYFUNCTION("""COMPUTED_VALUE"""),"")</f>
        <v/>
      </c>
      <c r="N3522" t="str">
        <f>IFERROR(__xludf.DUMMYFUNCTION("""COMPUTED_VALUE"""),"")</f>
        <v/>
      </c>
      <c r="O3522" t="str">
        <f>IFERROR(__xludf.DUMMYFUNCTION("""COMPUTED_VALUE"""),"")</f>
        <v/>
      </c>
      <c r="P3522" t="str">
        <f>IFERROR(__xludf.DUMMYFUNCTION("""COMPUTED_VALUE"""),"ID ")</f>
        <v>ID </v>
      </c>
    </row>
    <row r="3523">
      <c r="A3523" s="6" t="str">
        <f>IFERROR(__xludf.DUMMYFUNCTION("""COMPUTED_VALUE"""),"")</f>
        <v/>
      </c>
      <c r="C3523" t="str">
        <f>IFERROR(__xludf.DUMMYFUNCTION("""COMPUTED_VALUE"""),"")</f>
        <v/>
      </c>
      <c r="D3523" t="str">
        <f>IFERROR(__xludf.DUMMYFUNCTION("""COMPUTED_VALUE"""),"")</f>
        <v/>
      </c>
      <c r="E3523" t="str">
        <f>IFERROR(__xludf.DUMMYFUNCTION("""COMPUTED_VALUE"""),"")</f>
        <v/>
      </c>
      <c r="F3523" t="str">
        <f>IFERROR(__xludf.DUMMYFUNCTION("""COMPUTED_VALUE"""),"")</f>
        <v/>
      </c>
      <c r="G3523" t="str">
        <f>IFERROR(__xludf.DUMMYFUNCTION("""COMPUTED_VALUE"""),"")</f>
        <v/>
      </c>
      <c r="H3523" s="2" t="str">
        <f>IFERROR(__xludf.DUMMYFUNCTION("""COMPUTED_VALUE"""),"")</f>
        <v/>
      </c>
      <c r="I3523" s="2" t="str">
        <f>IFERROR(__xludf.DUMMYFUNCTION("""COMPUTED_VALUE"""),"")</f>
        <v/>
      </c>
      <c r="J3523" s="2">
        <f>IFERROR(__xludf.DUMMYFUNCTION("""COMPUTED_VALUE"""),0.0)</f>
        <v>0</v>
      </c>
      <c r="K3523" s="5" t="str">
        <f>IFERROR(__xludf.DUMMYFUNCTION("""COMPUTED_VALUE"""),"")</f>
        <v/>
      </c>
      <c r="L3523" t="str">
        <f>IFERROR(__xludf.DUMMYFUNCTION("""COMPUTED_VALUE"""),"")</f>
        <v/>
      </c>
      <c r="M3523" t="str">
        <f>IFERROR(__xludf.DUMMYFUNCTION("""COMPUTED_VALUE"""),"")</f>
        <v/>
      </c>
      <c r="N3523" t="str">
        <f>IFERROR(__xludf.DUMMYFUNCTION("""COMPUTED_VALUE"""),"")</f>
        <v/>
      </c>
      <c r="O3523" t="str">
        <f>IFERROR(__xludf.DUMMYFUNCTION("""COMPUTED_VALUE"""),"")</f>
        <v/>
      </c>
      <c r="P3523" t="str">
        <f>IFERROR(__xludf.DUMMYFUNCTION("""COMPUTED_VALUE"""),"ID ")</f>
        <v>ID </v>
      </c>
    </row>
    <row r="3524">
      <c r="A3524" s="6" t="str">
        <f>IFERROR(__xludf.DUMMYFUNCTION("""COMPUTED_VALUE"""),"")</f>
        <v/>
      </c>
      <c r="C3524" t="str">
        <f>IFERROR(__xludf.DUMMYFUNCTION("""COMPUTED_VALUE"""),"")</f>
        <v/>
      </c>
      <c r="D3524" t="str">
        <f>IFERROR(__xludf.DUMMYFUNCTION("""COMPUTED_VALUE"""),"")</f>
        <v/>
      </c>
      <c r="E3524" t="str">
        <f>IFERROR(__xludf.DUMMYFUNCTION("""COMPUTED_VALUE"""),"")</f>
        <v/>
      </c>
      <c r="F3524" t="str">
        <f>IFERROR(__xludf.DUMMYFUNCTION("""COMPUTED_VALUE"""),"")</f>
        <v/>
      </c>
      <c r="G3524" t="str">
        <f>IFERROR(__xludf.DUMMYFUNCTION("""COMPUTED_VALUE"""),"")</f>
        <v/>
      </c>
      <c r="H3524" s="2" t="str">
        <f>IFERROR(__xludf.DUMMYFUNCTION("""COMPUTED_VALUE"""),"")</f>
        <v/>
      </c>
      <c r="I3524" s="2" t="str">
        <f>IFERROR(__xludf.DUMMYFUNCTION("""COMPUTED_VALUE"""),"")</f>
        <v/>
      </c>
      <c r="J3524" s="2">
        <f>IFERROR(__xludf.DUMMYFUNCTION("""COMPUTED_VALUE"""),0.0)</f>
        <v>0</v>
      </c>
      <c r="K3524" s="5" t="str">
        <f>IFERROR(__xludf.DUMMYFUNCTION("""COMPUTED_VALUE"""),"")</f>
        <v/>
      </c>
      <c r="L3524" t="str">
        <f>IFERROR(__xludf.DUMMYFUNCTION("""COMPUTED_VALUE"""),"")</f>
        <v/>
      </c>
      <c r="M3524" t="str">
        <f>IFERROR(__xludf.DUMMYFUNCTION("""COMPUTED_VALUE"""),"")</f>
        <v/>
      </c>
      <c r="N3524" t="str">
        <f>IFERROR(__xludf.DUMMYFUNCTION("""COMPUTED_VALUE"""),"")</f>
        <v/>
      </c>
      <c r="O3524" t="str">
        <f>IFERROR(__xludf.DUMMYFUNCTION("""COMPUTED_VALUE"""),"")</f>
        <v/>
      </c>
      <c r="P3524" t="str">
        <f>IFERROR(__xludf.DUMMYFUNCTION("""COMPUTED_VALUE"""),"ID ")</f>
        <v>ID </v>
      </c>
    </row>
    <row r="3525">
      <c r="A3525" s="6" t="str">
        <f>IFERROR(__xludf.DUMMYFUNCTION("""COMPUTED_VALUE"""),"")</f>
        <v/>
      </c>
      <c r="C3525" t="str">
        <f>IFERROR(__xludf.DUMMYFUNCTION("""COMPUTED_VALUE"""),"")</f>
        <v/>
      </c>
      <c r="D3525" t="str">
        <f>IFERROR(__xludf.DUMMYFUNCTION("""COMPUTED_VALUE"""),"")</f>
        <v/>
      </c>
      <c r="E3525" t="str">
        <f>IFERROR(__xludf.DUMMYFUNCTION("""COMPUTED_VALUE"""),"")</f>
        <v/>
      </c>
      <c r="F3525" t="str">
        <f>IFERROR(__xludf.DUMMYFUNCTION("""COMPUTED_VALUE"""),"")</f>
        <v/>
      </c>
      <c r="G3525" t="str">
        <f>IFERROR(__xludf.DUMMYFUNCTION("""COMPUTED_VALUE"""),"")</f>
        <v/>
      </c>
      <c r="H3525" s="2" t="str">
        <f>IFERROR(__xludf.DUMMYFUNCTION("""COMPUTED_VALUE"""),"")</f>
        <v/>
      </c>
      <c r="I3525" s="2" t="str">
        <f>IFERROR(__xludf.DUMMYFUNCTION("""COMPUTED_VALUE"""),"")</f>
        <v/>
      </c>
      <c r="J3525" s="2">
        <f>IFERROR(__xludf.DUMMYFUNCTION("""COMPUTED_VALUE"""),0.0)</f>
        <v>0</v>
      </c>
      <c r="K3525" s="5" t="str">
        <f>IFERROR(__xludf.DUMMYFUNCTION("""COMPUTED_VALUE"""),"")</f>
        <v/>
      </c>
      <c r="L3525" t="str">
        <f>IFERROR(__xludf.DUMMYFUNCTION("""COMPUTED_VALUE"""),"")</f>
        <v/>
      </c>
      <c r="M3525" t="str">
        <f>IFERROR(__xludf.DUMMYFUNCTION("""COMPUTED_VALUE"""),"")</f>
        <v/>
      </c>
      <c r="N3525" t="str">
        <f>IFERROR(__xludf.DUMMYFUNCTION("""COMPUTED_VALUE"""),"")</f>
        <v/>
      </c>
      <c r="O3525" t="str">
        <f>IFERROR(__xludf.DUMMYFUNCTION("""COMPUTED_VALUE"""),"")</f>
        <v/>
      </c>
      <c r="P3525" t="str">
        <f>IFERROR(__xludf.DUMMYFUNCTION("""COMPUTED_VALUE"""),"ID ")</f>
        <v>ID </v>
      </c>
    </row>
    <row r="3526">
      <c r="A3526" s="6" t="str">
        <f>IFERROR(__xludf.DUMMYFUNCTION("""COMPUTED_VALUE"""),"")</f>
        <v/>
      </c>
      <c r="C3526" t="str">
        <f>IFERROR(__xludf.DUMMYFUNCTION("""COMPUTED_VALUE"""),"")</f>
        <v/>
      </c>
      <c r="D3526" t="str">
        <f>IFERROR(__xludf.DUMMYFUNCTION("""COMPUTED_VALUE"""),"")</f>
        <v/>
      </c>
      <c r="E3526" t="str">
        <f>IFERROR(__xludf.DUMMYFUNCTION("""COMPUTED_VALUE"""),"")</f>
        <v/>
      </c>
      <c r="F3526" t="str">
        <f>IFERROR(__xludf.DUMMYFUNCTION("""COMPUTED_VALUE"""),"")</f>
        <v/>
      </c>
      <c r="G3526" t="str">
        <f>IFERROR(__xludf.DUMMYFUNCTION("""COMPUTED_VALUE"""),"")</f>
        <v/>
      </c>
      <c r="H3526" s="2" t="str">
        <f>IFERROR(__xludf.DUMMYFUNCTION("""COMPUTED_VALUE"""),"")</f>
        <v/>
      </c>
      <c r="I3526" s="2" t="str">
        <f>IFERROR(__xludf.DUMMYFUNCTION("""COMPUTED_VALUE"""),"")</f>
        <v/>
      </c>
      <c r="J3526" s="2">
        <f>IFERROR(__xludf.DUMMYFUNCTION("""COMPUTED_VALUE"""),0.0)</f>
        <v>0</v>
      </c>
      <c r="K3526" s="5" t="str">
        <f>IFERROR(__xludf.DUMMYFUNCTION("""COMPUTED_VALUE"""),"")</f>
        <v/>
      </c>
      <c r="L3526" t="str">
        <f>IFERROR(__xludf.DUMMYFUNCTION("""COMPUTED_VALUE"""),"")</f>
        <v/>
      </c>
      <c r="M3526" t="str">
        <f>IFERROR(__xludf.DUMMYFUNCTION("""COMPUTED_VALUE"""),"")</f>
        <v/>
      </c>
      <c r="N3526" t="str">
        <f>IFERROR(__xludf.DUMMYFUNCTION("""COMPUTED_VALUE"""),"")</f>
        <v/>
      </c>
      <c r="O3526" t="str">
        <f>IFERROR(__xludf.DUMMYFUNCTION("""COMPUTED_VALUE"""),"")</f>
        <v/>
      </c>
      <c r="P3526" t="str">
        <f>IFERROR(__xludf.DUMMYFUNCTION("""COMPUTED_VALUE"""),"ID ")</f>
        <v>ID </v>
      </c>
    </row>
    <row r="3527">
      <c r="A3527" s="6" t="str">
        <f>IFERROR(__xludf.DUMMYFUNCTION("""COMPUTED_VALUE"""),"")</f>
        <v/>
      </c>
      <c r="C3527" t="str">
        <f>IFERROR(__xludf.DUMMYFUNCTION("""COMPUTED_VALUE"""),"")</f>
        <v/>
      </c>
      <c r="D3527" t="str">
        <f>IFERROR(__xludf.DUMMYFUNCTION("""COMPUTED_VALUE"""),"")</f>
        <v/>
      </c>
      <c r="E3527" t="str">
        <f>IFERROR(__xludf.DUMMYFUNCTION("""COMPUTED_VALUE"""),"")</f>
        <v/>
      </c>
      <c r="F3527" t="str">
        <f>IFERROR(__xludf.DUMMYFUNCTION("""COMPUTED_VALUE"""),"")</f>
        <v/>
      </c>
      <c r="G3527" t="str">
        <f>IFERROR(__xludf.DUMMYFUNCTION("""COMPUTED_VALUE"""),"")</f>
        <v/>
      </c>
      <c r="H3527" s="2" t="str">
        <f>IFERROR(__xludf.DUMMYFUNCTION("""COMPUTED_VALUE"""),"")</f>
        <v/>
      </c>
      <c r="I3527" s="2" t="str">
        <f>IFERROR(__xludf.DUMMYFUNCTION("""COMPUTED_VALUE"""),"")</f>
        <v/>
      </c>
      <c r="J3527" s="2">
        <f>IFERROR(__xludf.DUMMYFUNCTION("""COMPUTED_VALUE"""),0.0)</f>
        <v>0</v>
      </c>
      <c r="K3527" s="5" t="str">
        <f>IFERROR(__xludf.DUMMYFUNCTION("""COMPUTED_VALUE"""),"")</f>
        <v/>
      </c>
      <c r="L3527" t="str">
        <f>IFERROR(__xludf.DUMMYFUNCTION("""COMPUTED_VALUE"""),"")</f>
        <v/>
      </c>
      <c r="M3527" t="str">
        <f>IFERROR(__xludf.DUMMYFUNCTION("""COMPUTED_VALUE"""),"")</f>
        <v/>
      </c>
      <c r="N3527" t="str">
        <f>IFERROR(__xludf.DUMMYFUNCTION("""COMPUTED_VALUE"""),"")</f>
        <v/>
      </c>
      <c r="O3527" t="str">
        <f>IFERROR(__xludf.DUMMYFUNCTION("""COMPUTED_VALUE"""),"")</f>
        <v/>
      </c>
      <c r="P3527" t="str">
        <f>IFERROR(__xludf.DUMMYFUNCTION("""COMPUTED_VALUE"""),"ID ")</f>
        <v>ID </v>
      </c>
    </row>
    <row r="3528">
      <c r="A3528" s="6" t="str">
        <f>IFERROR(__xludf.DUMMYFUNCTION("""COMPUTED_VALUE"""),"")</f>
        <v/>
      </c>
      <c r="C3528" t="str">
        <f>IFERROR(__xludf.DUMMYFUNCTION("""COMPUTED_VALUE"""),"")</f>
        <v/>
      </c>
      <c r="D3528" t="str">
        <f>IFERROR(__xludf.DUMMYFUNCTION("""COMPUTED_VALUE"""),"")</f>
        <v/>
      </c>
      <c r="E3528" t="str">
        <f>IFERROR(__xludf.DUMMYFUNCTION("""COMPUTED_VALUE"""),"")</f>
        <v/>
      </c>
      <c r="F3528" t="str">
        <f>IFERROR(__xludf.DUMMYFUNCTION("""COMPUTED_VALUE"""),"")</f>
        <v/>
      </c>
      <c r="G3528" t="str">
        <f>IFERROR(__xludf.DUMMYFUNCTION("""COMPUTED_VALUE"""),"")</f>
        <v/>
      </c>
      <c r="H3528" s="2" t="str">
        <f>IFERROR(__xludf.DUMMYFUNCTION("""COMPUTED_VALUE"""),"")</f>
        <v/>
      </c>
      <c r="I3528" s="2" t="str">
        <f>IFERROR(__xludf.DUMMYFUNCTION("""COMPUTED_VALUE"""),"")</f>
        <v/>
      </c>
      <c r="J3528" s="2">
        <f>IFERROR(__xludf.DUMMYFUNCTION("""COMPUTED_VALUE"""),0.0)</f>
        <v>0</v>
      </c>
      <c r="K3528" s="5" t="str">
        <f>IFERROR(__xludf.DUMMYFUNCTION("""COMPUTED_VALUE"""),"")</f>
        <v/>
      </c>
      <c r="L3528" t="str">
        <f>IFERROR(__xludf.DUMMYFUNCTION("""COMPUTED_VALUE"""),"")</f>
        <v/>
      </c>
      <c r="M3528" t="str">
        <f>IFERROR(__xludf.DUMMYFUNCTION("""COMPUTED_VALUE"""),"")</f>
        <v/>
      </c>
      <c r="N3528" t="str">
        <f>IFERROR(__xludf.DUMMYFUNCTION("""COMPUTED_VALUE"""),"")</f>
        <v/>
      </c>
      <c r="O3528" t="str">
        <f>IFERROR(__xludf.DUMMYFUNCTION("""COMPUTED_VALUE"""),"")</f>
        <v/>
      </c>
      <c r="P3528" t="str">
        <f>IFERROR(__xludf.DUMMYFUNCTION("""COMPUTED_VALUE"""),"ID ")</f>
        <v>ID </v>
      </c>
    </row>
    <row r="3529">
      <c r="A3529" s="6" t="str">
        <f>IFERROR(__xludf.DUMMYFUNCTION("""COMPUTED_VALUE"""),"")</f>
        <v/>
      </c>
      <c r="C3529" t="str">
        <f>IFERROR(__xludf.DUMMYFUNCTION("""COMPUTED_VALUE"""),"")</f>
        <v/>
      </c>
      <c r="D3529" t="str">
        <f>IFERROR(__xludf.DUMMYFUNCTION("""COMPUTED_VALUE"""),"")</f>
        <v/>
      </c>
      <c r="E3529" t="str">
        <f>IFERROR(__xludf.DUMMYFUNCTION("""COMPUTED_VALUE"""),"")</f>
        <v/>
      </c>
      <c r="F3529" t="str">
        <f>IFERROR(__xludf.DUMMYFUNCTION("""COMPUTED_VALUE"""),"")</f>
        <v/>
      </c>
      <c r="G3529" t="str">
        <f>IFERROR(__xludf.DUMMYFUNCTION("""COMPUTED_VALUE"""),"")</f>
        <v/>
      </c>
      <c r="H3529" s="2" t="str">
        <f>IFERROR(__xludf.DUMMYFUNCTION("""COMPUTED_VALUE"""),"")</f>
        <v/>
      </c>
      <c r="I3529" s="2" t="str">
        <f>IFERROR(__xludf.DUMMYFUNCTION("""COMPUTED_VALUE"""),"")</f>
        <v/>
      </c>
      <c r="J3529" s="2">
        <f>IFERROR(__xludf.DUMMYFUNCTION("""COMPUTED_VALUE"""),0.0)</f>
        <v>0</v>
      </c>
      <c r="K3529" s="5" t="str">
        <f>IFERROR(__xludf.DUMMYFUNCTION("""COMPUTED_VALUE"""),"")</f>
        <v/>
      </c>
      <c r="L3529" t="str">
        <f>IFERROR(__xludf.DUMMYFUNCTION("""COMPUTED_VALUE"""),"")</f>
        <v/>
      </c>
      <c r="M3529" t="str">
        <f>IFERROR(__xludf.DUMMYFUNCTION("""COMPUTED_VALUE"""),"")</f>
        <v/>
      </c>
      <c r="N3529" t="str">
        <f>IFERROR(__xludf.DUMMYFUNCTION("""COMPUTED_VALUE"""),"")</f>
        <v/>
      </c>
      <c r="O3529" t="str">
        <f>IFERROR(__xludf.DUMMYFUNCTION("""COMPUTED_VALUE"""),"")</f>
        <v/>
      </c>
      <c r="P3529" t="str">
        <f>IFERROR(__xludf.DUMMYFUNCTION("""COMPUTED_VALUE"""),"ID ")</f>
        <v>ID </v>
      </c>
    </row>
    <row r="3530">
      <c r="A3530" s="6" t="str">
        <f>IFERROR(__xludf.DUMMYFUNCTION("""COMPUTED_VALUE"""),"")</f>
        <v/>
      </c>
      <c r="C3530" t="str">
        <f>IFERROR(__xludf.DUMMYFUNCTION("""COMPUTED_VALUE"""),"")</f>
        <v/>
      </c>
      <c r="D3530" t="str">
        <f>IFERROR(__xludf.DUMMYFUNCTION("""COMPUTED_VALUE"""),"")</f>
        <v/>
      </c>
      <c r="E3530" t="str">
        <f>IFERROR(__xludf.DUMMYFUNCTION("""COMPUTED_VALUE"""),"")</f>
        <v/>
      </c>
      <c r="F3530" t="str">
        <f>IFERROR(__xludf.DUMMYFUNCTION("""COMPUTED_VALUE"""),"")</f>
        <v/>
      </c>
      <c r="G3530" t="str">
        <f>IFERROR(__xludf.DUMMYFUNCTION("""COMPUTED_VALUE"""),"")</f>
        <v/>
      </c>
      <c r="H3530" s="2" t="str">
        <f>IFERROR(__xludf.DUMMYFUNCTION("""COMPUTED_VALUE"""),"")</f>
        <v/>
      </c>
      <c r="I3530" s="2" t="str">
        <f>IFERROR(__xludf.DUMMYFUNCTION("""COMPUTED_VALUE"""),"")</f>
        <v/>
      </c>
      <c r="J3530" s="2">
        <f>IFERROR(__xludf.DUMMYFUNCTION("""COMPUTED_VALUE"""),0.0)</f>
        <v>0</v>
      </c>
      <c r="K3530" s="5" t="str">
        <f>IFERROR(__xludf.DUMMYFUNCTION("""COMPUTED_VALUE"""),"")</f>
        <v/>
      </c>
      <c r="L3530" t="str">
        <f>IFERROR(__xludf.DUMMYFUNCTION("""COMPUTED_VALUE"""),"")</f>
        <v/>
      </c>
      <c r="M3530" t="str">
        <f>IFERROR(__xludf.DUMMYFUNCTION("""COMPUTED_VALUE"""),"")</f>
        <v/>
      </c>
      <c r="N3530" t="str">
        <f>IFERROR(__xludf.DUMMYFUNCTION("""COMPUTED_VALUE"""),"")</f>
        <v/>
      </c>
      <c r="O3530" t="str">
        <f>IFERROR(__xludf.DUMMYFUNCTION("""COMPUTED_VALUE"""),"")</f>
        <v/>
      </c>
      <c r="P3530" t="str">
        <f>IFERROR(__xludf.DUMMYFUNCTION("""COMPUTED_VALUE"""),"ID ")</f>
        <v>ID </v>
      </c>
    </row>
    <row r="3531">
      <c r="A3531" s="6" t="str">
        <f>IFERROR(__xludf.DUMMYFUNCTION("""COMPUTED_VALUE"""),"")</f>
        <v/>
      </c>
      <c r="C3531" t="str">
        <f>IFERROR(__xludf.DUMMYFUNCTION("""COMPUTED_VALUE"""),"")</f>
        <v/>
      </c>
      <c r="D3531" t="str">
        <f>IFERROR(__xludf.DUMMYFUNCTION("""COMPUTED_VALUE"""),"")</f>
        <v/>
      </c>
      <c r="E3531" t="str">
        <f>IFERROR(__xludf.DUMMYFUNCTION("""COMPUTED_VALUE"""),"")</f>
        <v/>
      </c>
      <c r="F3531" t="str">
        <f>IFERROR(__xludf.DUMMYFUNCTION("""COMPUTED_VALUE"""),"")</f>
        <v/>
      </c>
      <c r="G3531" t="str">
        <f>IFERROR(__xludf.DUMMYFUNCTION("""COMPUTED_VALUE"""),"")</f>
        <v/>
      </c>
      <c r="H3531" s="2" t="str">
        <f>IFERROR(__xludf.DUMMYFUNCTION("""COMPUTED_VALUE"""),"")</f>
        <v/>
      </c>
      <c r="I3531" s="2" t="str">
        <f>IFERROR(__xludf.DUMMYFUNCTION("""COMPUTED_VALUE"""),"")</f>
        <v/>
      </c>
      <c r="J3531" s="2">
        <f>IFERROR(__xludf.DUMMYFUNCTION("""COMPUTED_VALUE"""),0.0)</f>
        <v>0</v>
      </c>
      <c r="K3531" s="5" t="str">
        <f>IFERROR(__xludf.DUMMYFUNCTION("""COMPUTED_VALUE"""),"")</f>
        <v/>
      </c>
      <c r="L3531" t="str">
        <f>IFERROR(__xludf.DUMMYFUNCTION("""COMPUTED_VALUE"""),"")</f>
        <v/>
      </c>
      <c r="M3531" t="str">
        <f>IFERROR(__xludf.DUMMYFUNCTION("""COMPUTED_VALUE"""),"")</f>
        <v/>
      </c>
      <c r="N3531" t="str">
        <f>IFERROR(__xludf.DUMMYFUNCTION("""COMPUTED_VALUE"""),"")</f>
        <v/>
      </c>
      <c r="O3531" t="str">
        <f>IFERROR(__xludf.DUMMYFUNCTION("""COMPUTED_VALUE"""),"")</f>
        <v/>
      </c>
      <c r="P3531" t="str">
        <f>IFERROR(__xludf.DUMMYFUNCTION("""COMPUTED_VALUE"""),"ID ")</f>
        <v>ID </v>
      </c>
    </row>
    <row r="3532">
      <c r="A3532" s="6" t="str">
        <f>IFERROR(__xludf.DUMMYFUNCTION("""COMPUTED_VALUE"""),"")</f>
        <v/>
      </c>
      <c r="C3532" t="str">
        <f>IFERROR(__xludf.DUMMYFUNCTION("""COMPUTED_VALUE"""),"")</f>
        <v/>
      </c>
      <c r="D3532" t="str">
        <f>IFERROR(__xludf.DUMMYFUNCTION("""COMPUTED_VALUE"""),"")</f>
        <v/>
      </c>
      <c r="E3532" t="str">
        <f>IFERROR(__xludf.DUMMYFUNCTION("""COMPUTED_VALUE"""),"")</f>
        <v/>
      </c>
      <c r="F3532" t="str">
        <f>IFERROR(__xludf.DUMMYFUNCTION("""COMPUTED_VALUE"""),"")</f>
        <v/>
      </c>
      <c r="G3532" t="str">
        <f>IFERROR(__xludf.DUMMYFUNCTION("""COMPUTED_VALUE"""),"")</f>
        <v/>
      </c>
      <c r="H3532" s="2" t="str">
        <f>IFERROR(__xludf.DUMMYFUNCTION("""COMPUTED_VALUE"""),"")</f>
        <v/>
      </c>
      <c r="I3532" s="2" t="str">
        <f>IFERROR(__xludf.DUMMYFUNCTION("""COMPUTED_VALUE"""),"")</f>
        <v/>
      </c>
      <c r="J3532" s="2">
        <f>IFERROR(__xludf.DUMMYFUNCTION("""COMPUTED_VALUE"""),0.0)</f>
        <v>0</v>
      </c>
      <c r="K3532" s="5" t="str">
        <f>IFERROR(__xludf.DUMMYFUNCTION("""COMPUTED_VALUE"""),"")</f>
        <v/>
      </c>
      <c r="L3532" t="str">
        <f>IFERROR(__xludf.DUMMYFUNCTION("""COMPUTED_VALUE"""),"")</f>
        <v/>
      </c>
      <c r="M3532" t="str">
        <f>IFERROR(__xludf.DUMMYFUNCTION("""COMPUTED_VALUE"""),"")</f>
        <v/>
      </c>
      <c r="N3532" t="str">
        <f>IFERROR(__xludf.DUMMYFUNCTION("""COMPUTED_VALUE"""),"")</f>
        <v/>
      </c>
      <c r="O3532" t="str">
        <f>IFERROR(__xludf.DUMMYFUNCTION("""COMPUTED_VALUE"""),"")</f>
        <v/>
      </c>
      <c r="P3532" t="str">
        <f>IFERROR(__xludf.DUMMYFUNCTION("""COMPUTED_VALUE"""),"ID ")</f>
        <v>ID </v>
      </c>
    </row>
    <row r="3533">
      <c r="A3533" s="6" t="str">
        <f>IFERROR(__xludf.DUMMYFUNCTION("""COMPUTED_VALUE"""),"")</f>
        <v/>
      </c>
      <c r="C3533" t="str">
        <f>IFERROR(__xludf.DUMMYFUNCTION("""COMPUTED_VALUE"""),"")</f>
        <v/>
      </c>
      <c r="D3533" t="str">
        <f>IFERROR(__xludf.DUMMYFUNCTION("""COMPUTED_VALUE"""),"")</f>
        <v/>
      </c>
      <c r="E3533" t="str">
        <f>IFERROR(__xludf.DUMMYFUNCTION("""COMPUTED_VALUE"""),"")</f>
        <v/>
      </c>
      <c r="F3533" t="str">
        <f>IFERROR(__xludf.DUMMYFUNCTION("""COMPUTED_VALUE"""),"")</f>
        <v/>
      </c>
      <c r="G3533" t="str">
        <f>IFERROR(__xludf.DUMMYFUNCTION("""COMPUTED_VALUE"""),"")</f>
        <v/>
      </c>
      <c r="H3533" s="2" t="str">
        <f>IFERROR(__xludf.DUMMYFUNCTION("""COMPUTED_VALUE"""),"")</f>
        <v/>
      </c>
      <c r="I3533" s="2" t="str">
        <f>IFERROR(__xludf.DUMMYFUNCTION("""COMPUTED_VALUE"""),"")</f>
        <v/>
      </c>
      <c r="J3533" s="2">
        <f>IFERROR(__xludf.DUMMYFUNCTION("""COMPUTED_VALUE"""),0.0)</f>
        <v>0</v>
      </c>
      <c r="K3533" s="5" t="str">
        <f>IFERROR(__xludf.DUMMYFUNCTION("""COMPUTED_VALUE"""),"")</f>
        <v/>
      </c>
      <c r="L3533" t="str">
        <f>IFERROR(__xludf.DUMMYFUNCTION("""COMPUTED_VALUE"""),"")</f>
        <v/>
      </c>
      <c r="M3533" t="str">
        <f>IFERROR(__xludf.DUMMYFUNCTION("""COMPUTED_VALUE"""),"")</f>
        <v/>
      </c>
      <c r="N3533" t="str">
        <f>IFERROR(__xludf.DUMMYFUNCTION("""COMPUTED_VALUE"""),"")</f>
        <v/>
      </c>
      <c r="O3533" t="str">
        <f>IFERROR(__xludf.DUMMYFUNCTION("""COMPUTED_VALUE"""),"")</f>
        <v/>
      </c>
      <c r="P3533" t="str">
        <f>IFERROR(__xludf.DUMMYFUNCTION("""COMPUTED_VALUE"""),"ID ")</f>
        <v>ID </v>
      </c>
    </row>
    <row r="3534">
      <c r="A3534" s="6" t="str">
        <f>IFERROR(__xludf.DUMMYFUNCTION("""COMPUTED_VALUE"""),"")</f>
        <v/>
      </c>
      <c r="C3534" t="str">
        <f>IFERROR(__xludf.DUMMYFUNCTION("""COMPUTED_VALUE"""),"")</f>
        <v/>
      </c>
      <c r="D3534" t="str">
        <f>IFERROR(__xludf.DUMMYFUNCTION("""COMPUTED_VALUE"""),"")</f>
        <v/>
      </c>
      <c r="E3534" t="str">
        <f>IFERROR(__xludf.DUMMYFUNCTION("""COMPUTED_VALUE"""),"")</f>
        <v/>
      </c>
      <c r="F3534" t="str">
        <f>IFERROR(__xludf.DUMMYFUNCTION("""COMPUTED_VALUE"""),"")</f>
        <v/>
      </c>
      <c r="G3534" t="str">
        <f>IFERROR(__xludf.DUMMYFUNCTION("""COMPUTED_VALUE"""),"")</f>
        <v/>
      </c>
      <c r="H3534" s="2" t="str">
        <f>IFERROR(__xludf.DUMMYFUNCTION("""COMPUTED_VALUE"""),"")</f>
        <v/>
      </c>
      <c r="I3534" s="2" t="str">
        <f>IFERROR(__xludf.DUMMYFUNCTION("""COMPUTED_VALUE"""),"")</f>
        <v/>
      </c>
      <c r="J3534" s="2">
        <f>IFERROR(__xludf.DUMMYFUNCTION("""COMPUTED_VALUE"""),0.0)</f>
        <v>0</v>
      </c>
      <c r="K3534" s="5" t="str">
        <f>IFERROR(__xludf.DUMMYFUNCTION("""COMPUTED_VALUE"""),"")</f>
        <v/>
      </c>
      <c r="L3534" t="str">
        <f>IFERROR(__xludf.DUMMYFUNCTION("""COMPUTED_VALUE"""),"")</f>
        <v/>
      </c>
      <c r="M3534" t="str">
        <f>IFERROR(__xludf.DUMMYFUNCTION("""COMPUTED_VALUE"""),"")</f>
        <v/>
      </c>
      <c r="N3534" t="str">
        <f>IFERROR(__xludf.DUMMYFUNCTION("""COMPUTED_VALUE"""),"")</f>
        <v/>
      </c>
      <c r="O3534" t="str">
        <f>IFERROR(__xludf.DUMMYFUNCTION("""COMPUTED_VALUE"""),"")</f>
        <v/>
      </c>
      <c r="P3534" t="str">
        <f>IFERROR(__xludf.DUMMYFUNCTION("""COMPUTED_VALUE"""),"ID ")</f>
        <v>ID </v>
      </c>
    </row>
    <row r="3535">
      <c r="A3535" s="6" t="str">
        <f>IFERROR(__xludf.DUMMYFUNCTION("""COMPUTED_VALUE"""),"")</f>
        <v/>
      </c>
      <c r="C3535" t="str">
        <f>IFERROR(__xludf.DUMMYFUNCTION("""COMPUTED_VALUE"""),"")</f>
        <v/>
      </c>
      <c r="D3535" t="str">
        <f>IFERROR(__xludf.DUMMYFUNCTION("""COMPUTED_VALUE"""),"")</f>
        <v/>
      </c>
      <c r="E3535" t="str">
        <f>IFERROR(__xludf.DUMMYFUNCTION("""COMPUTED_VALUE"""),"")</f>
        <v/>
      </c>
      <c r="F3535" t="str">
        <f>IFERROR(__xludf.DUMMYFUNCTION("""COMPUTED_VALUE"""),"")</f>
        <v/>
      </c>
      <c r="G3535" t="str">
        <f>IFERROR(__xludf.DUMMYFUNCTION("""COMPUTED_VALUE"""),"")</f>
        <v/>
      </c>
      <c r="H3535" s="2" t="str">
        <f>IFERROR(__xludf.DUMMYFUNCTION("""COMPUTED_VALUE"""),"")</f>
        <v/>
      </c>
      <c r="I3535" s="2" t="str">
        <f>IFERROR(__xludf.DUMMYFUNCTION("""COMPUTED_VALUE"""),"")</f>
        <v/>
      </c>
      <c r="J3535" s="2">
        <f>IFERROR(__xludf.DUMMYFUNCTION("""COMPUTED_VALUE"""),0.0)</f>
        <v>0</v>
      </c>
      <c r="K3535" s="5" t="str">
        <f>IFERROR(__xludf.DUMMYFUNCTION("""COMPUTED_VALUE"""),"")</f>
        <v/>
      </c>
      <c r="L3535" t="str">
        <f>IFERROR(__xludf.DUMMYFUNCTION("""COMPUTED_VALUE"""),"")</f>
        <v/>
      </c>
      <c r="M3535" t="str">
        <f>IFERROR(__xludf.DUMMYFUNCTION("""COMPUTED_VALUE"""),"")</f>
        <v/>
      </c>
      <c r="N3535" t="str">
        <f>IFERROR(__xludf.DUMMYFUNCTION("""COMPUTED_VALUE"""),"")</f>
        <v/>
      </c>
      <c r="O3535" t="str">
        <f>IFERROR(__xludf.DUMMYFUNCTION("""COMPUTED_VALUE"""),"")</f>
        <v/>
      </c>
      <c r="P3535" t="str">
        <f>IFERROR(__xludf.DUMMYFUNCTION("""COMPUTED_VALUE"""),"ID ")</f>
        <v>ID </v>
      </c>
    </row>
    <row r="3536">
      <c r="A3536" s="6" t="str">
        <f>IFERROR(__xludf.DUMMYFUNCTION("""COMPUTED_VALUE"""),"")</f>
        <v/>
      </c>
      <c r="C3536" t="str">
        <f>IFERROR(__xludf.DUMMYFUNCTION("""COMPUTED_VALUE"""),"")</f>
        <v/>
      </c>
      <c r="D3536" t="str">
        <f>IFERROR(__xludf.DUMMYFUNCTION("""COMPUTED_VALUE"""),"")</f>
        <v/>
      </c>
      <c r="E3536" t="str">
        <f>IFERROR(__xludf.DUMMYFUNCTION("""COMPUTED_VALUE"""),"")</f>
        <v/>
      </c>
      <c r="F3536" t="str">
        <f>IFERROR(__xludf.DUMMYFUNCTION("""COMPUTED_VALUE"""),"")</f>
        <v/>
      </c>
      <c r="G3536" t="str">
        <f>IFERROR(__xludf.DUMMYFUNCTION("""COMPUTED_VALUE"""),"")</f>
        <v/>
      </c>
      <c r="H3536" s="2" t="str">
        <f>IFERROR(__xludf.DUMMYFUNCTION("""COMPUTED_VALUE"""),"")</f>
        <v/>
      </c>
      <c r="I3536" s="2" t="str">
        <f>IFERROR(__xludf.DUMMYFUNCTION("""COMPUTED_VALUE"""),"")</f>
        <v/>
      </c>
      <c r="J3536" s="2">
        <f>IFERROR(__xludf.DUMMYFUNCTION("""COMPUTED_VALUE"""),0.0)</f>
        <v>0</v>
      </c>
      <c r="K3536" s="5" t="str">
        <f>IFERROR(__xludf.DUMMYFUNCTION("""COMPUTED_VALUE"""),"")</f>
        <v/>
      </c>
      <c r="L3536" t="str">
        <f>IFERROR(__xludf.DUMMYFUNCTION("""COMPUTED_VALUE"""),"")</f>
        <v/>
      </c>
      <c r="M3536" t="str">
        <f>IFERROR(__xludf.DUMMYFUNCTION("""COMPUTED_VALUE"""),"")</f>
        <v/>
      </c>
      <c r="N3536" t="str">
        <f>IFERROR(__xludf.DUMMYFUNCTION("""COMPUTED_VALUE"""),"")</f>
        <v/>
      </c>
      <c r="O3536" t="str">
        <f>IFERROR(__xludf.DUMMYFUNCTION("""COMPUTED_VALUE"""),"")</f>
        <v/>
      </c>
      <c r="P3536" t="str">
        <f>IFERROR(__xludf.DUMMYFUNCTION("""COMPUTED_VALUE"""),"ID ")</f>
        <v>ID </v>
      </c>
    </row>
    <row r="3537">
      <c r="A3537" s="6" t="str">
        <f>IFERROR(__xludf.DUMMYFUNCTION("""COMPUTED_VALUE"""),"")</f>
        <v/>
      </c>
      <c r="C3537" t="str">
        <f>IFERROR(__xludf.DUMMYFUNCTION("""COMPUTED_VALUE"""),"")</f>
        <v/>
      </c>
      <c r="D3537" t="str">
        <f>IFERROR(__xludf.DUMMYFUNCTION("""COMPUTED_VALUE"""),"")</f>
        <v/>
      </c>
      <c r="E3537" t="str">
        <f>IFERROR(__xludf.DUMMYFUNCTION("""COMPUTED_VALUE"""),"")</f>
        <v/>
      </c>
      <c r="F3537" t="str">
        <f>IFERROR(__xludf.DUMMYFUNCTION("""COMPUTED_VALUE"""),"")</f>
        <v/>
      </c>
      <c r="G3537" t="str">
        <f>IFERROR(__xludf.DUMMYFUNCTION("""COMPUTED_VALUE"""),"")</f>
        <v/>
      </c>
      <c r="H3537" s="2" t="str">
        <f>IFERROR(__xludf.DUMMYFUNCTION("""COMPUTED_VALUE"""),"")</f>
        <v/>
      </c>
      <c r="I3537" s="2" t="str">
        <f>IFERROR(__xludf.DUMMYFUNCTION("""COMPUTED_VALUE"""),"")</f>
        <v/>
      </c>
      <c r="J3537" s="2">
        <f>IFERROR(__xludf.DUMMYFUNCTION("""COMPUTED_VALUE"""),0.0)</f>
        <v>0</v>
      </c>
      <c r="K3537" s="5" t="str">
        <f>IFERROR(__xludf.DUMMYFUNCTION("""COMPUTED_VALUE"""),"")</f>
        <v/>
      </c>
      <c r="L3537" t="str">
        <f>IFERROR(__xludf.DUMMYFUNCTION("""COMPUTED_VALUE"""),"")</f>
        <v/>
      </c>
      <c r="M3537" t="str">
        <f>IFERROR(__xludf.DUMMYFUNCTION("""COMPUTED_VALUE"""),"")</f>
        <v/>
      </c>
      <c r="N3537" t="str">
        <f>IFERROR(__xludf.DUMMYFUNCTION("""COMPUTED_VALUE"""),"")</f>
        <v/>
      </c>
      <c r="O3537" t="str">
        <f>IFERROR(__xludf.DUMMYFUNCTION("""COMPUTED_VALUE"""),"")</f>
        <v/>
      </c>
      <c r="P3537" t="str">
        <f>IFERROR(__xludf.DUMMYFUNCTION("""COMPUTED_VALUE"""),"ID ")</f>
        <v>ID </v>
      </c>
    </row>
    <row r="3538">
      <c r="A3538" s="6" t="str">
        <f>IFERROR(__xludf.DUMMYFUNCTION("""COMPUTED_VALUE"""),"")</f>
        <v/>
      </c>
      <c r="C3538" t="str">
        <f>IFERROR(__xludf.DUMMYFUNCTION("""COMPUTED_VALUE"""),"")</f>
        <v/>
      </c>
      <c r="D3538" t="str">
        <f>IFERROR(__xludf.DUMMYFUNCTION("""COMPUTED_VALUE"""),"")</f>
        <v/>
      </c>
      <c r="E3538" t="str">
        <f>IFERROR(__xludf.DUMMYFUNCTION("""COMPUTED_VALUE"""),"")</f>
        <v/>
      </c>
      <c r="F3538" t="str">
        <f>IFERROR(__xludf.DUMMYFUNCTION("""COMPUTED_VALUE"""),"")</f>
        <v/>
      </c>
      <c r="G3538" t="str">
        <f>IFERROR(__xludf.DUMMYFUNCTION("""COMPUTED_VALUE"""),"")</f>
        <v/>
      </c>
      <c r="H3538" s="2" t="str">
        <f>IFERROR(__xludf.DUMMYFUNCTION("""COMPUTED_VALUE"""),"")</f>
        <v/>
      </c>
      <c r="I3538" s="2" t="str">
        <f>IFERROR(__xludf.DUMMYFUNCTION("""COMPUTED_VALUE"""),"")</f>
        <v/>
      </c>
      <c r="J3538" s="2">
        <f>IFERROR(__xludf.DUMMYFUNCTION("""COMPUTED_VALUE"""),0.0)</f>
        <v>0</v>
      </c>
      <c r="K3538" s="5" t="str">
        <f>IFERROR(__xludf.DUMMYFUNCTION("""COMPUTED_VALUE"""),"")</f>
        <v/>
      </c>
      <c r="L3538" t="str">
        <f>IFERROR(__xludf.DUMMYFUNCTION("""COMPUTED_VALUE"""),"")</f>
        <v/>
      </c>
      <c r="M3538" t="str">
        <f>IFERROR(__xludf.DUMMYFUNCTION("""COMPUTED_VALUE"""),"")</f>
        <v/>
      </c>
      <c r="N3538" t="str">
        <f>IFERROR(__xludf.DUMMYFUNCTION("""COMPUTED_VALUE"""),"")</f>
        <v/>
      </c>
      <c r="O3538" t="str">
        <f>IFERROR(__xludf.DUMMYFUNCTION("""COMPUTED_VALUE"""),"")</f>
        <v/>
      </c>
      <c r="P3538" t="str">
        <f>IFERROR(__xludf.DUMMYFUNCTION("""COMPUTED_VALUE"""),"ID ")</f>
        <v>ID </v>
      </c>
    </row>
    <row r="3539">
      <c r="A3539" s="6" t="str">
        <f>IFERROR(__xludf.DUMMYFUNCTION("""COMPUTED_VALUE"""),"")</f>
        <v/>
      </c>
      <c r="C3539" t="str">
        <f>IFERROR(__xludf.DUMMYFUNCTION("""COMPUTED_VALUE"""),"")</f>
        <v/>
      </c>
      <c r="D3539" t="str">
        <f>IFERROR(__xludf.DUMMYFUNCTION("""COMPUTED_VALUE"""),"")</f>
        <v/>
      </c>
      <c r="E3539" t="str">
        <f>IFERROR(__xludf.DUMMYFUNCTION("""COMPUTED_VALUE"""),"")</f>
        <v/>
      </c>
      <c r="F3539" t="str">
        <f>IFERROR(__xludf.DUMMYFUNCTION("""COMPUTED_VALUE"""),"")</f>
        <v/>
      </c>
      <c r="G3539" t="str">
        <f>IFERROR(__xludf.DUMMYFUNCTION("""COMPUTED_VALUE"""),"")</f>
        <v/>
      </c>
      <c r="H3539" s="2" t="str">
        <f>IFERROR(__xludf.DUMMYFUNCTION("""COMPUTED_VALUE"""),"")</f>
        <v/>
      </c>
      <c r="I3539" s="2" t="str">
        <f>IFERROR(__xludf.DUMMYFUNCTION("""COMPUTED_VALUE"""),"")</f>
        <v/>
      </c>
      <c r="J3539" s="2">
        <f>IFERROR(__xludf.DUMMYFUNCTION("""COMPUTED_VALUE"""),0.0)</f>
        <v>0</v>
      </c>
      <c r="K3539" s="5" t="str">
        <f>IFERROR(__xludf.DUMMYFUNCTION("""COMPUTED_VALUE"""),"")</f>
        <v/>
      </c>
      <c r="L3539" t="str">
        <f>IFERROR(__xludf.DUMMYFUNCTION("""COMPUTED_VALUE"""),"")</f>
        <v/>
      </c>
      <c r="M3539" t="str">
        <f>IFERROR(__xludf.DUMMYFUNCTION("""COMPUTED_VALUE"""),"")</f>
        <v/>
      </c>
      <c r="N3539" t="str">
        <f>IFERROR(__xludf.DUMMYFUNCTION("""COMPUTED_VALUE"""),"")</f>
        <v/>
      </c>
      <c r="O3539" t="str">
        <f>IFERROR(__xludf.DUMMYFUNCTION("""COMPUTED_VALUE"""),"")</f>
        <v/>
      </c>
      <c r="P3539" t="str">
        <f>IFERROR(__xludf.DUMMYFUNCTION("""COMPUTED_VALUE"""),"ID ")</f>
        <v>ID </v>
      </c>
    </row>
    <row r="3540">
      <c r="A3540" s="6" t="str">
        <f>IFERROR(__xludf.DUMMYFUNCTION("""COMPUTED_VALUE"""),"")</f>
        <v/>
      </c>
      <c r="C3540" t="str">
        <f>IFERROR(__xludf.DUMMYFUNCTION("""COMPUTED_VALUE"""),"")</f>
        <v/>
      </c>
      <c r="D3540" t="str">
        <f>IFERROR(__xludf.DUMMYFUNCTION("""COMPUTED_VALUE"""),"")</f>
        <v/>
      </c>
      <c r="E3540" t="str">
        <f>IFERROR(__xludf.DUMMYFUNCTION("""COMPUTED_VALUE"""),"")</f>
        <v/>
      </c>
      <c r="F3540" t="str">
        <f>IFERROR(__xludf.DUMMYFUNCTION("""COMPUTED_VALUE"""),"")</f>
        <v/>
      </c>
      <c r="G3540" t="str">
        <f>IFERROR(__xludf.DUMMYFUNCTION("""COMPUTED_VALUE"""),"")</f>
        <v/>
      </c>
      <c r="H3540" s="2" t="str">
        <f>IFERROR(__xludf.DUMMYFUNCTION("""COMPUTED_VALUE"""),"")</f>
        <v/>
      </c>
      <c r="I3540" s="2" t="str">
        <f>IFERROR(__xludf.DUMMYFUNCTION("""COMPUTED_VALUE"""),"")</f>
        <v/>
      </c>
      <c r="J3540" s="2">
        <f>IFERROR(__xludf.DUMMYFUNCTION("""COMPUTED_VALUE"""),0.0)</f>
        <v>0</v>
      </c>
      <c r="K3540" s="5" t="str">
        <f>IFERROR(__xludf.DUMMYFUNCTION("""COMPUTED_VALUE"""),"")</f>
        <v/>
      </c>
      <c r="L3540" t="str">
        <f>IFERROR(__xludf.DUMMYFUNCTION("""COMPUTED_VALUE"""),"")</f>
        <v/>
      </c>
      <c r="M3540" t="str">
        <f>IFERROR(__xludf.DUMMYFUNCTION("""COMPUTED_VALUE"""),"")</f>
        <v/>
      </c>
      <c r="N3540" t="str">
        <f>IFERROR(__xludf.DUMMYFUNCTION("""COMPUTED_VALUE"""),"")</f>
        <v/>
      </c>
      <c r="O3540" t="str">
        <f>IFERROR(__xludf.DUMMYFUNCTION("""COMPUTED_VALUE"""),"")</f>
        <v/>
      </c>
      <c r="P3540" t="str">
        <f>IFERROR(__xludf.DUMMYFUNCTION("""COMPUTED_VALUE"""),"ID ")</f>
        <v>ID </v>
      </c>
    </row>
    <row r="3541">
      <c r="A3541" s="6" t="str">
        <f>IFERROR(__xludf.DUMMYFUNCTION("""COMPUTED_VALUE"""),"")</f>
        <v/>
      </c>
      <c r="C3541" t="str">
        <f>IFERROR(__xludf.DUMMYFUNCTION("""COMPUTED_VALUE"""),"")</f>
        <v/>
      </c>
      <c r="D3541" t="str">
        <f>IFERROR(__xludf.DUMMYFUNCTION("""COMPUTED_VALUE"""),"")</f>
        <v/>
      </c>
      <c r="E3541" t="str">
        <f>IFERROR(__xludf.DUMMYFUNCTION("""COMPUTED_VALUE"""),"")</f>
        <v/>
      </c>
      <c r="F3541" t="str">
        <f>IFERROR(__xludf.DUMMYFUNCTION("""COMPUTED_VALUE"""),"")</f>
        <v/>
      </c>
      <c r="G3541" t="str">
        <f>IFERROR(__xludf.DUMMYFUNCTION("""COMPUTED_VALUE"""),"")</f>
        <v/>
      </c>
      <c r="H3541" s="2" t="str">
        <f>IFERROR(__xludf.DUMMYFUNCTION("""COMPUTED_VALUE"""),"")</f>
        <v/>
      </c>
      <c r="I3541" s="2" t="str">
        <f>IFERROR(__xludf.DUMMYFUNCTION("""COMPUTED_VALUE"""),"")</f>
        <v/>
      </c>
      <c r="J3541" s="2">
        <f>IFERROR(__xludf.DUMMYFUNCTION("""COMPUTED_VALUE"""),0.0)</f>
        <v>0</v>
      </c>
      <c r="K3541" s="5" t="str">
        <f>IFERROR(__xludf.DUMMYFUNCTION("""COMPUTED_VALUE"""),"")</f>
        <v/>
      </c>
      <c r="L3541" t="str">
        <f>IFERROR(__xludf.DUMMYFUNCTION("""COMPUTED_VALUE"""),"")</f>
        <v/>
      </c>
      <c r="M3541" t="str">
        <f>IFERROR(__xludf.DUMMYFUNCTION("""COMPUTED_VALUE"""),"")</f>
        <v/>
      </c>
      <c r="N3541" t="str">
        <f>IFERROR(__xludf.DUMMYFUNCTION("""COMPUTED_VALUE"""),"")</f>
        <v/>
      </c>
      <c r="O3541" t="str">
        <f>IFERROR(__xludf.DUMMYFUNCTION("""COMPUTED_VALUE"""),"")</f>
        <v/>
      </c>
      <c r="P3541" t="str">
        <f>IFERROR(__xludf.DUMMYFUNCTION("""COMPUTED_VALUE"""),"ID ")</f>
        <v>ID </v>
      </c>
    </row>
    <row r="3542">
      <c r="A3542" s="6" t="str">
        <f>IFERROR(__xludf.DUMMYFUNCTION("""COMPUTED_VALUE"""),"")</f>
        <v/>
      </c>
      <c r="C3542" t="str">
        <f>IFERROR(__xludf.DUMMYFUNCTION("""COMPUTED_VALUE"""),"")</f>
        <v/>
      </c>
      <c r="D3542" t="str">
        <f>IFERROR(__xludf.DUMMYFUNCTION("""COMPUTED_VALUE"""),"")</f>
        <v/>
      </c>
      <c r="E3542" t="str">
        <f>IFERROR(__xludf.DUMMYFUNCTION("""COMPUTED_VALUE"""),"")</f>
        <v/>
      </c>
      <c r="F3542" t="str">
        <f>IFERROR(__xludf.DUMMYFUNCTION("""COMPUTED_VALUE"""),"")</f>
        <v/>
      </c>
      <c r="G3542" t="str">
        <f>IFERROR(__xludf.DUMMYFUNCTION("""COMPUTED_VALUE"""),"")</f>
        <v/>
      </c>
      <c r="H3542" s="2" t="str">
        <f>IFERROR(__xludf.DUMMYFUNCTION("""COMPUTED_VALUE"""),"")</f>
        <v/>
      </c>
      <c r="I3542" s="2" t="str">
        <f>IFERROR(__xludf.DUMMYFUNCTION("""COMPUTED_VALUE"""),"")</f>
        <v/>
      </c>
      <c r="J3542" s="2">
        <f>IFERROR(__xludf.DUMMYFUNCTION("""COMPUTED_VALUE"""),0.0)</f>
        <v>0</v>
      </c>
      <c r="K3542" s="5" t="str">
        <f>IFERROR(__xludf.DUMMYFUNCTION("""COMPUTED_VALUE"""),"")</f>
        <v/>
      </c>
      <c r="L3542" t="str">
        <f>IFERROR(__xludf.DUMMYFUNCTION("""COMPUTED_VALUE"""),"")</f>
        <v/>
      </c>
      <c r="M3542" t="str">
        <f>IFERROR(__xludf.DUMMYFUNCTION("""COMPUTED_VALUE"""),"")</f>
        <v/>
      </c>
      <c r="N3542" t="str">
        <f>IFERROR(__xludf.DUMMYFUNCTION("""COMPUTED_VALUE"""),"")</f>
        <v/>
      </c>
      <c r="O3542" t="str">
        <f>IFERROR(__xludf.DUMMYFUNCTION("""COMPUTED_VALUE"""),"")</f>
        <v/>
      </c>
      <c r="P3542" t="str">
        <f>IFERROR(__xludf.DUMMYFUNCTION("""COMPUTED_VALUE"""),"ID ")</f>
        <v>ID </v>
      </c>
    </row>
    <row r="3543">
      <c r="A3543" s="6" t="str">
        <f>IFERROR(__xludf.DUMMYFUNCTION("""COMPUTED_VALUE"""),"")</f>
        <v/>
      </c>
      <c r="C3543" t="str">
        <f>IFERROR(__xludf.DUMMYFUNCTION("""COMPUTED_VALUE"""),"")</f>
        <v/>
      </c>
      <c r="D3543" t="str">
        <f>IFERROR(__xludf.DUMMYFUNCTION("""COMPUTED_VALUE"""),"")</f>
        <v/>
      </c>
      <c r="E3543" t="str">
        <f>IFERROR(__xludf.DUMMYFUNCTION("""COMPUTED_VALUE"""),"")</f>
        <v/>
      </c>
      <c r="F3543" t="str">
        <f>IFERROR(__xludf.DUMMYFUNCTION("""COMPUTED_VALUE"""),"")</f>
        <v/>
      </c>
      <c r="G3543" t="str">
        <f>IFERROR(__xludf.DUMMYFUNCTION("""COMPUTED_VALUE"""),"")</f>
        <v/>
      </c>
      <c r="H3543" s="2" t="str">
        <f>IFERROR(__xludf.DUMMYFUNCTION("""COMPUTED_VALUE"""),"")</f>
        <v/>
      </c>
      <c r="I3543" s="2" t="str">
        <f>IFERROR(__xludf.DUMMYFUNCTION("""COMPUTED_VALUE"""),"")</f>
        <v/>
      </c>
      <c r="J3543" s="2">
        <f>IFERROR(__xludf.DUMMYFUNCTION("""COMPUTED_VALUE"""),0.0)</f>
        <v>0</v>
      </c>
      <c r="K3543" s="5" t="str">
        <f>IFERROR(__xludf.DUMMYFUNCTION("""COMPUTED_VALUE"""),"")</f>
        <v/>
      </c>
      <c r="L3543" t="str">
        <f>IFERROR(__xludf.DUMMYFUNCTION("""COMPUTED_VALUE"""),"")</f>
        <v/>
      </c>
      <c r="M3543" t="str">
        <f>IFERROR(__xludf.DUMMYFUNCTION("""COMPUTED_VALUE"""),"")</f>
        <v/>
      </c>
      <c r="N3543" t="str">
        <f>IFERROR(__xludf.DUMMYFUNCTION("""COMPUTED_VALUE"""),"")</f>
        <v/>
      </c>
      <c r="O3543" t="str">
        <f>IFERROR(__xludf.DUMMYFUNCTION("""COMPUTED_VALUE"""),"")</f>
        <v/>
      </c>
      <c r="P3543" t="str">
        <f>IFERROR(__xludf.DUMMYFUNCTION("""COMPUTED_VALUE"""),"ID ")</f>
        <v>ID </v>
      </c>
    </row>
    <row r="3544">
      <c r="A3544" s="6" t="str">
        <f>IFERROR(__xludf.DUMMYFUNCTION("""COMPUTED_VALUE"""),"")</f>
        <v/>
      </c>
      <c r="C3544" t="str">
        <f>IFERROR(__xludf.DUMMYFUNCTION("""COMPUTED_VALUE"""),"")</f>
        <v/>
      </c>
      <c r="D3544" t="str">
        <f>IFERROR(__xludf.DUMMYFUNCTION("""COMPUTED_VALUE"""),"")</f>
        <v/>
      </c>
      <c r="E3544" t="str">
        <f>IFERROR(__xludf.DUMMYFUNCTION("""COMPUTED_VALUE"""),"")</f>
        <v/>
      </c>
      <c r="F3544" t="str">
        <f>IFERROR(__xludf.DUMMYFUNCTION("""COMPUTED_VALUE"""),"")</f>
        <v/>
      </c>
      <c r="G3544" t="str">
        <f>IFERROR(__xludf.DUMMYFUNCTION("""COMPUTED_VALUE"""),"")</f>
        <v/>
      </c>
      <c r="H3544" s="2" t="str">
        <f>IFERROR(__xludf.DUMMYFUNCTION("""COMPUTED_VALUE"""),"")</f>
        <v/>
      </c>
      <c r="I3544" s="2" t="str">
        <f>IFERROR(__xludf.DUMMYFUNCTION("""COMPUTED_VALUE"""),"")</f>
        <v/>
      </c>
      <c r="J3544" s="2">
        <f>IFERROR(__xludf.DUMMYFUNCTION("""COMPUTED_VALUE"""),0.0)</f>
        <v>0</v>
      </c>
      <c r="K3544" s="5" t="str">
        <f>IFERROR(__xludf.DUMMYFUNCTION("""COMPUTED_VALUE"""),"")</f>
        <v/>
      </c>
      <c r="L3544" t="str">
        <f>IFERROR(__xludf.DUMMYFUNCTION("""COMPUTED_VALUE"""),"")</f>
        <v/>
      </c>
      <c r="M3544" t="str">
        <f>IFERROR(__xludf.DUMMYFUNCTION("""COMPUTED_VALUE"""),"")</f>
        <v/>
      </c>
      <c r="N3544" t="str">
        <f>IFERROR(__xludf.DUMMYFUNCTION("""COMPUTED_VALUE"""),"")</f>
        <v/>
      </c>
      <c r="O3544" t="str">
        <f>IFERROR(__xludf.DUMMYFUNCTION("""COMPUTED_VALUE"""),"")</f>
        <v/>
      </c>
      <c r="P3544" t="str">
        <f>IFERROR(__xludf.DUMMYFUNCTION("""COMPUTED_VALUE"""),"ID ")</f>
        <v>ID </v>
      </c>
    </row>
    <row r="3545">
      <c r="A3545" s="6" t="str">
        <f>IFERROR(__xludf.DUMMYFUNCTION("""COMPUTED_VALUE"""),"")</f>
        <v/>
      </c>
      <c r="C3545" t="str">
        <f>IFERROR(__xludf.DUMMYFUNCTION("""COMPUTED_VALUE"""),"")</f>
        <v/>
      </c>
      <c r="D3545" t="str">
        <f>IFERROR(__xludf.DUMMYFUNCTION("""COMPUTED_VALUE"""),"")</f>
        <v/>
      </c>
      <c r="E3545" t="str">
        <f>IFERROR(__xludf.DUMMYFUNCTION("""COMPUTED_VALUE"""),"")</f>
        <v/>
      </c>
      <c r="F3545" t="str">
        <f>IFERROR(__xludf.DUMMYFUNCTION("""COMPUTED_VALUE"""),"")</f>
        <v/>
      </c>
      <c r="G3545" t="str">
        <f>IFERROR(__xludf.DUMMYFUNCTION("""COMPUTED_VALUE"""),"")</f>
        <v/>
      </c>
      <c r="H3545" s="2" t="str">
        <f>IFERROR(__xludf.DUMMYFUNCTION("""COMPUTED_VALUE"""),"")</f>
        <v/>
      </c>
      <c r="I3545" s="2" t="str">
        <f>IFERROR(__xludf.DUMMYFUNCTION("""COMPUTED_VALUE"""),"")</f>
        <v/>
      </c>
      <c r="J3545" s="2">
        <f>IFERROR(__xludf.DUMMYFUNCTION("""COMPUTED_VALUE"""),0.0)</f>
        <v>0</v>
      </c>
      <c r="K3545" s="5" t="str">
        <f>IFERROR(__xludf.DUMMYFUNCTION("""COMPUTED_VALUE"""),"")</f>
        <v/>
      </c>
      <c r="L3545" t="str">
        <f>IFERROR(__xludf.DUMMYFUNCTION("""COMPUTED_VALUE"""),"")</f>
        <v/>
      </c>
      <c r="M3545" t="str">
        <f>IFERROR(__xludf.DUMMYFUNCTION("""COMPUTED_VALUE"""),"")</f>
        <v/>
      </c>
      <c r="N3545" t="str">
        <f>IFERROR(__xludf.DUMMYFUNCTION("""COMPUTED_VALUE"""),"")</f>
        <v/>
      </c>
      <c r="O3545" t="str">
        <f>IFERROR(__xludf.DUMMYFUNCTION("""COMPUTED_VALUE"""),"")</f>
        <v/>
      </c>
      <c r="P3545" t="str">
        <f>IFERROR(__xludf.DUMMYFUNCTION("""COMPUTED_VALUE"""),"ID ")</f>
        <v>ID </v>
      </c>
    </row>
    <row r="3546">
      <c r="A3546" s="6" t="str">
        <f>IFERROR(__xludf.DUMMYFUNCTION("""COMPUTED_VALUE"""),"")</f>
        <v/>
      </c>
      <c r="C3546" t="str">
        <f>IFERROR(__xludf.DUMMYFUNCTION("""COMPUTED_VALUE"""),"")</f>
        <v/>
      </c>
      <c r="D3546" t="str">
        <f>IFERROR(__xludf.DUMMYFUNCTION("""COMPUTED_VALUE"""),"")</f>
        <v/>
      </c>
      <c r="E3546" t="str">
        <f>IFERROR(__xludf.DUMMYFUNCTION("""COMPUTED_VALUE"""),"")</f>
        <v/>
      </c>
      <c r="F3546" t="str">
        <f>IFERROR(__xludf.DUMMYFUNCTION("""COMPUTED_VALUE"""),"")</f>
        <v/>
      </c>
      <c r="G3546" t="str">
        <f>IFERROR(__xludf.DUMMYFUNCTION("""COMPUTED_VALUE"""),"")</f>
        <v/>
      </c>
      <c r="H3546" s="2" t="str">
        <f>IFERROR(__xludf.DUMMYFUNCTION("""COMPUTED_VALUE"""),"")</f>
        <v/>
      </c>
      <c r="I3546" s="2" t="str">
        <f>IFERROR(__xludf.DUMMYFUNCTION("""COMPUTED_VALUE"""),"")</f>
        <v/>
      </c>
      <c r="J3546" s="2">
        <f>IFERROR(__xludf.DUMMYFUNCTION("""COMPUTED_VALUE"""),0.0)</f>
        <v>0</v>
      </c>
      <c r="K3546" s="5" t="str">
        <f>IFERROR(__xludf.DUMMYFUNCTION("""COMPUTED_VALUE"""),"")</f>
        <v/>
      </c>
      <c r="L3546" t="str">
        <f>IFERROR(__xludf.DUMMYFUNCTION("""COMPUTED_VALUE"""),"")</f>
        <v/>
      </c>
      <c r="M3546" t="str">
        <f>IFERROR(__xludf.DUMMYFUNCTION("""COMPUTED_VALUE"""),"")</f>
        <v/>
      </c>
      <c r="N3546" t="str">
        <f>IFERROR(__xludf.DUMMYFUNCTION("""COMPUTED_VALUE"""),"")</f>
        <v/>
      </c>
      <c r="O3546" t="str">
        <f>IFERROR(__xludf.DUMMYFUNCTION("""COMPUTED_VALUE"""),"")</f>
        <v/>
      </c>
      <c r="P3546" t="str">
        <f>IFERROR(__xludf.DUMMYFUNCTION("""COMPUTED_VALUE"""),"ID ")</f>
        <v>ID </v>
      </c>
    </row>
    <row r="3547">
      <c r="A3547" s="6" t="str">
        <f>IFERROR(__xludf.DUMMYFUNCTION("""COMPUTED_VALUE"""),"")</f>
        <v/>
      </c>
      <c r="C3547" t="str">
        <f>IFERROR(__xludf.DUMMYFUNCTION("""COMPUTED_VALUE"""),"")</f>
        <v/>
      </c>
      <c r="D3547" t="str">
        <f>IFERROR(__xludf.DUMMYFUNCTION("""COMPUTED_VALUE"""),"")</f>
        <v/>
      </c>
      <c r="E3547" t="str">
        <f>IFERROR(__xludf.DUMMYFUNCTION("""COMPUTED_VALUE"""),"")</f>
        <v/>
      </c>
      <c r="F3547" t="str">
        <f>IFERROR(__xludf.DUMMYFUNCTION("""COMPUTED_VALUE"""),"")</f>
        <v/>
      </c>
      <c r="G3547" t="str">
        <f>IFERROR(__xludf.DUMMYFUNCTION("""COMPUTED_VALUE"""),"")</f>
        <v/>
      </c>
      <c r="H3547" s="2" t="str">
        <f>IFERROR(__xludf.DUMMYFUNCTION("""COMPUTED_VALUE"""),"")</f>
        <v/>
      </c>
      <c r="I3547" s="2" t="str">
        <f>IFERROR(__xludf.DUMMYFUNCTION("""COMPUTED_VALUE"""),"")</f>
        <v/>
      </c>
      <c r="J3547" s="2">
        <f>IFERROR(__xludf.DUMMYFUNCTION("""COMPUTED_VALUE"""),0.0)</f>
        <v>0</v>
      </c>
      <c r="K3547" s="5" t="str">
        <f>IFERROR(__xludf.DUMMYFUNCTION("""COMPUTED_VALUE"""),"")</f>
        <v/>
      </c>
      <c r="L3547" t="str">
        <f>IFERROR(__xludf.DUMMYFUNCTION("""COMPUTED_VALUE"""),"")</f>
        <v/>
      </c>
      <c r="M3547" t="str">
        <f>IFERROR(__xludf.DUMMYFUNCTION("""COMPUTED_VALUE"""),"")</f>
        <v/>
      </c>
      <c r="N3547" t="str">
        <f>IFERROR(__xludf.DUMMYFUNCTION("""COMPUTED_VALUE"""),"")</f>
        <v/>
      </c>
      <c r="O3547" t="str">
        <f>IFERROR(__xludf.DUMMYFUNCTION("""COMPUTED_VALUE"""),"")</f>
        <v/>
      </c>
      <c r="P3547" t="str">
        <f>IFERROR(__xludf.DUMMYFUNCTION("""COMPUTED_VALUE"""),"ID ")</f>
        <v>ID </v>
      </c>
    </row>
    <row r="3548">
      <c r="A3548" s="6" t="str">
        <f>IFERROR(__xludf.DUMMYFUNCTION("""COMPUTED_VALUE"""),"")</f>
        <v/>
      </c>
      <c r="C3548" t="str">
        <f>IFERROR(__xludf.DUMMYFUNCTION("""COMPUTED_VALUE"""),"")</f>
        <v/>
      </c>
      <c r="D3548" t="str">
        <f>IFERROR(__xludf.DUMMYFUNCTION("""COMPUTED_VALUE"""),"")</f>
        <v/>
      </c>
      <c r="E3548" t="str">
        <f>IFERROR(__xludf.DUMMYFUNCTION("""COMPUTED_VALUE"""),"")</f>
        <v/>
      </c>
      <c r="F3548" t="str">
        <f>IFERROR(__xludf.DUMMYFUNCTION("""COMPUTED_VALUE"""),"")</f>
        <v/>
      </c>
      <c r="G3548" t="str">
        <f>IFERROR(__xludf.DUMMYFUNCTION("""COMPUTED_VALUE"""),"")</f>
        <v/>
      </c>
      <c r="H3548" s="2" t="str">
        <f>IFERROR(__xludf.DUMMYFUNCTION("""COMPUTED_VALUE"""),"")</f>
        <v/>
      </c>
      <c r="I3548" s="2" t="str">
        <f>IFERROR(__xludf.DUMMYFUNCTION("""COMPUTED_VALUE"""),"")</f>
        <v/>
      </c>
      <c r="J3548" s="2">
        <f>IFERROR(__xludf.DUMMYFUNCTION("""COMPUTED_VALUE"""),0.0)</f>
        <v>0</v>
      </c>
      <c r="K3548" s="5" t="str">
        <f>IFERROR(__xludf.DUMMYFUNCTION("""COMPUTED_VALUE"""),"")</f>
        <v/>
      </c>
      <c r="L3548" t="str">
        <f>IFERROR(__xludf.DUMMYFUNCTION("""COMPUTED_VALUE"""),"")</f>
        <v/>
      </c>
      <c r="M3548" t="str">
        <f>IFERROR(__xludf.DUMMYFUNCTION("""COMPUTED_VALUE"""),"")</f>
        <v/>
      </c>
      <c r="N3548" t="str">
        <f>IFERROR(__xludf.DUMMYFUNCTION("""COMPUTED_VALUE"""),"")</f>
        <v/>
      </c>
      <c r="O3548" t="str">
        <f>IFERROR(__xludf.DUMMYFUNCTION("""COMPUTED_VALUE"""),"")</f>
        <v/>
      </c>
      <c r="P3548" t="str">
        <f>IFERROR(__xludf.DUMMYFUNCTION("""COMPUTED_VALUE"""),"ID ")</f>
        <v>ID </v>
      </c>
    </row>
    <row r="3549">
      <c r="A3549" s="6" t="str">
        <f>IFERROR(__xludf.DUMMYFUNCTION("""COMPUTED_VALUE"""),"")</f>
        <v/>
      </c>
      <c r="C3549" t="str">
        <f>IFERROR(__xludf.DUMMYFUNCTION("""COMPUTED_VALUE"""),"")</f>
        <v/>
      </c>
      <c r="D3549" t="str">
        <f>IFERROR(__xludf.DUMMYFUNCTION("""COMPUTED_VALUE"""),"")</f>
        <v/>
      </c>
      <c r="E3549" t="str">
        <f>IFERROR(__xludf.DUMMYFUNCTION("""COMPUTED_VALUE"""),"")</f>
        <v/>
      </c>
      <c r="F3549" t="str">
        <f>IFERROR(__xludf.DUMMYFUNCTION("""COMPUTED_VALUE"""),"")</f>
        <v/>
      </c>
      <c r="G3549" t="str">
        <f>IFERROR(__xludf.DUMMYFUNCTION("""COMPUTED_VALUE"""),"")</f>
        <v/>
      </c>
      <c r="H3549" s="2" t="str">
        <f>IFERROR(__xludf.DUMMYFUNCTION("""COMPUTED_VALUE"""),"")</f>
        <v/>
      </c>
      <c r="I3549" s="2" t="str">
        <f>IFERROR(__xludf.DUMMYFUNCTION("""COMPUTED_VALUE"""),"")</f>
        <v/>
      </c>
      <c r="J3549" s="2">
        <f>IFERROR(__xludf.DUMMYFUNCTION("""COMPUTED_VALUE"""),0.0)</f>
        <v>0</v>
      </c>
      <c r="K3549" s="5" t="str">
        <f>IFERROR(__xludf.DUMMYFUNCTION("""COMPUTED_VALUE"""),"")</f>
        <v/>
      </c>
      <c r="L3549" t="str">
        <f>IFERROR(__xludf.DUMMYFUNCTION("""COMPUTED_VALUE"""),"")</f>
        <v/>
      </c>
      <c r="M3549" t="str">
        <f>IFERROR(__xludf.DUMMYFUNCTION("""COMPUTED_VALUE"""),"")</f>
        <v/>
      </c>
      <c r="N3549" t="str">
        <f>IFERROR(__xludf.DUMMYFUNCTION("""COMPUTED_VALUE"""),"")</f>
        <v/>
      </c>
      <c r="O3549" t="str">
        <f>IFERROR(__xludf.DUMMYFUNCTION("""COMPUTED_VALUE"""),"")</f>
        <v/>
      </c>
      <c r="P3549" t="str">
        <f>IFERROR(__xludf.DUMMYFUNCTION("""COMPUTED_VALUE"""),"ID ")</f>
        <v>ID </v>
      </c>
    </row>
    <row r="3550">
      <c r="A3550" s="6" t="str">
        <f>IFERROR(__xludf.DUMMYFUNCTION("""COMPUTED_VALUE"""),"")</f>
        <v/>
      </c>
      <c r="C3550" t="str">
        <f>IFERROR(__xludf.DUMMYFUNCTION("""COMPUTED_VALUE"""),"")</f>
        <v/>
      </c>
      <c r="D3550" t="str">
        <f>IFERROR(__xludf.DUMMYFUNCTION("""COMPUTED_VALUE"""),"")</f>
        <v/>
      </c>
      <c r="E3550" t="str">
        <f>IFERROR(__xludf.DUMMYFUNCTION("""COMPUTED_VALUE"""),"")</f>
        <v/>
      </c>
      <c r="F3550" t="str">
        <f>IFERROR(__xludf.DUMMYFUNCTION("""COMPUTED_VALUE"""),"")</f>
        <v/>
      </c>
      <c r="G3550" t="str">
        <f>IFERROR(__xludf.DUMMYFUNCTION("""COMPUTED_VALUE"""),"")</f>
        <v/>
      </c>
      <c r="H3550" s="2" t="str">
        <f>IFERROR(__xludf.DUMMYFUNCTION("""COMPUTED_VALUE"""),"")</f>
        <v/>
      </c>
      <c r="I3550" s="2" t="str">
        <f>IFERROR(__xludf.DUMMYFUNCTION("""COMPUTED_VALUE"""),"")</f>
        <v/>
      </c>
      <c r="J3550" s="2">
        <f>IFERROR(__xludf.DUMMYFUNCTION("""COMPUTED_VALUE"""),0.0)</f>
        <v>0</v>
      </c>
      <c r="K3550" s="5" t="str">
        <f>IFERROR(__xludf.DUMMYFUNCTION("""COMPUTED_VALUE"""),"")</f>
        <v/>
      </c>
      <c r="L3550" t="str">
        <f>IFERROR(__xludf.DUMMYFUNCTION("""COMPUTED_VALUE"""),"")</f>
        <v/>
      </c>
      <c r="M3550" t="str">
        <f>IFERROR(__xludf.DUMMYFUNCTION("""COMPUTED_VALUE"""),"")</f>
        <v/>
      </c>
      <c r="N3550" t="str">
        <f>IFERROR(__xludf.DUMMYFUNCTION("""COMPUTED_VALUE"""),"")</f>
        <v/>
      </c>
      <c r="O3550" t="str">
        <f>IFERROR(__xludf.DUMMYFUNCTION("""COMPUTED_VALUE"""),"")</f>
        <v/>
      </c>
      <c r="P3550" t="str">
        <f>IFERROR(__xludf.DUMMYFUNCTION("""COMPUTED_VALUE"""),"ID ")</f>
        <v>ID </v>
      </c>
    </row>
    <row r="3551">
      <c r="A3551" s="6" t="str">
        <f>IFERROR(__xludf.DUMMYFUNCTION("""COMPUTED_VALUE"""),"")</f>
        <v/>
      </c>
      <c r="C3551" t="str">
        <f>IFERROR(__xludf.DUMMYFUNCTION("""COMPUTED_VALUE"""),"")</f>
        <v/>
      </c>
      <c r="D3551" t="str">
        <f>IFERROR(__xludf.DUMMYFUNCTION("""COMPUTED_VALUE"""),"")</f>
        <v/>
      </c>
      <c r="E3551" t="str">
        <f>IFERROR(__xludf.DUMMYFUNCTION("""COMPUTED_VALUE"""),"")</f>
        <v/>
      </c>
      <c r="F3551" t="str">
        <f>IFERROR(__xludf.DUMMYFUNCTION("""COMPUTED_VALUE"""),"")</f>
        <v/>
      </c>
      <c r="G3551" t="str">
        <f>IFERROR(__xludf.DUMMYFUNCTION("""COMPUTED_VALUE"""),"")</f>
        <v/>
      </c>
      <c r="H3551" s="2" t="str">
        <f>IFERROR(__xludf.DUMMYFUNCTION("""COMPUTED_VALUE"""),"")</f>
        <v/>
      </c>
      <c r="I3551" s="2" t="str">
        <f>IFERROR(__xludf.DUMMYFUNCTION("""COMPUTED_VALUE"""),"")</f>
        <v/>
      </c>
      <c r="J3551" s="2">
        <f>IFERROR(__xludf.DUMMYFUNCTION("""COMPUTED_VALUE"""),0.0)</f>
        <v>0</v>
      </c>
      <c r="K3551" s="5" t="str">
        <f>IFERROR(__xludf.DUMMYFUNCTION("""COMPUTED_VALUE"""),"")</f>
        <v/>
      </c>
      <c r="L3551" t="str">
        <f>IFERROR(__xludf.DUMMYFUNCTION("""COMPUTED_VALUE"""),"")</f>
        <v/>
      </c>
      <c r="M3551" t="str">
        <f>IFERROR(__xludf.DUMMYFUNCTION("""COMPUTED_VALUE"""),"")</f>
        <v/>
      </c>
      <c r="N3551" t="str">
        <f>IFERROR(__xludf.DUMMYFUNCTION("""COMPUTED_VALUE"""),"")</f>
        <v/>
      </c>
      <c r="O3551" t="str">
        <f>IFERROR(__xludf.DUMMYFUNCTION("""COMPUTED_VALUE"""),"")</f>
        <v/>
      </c>
      <c r="P3551" t="str">
        <f>IFERROR(__xludf.DUMMYFUNCTION("""COMPUTED_VALUE"""),"ID ")</f>
        <v>ID </v>
      </c>
    </row>
    <row r="3552">
      <c r="A3552" s="6" t="str">
        <f>IFERROR(__xludf.DUMMYFUNCTION("""COMPUTED_VALUE"""),"")</f>
        <v/>
      </c>
      <c r="C3552" t="str">
        <f>IFERROR(__xludf.DUMMYFUNCTION("""COMPUTED_VALUE"""),"")</f>
        <v/>
      </c>
      <c r="D3552" t="str">
        <f>IFERROR(__xludf.DUMMYFUNCTION("""COMPUTED_VALUE"""),"")</f>
        <v/>
      </c>
      <c r="E3552" t="str">
        <f>IFERROR(__xludf.DUMMYFUNCTION("""COMPUTED_VALUE"""),"")</f>
        <v/>
      </c>
      <c r="F3552" t="str">
        <f>IFERROR(__xludf.DUMMYFUNCTION("""COMPUTED_VALUE"""),"")</f>
        <v/>
      </c>
      <c r="G3552" t="str">
        <f>IFERROR(__xludf.DUMMYFUNCTION("""COMPUTED_VALUE"""),"")</f>
        <v/>
      </c>
      <c r="H3552" s="2" t="str">
        <f>IFERROR(__xludf.DUMMYFUNCTION("""COMPUTED_VALUE"""),"")</f>
        <v/>
      </c>
      <c r="I3552" s="2" t="str">
        <f>IFERROR(__xludf.DUMMYFUNCTION("""COMPUTED_VALUE"""),"")</f>
        <v/>
      </c>
      <c r="J3552" s="2">
        <f>IFERROR(__xludf.DUMMYFUNCTION("""COMPUTED_VALUE"""),0.0)</f>
        <v>0</v>
      </c>
      <c r="K3552" s="5" t="str">
        <f>IFERROR(__xludf.DUMMYFUNCTION("""COMPUTED_VALUE"""),"")</f>
        <v/>
      </c>
      <c r="L3552" t="str">
        <f>IFERROR(__xludf.DUMMYFUNCTION("""COMPUTED_VALUE"""),"")</f>
        <v/>
      </c>
      <c r="M3552" t="str">
        <f>IFERROR(__xludf.DUMMYFUNCTION("""COMPUTED_VALUE"""),"")</f>
        <v/>
      </c>
      <c r="N3552" t="str">
        <f>IFERROR(__xludf.DUMMYFUNCTION("""COMPUTED_VALUE"""),"")</f>
        <v/>
      </c>
      <c r="O3552" t="str">
        <f>IFERROR(__xludf.DUMMYFUNCTION("""COMPUTED_VALUE"""),"")</f>
        <v/>
      </c>
      <c r="P3552" t="str">
        <f>IFERROR(__xludf.DUMMYFUNCTION("""COMPUTED_VALUE"""),"ID ")</f>
        <v>ID </v>
      </c>
    </row>
    <row r="3553">
      <c r="A3553" s="6" t="str">
        <f>IFERROR(__xludf.DUMMYFUNCTION("""COMPUTED_VALUE"""),"")</f>
        <v/>
      </c>
      <c r="C3553" t="str">
        <f>IFERROR(__xludf.DUMMYFUNCTION("""COMPUTED_VALUE"""),"")</f>
        <v/>
      </c>
      <c r="D3553" t="str">
        <f>IFERROR(__xludf.DUMMYFUNCTION("""COMPUTED_VALUE"""),"")</f>
        <v/>
      </c>
      <c r="E3553" t="str">
        <f>IFERROR(__xludf.DUMMYFUNCTION("""COMPUTED_VALUE"""),"")</f>
        <v/>
      </c>
      <c r="F3553" t="str">
        <f>IFERROR(__xludf.DUMMYFUNCTION("""COMPUTED_VALUE"""),"")</f>
        <v/>
      </c>
      <c r="G3553" t="str">
        <f>IFERROR(__xludf.DUMMYFUNCTION("""COMPUTED_VALUE"""),"")</f>
        <v/>
      </c>
      <c r="H3553" s="2" t="str">
        <f>IFERROR(__xludf.DUMMYFUNCTION("""COMPUTED_VALUE"""),"")</f>
        <v/>
      </c>
      <c r="I3553" s="2" t="str">
        <f>IFERROR(__xludf.DUMMYFUNCTION("""COMPUTED_VALUE"""),"")</f>
        <v/>
      </c>
      <c r="J3553" s="2">
        <f>IFERROR(__xludf.DUMMYFUNCTION("""COMPUTED_VALUE"""),0.0)</f>
        <v>0</v>
      </c>
      <c r="K3553" s="5" t="str">
        <f>IFERROR(__xludf.DUMMYFUNCTION("""COMPUTED_VALUE"""),"")</f>
        <v/>
      </c>
      <c r="L3553" t="str">
        <f>IFERROR(__xludf.DUMMYFUNCTION("""COMPUTED_VALUE"""),"")</f>
        <v/>
      </c>
      <c r="M3553" t="str">
        <f>IFERROR(__xludf.DUMMYFUNCTION("""COMPUTED_VALUE"""),"")</f>
        <v/>
      </c>
      <c r="N3553" t="str">
        <f>IFERROR(__xludf.DUMMYFUNCTION("""COMPUTED_VALUE"""),"")</f>
        <v/>
      </c>
      <c r="O3553" t="str">
        <f>IFERROR(__xludf.DUMMYFUNCTION("""COMPUTED_VALUE"""),"")</f>
        <v/>
      </c>
      <c r="P3553" t="str">
        <f>IFERROR(__xludf.DUMMYFUNCTION("""COMPUTED_VALUE"""),"ID ")</f>
        <v>ID </v>
      </c>
    </row>
    <row r="3554">
      <c r="A3554" s="6" t="str">
        <f>IFERROR(__xludf.DUMMYFUNCTION("""COMPUTED_VALUE"""),"")</f>
        <v/>
      </c>
      <c r="C3554" t="str">
        <f>IFERROR(__xludf.DUMMYFUNCTION("""COMPUTED_VALUE"""),"")</f>
        <v/>
      </c>
      <c r="D3554" t="str">
        <f>IFERROR(__xludf.DUMMYFUNCTION("""COMPUTED_VALUE"""),"")</f>
        <v/>
      </c>
      <c r="E3554" t="str">
        <f>IFERROR(__xludf.DUMMYFUNCTION("""COMPUTED_VALUE"""),"")</f>
        <v/>
      </c>
      <c r="F3554" t="str">
        <f>IFERROR(__xludf.DUMMYFUNCTION("""COMPUTED_VALUE"""),"")</f>
        <v/>
      </c>
      <c r="G3554" t="str">
        <f>IFERROR(__xludf.DUMMYFUNCTION("""COMPUTED_VALUE"""),"")</f>
        <v/>
      </c>
      <c r="H3554" s="2" t="str">
        <f>IFERROR(__xludf.DUMMYFUNCTION("""COMPUTED_VALUE"""),"")</f>
        <v/>
      </c>
      <c r="I3554" s="2" t="str">
        <f>IFERROR(__xludf.DUMMYFUNCTION("""COMPUTED_VALUE"""),"")</f>
        <v/>
      </c>
      <c r="J3554" s="2">
        <f>IFERROR(__xludf.DUMMYFUNCTION("""COMPUTED_VALUE"""),0.0)</f>
        <v>0</v>
      </c>
      <c r="K3554" s="5" t="str">
        <f>IFERROR(__xludf.DUMMYFUNCTION("""COMPUTED_VALUE"""),"")</f>
        <v/>
      </c>
      <c r="L3554" t="str">
        <f>IFERROR(__xludf.DUMMYFUNCTION("""COMPUTED_VALUE"""),"")</f>
        <v/>
      </c>
      <c r="M3554" t="str">
        <f>IFERROR(__xludf.DUMMYFUNCTION("""COMPUTED_VALUE"""),"")</f>
        <v/>
      </c>
      <c r="N3554" t="str">
        <f>IFERROR(__xludf.DUMMYFUNCTION("""COMPUTED_VALUE"""),"")</f>
        <v/>
      </c>
      <c r="O3554" t="str">
        <f>IFERROR(__xludf.DUMMYFUNCTION("""COMPUTED_VALUE"""),"")</f>
        <v/>
      </c>
      <c r="P3554" t="str">
        <f>IFERROR(__xludf.DUMMYFUNCTION("""COMPUTED_VALUE"""),"ID ")</f>
        <v>ID </v>
      </c>
    </row>
    <row r="3555">
      <c r="A3555" s="6" t="str">
        <f>IFERROR(__xludf.DUMMYFUNCTION("""COMPUTED_VALUE"""),"")</f>
        <v/>
      </c>
      <c r="C3555" t="str">
        <f>IFERROR(__xludf.DUMMYFUNCTION("""COMPUTED_VALUE"""),"")</f>
        <v/>
      </c>
      <c r="D3555" t="str">
        <f>IFERROR(__xludf.DUMMYFUNCTION("""COMPUTED_VALUE"""),"")</f>
        <v/>
      </c>
      <c r="E3555" t="str">
        <f>IFERROR(__xludf.DUMMYFUNCTION("""COMPUTED_VALUE"""),"")</f>
        <v/>
      </c>
      <c r="F3555" t="str">
        <f>IFERROR(__xludf.DUMMYFUNCTION("""COMPUTED_VALUE"""),"")</f>
        <v/>
      </c>
      <c r="G3555" t="str">
        <f>IFERROR(__xludf.DUMMYFUNCTION("""COMPUTED_VALUE"""),"")</f>
        <v/>
      </c>
      <c r="H3555" s="2" t="str">
        <f>IFERROR(__xludf.DUMMYFUNCTION("""COMPUTED_VALUE"""),"")</f>
        <v/>
      </c>
      <c r="I3555" s="2" t="str">
        <f>IFERROR(__xludf.DUMMYFUNCTION("""COMPUTED_VALUE"""),"")</f>
        <v/>
      </c>
      <c r="J3555" s="2">
        <f>IFERROR(__xludf.DUMMYFUNCTION("""COMPUTED_VALUE"""),0.0)</f>
        <v>0</v>
      </c>
      <c r="K3555" s="5" t="str">
        <f>IFERROR(__xludf.DUMMYFUNCTION("""COMPUTED_VALUE"""),"")</f>
        <v/>
      </c>
      <c r="L3555" t="str">
        <f>IFERROR(__xludf.DUMMYFUNCTION("""COMPUTED_VALUE"""),"")</f>
        <v/>
      </c>
      <c r="M3555" t="str">
        <f>IFERROR(__xludf.DUMMYFUNCTION("""COMPUTED_VALUE"""),"")</f>
        <v/>
      </c>
      <c r="N3555" t="str">
        <f>IFERROR(__xludf.DUMMYFUNCTION("""COMPUTED_VALUE"""),"")</f>
        <v/>
      </c>
      <c r="O3555" t="str">
        <f>IFERROR(__xludf.DUMMYFUNCTION("""COMPUTED_VALUE"""),"")</f>
        <v/>
      </c>
      <c r="P3555" t="str">
        <f>IFERROR(__xludf.DUMMYFUNCTION("""COMPUTED_VALUE"""),"ID ")</f>
        <v>ID </v>
      </c>
    </row>
    <row r="3556">
      <c r="A3556" s="6" t="str">
        <f>IFERROR(__xludf.DUMMYFUNCTION("""COMPUTED_VALUE"""),"")</f>
        <v/>
      </c>
      <c r="C3556" t="str">
        <f>IFERROR(__xludf.DUMMYFUNCTION("""COMPUTED_VALUE"""),"")</f>
        <v/>
      </c>
      <c r="D3556" t="str">
        <f>IFERROR(__xludf.DUMMYFUNCTION("""COMPUTED_VALUE"""),"")</f>
        <v/>
      </c>
      <c r="E3556" t="str">
        <f>IFERROR(__xludf.DUMMYFUNCTION("""COMPUTED_VALUE"""),"")</f>
        <v/>
      </c>
      <c r="F3556" t="str">
        <f>IFERROR(__xludf.DUMMYFUNCTION("""COMPUTED_VALUE"""),"")</f>
        <v/>
      </c>
      <c r="G3556" t="str">
        <f>IFERROR(__xludf.DUMMYFUNCTION("""COMPUTED_VALUE"""),"")</f>
        <v/>
      </c>
      <c r="H3556" s="2" t="str">
        <f>IFERROR(__xludf.DUMMYFUNCTION("""COMPUTED_VALUE"""),"")</f>
        <v/>
      </c>
      <c r="I3556" s="2" t="str">
        <f>IFERROR(__xludf.DUMMYFUNCTION("""COMPUTED_VALUE"""),"")</f>
        <v/>
      </c>
      <c r="J3556" s="2">
        <f>IFERROR(__xludf.DUMMYFUNCTION("""COMPUTED_VALUE"""),0.0)</f>
        <v>0</v>
      </c>
      <c r="K3556" s="5" t="str">
        <f>IFERROR(__xludf.DUMMYFUNCTION("""COMPUTED_VALUE"""),"")</f>
        <v/>
      </c>
      <c r="L3556" t="str">
        <f>IFERROR(__xludf.DUMMYFUNCTION("""COMPUTED_VALUE"""),"")</f>
        <v/>
      </c>
      <c r="M3556" t="str">
        <f>IFERROR(__xludf.DUMMYFUNCTION("""COMPUTED_VALUE"""),"")</f>
        <v/>
      </c>
      <c r="N3556" t="str">
        <f>IFERROR(__xludf.DUMMYFUNCTION("""COMPUTED_VALUE"""),"")</f>
        <v/>
      </c>
      <c r="O3556" t="str">
        <f>IFERROR(__xludf.DUMMYFUNCTION("""COMPUTED_VALUE"""),"")</f>
        <v/>
      </c>
      <c r="P3556" t="str">
        <f>IFERROR(__xludf.DUMMYFUNCTION("""COMPUTED_VALUE"""),"ID ")</f>
        <v>ID </v>
      </c>
    </row>
    <row r="3557">
      <c r="A3557" s="6" t="str">
        <f>IFERROR(__xludf.DUMMYFUNCTION("""COMPUTED_VALUE"""),"")</f>
        <v/>
      </c>
      <c r="C3557" t="str">
        <f>IFERROR(__xludf.DUMMYFUNCTION("""COMPUTED_VALUE"""),"")</f>
        <v/>
      </c>
      <c r="D3557" t="str">
        <f>IFERROR(__xludf.DUMMYFUNCTION("""COMPUTED_VALUE"""),"")</f>
        <v/>
      </c>
      <c r="E3557" t="str">
        <f>IFERROR(__xludf.DUMMYFUNCTION("""COMPUTED_VALUE"""),"")</f>
        <v/>
      </c>
      <c r="F3557" t="str">
        <f>IFERROR(__xludf.DUMMYFUNCTION("""COMPUTED_VALUE"""),"")</f>
        <v/>
      </c>
      <c r="G3557" t="str">
        <f>IFERROR(__xludf.DUMMYFUNCTION("""COMPUTED_VALUE"""),"")</f>
        <v/>
      </c>
      <c r="H3557" s="2" t="str">
        <f>IFERROR(__xludf.DUMMYFUNCTION("""COMPUTED_VALUE"""),"")</f>
        <v/>
      </c>
      <c r="I3557" s="2" t="str">
        <f>IFERROR(__xludf.DUMMYFUNCTION("""COMPUTED_VALUE"""),"")</f>
        <v/>
      </c>
      <c r="J3557" s="2">
        <f>IFERROR(__xludf.DUMMYFUNCTION("""COMPUTED_VALUE"""),0.0)</f>
        <v>0</v>
      </c>
      <c r="K3557" s="5" t="str">
        <f>IFERROR(__xludf.DUMMYFUNCTION("""COMPUTED_VALUE"""),"")</f>
        <v/>
      </c>
      <c r="L3557" t="str">
        <f>IFERROR(__xludf.DUMMYFUNCTION("""COMPUTED_VALUE"""),"")</f>
        <v/>
      </c>
      <c r="M3557" t="str">
        <f>IFERROR(__xludf.DUMMYFUNCTION("""COMPUTED_VALUE"""),"")</f>
        <v/>
      </c>
      <c r="N3557" t="str">
        <f>IFERROR(__xludf.DUMMYFUNCTION("""COMPUTED_VALUE"""),"")</f>
        <v/>
      </c>
      <c r="O3557" t="str">
        <f>IFERROR(__xludf.DUMMYFUNCTION("""COMPUTED_VALUE"""),"")</f>
        <v/>
      </c>
      <c r="P3557" t="str">
        <f>IFERROR(__xludf.DUMMYFUNCTION("""COMPUTED_VALUE"""),"ID ")</f>
        <v>ID </v>
      </c>
    </row>
    <row r="3558">
      <c r="A3558" s="6" t="str">
        <f>IFERROR(__xludf.DUMMYFUNCTION("""COMPUTED_VALUE"""),"")</f>
        <v/>
      </c>
      <c r="C3558" t="str">
        <f>IFERROR(__xludf.DUMMYFUNCTION("""COMPUTED_VALUE"""),"")</f>
        <v/>
      </c>
      <c r="D3558" t="str">
        <f>IFERROR(__xludf.DUMMYFUNCTION("""COMPUTED_VALUE"""),"")</f>
        <v/>
      </c>
      <c r="E3558" t="str">
        <f>IFERROR(__xludf.DUMMYFUNCTION("""COMPUTED_VALUE"""),"")</f>
        <v/>
      </c>
      <c r="F3558" t="str">
        <f>IFERROR(__xludf.DUMMYFUNCTION("""COMPUTED_VALUE"""),"")</f>
        <v/>
      </c>
      <c r="G3558" t="str">
        <f>IFERROR(__xludf.DUMMYFUNCTION("""COMPUTED_VALUE"""),"")</f>
        <v/>
      </c>
      <c r="H3558" s="2" t="str">
        <f>IFERROR(__xludf.DUMMYFUNCTION("""COMPUTED_VALUE"""),"")</f>
        <v/>
      </c>
      <c r="I3558" s="2" t="str">
        <f>IFERROR(__xludf.DUMMYFUNCTION("""COMPUTED_VALUE"""),"")</f>
        <v/>
      </c>
      <c r="J3558" s="2">
        <f>IFERROR(__xludf.DUMMYFUNCTION("""COMPUTED_VALUE"""),0.0)</f>
        <v>0</v>
      </c>
      <c r="K3558" s="5" t="str">
        <f>IFERROR(__xludf.DUMMYFUNCTION("""COMPUTED_VALUE"""),"")</f>
        <v/>
      </c>
      <c r="L3558" t="str">
        <f>IFERROR(__xludf.DUMMYFUNCTION("""COMPUTED_VALUE"""),"")</f>
        <v/>
      </c>
      <c r="M3558" t="str">
        <f>IFERROR(__xludf.DUMMYFUNCTION("""COMPUTED_VALUE"""),"")</f>
        <v/>
      </c>
      <c r="N3558" t="str">
        <f>IFERROR(__xludf.DUMMYFUNCTION("""COMPUTED_VALUE"""),"")</f>
        <v/>
      </c>
      <c r="O3558" t="str">
        <f>IFERROR(__xludf.DUMMYFUNCTION("""COMPUTED_VALUE"""),"")</f>
        <v/>
      </c>
      <c r="P3558" t="str">
        <f>IFERROR(__xludf.DUMMYFUNCTION("""COMPUTED_VALUE"""),"ID ")</f>
        <v>ID </v>
      </c>
    </row>
    <row r="3559">
      <c r="A3559" s="6" t="str">
        <f>IFERROR(__xludf.DUMMYFUNCTION("""COMPUTED_VALUE"""),"")</f>
        <v/>
      </c>
      <c r="C3559" t="str">
        <f>IFERROR(__xludf.DUMMYFUNCTION("""COMPUTED_VALUE"""),"")</f>
        <v/>
      </c>
      <c r="D3559" t="str">
        <f>IFERROR(__xludf.DUMMYFUNCTION("""COMPUTED_VALUE"""),"")</f>
        <v/>
      </c>
      <c r="E3559" t="str">
        <f>IFERROR(__xludf.DUMMYFUNCTION("""COMPUTED_VALUE"""),"")</f>
        <v/>
      </c>
      <c r="F3559" t="str">
        <f>IFERROR(__xludf.DUMMYFUNCTION("""COMPUTED_VALUE"""),"")</f>
        <v/>
      </c>
      <c r="G3559" t="str">
        <f>IFERROR(__xludf.DUMMYFUNCTION("""COMPUTED_VALUE"""),"")</f>
        <v/>
      </c>
      <c r="H3559" s="2" t="str">
        <f>IFERROR(__xludf.DUMMYFUNCTION("""COMPUTED_VALUE"""),"")</f>
        <v/>
      </c>
      <c r="I3559" s="2" t="str">
        <f>IFERROR(__xludf.DUMMYFUNCTION("""COMPUTED_VALUE"""),"")</f>
        <v/>
      </c>
      <c r="J3559" s="2">
        <f>IFERROR(__xludf.DUMMYFUNCTION("""COMPUTED_VALUE"""),0.0)</f>
        <v>0</v>
      </c>
      <c r="K3559" s="5" t="str">
        <f>IFERROR(__xludf.DUMMYFUNCTION("""COMPUTED_VALUE"""),"")</f>
        <v/>
      </c>
      <c r="L3559" t="str">
        <f>IFERROR(__xludf.DUMMYFUNCTION("""COMPUTED_VALUE"""),"")</f>
        <v/>
      </c>
      <c r="M3559" t="str">
        <f>IFERROR(__xludf.DUMMYFUNCTION("""COMPUTED_VALUE"""),"")</f>
        <v/>
      </c>
      <c r="N3559" t="str">
        <f>IFERROR(__xludf.DUMMYFUNCTION("""COMPUTED_VALUE"""),"")</f>
        <v/>
      </c>
      <c r="O3559" t="str">
        <f>IFERROR(__xludf.DUMMYFUNCTION("""COMPUTED_VALUE"""),"")</f>
        <v/>
      </c>
      <c r="P3559" t="str">
        <f>IFERROR(__xludf.DUMMYFUNCTION("""COMPUTED_VALUE"""),"ID ")</f>
        <v>ID </v>
      </c>
    </row>
    <row r="3560">
      <c r="A3560" s="6" t="str">
        <f>IFERROR(__xludf.DUMMYFUNCTION("""COMPUTED_VALUE"""),"")</f>
        <v/>
      </c>
      <c r="C3560" t="str">
        <f>IFERROR(__xludf.DUMMYFUNCTION("""COMPUTED_VALUE"""),"")</f>
        <v/>
      </c>
      <c r="D3560" t="str">
        <f>IFERROR(__xludf.DUMMYFUNCTION("""COMPUTED_VALUE"""),"")</f>
        <v/>
      </c>
      <c r="E3560" t="str">
        <f>IFERROR(__xludf.DUMMYFUNCTION("""COMPUTED_VALUE"""),"")</f>
        <v/>
      </c>
      <c r="F3560" t="str">
        <f>IFERROR(__xludf.DUMMYFUNCTION("""COMPUTED_VALUE"""),"")</f>
        <v/>
      </c>
      <c r="G3560" t="str">
        <f>IFERROR(__xludf.DUMMYFUNCTION("""COMPUTED_VALUE"""),"")</f>
        <v/>
      </c>
      <c r="H3560" s="2" t="str">
        <f>IFERROR(__xludf.DUMMYFUNCTION("""COMPUTED_VALUE"""),"")</f>
        <v/>
      </c>
      <c r="I3560" s="2" t="str">
        <f>IFERROR(__xludf.DUMMYFUNCTION("""COMPUTED_VALUE"""),"")</f>
        <v/>
      </c>
      <c r="J3560" s="2">
        <f>IFERROR(__xludf.DUMMYFUNCTION("""COMPUTED_VALUE"""),0.0)</f>
        <v>0</v>
      </c>
      <c r="K3560" s="5" t="str">
        <f>IFERROR(__xludf.DUMMYFUNCTION("""COMPUTED_VALUE"""),"")</f>
        <v/>
      </c>
      <c r="L3560" t="str">
        <f>IFERROR(__xludf.DUMMYFUNCTION("""COMPUTED_VALUE"""),"")</f>
        <v/>
      </c>
      <c r="M3560" t="str">
        <f>IFERROR(__xludf.DUMMYFUNCTION("""COMPUTED_VALUE"""),"")</f>
        <v/>
      </c>
      <c r="N3560" t="str">
        <f>IFERROR(__xludf.DUMMYFUNCTION("""COMPUTED_VALUE"""),"")</f>
        <v/>
      </c>
      <c r="O3560" t="str">
        <f>IFERROR(__xludf.DUMMYFUNCTION("""COMPUTED_VALUE"""),"")</f>
        <v/>
      </c>
      <c r="P3560" t="str">
        <f>IFERROR(__xludf.DUMMYFUNCTION("""COMPUTED_VALUE"""),"ID ")</f>
        <v>ID </v>
      </c>
    </row>
    <row r="3561">
      <c r="A3561" s="6" t="str">
        <f>IFERROR(__xludf.DUMMYFUNCTION("""COMPUTED_VALUE"""),"")</f>
        <v/>
      </c>
      <c r="C3561" t="str">
        <f>IFERROR(__xludf.DUMMYFUNCTION("""COMPUTED_VALUE"""),"")</f>
        <v/>
      </c>
      <c r="D3561" t="str">
        <f>IFERROR(__xludf.DUMMYFUNCTION("""COMPUTED_VALUE"""),"")</f>
        <v/>
      </c>
      <c r="E3561" t="str">
        <f>IFERROR(__xludf.DUMMYFUNCTION("""COMPUTED_VALUE"""),"")</f>
        <v/>
      </c>
      <c r="F3561" t="str">
        <f>IFERROR(__xludf.DUMMYFUNCTION("""COMPUTED_VALUE"""),"")</f>
        <v/>
      </c>
      <c r="G3561" t="str">
        <f>IFERROR(__xludf.DUMMYFUNCTION("""COMPUTED_VALUE"""),"")</f>
        <v/>
      </c>
      <c r="H3561" s="2" t="str">
        <f>IFERROR(__xludf.DUMMYFUNCTION("""COMPUTED_VALUE"""),"")</f>
        <v/>
      </c>
      <c r="I3561" s="2" t="str">
        <f>IFERROR(__xludf.DUMMYFUNCTION("""COMPUTED_VALUE"""),"")</f>
        <v/>
      </c>
      <c r="J3561" s="2">
        <f>IFERROR(__xludf.DUMMYFUNCTION("""COMPUTED_VALUE"""),0.0)</f>
        <v>0</v>
      </c>
      <c r="K3561" s="5" t="str">
        <f>IFERROR(__xludf.DUMMYFUNCTION("""COMPUTED_VALUE"""),"")</f>
        <v/>
      </c>
      <c r="L3561" t="str">
        <f>IFERROR(__xludf.DUMMYFUNCTION("""COMPUTED_VALUE"""),"")</f>
        <v/>
      </c>
      <c r="M3561" t="str">
        <f>IFERROR(__xludf.DUMMYFUNCTION("""COMPUTED_VALUE"""),"")</f>
        <v/>
      </c>
      <c r="N3561" t="str">
        <f>IFERROR(__xludf.DUMMYFUNCTION("""COMPUTED_VALUE"""),"")</f>
        <v/>
      </c>
      <c r="O3561" t="str">
        <f>IFERROR(__xludf.DUMMYFUNCTION("""COMPUTED_VALUE"""),"")</f>
        <v/>
      </c>
      <c r="P3561" t="str">
        <f>IFERROR(__xludf.DUMMYFUNCTION("""COMPUTED_VALUE"""),"ID ")</f>
        <v>ID </v>
      </c>
    </row>
    <row r="3562">
      <c r="A3562" s="6" t="str">
        <f>IFERROR(__xludf.DUMMYFUNCTION("""COMPUTED_VALUE"""),"")</f>
        <v/>
      </c>
      <c r="C3562" t="str">
        <f>IFERROR(__xludf.DUMMYFUNCTION("""COMPUTED_VALUE"""),"")</f>
        <v/>
      </c>
      <c r="D3562" t="str">
        <f>IFERROR(__xludf.DUMMYFUNCTION("""COMPUTED_VALUE"""),"")</f>
        <v/>
      </c>
      <c r="E3562" t="str">
        <f>IFERROR(__xludf.DUMMYFUNCTION("""COMPUTED_VALUE"""),"")</f>
        <v/>
      </c>
      <c r="F3562" t="str">
        <f>IFERROR(__xludf.DUMMYFUNCTION("""COMPUTED_VALUE"""),"")</f>
        <v/>
      </c>
      <c r="G3562" t="str">
        <f>IFERROR(__xludf.DUMMYFUNCTION("""COMPUTED_VALUE"""),"")</f>
        <v/>
      </c>
      <c r="H3562" s="2" t="str">
        <f>IFERROR(__xludf.DUMMYFUNCTION("""COMPUTED_VALUE"""),"")</f>
        <v/>
      </c>
      <c r="I3562" s="2" t="str">
        <f>IFERROR(__xludf.DUMMYFUNCTION("""COMPUTED_VALUE"""),"")</f>
        <v/>
      </c>
      <c r="J3562" s="2">
        <f>IFERROR(__xludf.DUMMYFUNCTION("""COMPUTED_VALUE"""),0.0)</f>
        <v>0</v>
      </c>
      <c r="K3562" s="5" t="str">
        <f>IFERROR(__xludf.DUMMYFUNCTION("""COMPUTED_VALUE"""),"")</f>
        <v/>
      </c>
      <c r="L3562" t="str">
        <f>IFERROR(__xludf.DUMMYFUNCTION("""COMPUTED_VALUE"""),"")</f>
        <v/>
      </c>
      <c r="M3562" t="str">
        <f>IFERROR(__xludf.DUMMYFUNCTION("""COMPUTED_VALUE"""),"")</f>
        <v/>
      </c>
      <c r="N3562" t="str">
        <f>IFERROR(__xludf.DUMMYFUNCTION("""COMPUTED_VALUE"""),"")</f>
        <v/>
      </c>
      <c r="O3562" t="str">
        <f>IFERROR(__xludf.DUMMYFUNCTION("""COMPUTED_VALUE"""),"")</f>
        <v/>
      </c>
      <c r="P3562" t="str">
        <f>IFERROR(__xludf.DUMMYFUNCTION("""COMPUTED_VALUE"""),"ID ")</f>
        <v>ID </v>
      </c>
    </row>
    <row r="3563">
      <c r="A3563" s="6" t="str">
        <f>IFERROR(__xludf.DUMMYFUNCTION("""COMPUTED_VALUE"""),"")</f>
        <v/>
      </c>
      <c r="C3563" t="str">
        <f>IFERROR(__xludf.DUMMYFUNCTION("""COMPUTED_VALUE"""),"")</f>
        <v/>
      </c>
      <c r="D3563" t="str">
        <f>IFERROR(__xludf.DUMMYFUNCTION("""COMPUTED_VALUE"""),"")</f>
        <v/>
      </c>
      <c r="E3563" t="str">
        <f>IFERROR(__xludf.DUMMYFUNCTION("""COMPUTED_VALUE"""),"")</f>
        <v/>
      </c>
      <c r="F3563" t="str">
        <f>IFERROR(__xludf.DUMMYFUNCTION("""COMPUTED_VALUE"""),"")</f>
        <v/>
      </c>
      <c r="G3563" t="str">
        <f>IFERROR(__xludf.DUMMYFUNCTION("""COMPUTED_VALUE"""),"")</f>
        <v/>
      </c>
      <c r="H3563" s="2" t="str">
        <f>IFERROR(__xludf.DUMMYFUNCTION("""COMPUTED_VALUE"""),"")</f>
        <v/>
      </c>
      <c r="I3563" s="2" t="str">
        <f>IFERROR(__xludf.DUMMYFUNCTION("""COMPUTED_VALUE"""),"")</f>
        <v/>
      </c>
      <c r="J3563" s="2">
        <f>IFERROR(__xludf.DUMMYFUNCTION("""COMPUTED_VALUE"""),0.0)</f>
        <v>0</v>
      </c>
      <c r="K3563" s="5" t="str">
        <f>IFERROR(__xludf.DUMMYFUNCTION("""COMPUTED_VALUE"""),"")</f>
        <v/>
      </c>
      <c r="L3563" t="str">
        <f>IFERROR(__xludf.DUMMYFUNCTION("""COMPUTED_VALUE"""),"")</f>
        <v/>
      </c>
      <c r="M3563" t="str">
        <f>IFERROR(__xludf.DUMMYFUNCTION("""COMPUTED_VALUE"""),"")</f>
        <v/>
      </c>
      <c r="N3563" t="str">
        <f>IFERROR(__xludf.DUMMYFUNCTION("""COMPUTED_VALUE"""),"")</f>
        <v/>
      </c>
      <c r="O3563" t="str">
        <f>IFERROR(__xludf.DUMMYFUNCTION("""COMPUTED_VALUE"""),"")</f>
        <v/>
      </c>
      <c r="P3563" t="str">
        <f>IFERROR(__xludf.DUMMYFUNCTION("""COMPUTED_VALUE"""),"ID ")</f>
        <v>ID </v>
      </c>
    </row>
    <row r="3564">
      <c r="A3564" s="6" t="str">
        <f>IFERROR(__xludf.DUMMYFUNCTION("""COMPUTED_VALUE"""),"")</f>
        <v/>
      </c>
      <c r="C3564" t="str">
        <f>IFERROR(__xludf.DUMMYFUNCTION("""COMPUTED_VALUE"""),"")</f>
        <v/>
      </c>
      <c r="D3564" t="str">
        <f>IFERROR(__xludf.DUMMYFUNCTION("""COMPUTED_VALUE"""),"")</f>
        <v/>
      </c>
      <c r="E3564" t="str">
        <f>IFERROR(__xludf.DUMMYFUNCTION("""COMPUTED_VALUE"""),"")</f>
        <v/>
      </c>
      <c r="F3564" t="str">
        <f>IFERROR(__xludf.DUMMYFUNCTION("""COMPUTED_VALUE"""),"")</f>
        <v/>
      </c>
      <c r="G3564" t="str">
        <f>IFERROR(__xludf.DUMMYFUNCTION("""COMPUTED_VALUE"""),"")</f>
        <v/>
      </c>
      <c r="H3564" s="2" t="str">
        <f>IFERROR(__xludf.DUMMYFUNCTION("""COMPUTED_VALUE"""),"")</f>
        <v/>
      </c>
      <c r="I3564" s="2" t="str">
        <f>IFERROR(__xludf.DUMMYFUNCTION("""COMPUTED_VALUE"""),"")</f>
        <v/>
      </c>
      <c r="J3564" s="2">
        <f>IFERROR(__xludf.DUMMYFUNCTION("""COMPUTED_VALUE"""),0.0)</f>
        <v>0</v>
      </c>
      <c r="K3564" s="5" t="str">
        <f>IFERROR(__xludf.DUMMYFUNCTION("""COMPUTED_VALUE"""),"")</f>
        <v/>
      </c>
      <c r="L3564" t="str">
        <f>IFERROR(__xludf.DUMMYFUNCTION("""COMPUTED_VALUE"""),"")</f>
        <v/>
      </c>
      <c r="M3564" t="str">
        <f>IFERROR(__xludf.DUMMYFUNCTION("""COMPUTED_VALUE"""),"")</f>
        <v/>
      </c>
      <c r="N3564" t="str">
        <f>IFERROR(__xludf.DUMMYFUNCTION("""COMPUTED_VALUE"""),"")</f>
        <v/>
      </c>
      <c r="O3564" t="str">
        <f>IFERROR(__xludf.DUMMYFUNCTION("""COMPUTED_VALUE"""),"")</f>
        <v/>
      </c>
      <c r="P3564" t="str">
        <f>IFERROR(__xludf.DUMMYFUNCTION("""COMPUTED_VALUE"""),"ID ")</f>
        <v>ID </v>
      </c>
    </row>
    <row r="3565">
      <c r="A3565" s="6" t="str">
        <f>IFERROR(__xludf.DUMMYFUNCTION("""COMPUTED_VALUE"""),"")</f>
        <v/>
      </c>
      <c r="C3565" t="str">
        <f>IFERROR(__xludf.DUMMYFUNCTION("""COMPUTED_VALUE"""),"")</f>
        <v/>
      </c>
      <c r="D3565" t="str">
        <f>IFERROR(__xludf.DUMMYFUNCTION("""COMPUTED_VALUE"""),"")</f>
        <v/>
      </c>
      <c r="E3565" t="str">
        <f>IFERROR(__xludf.DUMMYFUNCTION("""COMPUTED_VALUE"""),"")</f>
        <v/>
      </c>
      <c r="F3565" t="str">
        <f>IFERROR(__xludf.DUMMYFUNCTION("""COMPUTED_VALUE"""),"")</f>
        <v/>
      </c>
      <c r="G3565" t="str">
        <f>IFERROR(__xludf.DUMMYFUNCTION("""COMPUTED_VALUE"""),"")</f>
        <v/>
      </c>
      <c r="H3565" s="2" t="str">
        <f>IFERROR(__xludf.DUMMYFUNCTION("""COMPUTED_VALUE"""),"")</f>
        <v/>
      </c>
      <c r="I3565" s="2" t="str">
        <f>IFERROR(__xludf.DUMMYFUNCTION("""COMPUTED_VALUE"""),"")</f>
        <v/>
      </c>
      <c r="J3565" s="2">
        <f>IFERROR(__xludf.DUMMYFUNCTION("""COMPUTED_VALUE"""),0.0)</f>
        <v>0</v>
      </c>
      <c r="K3565" s="5" t="str">
        <f>IFERROR(__xludf.DUMMYFUNCTION("""COMPUTED_VALUE"""),"")</f>
        <v/>
      </c>
      <c r="L3565" t="str">
        <f>IFERROR(__xludf.DUMMYFUNCTION("""COMPUTED_VALUE"""),"")</f>
        <v/>
      </c>
      <c r="M3565" t="str">
        <f>IFERROR(__xludf.DUMMYFUNCTION("""COMPUTED_VALUE"""),"")</f>
        <v/>
      </c>
      <c r="N3565" t="str">
        <f>IFERROR(__xludf.DUMMYFUNCTION("""COMPUTED_VALUE"""),"")</f>
        <v/>
      </c>
      <c r="O3565" t="str">
        <f>IFERROR(__xludf.DUMMYFUNCTION("""COMPUTED_VALUE"""),"")</f>
        <v/>
      </c>
      <c r="P3565" t="str">
        <f>IFERROR(__xludf.DUMMYFUNCTION("""COMPUTED_VALUE"""),"ID ")</f>
        <v>ID </v>
      </c>
    </row>
    <row r="3566">
      <c r="A3566" s="6" t="str">
        <f>IFERROR(__xludf.DUMMYFUNCTION("""COMPUTED_VALUE"""),"")</f>
        <v/>
      </c>
      <c r="C3566" t="str">
        <f>IFERROR(__xludf.DUMMYFUNCTION("""COMPUTED_VALUE"""),"")</f>
        <v/>
      </c>
      <c r="D3566" t="str">
        <f>IFERROR(__xludf.DUMMYFUNCTION("""COMPUTED_VALUE"""),"")</f>
        <v/>
      </c>
      <c r="E3566" t="str">
        <f>IFERROR(__xludf.DUMMYFUNCTION("""COMPUTED_VALUE"""),"")</f>
        <v/>
      </c>
      <c r="F3566" t="str">
        <f>IFERROR(__xludf.DUMMYFUNCTION("""COMPUTED_VALUE"""),"")</f>
        <v/>
      </c>
      <c r="G3566" t="str">
        <f>IFERROR(__xludf.DUMMYFUNCTION("""COMPUTED_VALUE"""),"")</f>
        <v/>
      </c>
      <c r="H3566" s="2" t="str">
        <f>IFERROR(__xludf.DUMMYFUNCTION("""COMPUTED_VALUE"""),"")</f>
        <v/>
      </c>
      <c r="I3566" s="2" t="str">
        <f>IFERROR(__xludf.DUMMYFUNCTION("""COMPUTED_VALUE"""),"")</f>
        <v/>
      </c>
      <c r="J3566" s="2">
        <f>IFERROR(__xludf.DUMMYFUNCTION("""COMPUTED_VALUE"""),0.0)</f>
        <v>0</v>
      </c>
      <c r="K3566" s="5" t="str">
        <f>IFERROR(__xludf.DUMMYFUNCTION("""COMPUTED_VALUE"""),"")</f>
        <v/>
      </c>
      <c r="L3566" t="str">
        <f>IFERROR(__xludf.DUMMYFUNCTION("""COMPUTED_VALUE"""),"")</f>
        <v/>
      </c>
      <c r="M3566" t="str">
        <f>IFERROR(__xludf.DUMMYFUNCTION("""COMPUTED_VALUE"""),"")</f>
        <v/>
      </c>
      <c r="N3566" t="str">
        <f>IFERROR(__xludf.DUMMYFUNCTION("""COMPUTED_VALUE"""),"")</f>
        <v/>
      </c>
      <c r="O3566" t="str">
        <f>IFERROR(__xludf.DUMMYFUNCTION("""COMPUTED_VALUE"""),"")</f>
        <v/>
      </c>
      <c r="P3566" t="str">
        <f>IFERROR(__xludf.DUMMYFUNCTION("""COMPUTED_VALUE"""),"ID ")</f>
        <v>ID </v>
      </c>
    </row>
    <row r="3567">
      <c r="A3567" s="6" t="str">
        <f>IFERROR(__xludf.DUMMYFUNCTION("""COMPUTED_VALUE"""),"")</f>
        <v/>
      </c>
      <c r="C3567" t="str">
        <f>IFERROR(__xludf.DUMMYFUNCTION("""COMPUTED_VALUE"""),"")</f>
        <v/>
      </c>
      <c r="D3567" t="str">
        <f>IFERROR(__xludf.DUMMYFUNCTION("""COMPUTED_VALUE"""),"")</f>
        <v/>
      </c>
      <c r="E3567" t="str">
        <f>IFERROR(__xludf.DUMMYFUNCTION("""COMPUTED_VALUE"""),"")</f>
        <v/>
      </c>
      <c r="F3567" t="str">
        <f>IFERROR(__xludf.DUMMYFUNCTION("""COMPUTED_VALUE"""),"")</f>
        <v/>
      </c>
      <c r="G3567" t="str">
        <f>IFERROR(__xludf.DUMMYFUNCTION("""COMPUTED_VALUE"""),"")</f>
        <v/>
      </c>
      <c r="H3567" s="2" t="str">
        <f>IFERROR(__xludf.DUMMYFUNCTION("""COMPUTED_VALUE"""),"")</f>
        <v/>
      </c>
      <c r="I3567" s="2" t="str">
        <f>IFERROR(__xludf.DUMMYFUNCTION("""COMPUTED_VALUE"""),"")</f>
        <v/>
      </c>
      <c r="J3567" s="2">
        <f>IFERROR(__xludf.DUMMYFUNCTION("""COMPUTED_VALUE"""),0.0)</f>
        <v>0</v>
      </c>
      <c r="K3567" s="5" t="str">
        <f>IFERROR(__xludf.DUMMYFUNCTION("""COMPUTED_VALUE"""),"")</f>
        <v/>
      </c>
      <c r="L3567" t="str">
        <f>IFERROR(__xludf.DUMMYFUNCTION("""COMPUTED_VALUE"""),"")</f>
        <v/>
      </c>
      <c r="M3567" t="str">
        <f>IFERROR(__xludf.DUMMYFUNCTION("""COMPUTED_VALUE"""),"")</f>
        <v/>
      </c>
      <c r="N3567" t="str">
        <f>IFERROR(__xludf.DUMMYFUNCTION("""COMPUTED_VALUE"""),"")</f>
        <v/>
      </c>
      <c r="O3567" t="str">
        <f>IFERROR(__xludf.DUMMYFUNCTION("""COMPUTED_VALUE"""),"")</f>
        <v/>
      </c>
      <c r="P3567" t="str">
        <f>IFERROR(__xludf.DUMMYFUNCTION("""COMPUTED_VALUE"""),"ID ")</f>
        <v>ID </v>
      </c>
    </row>
    <row r="3568">
      <c r="A3568" s="6" t="str">
        <f>IFERROR(__xludf.DUMMYFUNCTION("""COMPUTED_VALUE"""),"")</f>
        <v/>
      </c>
      <c r="C3568" t="str">
        <f>IFERROR(__xludf.DUMMYFUNCTION("""COMPUTED_VALUE"""),"")</f>
        <v/>
      </c>
      <c r="D3568" t="str">
        <f>IFERROR(__xludf.DUMMYFUNCTION("""COMPUTED_VALUE"""),"")</f>
        <v/>
      </c>
      <c r="E3568" t="str">
        <f>IFERROR(__xludf.DUMMYFUNCTION("""COMPUTED_VALUE"""),"")</f>
        <v/>
      </c>
      <c r="F3568" t="str">
        <f>IFERROR(__xludf.DUMMYFUNCTION("""COMPUTED_VALUE"""),"")</f>
        <v/>
      </c>
      <c r="G3568" t="str">
        <f>IFERROR(__xludf.DUMMYFUNCTION("""COMPUTED_VALUE"""),"")</f>
        <v/>
      </c>
      <c r="H3568" s="2" t="str">
        <f>IFERROR(__xludf.DUMMYFUNCTION("""COMPUTED_VALUE"""),"")</f>
        <v/>
      </c>
      <c r="I3568" s="2" t="str">
        <f>IFERROR(__xludf.DUMMYFUNCTION("""COMPUTED_VALUE"""),"")</f>
        <v/>
      </c>
      <c r="J3568" s="2">
        <f>IFERROR(__xludf.DUMMYFUNCTION("""COMPUTED_VALUE"""),0.0)</f>
        <v>0</v>
      </c>
      <c r="K3568" s="5" t="str">
        <f>IFERROR(__xludf.DUMMYFUNCTION("""COMPUTED_VALUE"""),"")</f>
        <v/>
      </c>
      <c r="L3568" t="str">
        <f>IFERROR(__xludf.DUMMYFUNCTION("""COMPUTED_VALUE"""),"")</f>
        <v/>
      </c>
      <c r="M3568" t="str">
        <f>IFERROR(__xludf.DUMMYFUNCTION("""COMPUTED_VALUE"""),"")</f>
        <v/>
      </c>
      <c r="N3568" t="str">
        <f>IFERROR(__xludf.DUMMYFUNCTION("""COMPUTED_VALUE"""),"")</f>
        <v/>
      </c>
      <c r="O3568" t="str">
        <f>IFERROR(__xludf.DUMMYFUNCTION("""COMPUTED_VALUE"""),"")</f>
        <v/>
      </c>
      <c r="P3568" t="str">
        <f>IFERROR(__xludf.DUMMYFUNCTION("""COMPUTED_VALUE"""),"ID ")</f>
        <v>ID </v>
      </c>
    </row>
    <row r="3569">
      <c r="A3569" s="6" t="str">
        <f>IFERROR(__xludf.DUMMYFUNCTION("""COMPUTED_VALUE"""),"")</f>
        <v/>
      </c>
      <c r="C3569" t="str">
        <f>IFERROR(__xludf.DUMMYFUNCTION("""COMPUTED_VALUE"""),"")</f>
        <v/>
      </c>
      <c r="D3569" t="str">
        <f>IFERROR(__xludf.DUMMYFUNCTION("""COMPUTED_VALUE"""),"")</f>
        <v/>
      </c>
      <c r="E3569" t="str">
        <f>IFERROR(__xludf.DUMMYFUNCTION("""COMPUTED_VALUE"""),"")</f>
        <v/>
      </c>
      <c r="F3569" t="str">
        <f>IFERROR(__xludf.DUMMYFUNCTION("""COMPUTED_VALUE"""),"")</f>
        <v/>
      </c>
      <c r="G3569" t="str">
        <f>IFERROR(__xludf.DUMMYFUNCTION("""COMPUTED_VALUE"""),"")</f>
        <v/>
      </c>
      <c r="H3569" s="2" t="str">
        <f>IFERROR(__xludf.DUMMYFUNCTION("""COMPUTED_VALUE"""),"")</f>
        <v/>
      </c>
      <c r="I3569" s="2" t="str">
        <f>IFERROR(__xludf.DUMMYFUNCTION("""COMPUTED_VALUE"""),"")</f>
        <v/>
      </c>
      <c r="J3569" s="2">
        <f>IFERROR(__xludf.DUMMYFUNCTION("""COMPUTED_VALUE"""),0.0)</f>
        <v>0</v>
      </c>
      <c r="K3569" s="5" t="str">
        <f>IFERROR(__xludf.DUMMYFUNCTION("""COMPUTED_VALUE"""),"")</f>
        <v/>
      </c>
      <c r="L3569" t="str">
        <f>IFERROR(__xludf.DUMMYFUNCTION("""COMPUTED_VALUE"""),"")</f>
        <v/>
      </c>
      <c r="M3569" t="str">
        <f>IFERROR(__xludf.DUMMYFUNCTION("""COMPUTED_VALUE"""),"")</f>
        <v/>
      </c>
      <c r="N3569" t="str">
        <f>IFERROR(__xludf.DUMMYFUNCTION("""COMPUTED_VALUE"""),"")</f>
        <v/>
      </c>
      <c r="O3569" t="str">
        <f>IFERROR(__xludf.DUMMYFUNCTION("""COMPUTED_VALUE"""),"")</f>
        <v/>
      </c>
      <c r="P3569" t="str">
        <f>IFERROR(__xludf.DUMMYFUNCTION("""COMPUTED_VALUE"""),"ID ")</f>
        <v>ID </v>
      </c>
    </row>
    <row r="3570">
      <c r="A3570" s="6" t="str">
        <f>IFERROR(__xludf.DUMMYFUNCTION("""COMPUTED_VALUE"""),"")</f>
        <v/>
      </c>
      <c r="C3570" t="str">
        <f>IFERROR(__xludf.DUMMYFUNCTION("""COMPUTED_VALUE"""),"")</f>
        <v/>
      </c>
      <c r="D3570" t="str">
        <f>IFERROR(__xludf.DUMMYFUNCTION("""COMPUTED_VALUE"""),"")</f>
        <v/>
      </c>
      <c r="E3570" t="str">
        <f>IFERROR(__xludf.DUMMYFUNCTION("""COMPUTED_VALUE"""),"")</f>
        <v/>
      </c>
      <c r="F3570" t="str">
        <f>IFERROR(__xludf.DUMMYFUNCTION("""COMPUTED_VALUE"""),"")</f>
        <v/>
      </c>
      <c r="G3570" t="str">
        <f>IFERROR(__xludf.DUMMYFUNCTION("""COMPUTED_VALUE"""),"")</f>
        <v/>
      </c>
      <c r="H3570" s="2" t="str">
        <f>IFERROR(__xludf.DUMMYFUNCTION("""COMPUTED_VALUE"""),"")</f>
        <v/>
      </c>
      <c r="I3570" s="2" t="str">
        <f>IFERROR(__xludf.DUMMYFUNCTION("""COMPUTED_VALUE"""),"")</f>
        <v/>
      </c>
      <c r="J3570" s="2">
        <f>IFERROR(__xludf.DUMMYFUNCTION("""COMPUTED_VALUE"""),0.0)</f>
        <v>0</v>
      </c>
      <c r="K3570" s="5" t="str">
        <f>IFERROR(__xludf.DUMMYFUNCTION("""COMPUTED_VALUE"""),"")</f>
        <v/>
      </c>
      <c r="L3570" t="str">
        <f>IFERROR(__xludf.DUMMYFUNCTION("""COMPUTED_VALUE"""),"")</f>
        <v/>
      </c>
      <c r="M3570" t="str">
        <f>IFERROR(__xludf.DUMMYFUNCTION("""COMPUTED_VALUE"""),"")</f>
        <v/>
      </c>
      <c r="N3570" t="str">
        <f>IFERROR(__xludf.DUMMYFUNCTION("""COMPUTED_VALUE"""),"")</f>
        <v/>
      </c>
      <c r="O3570" t="str">
        <f>IFERROR(__xludf.DUMMYFUNCTION("""COMPUTED_VALUE"""),"")</f>
        <v/>
      </c>
      <c r="P3570" t="str">
        <f>IFERROR(__xludf.DUMMYFUNCTION("""COMPUTED_VALUE"""),"ID ")</f>
        <v>ID </v>
      </c>
    </row>
    <row r="3571">
      <c r="A3571" s="6" t="str">
        <f>IFERROR(__xludf.DUMMYFUNCTION("""COMPUTED_VALUE"""),"")</f>
        <v/>
      </c>
      <c r="C3571" t="str">
        <f>IFERROR(__xludf.DUMMYFUNCTION("""COMPUTED_VALUE"""),"")</f>
        <v/>
      </c>
      <c r="D3571" t="str">
        <f>IFERROR(__xludf.DUMMYFUNCTION("""COMPUTED_VALUE"""),"")</f>
        <v/>
      </c>
      <c r="E3571" t="str">
        <f>IFERROR(__xludf.DUMMYFUNCTION("""COMPUTED_VALUE"""),"")</f>
        <v/>
      </c>
      <c r="F3571" t="str">
        <f>IFERROR(__xludf.DUMMYFUNCTION("""COMPUTED_VALUE"""),"")</f>
        <v/>
      </c>
      <c r="G3571" t="str">
        <f>IFERROR(__xludf.DUMMYFUNCTION("""COMPUTED_VALUE"""),"")</f>
        <v/>
      </c>
      <c r="H3571" s="2" t="str">
        <f>IFERROR(__xludf.DUMMYFUNCTION("""COMPUTED_VALUE"""),"")</f>
        <v/>
      </c>
      <c r="I3571" s="2" t="str">
        <f>IFERROR(__xludf.DUMMYFUNCTION("""COMPUTED_VALUE"""),"")</f>
        <v/>
      </c>
      <c r="J3571" s="2">
        <f>IFERROR(__xludf.DUMMYFUNCTION("""COMPUTED_VALUE"""),0.0)</f>
        <v>0</v>
      </c>
      <c r="K3571" s="5" t="str">
        <f>IFERROR(__xludf.DUMMYFUNCTION("""COMPUTED_VALUE"""),"")</f>
        <v/>
      </c>
      <c r="L3571" t="str">
        <f>IFERROR(__xludf.DUMMYFUNCTION("""COMPUTED_VALUE"""),"")</f>
        <v/>
      </c>
      <c r="M3571" t="str">
        <f>IFERROR(__xludf.DUMMYFUNCTION("""COMPUTED_VALUE"""),"")</f>
        <v/>
      </c>
      <c r="N3571" t="str">
        <f>IFERROR(__xludf.DUMMYFUNCTION("""COMPUTED_VALUE"""),"")</f>
        <v/>
      </c>
      <c r="O3571" t="str">
        <f>IFERROR(__xludf.DUMMYFUNCTION("""COMPUTED_VALUE"""),"")</f>
        <v/>
      </c>
      <c r="P3571" t="str">
        <f>IFERROR(__xludf.DUMMYFUNCTION("""COMPUTED_VALUE"""),"ID ")</f>
        <v>ID </v>
      </c>
    </row>
    <row r="3572">
      <c r="A3572" s="6" t="str">
        <f>IFERROR(__xludf.DUMMYFUNCTION("""COMPUTED_VALUE"""),"")</f>
        <v/>
      </c>
      <c r="C3572" t="str">
        <f>IFERROR(__xludf.DUMMYFUNCTION("""COMPUTED_VALUE"""),"")</f>
        <v/>
      </c>
      <c r="D3572" t="str">
        <f>IFERROR(__xludf.DUMMYFUNCTION("""COMPUTED_VALUE"""),"")</f>
        <v/>
      </c>
      <c r="E3572" t="str">
        <f>IFERROR(__xludf.DUMMYFUNCTION("""COMPUTED_VALUE"""),"")</f>
        <v/>
      </c>
      <c r="F3572" t="str">
        <f>IFERROR(__xludf.DUMMYFUNCTION("""COMPUTED_VALUE"""),"")</f>
        <v/>
      </c>
      <c r="G3572" t="str">
        <f>IFERROR(__xludf.DUMMYFUNCTION("""COMPUTED_VALUE"""),"")</f>
        <v/>
      </c>
      <c r="H3572" s="2" t="str">
        <f>IFERROR(__xludf.DUMMYFUNCTION("""COMPUTED_VALUE"""),"")</f>
        <v/>
      </c>
      <c r="I3572" s="2" t="str">
        <f>IFERROR(__xludf.DUMMYFUNCTION("""COMPUTED_VALUE"""),"")</f>
        <v/>
      </c>
      <c r="J3572" s="2">
        <f>IFERROR(__xludf.DUMMYFUNCTION("""COMPUTED_VALUE"""),0.0)</f>
        <v>0</v>
      </c>
      <c r="K3572" s="5" t="str">
        <f>IFERROR(__xludf.DUMMYFUNCTION("""COMPUTED_VALUE"""),"")</f>
        <v/>
      </c>
      <c r="L3572" t="str">
        <f>IFERROR(__xludf.DUMMYFUNCTION("""COMPUTED_VALUE"""),"")</f>
        <v/>
      </c>
      <c r="M3572" t="str">
        <f>IFERROR(__xludf.DUMMYFUNCTION("""COMPUTED_VALUE"""),"")</f>
        <v/>
      </c>
      <c r="N3572" t="str">
        <f>IFERROR(__xludf.DUMMYFUNCTION("""COMPUTED_VALUE"""),"")</f>
        <v/>
      </c>
      <c r="O3572" t="str">
        <f>IFERROR(__xludf.DUMMYFUNCTION("""COMPUTED_VALUE"""),"")</f>
        <v/>
      </c>
      <c r="P3572" t="str">
        <f>IFERROR(__xludf.DUMMYFUNCTION("""COMPUTED_VALUE"""),"ID ")</f>
        <v>ID </v>
      </c>
    </row>
    <row r="3573">
      <c r="A3573" s="6" t="str">
        <f>IFERROR(__xludf.DUMMYFUNCTION("""COMPUTED_VALUE"""),"")</f>
        <v/>
      </c>
      <c r="C3573" t="str">
        <f>IFERROR(__xludf.DUMMYFUNCTION("""COMPUTED_VALUE"""),"")</f>
        <v/>
      </c>
      <c r="D3573" t="str">
        <f>IFERROR(__xludf.DUMMYFUNCTION("""COMPUTED_VALUE"""),"")</f>
        <v/>
      </c>
      <c r="E3573" t="str">
        <f>IFERROR(__xludf.DUMMYFUNCTION("""COMPUTED_VALUE"""),"")</f>
        <v/>
      </c>
      <c r="F3573" t="str">
        <f>IFERROR(__xludf.DUMMYFUNCTION("""COMPUTED_VALUE"""),"")</f>
        <v/>
      </c>
      <c r="G3573" t="str">
        <f>IFERROR(__xludf.DUMMYFUNCTION("""COMPUTED_VALUE"""),"")</f>
        <v/>
      </c>
      <c r="H3573" s="2" t="str">
        <f>IFERROR(__xludf.DUMMYFUNCTION("""COMPUTED_VALUE"""),"")</f>
        <v/>
      </c>
      <c r="I3573" s="2" t="str">
        <f>IFERROR(__xludf.DUMMYFUNCTION("""COMPUTED_VALUE"""),"")</f>
        <v/>
      </c>
      <c r="J3573" s="2">
        <f>IFERROR(__xludf.DUMMYFUNCTION("""COMPUTED_VALUE"""),0.0)</f>
        <v>0</v>
      </c>
      <c r="K3573" s="5" t="str">
        <f>IFERROR(__xludf.DUMMYFUNCTION("""COMPUTED_VALUE"""),"")</f>
        <v/>
      </c>
      <c r="L3573" t="str">
        <f>IFERROR(__xludf.DUMMYFUNCTION("""COMPUTED_VALUE"""),"")</f>
        <v/>
      </c>
      <c r="M3573" t="str">
        <f>IFERROR(__xludf.DUMMYFUNCTION("""COMPUTED_VALUE"""),"")</f>
        <v/>
      </c>
      <c r="N3573" t="str">
        <f>IFERROR(__xludf.DUMMYFUNCTION("""COMPUTED_VALUE"""),"")</f>
        <v/>
      </c>
      <c r="O3573" t="str">
        <f>IFERROR(__xludf.DUMMYFUNCTION("""COMPUTED_VALUE"""),"")</f>
        <v/>
      </c>
      <c r="P3573" t="str">
        <f>IFERROR(__xludf.DUMMYFUNCTION("""COMPUTED_VALUE"""),"ID ")</f>
        <v>ID </v>
      </c>
    </row>
    <row r="3574">
      <c r="A3574" s="6" t="str">
        <f>IFERROR(__xludf.DUMMYFUNCTION("""COMPUTED_VALUE"""),"")</f>
        <v/>
      </c>
      <c r="C3574" t="str">
        <f>IFERROR(__xludf.DUMMYFUNCTION("""COMPUTED_VALUE"""),"")</f>
        <v/>
      </c>
      <c r="D3574" t="str">
        <f>IFERROR(__xludf.DUMMYFUNCTION("""COMPUTED_VALUE"""),"")</f>
        <v/>
      </c>
      <c r="E3574" t="str">
        <f>IFERROR(__xludf.DUMMYFUNCTION("""COMPUTED_VALUE"""),"")</f>
        <v/>
      </c>
      <c r="F3574" t="str">
        <f>IFERROR(__xludf.DUMMYFUNCTION("""COMPUTED_VALUE"""),"")</f>
        <v/>
      </c>
      <c r="G3574" t="str">
        <f>IFERROR(__xludf.DUMMYFUNCTION("""COMPUTED_VALUE"""),"")</f>
        <v/>
      </c>
      <c r="H3574" s="2" t="str">
        <f>IFERROR(__xludf.DUMMYFUNCTION("""COMPUTED_VALUE"""),"")</f>
        <v/>
      </c>
      <c r="I3574" s="2" t="str">
        <f>IFERROR(__xludf.DUMMYFUNCTION("""COMPUTED_VALUE"""),"")</f>
        <v/>
      </c>
      <c r="J3574" s="2">
        <f>IFERROR(__xludf.DUMMYFUNCTION("""COMPUTED_VALUE"""),0.0)</f>
        <v>0</v>
      </c>
      <c r="K3574" s="5" t="str">
        <f>IFERROR(__xludf.DUMMYFUNCTION("""COMPUTED_VALUE"""),"")</f>
        <v/>
      </c>
      <c r="L3574" t="str">
        <f>IFERROR(__xludf.DUMMYFUNCTION("""COMPUTED_VALUE"""),"")</f>
        <v/>
      </c>
      <c r="M3574" t="str">
        <f>IFERROR(__xludf.DUMMYFUNCTION("""COMPUTED_VALUE"""),"")</f>
        <v/>
      </c>
      <c r="N3574" t="str">
        <f>IFERROR(__xludf.DUMMYFUNCTION("""COMPUTED_VALUE"""),"")</f>
        <v/>
      </c>
      <c r="O3574" t="str">
        <f>IFERROR(__xludf.DUMMYFUNCTION("""COMPUTED_VALUE"""),"")</f>
        <v/>
      </c>
      <c r="P3574" t="str">
        <f>IFERROR(__xludf.DUMMYFUNCTION("""COMPUTED_VALUE"""),"ID ")</f>
        <v>ID </v>
      </c>
    </row>
    <row r="3575">
      <c r="A3575" s="6" t="str">
        <f>IFERROR(__xludf.DUMMYFUNCTION("""COMPUTED_VALUE"""),"")</f>
        <v/>
      </c>
      <c r="C3575" t="str">
        <f>IFERROR(__xludf.DUMMYFUNCTION("""COMPUTED_VALUE"""),"")</f>
        <v/>
      </c>
      <c r="D3575" t="str">
        <f>IFERROR(__xludf.DUMMYFUNCTION("""COMPUTED_VALUE"""),"")</f>
        <v/>
      </c>
      <c r="E3575" t="str">
        <f>IFERROR(__xludf.DUMMYFUNCTION("""COMPUTED_VALUE"""),"")</f>
        <v/>
      </c>
      <c r="F3575" t="str">
        <f>IFERROR(__xludf.DUMMYFUNCTION("""COMPUTED_VALUE"""),"")</f>
        <v/>
      </c>
      <c r="G3575" t="str">
        <f>IFERROR(__xludf.DUMMYFUNCTION("""COMPUTED_VALUE"""),"")</f>
        <v/>
      </c>
      <c r="H3575" s="2" t="str">
        <f>IFERROR(__xludf.DUMMYFUNCTION("""COMPUTED_VALUE"""),"")</f>
        <v/>
      </c>
      <c r="I3575" s="2" t="str">
        <f>IFERROR(__xludf.DUMMYFUNCTION("""COMPUTED_VALUE"""),"")</f>
        <v/>
      </c>
      <c r="J3575" s="2">
        <f>IFERROR(__xludf.DUMMYFUNCTION("""COMPUTED_VALUE"""),0.0)</f>
        <v>0</v>
      </c>
      <c r="K3575" s="5" t="str">
        <f>IFERROR(__xludf.DUMMYFUNCTION("""COMPUTED_VALUE"""),"")</f>
        <v/>
      </c>
      <c r="L3575" t="str">
        <f>IFERROR(__xludf.DUMMYFUNCTION("""COMPUTED_VALUE"""),"")</f>
        <v/>
      </c>
      <c r="M3575" t="str">
        <f>IFERROR(__xludf.DUMMYFUNCTION("""COMPUTED_VALUE"""),"")</f>
        <v/>
      </c>
      <c r="N3575" t="str">
        <f>IFERROR(__xludf.DUMMYFUNCTION("""COMPUTED_VALUE"""),"")</f>
        <v/>
      </c>
      <c r="O3575" t="str">
        <f>IFERROR(__xludf.DUMMYFUNCTION("""COMPUTED_VALUE"""),"")</f>
        <v/>
      </c>
      <c r="P3575" t="str">
        <f>IFERROR(__xludf.DUMMYFUNCTION("""COMPUTED_VALUE"""),"ID ")</f>
        <v>ID </v>
      </c>
    </row>
    <row r="3576">
      <c r="A3576" s="6" t="str">
        <f>IFERROR(__xludf.DUMMYFUNCTION("""COMPUTED_VALUE"""),"")</f>
        <v/>
      </c>
      <c r="C3576" t="str">
        <f>IFERROR(__xludf.DUMMYFUNCTION("""COMPUTED_VALUE"""),"")</f>
        <v/>
      </c>
      <c r="D3576" t="str">
        <f>IFERROR(__xludf.DUMMYFUNCTION("""COMPUTED_VALUE"""),"")</f>
        <v/>
      </c>
      <c r="E3576" t="str">
        <f>IFERROR(__xludf.DUMMYFUNCTION("""COMPUTED_VALUE"""),"")</f>
        <v/>
      </c>
      <c r="F3576" t="str">
        <f>IFERROR(__xludf.DUMMYFUNCTION("""COMPUTED_VALUE"""),"")</f>
        <v/>
      </c>
      <c r="G3576" t="str">
        <f>IFERROR(__xludf.DUMMYFUNCTION("""COMPUTED_VALUE"""),"")</f>
        <v/>
      </c>
      <c r="H3576" s="2" t="str">
        <f>IFERROR(__xludf.DUMMYFUNCTION("""COMPUTED_VALUE"""),"")</f>
        <v/>
      </c>
      <c r="I3576" s="2" t="str">
        <f>IFERROR(__xludf.DUMMYFUNCTION("""COMPUTED_VALUE"""),"")</f>
        <v/>
      </c>
      <c r="J3576" s="2">
        <f>IFERROR(__xludf.DUMMYFUNCTION("""COMPUTED_VALUE"""),0.0)</f>
        <v>0</v>
      </c>
      <c r="K3576" s="5" t="str">
        <f>IFERROR(__xludf.DUMMYFUNCTION("""COMPUTED_VALUE"""),"")</f>
        <v/>
      </c>
      <c r="L3576" t="str">
        <f>IFERROR(__xludf.DUMMYFUNCTION("""COMPUTED_VALUE"""),"")</f>
        <v/>
      </c>
      <c r="M3576" t="str">
        <f>IFERROR(__xludf.DUMMYFUNCTION("""COMPUTED_VALUE"""),"")</f>
        <v/>
      </c>
      <c r="N3576" t="str">
        <f>IFERROR(__xludf.DUMMYFUNCTION("""COMPUTED_VALUE"""),"")</f>
        <v/>
      </c>
      <c r="O3576" t="str">
        <f>IFERROR(__xludf.DUMMYFUNCTION("""COMPUTED_VALUE"""),"")</f>
        <v/>
      </c>
      <c r="P3576" t="str">
        <f>IFERROR(__xludf.DUMMYFUNCTION("""COMPUTED_VALUE"""),"ID ")</f>
        <v>ID </v>
      </c>
    </row>
    <row r="3577">
      <c r="A3577" s="6" t="str">
        <f>IFERROR(__xludf.DUMMYFUNCTION("""COMPUTED_VALUE"""),"")</f>
        <v/>
      </c>
      <c r="C3577" t="str">
        <f>IFERROR(__xludf.DUMMYFUNCTION("""COMPUTED_VALUE"""),"")</f>
        <v/>
      </c>
      <c r="D3577" t="str">
        <f>IFERROR(__xludf.DUMMYFUNCTION("""COMPUTED_VALUE"""),"")</f>
        <v/>
      </c>
      <c r="E3577" t="str">
        <f>IFERROR(__xludf.DUMMYFUNCTION("""COMPUTED_VALUE"""),"")</f>
        <v/>
      </c>
      <c r="F3577" t="str">
        <f>IFERROR(__xludf.DUMMYFUNCTION("""COMPUTED_VALUE"""),"")</f>
        <v/>
      </c>
      <c r="G3577" t="str">
        <f>IFERROR(__xludf.DUMMYFUNCTION("""COMPUTED_VALUE"""),"")</f>
        <v/>
      </c>
      <c r="H3577" s="2" t="str">
        <f>IFERROR(__xludf.DUMMYFUNCTION("""COMPUTED_VALUE"""),"")</f>
        <v/>
      </c>
      <c r="I3577" s="2" t="str">
        <f>IFERROR(__xludf.DUMMYFUNCTION("""COMPUTED_VALUE"""),"")</f>
        <v/>
      </c>
      <c r="J3577" s="2">
        <f>IFERROR(__xludf.DUMMYFUNCTION("""COMPUTED_VALUE"""),0.0)</f>
        <v>0</v>
      </c>
      <c r="K3577" s="5" t="str">
        <f>IFERROR(__xludf.DUMMYFUNCTION("""COMPUTED_VALUE"""),"")</f>
        <v/>
      </c>
      <c r="L3577" t="str">
        <f>IFERROR(__xludf.DUMMYFUNCTION("""COMPUTED_VALUE"""),"")</f>
        <v/>
      </c>
      <c r="M3577" t="str">
        <f>IFERROR(__xludf.DUMMYFUNCTION("""COMPUTED_VALUE"""),"")</f>
        <v/>
      </c>
      <c r="N3577" t="str">
        <f>IFERROR(__xludf.DUMMYFUNCTION("""COMPUTED_VALUE"""),"")</f>
        <v/>
      </c>
      <c r="O3577" t="str">
        <f>IFERROR(__xludf.DUMMYFUNCTION("""COMPUTED_VALUE"""),"")</f>
        <v/>
      </c>
      <c r="P3577" t="str">
        <f>IFERROR(__xludf.DUMMYFUNCTION("""COMPUTED_VALUE"""),"ID ")</f>
        <v>ID </v>
      </c>
    </row>
    <row r="3578">
      <c r="A3578" s="6" t="str">
        <f>IFERROR(__xludf.DUMMYFUNCTION("""COMPUTED_VALUE"""),"")</f>
        <v/>
      </c>
      <c r="C3578" t="str">
        <f>IFERROR(__xludf.DUMMYFUNCTION("""COMPUTED_VALUE"""),"")</f>
        <v/>
      </c>
      <c r="D3578" t="str">
        <f>IFERROR(__xludf.DUMMYFUNCTION("""COMPUTED_VALUE"""),"")</f>
        <v/>
      </c>
      <c r="E3578" t="str">
        <f>IFERROR(__xludf.DUMMYFUNCTION("""COMPUTED_VALUE"""),"")</f>
        <v/>
      </c>
      <c r="F3578" t="str">
        <f>IFERROR(__xludf.DUMMYFUNCTION("""COMPUTED_VALUE"""),"")</f>
        <v/>
      </c>
      <c r="G3578" t="str">
        <f>IFERROR(__xludf.DUMMYFUNCTION("""COMPUTED_VALUE"""),"")</f>
        <v/>
      </c>
      <c r="H3578" s="2" t="str">
        <f>IFERROR(__xludf.DUMMYFUNCTION("""COMPUTED_VALUE"""),"")</f>
        <v/>
      </c>
      <c r="I3578" s="2" t="str">
        <f>IFERROR(__xludf.DUMMYFUNCTION("""COMPUTED_VALUE"""),"")</f>
        <v/>
      </c>
      <c r="J3578" s="2">
        <f>IFERROR(__xludf.DUMMYFUNCTION("""COMPUTED_VALUE"""),0.0)</f>
        <v>0</v>
      </c>
      <c r="K3578" s="5" t="str">
        <f>IFERROR(__xludf.DUMMYFUNCTION("""COMPUTED_VALUE"""),"")</f>
        <v/>
      </c>
      <c r="L3578" t="str">
        <f>IFERROR(__xludf.DUMMYFUNCTION("""COMPUTED_VALUE"""),"")</f>
        <v/>
      </c>
      <c r="M3578" t="str">
        <f>IFERROR(__xludf.DUMMYFUNCTION("""COMPUTED_VALUE"""),"")</f>
        <v/>
      </c>
      <c r="N3578" t="str">
        <f>IFERROR(__xludf.DUMMYFUNCTION("""COMPUTED_VALUE"""),"")</f>
        <v/>
      </c>
      <c r="O3578" t="str">
        <f>IFERROR(__xludf.DUMMYFUNCTION("""COMPUTED_VALUE"""),"")</f>
        <v/>
      </c>
      <c r="P3578" t="str">
        <f>IFERROR(__xludf.DUMMYFUNCTION("""COMPUTED_VALUE"""),"ID ")</f>
        <v>ID </v>
      </c>
    </row>
    <row r="3579">
      <c r="A3579" s="6" t="str">
        <f>IFERROR(__xludf.DUMMYFUNCTION("""COMPUTED_VALUE"""),"")</f>
        <v/>
      </c>
      <c r="C3579" t="str">
        <f>IFERROR(__xludf.DUMMYFUNCTION("""COMPUTED_VALUE"""),"")</f>
        <v/>
      </c>
      <c r="D3579" t="str">
        <f>IFERROR(__xludf.DUMMYFUNCTION("""COMPUTED_VALUE"""),"")</f>
        <v/>
      </c>
      <c r="E3579" t="str">
        <f>IFERROR(__xludf.DUMMYFUNCTION("""COMPUTED_VALUE"""),"")</f>
        <v/>
      </c>
      <c r="F3579" t="str">
        <f>IFERROR(__xludf.DUMMYFUNCTION("""COMPUTED_VALUE"""),"")</f>
        <v/>
      </c>
      <c r="G3579" t="str">
        <f>IFERROR(__xludf.DUMMYFUNCTION("""COMPUTED_VALUE"""),"")</f>
        <v/>
      </c>
      <c r="H3579" s="2" t="str">
        <f>IFERROR(__xludf.DUMMYFUNCTION("""COMPUTED_VALUE"""),"")</f>
        <v/>
      </c>
      <c r="I3579" s="2" t="str">
        <f>IFERROR(__xludf.DUMMYFUNCTION("""COMPUTED_VALUE"""),"")</f>
        <v/>
      </c>
      <c r="J3579" s="2">
        <f>IFERROR(__xludf.DUMMYFUNCTION("""COMPUTED_VALUE"""),0.0)</f>
        <v>0</v>
      </c>
      <c r="K3579" s="5" t="str">
        <f>IFERROR(__xludf.DUMMYFUNCTION("""COMPUTED_VALUE"""),"")</f>
        <v/>
      </c>
      <c r="L3579" t="str">
        <f>IFERROR(__xludf.DUMMYFUNCTION("""COMPUTED_VALUE"""),"")</f>
        <v/>
      </c>
      <c r="M3579" t="str">
        <f>IFERROR(__xludf.DUMMYFUNCTION("""COMPUTED_VALUE"""),"")</f>
        <v/>
      </c>
      <c r="N3579" t="str">
        <f>IFERROR(__xludf.DUMMYFUNCTION("""COMPUTED_VALUE"""),"")</f>
        <v/>
      </c>
      <c r="O3579" t="str">
        <f>IFERROR(__xludf.DUMMYFUNCTION("""COMPUTED_VALUE"""),"")</f>
        <v/>
      </c>
      <c r="P3579" t="str">
        <f>IFERROR(__xludf.DUMMYFUNCTION("""COMPUTED_VALUE"""),"ID ")</f>
        <v>ID </v>
      </c>
    </row>
    <row r="3580">
      <c r="A3580" s="6" t="str">
        <f>IFERROR(__xludf.DUMMYFUNCTION("""COMPUTED_VALUE"""),"")</f>
        <v/>
      </c>
      <c r="C3580" t="str">
        <f>IFERROR(__xludf.DUMMYFUNCTION("""COMPUTED_VALUE"""),"")</f>
        <v/>
      </c>
      <c r="D3580" t="str">
        <f>IFERROR(__xludf.DUMMYFUNCTION("""COMPUTED_VALUE"""),"")</f>
        <v/>
      </c>
      <c r="E3580" t="str">
        <f>IFERROR(__xludf.DUMMYFUNCTION("""COMPUTED_VALUE"""),"")</f>
        <v/>
      </c>
      <c r="F3580" t="str">
        <f>IFERROR(__xludf.DUMMYFUNCTION("""COMPUTED_VALUE"""),"")</f>
        <v/>
      </c>
      <c r="G3580" t="str">
        <f>IFERROR(__xludf.DUMMYFUNCTION("""COMPUTED_VALUE"""),"")</f>
        <v/>
      </c>
      <c r="H3580" s="2" t="str">
        <f>IFERROR(__xludf.DUMMYFUNCTION("""COMPUTED_VALUE"""),"")</f>
        <v/>
      </c>
      <c r="I3580" s="2" t="str">
        <f>IFERROR(__xludf.DUMMYFUNCTION("""COMPUTED_VALUE"""),"")</f>
        <v/>
      </c>
      <c r="J3580" s="2">
        <f>IFERROR(__xludf.DUMMYFUNCTION("""COMPUTED_VALUE"""),0.0)</f>
        <v>0</v>
      </c>
      <c r="K3580" s="5" t="str">
        <f>IFERROR(__xludf.DUMMYFUNCTION("""COMPUTED_VALUE"""),"")</f>
        <v/>
      </c>
      <c r="L3580" t="str">
        <f>IFERROR(__xludf.DUMMYFUNCTION("""COMPUTED_VALUE"""),"")</f>
        <v/>
      </c>
      <c r="M3580" t="str">
        <f>IFERROR(__xludf.DUMMYFUNCTION("""COMPUTED_VALUE"""),"")</f>
        <v/>
      </c>
      <c r="N3580" t="str">
        <f>IFERROR(__xludf.DUMMYFUNCTION("""COMPUTED_VALUE"""),"")</f>
        <v/>
      </c>
      <c r="O3580" t="str">
        <f>IFERROR(__xludf.DUMMYFUNCTION("""COMPUTED_VALUE"""),"")</f>
        <v/>
      </c>
      <c r="P3580" t="str">
        <f>IFERROR(__xludf.DUMMYFUNCTION("""COMPUTED_VALUE"""),"ID ")</f>
        <v>ID </v>
      </c>
    </row>
    <row r="3581">
      <c r="A3581" s="6" t="str">
        <f>IFERROR(__xludf.DUMMYFUNCTION("""COMPUTED_VALUE"""),"")</f>
        <v/>
      </c>
      <c r="C3581" t="str">
        <f>IFERROR(__xludf.DUMMYFUNCTION("""COMPUTED_VALUE"""),"")</f>
        <v/>
      </c>
      <c r="D3581" t="str">
        <f>IFERROR(__xludf.DUMMYFUNCTION("""COMPUTED_VALUE"""),"")</f>
        <v/>
      </c>
      <c r="E3581" t="str">
        <f>IFERROR(__xludf.DUMMYFUNCTION("""COMPUTED_VALUE"""),"")</f>
        <v/>
      </c>
      <c r="F3581" t="str">
        <f>IFERROR(__xludf.DUMMYFUNCTION("""COMPUTED_VALUE"""),"")</f>
        <v/>
      </c>
      <c r="G3581" t="str">
        <f>IFERROR(__xludf.DUMMYFUNCTION("""COMPUTED_VALUE"""),"")</f>
        <v/>
      </c>
      <c r="H3581" s="2" t="str">
        <f>IFERROR(__xludf.DUMMYFUNCTION("""COMPUTED_VALUE"""),"")</f>
        <v/>
      </c>
      <c r="I3581" s="2" t="str">
        <f>IFERROR(__xludf.DUMMYFUNCTION("""COMPUTED_VALUE"""),"")</f>
        <v/>
      </c>
      <c r="J3581" s="2">
        <f>IFERROR(__xludf.DUMMYFUNCTION("""COMPUTED_VALUE"""),0.0)</f>
        <v>0</v>
      </c>
      <c r="K3581" s="5" t="str">
        <f>IFERROR(__xludf.DUMMYFUNCTION("""COMPUTED_VALUE"""),"")</f>
        <v/>
      </c>
      <c r="L3581" t="str">
        <f>IFERROR(__xludf.DUMMYFUNCTION("""COMPUTED_VALUE"""),"")</f>
        <v/>
      </c>
      <c r="M3581" t="str">
        <f>IFERROR(__xludf.DUMMYFUNCTION("""COMPUTED_VALUE"""),"")</f>
        <v/>
      </c>
      <c r="N3581" t="str">
        <f>IFERROR(__xludf.DUMMYFUNCTION("""COMPUTED_VALUE"""),"")</f>
        <v/>
      </c>
      <c r="O3581" t="str">
        <f>IFERROR(__xludf.DUMMYFUNCTION("""COMPUTED_VALUE"""),"")</f>
        <v/>
      </c>
      <c r="P3581" t="str">
        <f>IFERROR(__xludf.DUMMYFUNCTION("""COMPUTED_VALUE"""),"ID ")</f>
        <v>ID </v>
      </c>
    </row>
    <row r="3582">
      <c r="A3582" s="6" t="str">
        <f>IFERROR(__xludf.DUMMYFUNCTION("""COMPUTED_VALUE"""),"")</f>
        <v/>
      </c>
      <c r="C3582" t="str">
        <f>IFERROR(__xludf.DUMMYFUNCTION("""COMPUTED_VALUE"""),"")</f>
        <v/>
      </c>
      <c r="D3582" t="str">
        <f>IFERROR(__xludf.DUMMYFUNCTION("""COMPUTED_VALUE"""),"")</f>
        <v/>
      </c>
      <c r="E3582" t="str">
        <f>IFERROR(__xludf.DUMMYFUNCTION("""COMPUTED_VALUE"""),"")</f>
        <v/>
      </c>
      <c r="F3582" t="str">
        <f>IFERROR(__xludf.DUMMYFUNCTION("""COMPUTED_VALUE"""),"")</f>
        <v/>
      </c>
      <c r="G3582" t="str">
        <f>IFERROR(__xludf.DUMMYFUNCTION("""COMPUTED_VALUE"""),"")</f>
        <v/>
      </c>
      <c r="H3582" s="2" t="str">
        <f>IFERROR(__xludf.DUMMYFUNCTION("""COMPUTED_VALUE"""),"")</f>
        <v/>
      </c>
      <c r="I3582" s="2" t="str">
        <f>IFERROR(__xludf.DUMMYFUNCTION("""COMPUTED_VALUE"""),"")</f>
        <v/>
      </c>
      <c r="J3582" s="2">
        <f>IFERROR(__xludf.DUMMYFUNCTION("""COMPUTED_VALUE"""),0.0)</f>
        <v>0</v>
      </c>
      <c r="K3582" s="5" t="str">
        <f>IFERROR(__xludf.DUMMYFUNCTION("""COMPUTED_VALUE"""),"")</f>
        <v/>
      </c>
      <c r="L3582" t="str">
        <f>IFERROR(__xludf.DUMMYFUNCTION("""COMPUTED_VALUE"""),"")</f>
        <v/>
      </c>
      <c r="M3582" t="str">
        <f>IFERROR(__xludf.DUMMYFUNCTION("""COMPUTED_VALUE"""),"")</f>
        <v/>
      </c>
      <c r="N3582" t="str">
        <f>IFERROR(__xludf.DUMMYFUNCTION("""COMPUTED_VALUE"""),"")</f>
        <v/>
      </c>
      <c r="O3582" t="str">
        <f>IFERROR(__xludf.DUMMYFUNCTION("""COMPUTED_VALUE"""),"")</f>
        <v/>
      </c>
      <c r="P3582" t="str">
        <f>IFERROR(__xludf.DUMMYFUNCTION("""COMPUTED_VALUE"""),"ID ")</f>
        <v>ID </v>
      </c>
    </row>
    <row r="3583">
      <c r="A3583" s="6" t="str">
        <f>IFERROR(__xludf.DUMMYFUNCTION("""COMPUTED_VALUE"""),"")</f>
        <v/>
      </c>
      <c r="C3583" t="str">
        <f>IFERROR(__xludf.DUMMYFUNCTION("""COMPUTED_VALUE"""),"")</f>
        <v/>
      </c>
      <c r="D3583" t="str">
        <f>IFERROR(__xludf.DUMMYFUNCTION("""COMPUTED_VALUE"""),"")</f>
        <v/>
      </c>
      <c r="E3583" t="str">
        <f>IFERROR(__xludf.DUMMYFUNCTION("""COMPUTED_VALUE"""),"")</f>
        <v/>
      </c>
      <c r="F3583" t="str">
        <f>IFERROR(__xludf.DUMMYFUNCTION("""COMPUTED_VALUE"""),"")</f>
        <v/>
      </c>
      <c r="G3583" t="str">
        <f>IFERROR(__xludf.DUMMYFUNCTION("""COMPUTED_VALUE"""),"")</f>
        <v/>
      </c>
      <c r="H3583" s="2" t="str">
        <f>IFERROR(__xludf.DUMMYFUNCTION("""COMPUTED_VALUE"""),"")</f>
        <v/>
      </c>
      <c r="I3583" s="2" t="str">
        <f>IFERROR(__xludf.DUMMYFUNCTION("""COMPUTED_VALUE"""),"")</f>
        <v/>
      </c>
      <c r="J3583" s="2">
        <f>IFERROR(__xludf.DUMMYFUNCTION("""COMPUTED_VALUE"""),0.0)</f>
        <v>0</v>
      </c>
      <c r="K3583" s="5" t="str">
        <f>IFERROR(__xludf.DUMMYFUNCTION("""COMPUTED_VALUE"""),"")</f>
        <v/>
      </c>
      <c r="L3583" t="str">
        <f>IFERROR(__xludf.DUMMYFUNCTION("""COMPUTED_VALUE"""),"")</f>
        <v/>
      </c>
      <c r="M3583" t="str">
        <f>IFERROR(__xludf.DUMMYFUNCTION("""COMPUTED_VALUE"""),"")</f>
        <v/>
      </c>
      <c r="N3583" t="str">
        <f>IFERROR(__xludf.DUMMYFUNCTION("""COMPUTED_VALUE"""),"")</f>
        <v/>
      </c>
      <c r="O3583" t="str">
        <f>IFERROR(__xludf.DUMMYFUNCTION("""COMPUTED_VALUE"""),"")</f>
        <v/>
      </c>
      <c r="P3583" t="str">
        <f>IFERROR(__xludf.DUMMYFUNCTION("""COMPUTED_VALUE"""),"ID ")</f>
        <v>ID </v>
      </c>
    </row>
    <row r="3584">
      <c r="A3584" s="6" t="str">
        <f>IFERROR(__xludf.DUMMYFUNCTION("""COMPUTED_VALUE"""),"")</f>
        <v/>
      </c>
      <c r="C3584" t="str">
        <f>IFERROR(__xludf.DUMMYFUNCTION("""COMPUTED_VALUE"""),"")</f>
        <v/>
      </c>
      <c r="D3584" t="str">
        <f>IFERROR(__xludf.DUMMYFUNCTION("""COMPUTED_VALUE"""),"")</f>
        <v/>
      </c>
      <c r="E3584" t="str">
        <f>IFERROR(__xludf.DUMMYFUNCTION("""COMPUTED_VALUE"""),"")</f>
        <v/>
      </c>
      <c r="F3584" t="str">
        <f>IFERROR(__xludf.DUMMYFUNCTION("""COMPUTED_VALUE"""),"")</f>
        <v/>
      </c>
      <c r="G3584" t="str">
        <f>IFERROR(__xludf.DUMMYFUNCTION("""COMPUTED_VALUE"""),"")</f>
        <v/>
      </c>
      <c r="H3584" s="2" t="str">
        <f>IFERROR(__xludf.DUMMYFUNCTION("""COMPUTED_VALUE"""),"")</f>
        <v/>
      </c>
      <c r="I3584" s="2" t="str">
        <f>IFERROR(__xludf.DUMMYFUNCTION("""COMPUTED_VALUE"""),"")</f>
        <v/>
      </c>
      <c r="J3584" s="2">
        <f>IFERROR(__xludf.DUMMYFUNCTION("""COMPUTED_VALUE"""),0.0)</f>
        <v>0</v>
      </c>
      <c r="K3584" s="5" t="str">
        <f>IFERROR(__xludf.DUMMYFUNCTION("""COMPUTED_VALUE"""),"")</f>
        <v/>
      </c>
      <c r="L3584" t="str">
        <f>IFERROR(__xludf.DUMMYFUNCTION("""COMPUTED_VALUE"""),"")</f>
        <v/>
      </c>
      <c r="M3584" t="str">
        <f>IFERROR(__xludf.DUMMYFUNCTION("""COMPUTED_VALUE"""),"")</f>
        <v/>
      </c>
      <c r="N3584" t="str">
        <f>IFERROR(__xludf.DUMMYFUNCTION("""COMPUTED_VALUE"""),"")</f>
        <v/>
      </c>
      <c r="O3584" t="str">
        <f>IFERROR(__xludf.DUMMYFUNCTION("""COMPUTED_VALUE"""),"")</f>
        <v/>
      </c>
      <c r="P3584" t="str">
        <f>IFERROR(__xludf.DUMMYFUNCTION("""COMPUTED_VALUE"""),"ID ")</f>
        <v>ID </v>
      </c>
    </row>
    <row r="3585">
      <c r="A3585" s="6" t="str">
        <f>IFERROR(__xludf.DUMMYFUNCTION("""COMPUTED_VALUE"""),"")</f>
        <v/>
      </c>
      <c r="C3585" t="str">
        <f>IFERROR(__xludf.DUMMYFUNCTION("""COMPUTED_VALUE"""),"")</f>
        <v/>
      </c>
      <c r="D3585" t="str">
        <f>IFERROR(__xludf.DUMMYFUNCTION("""COMPUTED_VALUE"""),"")</f>
        <v/>
      </c>
      <c r="E3585" t="str">
        <f>IFERROR(__xludf.DUMMYFUNCTION("""COMPUTED_VALUE"""),"")</f>
        <v/>
      </c>
      <c r="F3585" t="str">
        <f>IFERROR(__xludf.DUMMYFUNCTION("""COMPUTED_VALUE"""),"")</f>
        <v/>
      </c>
      <c r="G3585" t="str">
        <f>IFERROR(__xludf.DUMMYFUNCTION("""COMPUTED_VALUE"""),"")</f>
        <v/>
      </c>
      <c r="H3585" s="2" t="str">
        <f>IFERROR(__xludf.DUMMYFUNCTION("""COMPUTED_VALUE"""),"")</f>
        <v/>
      </c>
      <c r="I3585" s="2" t="str">
        <f>IFERROR(__xludf.DUMMYFUNCTION("""COMPUTED_VALUE"""),"")</f>
        <v/>
      </c>
      <c r="J3585" s="2">
        <f>IFERROR(__xludf.DUMMYFUNCTION("""COMPUTED_VALUE"""),0.0)</f>
        <v>0</v>
      </c>
      <c r="K3585" s="5" t="str">
        <f>IFERROR(__xludf.DUMMYFUNCTION("""COMPUTED_VALUE"""),"")</f>
        <v/>
      </c>
      <c r="L3585" t="str">
        <f>IFERROR(__xludf.DUMMYFUNCTION("""COMPUTED_VALUE"""),"")</f>
        <v/>
      </c>
      <c r="M3585" t="str">
        <f>IFERROR(__xludf.DUMMYFUNCTION("""COMPUTED_VALUE"""),"")</f>
        <v/>
      </c>
      <c r="N3585" t="str">
        <f>IFERROR(__xludf.DUMMYFUNCTION("""COMPUTED_VALUE"""),"")</f>
        <v/>
      </c>
      <c r="O3585" t="str">
        <f>IFERROR(__xludf.DUMMYFUNCTION("""COMPUTED_VALUE"""),"")</f>
        <v/>
      </c>
      <c r="P3585" t="str">
        <f>IFERROR(__xludf.DUMMYFUNCTION("""COMPUTED_VALUE"""),"ID ")</f>
        <v>ID </v>
      </c>
    </row>
    <row r="3586">
      <c r="A3586" s="6" t="str">
        <f>IFERROR(__xludf.DUMMYFUNCTION("""COMPUTED_VALUE"""),"")</f>
        <v/>
      </c>
      <c r="C3586" t="str">
        <f>IFERROR(__xludf.DUMMYFUNCTION("""COMPUTED_VALUE"""),"")</f>
        <v/>
      </c>
      <c r="D3586" t="str">
        <f>IFERROR(__xludf.DUMMYFUNCTION("""COMPUTED_VALUE"""),"")</f>
        <v/>
      </c>
      <c r="E3586" t="str">
        <f>IFERROR(__xludf.DUMMYFUNCTION("""COMPUTED_VALUE"""),"")</f>
        <v/>
      </c>
      <c r="F3586" t="str">
        <f>IFERROR(__xludf.DUMMYFUNCTION("""COMPUTED_VALUE"""),"")</f>
        <v/>
      </c>
      <c r="G3586" t="str">
        <f>IFERROR(__xludf.DUMMYFUNCTION("""COMPUTED_VALUE"""),"")</f>
        <v/>
      </c>
      <c r="H3586" s="2" t="str">
        <f>IFERROR(__xludf.DUMMYFUNCTION("""COMPUTED_VALUE"""),"")</f>
        <v/>
      </c>
      <c r="I3586" s="2" t="str">
        <f>IFERROR(__xludf.DUMMYFUNCTION("""COMPUTED_VALUE"""),"")</f>
        <v/>
      </c>
      <c r="J3586" s="2">
        <f>IFERROR(__xludf.DUMMYFUNCTION("""COMPUTED_VALUE"""),0.0)</f>
        <v>0</v>
      </c>
      <c r="K3586" s="5" t="str">
        <f>IFERROR(__xludf.DUMMYFUNCTION("""COMPUTED_VALUE"""),"")</f>
        <v/>
      </c>
      <c r="L3586" t="str">
        <f>IFERROR(__xludf.DUMMYFUNCTION("""COMPUTED_VALUE"""),"")</f>
        <v/>
      </c>
      <c r="M3586" t="str">
        <f>IFERROR(__xludf.DUMMYFUNCTION("""COMPUTED_VALUE"""),"")</f>
        <v/>
      </c>
      <c r="N3586" t="str">
        <f>IFERROR(__xludf.DUMMYFUNCTION("""COMPUTED_VALUE"""),"")</f>
        <v/>
      </c>
      <c r="O3586" t="str">
        <f>IFERROR(__xludf.DUMMYFUNCTION("""COMPUTED_VALUE"""),"")</f>
        <v/>
      </c>
      <c r="P3586" t="str">
        <f>IFERROR(__xludf.DUMMYFUNCTION("""COMPUTED_VALUE"""),"ID ")</f>
        <v>ID </v>
      </c>
    </row>
    <row r="3587">
      <c r="A3587" s="6" t="str">
        <f>IFERROR(__xludf.DUMMYFUNCTION("""COMPUTED_VALUE"""),"")</f>
        <v/>
      </c>
      <c r="C3587" t="str">
        <f>IFERROR(__xludf.DUMMYFUNCTION("""COMPUTED_VALUE"""),"")</f>
        <v/>
      </c>
      <c r="D3587" t="str">
        <f>IFERROR(__xludf.DUMMYFUNCTION("""COMPUTED_VALUE"""),"")</f>
        <v/>
      </c>
      <c r="E3587" t="str">
        <f>IFERROR(__xludf.DUMMYFUNCTION("""COMPUTED_VALUE"""),"")</f>
        <v/>
      </c>
      <c r="F3587" t="str">
        <f>IFERROR(__xludf.DUMMYFUNCTION("""COMPUTED_VALUE"""),"")</f>
        <v/>
      </c>
      <c r="G3587" t="str">
        <f>IFERROR(__xludf.DUMMYFUNCTION("""COMPUTED_VALUE"""),"")</f>
        <v/>
      </c>
      <c r="H3587" s="2" t="str">
        <f>IFERROR(__xludf.DUMMYFUNCTION("""COMPUTED_VALUE"""),"")</f>
        <v/>
      </c>
      <c r="I3587" s="2" t="str">
        <f>IFERROR(__xludf.DUMMYFUNCTION("""COMPUTED_VALUE"""),"")</f>
        <v/>
      </c>
      <c r="J3587" s="2">
        <f>IFERROR(__xludf.DUMMYFUNCTION("""COMPUTED_VALUE"""),0.0)</f>
        <v>0</v>
      </c>
      <c r="K3587" s="5" t="str">
        <f>IFERROR(__xludf.DUMMYFUNCTION("""COMPUTED_VALUE"""),"")</f>
        <v/>
      </c>
      <c r="L3587" t="str">
        <f>IFERROR(__xludf.DUMMYFUNCTION("""COMPUTED_VALUE"""),"")</f>
        <v/>
      </c>
      <c r="M3587" t="str">
        <f>IFERROR(__xludf.DUMMYFUNCTION("""COMPUTED_VALUE"""),"")</f>
        <v/>
      </c>
      <c r="N3587" t="str">
        <f>IFERROR(__xludf.DUMMYFUNCTION("""COMPUTED_VALUE"""),"")</f>
        <v/>
      </c>
      <c r="O3587" t="str">
        <f>IFERROR(__xludf.DUMMYFUNCTION("""COMPUTED_VALUE"""),"")</f>
        <v/>
      </c>
      <c r="P3587" t="str">
        <f>IFERROR(__xludf.DUMMYFUNCTION("""COMPUTED_VALUE"""),"ID ")</f>
        <v>ID </v>
      </c>
    </row>
    <row r="3588">
      <c r="A3588" s="6" t="str">
        <f>IFERROR(__xludf.DUMMYFUNCTION("""COMPUTED_VALUE"""),"")</f>
        <v/>
      </c>
      <c r="C3588" t="str">
        <f>IFERROR(__xludf.DUMMYFUNCTION("""COMPUTED_VALUE"""),"")</f>
        <v/>
      </c>
      <c r="D3588" t="str">
        <f>IFERROR(__xludf.DUMMYFUNCTION("""COMPUTED_VALUE"""),"")</f>
        <v/>
      </c>
      <c r="E3588" t="str">
        <f>IFERROR(__xludf.DUMMYFUNCTION("""COMPUTED_VALUE"""),"")</f>
        <v/>
      </c>
      <c r="F3588" t="str">
        <f>IFERROR(__xludf.DUMMYFUNCTION("""COMPUTED_VALUE"""),"")</f>
        <v/>
      </c>
      <c r="G3588" t="str">
        <f>IFERROR(__xludf.DUMMYFUNCTION("""COMPUTED_VALUE"""),"")</f>
        <v/>
      </c>
      <c r="H3588" s="2" t="str">
        <f>IFERROR(__xludf.DUMMYFUNCTION("""COMPUTED_VALUE"""),"")</f>
        <v/>
      </c>
      <c r="I3588" s="2" t="str">
        <f>IFERROR(__xludf.DUMMYFUNCTION("""COMPUTED_VALUE"""),"")</f>
        <v/>
      </c>
      <c r="J3588" s="2">
        <f>IFERROR(__xludf.DUMMYFUNCTION("""COMPUTED_VALUE"""),0.0)</f>
        <v>0</v>
      </c>
      <c r="K3588" s="5" t="str">
        <f>IFERROR(__xludf.DUMMYFUNCTION("""COMPUTED_VALUE"""),"")</f>
        <v/>
      </c>
      <c r="L3588" t="str">
        <f>IFERROR(__xludf.DUMMYFUNCTION("""COMPUTED_VALUE"""),"")</f>
        <v/>
      </c>
      <c r="M3588" t="str">
        <f>IFERROR(__xludf.DUMMYFUNCTION("""COMPUTED_VALUE"""),"")</f>
        <v/>
      </c>
      <c r="N3588" t="str">
        <f>IFERROR(__xludf.DUMMYFUNCTION("""COMPUTED_VALUE"""),"")</f>
        <v/>
      </c>
      <c r="O3588" t="str">
        <f>IFERROR(__xludf.DUMMYFUNCTION("""COMPUTED_VALUE"""),"")</f>
        <v/>
      </c>
      <c r="P3588" t="str">
        <f>IFERROR(__xludf.DUMMYFUNCTION("""COMPUTED_VALUE"""),"ID ")</f>
        <v>ID </v>
      </c>
    </row>
    <row r="3589">
      <c r="A3589" s="6" t="str">
        <f>IFERROR(__xludf.DUMMYFUNCTION("""COMPUTED_VALUE"""),"")</f>
        <v/>
      </c>
      <c r="C3589" t="str">
        <f>IFERROR(__xludf.DUMMYFUNCTION("""COMPUTED_VALUE"""),"")</f>
        <v/>
      </c>
      <c r="D3589" t="str">
        <f>IFERROR(__xludf.DUMMYFUNCTION("""COMPUTED_VALUE"""),"")</f>
        <v/>
      </c>
      <c r="E3589" t="str">
        <f>IFERROR(__xludf.DUMMYFUNCTION("""COMPUTED_VALUE"""),"")</f>
        <v/>
      </c>
      <c r="F3589" t="str">
        <f>IFERROR(__xludf.DUMMYFUNCTION("""COMPUTED_VALUE"""),"")</f>
        <v/>
      </c>
      <c r="G3589" t="str">
        <f>IFERROR(__xludf.DUMMYFUNCTION("""COMPUTED_VALUE"""),"")</f>
        <v/>
      </c>
      <c r="H3589" s="2" t="str">
        <f>IFERROR(__xludf.DUMMYFUNCTION("""COMPUTED_VALUE"""),"")</f>
        <v/>
      </c>
      <c r="I3589" s="2" t="str">
        <f>IFERROR(__xludf.DUMMYFUNCTION("""COMPUTED_VALUE"""),"")</f>
        <v/>
      </c>
      <c r="J3589" s="2">
        <f>IFERROR(__xludf.DUMMYFUNCTION("""COMPUTED_VALUE"""),0.0)</f>
        <v>0</v>
      </c>
      <c r="K3589" s="5" t="str">
        <f>IFERROR(__xludf.DUMMYFUNCTION("""COMPUTED_VALUE"""),"")</f>
        <v/>
      </c>
      <c r="L3589" t="str">
        <f>IFERROR(__xludf.DUMMYFUNCTION("""COMPUTED_VALUE"""),"")</f>
        <v/>
      </c>
      <c r="M3589" t="str">
        <f>IFERROR(__xludf.DUMMYFUNCTION("""COMPUTED_VALUE"""),"")</f>
        <v/>
      </c>
      <c r="N3589" t="str">
        <f>IFERROR(__xludf.DUMMYFUNCTION("""COMPUTED_VALUE"""),"")</f>
        <v/>
      </c>
      <c r="O3589" t="str">
        <f>IFERROR(__xludf.DUMMYFUNCTION("""COMPUTED_VALUE"""),"")</f>
        <v/>
      </c>
      <c r="P3589" t="str">
        <f>IFERROR(__xludf.DUMMYFUNCTION("""COMPUTED_VALUE"""),"ID ")</f>
        <v>ID </v>
      </c>
    </row>
    <row r="3590">
      <c r="A3590" s="6" t="str">
        <f>IFERROR(__xludf.DUMMYFUNCTION("""COMPUTED_VALUE"""),"")</f>
        <v/>
      </c>
      <c r="C3590" t="str">
        <f>IFERROR(__xludf.DUMMYFUNCTION("""COMPUTED_VALUE"""),"")</f>
        <v/>
      </c>
      <c r="D3590" t="str">
        <f>IFERROR(__xludf.DUMMYFUNCTION("""COMPUTED_VALUE"""),"")</f>
        <v/>
      </c>
      <c r="E3590" t="str">
        <f>IFERROR(__xludf.DUMMYFUNCTION("""COMPUTED_VALUE"""),"")</f>
        <v/>
      </c>
      <c r="F3590" t="str">
        <f>IFERROR(__xludf.DUMMYFUNCTION("""COMPUTED_VALUE"""),"")</f>
        <v/>
      </c>
      <c r="G3590" t="str">
        <f>IFERROR(__xludf.DUMMYFUNCTION("""COMPUTED_VALUE"""),"")</f>
        <v/>
      </c>
      <c r="H3590" s="2" t="str">
        <f>IFERROR(__xludf.DUMMYFUNCTION("""COMPUTED_VALUE"""),"")</f>
        <v/>
      </c>
      <c r="I3590" s="2" t="str">
        <f>IFERROR(__xludf.DUMMYFUNCTION("""COMPUTED_VALUE"""),"")</f>
        <v/>
      </c>
      <c r="J3590" s="2">
        <f>IFERROR(__xludf.DUMMYFUNCTION("""COMPUTED_VALUE"""),0.0)</f>
        <v>0</v>
      </c>
      <c r="K3590" s="5" t="str">
        <f>IFERROR(__xludf.DUMMYFUNCTION("""COMPUTED_VALUE"""),"")</f>
        <v/>
      </c>
      <c r="L3590" t="str">
        <f>IFERROR(__xludf.DUMMYFUNCTION("""COMPUTED_VALUE"""),"")</f>
        <v/>
      </c>
      <c r="M3590" t="str">
        <f>IFERROR(__xludf.DUMMYFUNCTION("""COMPUTED_VALUE"""),"")</f>
        <v/>
      </c>
      <c r="N3590" t="str">
        <f>IFERROR(__xludf.DUMMYFUNCTION("""COMPUTED_VALUE"""),"")</f>
        <v/>
      </c>
      <c r="O3590" t="str">
        <f>IFERROR(__xludf.DUMMYFUNCTION("""COMPUTED_VALUE"""),"")</f>
        <v/>
      </c>
      <c r="P3590" t="str">
        <f>IFERROR(__xludf.DUMMYFUNCTION("""COMPUTED_VALUE"""),"ID ")</f>
        <v>ID </v>
      </c>
    </row>
    <row r="3591">
      <c r="A3591" s="6" t="str">
        <f>IFERROR(__xludf.DUMMYFUNCTION("""COMPUTED_VALUE"""),"")</f>
        <v/>
      </c>
      <c r="C3591" t="str">
        <f>IFERROR(__xludf.DUMMYFUNCTION("""COMPUTED_VALUE"""),"")</f>
        <v/>
      </c>
      <c r="D3591" t="str">
        <f>IFERROR(__xludf.DUMMYFUNCTION("""COMPUTED_VALUE"""),"")</f>
        <v/>
      </c>
      <c r="E3591" t="str">
        <f>IFERROR(__xludf.DUMMYFUNCTION("""COMPUTED_VALUE"""),"")</f>
        <v/>
      </c>
      <c r="F3591" t="str">
        <f>IFERROR(__xludf.DUMMYFUNCTION("""COMPUTED_VALUE"""),"")</f>
        <v/>
      </c>
      <c r="G3591" t="str">
        <f>IFERROR(__xludf.DUMMYFUNCTION("""COMPUTED_VALUE"""),"")</f>
        <v/>
      </c>
      <c r="H3591" s="2" t="str">
        <f>IFERROR(__xludf.DUMMYFUNCTION("""COMPUTED_VALUE"""),"")</f>
        <v/>
      </c>
      <c r="I3591" s="2" t="str">
        <f>IFERROR(__xludf.DUMMYFUNCTION("""COMPUTED_VALUE"""),"")</f>
        <v/>
      </c>
      <c r="J3591" s="2">
        <f>IFERROR(__xludf.DUMMYFUNCTION("""COMPUTED_VALUE"""),0.0)</f>
        <v>0</v>
      </c>
      <c r="K3591" s="5" t="str">
        <f>IFERROR(__xludf.DUMMYFUNCTION("""COMPUTED_VALUE"""),"")</f>
        <v/>
      </c>
      <c r="L3591" t="str">
        <f>IFERROR(__xludf.DUMMYFUNCTION("""COMPUTED_VALUE"""),"")</f>
        <v/>
      </c>
      <c r="M3591" t="str">
        <f>IFERROR(__xludf.DUMMYFUNCTION("""COMPUTED_VALUE"""),"")</f>
        <v/>
      </c>
      <c r="N3591" t="str">
        <f>IFERROR(__xludf.DUMMYFUNCTION("""COMPUTED_VALUE"""),"")</f>
        <v/>
      </c>
      <c r="O3591" t="str">
        <f>IFERROR(__xludf.DUMMYFUNCTION("""COMPUTED_VALUE"""),"")</f>
        <v/>
      </c>
      <c r="P3591" t="str">
        <f>IFERROR(__xludf.DUMMYFUNCTION("""COMPUTED_VALUE"""),"ID ")</f>
        <v>ID </v>
      </c>
    </row>
    <row r="3592">
      <c r="A3592" s="6" t="str">
        <f>IFERROR(__xludf.DUMMYFUNCTION("""COMPUTED_VALUE"""),"")</f>
        <v/>
      </c>
      <c r="C3592" t="str">
        <f>IFERROR(__xludf.DUMMYFUNCTION("""COMPUTED_VALUE"""),"")</f>
        <v/>
      </c>
      <c r="D3592" t="str">
        <f>IFERROR(__xludf.DUMMYFUNCTION("""COMPUTED_VALUE"""),"")</f>
        <v/>
      </c>
      <c r="E3592" t="str">
        <f>IFERROR(__xludf.DUMMYFUNCTION("""COMPUTED_VALUE"""),"")</f>
        <v/>
      </c>
      <c r="F3592" t="str">
        <f>IFERROR(__xludf.DUMMYFUNCTION("""COMPUTED_VALUE"""),"")</f>
        <v/>
      </c>
      <c r="G3592" t="str">
        <f>IFERROR(__xludf.DUMMYFUNCTION("""COMPUTED_VALUE"""),"")</f>
        <v/>
      </c>
      <c r="H3592" s="2" t="str">
        <f>IFERROR(__xludf.DUMMYFUNCTION("""COMPUTED_VALUE"""),"")</f>
        <v/>
      </c>
      <c r="I3592" s="2" t="str">
        <f>IFERROR(__xludf.DUMMYFUNCTION("""COMPUTED_VALUE"""),"")</f>
        <v/>
      </c>
      <c r="J3592" s="2">
        <f>IFERROR(__xludf.DUMMYFUNCTION("""COMPUTED_VALUE"""),0.0)</f>
        <v>0</v>
      </c>
      <c r="K3592" s="5" t="str">
        <f>IFERROR(__xludf.DUMMYFUNCTION("""COMPUTED_VALUE"""),"")</f>
        <v/>
      </c>
      <c r="L3592" t="str">
        <f>IFERROR(__xludf.DUMMYFUNCTION("""COMPUTED_VALUE"""),"")</f>
        <v/>
      </c>
      <c r="M3592" t="str">
        <f>IFERROR(__xludf.DUMMYFUNCTION("""COMPUTED_VALUE"""),"")</f>
        <v/>
      </c>
      <c r="N3592" t="str">
        <f>IFERROR(__xludf.DUMMYFUNCTION("""COMPUTED_VALUE"""),"")</f>
        <v/>
      </c>
      <c r="O3592" t="str">
        <f>IFERROR(__xludf.DUMMYFUNCTION("""COMPUTED_VALUE"""),"")</f>
        <v/>
      </c>
      <c r="P3592" t="str">
        <f>IFERROR(__xludf.DUMMYFUNCTION("""COMPUTED_VALUE"""),"ID ")</f>
        <v>ID </v>
      </c>
    </row>
    <row r="3593">
      <c r="A3593" s="6" t="str">
        <f>IFERROR(__xludf.DUMMYFUNCTION("""COMPUTED_VALUE"""),"")</f>
        <v/>
      </c>
      <c r="C3593" t="str">
        <f>IFERROR(__xludf.DUMMYFUNCTION("""COMPUTED_VALUE"""),"")</f>
        <v/>
      </c>
      <c r="D3593" t="str">
        <f>IFERROR(__xludf.DUMMYFUNCTION("""COMPUTED_VALUE"""),"")</f>
        <v/>
      </c>
      <c r="E3593" t="str">
        <f>IFERROR(__xludf.DUMMYFUNCTION("""COMPUTED_VALUE"""),"")</f>
        <v/>
      </c>
      <c r="F3593" t="str">
        <f>IFERROR(__xludf.DUMMYFUNCTION("""COMPUTED_VALUE"""),"")</f>
        <v/>
      </c>
      <c r="G3593" t="str">
        <f>IFERROR(__xludf.DUMMYFUNCTION("""COMPUTED_VALUE"""),"")</f>
        <v/>
      </c>
      <c r="H3593" s="2" t="str">
        <f>IFERROR(__xludf.DUMMYFUNCTION("""COMPUTED_VALUE"""),"")</f>
        <v/>
      </c>
      <c r="I3593" s="2" t="str">
        <f>IFERROR(__xludf.DUMMYFUNCTION("""COMPUTED_VALUE"""),"")</f>
        <v/>
      </c>
      <c r="J3593" s="2">
        <f>IFERROR(__xludf.DUMMYFUNCTION("""COMPUTED_VALUE"""),0.0)</f>
        <v>0</v>
      </c>
      <c r="K3593" s="5" t="str">
        <f>IFERROR(__xludf.DUMMYFUNCTION("""COMPUTED_VALUE"""),"")</f>
        <v/>
      </c>
      <c r="L3593" t="str">
        <f>IFERROR(__xludf.DUMMYFUNCTION("""COMPUTED_VALUE"""),"")</f>
        <v/>
      </c>
      <c r="M3593" t="str">
        <f>IFERROR(__xludf.DUMMYFUNCTION("""COMPUTED_VALUE"""),"")</f>
        <v/>
      </c>
      <c r="N3593" t="str">
        <f>IFERROR(__xludf.DUMMYFUNCTION("""COMPUTED_VALUE"""),"")</f>
        <v/>
      </c>
      <c r="O3593" t="str">
        <f>IFERROR(__xludf.DUMMYFUNCTION("""COMPUTED_VALUE"""),"")</f>
        <v/>
      </c>
      <c r="P3593" t="str">
        <f>IFERROR(__xludf.DUMMYFUNCTION("""COMPUTED_VALUE"""),"ID ")</f>
        <v>ID </v>
      </c>
    </row>
    <row r="3594">
      <c r="A3594" s="6" t="str">
        <f>IFERROR(__xludf.DUMMYFUNCTION("""COMPUTED_VALUE"""),"")</f>
        <v/>
      </c>
      <c r="C3594" t="str">
        <f>IFERROR(__xludf.DUMMYFUNCTION("""COMPUTED_VALUE"""),"")</f>
        <v/>
      </c>
      <c r="D3594" t="str">
        <f>IFERROR(__xludf.DUMMYFUNCTION("""COMPUTED_VALUE"""),"")</f>
        <v/>
      </c>
      <c r="E3594" t="str">
        <f>IFERROR(__xludf.DUMMYFUNCTION("""COMPUTED_VALUE"""),"")</f>
        <v/>
      </c>
      <c r="F3594" t="str">
        <f>IFERROR(__xludf.DUMMYFUNCTION("""COMPUTED_VALUE"""),"")</f>
        <v/>
      </c>
      <c r="G3594" t="str">
        <f>IFERROR(__xludf.DUMMYFUNCTION("""COMPUTED_VALUE"""),"")</f>
        <v/>
      </c>
      <c r="H3594" s="2" t="str">
        <f>IFERROR(__xludf.DUMMYFUNCTION("""COMPUTED_VALUE"""),"")</f>
        <v/>
      </c>
      <c r="I3594" s="2" t="str">
        <f>IFERROR(__xludf.DUMMYFUNCTION("""COMPUTED_VALUE"""),"")</f>
        <v/>
      </c>
      <c r="J3594" s="2">
        <f>IFERROR(__xludf.DUMMYFUNCTION("""COMPUTED_VALUE"""),0.0)</f>
        <v>0</v>
      </c>
      <c r="K3594" s="5" t="str">
        <f>IFERROR(__xludf.DUMMYFUNCTION("""COMPUTED_VALUE"""),"")</f>
        <v/>
      </c>
      <c r="L3594" t="str">
        <f>IFERROR(__xludf.DUMMYFUNCTION("""COMPUTED_VALUE"""),"")</f>
        <v/>
      </c>
      <c r="M3594" t="str">
        <f>IFERROR(__xludf.DUMMYFUNCTION("""COMPUTED_VALUE"""),"")</f>
        <v/>
      </c>
      <c r="N3594" t="str">
        <f>IFERROR(__xludf.DUMMYFUNCTION("""COMPUTED_VALUE"""),"")</f>
        <v/>
      </c>
      <c r="O3594" t="str">
        <f>IFERROR(__xludf.DUMMYFUNCTION("""COMPUTED_VALUE"""),"")</f>
        <v/>
      </c>
      <c r="P3594" t="str">
        <f>IFERROR(__xludf.DUMMYFUNCTION("""COMPUTED_VALUE"""),"ID ")</f>
        <v>ID </v>
      </c>
    </row>
    <row r="3595">
      <c r="A3595" s="6" t="str">
        <f>IFERROR(__xludf.DUMMYFUNCTION("""COMPUTED_VALUE"""),"")</f>
        <v/>
      </c>
      <c r="C3595" t="str">
        <f>IFERROR(__xludf.DUMMYFUNCTION("""COMPUTED_VALUE"""),"")</f>
        <v/>
      </c>
      <c r="D3595" t="str">
        <f>IFERROR(__xludf.DUMMYFUNCTION("""COMPUTED_VALUE"""),"")</f>
        <v/>
      </c>
      <c r="E3595" t="str">
        <f>IFERROR(__xludf.DUMMYFUNCTION("""COMPUTED_VALUE"""),"")</f>
        <v/>
      </c>
      <c r="F3595" t="str">
        <f>IFERROR(__xludf.DUMMYFUNCTION("""COMPUTED_VALUE"""),"")</f>
        <v/>
      </c>
      <c r="G3595" t="str">
        <f>IFERROR(__xludf.DUMMYFUNCTION("""COMPUTED_VALUE"""),"")</f>
        <v/>
      </c>
      <c r="H3595" s="2" t="str">
        <f>IFERROR(__xludf.DUMMYFUNCTION("""COMPUTED_VALUE"""),"")</f>
        <v/>
      </c>
      <c r="I3595" s="2" t="str">
        <f>IFERROR(__xludf.DUMMYFUNCTION("""COMPUTED_VALUE"""),"")</f>
        <v/>
      </c>
      <c r="J3595" s="2">
        <f>IFERROR(__xludf.DUMMYFUNCTION("""COMPUTED_VALUE"""),0.0)</f>
        <v>0</v>
      </c>
      <c r="K3595" s="5" t="str">
        <f>IFERROR(__xludf.DUMMYFUNCTION("""COMPUTED_VALUE"""),"")</f>
        <v/>
      </c>
      <c r="L3595" t="str">
        <f>IFERROR(__xludf.DUMMYFUNCTION("""COMPUTED_VALUE"""),"")</f>
        <v/>
      </c>
      <c r="M3595" t="str">
        <f>IFERROR(__xludf.DUMMYFUNCTION("""COMPUTED_VALUE"""),"")</f>
        <v/>
      </c>
      <c r="N3595" t="str">
        <f>IFERROR(__xludf.DUMMYFUNCTION("""COMPUTED_VALUE"""),"")</f>
        <v/>
      </c>
      <c r="O3595" t="str">
        <f>IFERROR(__xludf.DUMMYFUNCTION("""COMPUTED_VALUE"""),"")</f>
        <v/>
      </c>
      <c r="P3595" t="str">
        <f>IFERROR(__xludf.DUMMYFUNCTION("""COMPUTED_VALUE"""),"ID ")</f>
        <v>ID </v>
      </c>
    </row>
    <row r="3596">
      <c r="A3596" s="6" t="str">
        <f>IFERROR(__xludf.DUMMYFUNCTION("""COMPUTED_VALUE"""),"")</f>
        <v/>
      </c>
      <c r="C3596" t="str">
        <f>IFERROR(__xludf.DUMMYFUNCTION("""COMPUTED_VALUE"""),"")</f>
        <v/>
      </c>
      <c r="D3596" t="str">
        <f>IFERROR(__xludf.DUMMYFUNCTION("""COMPUTED_VALUE"""),"")</f>
        <v/>
      </c>
      <c r="E3596" t="str">
        <f>IFERROR(__xludf.DUMMYFUNCTION("""COMPUTED_VALUE"""),"")</f>
        <v/>
      </c>
      <c r="F3596" t="str">
        <f>IFERROR(__xludf.DUMMYFUNCTION("""COMPUTED_VALUE"""),"")</f>
        <v/>
      </c>
      <c r="G3596" t="str">
        <f>IFERROR(__xludf.DUMMYFUNCTION("""COMPUTED_VALUE"""),"")</f>
        <v/>
      </c>
      <c r="H3596" s="2" t="str">
        <f>IFERROR(__xludf.DUMMYFUNCTION("""COMPUTED_VALUE"""),"")</f>
        <v/>
      </c>
      <c r="I3596" s="2" t="str">
        <f>IFERROR(__xludf.DUMMYFUNCTION("""COMPUTED_VALUE"""),"")</f>
        <v/>
      </c>
      <c r="J3596" s="2">
        <f>IFERROR(__xludf.DUMMYFUNCTION("""COMPUTED_VALUE"""),0.0)</f>
        <v>0</v>
      </c>
      <c r="K3596" s="5" t="str">
        <f>IFERROR(__xludf.DUMMYFUNCTION("""COMPUTED_VALUE"""),"")</f>
        <v/>
      </c>
      <c r="L3596" t="str">
        <f>IFERROR(__xludf.DUMMYFUNCTION("""COMPUTED_VALUE"""),"")</f>
        <v/>
      </c>
      <c r="M3596" t="str">
        <f>IFERROR(__xludf.DUMMYFUNCTION("""COMPUTED_VALUE"""),"")</f>
        <v/>
      </c>
      <c r="N3596" t="str">
        <f>IFERROR(__xludf.DUMMYFUNCTION("""COMPUTED_VALUE"""),"")</f>
        <v/>
      </c>
      <c r="O3596" t="str">
        <f>IFERROR(__xludf.DUMMYFUNCTION("""COMPUTED_VALUE"""),"")</f>
        <v/>
      </c>
      <c r="P3596" t="str">
        <f>IFERROR(__xludf.DUMMYFUNCTION("""COMPUTED_VALUE"""),"ID ")</f>
        <v>ID </v>
      </c>
    </row>
    <row r="3597">
      <c r="A3597" s="6" t="str">
        <f>IFERROR(__xludf.DUMMYFUNCTION("""COMPUTED_VALUE"""),"")</f>
        <v/>
      </c>
      <c r="C3597" t="str">
        <f>IFERROR(__xludf.DUMMYFUNCTION("""COMPUTED_VALUE"""),"")</f>
        <v/>
      </c>
      <c r="D3597" t="str">
        <f>IFERROR(__xludf.DUMMYFUNCTION("""COMPUTED_VALUE"""),"")</f>
        <v/>
      </c>
      <c r="E3597" t="str">
        <f>IFERROR(__xludf.DUMMYFUNCTION("""COMPUTED_VALUE"""),"")</f>
        <v/>
      </c>
      <c r="F3597" t="str">
        <f>IFERROR(__xludf.DUMMYFUNCTION("""COMPUTED_VALUE"""),"")</f>
        <v/>
      </c>
      <c r="G3597" t="str">
        <f>IFERROR(__xludf.DUMMYFUNCTION("""COMPUTED_VALUE"""),"")</f>
        <v/>
      </c>
      <c r="H3597" s="2" t="str">
        <f>IFERROR(__xludf.DUMMYFUNCTION("""COMPUTED_VALUE"""),"")</f>
        <v/>
      </c>
      <c r="I3597" s="2" t="str">
        <f>IFERROR(__xludf.DUMMYFUNCTION("""COMPUTED_VALUE"""),"")</f>
        <v/>
      </c>
      <c r="J3597" s="2">
        <f>IFERROR(__xludf.DUMMYFUNCTION("""COMPUTED_VALUE"""),0.0)</f>
        <v>0</v>
      </c>
      <c r="K3597" s="5" t="str">
        <f>IFERROR(__xludf.DUMMYFUNCTION("""COMPUTED_VALUE"""),"")</f>
        <v/>
      </c>
      <c r="L3597" t="str">
        <f>IFERROR(__xludf.DUMMYFUNCTION("""COMPUTED_VALUE"""),"")</f>
        <v/>
      </c>
      <c r="M3597" t="str">
        <f>IFERROR(__xludf.DUMMYFUNCTION("""COMPUTED_VALUE"""),"")</f>
        <v/>
      </c>
      <c r="N3597" t="str">
        <f>IFERROR(__xludf.DUMMYFUNCTION("""COMPUTED_VALUE"""),"")</f>
        <v/>
      </c>
      <c r="O3597" t="str">
        <f>IFERROR(__xludf.DUMMYFUNCTION("""COMPUTED_VALUE"""),"")</f>
        <v/>
      </c>
      <c r="P3597" t="str">
        <f>IFERROR(__xludf.DUMMYFUNCTION("""COMPUTED_VALUE"""),"ID ")</f>
        <v>ID </v>
      </c>
    </row>
    <row r="3598">
      <c r="A3598" s="6" t="str">
        <f>IFERROR(__xludf.DUMMYFUNCTION("""COMPUTED_VALUE"""),"")</f>
        <v/>
      </c>
      <c r="C3598" t="str">
        <f>IFERROR(__xludf.DUMMYFUNCTION("""COMPUTED_VALUE"""),"")</f>
        <v/>
      </c>
      <c r="D3598" t="str">
        <f>IFERROR(__xludf.DUMMYFUNCTION("""COMPUTED_VALUE"""),"")</f>
        <v/>
      </c>
      <c r="E3598" t="str">
        <f>IFERROR(__xludf.DUMMYFUNCTION("""COMPUTED_VALUE"""),"")</f>
        <v/>
      </c>
      <c r="F3598" t="str">
        <f>IFERROR(__xludf.DUMMYFUNCTION("""COMPUTED_VALUE"""),"")</f>
        <v/>
      </c>
      <c r="G3598" t="str">
        <f>IFERROR(__xludf.DUMMYFUNCTION("""COMPUTED_VALUE"""),"")</f>
        <v/>
      </c>
      <c r="H3598" s="2" t="str">
        <f>IFERROR(__xludf.DUMMYFUNCTION("""COMPUTED_VALUE"""),"")</f>
        <v/>
      </c>
      <c r="I3598" s="2" t="str">
        <f>IFERROR(__xludf.DUMMYFUNCTION("""COMPUTED_VALUE"""),"")</f>
        <v/>
      </c>
      <c r="J3598" s="2">
        <f>IFERROR(__xludf.DUMMYFUNCTION("""COMPUTED_VALUE"""),0.0)</f>
        <v>0</v>
      </c>
      <c r="K3598" s="5" t="str">
        <f>IFERROR(__xludf.DUMMYFUNCTION("""COMPUTED_VALUE"""),"")</f>
        <v/>
      </c>
      <c r="L3598" t="str">
        <f>IFERROR(__xludf.DUMMYFUNCTION("""COMPUTED_VALUE"""),"")</f>
        <v/>
      </c>
      <c r="M3598" t="str">
        <f>IFERROR(__xludf.DUMMYFUNCTION("""COMPUTED_VALUE"""),"")</f>
        <v/>
      </c>
      <c r="N3598" t="str">
        <f>IFERROR(__xludf.DUMMYFUNCTION("""COMPUTED_VALUE"""),"")</f>
        <v/>
      </c>
      <c r="O3598" t="str">
        <f>IFERROR(__xludf.DUMMYFUNCTION("""COMPUTED_VALUE"""),"")</f>
        <v/>
      </c>
      <c r="P3598" t="str">
        <f>IFERROR(__xludf.DUMMYFUNCTION("""COMPUTED_VALUE"""),"ID ")</f>
        <v>ID </v>
      </c>
    </row>
    <row r="3599">
      <c r="A3599" s="6" t="str">
        <f>IFERROR(__xludf.DUMMYFUNCTION("""COMPUTED_VALUE"""),"")</f>
        <v/>
      </c>
      <c r="C3599" t="str">
        <f>IFERROR(__xludf.DUMMYFUNCTION("""COMPUTED_VALUE"""),"")</f>
        <v/>
      </c>
      <c r="D3599" t="str">
        <f>IFERROR(__xludf.DUMMYFUNCTION("""COMPUTED_VALUE"""),"")</f>
        <v/>
      </c>
      <c r="E3599" t="str">
        <f>IFERROR(__xludf.DUMMYFUNCTION("""COMPUTED_VALUE"""),"")</f>
        <v/>
      </c>
      <c r="F3599" t="str">
        <f>IFERROR(__xludf.DUMMYFUNCTION("""COMPUTED_VALUE"""),"")</f>
        <v/>
      </c>
      <c r="G3599" t="str">
        <f>IFERROR(__xludf.DUMMYFUNCTION("""COMPUTED_VALUE"""),"")</f>
        <v/>
      </c>
      <c r="H3599" s="2" t="str">
        <f>IFERROR(__xludf.DUMMYFUNCTION("""COMPUTED_VALUE"""),"")</f>
        <v/>
      </c>
      <c r="I3599" s="2" t="str">
        <f>IFERROR(__xludf.DUMMYFUNCTION("""COMPUTED_VALUE"""),"")</f>
        <v/>
      </c>
      <c r="J3599" s="2">
        <f>IFERROR(__xludf.DUMMYFUNCTION("""COMPUTED_VALUE"""),0.0)</f>
        <v>0</v>
      </c>
      <c r="K3599" s="5" t="str">
        <f>IFERROR(__xludf.DUMMYFUNCTION("""COMPUTED_VALUE"""),"")</f>
        <v/>
      </c>
      <c r="L3599" t="str">
        <f>IFERROR(__xludf.DUMMYFUNCTION("""COMPUTED_VALUE"""),"")</f>
        <v/>
      </c>
      <c r="M3599" t="str">
        <f>IFERROR(__xludf.DUMMYFUNCTION("""COMPUTED_VALUE"""),"")</f>
        <v/>
      </c>
      <c r="N3599" t="str">
        <f>IFERROR(__xludf.DUMMYFUNCTION("""COMPUTED_VALUE"""),"")</f>
        <v/>
      </c>
      <c r="O3599" t="str">
        <f>IFERROR(__xludf.DUMMYFUNCTION("""COMPUTED_VALUE"""),"")</f>
        <v/>
      </c>
      <c r="P3599" t="str">
        <f>IFERROR(__xludf.DUMMYFUNCTION("""COMPUTED_VALUE"""),"ID ")</f>
        <v>ID </v>
      </c>
    </row>
    <row r="3600">
      <c r="A3600" s="6" t="str">
        <f>IFERROR(__xludf.DUMMYFUNCTION("""COMPUTED_VALUE"""),"")</f>
        <v/>
      </c>
      <c r="C3600" t="str">
        <f>IFERROR(__xludf.DUMMYFUNCTION("""COMPUTED_VALUE"""),"")</f>
        <v/>
      </c>
      <c r="D3600" t="str">
        <f>IFERROR(__xludf.DUMMYFUNCTION("""COMPUTED_VALUE"""),"")</f>
        <v/>
      </c>
      <c r="E3600" t="str">
        <f>IFERROR(__xludf.DUMMYFUNCTION("""COMPUTED_VALUE"""),"")</f>
        <v/>
      </c>
      <c r="F3600" t="str">
        <f>IFERROR(__xludf.DUMMYFUNCTION("""COMPUTED_VALUE"""),"")</f>
        <v/>
      </c>
      <c r="G3600" t="str">
        <f>IFERROR(__xludf.DUMMYFUNCTION("""COMPUTED_VALUE"""),"")</f>
        <v/>
      </c>
      <c r="H3600" s="2" t="str">
        <f>IFERROR(__xludf.DUMMYFUNCTION("""COMPUTED_VALUE"""),"")</f>
        <v/>
      </c>
      <c r="I3600" s="2" t="str">
        <f>IFERROR(__xludf.DUMMYFUNCTION("""COMPUTED_VALUE"""),"")</f>
        <v/>
      </c>
      <c r="J3600" s="2">
        <f>IFERROR(__xludf.DUMMYFUNCTION("""COMPUTED_VALUE"""),0.0)</f>
        <v>0</v>
      </c>
      <c r="K3600" s="5" t="str">
        <f>IFERROR(__xludf.DUMMYFUNCTION("""COMPUTED_VALUE"""),"")</f>
        <v/>
      </c>
      <c r="L3600" t="str">
        <f>IFERROR(__xludf.DUMMYFUNCTION("""COMPUTED_VALUE"""),"")</f>
        <v/>
      </c>
      <c r="M3600" t="str">
        <f>IFERROR(__xludf.DUMMYFUNCTION("""COMPUTED_VALUE"""),"")</f>
        <v/>
      </c>
      <c r="N3600" t="str">
        <f>IFERROR(__xludf.DUMMYFUNCTION("""COMPUTED_VALUE"""),"")</f>
        <v/>
      </c>
      <c r="O3600" t="str">
        <f>IFERROR(__xludf.DUMMYFUNCTION("""COMPUTED_VALUE"""),"")</f>
        <v/>
      </c>
      <c r="P3600" t="str">
        <f>IFERROR(__xludf.DUMMYFUNCTION("""COMPUTED_VALUE"""),"ID ")</f>
        <v>ID </v>
      </c>
    </row>
    <row r="3601">
      <c r="A3601" s="6" t="str">
        <f>IFERROR(__xludf.DUMMYFUNCTION("""COMPUTED_VALUE"""),"")</f>
        <v/>
      </c>
      <c r="C3601" t="str">
        <f>IFERROR(__xludf.DUMMYFUNCTION("""COMPUTED_VALUE"""),"")</f>
        <v/>
      </c>
      <c r="D3601" t="str">
        <f>IFERROR(__xludf.DUMMYFUNCTION("""COMPUTED_VALUE"""),"")</f>
        <v/>
      </c>
      <c r="E3601" t="str">
        <f>IFERROR(__xludf.DUMMYFUNCTION("""COMPUTED_VALUE"""),"")</f>
        <v/>
      </c>
      <c r="F3601" t="str">
        <f>IFERROR(__xludf.DUMMYFUNCTION("""COMPUTED_VALUE"""),"")</f>
        <v/>
      </c>
      <c r="G3601" t="str">
        <f>IFERROR(__xludf.DUMMYFUNCTION("""COMPUTED_VALUE"""),"")</f>
        <v/>
      </c>
      <c r="H3601" s="2" t="str">
        <f>IFERROR(__xludf.DUMMYFUNCTION("""COMPUTED_VALUE"""),"")</f>
        <v/>
      </c>
      <c r="I3601" s="2" t="str">
        <f>IFERROR(__xludf.DUMMYFUNCTION("""COMPUTED_VALUE"""),"")</f>
        <v/>
      </c>
      <c r="J3601" s="2">
        <f>IFERROR(__xludf.DUMMYFUNCTION("""COMPUTED_VALUE"""),0.0)</f>
        <v>0</v>
      </c>
      <c r="K3601" s="5" t="str">
        <f>IFERROR(__xludf.DUMMYFUNCTION("""COMPUTED_VALUE"""),"")</f>
        <v/>
      </c>
      <c r="L3601" t="str">
        <f>IFERROR(__xludf.DUMMYFUNCTION("""COMPUTED_VALUE"""),"")</f>
        <v/>
      </c>
      <c r="M3601" t="str">
        <f>IFERROR(__xludf.DUMMYFUNCTION("""COMPUTED_VALUE"""),"")</f>
        <v/>
      </c>
      <c r="N3601" t="str">
        <f>IFERROR(__xludf.DUMMYFUNCTION("""COMPUTED_VALUE"""),"")</f>
        <v/>
      </c>
      <c r="O3601" t="str">
        <f>IFERROR(__xludf.DUMMYFUNCTION("""COMPUTED_VALUE"""),"")</f>
        <v/>
      </c>
      <c r="P3601" t="str">
        <f>IFERROR(__xludf.DUMMYFUNCTION("""COMPUTED_VALUE"""),"ID ")</f>
        <v>ID </v>
      </c>
    </row>
    <row r="3602">
      <c r="A3602" s="6" t="str">
        <f>IFERROR(__xludf.DUMMYFUNCTION("""COMPUTED_VALUE"""),"")</f>
        <v/>
      </c>
      <c r="C3602" t="str">
        <f>IFERROR(__xludf.DUMMYFUNCTION("""COMPUTED_VALUE"""),"")</f>
        <v/>
      </c>
      <c r="D3602" t="str">
        <f>IFERROR(__xludf.DUMMYFUNCTION("""COMPUTED_VALUE"""),"")</f>
        <v/>
      </c>
      <c r="E3602" t="str">
        <f>IFERROR(__xludf.DUMMYFUNCTION("""COMPUTED_VALUE"""),"")</f>
        <v/>
      </c>
      <c r="F3602" t="str">
        <f>IFERROR(__xludf.DUMMYFUNCTION("""COMPUTED_VALUE"""),"")</f>
        <v/>
      </c>
      <c r="G3602" t="str">
        <f>IFERROR(__xludf.DUMMYFUNCTION("""COMPUTED_VALUE"""),"")</f>
        <v/>
      </c>
      <c r="H3602" s="2" t="str">
        <f>IFERROR(__xludf.DUMMYFUNCTION("""COMPUTED_VALUE"""),"")</f>
        <v/>
      </c>
      <c r="I3602" s="2" t="str">
        <f>IFERROR(__xludf.DUMMYFUNCTION("""COMPUTED_VALUE"""),"")</f>
        <v/>
      </c>
      <c r="J3602" s="2">
        <f>IFERROR(__xludf.DUMMYFUNCTION("""COMPUTED_VALUE"""),0.0)</f>
        <v>0</v>
      </c>
      <c r="K3602" s="5" t="str">
        <f>IFERROR(__xludf.DUMMYFUNCTION("""COMPUTED_VALUE"""),"")</f>
        <v/>
      </c>
      <c r="L3602" t="str">
        <f>IFERROR(__xludf.DUMMYFUNCTION("""COMPUTED_VALUE"""),"")</f>
        <v/>
      </c>
      <c r="M3602" t="str">
        <f>IFERROR(__xludf.DUMMYFUNCTION("""COMPUTED_VALUE"""),"")</f>
        <v/>
      </c>
      <c r="N3602" t="str">
        <f>IFERROR(__xludf.DUMMYFUNCTION("""COMPUTED_VALUE"""),"")</f>
        <v/>
      </c>
      <c r="O3602" t="str">
        <f>IFERROR(__xludf.DUMMYFUNCTION("""COMPUTED_VALUE"""),"")</f>
        <v/>
      </c>
      <c r="P3602" t="str">
        <f>IFERROR(__xludf.DUMMYFUNCTION("""COMPUTED_VALUE"""),"ID ")</f>
        <v>ID </v>
      </c>
    </row>
    <row r="3603">
      <c r="A3603" s="6" t="str">
        <f>IFERROR(__xludf.DUMMYFUNCTION("""COMPUTED_VALUE"""),"")</f>
        <v/>
      </c>
      <c r="C3603" t="str">
        <f>IFERROR(__xludf.DUMMYFUNCTION("""COMPUTED_VALUE"""),"")</f>
        <v/>
      </c>
      <c r="D3603" t="str">
        <f>IFERROR(__xludf.DUMMYFUNCTION("""COMPUTED_VALUE"""),"")</f>
        <v/>
      </c>
      <c r="E3603" t="str">
        <f>IFERROR(__xludf.DUMMYFUNCTION("""COMPUTED_VALUE"""),"")</f>
        <v/>
      </c>
      <c r="F3603" t="str">
        <f>IFERROR(__xludf.DUMMYFUNCTION("""COMPUTED_VALUE"""),"")</f>
        <v/>
      </c>
      <c r="G3603" t="str">
        <f>IFERROR(__xludf.DUMMYFUNCTION("""COMPUTED_VALUE"""),"")</f>
        <v/>
      </c>
      <c r="H3603" s="2" t="str">
        <f>IFERROR(__xludf.DUMMYFUNCTION("""COMPUTED_VALUE"""),"")</f>
        <v/>
      </c>
      <c r="I3603" s="2" t="str">
        <f>IFERROR(__xludf.DUMMYFUNCTION("""COMPUTED_VALUE"""),"")</f>
        <v/>
      </c>
      <c r="J3603" s="2">
        <f>IFERROR(__xludf.DUMMYFUNCTION("""COMPUTED_VALUE"""),0.0)</f>
        <v>0</v>
      </c>
      <c r="K3603" s="5" t="str">
        <f>IFERROR(__xludf.DUMMYFUNCTION("""COMPUTED_VALUE"""),"")</f>
        <v/>
      </c>
      <c r="L3603" t="str">
        <f>IFERROR(__xludf.DUMMYFUNCTION("""COMPUTED_VALUE"""),"")</f>
        <v/>
      </c>
      <c r="M3603" t="str">
        <f>IFERROR(__xludf.DUMMYFUNCTION("""COMPUTED_VALUE"""),"")</f>
        <v/>
      </c>
      <c r="N3603" t="str">
        <f>IFERROR(__xludf.DUMMYFUNCTION("""COMPUTED_VALUE"""),"")</f>
        <v/>
      </c>
      <c r="O3603" t="str">
        <f>IFERROR(__xludf.DUMMYFUNCTION("""COMPUTED_VALUE"""),"")</f>
        <v/>
      </c>
      <c r="P3603" t="str">
        <f>IFERROR(__xludf.DUMMYFUNCTION("""COMPUTED_VALUE"""),"ID ")</f>
        <v>ID </v>
      </c>
    </row>
    <row r="3604">
      <c r="A3604" s="6" t="str">
        <f>IFERROR(__xludf.DUMMYFUNCTION("""COMPUTED_VALUE"""),"")</f>
        <v/>
      </c>
      <c r="C3604" t="str">
        <f>IFERROR(__xludf.DUMMYFUNCTION("""COMPUTED_VALUE"""),"")</f>
        <v/>
      </c>
      <c r="D3604" t="str">
        <f>IFERROR(__xludf.DUMMYFUNCTION("""COMPUTED_VALUE"""),"")</f>
        <v/>
      </c>
      <c r="E3604" t="str">
        <f>IFERROR(__xludf.DUMMYFUNCTION("""COMPUTED_VALUE"""),"")</f>
        <v/>
      </c>
      <c r="F3604" t="str">
        <f>IFERROR(__xludf.DUMMYFUNCTION("""COMPUTED_VALUE"""),"")</f>
        <v/>
      </c>
      <c r="G3604" t="str">
        <f>IFERROR(__xludf.DUMMYFUNCTION("""COMPUTED_VALUE"""),"")</f>
        <v/>
      </c>
      <c r="H3604" s="2" t="str">
        <f>IFERROR(__xludf.DUMMYFUNCTION("""COMPUTED_VALUE"""),"")</f>
        <v/>
      </c>
      <c r="I3604" s="2" t="str">
        <f>IFERROR(__xludf.DUMMYFUNCTION("""COMPUTED_VALUE"""),"")</f>
        <v/>
      </c>
      <c r="J3604" s="2">
        <f>IFERROR(__xludf.DUMMYFUNCTION("""COMPUTED_VALUE"""),0.0)</f>
        <v>0</v>
      </c>
      <c r="K3604" s="5" t="str">
        <f>IFERROR(__xludf.DUMMYFUNCTION("""COMPUTED_VALUE"""),"")</f>
        <v/>
      </c>
      <c r="L3604" t="str">
        <f>IFERROR(__xludf.DUMMYFUNCTION("""COMPUTED_VALUE"""),"")</f>
        <v/>
      </c>
      <c r="M3604" t="str">
        <f>IFERROR(__xludf.DUMMYFUNCTION("""COMPUTED_VALUE"""),"")</f>
        <v/>
      </c>
      <c r="N3604" t="str">
        <f>IFERROR(__xludf.DUMMYFUNCTION("""COMPUTED_VALUE"""),"")</f>
        <v/>
      </c>
      <c r="O3604" t="str">
        <f>IFERROR(__xludf.DUMMYFUNCTION("""COMPUTED_VALUE"""),"")</f>
        <v/>
      </c>
      <c r="P3604" t="str">
        <f>IFERROR(__xludf.DUMMYFUNCTION("""COMPUTED_VALUE"""),"ID ")</f>
        <v>ID </v>
      </c>
    </row>
    <row r="3605">
      <c r="A3605" s="6" t="str">
        <f>IFERROR(__xludf.DUMMYFUNCTION("""COMPUTED_VALUE"""),"")</f>
        <v/>
      </c>
      <c r="C3605" t="str">
        <f>IFERROR(__xludf.DUMMYFUNCTION("""COMPUTED_VALUE"""),"")</f>
        <v/>
      </c>
      <c r="D3605" t="str">
        <f>IFERROR(__xludf.DUMMYFUNCTION("""COMPUTED_VALUE"""),"")</f>
        <v/>
      </c>
      <c r="E3605" t="str">
        <f>IFERROR(__xludf.DUMMYFUNCTION("""COMPUTED_VALUE"""),"")</f>
        <v/>
      </c>
      <c r="F3605" t="str">
        <f>IFERROR(__xludf.DUMMYFUNCTION("""COMPUTED_VALUE"""),"")</f>
        <v/>
      </c>
      <c r="G3605" t="str">
        <f>IFERROR(__xludf.DUMMYFUNCTION("""COMPUTED_VALUE"""),"")</f>
        <v/>
      </c>
      <c r="H3605" s="2" t="str">
        <f>IFERROR(__xludf.DUMMYFUNCTION("""COMPUTED_VALUE"""),"")</f>
        <v/>
      </c>
      <c r="I3605" s="2" t="str">
        <f>IFERROR(__xludf.DUMMYFUNCTION("""COMPUTED_VALUE"""),"")</f>
        <v/>
      </c>
      <c r="J3605" s="2">
        <f>IFERROR(__xludf.DUMMYFUNCTION("""COMPUTED_VALUE"""),0.0)</f>
        <v>0</v>
      </c>
      <c r="K3605" s="5" t="str">
        <f>IFERROR(__xludf.DUMMYFUNCTION("""COMPUTED_VALUE"""),"")</f>
        <v/>
      </c>
      <c r="L3605" t="str">
        <f>IFERROR(__xludf.DUMMYFUNCTION("""COMPUTED_VALUE"""),"")</f>
        <v/>
      </c>
      <c r="M3605" t="str">
        <f>IFERROR(__xludf.DUMMYFUNCTION("""COMPUTED_VALUE"""),"")</f>
        <v/>
      </c>
      <c r="N3605" t="str">
        <f>IFERROR(__xludf.DUMMYFUNCTION("""COMPUTED_VALUE"""),"")</f>
        <v/>
      </c>
      <c r="O3605" t="str">
        <f>IFERROR(__xludf.DUMMYFUNCTION("""COMPUTED_VALUE"""),"")</f>
        <v/>
      </c>
      <c r="P3605" t="str">
        <f>IFERROR(__xludf.DUMMYFUNCTION("""COMPUTED_VALUE"""),"ID ")</f>
        <v>ID </v>
      </c>
    </row>
    <row r="3606">
      <c r="A3606" s="6" t="str">
        <f>IFERROR(__xludf.DUMMYFUNCTION("""COMPUTED_VALUE"""),"")</f>
        <v/>
      </c>
      <c r="C3606" t="str">
        <f>IFERROR(__xludf.DUMMYFUNCTION("""COMPUTED_VALUE"""),"")</f>
        <v/>
      </c>
      <c r="D3606" t="str">
        <f>IFERROR(__xludf.DUMMYFUNCTION("""COMPUTED_VALUE"""),"")</f>
        <v/>
      </c>
      <c r="E3606" t="str">
        <f>IFERROR(__xludf.DUMMYFUNCTION("""COMPUTED_VALUE"""),"")</f>
        <v/>
      </c>
      <c r="F3606" t="str">
        <f>IFERROR(__xludf.DUMMYFUNCTION("""COMPUTED_VALUE"""),"")</f>
        <v/>
      </c>
      <c r="G3606" t="str">
        <f>IFERROR(__xludf.DUMMYFUNCTION("""COMPUTED_VALUE"""),"")</f>
        <v/>
      </c>
      <c r="H3606" s="2" t="str">
        <f>IFERROR(__xludf.DUMMYFUNCTION("""COMPUTED_VALUE"""),"")</f>
        <v/>
      </c>
      <c r="I3606" s="2" t="str">
        <f>IFERROR(__xludf.DUMMYFUNCTION("""COMPUTED_VALUE"""),"")</f>
        <v/>
      </c>
      <c r="J3606" s="2">
        <f>IFERROR(__xludf.DUMMYFUNCTION("""COMPUTED_VALUE"""),0.0)</f>
        <v>0</v>
      </c>
      <c r="K3606" s="5" t="str">
        <f>IFERROR(__xludf.DUMMYFUNCTION("""COMPUTED_VALUE"""),"")</f>
        <v/>
      </c>
      <c r="L3606" t="str">
        <f>IFERROR(__xludf.DUMMYFUNCTION("""COMPUTED_VALUE"""),"")</f>
        <v/>
      </c>
      <c r="M3606" t="str">
        <f>IFERROR(__xludf.DUMMYFUNCTION("""COMPUTED_VALUE"""),"")</f>
        <v/>
      </c>
      <c r="N3606" t="str">
        <f>IFERROR(__xludf.DUMMYFUNCTION("""COMPUTED_VALUE"""),"")</f>
        <v/>
      </c>
      <c r="O3606" t="str">
        <f>IFERROR(__xludf.DUMMYFUNCTION("""COMPUTED_VALUE"""),"")</f>
        <v/>
      </c>
      <c r="P3606" t="str">
        <f>IFERROR(__xludf.DUMMYFUNCTION("""COMPUTED_VALUE"""),"ID ")</f>
        <v>ID </v>
      </c>
    </row>
    <row r="3607">
      <c r="A3607" s="6" t="str">
        <f>IFERROR(__xludf.DUMMYFUNCTION("""COMPUTED_VALUE"""),"")</f>
        <v/>
      </c>
      <c r="C3607" t="str">
        <f>IFERROR(__xludf.DUMMYFUNCTION("""COMPUTED_VALUE"""),"")</f>
        <v/>
      </c>
      <c r="D3607" t="str">
        <f>IFERROR(__xludf.DUMMYFUNCTION("""COMPUTED_VALUE"""),"")</f>
        <v/>
      </c>
      <c r="E3607" t="str">
        <f>IFERROR(__xludf.DUMMYFUNCTION("""COMPUTED_VALUE"""),"")</f>
        <v/>
      </c>
      <c r="F3607" t="str">
        <f>IFERROR(__xludf.DUMMYFUNCTION("""COMPUTED_VALUE"""),"")</f>
        <v/>
      </c>
      <c r="G3607" t="str">
        <f>IFERROR(__xludf.DUMMYFUNCTION("""COMPUTED_VALUE"""),"")</f>
        <v/>
      </c>
      <c r="H3607" s="2" t="str">
        <f>IFERROR(__xludf.DUMMYFUNCTION("""COMPUTED_VALUE"""),"")</f>
        <v/>
      </c>
      <c r="I3607" s="2" t="str">
        <f>IFERROR(__xludf.DUMMYFUNCTION("""COMPUTED_VALUE"""),"")</f>
        <v/>
      </c>
      <c r="J3607" s="2">
        <f>IFERROR(__xludf.DUMMYFUNCTION("""COMPUTED_VALUE"""),0.0)</f>
        <v>0</v>
      </c>
      <c r="K3607" s="5" t="str">
        <f>IFERROR(__xludf.DUMMYFUNCTION("""COMPUTED_VALUE"""),"")</f>
        <v/>
      </c>
      <c r="L3607" t="str">
        <f>IFERROR(__xludf.DUMMYFUNCTION("""COMPUTED_VALUE"""),"")</f>
        <v/>
      </c>
      <c r="M3607" t="str">
        <f>IFERROR(__xludf.DUMMYFUNCTION("""COMPUTED_VALUE"""),"")</f>
        <v/>
      </c>
      <c r="N3607" t="str">
        <f>IFERROR(__xludf.DUMMYFUNCTION("""COMPUTED_VALUE"""),"")</f>
        <v/>
      </c>
      <c r="O3607" t="str">
        <f>IFERROR(__xludf.DUMMYFUNCTION("""COMPUTED_VALUE"""),"")</f>
        <v/>
      </c>
      <c r="P3607" t="str">
        <f>IFERROR(__xludf.DUMMYFUNCTION("""COMPUTED_VALUE"""),"ID ")</f>
        <v>ID </v>
      </c>
    </row>
    <row r="3608">
      <c r="A3608" s="6" t="str">
        <f>IFERROR(__xludf.DUMMYFUNCTION("""COMPUTED_VALUE"""),"")</f>
        <v/>
      </c>
      <c r="C3608" t="str">
        <f>IFERROR(__xludf.DUMMYFUNCTION("""COMPUTED_VALUE"""),"")</f>
        <v/>
      </c>
      <c r="D3608" t="str">
        <f>IFERROR(__xludf.DUMMYFUNCTION("""COMPUTED_VALUE"""),"")</f>
        <v/>
      </c>
      <c r="E3608" t="str">
        <f>IFERROR(__xludf.DUMMYFUNCTION("""COMPUTED_VALUE"""),"")</f>
        <v/>
      </c>
      <c r="F3608" t="str">
        <f>IFERROR(__xludf.DUMMYFUNCTION("""COMPUTED_VALUE"""),"")</f>
        <v/>
      </c>
      <c r="G3608" t="str">
        <f>IFERROR(__xludf.DUMMYFUNCTION("""COMPUTED_VALUE"""),"")</f>
        <v/>
      </c>
      <c r="H3608" s="2" t="str">
        <f>IFERROR(__xludf.DUMMYFUNCTION("""COMPUTED_VALUE"""),"")</f>
        <v/>
      </c>
      <c r="I3608" s="2" t="str">
        <f>IFERROR(__xludf.DUMMYFUNCTION("""COMPUTED_VALUE"""),"")</f>
        <v/>
      </c>
      <c r="J3608" s="2">
        <f>IFERROR(__xludf.DUMMYFUNCTION("""COMPUTED_VALUE"""),0.0)</f>
        <v>0</v>
      </c>
      <c r="K3608" s="5" t="str">
        <f>IFERROR(__xludf.DUMMYFUNCTION("""COMPUTED_VALUE"""),"")</f>
        <v/>
      </c>
      <c r="L3608" t="str">
        <f>IFERROR(__xludf.DUMMYFUNCTION("""COMPUTED_VALUE"""),"")</f>
        <v/>
      </c>
      <c r="M3608" t="str">
        <f>IFERROR(__xludf.DUMMYFUNCTION("""COMPUTED_VALUE"""),"")</f>
        <v/>
      </c>
      <c r="N3608" t="str">
        <f>IFERROR(__xludf.DUMMYFUNCTION("""COMPUTED_VALUE"""),"")</f>
        <v/>
      </c>
      <c r="O3608" t="str">
        <f>IFERROR(__xludf.DUMMYFUNCTION("""COMPUTED_VALUE"""),"")</f>
        <v/>
      </c>
      <c r="P3608" t="str">
        <f>IFERROR(__xludf.DUMMYFUNCTION("""COMPUTED_VALUE"""),"ID ")</f>
        <v>ID </v>
      </c>
    </row>
    <row r="3609">
      <c r="A3609" s="6" t="str">
        <f>IFERROR(__xludf.DUMMYFUNCTION("""COMPUTED_VALUE"""),"")</f>
        <v/>
      </c>
      <c r="C3609" t="str">
        <f>IFERROR(__xludf.DUMMYFUNCTION("""COMPUTED_VALUE"""),"")</f>
        <v/>
      </c>
      <c r="D3609" t="str">
        <f>IFERROR(__xludf.DUMMYFUNCTION("""COMPUTED_VALUE"""),"")</f>
        <v/>
      </c>
      <c r="E3609" t="str">
        <f>IFERROR(__xludf.DUMMYFUNCTION("""COMPUTED_VALUE"""),"")</f>
        <v/>
      </c>
      <c r="F3609" t="str">
        <f>IFERROR(__xludf.DUMMYFUNCTION("""COMPUTED_VALUE"""),"")</f>
        <v/>
      </c>
      <c r="G3609" t="str">
        <f>IFERROR(__xludf.DUMMYFUNCTION("""COMPUTED_VALUE"""),"")</f>
        <v/>
      </c>
      <c r="H3609" s="2" t="str">
        <f>IFERROR(__xludf.DUMMYFUNCTION("""COMPUTED_VALUE"""),"")</f>
        <v/>
      </c>
      <c r="I3609" s="2" t="str">
        <f>IFERROR(__xludf.DUMMYFUNCTION("""COMPUTED_VALUE"""),"")</f>
        <v/>
      </c>
      <c r="J3609" s="2">
        <f>IFERROR(__xludf.DUMMYFUNCTION("""COMPUTED_VALUE"""),0.0)</f>
        <v>0</v>
      </c>
      <c r="K3609" s="5" t="str">
        <f>IFERROR(__xludf.DUMMYFUNCTION("""COMPUTED_VALUE"""),"")</f>
        <v/>
      </c>
      <c r="L3609" t="str">
        <f>IFERROR(__xludf.DUMMYFUNCTION("""COMPUTED_VALUE"""),"")</f>
        <v/>
      </c>
      <c r="M3609" t="str">
        <f>IFERROR(__xludf.DUMMYFUNCTION("""COMPUTED_VALUE"""),"")</f>
        <v/>
      </c>
      <c r="N3609" t="str">
        <f>IFERROR(__xludf.DUMMYFUNCTION("""COMPUTED_VALUE"""),"")</f>
        <v/>
      </c>
      <c r="O3609" t="str">
        <f>IFERROR(__xludf.DUMMYFUNCTION("""COMPUTED_VALUE"""),"")</f>
        <v/>
      </c>
      <c r="P3609" t="str">
        <f>IFERROR(__xludf.DUMMYFUNCTION("""COMPUTED_VALUE"""),"ID ")</f>
        <v>ID </v>
      </c>
    </row>
    <row r="3610">
      <c r="A3610" s="6" t="str">
        <f>IFERROR(__xludf.DUMMYFUNCTION("""COMPUTED_VALUE"""),"")</f>
        <v/>
      </c>
      <c r="C3610" t="str">
        <f>IFERROR(__xludf.DUMMYFUNCTION("""COMPUTED_VALUE"""),"")</f>
        <v/>
      </c>
      <c r="D3610" t="str">
        <f>IFERROR(__xludf.DUMMYFUNCTION("""COMPUTED_VALUE"""),"")</f>
        <v/>
      </c>
      <c r="E3610" t="str">
        <f>IFERROR(__xludf.DUMMYFUNCTION("""COMPUTED_VALUE"""),"")</f>
        <v/>
      </c>
      <c r="F3610" t="str">
        <f>IFERROR(__xludf.DUMMYFUNCTION("""COMPUTED_VALUE"""),"")</f>
        <v/>
      </c>
      <c r="G3610" t="str">
        <f>IFERROR(__xludf.DUMMYFUNCTION("""COMPUTED_VALUE"""),"")</f>
        <v/>
      </c>
      <c r="H3610" s="2" t="str">
        <f>IFERROR(__xludf.DUMMYFUNCTION("""COMPUTED_VALUE"""),"")</f>
        <v/>
      </c>
      <c r="I3610" s="2" t="str">
        <f>IFERROR(__xludf.DUMMYFUNCTION("""COMPUTED_VALUE"""),"")</f>
        <v/>
      </c>
      <c r="J3610" s="2">
        <f>IFERROR(__xludf.DUMMYFUNCTION("""COMPUTED_VALUE"""),0.0)</f>
        <v>0</v>
      </c>
      <c r="K3610" s="5" t="str">
        <f>IFERROR(__xludf.DUMMYFUNCTION("""COMPUTED_VALUE"""),"")</f>
        <v/>
      </c>
      <c r="L3610" t="str">
        <f>IFERROR(__xludf.DUMMYFUNCTION("""COMPUTED_VALUE"""),"")</f>
        <v/>
      </c>
      <c r="M3610" t="str">
        <f>IFERROR(__xludf.DUMMYFUNCTION("""COMPUTED_VALUE"""),"")</f>
        <v/>
      </c>
      <c r="N3610" t="str">
        <f>IFERROR(__xludf.DUMMYFUNCTION("""COMPUTED_VALUE"""),"")</f>
        <v/>
      </c>
      <c r="O3610" t="str">
        <f>IFERROR(__xludf.DUMMYFUNCTION("""COMPUTED_VALUE"""),"")</f>
        <v/>
      </c>
      <c r="P3610" t="str">
        <f>IFERROR(__xludf.DUMMYFUNCTION("""COMPUTED_VALUE"""),"ID ")</f>
        <v>ID </v>
      </c>
    </row>
    <row r="3611">
      <c r="A3611" s="6" t="str">
        <f>IFERROR(__xludf.DUMMYFUNCTION("""COMPUTED_VALUE"""),"")</f>
        <v/>
      </c>
      <c r="C3611" t="str">
        <f>IFERROR(__xludf.DUMMYFUNCTION("""COMPUTED_VALUE"""),"")</f>
        <v/>
      </c>
      <c r="D3611" t="str">
        <f>IFERROR(__xludf.DUMMYFUNCTION("""COMPUTED_VALUE"""),"")</f>
        <v/>
      </c>
      <c r="E3611" t="str">
        <f>IFERROR(__xludf.DUMMYFUNCTION("""COMPUTED_VALUE"""),"")</f>
        <v/>
      </c>
      <c r="F3611" t="str">
        <f>IFERROR(__xludf.DUMMYFUNCTION("""COMPUTED_VALUE"""),"")</f>
        <v/>
      </c>
      <c r="G3611" t="str">
        <f>IFERROR(__xludf.DUMMYFUNCTION("""COMPUTED_VALUE"""),"")</f>
        <v/>
      </c>
      <c r="H3611" s="2" t="str">
        <f>IFERROR(__xludf.DUMMYFUNCTION("""COMPUTED_VALUE"""),"")</f>
        <v/>
      </c>
      <c r="I3611" s="2" t="str">
        <f>IFERROR(__xludf.DUMMYFUNCTION("""COMPUTED_VALUE"""),"")</f>
        <v/>
      </c>
      <c r="J3611" s="2">
        <f>IFERROR(__xludf.DUMMYFUNCTION("""COMPUTED_VALUE"""),0.0)</f>
        <v>0</v>
      </c>
      <c r="K3611" s="5" t="str">
        <f>IFERROR(__xludf.DUMMYFUNCTION("""COMPUTED_VALUE"""),"")</f>
        <v/>
      </c>
      <c r="L3611" t="str">
        <f>IFERROR(__xludf.DUMMYFUNCTION("""COMPUTED_VALUE"""),"")</f>
        <v/>
      </c>
      <c r="M3611" t="str">
        <f>IFERROR(__xludf.DUMMYFUNCTION("""COMPUTED_VALUE"""),"")</f>
        <v/>
      </c>
      <c r="N3611" t="str">
        <f>IFERROR(__xludf.DUMMYFUNCTION("""COMPUTED_VALUE"""),"")</f>
        <v/>
      </c>
      <c r="O3611" t="str">
        <f>IFERROR(__xludf.DUMMYFUNCTION("""COMPUTED_VALUE"""),"")</f>
        <v/>
      </c>
      <c r="P3611" t="str">
        <f>IFERROR(__xludf.DUMMYFUNCTION("""COMPUTED_VALUE"""),"ID ")</f>
        <v>ID </v>
      </c>
    </row>
    <row r="3612">
      <c r="A3612" s="6" t="str">
        <f>IFERROR(__xludf.DUMMYFUNCTION("""COMPUTED_VALUE"""),"")</f>
        <v/>
      </c>
      <c r="C3612" t="str">
        <f>IFERROR(__xludf.DUMMYFUNCTION("""COMPUTED_VALUE"""),"")</f>
        <v/>
      </c>
      <c r="D3612" t="str">
        <f>IFERROR(__xludf.DUMMYFUNCTION("""COMPUTED_VALUE"""),"")</f>
        <v/>
      </c>
      <c r="E3612" t="str">
        <f>IFERROR(__xludf.DUMMYFUNCTION("""COMPUTED_VALUE"""),"")</f>
        <v/>
      </c>
      <c r="F3612" t="str">
        <f>IFERROR(__xludf.DUMMYFUNCTION("""COMPUTED_VALUE"""),"")</f>
        <v/>
      </c>
      <c r="G3612" t="str">
        <f>IFERROR(__xludf.DUMMYFUNCTION("""COMPUTED_VALUE"""),"")</f>
        <v/>
      </c>
      <c r="H3612" s="2" t="str">
        <f>IFERROR(__xludf.DUMMYFUNCTION("""COMPUTED_VALUE"""),"")</f>
        <v/>
      </c>
      <c r="I3612" s="2" t="str">
        <f>IFERROR(__xludf.DUMMYFUNCTION("""COMPUTED_VALUE"""),"")</f>
        <v/>
      </c>
      <c r="J3612" s="2">
        <f>IFERROR(__xludf.DUMMYFUNCTION("""COMPUTED_VALUE"""),0.0)</f>
        <v>0</v>
      </c>
      <c r="K3612" s="5" t="str">
        <f>IFERROR(__xludf.DUMMYFUNCTION("""COMPUTED_VALUE"""),"")</f>
        <v/>
      </c>
      <c r="L3612" t="str">
        <f>IFERROR(__xludf.DUMMYFUNCTION("""COMPUTED_VALUE"""),"")</f>
        <v/>
      </c>
      <c r="M3612" t="str">
        <f>IFERROR(__xludf.DUMMYFUNCTION("""COMPUTED_VALUE"""),"")</f>
        <v/>
      </c>
      <c r="N3612" t="str">
        <f>IFERROR(__xludf.DUMMYFUNCTION("""COMPUTED_VALUE"""),"")</f>
        <v/>
      </c>
      <c r="O3612" t="str">
        <f>IFERROR(__xludf.DUMMYFUNCTION("""COMPUTED_VALUE"""),"")</f>
        <v/>
      </c>
      <c r="P3612" t="str">
        <f>IFERROR(__xludf.DUMMYFUNCTION("""COMPUTED_VALUE"""),"ID ")</f>
        <v>ID </v>
      </c>
    </row>
    <row r="3613">
      <c r="A3613" s="6" t="str">
        <f>IFERROR(__xludf.DUMMYFUNCTION("""COMPUTED_VALUE"""),"")</f>
        <v/>
      </c>
      <c r="C3613" t="str">
        <f>IFERROR(__xludf.DUMMYFUNCTION("""COMPUTED_VALUE"""),"")</f>
        <v/>
      </c>
      <c r="D3613" t="str">
        <f>IFERROR(__xludf.DUMMYFUNCTION("""COMPUTED_VALUE"""),"")</f>
        <v/>
      </c>
      <c r="E3613" t="str">
        <f>IFERROR(__xludf.DUMMYFUNCTION("""COMPUTED_VALUE"""),"")</f>
        <v/>
      </c>
      <c r="F3613" t="str">
        <f>IFERROR(__xludf.DUMMYFUNCTION("""COMPUTED_VALUE"""),"")</f>
        <v/>
      </c>
      <c r="G3613" t="str">
        <f>IFERROR(__xludf.DUMMYFUNCTION("""COMPUTED_VALUE"""),"")</f>
        <v/>
      </c>
      <c r="H3613" s="2" t="str">
        <f>IFERROR(__xludf.DUMMYFUNCTION("""COMPUTED_VALUE"""),"")</f>
        <v/>
      </c>
      <c r="I3613" s="2" t="str">
        <f>IFERROR(__xludf.DUMMYFUNCTION("""COMPUTED_VALUE"""),"")</f>
        <v/>
      </c>
      <c r="J3613" s="2">
        <f>IFERROR(__xludf.DUMMYFUNCTION("""COMPUTED_VALUE"""),0.0)</f>
        <v>0</v>
      </c>
      <c r="K3613" s="5" t="str">
        <f>IFERROR(__xludf.DUMMYFUNCTION("""COMPUTED_VALUE"""),"")</f>
        <v/>
      </c>
      <c r="L3613" t="str">
        <f>IFERROR(__xludf.DUMMYFUNCTION("""COMPUTED_VALUE"""),"")</f>
        <v/>
      </c>
      <c r="M3613" t="str">
        <f>IFERROR(__xludf.DUMMYFUNCTION("""COMPUTED_VALUE"""),"")</f>
        <v/>
      </c>
      <c r="N3613" t="str">
        <f>IFERROR(__xludf.DUMMYFUNCTION("""COMPUTED_VALUE"""),"")</f>
        <v/>
      </c>
      <c r="O3613" t="str">
        <f>IFERROR(__xludf.DUMMYFUNCTION("""COMPUTED_VALUE"""),"")</f>
        <v/>
      </c>
      <c r="P3613" t="str">
        <f>IFERROR(__xludf.DUMMYFUNCTION("""COMPUTED_VALUE"""),"ID ")</f>
        <v>ID </v>
      </c>
    </row>
    <row r="3614">
      <c r="A3614" s="6" t="str">
        <f>IFERROR(__xludf.DUMMYFUNCTION("""COMPUTED_VALUE"""),"")</f>
        <v/>
      </c>
      <c r="C3614" t="str">
        <f>IFERROR(__xludf.DUMMYFUNCTION("""COMPUTED_VALUE"""),"")</f>
        <v/>
      </c>
      <c r="D3614" t="str">
        <f>IFERROR(__xludf.DUMMYFUNCTION("""COMPUTED_VALUE"""),"")</f>
        <v/>
      </c>
      <c r="E3614" t="str">
        <f>IFERROR(__xludf.DUMMYFUNCTION("""COMPUTED_VALUE"""),"")</f>
        <v/>
      </c>
      <c r="F3614" t="str">
        <f>IFERROR(__xludf.DUMMYFUNCTION("""COMPUTED_VALUE"""),"")</f>
        <v/>
      </c>
      <c r="G3614" t="str">
        <f>IFERROR(__xludf.DUMMYFUNCTION("""COMPUTED_VALUE"""),"")</f>
        <v/>
      </c>
      <c r="H3614" s="2" t="str">
        <f>IFERROR(__xludf.DUMMYFUNCTION("""COMPUTED_VALUE"""),"")</f>
        <v/>
      </c>
      <c r="I3614" s="2" t="str">
        <f>IFERROR(__xludf.DUMMYFUNCTION("""COMPUTED_VALUE"""),"")</f>
        <v/>
      </c>
      <c r="J3614" s="2">
        <f>IFERROR(__xludf.DUMMYFUNCTION("""COMPUTED_VALUE"""),0.0)</f>
        <v>0</v>
      </c>
      <c r="K3614" s="5" t="str">
        <f>IFERROR(__xludf.DUMMYFUNCTION("""COMPUTED_VALUE"""),"")</f>
        <v/>
      </c>
      <c r="L3614" t="str">
        <f>IFERROR(__xludf.DUMMYFUNCTION("""COMPUTED_VALUE"""),"")</f>
        <v/>
      </c>
      <c r="M3614" t="str">
        <f>IFERROR(__xludf.DUMMYFUNCTION("""COMPUTED_VALUE"""),"")</f>
        <v/>
      </c>
      <c r="N3614" t="str">
        <f>IFERROR(__xludf.DUMMYFUNCTION("""COMPUTED_VALUE"""),"")</f>
        <v/>
      </c>
      <c r="O3614" t="str">
        <f>IFERROR(__xludf.DUMMYFUNCTION("""COMPUTED_VALUE"""),"")</f>
        <v/>
      </c>
      <c r="P3614" t="str">
        <f>IFERROR(__xludf.DUMMYFUNCTION("""COMPUTED_VALUE"""),"ID ")</f>
        <v>ID </v>
      </c>
    </row>
    <row r="3615">
      <c r="A3615" s="6" t="str">
        <f>IFERROR(__xludf.DUMMYFUNCTION("""COMPUTED_VALUE"""),"")</f>
        <v/>
      </c>
      <c r="C3615" t="str">
        <f>IFERROR(__xludf.DUMMYFUNCTION("""COMPUTED_VALUE"""),"")</f>
        <v/>
      </c>
      <c r="D3615" t="str">
        <f>IFERROR(__xludf.DUMMYFUNCTION("""COMPUTED_VALUE"""),"")</f>
        <v/>
      </c>
      <c r="E3615" t="str">
        <f>IFERROR(__xludf.DUMMYFUNCTION("""COMPUTED_VALUE"""),"")</f>
        <v/>
      </c>
      <c r="F3615" t="str">
        <f>IFERROR(__xludf.DUMMYFUNCTION("""COMPUTED_VALUE"""),"")</f>
        <v/>
      </c>
      <c r="G3615" t="str">
        <f>IFERROR(__xludf.DUMMYFUNCTION("""COMPUTED_VALUE"""),"")</f>
        <v/>
      </c>
      <c r="H3615" s="2" t="str">
        <f>IFERROR(__xludf.DUMMYFUNCTION("""COMPUTED_VALUE"""),"")</f>
        <v/>
      </c>
      <c r="I3615" s="2" t="str">
        <f>IFERROR(__xludf.DUMMYFUNCTION("""COMPUTED_VALUE"""),"")</f>
        <v/>
      </c>
      <c r="J3615" s="2">
        <f>IFERROR(__xludf.DUMMYFUNCTION("""COMPUTED_VALUE"""),0.0)</f>
        <v>0</v>
      </c>
      <c r="K3615" s="5" t="str">
        <f>IFERROR(__xludf.DUMMYFUNCTION("""COMPUTED_VALUE"""),"")</f>
        <v/>
      </c>
      <c r="L3615" t="str">
        <f>IFERROR(__xludf.DUMMYFUNCTION("""COMPUTED_VALUE"""),"")</f>
        <v/>
      </c>
      <c r="M3615" t="str">
        <f>IFERROR(__xludf.DUMMYFUNCTION("""COMPUTED_VALUE"""),"")</f>
        <v/>
      </c>
      <c r="N3615" t="str">
        <f>IFERROR(__xludf.DUMMYFUNCTION("""COMPUTED_VALUE"""),"")</f>
        <v/>
      </c>
      <c r="O3615" t="str">
        <f>IFERROR(__xludf.DUMMYFUNCTION("""COMPUTED_VALUE"""),"")</f>
        <v/>
      </c>
      <c r="P3615" t="str">
        <f>IFERROR(__xludf.DUMMYFUNCTION("""COMPUTED_VALUE"""),"ID ")</f>
        <v>ID </v>
      </c>
    </row>
    <row r="3616">
      <c r="A3616" s="6" t="str">
        <f>IFERROR(__xludf.DUMMYFUNCTION("""COMPUTED_VALUE"""),"")</f>
        <v/>
      </c>
      <c r="C3616" t="str">
        <f>IFERROR(__xludf.DUMMYFUNCTION("""COMPUTED_VALUE"""),"")</f>
        <v/>
      </c>
      <c r="D3616" t="str">
        <f>IFERROR(__xludf.DUMMYFUNCTION("""COMPUTED_VALUE"""),"")</f>
        <v/>
      </c>
      <c r="E3616" t="str">
        <f>IFERROR(__xludf.DUMMYFUNCTION("""COMPUTED_VALUE"""),"")</f>
        <v/>
      </c>
      <c r="F3616" t="str">
        <f>IFERROR(__xludf.DUMMYFUNCTION("""COMPUTED_VALUE"""),"")</f>
        <v/>
      </c>
      <c r="G3616" t="str">
        <f>IFERROR(__xludf.DUMMYFUNCTION("""COMPUTED_VALUE"""),"")</f>
        <v/>
      </c>
      <c r="H3616" s="2" t="str">
        <f>IFERROR(__xludf.DUMMYFUNCTION("""COMPUTED_VALUE"""),"")</f>
        <v/>
      </c>
      <c r="I3616" s="2" t="str">
        <f>IFERROR(__xludf.DUMMYFUNCTION("""COMPUTED_VALUE"""),"")</f>
        <v/>
      </c>
      <c r="J3616" s="2">
        <f>IFERROR(__xludf.DUMMYFUNCTION("""COMPUTED_VALUE"""),0.0)</f>
        <v>0</v>
      </c>
      <c r="K3616" s="5" t="str">
        <f>IFERROR(__xludf.DUMMYFUNCTION("""COMPUTED_VALUE"""),"")</f>
        <v/>
      </c>
      <c r="L3616" t="str">
        <f>IFERROR(__xludf.DUMMYFUNCTION("""COMPUTED_VALUE"""),"")</f>
        <v/>
      </c>
      <c r="M3616" t="str">
        <f>IFERROR(__xludf.DUMMYFUNCTION("""COMPUTED_VALUE"""),"")</f>
        <v/>
      </c>
      <c r="N3616" t="str">
        <f>IFERROR(__xludf.DUMMYFUNCTION("""COMPUTED_VALUE"""),"")</f>
        <v/>
      </c>
      <c r="O3616" t="str">
        <f>IFERROR(__xludf.DUMMYFUNCTION("""COMPUTED_VALUE"""),"")</f>
        <v/>
      </c>
      <c r="P3616" t="str">
        <f>IFERROR(__xludf.DUMMYFUNCTION("""COMPUTED_VALUE"""),"ID ")</f>
        <v>ID </v>
      </c>
    </row>
    <row r="3617">
      <c r="A3617" s="6" t="str">
        <f>IFERROR(__xludf.DUMMYFUNCTION("""COMPUTED_VALUE"""),"")</f>
        <v/>
      </c>
      <c r="C3617" t="str">
        <f>IFERROR(__xludf.DUMMYFUNCTION("""COMPUTED_VALUE"""),"")</f>
        <v/>
      </c>
      <c r="D3617" t="str">
        <f>IFERROR(__xludf.DUMMYFUNCTION("""COMPUTED_VALUE"""),"")</f>
        <v/>
      </c>
      <c r="E3617" t="str">
        <f>IFERROR(__xludf.DUMMYFUNCTION("""COMPUTED_VALUE"""),"")</f>
        <v/>
      </c>
      <c r="F3617" t="str">
        <f>IFERROR(__xludf.DUMMYFUNCTION("""COMPUTED_VALUE"""),"")</f>
        <v/>
      </c>
      <c r="G3617" t="str">
        <f>IFERROR(__xludf.DUMMYFUNCTION("""COMPUTED_VALUE"""),"")</f>
        <v/>
      </c>
      <c r="H3617" s="2" t="str">
        <f>IFERROR(__xludf.DUMMYFUNCTION("""COMPUTED_VALUE"""),"")</f>
        <v/>
      </c>
      <c r="I3617" s="2" t="str">
        <f>IFERROR(__xludf.DUMMYFUNCTION("""COMPUTED_VALUE"""),"")</f>
        <v/>
      </c>
      <c r="J3617" s="2">
        <f>IFERROR(__xludf.DUMMYFUNCTION("""COMPUTED_VALUE"""),0.0)</f>
        <v>0</v>
      </c>
      <c r="K3617" s="5" t="str">
        <f>IFERROR(__xludf.DUMMYFUNCTION("""COMPUTED_VALUE"""),"")</f>
        <v/>
      </c>
      <c r="L3617" t="str">
        <f>IFERROR(__xludf.DUMMYFUNCTION("""COMPUTED_VALUE"""),"")</f>
        <v/>
      </c>
      <c r="M3617" t="str">
        <f>IFERROR(__xludf.DUMMYFUNCTION("""COMPUTED_VALUE"""),"")</f>
        <v/>
      </c>
      <c r="N3617" t="str">
        <f>IFERROR(__xludf.DUMMYFUNCTION("""COMPUTED_VALUE"""),"")</f>
        <v/>
      </c>
      <c r="O3617" t="str">
        <f>IFERROR(__xludf.DUMMYFUNCTION("""COMPUTED_VALUE"""),"")</f>
        <v/>
      </c>
      <c r="P3617" t="str">
        <f>IFERROR(__xludf.DUMMYFUNCTION("""COMPUTED_VALUE"""),"ID ")</f>
        <v>ID </v>
      </c>
    </row>
    <row r="3618">
      <c r="A3618" s="6" t="str">
        <f>IFERROR(__xludf.DUMMYFUNCTION("""COMPUTED_VALUE"""),"")</f>
        <v/>
      </c>
      <c r="C3618" t="str">
        <f>IFERROR(__xludf.DUMMYFUNCTION("""COMPUTED_VALUE"""),"")</f>
        <v/>
      </c>
      <c r="D3618" t="str">
        <f>IFERROR(__xludf.DUMMYFUNCTION("""COMPUTED_VALUE"""),"")</f>
        <v/>
      </c>
      <c r="E3618" t="str">
        <f>IFERROR(__xludf.DUMMYFUNCTION("""COMPUTED_VALUE"""),"")</f>
        <v/>
      </c>
      <c r="F3618" t="str">
        <f>IFERROR(__xludf.DUMMYFUNCTION("""COMPUTED_VALUE"""),"")</f>
        <v/>
      </c>
      <c r="G3618" t="str">
        <f>IFERROR(__xludf.DUMMYFUNCTION("""COMPUTED_VALUE"""),"")</f>
        <v/>
      </c>
      <c r="H3618" s="2" t="str">
        <f>IFERROR(__xludf.DUMMYFUNCTION("""COMPUTED_VALUE"""),"")</f>
        <v/>
      </c>
      <c r="I3618" s="2" t="str">
        <f>IFERROR(__xludf.DUMMYFUNCTION("""COMPUTED_VALUE"""),"")</f>
        <v/>
      </c>
      <c r="J3618" s="2">
        <f>IFERROR(__xludf.DUMMYFUNCTION("""COMPUTED_VALUE"""),0.0)</f>
        <v>0</v>
      </c>
      <c r="K3618" s="5" t="str">
        <f>IFERROR(__xludf.DUMMYFUNCTION("""COMPUTED_VALUE"""),"")</f>
        <v/>
      </c>
      <c r="L3618" t="str">
        <f>IFERROR(__xludf.DUMMYFUNCTION("""COMPUTED_VALUE"""),"")</f>
        <v/>
      </c>
      <c r="M3618" t="str">
        <f>IFERROR(__xludf.DUMMYFUNCTION("""COMPUTED_VALUE"""),"")</f>
        <v/>
      </c>
      <c r="N3618" t="str">
        <f>IFERROR(__xludf.DUMMYFUNCTION("""COMPUTED_VALUE"""),"")</f>
        <v/>
      </c>
      <c r="O3618" t="str">
        <f>IFERROR(__xludf.DUMMYFUNCTION("""COMPUTED_VALUE"""),"")</f>
        <v/>
      </c>
      <c r="P3618" t="str">
        <f>IFERROR(__xludf.DUMMYFUNCTION("""COMPUTED_VALUE"""),"ID ")</f>
        <v>ID </v>
      </c>
    </row>
    <row r="3619">
      <c r="A3619" s="6" t="str">
        <f>IFERROR(__xludf.DUMMYFUNCTION("""COMPUTED_VALUE"""),"")</f>
        <v/>
      </c>
      <c r="C3619" t="str">
        <f>IFERROR(__xludf.DUMMYFUNCTION("""COMPUTED_VALUE"""),"")</f>
        <v/>
      </c>
      <c r="D3619" t="str">
        <f>IFERROR(__xludf.DUMMYFUNCTION("""COMPUTED_VALUE"""),"")</f>
        <v/>
      </c>
      <c r="E3619" t="str">
        <f>IFERROR(__xludf.DUMMYFUNCTION("""COMPUTED_VALUE"""),"")</f>
        <v/>
      </c>
      <c r="F3619" t="str">
        <f>IFERROR(__xludf.DUMMYFUNCTION("""COMPUTED_VALUE"""),"")</f>
        <v/>
      </c>
      <c r="G3619" t="str">
        <f>IFERROR(__xludf.DUMMYFUNCTION("""COMPUTED_VALUE"""),"")</f>
        <v/>
      </c>
      <c r="H3619" s="2" t="str">
        <f>IFERROR(__xludf.DUMMYFUNCTION("""COMPUTED_VALUE"""),"")</f>
        <v/>
      </c>
      <c r="I3619" s="2" t="str">
        <f>IFERROR(__xludf.DUMMYFUNCTION("""COMPUTED_VALUE"""),"")</f>
        <v/>
      </c>
      <c r="J3619" s="2">
        <f>IFERROR(__xludf.DUMMYFUNCTION("""COMPUTED_VALUE"""),0.0)</f>
        <v>0</v>
      </c>
      <c r="K3619" s="5" t="str">
        <f>IFERROR(__xludf.DUMMYFUNCTION("""COMPUTED_VALUE"""),"")</f>
        <v/>
      </c>
      <c r="L3619" t="str">
        <f>IFERROR(__xludf.DUMMYFUNCTION("""COMPUTED_VALUE"""),"")</f>
        <v/>
      </c>
      <c r="M3619" t="str">
        <f>IFERROR(__xludf.DUMMYFUNCTION("""COMPUTED_VALUE"""),"")</f>
        <v/>
      </c>
      <c r="N3619" t="str">
        <f>IFERROR(__xludf.DUMMYFUNCTION("""COMPUTED_VALUE"""),"")</f>
        <v/>
      </c>
      <c r="O3619" t="str">
        <f>IFERROR(__xludf.DUMMYFUNCTION("""COMPUTED_VALUE"""),"")</f>
        <v/>
      </c>
      <c r="P3619" t="str">
        <f>IFERROR(__xludf.DUMMYFUNCTION("""COMPUTED_VALUE"""),"ID ")</f>
        <v>ID </v>
      </c>
    </row>
    <row r="3620">
      <c r="A3620" s="6" t="str">
        <f>IFERROR(__xludf.DUMMYFUNCTION("""COMPUTED_VALUE"""),"")</f>
        <v/>
      </c>
      <c r="C3620" t="str">
        <f>IFERROR(__xludf.DUMMYFUNCTION("""COMPUTED_VALUE"""),"")</f>
        <v/>
      </c>
      <c r="D3620" t="str">
        <f>IFERROR(__xludf.DUMMYFUNCTION("""COMPUTED_VALUE"""),"")</f>
        <v/>
      </c>
      <c r="E3620" t="str">
        <f>IFERROR(__xludf.DUMMYFUNCTION("""COMPUTED_VALUE"""),"")</f>
        <v/>
      </c>
      <c r="F3620" t="str">
        <f>IFERROR(__xludf.DUMMYFUNCTION("""COMPUTED_VALUE"""),"")</f>
        <v/>
      </c>
      <c r="G3620" t="str">
        <f>IFERROR(__xludf.DUMMYFUNCTION("""COMPUTED_VALUE"""),"")</f>
        <v/>
      </c>
      <c r="H3620" s="2" t="str">
        <f>IFERROR(__xludf.DUMMYFUNCTION("""COMPUTED_VALUE"""),"")</f>
        <v/>
      </c>
      <c r="I3620" s="2" t="str">
        <f>IFERROR(__xludf.DUMMYFUNCTION("""COMPUTED_VALUE"""),"")</f>
        <v/>
      </c>
      <c r="J3620" s="2">
        <f>IFERROR(__xludf.DUMMYFUNCTION("""COMPUTED_VALUE"""),0.0)</f>
        <v>0</v>
      </c>
      <c r="K3620" s="5" t="str">
        <f>IFERROR(__xludf.DUMMYFUNCTION("""COMPUTED_VALUE"""),"")</f>
        <v/>
      </c>
      <c r="L3620" t="str">
        <f>IFERROR(__xludf.DUMMYFUNCTION("""COMPUTED_VALUE"""),"")</f>
        <v/>
      </c>
      <c r="M3620" t="str">
        <f>IFERROR(__xludf.DUMMYFUNCTION("""COMPUTED_VALUE"""),"")</f>
        <v/>
      </c>
      <c r="N3620" t="str">
        <f>IFERROR(__xludf.DUMMYFUNCTION("""COMPUTED_VALUE"""),"")</f>
        <v/>
      </c>
      <c r="O3620" t="str">
        <f>IFERROR(__xludf.DUMMYFUNCTION("""COMPUTED_VALUE"""),"")</f>
        <v/>
      </c>
      <c r="P3620" t="str">
        <f>IFERROR(__xludf.DUMMYFUNCTION("""COMPUTED_VALUE"""),"ID ")</f>
        <v>ID </v>
      </c>
    </row>
    <row r="3621">
      <c r="A3621" s="6" t="str">
        <f>IFERROR(__xludf.DUMMYFUNCTION("""COMPUTED_VALUE"""),"")</f>
        <v/>
      </c>
      <c r="C3621" t="str">
        <f>IFERROR(__xludf.DUMMYFUNCTION("""COMPUTED_VALUE"""),"")</f>
        <v/>
      </c>
      <c r="D3621" t="str">
        <f>IFERROR(__xludf.DUMMYFUNCTION("""COMPUTED_VALUE"""),"")</f>
        <v/>
      </c>
      <c r="E3621" t="str">
        <f>IFERROR(__xludf.DUMMYFUNCTION("""COMPUTED_VALUE"""),"")</f>
        <v/>
      </c>
      <c r="F3621" t="str">
        <f>IFERROR(__xludf.DUMMYFUNCTION("""COMPUTED_VALUE"""),"")</f>
        <v/>
      </c>
      <c r="G3621" t="str">
        <f>IFERROR(__xludf.DUMMYFUNCTION("""COMPUTED_VALUE"""),"")</f>
        <v/>
      </c>
      <c r="H3621" s="2" t="str">
        <f>IFERROR(__xludf.DUMMYFUNCTION("""COMPUTED_VALUE"""),"")</f>
        <v/>
      </c>
      <c r="I3621" s="2" t="str">
        <f>IFERROR(__xludf.DUMMYFUNCTION("""COMPUTED_VALUE"""),"")</f>
        <v/>
      </c>
      <c r="J3621" s="2">
        <f>IFERROR(__xludf.DUMMYFUNCTION("""COMPUTED_VALUE"""),0.0)</f>
        <v>0</v>
      </c>
      <c r="K3621" s="5" t="str">
        <f>IFERROR(__xludf.DUMMYFUNCTION("""COMPUTED_VALUE"""),"")</f>
        <v/>
      </c>
      <c r="L3621" t="str">
        <f>IFERROR(__xludf.DUMMYFUNCTION("""COMPUTED_VALUE"""),"")</f>
        <v/>
      </c>
      <c r="M3621" t="str">
        <f>IFERROR(__xludf.DUMMYFUNCTION("""COMPUTED_VALUE"""),"")</f>
        <v/>
      </c>
      <c r="N3621" t="str">
        <f>IFERROR(__xludf.DUMMYFUNCTION("""COMPUTED_VALUE"""),"")</f>
        <v/>
      </c>
      <c r="O3621" t="str">
        <f>IFERROR(__xludf.DUMMYFUNCTION("""COMPUTED_VALUE"""),"")</f>
        <v/>
      </c>
      <c r="P3621" t="str">
        <f>IFERROR(__xludf.DUMMYFUNCTION("""COMPUTED_VALUE"""),"ID ")</f>
        <v>ID </v>
      </c>
    </row>
    <row r="3622">
      <c r="A3622" s="6" t="str">
        <f>IFERROR(__xludf.DUMMYFUNCTION("""COMPUTED_VALUE"""),"")</f>
        <v/>
      </c>
      <c r="C3622" t="str">
        <f>IFERROR(__xludf.DUMMYFUNCTION("""COMPUTED_VALUE"""),"")</f>
        <v/>
      </c>
      <c r="D3622" t="str">
        <f>IFERROR(__xludf.DUMMYFUNCTION("""COMPUTED_VALUE"""),"")</f>
        <v/>
      </c>
      <c r="E3622" t="str">
        <f>IFERROR(__xludf.DUMMYFUNCTION("""COMPUTED_VALUE"""),"")</f>
        <v/>
      </c>
      <c r="F3622" t="str">
        <f>IFERROR(__xludf.DUMMYFUNCTION("""COMPUTED_VALUE"""),"")</f>
        <v/>
      </c>
      <c r="G3622" t="str">
        <f>IFERROR(__xludf.DUMMYFUNCTION("""COMPUTED_VALUE"""),"")</f>
        <v/>
      </c>
      <c r="H3622" s="2" t="str">
        <f>IFERROR(__xludf.DUMMYFUNCTION("""COMPUTED_VALUE"""),"")</f>
        <v/>
      </c>
      <c r="I3622" s="2" t="str">
        <f>IFERROR(__xludf.DUMMYFUNCTION("""COMPUTED_VALUE"""),"")</f>
        <v/>
      </c>
      <c r="J3622" s="2">
        <f>IFERROR(__xludf.DUMMYFUNCTION("""COMPUTED_VALUE"""),0.0)</f>
        <v>0</v>
      </c>
      <c r="K3622" s="5" t="str">
        <f>IFERROR(__xludf.DUMMYFUNCTION("""COMPUTED_VALUE"""),"")</f>
        <v/>
      </c>
      <c r="L3622" t="str">
        <f>IFERROR(__xludf.DUMMYFUNCTION("""COMPUTED_VALUE"""),"")</f>
        <v/>
      </c>
      <c r="M3622" t="str">
        <f>IFERROR(__xludf.DUMMYFUNCTION("""COMPUTED_VALUE"""),"")</f>
        <v/>
      </c>
      <c r="N3622" t="str">
        <f>IFERROR(__xludf.DUMMYFUNCTION("""COMPUTED_VALUE"""),"")</f>
        <v/>
      </c>
      <c r="O3622" t="str">
        <f>IFERROR(__xludf.DUMMYFUNCTION("""COMPUTED_VALUE"""),"")</f>
        <v/>
      </c>
      <c r="P3622" t="str">
        <f>IFERROR(__xludf.DUMMYFUNCTION("""COMPUTED_VALUE"""),"ID ")</f>
        <v>ID </v>
      </c>
    </row>
    <row r="3623">
      <c r="A3623" s="6" t="str">
        <f>IFERROR(__xludf.DUMMYFUNCTION("""COMPUTED_VALUE"""),"")</f>
        <v/>
      </c>
      <c r="C3623" t="str">
        <f>IFERROR(__xludf.DUMMYFUNCTION("""COMPUTED_VALUE"""),"")</f>
        <v/>
      </c>
      <c r="D3623" t="str">
        <f>IFERROR(__xludf.DUMMYFUNCTION("""COMPUTED_VALUE"""),"")</f>
        <v/>
      </c>
      <c r="E3623" t="str">
        <f>IFERROR(__xludf.DUMMYFUNCTION("""COMPUTED_VALUE"""),"")</f>
        <v/>
      </c>
      <c r="F3623" t="str">
        <f>IFERROR(__xludf.DUMMYFUNCTION("""COMPUTED_VALUE"""),"")</f>
        <v/>
      </c>
      <c r="G3623" t="str">
        <f>IFERROR(__xludf.DUMMYFUNCTION("""COMPUTED_VALUE"""),"")</f>
        <v/>
      </c>
      <c r="H3623" s="2" t="str">
        <f>IFERROR(__xludf.DUMMYFUNCTION("""COMPUTED_VALUE"""),"")</f>
        <v/>
      </c>
      <c r="I3623" s="2" t="str">
        <f>IFERROR(__xludf.DUMMYFUNCTION("""COMPUTED_VALUE"""),"")</f>
        <v/>
      </c>
      <c r="J3623" s="2">
        <f>IFERROR(__xludf.DUMMYFUNCTION("""COMPUTED_VALUE"""),0.0)</f>
        <v>0</v>
      </c>
      <c r="K3623" s="5" t="str">
        <f>IFERROR(__xludf.DUMMYFUNCTION("""COMPUTED_VALUE"""),"")</f>
        <v/>
      </c>
      <c r="L3623" t="str">
        <f>IFERROR(__xludf.DUMMYFUNCTION("""COMPUTED_VALUE"""),"")</f>
        <v/>
      </c>
      <c r="M3623" t="str">
        <f>IFERROR(__xludf.DUMMYFUNCTION("""COMPUTED_VALUE"""),"")</f>
        <v/>
      </c>
      <c r="N3623" t="str">
        <f>IFERROR(__xludf.DUMMYFUNCTION("""COMPUTED_VALUE"""),"")</f>
        <v/>
      </c>
      <c r="O3623" t="str">
        <f>IFERROR(__xludf.DUMMYFUNCTION("""COMPUTED_VALUE"""),"")</f>
        <v/>
      </c>
      <c r="P3623" t="str">
        <f>IFERROR(__xludf.DUMMYFUNCTION("""COMPUTED_VALUE"""),"ID ")</f>
        <v>ID </v>
      </c>
    </row>
    <row r="3624">
      <c r="A3624" s="6" t="str">
        <f>IFERROR(__xludf.DUMMYFUNCTION("""COMPUTED_VALUE"""),"")</f>
        <v/>
      </c>
      <c r="C3624" t="str">
        <f>IFERROR(__xludf.DUMMYFUNCTION("""COMPUTED_VALUE"""),"")</f>
        <v/>
      </c>
      <c r="D3624" t="str">
        <f>IFERROR(__xludf.DUMMYFUNCTION("""COMPUTED_VALUE"""),"")</f>
        <v/>
      </c>
      <c r="E3624" t="str">
        <f>IFERROR(__xludf.DUMMYFUNCTION("""COMPUTED_VALUE"""),"")</f>
        <v/>
      </c>
      <c r="F3624" t="str">
        <f>IFERROR(__xludf.DUMMYFUNCTION("""COMPUTED_VALUE"""),"")</f>
        <v/>
      </c>
      <c r="G3624" t="str">
        <f>IFERROR(__xludf.DUMMYFUNCTION("""COMPUTED_VALUE"""),"")</f>
        <v/>
      </c>
      <c r="H3624" s="2" t="str">
        <f>IFERROR(__xludf.DUMMYFUNCTION("""COMPUTED_VALUE"""),"")</f>
        <v/>
      </c>
      <c r="I3624" s="2" t="str">
        <f>IFERROR(__xludf.DUMMYFUNCTION("""COMPUTED_VALUE"""),"")</f>
        <v/>
      </c>
      <c r="J3624" s="2">
        <f>IFERROR(__xludf.DUMMYFUNCTION("""COMPUTED_VALUE"""),0.0)</f>
        <v>0</v>
      </c>
      <c r="K3624" s="5" t="str">
        <f>IFERROR(__xludf.DUMMYFUNCTION("""COMPUTED_VALUE"""),"")</f>
        <v/>
      </c>
      <c r="L3624" t="str">
        <f>IFERROR(__xludf.DUMMYFUNCTION("""COMPUTED_VALUE"""),"")</f>
        <v/>
      </c>
      <c r="M3624" t="str">
        <f>IFERROR(__xludf.DUMMYFUNCTION("""COMPUTED_VALUE"""),"")</f>
        <v/>
      </c>
      <c r="N3624" t="str">
        <f>IFERROR(__xludf.DUMMYFUNCTION("""COMPUTED_VALUE"""),"")</f>
        <v/>
      </c>
      <c r="O3624" t="str">
        <f>IFERROR(__xludf.DUMMYFUNCTION("""COMPUTED_VALUE"""),"")</f>
        <v/>
      </c>
      <c r="P3624" t="str">
        <f>IFERROR(__xludf.DUMMYFUNCTION("""COMPUTED_VALUE"""),"ID ")</f>
        <v>ID </v>
      </c>
    </row>
    <row r="3625">
      <c r="A3625" s="6" t="str">
        <f>IFERROR(__xludf.DUMMYFUNCTION("""COMPUTED_VALUE"""),"")</f>
        <v/>
      </c>
      <c r="C3625" t="str">
        <f>IFERROR(__xludf.DUMMYFUNCTION("""COMPUTED_VALUE"""),"")</f>
        <v/>
      </c>
      <c r="D3625" t="str">
        <f>IFERROR(__xludf.DUMMYFUNCTION("""COMPUTED_VALUE"""),"")</f>
        <v/>
      </c>
      <c r="E3625" t="str">
        <f>IFERROR(__xludf.DUMMYFUNCTION("""COMPUTED_VALUE"""),"")</f>
        <v/>
      </c>
      <c r="F3625" t="str">
        <f>IFERROR(__xludf.DUMMYFUNCTION("""COMPUTED_VALUE"""),"")</f>
        <v/>
      </c>
      <c r="G3625" t="str">
        <f>IFERROR(__xludf.DUMMYFUNCTION("""COMPUTED_VALUE"""),"")</f>
        <v/>
      </c>
      <c r="H3625" s="2" t="str">
        <f>IFERROR(__xludf.DUMMYFUNCTION("""COMPUTED_VALUE"""),"")</f>
        <v/>
      </c>
      <c r="I3625" s="2" t="str">
        <f>IFERROR(__xludf.DUMMYFUNCTION("""COMPUTED_VALUE"""),"")</f>
        <v/>
      </c>
      <c r="J3625" s="2">
        <f>IFERROR(__xludf.DUMMYFUNCTION("""COMPUTED_VALUE"""),0.0)</f>
        <v>0</v>
      </c>
      <c r="K3625" s="5" t="str">
        <f>IFERROR(__xludf.DUMMYFUNCTION("""COMPUTED_VALUE"""),"")</f>
        <v/>
      </c>
      <c r="L3625" t="str">
        <f>IFERROR(__xludf.DUMMYFUNCTION("""COMPUTED_VALUE"""),"")</f>
        <v/>
      </c>
      <c r="M3625" t="str">
        <f>IFERROR(__xludf.DUMMYFUNCTION("""COMPUTED_VALUE"""),"")</f>
        <v/>
      </c>
      <c r="N3625" t="str">
        <f>IFERROR(__xludf.DUMMYFUNCTION("""COMPUTED_VALUE"""),"")</f>
        <v/>
      </c>
      <c r="O3625" t="str">
        <f>IFERROR(__xludf.DUMMYFUNCTION("""COMPUTED_VALUE"""),"")</f>
        <v/>
      </c>
      <c r="P3625" t="str">
        <f>IFERROR(__xludf.DUMMYFUNCTION("""COMPUTED_VALUE"""),"ID ")</f>
        <v>ID </v>
      </c>
    </row>
    <row r="3626">
      <c r="A3626" s="6" t="str">
        <f>IFERROR(__xludf.DUMMYFUNCTION("""COMPUTED_VALUE"""),"")</f>
        <v/>
      </c>
      <c r="C3626" t="str">
        <f>IFERROR(__xludf.DUMMYFUNCTION("""COMPUTED_VALUE"""),"")</f>
        <v/>
      </c>
      <c r="D3626" t="str">
        <f>IFERROR(__xludf.DUMMYFUNCTION("""COMPUTED_VALUE"""),"")</f>
        <v/>
      </c>
      <c r="E3626" t="str">
        <f>IFERROR(__xludf.DUMMYFUNCTION("""COMPUTED_VALUE"""),"")</f>
        <v/>
      </c>
      <c r="F3626" t="str">
        <f>IFERROR(__xludf.DUMMYFUNCTION("""COMPUTED_VALUE"""),"")</f>
        <v/>
      </c>
      <c r="G3626" t="str">
        <f>IFERROR(__xludf.DUMMYFUNCTION("""COMPUTED_VALUE"""),"")</f>
        <v/>
      </c>
      <c r="H3626" s="2" t="str">
        <f>IFERROR(__xludf.DUMMYFUNCTION("""COMPUTED_VALUE"""),"")</f>
        <v/>
      </c>
      <c r="I3626" s="2" t="str">
        <f>IFERROR(__xludf.DUMMYFUNCTION("""COMPUTED_VALUE"""),"")</f>
        <v/>
      </c>
      <c r="J3626" s="2">
        <f>IFERROR(__xludf.DUMMYFUNCTION("""COMPUTED_VALUE"""),0.0)</f>
        <v>0</v>
      </c>
      <c r="K3626" s="5" t="str">
        <f>IFERROR(__xludf.DUMMYFUNCTION("""COMPUTED_VALUE"""),"")</f>
        <v/>
      </c>
      <c r="L3626" t="str">
        <f>IFERROR(__xludf.DUMMYFUNCTION("""COMPUTED_VALUE"""),"")</f>
        <v/>
      </c>
      <c r="M3626" t="str">
        <f>IFERROR(__xludf.DUMMYFUNCTION("""COMPUTED_VALUE"""),"")</f>
        <v/>
      </c>
      <c r="N3626" t="str">
        <f>IFERROR(__xludf.DUMMYFUNCTION("""COMPUTED_VALUE"""),"")</f>
        <v/>
      </c>
      <c r="O3626" t="str">
        <f>IFERROR(__xludf.DUMMYFUNCTION("""COMPUTED_VALUE"""),"")</f>
        <v/>
      </c>
      <c r="P3626" t="str">
        <f>IFERROR(__xludf.DUMMYFUNCTION("""COMPUTED_VALUE"""),"ID ")</f>
        <v>ID </v>
      </c>
    </row>
    <row r="3627">
      <c r="A3627" s="6" t="str">
        <f>IFERROR(__xludf.DUMMYFUNCTION("""COMPUTED_VALUE"""),"")</f>
        <v/>
      </c>
      <c r="C3627" t="str">
        <f>IFERROR(__xludf.DUMMYFUNCTION("""COMPUTED_VALUE"""),"")</f>
        <v/>
      </c>
      <c r="D3627" t="str">
        <f>IFERROR(__xludf.DUMMYFUNCTION("""COMPUTED_VALUE"""),"")</f>
        <v/>
      </c>
      <c r="E3627" t="str">
        <f>IFERROR(__xludf.DUMMYFUNCTION("""COMPUTED_VALUE"""),"")</f>
        <v/>
      </c>
      <c r="F3627" t="str">
        <f>IFERROR(__xludf.DUMMYFUNCTION("""COMPUTED_VALUE"""),"")</f>
        <v/>
      </c>
      <c r="G3627" t="str">
        <f>IFERROR(__xludf.DUMMYFUNCTION("""COMPUTED_VALUE"""),"")</f>
        <v/>
      </c>
      <c r="H3627" s="2" t="str">
        <f>IFERROR(__xludf.DUMMYFUNCTION("""COMPUTED_VALUE"""),"")</f>
        <v/>
      </c>
      <c r="I3627" s="2" t="str">
        <f>IFERROR(__xludf.DUMMYFUNCTION("""COMPUTED_VALUE"""),"")</f>
        <v/>
      </c>
      <c r="J3627" s="2">
        <f>IFERROR(__xludf.DUMMYFUNCTION("""COMPUTED_VALUE"""),0.0)</f>
        <v>0</v>
      </c>
      <c r="K3627" s="5" t="str">
        <f>IFERROR(__xludf.DUMMYFUNCTION("""COMPUTED_VALUE"""),"")</f>
        <v/>
      </c>
      <c r="L3627" t="str">
        <f>IFERROR(__xludf.DUMMYFUNCTION("""COMPUTED_VALUE"""),"")</f>
        <v/>
      </c>
      <c r="M3627" t="str">
        <f>IFERROR(__xludf.DUMMYFUNCTION("""COMPUTED_VALUE"""),"")</f>
        <v/>
      </c>
      <c r="N3627" t="str">
        <f>IFERROR(__xludf.DUMMYFUNCTION("""COMPUTED_VALUE"""),"")</f>
        <v/>
      </c>
      <c r="O3627" t="str">
        <f>IFERROR(__xludf.DUMMYFUNCTION("""COMPUTED_VALUE"""),"")</f>
        <v/>
      </c>
      <c r="P3627" t="str">
        <f>IFERROR(__xludf.DUMMYFUNCTION("""COMPUTED_VALUE"""),"ID ")</f>
        <v>ID </v>
      </c>
    </row>
    <row r="3628">
      <c r="A3628" s="6" t="str">
        <f>IFERROR(__xludf.DUMMYFUNCTION("""COMPUTED_VALUE"""),"")</f>
        <v/>
      </c>
      <c r="C3628" t="str">
        <f>IFERROR(__xludf.DUMMYFUNCTION("""COMPUTED_VALUE"""),"")</f>
        <v/>
      </c>
      <c r="D3628" t="str">
        <f>IFERROR(__xludf.DUMMYFUNCTION("""COMPUTED_VALUE"""),"")</f>
        <v/>
      </c>
      <c r="E3628" t="str">
        <f>IFERROR(__xludf.DUMMYFUNCTION("""COMPUTED_VALUE"""),"")</f>
        <v/>
      </c>
      <c r="F3628" t="str">
        <f>IFERROR(__xludf.DUMMYFUNCTION("""COMPUTED_VALUE"""),"")</f>
        <v/>
      </c>
      <c r="G3628" t="str">
        <f>IFERROR(__xludf.DUMMYFUNCTION("""COMPUTED_VALUE"""),"")</f>
        <v/>
      </c>
      <c r="H3628" s="2" t="str">
        <f>IFERROR(__xludf.DUMMYFUNCTION("""COMPUTED_VALUE"""),"")</f>
        <v/>
      </c>
      <c r="I3628" s="2" t="str">
        <f>IFERROR(__xludf.DUMMYFUNCTION("""COMPUTED_VALUE"""),"")</f>
        <v/>
      </c>
      <c r="J3628" s="2">
        <f>IFERROR(__xludf.DUMMYFUNCTION("""COMPUTED_VALUE"""),0.0)</f>
        <v>0</v>
      </c>
      <c r="K3628" s="5" t="str">
        <f>IFERROR(__xludf.DUMMYFUNCTION("""COMPUTED_VALUE"""),"")</f>
        <v/>
      </c>
      <c r="L3628" t="str">
        <f>IFERROR(__xludf.DUMMYFUNCTION("""COMPUTED_VALUE"""),"")</f>
        <v/>
      </c>
      <c r="M3628" t="str">
        <f>IFERROR(__xludf.DUMMYFUNCTION("""COMPUTED_VALUE"""),"")</f>
        <v/>
      </c>
      <c r="N3628" t="str">
        <f>IFERROR(__xludf.DUMMYFUNCTION("""COMPUTED_VALUE"""),"")</f>
        <v/>
      </c>
      <c r="O3628" t="str">
        <f>IFERROR(__xludf.DUMMYFUNCTION("""COMPUTED_VALUE"""),"")</f>
        <v/>
      </c>
      <c r="P3628" t="str">
        <f>IFERROR(__xludf.DUMMYFUNCTION("""COMPUTED_VALUE"""),"ID ")</f>
        <v>ID </v>
      </c>
    </row>
    <row r="3629">
      <c r="A3629" s="6" t="str">
        <f>IFERROR(__xludf.DUMMYFUNCTION("""COMPUTED_VALUE"""),"")</f>
        <v/>
      </c>
      <c r="C3629" t="str">
        <f>IFERROR(__xludf.DUMMYFUNCTION("""COMPUTED_VALUE"""),"")</f>
        <v/>
      </c>
      <c r="D3629" t="str">
        <f>IFERROR(__xludf.DUMMYFUNCTION("""COMPUTED_VALUE"""),"")</f>
        <v/>
      </c>
      <c r="E3629" t="str">
        <f>IFERROR(__xludf.DUMMYFUNCTION("""COMPUTED_VALUE"""),"")</f>
        <v/>
      </c>
      <c r="F3629" t="str">
        <f>IFERROR(__xludf.DUMMYFUNCTION("""COMPUTED_VALUE"""),"")</f>
        <v/>
      </c>
      <c r="G3629" t="str">
        <f>IFERROR(__xludf.DUMMYFUNCTION("""COMPUTED_VALUE"""),"")</f>
        <v/>
      </c>
      <c r="H3629" s="2" t="str">
        <f>IFERROR(__xludf.DUMMYFUNCTION("""COMPUTED_VALUE"""),"")</f>
        <v/>
      </c>
      <c r="I3629" s="2" t="str">
        <f>IFERROR(__xludf.DUMMYFUNCTION("""COMPUTED_VALUE"""),"")</f>
        <v/>
      </c>
      <c r="J3629" s="2">
        <f>IFERROR(__xludf.DUMMYFUNCTION("""COMPUTED_VALUE"""),0.0)</f>
        <v>0</v>
      </c>
      <c r="K3629" s="5" t="str">
        <f>IFERROR(__xludf.DUMMYFUNCTION("""COMPUTED_VALUE"""),"")</f>
        <v/>
      </c>
      <c r="L3629" t="str">
        <f>IFERROR(__xludf.DUMMYFUNCTION("""COMPUTED_VALUE"""),"")</f>
        <v/>
      </c>
      <c r="M3629" t="str">
        <f>IFERROR(__xludf.DUMMYFUNCTION("""COMPUTED_VALUE"""),"")</f>
        <v/>
      </c>
      <c r="N3629" t="str">
        <f>IFERROR(__xludf.DUMMYFUNCTION("""COMPUTED_VALUE"""),"")</f>
        <v/>
      </c>
      <c r="O3629" t="str">
        <f>IFERROR(__xludf.DUMMYFUNCTION("""COMPUTED_VALUE"""),"")</f>
        <v/>
      </c>
      <c r="P3629" t="str">
        <f>IFERROR(__xludf.DUMMYFUNCTION("""COMPUTED_VALUE"""),"ID ")</f>
        <v>ID </v>
      </c>
    </row>
    <row r="3630">
      <c r="A3630" s="6" t="str">
        <f>IFERROR(__xludf.DUMMYFUNCTION("""COMPUTED_VALUE"""),"")</f>
        <v/>
      </c>
      <c r="C3630" t="str">
        <f>IFERROR(__xludf.DUMMYFUNCTION("""COMPUTED_VALUE"""),"")</f>
        <v/>
      </c>
      <c r="D3630" t="str">
        <f>IFERROR(__xludf.DUMMYFUNCTION("""COMPUTED_VALUE"""),"")</f>
        <v/>
      </c>
      <c r="E3630" t="str">
        <f>IFERROR(__xludf.DUMMYFUNCTION("""COMPUTED_VALUE"""),"")</f>
        <v/>
      </c>
      <c r="F3630" t="str">
        <f>IFERROR(__xludf.DUMMYFUNCTION("""COMPUTED_VALUE"""),"")</f>
        <v/>
      </c>
      <c r="G3630" t="str">
        <f>IFERROR(__xludf.DUMMYFUNCTION("""COMPUTED_VALUE"""),"")</f>
        <v/>
      </c>
      <c r="H3630" s="2" t="str">
        <f>IFERROR(__xludf.DUMMYFUNCTION("""COMPUTED_VALUE"""),"")</f>
        <v/>
      </c>
      <c r="I3630" s="2" t="str">
        <f>IFERROR(__xludf.DUMMYFUNCTION("""COMPUTED_VALUE"""),"")</f>
        <v/>
      </c>
      <c r="J3630" s="2">
        <f>IFERROR(__xludf.DUMMYFUNCTION("""COMPUTED_VALUE"""),0.0)</f>
        <v>0</v>
      </c>
      <c r="K3630" s="5" t="str">
        <f>IFERROR(__xludf.DUMMYFUNCTION("""COMPUTED_VALUE"""),"")</f>
        <v/>
      </c>
      <c r="L3630" t="str">
        <f>IFERROR(__xludf.DUMMYFUNCTION("""COMPUTED_VALUE"""),"")</f>
        <v/>
      </c>
      <c r="M3630" t="str">
        <f>IFERROR(__xludf.DUMMYFUNCTION("""COMPUTED_VALUE"""),"")</f>
        <v/>
      </c>
      <c r="N3630" t="str">
        <f>IFERROR(__xludf.DUMMYFUNCTION("""COMPUTED_VALUE"""),"")</f>
        <v/>
      </c>
      <c r="O3630" t="str">
        <f>IFERROR(__xludf.DUMMYFUNCTION("""COMPUTED_VALUE"""),"")</f>
        <v/>
      </c>
      <c r="P3630" t="str">
        <f>IFERROR(__xludf.DUMMYFUNCTION("""COMPUTED_VALUE"""),"ID ")</f>
        <v>ID </v>
      </c>
    </row>
    <row r="3631">
      <c r="A3631" s="6" t="str">
        <f>IFERROR(__xludf.DUMMYFUNCTION("""COMPUTED_VALUE"""),"")</f>
        <v/>
      </c>
      <c r="C3631" t="str">
        <f>IFERROR(__xludf.DUMMYFUNCTION("""COMPUTED_VALUE"""),"")</f>
        <v/>
      </c>
      <c r="D3631" t="str">
        <f>IFERROR(__xludf.DUMMYFUNCTION("""COMPUTED_VALUE"""),"")</f>
        <v/>
      </c>
      <c r="E3631" t="str">
        <f>IFERROR(__xludf.DUMMYFUNCTION("""COMPUTED_VALUE"""),"")</f>
        <v/>
      </c>
      <c r="F3631" t="str">
        <f>IFERROR(__xludf.DUMMYFUNCTION("""COMPUTED_VALUE"""),"")</f>
        <v/>
      </c>
      <c r="G3631" t="str">
        <f>IFERROR(__xludf.DUMMYFUNCTION("""COMPUTED_VALUE"""),"")</f>
        <v/>
      </c>
      <c r="H3631" s="2" t="str">
        <f>IFERROR(__xludf.DUMMYFUNCTION("""COMPUTED_VALUE"""),"")</f>
        <v/>
      </c>
      <c r="I3631" s="2" t="str">
        <f>IFERROR(__xludf.DUMMYFUNCTION("""COMPUTED_VALUE"""),"")</f>
        <v/>
      </c>
      <c r="J3631" s="2">
        <f>IFERROR(__xludf.DUMMYFUNCTION("""COMPUTED_VALUE"""),0.0)</f>
        <v>0</v>
      </c>
      <c r="K3631" s="5" t="str">
        <f>IFERROR(__xludf.DUMMYFUNCTION("""COMPUTED_VALUE"""),"")</f>
        <v/>
      </c>
      <c r="L3631" t="str">
        <f>IFERROR(__xludf.DUMMYFUNCTION("""COMPUTED_VALUE"""),"")</f>
        <v/>
      </c>
      <c r="M3631" t="str">
        <f>IFERROR(__xludf.DUMMYFUNCTION("""COMPUTED_VALUE"""),"")</f>
        <v/>
      </c>
      <c r="N3631" t="str">
        <f>IFERROR(__xludf.DUMMYFUNCTION("""COMPUTED_VALUE"""),"")</f>
        <v/>
      </c>
      <c r="O3631" t="str">
        <f>IFERROR(__xludf.DUMMYFUNCTION("""COMPUTED_VALUE"""),"")</f>
        <v/>
      </c>
      <c r="P3631" t="str">
        <f>IFERROR(__xludf.DUMMYFUNCTION("""COMPUTED_VALUE"""),"ID ")</f>
        <v>ID </v>
      </c>
    </row>
    <row r="3632">
      <c r="A3632" s="6" t="str">
        <f>IFERROR(__xludf.DUMMYFUNCTION("""COMPUTED_VALUE"""),"")</f>
        <v/>
      </c>
      <c r="C3632" t="str">
        <f>IFERROR(__xludf.DUMMYFUNCTION("""COMPUTED_VALUE"""),"")</f>
        <v/>
      </c>
      <c r="D3632" t="str">
        <f>IFERROR(__xludf.DUMMYFUNCTION("""COMPUTED_VALUE"""),"")</f>
        <v/>
      </c>
      <c r="E3632" t="str">
        <f>IFERROR(__xludf.DUMMYFUNCTION("""COMPUTED_VALUE"""),"")</f>
        <v/>
      </c>
      <c r="F3632" t="str">
        <f>IFERROR(__xludf.DUMMYFUNCTION("""COMPUTED_VALUE"""),"")</f>
        <v/>
      </c>
      <c r="G3632" t="str">
        <f>IFERROR(__xludf.DUMMYFUNCTION("""COMPUTED_VALUE"""),"")</f>
        <v/>
      </c>
      <c r="H3632" s="2" t="str">
        <f>IFERROR(__xludf.DUMMYFUNCTION("""COMPUTED_VALUE"""),"")</f>
        <v/>
      </c>
      <c r="I3632" s="2" t="str">
        <f>IFERROR(__xludf.DUMMYFUNCTION("""COMPUTED_VALUE"""),"")</f>
        <v/>
      </c>
      <c r="J3632" s="2">
        <f>IFERROR(__xludf.DUMMYFUNCTION("""COMPUTED_VALUE"""),0.0)</f>
        <v>0</v>
      </c>
      <c r="K3632" s="5" t="str">
        <f>IFERROR(__xludf.DUMMYFUNCTION("""COMPUTED_VALUE"""),"")</f>
        <v/>
      </c>
      <c r="L3632" t="str">
        <f>IFERROR(__xludf.DUMMYFUNCTION("""COMPUTED_VALUE"""),"")</f>
        <v/>
      </c>
      <c r="M3632" t="str">
        <f>IFERROR(__xludf.DUMMYFUNCTION("""COMPUTED_VALUE"""),"")</f>
        <v/>
      </c>
      <c r="N3632" t="str">
        <f>IFERROR(__xludf.DUMMYFUNCTION("""COMPUTED_VALUE"""),"")</f>
        <v/>
      </c>
      <c r="O3632" t="str">
        <f>IFERROR(__xludf.DUMMYFUNCTION("""COMPUTED_VALUE"""),"")</f>
        <v/>
      </c>
      <c r="P3632" t="str">
        <f>IFERROR(__xludf.DUMMYFUNCTION("""COMPUTED_VALUE"""),"ID ")</f>
        <v>ID </v>
      </c>
    </row>
    <row r="3633">
      <c r="A3633" s="6" t="str">
        <f>IFERROR(__xludf.DUMMYFUNCTION("""COMPUTED_VALUE"""),"")</f>
        <v/>
      </c>
      <c r="C3633" t="str">
        <f>IFERROR(__xludf.DUMMYFUNCTION("""COMPUTED_VALUE"""),"")</f>
        <v/>
      </c>
      <c r="D3633" t="str">
        <f>IFERROR(__xludf.DUMMYFUNCTION("""COMPUTED_VALUE"""),"")</f>
        <v/>
      </c>
      <c r="E3633" t="str">
        <f>IFERROR(__xludf.DUMMYFUNCTION("""COMPUTED_VALUE"""),"")</f>
        <v/>
      </c>
      <c r="F3633" t="str">
        <f>IFERROR(__xludf.DUMMYFUNCTION("""COMPUTED_VALUE"""),"")</f>
        <v/>
      </c>
      <c r="G3633" t="str">
        <f>IFERROR(__xludf.DUMMYFUNCTION("""COMPUTED_VALUE"""),"")</f>
        <v/>
      </c>
      <c r="H3633" s="2" t="str">
        <f>IFERROR(__xludf.DUMMYFUNCTION("""COMPUTED_VALUE"""),"")</f>
        <v/>
      </c>
      <c r="I3633" s="2" t="str">
        <f>IFERROR(__xludf.DUMMYFUNCTION("""COMPUTED_VALUE"""),"")</f>
        <v/>
      </c>
      <c r="J3633" s="2">
        <f>IFERROR(__xludf.DUMMYFUNCTION("""COMPUTED_VALUE"""),0.0)</f>
        <v>0</v>
      </c>
      <c r="K3633" s="5" t="str">
        <f>IFERROR(__xludf.DUMMYFUNCTION("""COMPUTED_VALUE"""),"")</f>
        <v/>
      </c>
      <c r="L3633" t="str">
        <f>IFERROR(__xludf.DUMMYFUNCTION("""COMPUTED_VALUE"""),"")</f>
        <v/>
      </c>
      <c r="M3633" t="str">
        <f>IFERROR(__xludf.DUMMYFUNCTION("""COMPUTED_VALUE"""),"")</f>
        <v/>
      </c>
      <c r="N3633" t="str">
        <f>IFERROR(__xludf.DUMMYFUNCTION("""COMPUTED_VALUE"""),"")</f>
        <v/>
      </c>
      <c r="O3633" t="str">
        <f>IFERROR(__xludf.DUMMYFUNCTION("""COMPUTED_VALUE"""),"")</f>
        <v/>
      </c>
      <c r="P3633" t="str">
        <f>IFERROR(__xludf.DUMMYFUNCTION("""COMPUTED_VALUE"""),"ID ")</f>
        <v>ID </v>
      </c>
    </row>
    <row r="3634">
      <c r="A3634" s="6" t="str">
        <f>IFERROR(__xludf.DUMMYFUNCTION("""COMPUTED_VALUE"""),"")</f>
        <v/>
      </c>
      <c r="C3634" t="str">
        <f>IFERROR(__xludf.DUMMYFUNCTION("""COMPUTED_VALUE"""),"")</f>
        <v/>
      </c>
      <c r="D3634" t="str">
        <f>IFERROR(__xludf.DUMMYFUNCTION("""COMPUTED_VALUE"""),"")</f>
        <v/>
      </c>
      <c r="E3634" t="str">
        <f>IFERROR(__xludf.DUMMYFUNCTION("""COMPUTED_VALUE"""),"")</f>
        <v/>
      </c>
      <c r="F3634" t="str">
        <f>IFERROR(__xludf.DUMMYFUNCTION("""COMPUTED_VALUE"""),"")</f>
        <v/>
      </c>
      <c r="G3634" t="str">
        <f>IFERROR(__xludf.DUMMYFUNCTION("""COMPUTED_VALUE"""),"")</f>
        <v/>
      </c>
      <c r="H3634" s="2" t="str">
        <f>IFERROR(__xludf.DUMMYFUNCTION("""COMPUTED_VALUE"""),"")</f>
        <v/>
      </c>
      <c r="I3634" s="2" t="str">
        <f>IFERROR(__xludf.DUMMYFUNCTION("""COMPUTED_VALUE"""),"")</f>
        <v/>
      </c>
      <c r="J3634" s="2">
        <f>IFERROR(__xludf.DUMMYFUNCTION("""COMPUTED_VALUE"""),0.0)</f>
        <v>0</v>
      </c>
      <c r="K3634" s="5" t="str">
        <f>IFERROR(__xludf.DUMMYFUNCTION("""COMPUTED_VALUE"""),"")</f>
        <v/>
      </c>
      <c r="L3634" t="str">
        <f>IFERROR(__xludf.DUMMYFUNCTION("""COMPUTED_VALUE"""),"")</f>
        <v/>
      </c>
      <c r="M3634" t="str">
        <f>IFERROR(__xludf.DUMMYFUNCTION("""COMPUTED_VALUE"""),"")</f>
        <v/>
      </c>
      <c r="N3634" t="str">
        <f>IFERROR(__xludf.DUMMYFUNCTION("""COMPUTED_VALUE"""),"")</f>
        <v/>
      </c>
      <c r="O3634" t="str">
        <f>IFERROR(__xludf.DUMMYFUNCTION("""COMPUTED_VALUE"""),"")</f>
        <v/>
      </c>
      <c r="P3634" t="str">
        <f>IFERROR(__xludf.DUMMYFUNCTION("""COMPUTED_VALUE"""),"ID ")</f>
        <v>ID </v>
      </c>
    </row>
    <row r="3635">
      <c r="A3635" s="6" t="str">
        <f>IFERROR(__xludf.DUMMYFUNCTION("""COMPUTED_VALUE"""),"")</f>
        <v/>
      </c>
      <c r="C3635" t="str">
        <f>IFERROR(__xludf.DUMMYFUNCTION("""COMPUTED_VALUE"""),"")</f>
        <v/>
      </c>
      <c r="D3635" t="str">
        <f>IFERROR(__xludf.DUMMYFUNCTION("""COMPUTED_VALUE"""),"")</f>
        <v/>
      </c>
      <c r="E3635" t="str">
        <f>IFERROR(__xludf.DUMMYFUNCTION("""COMPUTED_VALUE"""),"")</f>
        <v/>
      </c>
      <c r="F3635" t="str">
        <f>IFERROR(__xludf.DUMMYFUNCTION("""COMPUTED_VALUE"""),"")</f>
        <v/>
      </c>
      <c r="G3635" t="str">
        <f>IFERROR(__xludf.DUMMYFUNCTION("""COMPUTED_VALUE"""),"")</f>
        <v/>
      </c>
      <c r="H3635" s="2" t="str">
        <f>IFERROR(__xludf.DUMMYFUNCTION("""COMPUTED_VALUE"""),"")</f>
        <v/>
      </c>
      <c r="I3635" s="2" t="str">
        <f>IFERROR(__xludf.DUMMYFUNCTION("""COMPUTED_VALUE"""),"")</f>
        <v/>
      </c>
      <c r="J3635" s="2">
        <f>IFERROR(__xludf.DUMMYFUNCTION("""COMPUTED_VALUE"""),0.0)</f>
        <v>0</v>
      </c>
      <c r="K3635" s="5" t="str">
        <f>IFERROR(__xludf.DUMMYFUNCTION("""COMPUTED_VALUE"""),"")</f>
        <v/>
      </c>
      <c r="L3635" t="str">
        <f>IFERROR(__xludf.DUMMYFUNCTION("""COMPUTED_VALUE"""),"")</f>
        <v/>
      </c>
      <c r="M3635" t="str">
        <f>IFERROR(__xludf.DUMMYFUNCTION("""COMPUTED_VALUE"""),"")</f>
        <v/>
      </c>
      <c r="N3635" t="str">
        <f>IFERROR(__xludf.DUMMYFUNCTION("""COMPUTED_VALUE"""),"")</f>
        <v/>
      </c>
      <c r="O3635" t="str">
        <f>IFERROR(__xludf.DUMMYFUNCTION("""COMPUTED_VALUE"""),"")</f>
        <v/>
      </c>
      <c r="P3635" t="str">
        <f>IFERROR(__xludf.DUMMYFUNCTION("""COMPUTED_VALUE"""),"ID ")</f>
        <v>ID </v>
      </c>
    </row>
    <row r="3636">
      <c r="A3636" s="6" t="str">
        <f>IFERROR(__xludf.DUMMYFUNCTION("""COMPUTED_VALUE"""),"")</f>
        <v/>
      </c>
      <c r="C3636" t="str">
        <f>IFERROR(__xludf.DUMMYFUNCTION("""COMPUTED_VALUE"""),"")</f>
        <v/>
      </c>
      <c r="D3636" t="str">
        <f>IFERROR(__xludf.DUMMYFUNCTION("""COMPUTED_VALUE"""),"")</f>
        <v/>
      </c>
      <c r="E3636" t="str">
        <f>IFERROR(__xludf.DUMMYFUNCTION("""COMPUTED_VALUE"""),"")</f>
        <v/>
      </c>
      <c r="F3636" t="str">
        <f>IFERROR(__xludf.DUMMYFUNCTION("""COMPUTED_VALUE"""),"")</f>
        <v/>
      </c>
      <c r="G3636" t="str">
        <f>IFERROR(__xludf.DUMMYFUNCTION("""COMPUTED_VALUE"""),"")</f>
        <v/>
      </c>
      <c r="H3636" s="2" t="str">
        <f>IFERROR(__xludf.DUMMYFUNCTION("""COMPUTED_VALUE"""),"")</f>
        <v/>
      </c>
      <c r="I3636" s="2" t="str">
        <f>IFERROR(__xludf.DUMMYFUNCTION("""COMPUTED_VALUE"""),"")</f>
        <v/>
      </c>
      <c r="J3636" s="2">
        <f>IFERROR(__xludf.DUMMYFUNCTION("""COMPUTED_VALUE"""),0.0)</f>
        <v>0</v>
      </c>
      <c r="K3636" s="5" t="str">
        <f>IFERROR(__xludf.DUMMYFUNCTION("""COMPUTED_VALUE"""),"")</f>
        <v/>
      </c>
      <c r="L3636" t="str">
        <f>IFERROR(__xludf.DUMMYFUNCTION("""COMPUTED_VALUE"""),"")</f>
        <v/>
      </c>
      <c r="M3636" t="str">
        <f>IFERROR(__xludf.DUMMYFUNCTION("""COMPUTED_VALUE"""),"")</f>
        <v/>
      </c>
      <c r="N3636" t="str">
        <f>IFERROR(__xludf.DUMMYFUNCTION("""COMPUTED_VALUE"""),"")</f>
        <v/>
      </c>
      <c r="O3636" t="str">
        <f>IFERROR(__xludf.DUMMYFUNCTION("""COMPUTED_VALUE"""),"")</f>
        <v/>
      </c>
      <c r="P3636" t="str">
        <f>IFERROR(__xludf.DUMMYFUNCTION("""COMPUTED_VALUE"""),"ID ")</f>
        <v>ID </v>
      </c>
    </row>
    <row r="3637">
      <c r="A3637" s="6" t="str">
        <f>IFERROR(__xludf.DUMMYFUNCTION("""COMPUTED_VALUE"""),"")</f>
        <v/>
      </c>
      <c r="C3637" t="str">
        <f>IFERROR(__xludf.DUMMYFUNCTION("""COMPUTED_VALUE"""),"")</f>
        <v/>
      </c>
      <c r="D3637" t="str">
        <f>IFERROR(__xludf.DUMMYFUNCTION("""COMPUTED_VALUE"""),"")</f>
        <v/>
      </c>
      <c r="E3637" t="str">
        <f>IFERROR(__xludf.DUMMYFUNCTION("""COMPUTED_VALUE"""),"")</f>
        <v/>
      </c>
      <c r="F3637" t="str">
        <f>IFERROR(__xludf.DUMMYFUNCTION("""COMPUTED_VALUE"""),"")</f>
        <v/>
      </c>
      <c r="G3637" t="str">
        <f>IFERROR(__xludf.DUMMYFUNCTION("""COMPUTED_VALUE"""),"")</f>
        <v/>
      </c>
      <c r="H3637" s="2" t="str">
        <f>IFERROR(__xludf.DUMMYFUNCTION("""COMPUTED_VALUE"""),"")</f>
        <v/>
      </c>
      <c r="I3637" s="2" t="str">
        <f>IFERROR(__xludf.DUMMYFUNCTION("""COMPUTED_VALUE"""),"")</f>
        <v/>
      </c>
      <c r="J3637" s="2">
        <f>IFERROR(__xludf.DUMMYFUNCTION("""COMPUTED_VALUE"""),0.0)</f>
        <v>0</v>
      </c>
      <c r="K3637" s="5" t="str">
        <f>IFERROR(__xludf.DUMMYFUNCTION("""COMPUTED_VALUE"""),"")</f>
        <v/>
      </c>
      <c r="L3637" t="str">
        <f>IFERROR(__xludf.DUMMYFUNCTION("""COMPUTED_VALUE"""),"")</f>
        <v/>
      </c>
      <c r="M3637" t="str">
        <f>IFERROR(__xludf.DUMMYFUNCTION("""COMPUTED_VALUE"""),"")</f>
        <v/>
      </c>
      <c r="N3637" t="str">
        <f>IFERROR(__xludf.DUMMYFUNCTION("""COMPUTED_VALUE"""),"")</f>
        <v/>
      </c>
      <c r="O3637" t="str">
        <f>IFERROR(__xludf.DUMMYFUNCTION("""COMPUTED_VALUE"""),"")</f>
        <v/>
      </c>
      <c r="P3637" t="str">
        <f>IFERROR(__xludf.DUMMYFUNCTION("""COMPUTED_VALUE"""),"ID ")</f>
        <v>ID </v>
      </c>
    </row>
    <row r="3638">
      <c r="A3638" s="6" t="str">
        <f>IFERROR(__xludf.DUMMYFUNCTION("""COMPUTED_VALUE"""),"")</f>
        <v/>
      </c>
      <c r="C3638" t="str">
        <f>IFERROR(__xludf.DUMMYFUNCTION("""COMPUTED_VALUE"""),"")</f>
        <v/>
      </c>
      <c r="D3638" t="str">
        <f>IFERROR(__xludf.DUMMYFUNCTION("""COMPUTED_VALUE"""),"")</f>
        <v/>
      </c>
      <c r="E3638" t="str">
        <f>IFERROR(__xludf.DUMMYFUNCTION("""COMPUTED_VALUE"""),"")</f>
        <v/>
      </c>
      <c r="F3638" t="str">
        <f>IFERROR(__xludf.DUMMYFUNCTION("""COMPUTED_VALUE"""),"")</f>
        <v/>
      </c>
      <c r="G3638" t="str">
        <f>IFERROR(__xludf.DUMMYFUNCTION("""COMPUTED_VALUE"""),"")</f>
        <v/>
      </c>
      <c r="H3638" s="2" t="str">
        <f>IFERROR(__xludf.DUMMYFUNCTION("""COMPUTED_VALUE"""),"")</f>
        <v/>
      </c>
      <c r="I3638" s="2" t="str">
        <f>IFERROR(__xludf.DUMMYFUNCTION("""COMPUTED_VALUE"""),"")</f>
        <v/>
      </c>
      <c r="J3638" s="2">
        <f>IFERROR(__xludf.DUMMYFUNCTION("""COMPUTED_VALUE"""),0.0)</f>
        <v>0</v>
      </c>
      <c r="K3638" s="5" t="str">
        <f>IFERROR(__xludf.DUMMYFUNCTION("""COMPUTED_VALUE"""),"")</f>
        <v/>
      </c>
      <c r="L3638" t="str">
        <f>IFERROR(__xludf.DUMMYFUNCTION("""COMPUTED_VALUE"""),"")</f>
        <v/>
      </c>
      <c r="M3638" t="str">
        <f>IFERROR(__xludf.DUMMYFUNCTION("""COMPUTED_VALUE"""),"")</f>
        <v/>
      </c>
      <c r="N3638" t="str">
        <f>IFERROR(__xludf.DUMMYFUNCTION("""COMPUTED_VALUE"""),"")</f>
        <v/>
      </c>
      <c r="O3638" t="str">
        <f>IFERROR(__xludf.DUMMYFUNCTION("""COMPUTED_VALUE"""),"")</f>
        <v/>
      </c>
      <c r="P3638" t="str">
        <f>IFERROR(__xludf.DUMMYFUNCTION("""COMPUTED_VALUE"""),"ID ")</f>
        <v>ID </v>
      </c>
    </row>
    <row r="3639">
      <c r="A3639" s="6" t="str">
        <f>IFERROR(__xludf.DUMMYFUNCTION("""COMPUTED_VALUE"""),"")</f>
        <v/>
      </c>
      <c r="C3639" t="str">
        <f>IFERROR(__xludf.DUMMYFUNCTION("""COMPUTED_VALUE"""),"")</f>
        <v/>
      </c>
      <c r="D3639" t="str">
        <f>IFERROR(__xludf.DUMMYFUNCTION("""COMPUTED_VALUE"""),"")</f>
        <v/>
      </c>
      <c r="E3639" t="str">
        <f>IFERROR(__xludf.DUMMYFUNCTION("""COMPUTED_VALUE"""),"")</f>
        <v/>
      </c>
      <c r="F3639" t="str">
        <f>IFERROR(__xludf.DUMMYFUNCTION("""COMPUTED_VALUE"""),"")</f>
        <v/>
      </c>
      <c r="G3639" t="str">
        <f>IFERROR(__xludf.DUMMYFUNCTION("""COMPUTED_VALUE"""),"")</f>
        <v/>
      </c>
      <c r="H3639" s="2" t="str">
        <f>IFERROR(__xludf.DUMMYFUNCTION("""COMPUTED_VALUE"""),"")</f>
        <v/>
      </c>
      <c r="I3639" s="2" t="str">
        <f>IFERROR(__xludf.DUMMYFUNCTION("""COMPUTED_VALUE"""),"")</f>
        <v/>
      </c>
      <c r="J3639" s="2">
        <f>IFERROR(__xludf.DUMMYFUNCTION("""COMPUTED_VALUE"""),0.0)</f>
        <v>0</v>
      </c>
      <c r="K3639" s="5" t="str">
        <f>IFERROR(__xludf.DUMMYFUNCTION("""COMPUTED_VALUE"""),"")</f>
        <v/>
      </c>
      <c r="L3639" t="str">
        <f>IFERROR(__xludf.DUMMYFUNCTION("""COMPUTED_VALUE"""),"")</f>
        <v/>
      </c>
      <c r="M3639" t="str">
        <f>IFERROR(__xludf.DUMMYFUNCTION("""COMPUTED_VALUE"""),"")</f>
        <v/>
      </c>
      <c r="N3639" t="str">
        <f>IFERROR(__xludf.DUMMYFUNCTION("""COMPUTED_VALUE"""),"")</f>
        <v/>
      </c>
      <c r="O3639" t="str">
        <f>IFERROR(__xludf.DUMMYFUNCTION("""COMPUTED_VALUE"""),"")</f>
        <v/>
      </c>
      <c r="P3639" t="str">
        <f>IFERROR(__xludf.DUMMYFUNCTION("""COMPUTED_VALUE"""),"ID ")</f>
        <v>ID </v>
      </c>
    </row>
    <row r="3640">
      <c r="A3640" s="6" t="str">
        <f>IFERROR(__xludf.DUMMYFUNCTION("""COMPUTED_VALUE"""),"")</f>
        <v/>
      </c>
      <c r="C3640" t="str">
        <f>IFERROR(__xludf.DUMMYFUNCTION("""COMPUTED_VALUE"""),"")</f>
        <v/>
      </c>
      <c r="D3640" t="str">
        <f>IFERROR(__xludf.DUMMYFUNCTION("""COMPUTED_VALUE"""),"")</f>
        <v/>
      </c>
      <c r="E3640" t="str">
        <f>IFERROR(__xludf.DUMMYFUNCTION("""COMPUTED_VALUE"""),"")</f>
        <v/>
      </c>
      <c r="F3640" t="str">
        <f>IFERROR(__xludf.DUMMYFUNCTION("""COMPUTED_VALUE"""),"")</f>
        <v/>
      </c>
      <c r="G3640" t="str">
        <f>IFERROR(__xludf.DUMMYFUNCTION("""COMPUTED_VALUE"""),"")</f>
        <v/>
      </c>
      <c r="H3640" s="2" t="str">
        <f>IFERROR(__xludf.DUMMYFUNCTION("""COMPUTED_VALUE"""),"")</f>
        <v/>
      </c>
      <c r="I3640" s="2" t="str">
        <f>IFERROR(__xludf.DUMMYFUNCTION("""COMPUTED_VALUE"""),"")</f>
        <v/>
      </c>
      <c r="J3640" s="2">
        <f>IFERROR(__xludf.DUMMYFUNCTION("""COMPUTED_VALUE"""),0.0)</f>
        <v>0</v>
      </c>
      <c r="K3640" s="5" t="str">
        <f>IFERROR(__xludf.DUMMYFUNCTION("""COMPUTED_VALUE"""),"")</f>
        <v/>
      </c>
      <c r="L3640" t="str">
        <f>IFERROR(__xludf.DUMMYFUNCTION("""COMPUTED_VALUE"""),"")</f>
        <v/>
      </c>
      <c r="M3640" t="str">
        <f>IFERROR(__xludf.DUMMYFUNCTION("""COMPUTED_VALUE"""),"")</f>
        <v/>
      </c>
      <c r="N3640" t="str">
        <f>IFERROR(__xludf.DUMMYFUNCTION("""COMPUTED_VALUE"""),"")</f>
        <v/>
      </c>
      <c r="O3640" t="str">
        <f>IFERROR(__xludf.DUMMYFUNCTION("""COMPUTED_VALUE"""),"")</f>
        <v/>
      </c>
      <c r="P3640" t="str">
        <f>IFERROR(__xludf.DUMMYFUNCTION("""COMPUTED_VALUE"""),"ID ")</f>
        <v>ID </v>
      </c>
    </row>
    <row r="3641">
      <c r="A3641" s="6" t="str">
        <f>IFERROR(__xludf.DUMMYFUNCTION("""COMPUTED_VALUE"""),"")</f>
        <v/>
      </c>
      <c r="C3641" t="str">
        <f>IFERROR(__xludf.DUMMYFUNCTION("""COMPUTED_VALUE"""),"")</f>
        <v/>
      </c>
      <c r="D3641" t="str">
        <f>IFERROR(__xludf.DUMMYFUNCTION("""COMPUTED_VALUE"""),"")</f>
        <v/>
      </c>
      <c r="E3641" t="str">
        <f>IFERROR(__xludf.DUMMYFUNCTION("""COMPUTED_VALUE"""),"")</f>
        <v/>
      </c>
      <c r="F3641" t="str">
        <f>IFERROR(__xludf.DUMMYFUNCTION("""COMPUTED_VALUE"""),"")</f>
        <v/>
      </c>
      <c r="G3641" t="str">
        <f>IFERROR(__xludf.DUMMYFUNCTION("""COMPUTED_VALUE"""),"")</f>
        <v/>
      </c>
      <c r="H3641" s="2" t="str">
        <f>IFERROR(__xludf.DUMMYFUNCTION("""COMPUTED_VALUE"""),"")</f>
        <v/>
      </c>
      <c r="I3641" s="2" t="str">
        <f>IFERROR(__xludf.DUMMYFUNCTION("""COMPUTED_VALUE"""),"")</f>
        <v/>
      </c>
      <c r="J3641" s="2">
        <f>IFERROR(__xludf.DUMMYFUNCTION("""COMPUTED_VALUE"""),0.0)</f>
        <v>0</v>
      </c>
      <c r="K3641" s="5" t="str">
        <f>IFERROR(__xludf.DUMMYFUNCTION("""COMPUTED_VALUE"""),"")</f>
        <v/>
      </c>
      <c r="L3641" t="str">
        <f>IFERROR(__xludf.DUMMYFUNCTION("""COMPUTED_VALUE"""),"")</f>
        <v/>
      </c>
      <c r="M3641" t="str">
        <f>IFERROR(__xludf.DUMMYFUNCTION("""COMPUTED_VALUE"""),"")</f>
        <v/>
      </c>
      <c r="N3641" t="str">
        <f>IFERROR(__xludf.DUMMYFUNCTION("""COMPUTED_VALUE"""),"")</f>
        <v/>
      </c>
      <c r="O3641" t="str">
        <f>IFERROR(__xludf.DUMMYFUNCTION("""COMPUTED_VALUE"""),"")</f>
        <v/>
      </c>
      <c r="P3641" t="str">
        <f>IFERROR(__xludf.DUMMYFUNCTION("""COMPUTED_VALUE"""),"ID ")</f>
        <v>ID </v>
      </c>
    </row>
    <row r="3642">
      <c r="A3642" s="6" t="str">
        <f>IFERROR(__xludf.DUMMYFUNCTION("""COMPUTED_VALUE"""),"")</f>
        <v/>
      </c>
      <c r="C3642" t="str">
        <f>IFERROR(__xludf.DUMMYFUNCTION("""COMPUTED_VALUE"""),"")</f>
        <v/>
      </c>
      <c r="D3642" t="str">
        <f>IFERROR(__xludf.DUMMYFUNCTION("""COMPUTED_VALUE"""),"")</f>
        <v/>
      </c>
      <c r="E3642" t="str">
        <f>IFERROR(__xludf.DUMMYFUNCTION("""COMPUTED_VALUE"""),"")</f>
        <v/>
      </c>
      <c r="F3642" t="str">
        <f>IFERROR(__xludf.DUMMYFUNCTION("""COMPUTED_VALUE"""),"")</f>
        <v/>
      </c>
      <c r="G3642" t="str">
        <f>IFERROR(__xludf.DUMMYFUNCTION("""COMPUTED_VALUE"""),"")</f>
        <v/>
      </c>
      <c r="H3642" s="2" t="str">
        <f>IFERROR(__xludf.DUMMYFUNCTION("""COMPUTED_VALUE"""),"")</f>
        <v/>
      </c>
      <c r="I3642" s="2" t="str">
        <f>IFERROR(__xludf.DUMMYFUNCTION("""COMPUTED_VALUE"""),"")</f>
        <v/>
      </c>
      <c r="J3642" s="2">
        <f>IFERROR(__xludf.DUMMYFUNCTION("""COMPUTED_VALUE"""),0.0)</f>
        <v>0</v>
      </c>
      <c r="K3642" s="5" t="str">
        <f>IFERROR(__xludf.DUMMYFUNCTION("""COMPUTED_VALUE"""),"")</f>
        <v/>
      </c>
      <c r="L3642" t="str">
        <f>IFERROR(__xludf.DUMMYFUNCTION("""COMPUTED_VALUE"""),"")</f>
        <v/>
      </c>
      <c r="M3642" t="str">
        <f>IFERROR(__xludf.DUMMYFUNCTION("""COMPUTED_VALUE"""),"")</f>
        <v/>
      </c>
      <c r="N3642" t="str">
        <f>IFERROR(__xludf.DUMMYFUNCTION("""COMPUTED_VALUE"""),"")</f>
        <v/>
      </c>
      <c r="O3642" t="str">
        <f>IFERROR(__xludf.DUMMYFUNCTION("""COMPUTED_VALUE"""),"")</f>
        <v/>
      </c>
      <c r="P3642" t="str">
        <f>IFERROR(__xludf.DUMMYFUNCTION("""COMPUTED_VALUE"""),"ID ")</f>
        <v>ID </v>
      </c>
    </row>
    <row r="3643">
      <c r="A3643" s="6" t="str">
        <f>IFERROR(__xludf.DUMMYFUNCTION("""COMPUTED_VALUE"""),"")</f>
        <v/>
      </c>
      <c r="C3643" t="str">
        <f>IFERROR(__xludf.DUMMYFUNCTION("""COMPUTED_VALUE"""),"")</f>
        <v/>
      </c>
      <c r="D3643" t="str">
        <f>IFERROR(__xludf.DUMMYFUNCTION("""COMPUTED_VALUE"""),"")</f>
        <v/>
      </c>
      <c r="E3643" t="str">
        <f>IFERROR(__xludf.DUMMYFUNCTION("""COMPUTED_VALUE"""),"")</f>
        <v/>
      </c>
      <c r="F3643" t="str">
        <f>IFERROR(__xludf.DUMMYFUNCTION("""COMPUTED_VALUE"""),"")</f>
        <v/>
      </c>
      <c r="G3643" t="str">
        <f>IFERROR(__xludf.DUMMYFUNCTION("""COMPUTED_VALUE"""),"")</f>
        <v/>
      </c>
      <c r="H3643" s="2" t="str">
        <f>IFERROR(__xludf.DUMMYFUNCTION("""COMPUTED_VALUE"""),"")</f>
        <v/>
      </c>
      <c r="I3643" s="2" t="str">
        <f>IFERROR(__xludf.DUMMYFUNCTION("""COMPUTED_VALUE"""),"")</f>
        <v/>
      </c>
      <c r="J3643" s="2">
        <f>IFERROR(__xludf.DUMMYFUNCTION("""COMPUTED_VALUE"""),0.0)</f>
        <v>0</v>
      </c>
      <c r="K3643" s="5" t="str">
        <f>IFERROR(__xludf.DUMMYFUNCTION("""COMPUTED_VALUE"""),"")</f>
        <v/>
      </c>
      <c r="L3643" t="str">
        <f>IFERROR(__xludf.DUMMYFUNCTION("""COMPUTED_VALUE"""),"")</f>
        <v/>
      </c>
      <c r="M3643" t="str">
        <f>IFERROR(__xludf.DUMMYFUNCTION("""COMPUTED_VALUE"""),"")</f>
        <v/>
      </c>
      <c r="N3643" t="str">
        <f>IFERROR(__xludf.DUMMYFUNCTION("""COMPUTED_VALUE"""),"")</f>
        <v/>
      </c>
      <c r="O3643" t="str">
        <f>IFERROR(__xludf.DUMMYFUNCTION("""COMPUTED_VALUE"""),"")</f>
        <v/>
      </c>
      <c r="P3643" t="str">
        <f>IFERROR(__xludf.DUMMYFUNCTION("""COMPUTED_VALUE"""),"ID ")</f>
        <v>ID </v>
      </c>
    </row>
    <row r="3644">
      <c r="A3644" s="6" t="str">
        <f>IFERROR(__xludf.DUMMYFUNCTION("""COMPUTED_VALUE"""),"")</f>
        <v/>
      </c>
      <c r="C3644" t="str">
        <f>IFERROR(__xludf.DUMMYFUNCTION("""COMPUTED_VALUE"""),"")</f>
        <v/>
      </c>
      <c r="D3644" t="str">
        <f>IFERROR(__xludf.DUMMYFUNCTION("""COMPUTED_VALUE"""),"")</f>
        <v/>
      </c>
      <c r="E3644" t="str">
        <f>IFERROR(__xludf.DUMMYFUNCTION("""COMPUTED_VALUE"""),"")</f>
        <v/>
      </c>
      <c r="F3644" t="str">
        <f>IFERROR(__xludf.DUMMYFUNCTION("""COMPUTED_VALUE"""),"")</f>
        <v/>
      </c>
      <c r="G3644" t="str">
        <f>IFERROR(__xludf.DUMMYFUNCTION("""COMPUTED_VALUE"""),"")</f>
        <v/>
      </c>
      <c r="H3644" s="2" t="str">
        <f>IFERROR(__xludf.DUMMYFUNCTION("""COMPUTED_VALUE"""),"")</f>
        <v/>
      </c>
      <c r="I3644" s="2" t="str">
        <f>IFERROR(__xludf.DUMMYFUNCTION("""COMPUTED_VALUE"""),"")</f>
        <v/>
      </c>
      <c r="J3644" s="2">
        <f>IFERROR(__xludf.DUMMYFUNCTION("""COMPUTED_VALUE"""),0.0)</f>
        <v>0</v>
      </c>
      <c r="K3644" s="5" t="str">
        <f>IFERROR(__xludf.DUMMYFUNCTION("""COMPUTED_VALUE"""),"")</f>
        <v/>
      </c>
      <c r="L3644" t="str">
        <f>IFERROR(__xludf.DUMMYFUNCTION("""COMPUTED_VALUE"""),"")</f>
        <v/>
      </c>
      <c r="M3644" t="str">
        <f>IFERROR(__xludf.DUMMYFUNCTION("""COMPUTED_VALUE"""),"")</f>
        <v/>
      </c>
      <c r="N3644" t="str">
        <f>IFERROR(__xludf.DUMMYFUNCTION("""COMPUTED_VALUE"""),"")</f>
        <v/>
      </c>
      <c r="O3644" t="str">
        <f>IFERROR(__xludf.DUMMYFUNCTION("""COMPUTED_VALUE"""),"")</f>
        <v/>
      </c>
      <c r="P3644" t="str">
        <f>IFERROR(__xludf.DUMMYFUNCTION("""COMPUTED_VALUE"""),"ID ")</f>
        <v>ID </v>
      </c>
    </row>
    <row r="3645">
      <c r="A3645" s="6" t="str">
        <f>IFERROR(__xludf.DUMMYFUNCTION("""COMPUTED_VALUE"""),"")</f>
        <v/>
      </c>
      <c r="C3645" t="str">
        <f>IFERROR(__xludf.DUMMYFUNCTION("""COMPUTED_VALUE"""),"")</f>
        <v/>
      </c>
      <c r="D3645" t="str">
        <f>IFERROR(__xludf.DUMMYFUNCTION("""COMPUTED_VALUE"""),"")</f>
        <v/>
      </c>
      <c r="E3645" t="str">
        <f>IFERROR(__xludf.DUMMYFUNCTION("""COMPUTED_VALUE"""),"")</f>
        <v/>
      </c>
      <c r="F3645" t="str">
        <f>IFERROR(__xludf.DUMMYFUNCTION("""COMPUTED_VALUE"""),"")</f>
        <v/>
      </c>
      <c r="G3645" t="str">
        <f>IFERROR(__xludf.DUMMYFUNCTION("""COMPUTED_VALUE"""),"")</f>
        <v/>
      </c>
      <c r="H3645" s="2" t="str">
        <f>IFERROR(__xludf.DUMMYFUNCTION("""COMPUTED_VALUE"""),"")</f>
        <v/>
      </c>
      <c r="I3645" s="2" t="str">
        <f>IFERROR(__xludf.DUMMYFUNCTION("""COMPUTED_VALUE"""),"")</f>
        <v/>
      </c>
      <c r="J3645" s="2">
        <f>IFERROR(__xludf.DUMMYFUNCTION("""COMPUTED_VALUE"""),0.0)</f>
        <v>0</v>
      </c>
      <c r="K3645" s="5" t="str">
        <f>IFERROR(__xludf.DUMMYFUNCTION("""COMPUTED_VALUE"""),"")</f>
        <v/>
      </c>
      <c r="L3645" t="str">
        <f>IFERROR(__xludf.DUMMYFUNCTION("""COMPUTED_VALUE"""),"")</f>
        <v/>
      </c>
      <c r="M3645" t="str">
        <f>IFERROR(__xludf.DUMMYFUNCTION("""COMPUTED_VALUE"""),"")</f>
        <v/>
      </c>
      <c r="N3645" t="str">
        <f>IFERROR(__xludf.DUMMYFUNCTION("""COMPUTED_VALUE"""),"")</f>
        <v/>
      </c>
      <c r="O3645" t="str">
        <f>IFERROR(__xludf.DUMMYFUNCTION("""COMPUTED_VALUE"""),"")</f>
        <v/>
      </c>
      <c r="P3645" t="str">
        <f>IFERROR(__xludf.DUMMYFUNCTION("""COMPUTED_VALUE"""),"ID ")</f>
        <v>ID </v>
      </c>
    </row>
    <row r="3646">
      <c r="A3646" s="6" t="str">
        <f>IFERROR(__xludf.DUMMYFUNCTION("""COMPUTED_VALUE"""),"")</f>
        <v/>
      </c>
      <c r="C3646" t="str">
        <f>IFERROR(__xludf.DUMMYFUNCTION("""COMPUTED_VALUE"""),"")</f>
        <v/>
      </c>
      <c r="D3646" t="str">
        <f>IFERROR(__xludf.DUMMYFUNCTION("""COMPUTED_VALUE"""),"")</f>
        <v/>
      </c>
      <c r="E3646" t="str">
        <f>IFERROR(__xludf.DUMMYFUNCTION("""COMPUTED_VALUE"""),"")</f>
        <v/>
      </c>
      <c r="F3646" t="str">
        <f>IFERROR(__xludf.DUMMYFUNCTION("""COMPUTED_VALUE"""),"")</f>
        <v/>
      </c>
      <c r="G3646" t="str">
        <f>IFERROR(__xludf.DUMMYFUNCTION("""COMPUTED_VALUE"""),"")</f>
        <v/>
      </c>
      <c r="H3646" s="2" t="str">
        <f>IFERROR(__xludf.DUMMYFUNCTION("""COMPUTED_VALUE"""),"")</f>
        <v/>
      </c>
      <c r="I3646" s="2" t="str">
        <f>IFERROR(__xludf.DUMMYFUNCTION("""COMPUTED_VALUE"""),"")</f>
        <v/>
      </c>
      <c r="J3646" s="2">
        <f>IFERROR(__xludf.DUMMYFUNCTION("""COMPUTED_VALUE"""),0.0)</f>
        <v>0</v>
      </c>
      <c r="K3646" s="5" t="str">
        <f>IFERROR(__xludf.DUMMYFUNCTION("""COMPUTED_VALUE"""),"")</f>
        <v/>
      </c>
      <c r="L3646" t="str">
        <f>IFERROR(__xludf.DUMMYFUNCTION("""COMPUTED_VALUE"""),"")</f>
        <v/>
      </c>
      <c r="M3646" t="str">
        <f>IFERROR(__xludf.DUMMYFUNCTION("""COMPUTED_VALUE"""),"")</f>
        <v/>
      </c>
      <c r="N3646" t="str">
        <f>IFERROR(__xludf.DUMMYFUNCTION("""COMPUTED_VALUE"""),"")</f>
        <v/>
      </c>
      <c r="O3646" t="str">
        <f>IFERROR(__xludf.DUMMYFUNCTION("""COMPUTED_VALUE"""),"")</f>
        <v/>
      </c>
      <c r="P3646" t="str">
        <f>IFERROR(__xludf.DUMMYFUNCTION("""COMPUTED_VALUE"""),"ID ")</f>
        <v>ID </v>
      </c>
    </row>
    <row r="3647">
      <c r="A3647" s="6" t="str">
        <f>IFERROR(__xludf.DUMMYFUNCTION("""COMPUTED_VALUE"""),"")</f>
        <v/>
      </c>
      <c r="C3647" t="str">
        <f>IFERROR(__xludf.DUMMYFUNCTION("""COMPUTED_VALUE"""),"")</f>
        <v/>
      </c>
      <c r="D3647" t="str">
        <f>IFERROR(__xludf.DUMMYFUNCTION("""COMPUTED_VALUE"""),"")</f>
        <v/>
      </c>
      <c r="E3647" t="str">
        <f>IFERROR(__xludf.DUMMYFUNCTION("""COMPUTED_VALUE"""),"")</f>
        <v/>
      </c>
      <c r="F3647" t="str">
        <f>IFERROR(__xludf.DUMMYFUNCTION("""COMPUTED_VALUE"""),"")</f>
        <v/>
      </c>
      <c r="G3647" t="str">
        <f>IFERROR(__xludf.DUMMYFUNCTION("""COMPUTED_VALUE"""),"")</f>
        <v/>
      </c>
      <c r="H3647" s="2" t="str">
        <f>IFERROR(__xludf.DUMMYFUNCTION("""COMPUTED_VALUE"""),"")</f>
        <v/>
      </c>
      <c r="I3647" s="2" t="str">
        <f>IFERROR(__xludf.DUMMYFUNCTION("""COMPUTED_VALUE"""),"")</f>
        <v/>
      </c>
      <c r="J3647" s="2">
        <f>IFERROR(__xludf.DUMMYFUNCTION("""COMPUTED_VALUE"""),0.0)</f>
        <v>0</v>
      </c>
      <c r="K3647" s="5" t="str">
        <f>IFERROR(__xludf.DUMMYFUNCTION("""COMPUTED_VALUE"""),"")</f>
        <v/>
      </c>
      <c r="L3647" t="str">
        <f>IFERROR(__xludf.DUMMYFUNCTION("""COMPUTED_VALUE"""),"")</f>
        <v/>
      </c>
      <c r="M3647" t="str">
        <f>IFERROR(__xludf.DUMMYFUNCTION("""COMPUTED_VALUE"""),"")</f>
        <v/>
      </c>
      <c r="N3647" t="str">
        <f>IFERROR(__xludf.DUMMYFUNCTION("""COMPUTED_VALUE"""),"")</f>
        <v/>
      </c>
      <c r="O3647" t="str">
        <f>IFERROR(__xludf.DUMMYFUNCTION("""COMPUTED_VALUE"""),"")</f>
        <v/>
      </c>
      <c r="P3647" t="str">
        <f>IFERROR(__xludf.DUMMYFUNCTION("""COMPUTED_VALUE"""),"ID ")</f>
        <v>ID </v>
      </c>
    </row>
    <row r="3648">
      <c r="A3648" s="6" t="str">
        <f>IFERROR(__xludf.DUMMYFUNCTION("""COMPUTED_VALUE"""),"")</f>
        <v/>
      </c>
      <c r="C3648" t="str">
        <f>IFERROR(__xludf.DUMMYFUNCTION("""COMPUTED_VALUE"""),"")</f>
        <v/>
      </c>
      <c r="D3648" t="str">
        <f>IFERROR(__xludf.DUMMYFUNCTION("""COMPUTED_VALUE"""),"")</f>
        <v/>
      </c>
      <c r="E3648" t="str">
        <f>IFERROR(__xludf.DUMMYFUNCTION("""COMPUTED_VALUE"""),"")</f>
        <v/>
      </c>
      <c r="F3648" t="str">
        <f>IFERROR(__xludf.DUMMYFUNCTION("""COMPUTED_VALUE"""),"")</f>
        <v/>
      </c>
      <c r="G3648" t="str">
        <f>IFERROR(__xludf.DUMMYFUNCTION("""COMPUTED_VALUE"""),"")</f>
        <v/>
      </c>
      <c r="H3648" s="2" t="str">
        <f>IFERROR(__xludf.DUMMYFUNCTION("""COMPUTED_VALUE"""),"")</f>
        <v/>
      </c>
      <c r="I3648" s="2" t="str">
        <f>IFERROR(__xludf.DUMMYFUNCTION("""COMPUTED_VALUE"""),"")</f>
        <v/>
      </c>
      <c r="J3648" s="2">
        <f>IFERROR(__xludf.DUMMYFUNCTION("""COMPUTED_VALUE"""),0.0)</f>
        <v>0</v>
      </c>
      <c r="K3648" s="5" t="str">
        <f>IFERROR(__xludf.DUMMYFUNCTION("""COMPUTED_VALUE"""),"")</f>
        <v/>
      </c>
      <c r="L3648" t="str">
        <f>IFERROR(__xludf.DUMMYFUNCTION("""COMPUTED_VALUE"""),"")</f>
        <v/>
      </c>
      <c r="M3648" t="str">
        <f>IFERROR(__xludf.DUMMYFUNCTION("""COMPUTED_VALUE"""),"")</f>
        <v/>
      </c>
      <c r="N3648" t="str">
        <f>IFERROR(__xludf.DUMMYFUNCTION("""COMPUTED_VALUE"""),"")</f>
        <v/>
      </c>
      <c r="O3648" t="str">
        <f>IFERROR(__xludf.DUMMYFUNCTION("""COMPUTED_VALUE"""),"")</f>
        <v/>
      </c>
      <c r="P3648" t="str">
        <f>IFERROR(__xludf.DUMMYFUNCTION("""COMPUTED_VALUE"""),"ID ")</f>
        <v>ID </v>
      </c>
    </row>
    <row r="3649">
      <c r="A3649" s="6" t="str">
        <f>IFERROR(__xludf.DUMMYFUNCTION("""COMPUTED_VALUE"""),"")</f>
        <v/>
      </c>
      <c r="C3649" t="str">
        <f>IFERROR(__xludf.DUMMYFUNCTION("""COMPUTED_VALUE"""),"")</f>
        <v/>
      </c>
      <c r="D3649" t="str">
        <f>IFERROR(__xludf.DUMMYFUNCTION("""COMPUTED_VALUE"""),"")</f>
        <v/>
      </c>
      <c r="E3649" t="str">
        <f>IFERROR(__xludf.DUMMYFUNCTION("""COMPUTED_VALUE"""),"")</f>
        <v/>
      </c>
      <c r="F3649" t="str">
        <f>IFERROR(__xludf.DUMMYFUNCTION("""COMPUTED_VALUE"""),"")</f>
        <v/>
      </c>
      <c r="G3649" t="str">
        <f>IFERROR(__xludf.DUMMYFUNCTION("""COMPUTED_VALUE"""),"")</f>
        <v/>
      </c>
      <c r="H3649" s="2" t="str">
        <f>IFERROR(__xludf.DUMMYFUNCTION("""COMPUTED_VALUE"""),"")</f>
        <v/>
      </c>
      <c r="I3649" s="2" t="str">
        <f>IFERROR(__xludf.DUMMYFUNCTION("""COMPUTED_VALUE"""),"")</f>
        <v/>
      </c>
      <c r="J3649" s="2">
        <f>IFERROR(__xludf.DUMMYFUNCTION("""COMPUTED_VALUE"""),0.0)</f>
        <v>0</v>
      </c>
      <c r="K3649" s="5" t="str">
        <f>IFERROR(__xludf.DUMMYFUNCTION("""COMPUTED_VALUE"""),"")</f>
        <v/>
      </c>
      <c r="L3649" t="str">
        <f>IFERROR(__xludf.DUMMYFUNCTION("""COMPUTED_VALUE"""),"")</f>
        <v/>
      </c>
      <c r="M3649" t="str">
        <f>IFERROR(__xludf.DUMMYFUNCTION("""COMPUTED_VALUE"""),"")</f>
        <v/>
      </c>
      <c r="N3649" t="str">
        <f>IFERROR(__xludf.DUMMYFUNCTION("""COMPUTED_VALUE"""),"")</f>
        <v/>
      </c>
      <c r="O3649" t="str">
        <f>IFERROR(__xludf.DUMMYFUNCTION("""COMPUTED_VALUE"""),"")</f>
        <v/>
      </c>
      <c r="P3649" t="str">
        <f>IFERROR(__xludf.DUMMYFUNCTION("""COMPUTED_VALUE"""),"ID ")</f>
        <v>ID </v>
      </c>
    </row>
    <row r="3650">
      <c r="A3650" s="6" t="str">
        <f>IFERROR(__xludf.DUMMYFUNCTION("""COMPUTED_VALUE"""),"")</f>
        <v/>
      </c>
      <c r="C3650" t="str">
        <f>IFERROR(__xludf.DUMMYFUNCTION("""COMPUTED_VALUE"""),"")</f>
        <v/>
      </c>
      <c r="D3650" t="str">
        <f>IFERROR(__xludf.DUMMYFUNCTION("""COMPUTED_VALUE"""),"")</f>
        <v/>
      </c>
      <c r="E3650" t="str">
        <f>IFERROR(__xludf.DUMMYFUNCTION("""COMPUTED_VALUE"""),"")</f>
        <v/>
      </c>
      <c r="F3650" t="str">
        <f>IFERROR(__xludf.DUMMYFUNCTION("""COMPUTED_VALUE"""),"")</f>
        <v/>
      </c>
      <c r="G3650" t="str">
        <f>IFERROR(__xludf.DUMMYFUNCTION("""COMPUTED_VALUE"""),"")</f>
        <v/>
      </c>
      <c r="H3650" s="2" t="str">
        <f>IFERROR(__xludf.DUMMYFUNCTION("""COMPUTED_VALUE"""),"")</f>
        <v/>
      </c>
      <c r="I3650" s="2" t="str">
        <f>IFERROR(__xludf.DUMMYFUNCTION("""COMPUTED_VALUE"""),"")</f>
        <v/>
      </c>
      <c r="J3650" s="2">
        <f>IFERROR(__xludf.DUMMYFUNCTION("""COMPUTED_VALUE"""),0.0)</f>
        <v>0</v>
      </c>
      <c r="K3650" s="5" t="str">
        <f>IFERROR(__xludf.DUMMYFUNCTION("""COMPUTED_VALUE"""),"")</f>
        <v/>
      </c>
      <c r="L3650" t="str">
        <f>IFERROR(__xludf.DUMMYFUNCTION("""COMPUTED_VALUE"""),"")</f>
        <v/>
      </c>
      <c r="M3650" t="str">
        <f>IFERROR(__xludf.DUMMYFUNCTION("""COMPUTED_VALUE"""),"")</f>
        <v/>
      </c>
      <c r="N3650" t="str">
        <f>IFERROR(__xludf.DUMMYFUNCTION("""COMPUTED_VALUE"""),"")</f>
        <v/>
      </c>
      <c r="O3650" t="str">
        <f>IFERROR(__xludf.DUMMYFUNCTION("""COMPUTED_VALUE"""),"")</f>
        <v/>
      </c>
      <c r="P3650" t="str">
        <f>IFERROR(__xludf.DUMMYFUNCTION("""COMPUTED_VALUE"""),"ID ")</f>
        <v>ID </v>
      </c>
    </row>
    <row r="3651">
      <c r="A3651" s="6" t="str">
        <f>IFERROR(__xludf.DUMMYFUNCTION("""COMPUTED_VALUE"""),"")</f>
        <v/>
      </c>
      <c r="C3651" t="str">
        <f>IFERROR(__xludf.DUMMYFUNCTION("""COMPUTED_VALUE"""),"")</f>
        <v/>
      </c>
      <c r="D3651" t="str">
        <f>IFERROR(__xludf.DUMMYFUNCTION("""COMPUTED_VALUE"""),"")</f>
        <v/>
      </c>
      <c r="E3651" t="str">
        <f>IFERROR(__xludf.DUMMYFUNCTION("""COMPUTED_VALUE"""),"")</f>
        <v/>
      </c>
      <c r="F3651" t="str">
        <f>IFERROR(__xludf.DUMMYFUNCTION("""COMPUTED_VALUE"""),"")</f>
        <v/>
      </c>
      <c r="G3651" t="str">
        <f>IFERROR(__xludf.DUMMYFUNCTION("""COMPUTED_VALUE"""),"")</f>
        <v/>
      </c>
      <c r="H3651" s="2" t="str">
        <f>IFERROR(__xludf.DUMMYFUNCTION("""COMPUTED_VALUE"""),"")</f>
        <v/>
      </c>
      <c r="I3651" s="2" t="str">
        <f>IFERROR(__xludf.DUMMYFUNCTION("""COMPUTED_VALUE"""),"")</f>
        <v/>
      </c>
      <c r="J3651" s="2">
        <f>IFERROR(__xludf.DUMMYFUNCTION("""COMPUTED_VALUE"""),0.0)</f>
        <v>0</v>
      </c>
      <c r="K3651" s="5" t="str">
        <f>IFERROR(__xludf.DUMMYFUNCTION("""COMPUTED_VALUE"""),"")</f>
        <v/>
      </c>
      <c r="L3651" t="str">
        <f>IFERROR(__xludf.DUMMYFUNCTION("""COMPUTED_VALUE"""),"")</f>
        <v/>
      </c>
      <c r="M3651" t="str">
        <f>IFERROR(__xludf.DUMMYFUNCTION("""COMPUTED_VALUE"""),"")</f>
        <v/>
      </c>
      <c r="N3651" t="str">
        <f>IFERROR(__xludf.DUMMYFUNCTION("""COMPUTED_VALUE"""),"")</f>
        <v/>
      </c>
      <c r="O3651" t="str">
        <f>IFERROR(__xludf.DUMMYFUNCTION("""COMPUTED_VALUE"""),"")</f>
        <v/>
      </c>
      <c r="P3651" t="str">
        <f>IFERROR(__xludf.DUMMYFUNCTION("""COMPUTED_VALUE"""),"ID ")</f>
        <v>ID </v>
      </c>
    </row>
    <row r="3652">
      <c r="A3652" s="6" t="str">
        <f>IFERROR(__xludf.DUMMYFUNCTION("""COMPUTED_VALUE"""),"")</f>
        <v/>
      </c>
      <c r="C3652" t="str">
        <f>IFERROR(__xludf.DUMMYFUNCTION("""COMPUTED_VALUE"""),"")</f>
        <v/>
      </c>
      <c r="D3652" t="str">
        <f>IFERROR(__xludf.DUMMYFUNCTION("""COMPUTED_VALUE"""),"")</f>
        <v/>
      </c>
      <c r="E3652" t="str">
        <f>IFERROR(__xludf.DUMMYFUNCTION("""COMPUTED_VALUE"""),"")</f>
        <v/>
      </c>
      <c r="F3652" t="str">
        <f>IFERROR(__xludf.DUMMYFUNCTION("""COMPUTED_VALUE"""),"")</f>
        <v/>
      </c>
      <c r="G3652" t="str">
        <f>IFERROR(__xludf.DUMMYFUNCTION("""COMPUTED_VALUE"""),"")</f>
        <v/>
      </c>
      <c r="H3652" s="2" t="str">
        <f>IFERROR(__xludf.DUMMYFUNCTION("""COMPUTED_VALUE"""),"")</f>
        <v/>
      </c>
      <c r="I3652" s="2" t="str">
        <f>IFERROR(__xludf.DUMMYFUNCTION("""COMPUTED_VALUE"""),"")</f>
        <v/>
      </c>
      <c r="J3652" s="2">
        <f>IFERROR(__xludf.DUMMYFUNCTION("""COMPUTED_VALUE"""),0.0)</f>
        <v>0</v>
      </c>
      <c r="K3652" s="5" t="str">
        <f>IFERROR(__xludf.DUMMYFUNCTION("""COMPUTED_VALUE"""),"")</f>
        <v/>
      </c>
      <c r="L3652" t="str">
        <f>IFERROR(__xludf.DUMMYFUNCTION("""COMPUTED_VALUE"""),"")</f>
        <v/>
      </c>
      <c r="M3652" t="str">
        <f>IFERROR(__xludf.DUMMYFUNCTION("""COMPUTED_VALUE"""),"")</f>
        <v/>
      </c>
      <c r="N3652" t="str">
        <f>IFERROR(__xludf.DUMMYFUNCTION("""COMPUTED_VALUE"""),"")</f>
        <v/>
      </c>
      <c r="O3652" t="str">
        <f>IFERROR(__xludf.DUMMYFUNCTION("""COMPUTED_VALUE"""),"")</f>
        <v/>
      </c>
      <c r="P3652" t="str">
        <f>IFERROR(__xludf.DUMMYFUNCTION("""COMPUTED_VALUE"""),"ID ")</f>
        <v>ID </v>
      </c>
    </row>
    <row r="3653">
      <c r="A3653" s="6" t="str">
        <f>IFERROR(__xludf.DUMMYFUNCTION("""COMPUTED_VALUE"""),"")</f>
        <v/>
      </c>
      <c r="C3653" t="str">
        <f>IFERROR(__xludf.DUMMYFUNCTION("""COMPUTED_VALUE"""),"")</f>
        <v/>
      </c>
      <c r="D3653" t="str">
        <f>IFERROR(__xludf.DUMMYFUNCTION("""COMPUTED_VALUE"""),"")</f>
        <v/>
      </c>
      <c r="E3653" t="str">
        <f>IFERROR(__xludf.DUMMYFUNCTION("""COMPUTED_VALUE"""),"")</f>
        <v/>
      </c>
      <c r="F3653" t="str">
        <f>IFERROR(__xludf.DUMMYFUNCTION("""COMPUTED_VALUE"""),"")</f>
        <v/>
      </c>
      <c r="G3653" t="str">
        <f>IFERROR(__xludf.DUMMYFUNCTION("""COMPUTED_VALUE"""),"")</f>
        <v/>
      </c>
      <c r="H3653" s="2" t="str">
        <f>IFERROR(__xludf.DUMMYFUNCTION("""COMPUTED_VALUE"""),"")</f>
        <v/>
      </c>
      <c r="I3653" s="2" t="str">
        <f>IFERROR(__xludf.DUMMYFUNCTION("""COMPUTED_VALUE"""),"")</f>
        <v/>
      </c>
      <c r="J3653" s="2">
        <f>IFERROR(__xludf.DUMMYFUNCTION("""COMPUTED_VALUE"""),0.0)</f>
        <v>0</v>
      </c>
      <c r="K3653" s="5" t="str">
        <f>IFERROR(__xludf.DUMMYFUNCTION("""COMPUTED_VALUE"""),"")</f>
        <v/>
      </c>
      <c r="L3653" t="str">
        <f>IFERROR(__xludf.DUMMYFUNCTION("""COMPUTED_VALUE"""),"")</f>
        <v/>
      </c>
      <c r="M3653" t="str">
        <f>IFERROR(__xludf.DUMMYFUNCTION("""COMPUTED_VALUE"""),"")</f>
        <v/>
      </c>
      <c r="N3653" t="str">
        <f>IFERROR(__xludf.DUMMYFUNCTION("""COMPUTED_VALUE"""),"")</f>
        <v/>
      </c>
      <c r="O3653" t="str">
        <f>IFERROR(__xludf.DUMMYFUNCTION("""COMPUTED_VALUE"""),"")</f>
        <v/>
      </c>
      <c r="P3653" t="str">
        <f>IFERROR(__xludf.DUMMYFUNCTION("""COMPUTED_VALUE"""),"ID ")</f>
        <v>ID </v>
      </c>
    </row>
    <row r="3654">
      <c r="A3654" s="6" t="str">
        <f>IFERROR(__xludf.DUMMYFUNCTION("""COMPUTED_VALUE"""),"")</f>
        <v/>
      </c>
      <c r="C3654" t="str">
        <f>IFERROR(__xludf.DUMMYFUNCTION("""COMPUTED_VALUE"""),"")</f>
        <v/>
      </c>
      <c r="D3654" t="str">
        <f>IFERROR(__xludf.DUMMYFUNCTION("""COMPUTED_VALUE"""),"")</f>
        <v/>
      </c>
      <c r="E3654" t="str">
        <f>IFERROR(__xludf.DUMMYFUNCTION("""COMPUTED_VALUE"""),"")</f>
        <v/>
      </c>
      <c r="F3654" t="str">
        <f>IFERROR(__xludf.DUMMYFUNCTION("""COMPUTED_VALUE"""),"")</f>
        <v/>
      </c>
      <c r="G3654" t="str">
        <f>IFERROR(__xludf.DUMMYFUNCTION("""COMPUTED_VALUE"""),"")</f>
        <v/>
      </c>
      <c r="H3654" s="2" t="str">
        <f>IFERROR(__xludf.DUMMYFUNCTION("""COMPUTED_VALUE"""),"")</f>
        <v/>
      </c>
      <c r="I3654" s="2" t="str">
        <f>IFERROR(__xludf.DUMMYFUNCTION("""COMPUTED_VALUE"""),"")</f>
        <v/>
      </c>
      <c r="J3654" s="2">
        <f>IFERROR(__xludf.DUMMYFUNCTION("""COMPUTED_VALUE"""),0.0)</f>
        <v>0</v>
      </c>
      <c r="K3654" s="5" t="str">
        <f>IFERROR(__xludf.DUMMYFUNCTION("""COMPUTED_VALUE"""),"")</f>
        <v/>
      </c>
      <c r="L3654" t="str">
        <f>IFERROR(__xludf.DUMMYFUNCTION("""COMPUTED_VALUE"""),"")</f>
        <v/>
      </c>
      <c r="M3654" t="str">
        <f>IFERROR(__xludf.DUMMYFUNCTION("""COMPUTED_VALUE"""),"")</f>
        <v/>
      </c>
      <c r="N3654" t="str">
        <f>IFERROR(__xludf.DUMMYFUNCTION("""COMPUTED_VALUE"""),"")</f>
        <v/>
      </c>
      <c r="O3654" t="str">
        <f>IFERROR(__xludf.DUMMYFUNCTION("""COMPUTED_VALUE"""),"")</f>
        <v/>
      </c>
      <c r="P3654" t="str">
        <f>IFERROR(__xludf.DUMMYFUNCTION("""COMPUTED_VALUE"""),"ID ")</f>
        <v>ID </v>
      </c>
    </row>
    <row r="3655">
      <c r="A3655" s="6" t="str">
        <f>IFERROR(__xludf.DUMMYFUNCTION("""COMPUTED_VALUE"""),"")</f>
        <v/>
      </c>
      <c r="C3655" t="str">
        <f>IFERROR(__xludf.DUMMYFUNCTION("""COMPUTED_VALUE"""),"")</f>
        <v/>
      </c>
      <c r="D3655" t="str">
        <f>IFERROR(__xludf.DUMMYFUNCTION("""COMPUTED_VALUE"""),"")</f>
        <v/>
      </c>
      <c r="E3655" t="str">
        <f>IFERROR(__xludf.DUMMYFUNCTION("""COMPUTED_VALUE"""),"")</f>
        <v/>
      </c>
      <c r="F3655" t="str">
        <f>IFERROR(__xludf.DUMMYFUNCTION("""COMPUTED_VALUE"""),"")</f>
        <v/>
      </c>
      <c r="G3655" t="str">
        <f>IFERROR(__xludf.DUMMYFUNCTION("""COMPUTED_VALUE"""),"")</f>
        <v/>
      </c>
      <c r="H3655" s="2" t="str">
        <f>IFERROR(__xludf.DUMMYFUNCTION("""COMPUTED_VALUE"""),"")</f>
        <v/>
      </c>
      <c r="I3655" s="2" t="str">
        <f>IFERROR(__xludf.DUMMYFUNCTION("""COMPUTED_VALUE"""),"")</f>
        <v/>
      </c>
      <c r="J3655" s="2">
        <f>IFERROR(__xludf.DUMMYFUNCTION("""COMPUTED_VALUE"""),0.0)</f>
        <v>0</v>
      </c>
      <c r="K3655" s="5" t="str">
        <f>IFERROR(__xludf.DUMMYFUNCTION("""COMPUTED_VALUE"""),"")</f>
        <v/>
      </c>
      <c r="L3655" t="str">
        <f>IFERROR(__xludf.DUMMYFUNCTION("""COMPUTED_VALUE"""),"")</f>
        <v/>
      </c>
      <c r="M3655" t="str">
        <f>IFERROR(__xludf.DUMMYFUNCTION("""COMPUTED_VALUE"""),"")</f>
        <v/>
      </c>
      <c r="N3655" t="str">
        <f>IFERROR(__xludf.DUMMYFUNCTION("""COMPUTED_VALUE"""),"")</f>
        <v/>
      </c>
      <c r="O3655" t="str">
        <f>IFERROR(__xludf.DUMMYFUNCTION("""COMPUTED_VALUE"""),"")</f>
        <v/>
      </c>
      <c r="P3655" t="str">
        <f>IFERROR(__xludf.DUMMYFUNCTION("""COMPUTED_VALUE"""),"ID ")</f>
        <v>ID </v>
      </c>
    </row>
    <row r="3656">
      <c r="A3656" s="6" t="str">
        <f>IFERROR(__xludf.DUMMYFUNCTION("""COMPUTED_VALUE"""),"")</f>
        <v/>
      </c>
      <c r="C3656" t="str">
        <f>IFERROR(__xludf.DUMMYFUNCTION("""COMPUTED_VALUE"""),"")</f>
        <v/>
      </c>
      <c r="D3656" t="str">
        <f>IFERROR(__xludf.DUMMYFUNCTION("""COMPUTED_VALUE"""),"")</f>
        <v/>
      </c>
      <c r="E3656" t="str">
        <f>IFERROR(__xludf.DUMMYFUNCTION("""COMPUTED_VALUE"""),"")</f>
        <v/>
      </c>
      <c r="F3656" t="str">
        <f>IFERROR(__xludf.DUMMYFUNCTION("""COMPUTED_VALUE"""),"")</f>
        <v/>
      </c>
      <c r="G3656" t="str">
        <f>IFERROR(__xludf.DUMMYFUNCTION("""COMPUTED_VALUE"""),"")</f>
        <v/>
      </c>
      <c r="H3656" s="2" t="str">
        <f>IFERROR(__xludf.DUMMYFUNCTION("""COMPUTED_VALUE"""),"")</f>
        <v/>
      </c>
      <c r="I3656" s="2" t="str">
        <f>IFERROR(__xludf.DUMMYFUNCTION("""COMPUTED_VALUE"""),"")</f>
        <v/>
      </c>
      <c r="J3656" s="2">
        <f>IFERROR(__xludf.DUMMYFUNCTION("""COMPUTED_VALUE"""),0.0)</f>
        <v>0</v>
      </c>
      <c r="K3656" s="5" t="str">
        <f>IFERROR(__xludf.DUMMYFUNCTION("""COMPUTED_VALUE"""),"")</f>
        <v/>
      </c>
      <c r="L3656" t="str">
        <f>IFERROR(__xludf.DUMMYFUNCTION("""COMPUTED_VALUE"""),"")</f>
        <v/>
      </c>
      <c r="M3656" t="str">
        <f>IFERROR(__xludf.DUMMYFUNCTION("""COMPUTED_VALUE"""),"")</f>
        <v/>
      </c>
      <c r="N3656" t="str">
        <f>IFERROR(__xludf.DUMMYFUNCTION("""COMPUTED_VALUE"""),"")</f>
        <v/>
      </c>
      <c r="O3656" t="str">
        <f>IFERROR(__xludf.DUMMYFUNCTION("""COMPUTED_VALUE"""),"")</f>
        <v/>
      </c>
      <c r="P3656" t="str">
        <f>IFERROR(__xludf.DUMMYFUNCTION("""COMPUTED_VALUE"""),"ID ")</f>
        <v>ID </v>
      </c>
    </row>
    <row r="3657">
      <c r="A3657" s="6" t="str">
        <f>IFERROR(__xludf.DUMMYFUNCTION("""COMPUTED_VALUE"""),"")</f>
        <v/>
      </c>
      <c r="C3657" t="str">
        <f>IFERROR(__xludf.DUMMYFUNCTION("""COMPUTED_VALUE"""),"")</f>
        <v/>
      </c>
      <c r="D3657" t="str">
        <f>IFERROR(__xludf.DUMMYFUNCTION("""COMPUTED_VALUE"""),"")</f>
        <v/>
      </c>
      <c r="E3657" t="str">
        <f>IFERROR(__xludf.DUMMYFUNCTION("""COMPUTED_VALUE"""),"")</f>
        <v/>
      </c>
      <c r="F3657" t="str">
        <f>IFERROR(__xludf.DUMMYFUNCTION("""COMPUTED_VALUE"""),"")</f>
        <v/>
      </c>
      <c r="G3657" t="str">
        <f>IFERROR(__xludf.DUMMYFUNCTION("""COMPUTED_VALUE"""),"")</f>
        <v/>
      </c>
      <c r="H3657" s="2" t="str">
        <f>IFERROR(__xludf.DUMMYFUNCTION("""COMPUTED_VALUE"""),"")</f>
        <v/>
      </c>
      <c r="I3657" s="2" t="str">
        <f>IFERROR(__xludf.DUMMYFUNCTION("""COMPUTED_VALUE"""),"")</f>
        <v/>
      </c>
      <c r="J3657" s="2">
        <f>IFERROR(__xludf.DUMMYFUNCTION("""COMPUTED_VALUE"""),0.0)</f>
        <v>0</v>
      </c>
      <c r="K3657" s="5" t="str">
        <f>IFERROR(__xludf.DUMMYFUNCTION("""COMPUTED_VALUE"""),"")</f>
        <v/>
      </c>
      <c r="L3657" t="str">
        <f>IFERROR(__xludf.DUMMYFUNCTION("""COMPUTED_VALUE"""),"")</f>
        <v/>
      </c>
      <c r="M3657" t="str">
        <f>IFERROR(__xludf.DUMMYFUNCTION("""COMPUTED_VALUE"""),"")</f>
        <v/>
      </c>
      <c r="N3657" t="str">
        <f>IFERROR(__xludf.DUMMYFUNCTION("""COMPUTED_VALUE"""),"")</f>
        <v/>
      </c>
      <c r="O3657" t="str">
        <f>IFERROR(__xludf.DUMMYFUNCTION("""COMPUTED_VALUE"""),"")</f>
        <v/>
      </c>
      <c r="P3657" t="str">
        <f>IFERROR(__xludf.DUMMYFUNCTION("""COMPUTED_VALUE"""),"ID ")</f>
        <v>ID </v>
      </c>
    </row>
    <row r="3658">
      <c r="A3658" s="6" t="str">
        <f>IFERROR(__xludf.DUMMYFUNCTION("""COMPUTED_VALUE"""),"")</f>
        <v/>
      </c>
      <c r="C3658" t="str">
        <f>IFERROR(__xludf.DUMMYFUNCTION("""COMPUTED_VALUE"""),"")</f>
        <v/>
      </c>
      <c r="D3658" t="str">
        <f>IFERROR(__xludf.DUMMYFUNCTION("""COMPUTED_VALUE"""),"")</f>
        <v/>
      </c>
      <c r="E3658" t="str">
        <f>IFERROR(__xludf.DUMMYFUNCTION("""COMPUTED_VALUE"""),"")</f>
        <v/>
      </c>
      <c r="F3658" t="str">
        <f>IFERROR(__xludf.DUMMYFUNCTION("""COMPUTED_VALUE"""),"")</f>
        <v/>
      </c>
      <c r="G3658" t="str">
        <f>IFERROR(__xludf.DUMMYFUNCTION("""COMPUTED_VALUE"""),"")</f>
        <v/>
      </c>
      <c r="H3658" s="2" t="str">
        <f>IFERROR(__xludf.DUMMYFUNCTION("""COMPUTED_VALUE"""),"")</f>
        <v/>
      </c>
      <c r="I3658" s="2" t="str">
        <f>IFERROR(__xludf.DUMMYFUNCTION("""COMPUTED_VALUE"""),"")</f>
        <v/>
      </c>
      <c r="J3658" s="2">
        <f>IFERROR(__xludf.DUMMYFUNCTION("""COMPUTED_VALUE"""),0.0)</f>
        <v>0</v>
      </c>
      <c r="K3658" s="5" t="str">
        <f>IFERROR(__xludf.DUMMYFUNCTION("""COMPUTED_VALUE"""),"")</f>
        <v/>
      </c>
      <c r="L3658" t="str">
        <f>IFERROR(__xludf.DUMMYFUNCTION("""COMPUTED_VALUE"""),"")</f>
        <v/>
      </c>
      <c r="M3658" t="str">
        <f>IFERROR(__xludf.DUMMYFUNCTION("""COMPUTED_VALUE"""),"")</f>
        <v/>
      </c>
      <c r="N3658" t="str">
        <f>IFERROR(__xludf.DUMMYFUNCTION("""COMPUTED_VALUE"""),"")</f>
        <v/>
      </c>
      <c r="O3658" t="str">
        <f>IFERROR(__xludf.DUMMYFUNCTION("""COMPUTED_VALUE"""),"")</f>
        <v/>
      </c>
      <c r="P3658" t="str">
        <f>IFERROR(__xludf.DUMMYFUNCTION("""COMPUTED_VALUE"""),"ID ")</f>
        <v>ID </v>
      </c>
    </row>
    <row r="3659">
      <c r="A3659" s="6" t="str">
        <f>IFERROR(__xludf.DUMMYFUNCTION("""COMPUTED_VALUE"""),"")</f>
        <v/>
      </c>
      <c r="C3659" t="str">
        <f>IFERROR(__xludf.DUMMYFUNCTION("""COMPUTED_VALUE"""),"")</f>
        <v/>
      </c>
      <c r="D3659" t="str">
        <f>IFERROR(__xludf.DUMMYFUNCTION("""COMPUTED_VALUE"""),"")</f>
        <v/>
      </c>
      <c r="E3659" t="str">
        <f>IFERROR(__xludf.DUMMYFUNCTION("""COMPUTED_VALUE"""),"")</f>
        <v/>
      </c>
      <c r="F3659" t="str">
        <f>IFERROR(__xludf.DUMMYFUNCTION("""COMPUTED_VALUE"""),"")</f>
        <v/>
      </c>
      <c r="G3659" t="str">
        <f>IFERROR(__xludf.DUMMYFUNCTION("""COMPUTED_VALUE"""),"")</f>
        <v/>
      </c>
      <c r="H3659" s="2" t="str">
        <f>IFERROR(__xludf.DUMMYFUNCTION("""COMPUTED_VALUE"""),"")</f>
        <v/>
      </c>
      <c r="I3659" s="2" t="str">
        <f>IFERROR(__xludf.DUMMYFUNCTION("""COMPUTED_VALUE"""),"")</f>
        <v/>
      </c>
      <c r="J3659" s="2">
        <f>IFERROR(__xludf.DUMMYFUNCTION("""COMPUTED_VALUE"""),0.0)</f>
        <v>0</v>
      </c>
      <c r="K3659" s="5" t="str">
        <f>IFERROR(__xludf.DUMMYFUNCTION("""COMPUTED_VALUE"""),"")</f>
        <v/>
      </c>
      <c r="L3659" t="str">
        <f>IFERROR(__xludf.DUMMYFUNCTION("""COMPUTED_VALUE"""),"")</f>
        <v/>
      </c>
      <c r="M3659" t="str">
        <f>IFERROR(__xludf.DUMMYFUNCTION("""COMPUTED_VALUE"""),"")</f>
        <v/>
      </c>
      <c r="N3659" t="str">
        <f>IFERROR(__xludf.DUMMYFUNCTION("""COMPUTED_VALUE"""),"")</f>
        <v/>
      </c>
      <c r="O3659" t="str">
        <f>IFERROR(__xludf.DUMMYFUNCTION("""COMPUTED_VALUE"""),"")</f>
        <v/>
      </c>
      <c r="P3659" t="str">
        <f>IFERROR(__xludf.DUMMYFUNCTION("""COMPUTED_VALUE"""),"ID ")</f>
        <v>ID </v>
      </c>
    </row>
    <row r="3660">
      <c r="A3660" s="6" t="str">
        <f>IFERROR(__xludf.DUMMYFUNCTION("""COMPUTED_VALUE"""),"")</f>
        <v/>
      </c>
      <c r="C3660" t="str">
        <f>IFERROR(__xludf.DUMMYFUNCTION("""COMPUTED_VALUE"""),"")</f>
        <v/>
      </c>
      <c r="D3660" t="str">
        <f>IFERROR(__xludf.DUMMYFUNCTION("""COMPUTED_VALUE"""),"")</f>
        <v/>
      </c>
      <c r="E3660" t="str">
        <f>IFERROR(__xludf.DUMMYFUNCTION("""COMPUTED_VALUE"""),"")</f>
        <v/>
      </c>
      <c r="F3660" t="str">
        <f>IFERROR(__xludf.DUMMYFUNCTION("""COMPUTED_VALUE"""),"")</f>
        <v/>
      </c>
      <c r="G3660" t="str">
        <f>IFERROR(__xludf.DUMMYFUNCTION("""COMPUTED_VALUE"""),"")</f>
        <v/>
      </c>
      <c r="H3660" s="2" t="str">
        <f>IFERROR(__xludf.DUMMYFUNCTION("""COMPUTED_VALUE"""),"")</f>
        <v/>
      </c>
      <c r="I3660" s="2" t="str">
        <f>IFERROR(__xludf.DUMMYFUNCTION("""COMPUTED_VALUE"""),"")</f>
        <v/>
      </c>
      <c r="J3660" s="2">
        <f>IFERROR(__xludf.DUMMYFUNCTION("""COMPUTED_VALUE"""),0.0)</f>
        <v>0</v>
      </c>
      <c r="K3660" s="5" t="str">
        <f>IFERROR(__xludf.DUMMYFUNCTION("""COMPUTED_VALUE"""),"")</f>
        <v/>
      </c>
      <c r="L3660" t="str">
        <f>IFERROR(__xludf.DUMMYFUNCTION("""COMPUTED_VALUE"""),"")</f>
        <v/>
      </c>
      <c r="M3660" t="str">
        <f>IFERROR(__xludf.DUMMYFUNCTION("""COMPUTED_VALUE"""),"")</f>
        <v/>
      </c>
      <c r="N3660" t="str">
        <f>IFERROR(__xludf.DUMMYFUNCTION("""COMPUTED_VALUE"""),"")</f>
        <v/>
      </c>
      <c r="O3660" t="str">
        <f>IFERROR(__xludf.DUMMYFUNCTION("""COMPUTED_VALUE"""),"")</f>
        <v/>
      </c>
      <c r="P3660" t="str">
        <f>IFERROR(__xludf.DUMMYFUNCTION("""COMPUTED_VALUE"""),"ID ")</f>
        <v>ID </v>
      </c>
    </row>
    <row r="3661">
      <c r="A3661" s="6" t="str">
        <f>IFERROR(__xludf.DUMMYFUNCTION("""COMPUTED_VALUE"""),"")</f>
        <v/>
      </c>
      <c r="C3661" t="str">
        <f>IFERROR(__xludf.DUMMYFUNCTION("""COMPUTED_VALUE"""),"")</f>
        <v/>
      </c>
      <c r="D3661" t="str">
        <f>IFERROR(__xludf.DUMMYFUNCTION("""COMPUTED_VALUE"""),"")</f>
        <v/>
      </c>
      <c r="E3661" t="str">
        <f>IFERROR(__xludf.DUMMYFUNCTION("""COMPUTED_VALUE"""),"")</f>
        <v/>
      </c>
      <c r="F3661" t="str">
        <f>IFERROR(__xludf.DUMMYFUNCTION("""COMPUTED_VALUE"""),"")</f>
        <v/>
      </c>
      <c r="G3661" t="str">
        <f>IFERROR(__xludf.DUMMYFUNCTION("""COMPUTED_VALUE"""),"")</f>
        <v/>
      </c>
      <c r="H3661" s="2" t="str">
        <f>IFERROR(__xludf.DUMMYFUNCTION("""COMPUTED_VALUE"""),"")</f>
        <v/>
      </c>
      <c r="I3661" s="2" t="str">
        <f>IFERROR(__xludf.DUMMYFUNCTION("""COMPUTED_VALUE"""),"")</f>
        <v/>
      </c>
      <c r="J3661" s="2">
        <f>IFERROR(__xludf.DUMMYFUNCTION("""COMPUTED_VALUE"""),0.0)</f>
        <v>0</v>
      </c>
      <c r="K3661" s="5" t="str">
        <f>IFERROR(__xludf.DUMMYFUNCTION("""COMPUTED_VALUE"""),"")</f>
        <v/>
      </c>
      <c r="L3661" t="str">
        <f>IFERROR(__xludf.DUMMYFUNCTION("""COMPUTED_VALUE"""),"")</f>
        <v/>
      </c>
      <c r="M3661" t="str">
        <f>IFERROR(__xludf.DUMMYFUNCTION("""COMPUTED_VALUE"""),"")</f>
        <v/>
      </c>
      <c r="N3661" t="str">
        <f>IFERROR(__xludf.DUMMYFUNCTION("""COMPUTED_VALUE"""),"")</f>
        <v/>
      </c>
      <c r="O3661" t="str">
        <f>IFERROR(__xludf.DUMMYFUNCTION("""COMPUTED_VALUE"""),"")</f>
        <v/>
      </c>
      <c r="P3661" t="str">
        <f>IFERROR(__xludf.DUMMYFUNCTION("""COMPUTED_VALUE"""),"ID ")</f>
        <v>ID </v>
      </c>
    </row>
    <row r="3662">
      <c r="A3662" s="6" t="str">
        <f>IFERROR(__xludf.DUMMYFUNCTION("""COMPUTED_VALUE"""),"")</f>
        <v/>
      </c>
      <c r="C3662" t="str">
        <f>IFERROR(__xludf.DUMMYFUNCTION("""COMPUTED_VALUE"""),"")</f>
        <v/>
      </c>
      <c r="D3662" t="str">
        <f>IFERROR(__xludf.DUMMYFUNCTION("""COMPUTED_VALUE"""),"")</f>
        <v/>
      </c>
      <c r="E3662" t="str">
        <f>IFERROR(__xludf.DUMMYFUNCTION("""COMPUTED_VALUE"""),"")</f>
        <v/>
      </c>
      <c r="F3662" t="str">
        <f>IFERROR(__xludf.DUMMYFUNCTION("""COMPUTED_VALUE"""),"")</f>
        <v/>
      </c>
      <c r="G3662" t="str">
        <f>IFERROR(__xludf.DUMMYFUNCTION("""COMPUTED_VALUE"""),"")</f>
        <v/>
      </c>
      <c r="H3662" s="2" t="str">
        <f>IFERROR(__xludf.DUMMYFUNCTION("""COMPUTED_VALUE"""),"")</f>
        <v/>
      </c>
      <c r="I3662" s="2" t="str">
        <f>IFERROR(__xludf.DUMMYFUNCTION("""COMPUTED_VALUE"""),"")</f>
        <v/>
      </c>
      <c r="J3662" s="2">
        <f>IFERROR(__xludf.DUMMYFUNCTION("""COMPUTED_VALUE"""),0.0)</f>
        <v>0</v>
      </c>
      <c r="K3662" s="5" t="str">
        <f>IFERROR(__xludf.DUMMYFUNCTION("""COMPUTED_VALUE"""),"")</f>
        <v/>
      </c>
      <c r="L3662" t="str">
        <f>IFERROR(__xludf.DUMMYFUNCTION("""COMPUTED_VALUE"""),"")</f>
        <v/>
      </c>
      <c r="M3662" t="str">
        <f>IFERROR(__xludf.DUMMYFUNCTION("""COMPUTED_VALUE"""),"")</f>
        <v/>
      </c>
      <c r="N3662" t="str">
        <f>IFERROR(__xludf.DUMMYFUNCTION("""COMPUTED_VALUE"""),"")</f>
        <v/>
      </c>
      <c r="O3662" t="str">
        <f>IFERROR(__xludf.DUMMYFUNCTION("""COMPUTED_VALUE"""),"")</f>
        <v/>
      </c>
      <c r="P3662" t="str">
        <f>IFERROR(__xludf.DUMMYFUNCTION("""COMPUTED_VALUE"""),"ID ")</f>
        <v>ID </v>
      </c>
    </row>
    <row r="3663">
      <c r="A3663" s="6" t="str">
        <f>IFERROR(__xludf.DUMMYFUNCTION("""COMPUTED_VALUE"""),"")</f>
        <v/>
      </c>
      <c r="C3663" t="str">
        <f>IFERROR(__xludf.DUMMYFUNCTION("""COMPUTED_VALUE"""),"")</f>
        <v/>
      </c>
      <c r="D3663" t="str">
        <f>IFERROR(__xludf.DUMMYFUNCTION("""COMPUTED_VALUE"""),"")</f>
        <v/>
      </c>
      <c r="E3663" t="str">
        <f>IFERROR(__xludf.DUMMYFUNCTION("""COMPUTED_VALUE"""),"")</f>
        <v/>
      </c>
      <c r="F3663" t="str">
        <f>IFERROR(__xludf.DUMMYFUNCTION("""COMPUTED_VALUE"""),"")</f>
        <v/>
      </c>
      <c r="G3663" t="str">
        <f>IFERROR(__xludf.DUMMYFUNCTION("""COMPUTED_VALUE"""),"")</f>
        <v/>
      </c>
      <c r="H3663" s="2" t="str">
        <f>IFERROR(__xludf.DUMMYFUNCTION("""COMPUTED_VALUE"""),"")</f>
        <v/>
      </c>
      <c r="I3663" s="2" t="str">
        <f>IFERROR(__xludf.DUMMYFUNCTION("""COMPUTED_VALUE"""),"")</f>
        <v/>
      </c>
      <c r="J3663" s="2">
        <f>IFERROR(__xludf.DUMMYFUNCTION("""COMPUTED_VALUE"""),0.0)</f>
        <v>0</v>
      </c>
      <c r="K3663" s="5" t="str">
        <f>IFERROR(__xludf.DUMMYFUNCTION("""COMPUTED_VALUE"""),"")</f>
        <v/>
      </c>
      <c r="L3663" t="str">
        <f>IFERROR(__xludf.DUMMYFUNCTION("""COMPUTED_VALUE"""),"")</f>
        <v/>
      </c>
      <c r="M3663" t="str">
        <f>IFERROR(__xludf.DUMMYFUNCTION("""COMPUTED_VALUE"""),"")</f>
        <v/>
      </c>
      <c r="N3663" t="str">
        <f>IFERROR(__xludf.DUMMYFUNCTION("""COMPUTED_VALUE"""),"")</f>
        <v/>
      </c>
      <c r="O3663" t="str">
        <f>IFERROR(__xludf.DUMMYFUNCTION("""COMPUTED_VALUE"""),"")</f>
        <v/>
      </c>
      <c r="P3663" t="str">
        <f>IFERROR(__xludf.DUMMYFUNCTION("""COMPUTED_VALUE"""),"ID ")</f>
        <v>ID </v>
      </c>
    </row>
    <row r="3664">
      <c r="A3664" s="6" t="str">
        <f>IFERROR(__xludf.DUMMYFUNCTION("""COMPUTED_VALUE"""),"")</f>
        <v/>
      </c>
      <c r="C3664" t="str">
        <f>IFERROR(__xludf.DUMMYFUNCTION("""COMPUTED_VALUE"""),"")</f>
        <v/>
      </c>
      <c r="D3664" t="str">
        <f>IFERROR(__xludf.DUMMYFUNCTION("""COMPUTED_VALUE"""),"")</f>
        <v/>
      </c>
      <c r="E3664" t="str">
        <f>IFERROR(__xludf.DUMMYFUNCTION("""COMPUTED_VALUE"""),"")</f>
        <v/>
      </c>
      <c r="F3664" t="str">
        <f>IFERROR(__xludf.DUMMYFUNCTION("""COMPUTED_VALUE"""),"")</f>
        <v/>
      </c>
      <c r="G3664" t="str">
        <f>IFERROR(__xludf.DUMMYFUNCTION("""COMPUTED_VALUE"""),"")</f>
        <v/>
      </c>
      <c r="H3664" s="2" t="str">
        <f>IFERROR(__xludf.DUMMYFUNCTION("""COMPUTED_VALUE"""),"")</f>
        <v/>
      </c>
      <c r="I3664" s="2" t="str">
        <f>IFERROR(__xludf.DUMMYFUNCTION("""COMPUTED_VALUE"""),"")</f>
        <v/>
      </c>
      <c r="J3664" s="2">
        <f>IFERROR(__xludf.DUMMYFUNCTION("""COMPUTED_VALUE"""),0.0)</f>
        <v>0</v>
      </c>
      <c r="K3664" s="5" t="str">
        <f>IFERROR(__xludf.DUMMYFUNCTION("""COMPUTED_VALUE"""),"")</f>
        <v/>
      </c>
      <c r="L3664" t="str">
        <f>IFERROR(__xludf.DUMMYFUNCTION("""COMPUTED_VALUE"""),"")</f>
        <v/>
      </c>
      <c r="M3664" t="str">
        <f>IFERROR(__xludf.DUMMYFUNCTION("""COMPUTED_VALUE"""),"")</f>
        <v/>
      </c>
      <c r="N3664" t="str">
        <f>IFERROR(__xludf.DUMMYFUNCTION("""COMPUTED_VALUE"""),"")</f>
        <v/>
      </c>
      <c r="O3664" t="str">
        <f>IFERROR(__xludf.DUMMYFUNCTION("""COMPUTED_VALUE"""),"")</f>
        <v/>
      </c>
      <c r="P3664" t="str">
        <f>IFERROR(__xludf.DUMMYFUNCTION("""COMPUTED_VALUE"""),"ID ")</f>
        <v>ID </v>
      </c>
    </row>
    <row r="3665">
      <c r="A3665" s="6" t="str">
        <f>IFERROR(__xludf.DUMMYFUNCTION("""COMPUTED_VALUE"""),"")</f>
        <v/>
      </c>
      <c r="C3665" t="str">
        <f>IFERROR(__xludf.DUMMYFUNCTION("""COMPUTED_VALUE"""),"")</f>
        <v/>
      </c>
      <c r="D3665" t="str">
        <f>IFERROR(__xludf.DUMMYFUNCTION("""COMPUTED_VALUE"""),"")</f>
        <v/>
      </c>
      <c r="E3665" t="str">
        <f>IFERROR(__xludf.DUMMYFUNCTION("""COMPUTED_VALUE"""),"")</f>
        <v/>
      </c>
      <c r="F3665" t="str">
        <f>IFERROR(__xludf.DUMMYFUNCTION("""COMPUTED_VALUE"""),"")</f>
        <v/>
      </c>
      <c r="G3665" t="str">
        <f>IFERROR(__xludf.DUMMYFUNCTION("""COMPUTED_VALUE"""),"")</f>
        <v/>
      </c>
      <c r="H3665" s="2" t="str">
        <f>IFERROR(__xludf.DUMMYFUNCTION("""COMPUTED_VALUE"""),"")</f>
        <v/>
      </c>
      <c r="I3665" s="2" t="str">
        <f>IFERROR(__xludf.DUMMYFUNCTION("""COMPUTED_VALUE"""),"")</f>
        <v/>
      </c>
      <c r="J3665" s="2">
        <f>IFERROR(__xludf.DUMMYFUNCTION("""COMPUTED_VALUE"""),0.0)</f>
        <v>0</v>
      </c>
      <c r="K3665" s="5" t="str">
        <f>IFERROR(__xludf.DUMMYFUNCTION("""COMPUTED_VALUE"""),"")</f>
        <v/>
      </c>
      <c r="L3665" t="str">
        <f>IFERROR(__xludf.DUMMYFUNCTION("""COMPUTED_VALUE"""),"")</f>
        <v/>
      </c>
      <c r="M3665" t="str">
        <f>IFERROR(__xludf.DUMMYFUNCTION("""COMPUTED_VALUE"""),"")</f>
        <v/>
      </c>
      <c r="N3665" t="str">
        <f>IFERROR(__xludf.DUMMYFUNCTION("""COMPUTED_VALUE"""),"")</f>
        <v/>
      </c>
      <c r="O3665" t="str">
        <f>IFERROR(__xludf.DUMMYFUNCTION("""COMPUTED_VALUE"""),"")</f>
        <v/>
      </c>
      <c r="P3665" t="str">
        <f>IFERROR(__xludf.DUMMYFUNCTION("""COMPUTED_VALUE"""),"ID ")</f>
        <v>ID </v>
      </c>
    </row>
    <row r="3666">
      <c r="A3666" s="6" t="str">
        <f>IFERROR(__xludf.DUMMYFUNCTION("""COMPUTED_VALUE"""),"")</f>
        <v/>
      </c>
      <c r="C3666" t="str">
        <f>IFERROR(__xludf.DUMMYFUNCTION("""COMPUTED_VALUE"""),"")</f>
        <v/>
      </c>
      <c r="D3666" t="str">
        <f>IFERROR(__xludf.DUMMYFUNCTION("""COMPUTED_VALUE"""),"")</f>
        <v/>
      </c>
      <c r="E3666" t="str">
        <f>IFERROR(__xludf.DUMMYFUNCTION("""COMPUTED_VALUE"""),"")</f>
        <v/>
      </c>
      <c r="F3666" t="str">
        <f>IFERROR(__xludf.DUMMYFUNCTION("""COMPUTED_VALUE"""),"")</f>
        <v/>
      </c>
      <c r="G3666" t="str">
        <f>IFERROR(__xludf.DUMMYFUNCTION("""COMPUTED_VALUE"""),"")</f>
        <v/>
      </c>
      <c r="H3666" s="2" t="str">
        <f>IFERROR(__xludf.DUMMYFUNCTION("""COMPUTED_VALUE"""),"")</f>
        <v/>
      </c>
      <c r="I3666" s="2" t="str">
        <f>IFERROR(__xludf.DUMMYFUNCTION("""COMPUTED_VALUE"""),"")</f>
        <v/>
      </c>
      <c r="J3666" s="2">
        <f>IFERROR(__xludf.DUMMYFUNCTION("""COMPUTED_VALUE"""),0.0)</f>
        <v>0</v>
      </c>
      <c r="K3666" s="5" t="str">
        <f>IFERROR(__xludf.DUMMYFUNCTION("""COMPUTED_VALUE"""),"")</f>
        <v/>
      </c>
      <c r="L3666" t="str">
        <f>IFERROR(__xludf.DUMMYFUNCTION("""COMPUTED_VALUE"""),"")</f>
        <v/>
      </c>
      <c r="M3666" t="str">
        <f>IFERROR(__xludf.DUMMYFUNCTION("""COMPUTED_VALUE"""),"")</f>
        <v/>
      </c>
      <c r="N3666" t="str">
        <f>IFERROR(__xludf.DUMMYFUNCTION("""COMPUTED_VALUE"""),"")</f>
        <v/>
      </c>
      <c r="O3666" t="str">
        <f>IFERROR(__xludf.DUMMYFUNCTION("""COMPUTED_VALUE"""),"")</f>
        <v/>
      </c>
      <c r="P3666" t="str">
        <f>IFERROR(__xludf.DUMMYFUNCTION("""COMPUTED_VALUE"""),"ID ")</f>
        <v>ID </v>
      </c>
    </row>
    <row r="3667">
      <c r="A3667" s="6" t="str">
        <f>IFERROR(__xludf.DUMMYFUNCTION("""COMPUTED_VALUE"""),"")</f>
        <v/>
      </c>
      <c r="C3667" t="str">
        <f>IFERROR(__xludf.DUMMYFUNCTION("""COMPUTED_VALUE"""),"")</f>
        <v/>
      </c>
      <c r="D3667" t="str">
        <f>IFERROR(__xludf.DUMMYFUNCTION("""COMPUTED_VALUE"""),"")</f>
        <v/>
      </c>
      <c r="E3667" t="str">
        <f>IFERROR(__xludf.DUMMYFUNCTION("""COMPUTED_VALUE"""),"")</f>
        <v/>
      </c>
      <c r="F3667" t="str">
        <f>IFERROR(__xludf.DUMMYFUNCTION("""COMPUTED_VALUE"""),"")</f>
        <v/>
      </c>
      <c r="G3667" t="str">
        <f>IFERROR(__xludf.DUMMYFUNCTION("""COMPUTED_VALUE"""),"")</f>
        <v/>
      </c>
      <c r="H3667" s="2" t="str">
        <f>IFERROR(__xludf.DUMMYFUNCTION("""COMPUTED_VALUE"""),"")</f>
        <v/>
      </c>
      <c r="I3667" s="2" t="str">
        <f>IFERROR(__xludf.DUMMYFUNCTION("""COMPUTED_VALUE"""),"")</f>
        <v/>
      </c>
      <c r="J3667" s="2">
        <f>IFERROR(__xludf.DUMMYFUNCTION("""COMPUTED_VALUE"""),0.0)</f>
        <v>0</v>
      </c>
      <c r="K3667" s="5" t="str">
        <f>IFERROR(__xludf.DUMMYFUNCTION("""COMPUTED_VALUE"""),"")</f>
        <v/>
      </c>
      <c r="L3667" t="str">
        <f>IFERROR(__xludf.DUMMYFUNCTION("""COMPUTED_VALUE"""),"")</f>
        <v/>
      </c>
      <c r="M3667" t="str">
        <f>IFERROR(__xludf.DUMMYFUNCTION("""COMPUTED_VALUE"""),"")</f>
        <v/>
      </c>
      <c r="N3667" t="str">
        <f>IFERROR(__xludf.DUMMYFUNCTION("""COMPUTED_VALUE"""),"")</f>
        <v/>
      </c>
      <c r="O3667" t="str">
        <f>IFERROR(__xludf.DUMMYFUNCTION("""COMPUTED_VALUE"""),"")</f>
        <v/>
      </c>
      <c r="P3667" t="str">
        <f>IFERROR(__xludf.DUMMYFUNCTION("""COMPUTED_VALUE"""),"ID ")</f>
        <v>ID </v>
      </c>
    </row>
    <row r="3668">
      <c r="A3668" s="6" t="str">
        <f>IFERROR(__xludf.DUMMYFUNCTION("""COMPUTED_VALUE"""),"")</f>
        <v/>
      </c>
      <c r="C3668" t="str">
        <f>IFERROR(__xludf.DUMMYFUNCTION("""COMPUTED_VALUE"""),"")</f>
        <v/>
      </c>
      <c r="D3668" t="str">
        <f>IFERROR(__xludf.DUMMYFUNCTION("""COMPUTED_VALUE"""),"")</f>
        <v/>
      </c>
      <c r="E3668" t="str">
        <f>IFERROR(__xludf.DUMMYFUNCTION("""COMPUTED_VALUE"""),"")</f>
        <v/>
      </c>
      <c r="F3668" t="str">
        <f>IFERROR(__xludf.DUMMYFUNCTION("""COMPUTED_VALUE"""),"")</f>
        <v/>
      </c>
      <c r="G3668" t="str">
        <f>IFERROR(__xludf.DUMMYFUNCTION("""COMPUTED_VALUE"""),"")</f>
        <v/>
      </c>
      <c r="H3668" s="2" t="str">
        <f>IFERROR(__xludf.DUMMYFUNCTION("""COMPUTED_VALUE"""),"")</f>
        <v/>
      </c>
      <c r="I3668" s="2" t="str">
        <f>IFERROR(__xludf.DUMMYFUNCTION("""COMPUTED_VALUE"""),"")</f>
        <v/>
      </c>
      <c r="J3668" s="2">
        <f>IFERROR(__xludf.DUMMYFUNCTION("""COMPUTED_VALUE"""),0.0)</f>
        <v>0</v>
      </c>
      <c r="K3668" s="5" t="str">
        <f>IFERROR(__xludf.DUMMYFUNCTION("""COMPUTED_VALUE"""),"")</f>
        <v/>
      </c>
      <c r="L3668" t="str">
        <f>IFERROR(__xludf.DUMMYFUNCTION("""COMPUTED_VALUE"""),"")</f>
        <v/>
      </c>
      <c r="M3668" t="str">
        <f>IFERROR(__xludf.DUMMYFUNCTION("""COMPUTED_VALUE"""),"")</f>
        <v/>
      </c>
      <c r="N3668" t="str">
        <f>IFERROR(__xludf.DUMMYFUNCTION("""COMPUTED_VALUE"""),"")</f>
        <v/>
      </c>
      <c r="O3668" t="str">
        <f>IFERROR(__xludf.DUMMYFUNCTION("""COMPUTED_VALUE"""),"")</f>
        <v/>
      </c>
      <c r="P3668" t="str">
        <f>IFERROR(__xludf.DUMMYFUNCTION("""COMPUTED_VALUE"""),"ID ")</f>
        <v>ID </v>
      </c>
    </row>
    <row r="3669">
      <c r="A3669" s="6" t="str">
        <f>IFERROR(__xludf.DUMMYFUNCTION("""COMPUTED_VALUE"""),"")</f>
        <v/>
      </c>
      <c r="C3669" t="str">
        <f>IFERROR(__xludf.DUMMYFUNCTION("""COMPUTED_VALUE"""),"")</f>
        <v/>
      </c>
      <c r="D3669" t="str">
        <f>IFERROR(__xludf.DUMMYFUNCTION("""COMPUTED_VALUE"""),"")</f>
        <v/>
      </c>
      <c r="E3669" t="str">
        <f>IFERROR(__xludf.DUMMYFUNCTION("""COMPUTED_VALUE"""),"")</f>
        <v/>
      </c>
      <c r="F3669" t="str">
        <f>IFERROR(__xludf.DUMMYFUNCTION("""COMPUTED_VALUE"""),"")</f>
        <v/>
      </c>
      <c r="G3669" t="str">
        <f>IFERROR(__xludf.DUMMYFUNCTION("""COMPUTED_VALUE"""),"")</f>
        <v/>
      </c>
      <c r="H3669" s="2" t="str">
        <f>IFERROR(__xludf.DUMMYFUNCTION("""COMPUTED_VALUE"""),"")</f>
        <v/>
      </c>
      <c r="I3669" s="2" t="str">
        <f>IFERROR(__xludf.DUMMYFUNCTION("""COMPUTED_VALUE"""),"")</f>
        <v/>
      </c>
      <c r="J3669" s="2">
        <f>IFERROR(__xludf.DUMMYFUNCTION("""COMPUTED_VALUE"""),0.0)</f>
        <v>0</v>
      </c>
      <c r="K3669" s="5" t="str">
        <f>IFERROR(__xludf.DUMMYFUNCTION("""COMPUTED_VALUE"""),"")</f>
        <v/>
      </c>
      <c r="L3669" t="str">
        <f>IFERROR(__xludf.DUMMYFUNCTION("""COMPUTED_VALUE"""),"")</f>
        <v/>
      </c>
      <c r="M3669" t="str">
        <f>IFERROR(__xludf.DUMMYFUNCTION("""COMPUTED_VALUE"""),"")</f>
        <v/>
      </c>
      <c r="N3669" t="str">
        <f>IFERROR(__xludf.DUMMYFUNCTION("""COMPUTED_VALUE"""),"")</f>
        <v/>
      </c>
      <c r="O3669" t="str">
        <f>IFERROR(__xludf.DUMMYFUNCTION("""COMPUTED_VALUE"""),"")</f>
        <v/>
      </c>
      <c r="P3669" t="str">
        <f>IFERROR(__xludf.DUMMYFUNCTION("""COMPUTED_VALUE"""),"ID ")</f>
        <v>ID </v>
      </c>
    </row>
    <row r="3670">
      <c r="A3670" s="6" t="str">
        <f>IFERROR(__xludf.DUMMYFUNCTION("""COMPUTED_VALUE"""),"")</f>
        <v/>
      </c>
      <c r="C3670" t="str">
        <f>IFERROR(__xludf.DUMMYFUNCTION("""COMPUTED_VALUE"""),"")</f>
        <v/>
      </c>
      <c r="D3670" t="str">
        <f>IFERROR(__xludf.DUMMYFUNCTION("""COMPUTED_VALUE"""),"")</f>
        <v/>
      </c>
      <c r="E3670" t="str">
        <f>IFERROR(__xludf.DUMMYFUNCTION("""COMPUTED_VALUE"""),"")</f>
        <v/>
      </c>
      <c r="F3670" t="str">
        <f>IFERROR(__xludf.DUMMYFUNCTION("""COMPUTED_VALUE"""),"")</f>
        <v/>
      </c>
      <c r="G3670" t="str">
        <f>IFERROR(__xludf.DUMMYFUNCTION("""COMPUTED_VALUE"""),"")</f>
        <v/>
      </c>
      <c r="H3670" s="2" t="str">
        <f>IFERROR(__xludf.DUMMYFUNCTION("""COMPUTED_VALUE"""),"")</f>
        <v/>
      </c>
      <c r="I3670" s="2" t="str">
        <f>IFERROR(__xludf.DUMMYFUNCTION("""COMPUTED_VALUE"""),"")</f>
        <v/>
      </c>
      <c r="J3670" s="2">
        <f>IFERROR(__xludf.DUMMYFUNCTION("""COMPUTED_VALUE"""),0.0)</f>
        <v>0</v>
      </c>
      <c r="K3670" s="5" t="str">
        <f>IFERROR(__xludf.DUMMYFUNCTION("""COMPUTED_VALUE"""),"")</f>
        <v/>
      </c>
      <c r="L3670" t="str">
        <f>IFERROR(__xludf.DUMMYFUNCTION("""COMPUTED_VALUE"""),"")</f>
        <v/>
      </c>
      <c r="M3670" t="str">
        <f>IFERROR(__xludf.DUMMYFUNCTION("""COMPUTED_VALUE"""),"")</f>
        <v/>
      </c>
      <c r="N3670" t="str">
        <f>IFERROR(__xludf.DUMMYFUNCTION("""COMPUTED_VALUE"""),"")</f>
        <v/>
      </c>
      <c r="O3670" t="str">
        <f>IFERROR(__xludf.DUMMYFUNCTION("""COMPUTED_VALUE"""),"")</f>
        <v/>
      </c>
      <c r="P3670" t="str">
        <f>IFERROR(__xludf.DUMMYFUNCTION("""COMPUTED_VALUE"""),"ID ")</f>
        <v>ID </v>
      </c>
    </row>
    <row r="3671">
      <c r="A3671" s="6" t="str">
        <f>IFERROR(__xludf.DUMMYFUNCTION("""COMPUTED_VALUE"""),"")</f>
        <v/>
      </c>
      <c r="C3671" t="str">
        <f>IFERROR(__xludf.DUMMYFUNCTION("""COMPUTED_VALUE"""),"")</f>
        <v/>
      </c>
      <c r="D3671" t="str">
        <f>IFERROR(__xludf.DUMMYFUNCTION("""COMPUTED_VALUE"""),"")</f>
        <v/>
      </c>
      <c r="E3671" t="str">
        <f>IFERROR(__xludf.DUMMYFUNCTION("""COMPUTED_VALUE"""),"")</f>
        <v/>
      </c>
      <c r="F3671" t="str">
        <f>IFERROR(__xludf.DUMMYFUNCTION("""COMPUTED_VALUE"""),"")</f>
        <v/>
      </c>
      <c r="G3671" t="str">
        <f>IFERROR(__xludf.DUMMYFUNCTION("""COMPUTED_VALUE"""),"")</f>
        <v/>
      </c>
      <c r="H3671" s="2" t="str">
        <f>IFERROR(__xludf.DUMMYFUNCTION("""COMPUTED_VALUE"""),"")</f>
        <v/>
      </c>
      <c r="I3671" s="2" t="str">
        <f>IFERROR(__xludf.DUMMYFUNCTION("""COMPUTED_VALUE"""),"")</f>
        <v/>
      </c>
      <c r="J3671" s="2">
        <f>IFERROR(__xludf.DUMMYFUNCTION("""COMPUTED_VALUE"""),0.0)</f>
        <v>0</v>
      </c>
      <c r="K3671" s="5" t="str">
        <f>IFERROR(__xludf.DUMMYFUNCTION("""COMPUTED_VALUE"""),"")</f>
        <v/>
      </c>
      <c r="L3671" t="str">
        <f>IFERROR(__xludf.DUMMYFUNCTION("""COMPUTED_VALUE"""),"")</f>
        <v/>
      </c>
      <c r="M3671" t="str">
        <f>IFERROR(__xludf.DUMMYFUNCTION("""COMPUTED_VALUE"""),"")</f>
        <v/>
      </c>
      <c r="N3671" t="str">
        <f>IFERROR(__xludf.DUMMYFUNCTION("""COMPUTED_VALUE"""),"")</f>
        <v/>
      </c>
      <c r="O3671" t="str">
        <f>IFERROR(__xludf.DUMMYFUNCTION("""COMPUTED_VALUE"""),"")</f>
        <v/>
      </c>
      <c r="P3671" t="str">
        <f>IFERROR(__xludf.DUMMYFUNCTION("""COMPUTED_VALUE"""),"ID ")</f>
        <v>ID </v>
      </c>
    </row>
    <row r="3672">
      <c r="A3672" s="6" t="str">
        <f>IFERROR(__xludf.DUMMYFUNCTION("""COMPUTED_VALUE"""),"")</f>
        <v/>
      </c>
      <c r="C3672" t="str">
        <f>IFERROR(__xludf.DUMMYFUNCTION("""COMPUTED_VALUE"""),"")</f>
        <v/>
      </c>
      <c r="D3672" t="str">
        <f>IFERROR(__xludf.DUMMYFUNCTION("""COMPUTED_VALUE"""),"")</f>
        <v/>
      </c>
      <c r="E3672" t="str">
        <f>IFERROR(__xludf.DUMMYFUNCTION("""COMPUTED_VALUE"""),"")</f>
        <v/>
      </c>
      <c r="F3672" t="str">
        <f>IFERROR(__xludf.DUMMYFUNCTION("""COMPUTED_VALUE"""),"")</f>
        <v/>
      </c>
      <c r="G3672" t="str">
        <f>IFERROR(__xludf.DUMMYFUNCTION("""COMPUTED_VALUE"""),"")</f>
        <v/>
      </c>
      <c r="H3672" s="2" t="str">
        <f>IFERROR(__xludf.DUMMYFUNCTION("""COMPUTED_VALUE"""),"")</f>
        <v/>
      </c>
      <c r="I3672" s="2" t="str">
        <f>IFERROR(__xludf.DUMMYFUNCTION("""COMPUTED_VALUE"""),"")</f>
        <v/>
      </c>
      <c r="J3672" s="2">
        <f>IFERROR(__xludf.DUMMYFUNCTION("""COMPUTED_VALUE"""),0.0)</f>
        <v>0</v>
      </c>
      <c r="K3672" s="5" t="str">
        <f>IFERROR(__xludf.DUMMYFUNCTION("""COMPUTED_VALUE"""),"")</f>
        <v/>
      </c>
      <c r="L3672" t="str">
        <f>IFERROR(__xludf.DUMMYFUNCTION("""COMPUTED_VALUE"""),"")</f>
        <v/>
      </c>
      <c r="M3672" t="str">
        <f>IFERROR(__xludf.DUMMYFUNCTION("""COMPUTED_VALUE"""),"")</f>
        <v/>
      </c>
      <c r="N3672" t="str">
        <f>IFERROR(__xludf.DUMMYFUNCTION("""COMPUTED_VALUE"""),"")</f>
        <v/>
      </c>
      <c r="O3672" t="str">
        <f>IFERROR(__xludf.DUMMYFUNCTION("""COMPUTED_VALUE"""),"")</f>
        <v/>
      </c>
      <c r="P3672" t="str">
        <f>IFERROR(__xludf.DUMMYFUNCTION("""COMPUTED_VALUE"""),"ID ")</f>
        <v>ID </v>
      </c>
    </row>
    <row r="3673">
      <c r="A3673" s="6" t="str">
        <f>IFERROR(__xludf.DUMMYFUNCTION("""COMPUTED_VALUE"""),"")</f>
        <v/>
      </c>
      <c r="C3673" t="str">
        <f>IFERROR(__xludf.DUMMYFUNCTION("""COMPUTED_VALUE"""),"")</f>
        <v/>
      </c>
      <c r="D3673" t="str">
        <f>IFERROR(__xludf.DUMMYFUNCTION("""COMPUTED_VALUE"""),"")</f>
        <v/>
      </c>
      <c r="E3673" t="str">
        <f>IFERROR(__xludf.DUMMYFUNCTION("""COMPUTED_VALUE"""),"")</f>
        <v/>
      </c>
      <c r="F3673" t="str">
        <f>IFERROR(__xludf.DUMMYFUNCTION("""COMPUTED_VALUE"""),"")</f>
        <v/>
      </c>
      <c r="G3673" t="str">
        <f>IFERROR(__xludf.DUMMYFUNCTION("""COMPUTED_VALUE"""),"")</f>
        <v/>
      </c>
      <c r="H3673" s="2" t="str">
        <f>IFERROR(__xludf.DUMMYFUNCTION("""COMPUTED_VALUE"""),"")</f>
        <v/>
      </c>
      <c r="I3673" s="2" t="str">
        <f>IFERROR(__xludf.DUMMYFUNCTION("""COMPUTED_VALUE"""),"")</f>
        <v/>
      </c>
      <c r="J3673" s="2">
        <f>IFERROR(__xludf.DUMMYFUNCTION("""COMPUTED_VALUE"""),0.0)</f>
        <v>0</v>
      </c>
      <c r="K3673" s="5" t="str">
        <f>IFERROR(__xludf.DUMMYFUNCTION("""COMPUTED_VALUE"""),"")</f>
        <v/>
      </c>
      <c r="L3673" t="str">
        <f>IFERROR(__xludf.DUMMYFUNCTION("""COMPUTED_VALUE"""),"")</f>
        <v/>
      </c>
      <c r="M3673" t="str">
        <f>IFERROR(__xludf.DUMMYFUNCTION("""COMPUTED_VALUE"""),"")</f>
        <v/>
      </c>
      <c r="N3673" t="str">
        <f>IFERROR(__xludf.DUMMYFUNCTION("""COMPUTED_VALUE"""),"")</f>
        <v/>
      </c>
      <c r="O3673" t="str">
        <f>IFERROR(__xludf.DUMMYFUNCTION("""COMPUTED_VALUE"""),"")</f>
        <v/>
      </c>
      <c r="P3673" t="str">
        <f>IFERROR(__xludf.DUMMYFUNCTION("""COMPUTED_VALUE"""),"ID ")</f>
        <v>ID </v>
      </c>
    </row>
    <row r="3674">
      <c r="A3674" s="6" t="str">
        <f>IFERROR(__xludf.DUMMYFUNCTION("""COMPUTED_VALUE"""),"")</f>
        <v/>
      </c>
      <c r="C3674" t="str">
        <f>IFERROR(__xludf.DUMMYFUNCTION("""COMPUTED_VALUE"""),"")</f>
        <v/>
      </c>
      <c r="D3674" t="str">
        <f>IFERROR(__xludf.DUMMYFUNCTION("""COMPUTED_VALUE"""),"")</f>
        <v/>
      </c>
      <c r="E3674" t="str">
        <f>IFERROR(__xludf.DUMMYFUNCTION("""COMPUTED_VALUE"""),"")</f>
        <v/>
      </c>
      <c r="F3674" t="str">
        <f>IFERROR(__xludf.DUMMYFUNCTION("""COMPUTED_VALUE"""),"")</f>
        <v/>
      </c>
      <c r="G3674" t="str">
        <f>IFERROR(__xludf.DUMMYFUNCTION("""COMPUTED_VALUE"""),"")</f>
        <v/>
      </c>
      <c r="H3674" s="2" t="str">
        <f>IFERROR(__xludf.DUMMYFUNCTION("""COMPUTED_VALUE"""),"")</f>
        <v/>
      </c>
      <c r="I3674" s="2" t="str">
        <f>IFERROR(__xludf.DUMMYFUNCTION("""COMPUTED_VALUE"""),"")</f>
        <v/>
      </c>
      <c r="J3674" s="2">
        <f>IFERROR(__xludf.DUMMYFUNCTION("""COMPUTED_VALUE"""),0.0)</f>
        <v>0</v>
      </c>
      <c r="K3674" s="5" t="str">
        <f>IFERROR(__xludf.DUMMYFUNCTION("""COMPUTED_VALUE"""),"")</f>
        <v/>
      </c>
      <c r="L3674" t="str">
        <f>IFERROR(__xludf.DUMMYFUNCTION("""COMPUTED_VALUE"""),"")</f>
        <v/>
      </c>
      <c r="M3674" t="str">
        <f>IFERROR(__xludf.DUMMYFUNCTION("""COMPUTED_VALUE"""),"")</f>
        <v/>
      </c>
      <c r="N3674" t="str">
        <f>IFERROR(__xludf.DUMMYFUNCTION("""COMPUTED_VALUE"""),"")</f>
        <v/>
      </c>
      <c r="O3674" t="str">
        <f>IFERROR(__xludf.DUMMYFUNCTION("""COMPUTED_VALUE"""),"")</f>
        <v/>
      </c>
      <c r="P3674" t="str">
        <f>IFERROR(__xludf.DUMMYFUNCTION("""COMPUTED_VALUE"""),"ID ")</f>
        <v>ID </v>
      </c>
    </row>
    <row r="3675">
      <c r="A3675" s="6" t="str">
        <f>IFERROR(__xludf.DUMMYFUNCTION("""COMPUTED_VALUE"""),"")</f>
        <v/>
      </c>
      <c r="C3675" t="str">
        <f>IFERROR(__xludf.DUMMYFUNCTION("""COMPUTED_VALUE"""),"")</f>
        <v/>
      </c>
      <c r="D3675" t="str">
        <f>IFERROR(__xludf.DUMMYFUNCTION("""COMPUTED_VALUE"""),"")</f>
        <v/>
      </c>
      <c r="E3675" t="str">
        <f>IFERROR(__xludf.DUMMYFUNCTION("""COMPUTED_VALUE"""),"")</f>
        <v/>
      </c>
      <c r="F3675" t="str">
        <f>IFERROR(__xludf.DUMMYFUNCTION("""COMPUTED_VALUE"""),"")</f>
        <v/>
      </c>
      <c r="G3675" t="str">
        <f>IFERROR(__xludf.DUMMYFUNCTION("""COMPUTED_VALUE"""),"")</f>
        <v/>
      </c>
      <c r="H3675" s="2" t="str">
        <f>IFERROR(__xludf.DUMMYFUNCTION("""COMPUTED_VALUE"""),"")</f>
        <v/>
      </c>
      <c r="I3675" s="2" t="str">
        <f>IFERROR(__xludf.DUMMYFUNCTION("""COMPUTED_VALUE"""),"")</f>
        <v/>
      </c>
      <c r="J3675" s="2">
        <f>IFERROR(__xludf.DUMMYFUNCTION("""COMPUTED_VALUE"""),0.0)</f>
        <v>0</v>
      </c>
      <c r="K3675" s="5" t="str">
        <f>IFERROR(__xludf.DUMMYFUNCTION("""COMPUTED_VALUE"""),"")</f>
        <v/>
      </c>
      <c r="L3675" t="str">
        <f>IFERROR(__xludf.DUMMYFUNCTION("""COMPUTED_VALUE"""),"")</f>
        <v/>
      </c>
      <c r="M3675" t="str">
        <f>IFERROR(__xludf.DUMMYFUNCTION("""COMPUTED_VALUE"""),"")</f>
        <v/>
      </c>
      <c r="N3675" t="str">
        <f>IFERROR(__xludf.DUMMYFUNCTION("""COMPUTED_VALUE"""),"")</f>
        <v/>
      </c>
      <c r="O3675" t="str">
        <f>IFERROR(__xludf.DUMMYFUNCTION("""COMPUTED_VALUE"""),"")</f>
        <v/>
      </c>
      <c r="P3675" t="str">
        <f>IFERROR(__xludf.DUMMYFUNCTION("""COMPUTED_VALUE"""),"ID ")</f>
        <v>ID </v>
      </c>
    </row>
    <row r="3676">
      <c r="A3676" s="6" t="str">
        <f>IFERROR(__xludf.DUMMYFUNCTION("""COMPUTED_VALUE"""),"")</f>
        <v/>
      </c>
      <c r="C3676" t="str">
        <f>IFERROR(__xludf.DUMMYFUNCTION("""COMPUTED_VALUE"""),"")</f>
        <v/>
      </c>
      <c r="D3676" t="str">
        <f>IFERROR(__xludf.DUMMYFUNCTION("""COMPUTED_VALUE"""),"")</f>
        <v/>
      </c>
      <c r="E3676" t="str">
        <f>IFERROR(__xludf.DUMMYFUNCTION("""COMPUTED_VALUE"""),"")</f>
        <v/>
      </c>
      <c r="F3676" t="str">
        <f>IFERROR(__xludf.DUMMYFUNCTION("""COMPUTED_VALUE"""),"")</f>
        <v/>
      </c>
      <c r="G3676" t="str">
        <f>IFERROR(__xludf.DUMMYFUNCTION("""COMPUTED_VALUE"""),"")</f>
        <v/>
      </c>
      <c r="H3676" s="2" t="str">
        <f>IFERROR(__xludf.DUMMYFUNCTION("""COMPUTED_VALUE"""),"")</f>
        <v/>
      </c>
      <c r="I3676" s="2" t="str">
        <f>IFERROR(__xludf.DUMMYFUNCTION("""COMPUTED_VALUE"""),"")</f>
        <v/>
      </c>
      <c r="J3676" s="2">
        <f>IFERROR(__xludf.DUMMYFUNCTION("""COMPUTED_VALUE"""),0.0)</f>
        <v>0</v>
      </c>
      <c r="K3676" s="5" t="str">
        <f>IFERROR(__xludf.DUMMYFUNCTION("""COMPUTED_VALUE"""),"")</f>
        <v/>
      </c>
      <c r="L3676" t="str">
        <f>IFERROR(__xludf.DUMMYFUNCTION("""COMPUTED_VALUE"""),"")</f>
        <v/>
      </c>
      <c r="M3676" t="str">
        <f>IFERROR(__xludf.DUMMYFUNCTION("""COMPUTED_VALUE"""),"")</f>
        <v/>
      </c>
      <c r="N3676" t="str">
        <f>IFERROR(__xludf.DUMMYFUNCTION("""COMPUTED_VALUE"""),"")</f>
        <v/>
      </c>
      <c r="O3676" t="str">
        <f>IFERROR(__xludf.DUMMYFUNCTION("""COMPUTED_VALUE"""),"")</f>
        <v/>
      </c>
      <c r="P3676" t="str">
        <f>IFERROR(__xludf.DUMMYFUNCTION("""COMPUTED_VALUE"""),"ID ")</f>
        <v>ID </v>
      </c>
    </row>
    <row r="3677">
      <c r="A3677" s="6" t="str">
        <f>IFERROR(__xludf.DUMMYFUNCTION("""COMPUTED_VALUE"""),"")</f>
        <v/>
      </c>
      <c r="C3677" t="str">
        <f>IFERROR(__xludf.DUMMYFUNCTION("""COMPUTED_VALUE"""),"")</f>
        <v/>
      </c>
      <c r="D3677" t="str">
        <f>IFERROR(__xludf.DUMMYFUNCTION("""COMPUTED_VALUE"""),"")</f>
        <v/>
      </c>
      <c r="E3677" t="str">
        <f>IFERROR(__xludf.DUMMYFUNCTION("""COMPUTED_VALUE"""),"")</f>
        <v/>
      </c>
      <c r="F3677" t="str">
        <f>IFERROR(__xludf.DUMMYFUNCTION("""COMPUTED_VALUE"""),"")</f>
        <v/>
      </c>
      <c r="G3677" t="str">
        <f>IFERROR(__xludf.DUMMYFUNCTION("""COMPUTED_VALUE"""),"")</f>
        <v/>
      </c>
      <c r="H3677" s="2" t="str">
        <f>IFERROR(__xludf.DUMMYFUNCTION("""COMPUTED_VALUE"""),"")</f>
        <v/>
      </c>
      <c r="I3677" s="2" t="str">
        <f>IFERROR(__xludf.DUMMYFUNCTION("""COMPUTED_VALUE"""),"")</f>
        <v/>
      </c>
      <c r="J3677" s="2">
        <f>IFERROR(__xludf.DUMMYFUNCTION("""COMPUTED_VALUE"""),0.0)</f>
        <v>0</v>
      </c>
      <c r="K3677" s="5" t="str">
        <f>IFERROR(__xludf.DUMMYFUNCTION("""COMPUTED_VALUE"""),"")</f>
        <v/>
      </c>
      <c r="L3677" t="str">
        <f>IFERROR(__xludf.DUMMYFUNCTION("""COMPUTED_VALUE"""),"")</f>
        <v/>
      </c>
      <c r="M3677" t="str">
        <f>IFERROR(__xludf.DUMMYFUNCTION("""COMPUTED_VALUE"""),"")</f>
        <v/>
      </c>
      <c r="N3677" t="str">
        <f>IFERROR(__xludf.DUMMYFUNCTION("""COMPUTED_VALUE"""),"")</f>
        <v/>
      </c>
      <c r="O3677" t="str">
        <f>IFERROR(__xludf.DUMMYFUNCTION("""COMPUTED_VALUE"""),"")</f>
        <v/>
      </c>
      <c r="P3677" t="str">
        <f>IFERROR(__xludf.DUMMYFUNCTION("""COMPUTED_VALUE"""),"ID ")</f>
        <v>ID </v>
      </c>
    </row>
    <row r="3678">
      <c r="A3678" s="6" t="str">
        <f>IFERROR(__xludf.DUMMYFUNCTION("""COMPUTED_VALUE"""),"")</f>
        <v/>
      </c>
      <c r="C3678" t="str">
        <f>IFERROR(__xludf.DUMMYFUNCTION("""COMPUTED_VALUE"""),"")</f>
        <v/>
      </c>
      <c r="D3678" t="str">
        <f>IFERROR(__xludf.DUMMYFUNCTION("""COMPUTED_VALUE"""),"")</f>
        <v/>
      </c>
      <c r="E3678" t="str">
        <f>IFERROR(__xludf.DUMMYFUNCTION("""COMPUTED_VALUE"""),"")</f>
        <v/>
      </c>
      <c r="F3678" t="str">
        <f>IFERROR(__xludf.DUMMYFUNCTION("""COMPUTED_VALUE"""),"")</f>
        <v/>
      </c>
      <c r="G3678" t="str">
        <f>IFERROR(__xludf.DUMMYFUNCTION("""COMPUTED_VALUE"""),"")</f>
        <v/>
      </c>
      <c r="H3678" s="2" t="str">
        <f>IFERROR(__xludf.DUMMYFUNCTION("""COMPUTED_VALUE"""),"")</f>
        <v/>
      </c>
      <c r="I3678" s="2" t="str">
        <f>IFERROR(__xludf.DUMMYFUNCTION("""COMPUTED_VALUE"""),"")</f>
        <v/>
      </c>
      <c r="J3678" s="2">
        <f>IFERROR(__xludf.DUMMYFUNCTION("""COMPUTED_VALUE"""),0.0)</f>
        <v>0</v>
      </c>
      <c r="K3678" s="5" t="str">
        <f>IFERROR(__xludf.DUMMYFUNCTION("""COMPUTED_VALUE"""),"")</f>
        <v/>
      </c>
      <c r="L3678" t="str">
        <f>IFERROR(__xludf.DUMMYFUNCTION("""COMPUTED_VALUE"""),"")</f>
        <v/>
      </c>
      <c r="M3678" t="str">
        <f>IFERROR(__xludf.DUMMYFUNCTION("""COMPUTED_VALUE"""),"")</f>
        <v/>
      </c>
      <c r="N3678" t="str">
        <f>IFERROR(__xludf.DUMMYFUNCTION("""COMPUTED_VALUE"""),"")</f>
        <v/>
      </c>
      <c r="O3678" t="str">
        <f>IFERROR(__xludf.DUMMYFUNCTION("""COMPUTED_VALUE"""),"")</f>
        <v/>
      </c>
      <c r="P3678" t="str">
        <f>IFERROR(__xludf.DUMMYFUNCTION("""COMPUTED_VALUE"""),"ID ")</f>
        <v>ID </v>
      </c>
    </row>
    <row r="3679">
      <c r="A3679" s="6" t="str">
        <f>IFERROR(__xludf.DUMMYFUNCTION("""COMPUTED_VALUE"""),"")</f>
        <v/>
      </c>
      <c r="C3679" t="str">
        <f>IFERROR(__xludf.DUMMYFUNCTION("""COMPUTED_VALUE"""),"")</f>
        <v/>
      </c>
      <c r="D3679" t="str">
        <f>IFERROR(__xludf.DUMMYFUNCTION("""COMPUTED_VALUE"""),"")</f>
        <v/>
      </c>
      <c r="E3679" t="str">
        <f>IFERROR(__xludf.DUMMYFUNCTION("""COMPUTED_VALUE"""),"")</f>
        <v/>
      </c>
      <c r="F3679" t="str">
        <f>IFERROR(__xludf.DUMMYFUNCTION("""COMPUTED_VALUE"""),"")</f>
        <v/>
      </c>
      <c r="G3679" t="str">
        <f>IFERROR(__xludf.DUMMYFUNCTION("""COMPUTED_VALUE"""),"")</f>
        <v/>
      </c>
      <c r="H3679" s="2" t="str">
        <f>IFERROR(__xludf.DUMMYFUNCTION("""COMPUTED_VALUE"""),"")</f>
        <v/>
      </c>
      <c r="I3679" s="2" t="str">
        <f>IFERROR(__xludf.DUMMYFUNCTION("""COMPUTED_VALUE"""),"")</f>
        <v/>
      </c>
      <c r="J3679" s="2">
        <f>IFERROR(__xludf.DUMMYFUNCTION("""COMPUTED_VALUE"""),0.0)</f>
        <v>0</v>
      </c>
      <c r="K3679" s="5" t="str">
        <f>IFERROR(__xludf.DUMMYFUNCTION("""COMPUTED_VALUE"""),"")</f>
        <v/>
      </c>
      <c r="L3679" t="str">
        <f>IFERROR(__xludf.DUMMYFUNCTION("""COMPUTED_VALUE"""),"")</f>
        <v/>
      </c>
      <c r="M3679" t="str">
        <f>IFERROR(__xludf.DUMMYFUNCTION("""COMPUTED_VALUE"""),"")</f>
        <v/>
      </c>
      <c r="N3679" t="str">
        <f>IFERROR(__xludf.DUMMYFUNCTION("""COMPUTED_VALUE"""),"")</f>
        <v/>
      </c>
      <c r="O3679" t="str">
        <f>IFERROR(__xludf.DUMMYFUNCTION("""COMPUTED_VALUE"""),"")</f>
        <v/>
      </c>
      <c r="P3679" t="str">
        <f>IFERROR(__xludf.DUMMYFUNCTION("""COMPUTED_VALUE"""),"ID ")</f>
        <v>ID </v>
      </c>
    </row>
    <row r="3680">
      <c r="A3680" s="6" t="str">
        <f>IFERROR(__xludf.DUMMYFUNCTION("""COMPUTED_VALUE"""),"")</f>
        <v/>
      </c>
      <c r="C3680" t="str">
        <f>IFERROR(__xludf.DUMMYFUNCTION("""COMPUTED_VALUE"""),"")</f>
        <v/>
      </c>
      <c r="D3680" t="str">
        <f>IFERROR(__xludf.DUMMYFUNCTION("""COMPUTED_VALUE"""),"")</f>
        <v/>
      </c>
      <c r="E3680" t="str">
        <f>IFERROR(__xludf.DUMMYFUNCTION("""COMPUTED_VALUE"""),"")</f>
        <v/>
      </c>
      <c r="F3680" t="str">
        <f>IFERROR(__xludf.DUMMYFUNCTION("""COMPUTED_VALUE"""),"")</f>
        <v/>
      </c>
      <c r="G3680" t="str">
        <f>IFERROR(__xludf.DUMMYFUNCTION("""COMPUTED_VALUE"""),"")</f>
        <v/>
      </c>
      <c r="H3680" s="2" t="str">
        <f>IFERROR(__xludf.DUMMYFUNCTION("""COMPUTED_VALUE"""),"")</f>
        <v/>
      </c>
      <c r="I3680" s="2" t="str">
        <f>IFERROR(__xludf.DUMMYFUNCTION("""COMPUTED_VALUE"""),"")</f>
        <v/>
      </c>
      <c r="J3680" s="2">
        <f>IFERROR(__xludf.DUMMYFUNCTION("""COMPUTED_VALUE"""),0.0)</f>
        <v>0</v>
      </c>
      <c r="K3680" s="5" t="str">
        <f>IFERROR(__xludf.DUMMYFUNCTION("""COMPUTED_VALUE"""),"")</f>
        <v/>
      </c>
      <c r="L3680" t="str">
        <f>IFERROR(__xludf.DUMMYFUNCTION("""COMPUTED_VALUE"""),"")</f>
        <v/>
      </c>
      <c r="M3680" t="str">
        <f>IFERROR(__xludf.DUMMYFUNCTION("""COMPUTED_VALUE"""),"")</f>
        <v/>
      </c>
      <c r="N3680" t="str">
        <f>IFERROR(__xludf.DUMMYFUNCTION("""COMPUTED_VALUE"""),"")</f>
        <v/>
      </c>
      <c r="O3680" t="str">
        <f>IFERROR(__xludf.DUMMYFUNCTION("""COMPUTED_VALUE"""),"")</f>
        <v/>
      </c>
      <c r="P3680" t="str">
        <f>IFERROR(__xludf.DUMMYFUNCTION("""COMPUTED_VALUE"""),"ID ")</f>
        <v>ID </v>
      </c>
    </row>
    <row r="3681">
      <c r="A3681" s="6" t="str">
        <f>IFERROR(__xludf.DUMMYFUNCTION("""COMPUTED_VALUE"""),"")</f>
        <v/>
      </c>
      <c r="C3681" t="str">
        <f>IFERROR(__xludf.DUMMYFUNCTION("""COMPUTED_VALUE"""),"")</f>
        <v/>
      </c>
      <c r="D3681" t="str">
        <f>IFERROR(__xludf.DUMMYFUNCTION("""COMPUTED_VALUE"""),"")</f>
        <v/>
      </c>
      <c r="E3681" t="str">
        <f>IFERROR(__xludf.DUMMYFUNCTION("""COMPUTED_VALUE"""),"")</f>
        <v/>
      </c>
      <c r="F3681" t="str">
        <f>IFERROR(__xludf.DUMMYFUNCTION("""COMPUTED_VALUE"""),"")</f>
        <v/>
      </c>
      <c r="G3681" t="str">
        <f>IFERROR(__xludf.DUMMYFUNCTION("""COMPUTED_VALUE"""),"")</f>
        <v/>
      </c>
      <c r="H3681" s="2" t="str">
        <f>IFERROR(__xludf.DUMMYFUNCTION("""COMPUTED_VALUE"""),"")</f>
        <v/>
      </c>
      <c r="I3681" s="2" t="str">
        <f>IFERROR(__xludf.DUMMYFUNCTION("""COMPUTED_VALUE"""),"")</f>
        <v/>
      </c>
      <c r="J3681" s="2">
        <f>IFERROR(__xludf.DUMMYFUNCTION("""COMPUTED_VALUE"""),0.0)</f>
        <v>0</v>
      </c>
      <c r="K3681" s="5" t="str">
        <f>IFERROR(__xludf.DUMMYFUNCTION("""COMPUTED_VALUE"""),"")</f>
        <v/>
      </c>
      <c r="L3681" t="str">
        <f>IFERROR(__xludf.DUMMYFUNCTION("""COMPUTED_VALUE"""),"")</f>
        <v/>
      </c>
      <c r="M3681" t="str">
        <f>IFERROR(__xludf.DUMMYFUNCTION("""COMPUTED_VALUE"""),"")</f>
        <v/>
      </c>
      <c r="N3681" t="str">
        <f>IFERROR(__xludf.DUMMYFUNCTION("""COMPUTED_VALUE"""),"")</f>
        <v/>
      </c>
      <c r="O3681" t="str">
        <f>IFERROR(__xludf.DUMMYFUNCTION("""COMPUTED_VALUE"""),"")</f>
        <v/>
      </c>
      <c r="P3681" t="str">
        <f>IFERROR(__xludf.DUMMYFUNCTION("""COMPUTED_VALUE"""),"ID ")</f>
        <v>ID </v>
      </c>
    </row>
    <row r="3682">
      <c r="A3682" s="6" t="str">
        <f>IFERROR(__xludf.DUMMYFUNCTION("""COMPUTED_VALUE"""),"")</f>
        <v/>
      </c>
      <c r="C3682" t="str">
        <f>IFERROR(__xludf.DUMMYFUNCTION("""COMPUTED_VALUE"""),"")</f>
        <v/>
      </c>
      <c r="D3682" t="str">
        <f>IFERROR(__xludf.DUMMYFUNCTION("""COMPUTED_VALUE"""),"")</f>
        <v/>
      </c>
      <c r="E3682" t="str">
        <f>IFERROR(__xludf.DUMMYFUNCTION("""COMPUTED_VALUE"""),"")</f>
        <v/>
      </c>
      <c r="F3682" t="str">
        <f>IFERROR(__xludf.DUMMYFUNCTION("""COMPUTED_VALUE"""),"")</f>
        <v/>
      </c>
      <c r="G3682" t="str">
        <f>IFERROR(__xludf.DUMMYFUNCTION("""COMPUTED_VALUE"""),"")</f>
        <v/>
      </c>
      <c r="H3682" s="2" t="str">
        <f>IFERROR(__xludf.DUMMYFUNCTION("""COMPUTED_VALUE"""),"")</f>
        <v/>
      </c>
      <c r="I3682" s="2" t="str">
        <f>IFERROR(__xludf.DUMMYFUNCTION("""COMPUTED_VALUE"""),"")</f>
        <v/>
      </c>
      <c r="J3682" s="2">
        <f>IFERROR(__xludf.DUMMYFUNCTION("""COMPUTED_VALUE"""),0.0)</f>
        <v>0</v>
      </c>
      <c r="K3682" s="5" t="str">
        <f>IFERROR(__xludf.DUMMYFUNCTION("""COMPUTED_VALUE"""),"")</f>
        <v/>
      </c>
      <c r="L3682" t="str">
        <f>IFERROR(__xludf.DUMMYFUNCTION("""COMPUTED_VALUE"""),"")</f>
        <v/>
      </c>
      <c r="M3682" t="str">
        <f>IFERROR(__xludf.DUMMYFUNCTION("""COMPUTED_VALUE"""),"")</f>
        <v/>
      </c>
      <c r="N3682" t="str">
        <f>IFERROR(__xludf.DUMMYFUNCTION("""COMPUTED_VALUE"""),"")</f>
        <v/>
      </c>
      <c r="O3682" t="str">
        <f>IFERROR(__xludf.DUMMYFUNCTION("""COMPUTED_VALUE"""),"")</f>
        <v/>
      </c>
      <c r="P3682" t="str">
        <f>IFERROR(__xludf.DUMMYFUNCTION("""COMPUTED_VALUE"""),"ID ")</f>
        <v>ID </v>
      </c>
    </row>
    <row r="3683">
      <c r="A3683" s="6" t="str">
        <f>IFERROR(__xludf.DUMMYFUNCTION("""COMPUTED_VALUE"""),"")</f>
        <v/>
      </c>
      <c r="C3683" t="str">
        <f>IFERROR(__xludf.DUMMYFUNCTION("""COMPUTED_VALUE"""),"")</f>
        <v/>
      </c>
      <c r="D3683" t="str">
        <f>IFERROR(__xludf.DUMMYFUNCTION("""COMPUTED_VALUE"""),"")</f>
        <v/>
      </c>
      <c r="E3683" t="str">
        <f>IFERROR(__xludf.DUMMYFUNCTION("""COMPUTED_VALUE"""),"")</f>
        <v/>
      </c>
      <c r="F3683" t="str">
        <f>IFERROR(__xludf.DUMMYFUNCTION("""COMPUTED_VALUE"""),"")</f>
        <v/>
      </c>
      <c r="G3683" t="str">
        <f>IFERROR(__xludf.DUMMYFUNCTION("""COMPUTED_VALUE"""),"")</f>
        <v/>
      </c>
      <c r="H3683" s="2" t="str">
        <f>IFERROR(__xludf.DUMMYFUNCTION("""COMPUTED_VALUE"""),"")</f>
        <v/>
      </c>
      <c r="I3683" s="2" t="str">
        <f>IFERROR(__xludf.DUMMYFUNCTION("""COMPUTED_VALUE"""),"")</f>
        <v/>
      </c>
      <c r="J3683" s="2">
        <f>IFERROR(__xludf.DUMMYFUNCTION("""COMPUTED_VALUE"""),0.0)</f>
        <v>0</v>
      </c>
      <c r="K3683" s="5" t="str">
        <f>IFERROR(__xludf.DUMMYFUNCTION("""COMPUTED_VALUE"""),"")</f>
        <v/>
      </c>
      <c r="L3683" t="str">
        <f>IFERROR(__xludf.DUMMYFUNCTION("""COMPUTED_VALUE"""),"")</f>
        <v/>
      </c>
      <c r="M3683" t="str">
        <f>IFERROR(__xludf.DUMMYFUNCTION("""COMPUTED_VALUE"""),"")</f>
        <v/>
      </c>
      <c r="N3683" t="str">
        <f>IFERROR(__xludf.DUMMYFUNCTION("""COMPUTED_VALUE"""),"")</f>
        <v/>
      </c>
      <c r="O3683" t="str">
        <f>IFERROR(__xludf.DUMMYFUNCTION("""COMPUTED_VALUE"""),"")</f>
        <v/>
      </c>
      <c r="P3683" t="str">
        <f>IFERROR(__xludf.DUMMYFUNCTION("""COMPUTED_VALUE"""),"ID ")</f>
        <v>ID </v>
      </c>
    </row>
    <row r="3684">
      <c r="A3684" s="6" t="str">
        <f>IFERROR(__xludf.DUMMYFUNCTION("""COMPUTED_VALUE"""),"")</f>
        <v/>
      </c>
      <c r="C3684" t="str">
        <f>IFERROR(__xludf.DUMMYFUNCTION("""COMPUTED_VALUE"""),"")</f>
        <v/>
      </c>
      <c r="D3684" t="str">
        <f>IFERROR(__xludf.DUMMYFUNCTION("""COMPUTED_VALUE"""),"")</f>
        <v/>
      </c>
      <c r="E3684" t="str">
        <f>IFERROR(__xludf.DUMMYFUNCTION("""COMPUTED_VALUE"""),"")</f>
        <v/>
      </c>
      <c r="F3684" t="str">
        <f>IFERROR(__xludf.DUMMYFUNCTION("""COMPUTED_VALUE"""),"")</f>
        <v/>
      </c>
      <c r="G3684" t="str">
        <f>IFERROR(__xludf.DUMMYFUNCTION("""COMPUTED_VALUE"""),"")</f>
        <v/>
      </c>
      <c r="H3684" s="2" t="str">
        <f>IFERROR(__xludf.DUMMYFUNCTION("""COMPUTED_VALUE"""),"")</f>
        <v/>
      </c>
      <c r="I3684" s="2" t="str">
        <f>IFERROR(__xludf.DUMMYFUNCTION("""COMPUTED_VALUE"""),"")</f>
        <v/>
      </c>
      <c r="J3684" s="2">
        <f>IFERROR(__xludf.DUMMYFUNCTION("""COMPUTED_VALUE"""),0.0)</f>
        <v>0</v>
      </c>
      <c r="K3684" s="5" t="str">
        <f>IFERROR(__xludf.DUMMYFUNCTION("""COMPUTED_VALUE"""),"")</f>
        <v/>
      </c>
      <c r="L3684" t="str">
        <f>IFERROR(__xludf.DUMMYFUNCTION("""COMPUTED_VALUE"""),"")</f>
        <v/>
      </c>
      <c r="M3684" t="str">
        <f>IFERROR(__xludf.DUMMYFUNCTION("""COMPUTED_VALUE"""),"")</f>
        <v/>
      </c>
      <c r="N3684" t="str">
        <f>IFERROR(__xludf.DUMMYFUNCTION("""COMPUTED_VALUE"""),"")</f>
        <v/>
      </c>
      <c r="O3684" t="str">
        <f>IFERROR(__xludf.DUMMYFUNCTION("""COMPUTED_VALUE"""),"")</f>
        <v/>
      </c>
      <c r="P3684" t="str">
        <f>IFERROR(__xludf.DUMMYFUNCTION("""COMPUTED_VALUE"""),"ID ")</f>
        <v>ID </v>
      </c>
    </row>
    <row r="3685">
      <c r="A3685" s="6" t="str">
        <f>IFERROR(__xludf.DUMMYFUNCTION("""COMPUTED_VALUE"""),"")</f>
        <v/>
      </c>
      <c r="C3685" t="str">
        <f>IFERROR(__xludf.DUMMYFUNCTION("""COMPUTED_VALUE"""),"")</f>
        <v/>
      </c>
      <c r="D3685" t="str">
        <f>IFERROR(__xludf.DUMMYFUNCTION("""COMPUTED_VALUE"""),"")</f>
        <v/>
      </c>
      <c r="E3685" t="str">
        <f>IFERROR(__xludf.DUMMYFUNCTION("""COMPUTED_VALUE"""),"")</f>
        <v/>
      </c>
      <c r="F3685" t="str">
        <f>IFERROR(__xludf.DUMMYFUNCTION("""COMPUTED_VALUE"""),"")</f>
        <v/>
      </c>
      <c r="G3685" t="str">
        <f>IFERROR(__xludf.DUMMYFUNCTION("""COMPUTED_VALUE"""),"")</f>
        <v/>
      </c>
      <c r="H3685" s="2" t="str">
        <f>IFERROR(__xludf.DUMMYFUNCTION("""COMPUTED_VALUE"""),"")</f>
        <v/>
      </c>
      <c r="I3685" s="2" t="str">
        <f>IFERROR(__xludf.DUMMYFUNCTION("""COMPUTED_VALUE"""),"")</f>
        <v/>
      </c>
      <c r="J3685" s="2">
        <f>IFERROR(__xludf.DUMMYFUNCTION("""COMPUTED_VALUE"""),0.0)</f>
        <v>0</v>
      </c>
      <c r="K3685" s="5" t="str">
        <f>IFERROR(__xludf.DUMMYFUNCTION("""COMPUTED_VALUE"""),"")</f>
        <v/>
      </c>
      <c r="L3685" t="str">
        <f>IFERROR(__xludf.DUMMYFUNCTION("""COMPUTED_VALUE"""),"")</f>
        <v/>
      </c>
      <c r="M3685" t="str">
        <f>IFERROR(__xludf.DUMMYFUNCTION("""COMPUTED_VALUE"""),"")</f>
        <v/>
      </c>
      <c r="N3685" t="str">
        <f>IFERROR(__xludf.DUMMYFUNCTION("""COMPUTED_VALUE"""),"")</f>
        <v/>
      </c>
      <c r="O3685" t="str">
        <f>IFERROR(__xludf.DUMMYFUNCTION("""COMPUTED_VALUE"""),"")</f>
        <v/>
      </c>
      <c r="P3685" t="str">
        <f>IFERROR(__xludf.DUMMYFUNCTION("""COMPUTED_VALUE"""),"ID ")</f>
        <v>ID </v>
      </c>
    </row>
    <row r="3686">
      <c r="A3686" s="6" t="str">
        <f>IFERROR(__xludf.DUMMYFUNCTION("""COMPUTED_VALUE"""),"")</f>
        <v/>
      </c>
      <c r="C3686" t="str">
        <f>IFERROR(__xludf.DUMMYFUNCTION("""COMPUTED_VALUE"""),"")</f>
        <v/>
      </c>
      <c r="D3686" t="str">
        <f>IFERROR(__xludf.DUMMYFUNCTION("""COMPUTED_VALUE"""),"")</f>
        <v/>
      </c>
      <c r="E3686" t="str">
        <f>IFERROR(__xludf.DUMMYFUNCTION("""COMPUTED_VALUE"""),"")</f>
        <v/>
      </c>
      <c r="F3686" t="str">
        <f>IFERROR(__xludf.DUMMYFUNCTION("""COMPUTED_VALUE"""),"")</f>
        <v/>
      </c>
      <c r="G3686" t="str">
        <f>IFERROR(__xludf.DUMMYFUNCTION("""COMPUTED_VALUE"""),"")</f>
        <v/>
      </c>
      <c r="H3686" s="2" t="str">
        <f>IFERROR(__xludf.DUMMYFUNCTION("""COMPUTED_VALUE"""),"")</f>
        <v/>
      </c>
      <c r="I3686" s="2" t="str">
        <f>IFERROR(__xludf.DUMMYFUNCTION("""COMPUTED_VALUE"""),"")</f>
        <v/>
      </c>
      <c r="J3686" s="2">
        <f>IFERROR(__xludf.DUMMYFUNCTION("""COMPUTED_VALUE"""),0.0)</f>
        <v>0</v>
      </c>
      <c r="K3686" s="5" t="str">
        <f>IFERROR(__xludf.DUMMYFUNCTION("""COMPUTED_VALUE"""),"")</f>
        <v/>
      </c>
      <c r="L3686" t="str">
        <f>IFERROR(__xludf.DUMMYFUNCTION("""COMPUTED_VALUE"""),"")</f>
        <v/>
      </c>
      <c r="M3686" t="str">
        <f>IFERROR(__xludf.DUMMYFUNCTION("""COMPUTED_VALUE"""),"")</f>
        <v/>
      </c>
      <c r="N3686" t="str">
        <f>IFERROR(__xludf.DUMMYFUNCTION("""COMPUTED_VALUE"""),"")</f>
        <v/>
      </c>
      <c r="O3686" t="str">
        <f>IFERROR(__xludf.DUMMYFUNCTION("""COMPUTED_VALUE"""),"")</f>
        <v/>
      </c>
      <c r="P3686" t="str">
        <f>IFERROR(__xludf.DUMMYFUNCTION("""COMPUTED_VALUE"""),"ID ")</f>
        <v>ID </v>
      </c>
    </row>
    <row r="3687">
      <c r="A3687" s="6" t="str">
        <f>IFERROR(__xludf.DUMMYFUNCTION("""COMPUTED_VALUE"""),"")</f>
        <v/>
      </c>
      <c r="C3687" t="str">
        <f>IFERROR(__xludf.DUMMYFUNCTION("""COMPUTED_VALUE"""),"")</f>
        <v/>
      </c>
      <c r="D3687" t="str">
        <f>IFERROR(__xludf.DUMMYFUNCTION("""COMPUTED_VALUE"""),"")</f>
        <v/>
      </c>
      <c r="E3687" t="str">
        <f>IFERROR(__xludf.DUMMYFUNCTION("""COMPUTED_VALUE"""),"")</f>
        <v/>
      </c>
      <c r="F3687" t="str">
        <f>IFERROR(__xludf.DUMMYFUNCTION("""COMPUTED_VALUE"""),"")</f>
        <v/>
      </c>
      <c r="G3687" t="str">
        <f>IFERROR(__xludf.DUMMYFUNCTION("""COMPUTED_VALUE"""),"")</f>
        <v/>
      </c>
      <c r="H3687" s="2" t="str">
        <f>IFERROR(__xludf.DUMMYFUNCTION("""COMPUTED_VALUE"""),"")</f>
        <v/>
      </c>
      <c r="I3687" s="2" t="str">
        <f>IFERROR(__xludf.DUMMYFUNCTION("""COMPUTED_VALUE"""),"")</f>
        <v/>
      </c>
      <c r="J3687" s="2">
        <f>IFERROR(__xludf.DUMMYFUNCTION("""COMPUTED_VALUE"""),0.0)</f>
        <v>0</v>
      </c>
      <c r="K3687" s="5" t="str">
        <f>IFERROR(__xludf.DUMMYFUNCTION("""COMPUTED_VALUE"""),"")</f>
        <v/>
      </c>
      <c r="L3687" t="str">
        <f>IFERROR(__xludf.DUMMYFUNCTION("""COMPUTED_VALUE"""),"")</f>
        <v/>
      </c>
      <c r="M3687" t="str">
        <f>IFERROR(__xludf.DUMMYFUNCTION("""COMPUTED_VALUE"""),"")</f>
        <v/>
      </c>
      <c r="N3687" t="str">
        <f>IFERROR(__xludf.DUMMYFUNCTION("""COMPUTED_VALUE"""),"")</f>
        <v/>
      </c>
      <c r="O3687" t="str">
        <f>IFERROR(__xludf.DUMMYFUNCTION("""COMPUTED_VALUE"""),"")</f>
        <v/>
      </c>
      <c r="P3687" t="str">
        <f>IFERROR(__xludf.DUMMYFUNCTION("""COMPUTED_VALUE"""),"ID ")</f>
        <v>ID </v>
      </c>
    </row>
    <row r="3688">
      <c r="A3688" s="6" t="str">
        <f>IFERROR(__xludf.DUMMYFUNCTION("""COMPUTED_VALUE"""),"")</f>
        <v/>
      </c>
      <c r="C3688" t="str">
        <f>IFERROR(__xludf.DUMMYFUNCTION("""COMPUTED_VALUE"""),"")</f>
        <v/>
      </c>
      <c r="D3688" t="str">
        <f>IFERROR(__xludf.DUMMYFUNCTION("""COMPUTED_VALUE"""),"")</f>
        <v/>
      </c>
      <c r="E3688" t="str">
        <f>IFERROR(__xludf.DUMMYFUNCTION("""COMPUTED_VALUE"""),"")</f>
        <v/>
      </c>
      <c r="F3688" t="str">
        <f>IFERROR(__xludf.DUMMYFUNCTION("""COMPUTED_VALUE"""),"")</f>
        <v/>
      </c>
      <c r="G3688" t="str">
        <f>IFERROR(__xludf.DUMMYFUNCTION("""COMPUTED_VALUE"""),"")</f>
        <v/>
      </c>
      <c r="H3688" s="2" t="str">
        <f>IFERROR(__xludf.DUMMYFUNCTION("""COMPUTED_VALUE"""),"")</f>
        <v/>
      </c>
      <c r="I3688" s="2" t="str">
        <f>IFERROR(__xludf.DUMMYFUNCTION("""COMPUTED_VALUE"""),"")</f>
        <v/>
      </c>
      <c r="J3688" s="2">
        <f>IFERROR(__xludf.DUMMYFUNCTION("""COMPUTED_VALUE"""),0.0)</f>
        <v>0</v>
      </c>
      <c r="K3688" s="5" t="str">
        <f>IFERROR(__xludf.DUMMYFUNCTION("""COMPUTED_VALUE"""),"")</f>
        <v/>
      </c>
      <c r="L3688" t="str">
        <f>IFERROR(__xludf.DUMMYFUNCTION("""COMPUTED_VALUE"""),"")</f>
        <v/>
      </c>
      <c r="M3688" t="str">
        <f>IFERROR(__xludf.DUMMYFUNCTION("""COMPUTED_VALUE"""),"")</f>
        <v/>
      </c>
      <c r="N3688" t="str">
        <f>IFERROR(__xludf.DUMMYFUNCTION("""COMPUTED_VALUE"""),"")</f>
        <v/>
      </c>
      <c r="O3688" t="str">
        <f>IFERROR(__xludf.DUMMYFUNCTION("""COMPUTED_VALUE"""),"")</f>
        <v/>
      </c>
      <c r="P3688" t="str">
        <f>IFERROR(__xludf.DUMMYFUNCTION("""COMPUTED_VALUE"""),"ID ")</f>
        <v>ID </v>
      </c>
    </row>
    <row r="3689">
      <c r="A3689" s="6" t="str">
        <f>IFERROR(__xludf.DUMMYFUNCTION("""COMPUTED_VALUE"""),"")</f>
        <v/>
      </c>
      <c r="C3689" t="str">
        <f>IFERROR(__xludf.DUMMYFUNCTION("""COMPUTED_VALUE"""),"")</f>
        <v/>
      </c>
      <c r="D3689" t="str">
        <f>IFERROR(__xludf.DUMMYFUNCTION("""COMPUTED_VALUE"""),"")</f>
        <v/>
      </c>
      <c r="E3689" t="str">
        <f>IFERROR(__xludf.DUMMYFUNCTION("""COMPUTED_VALUE"""),"")</f>
        <v/>
      </c>
      <c r="F3689" t="str">
        <f>IFERROR(__xludf.DUMMYFUNCTION("""COMPUTED_VALUE"""),"")</f>
        <v/>
      </c>
      <c r="G3689" t="str">
        <f>IFERROR(__xludf.DUMMYFUNCTION("""COMPUTED_VALUE"""),"")</f>
        <v/>
      </c>
      <c r="H3689" s="2" t="str">
        <f>IFERROR(__xludf.DUMMYFUNCTION("""COMPUTED_VALUE"""),"")</f>
        <v/>
      </c>
      <c r="I3689" s="2" t="str">
        <f>IFERROR(__xludf.DUMMYFUNCTION("""COMPUTED_VALUE"""),"")</f>
        <v/>
      </c>
      <c r="J3689" s="2">
        <f>IFERROR(__xludf.DUMMYFUNCTION("""COMPUTED_VALUE"""),0.0)</f>
        <v>0</v>
      </c>
      <c r="K3689" s="5" t="str">
        <f>IFERROR(__xludf.DUMMYFUNCTION("""COMPUTED_VALUE"""),"")</f>
        <v/>
      </c>
      <c r="L3689" t="str">
        <f>IFERROR(__xludf.DUMMYFUNCTION("""COMPUTED_VALUE"""),"")</f>
        <v/>
      </c>
      <c r="M3689" t="str">
        <f>IFERROR(__xludf.DUMMYFUNCTION("""COMPUTED_VALUE"""),"")</f>
        <v/>
      </c>
      <c r="N3689" t="str">
        <f>IFERROR(__xludf.DUMMYFUNCTION("""COMPUTED_VALUE"""),"")</f>
        <v/>
      </c>
      <c r="O3689" t="str">
        <f>IFERROR(__xludf.DUMMYFUNCTION("""COMPUTED_VALUE"""),"")</f>
        <v/>
      </c>
      <c r="P3689" t="str">
        <f>IFERROR(__xludf.DUMMYFUNCTION("""COMPUTED_VALUE"""),"ID ")</f>
        <v>ID </v>
      </c>
    </row>
    <row r="3690">
      <c r="A3690" s="6" t="str">
        <f>IFERROR(__xludf.DUMMYFUNCTION("""COMPUTED_VALUE"""),"")</f>
        <v/>
      </c>
      <c r="C3690" t="str">
        <f>IFERROR(__xludf.DUMMYFUNCTION("""COMPUTED_VALUE"""),"")</f>
        <v/>
      </c>
      <c r="D3690" t="str">
        <f>IFERROR(__xludf.DUMMYFUNCTION("""COMPUTED_VALUE"""),"")</f>
        <v/>
      </c>
      <c r="E3690" t="str">
        <f>IFERROR(__xludf.DUMMYFUNCTION("""COMPUTED_VALUE"""),"")</f>
        <v/>
      </c>
      <c r="F3690" t="str">
        <f>IFERROR(__xludf.DUMMYFUNCTION("""COMPUTED_VALUE"""),"")</f>
        <v/>
      </c>
      <c r="G3690" t="str">
        <f>IFERROR(__xludf.DUMMYFUNCTION("""COMPUTED_VALUE"""),"")</f>
        <v/>
      </c>
      <c r="H3690" s="2" t="str">
        <f>IFERROR(__xludf.DUMMYFUNCTION("""COMPUTED_VALUE"""),"")</f>
        <v/>
      </c>
      <c r="I3690" s="2" t="str">
        <f>IFERROR(__xludf.DUMMYFUNCTION("""COMPUTED_VALUE"""),"")</f>
        <v/>
      </c>
      <c r="J3690" s="2">
        <f>IFERROR(__xludf.DUMMYFUNCTION("""COMPUTED_VALUE"""),0.0)</f>
        <v>0</v>
      </c>
      <c r="K3690" s="5" t="str">
        <f>IFERROR(__xludf.DUMMYFUNCTION("""COMPUTED_VALUE"""),"")</f>
        <v/>
      </c>
      <c r="L3690" t="str">
        <f>IFERROR(__xludf.DUMMYFUNCTION("""COMPUTED_VALUE"""),"")</f>
        <v/>
      </c>
      <c r="M3690" t="str">
        <f>IFERROR(__xludf.DUMMYFUNCTION("""COMPUTED_VALUE"""),"")</f>
        <v/>
      </c>
      <c r="N3690" t="str">
        <f>IFERROR(__xludf.DUMMYFUNCTION("""COMPUTED_VALUE"""),"")</f>
        <v/>
      </c>
      <c r="O3690" t="str">
        <f>IFERROR(__xludf.DUMMYFUNCTION("""COMPUTED_VALUE"""),"")</f>
        <v/>
      </c>
      <c r="P3690" t="str">
        <f>IFERROR(__xludf.DUMMYFUNCTION("""COMPUTED_VALUE"""),"ID ")</f>
        <v>ID </v>
      </c>
    </row>
    <row r="3691">
      <c r="A3691" s="6" t="str">
        <f>IFERROR(__xludf.DUMMYFUNCTION("""COMPUTED_VALUE"""),"")</f>
        <v/>
      </c>
      <c r="C3691" t="str">
        <f>IFERROR(__xludf.DUMMYFUNCTION("""COMPUTED_VALUE"""),"")</f>
        <v/>
      </c>
      <c r="D3691" t="str">
        <f>IFERROR(__xludf.DUMMYFUNCTION("""COMPUTED_VALUE"""),"")</f>
        <v/>
      </c>
      <c r="E3691" t="str">
        <f>IFERROR(__xludf.DUMMYFUNCTION("""COMPUTED_VALUE"""),"")</f>
        <v/>
      </c>
      <c r="F3691" t="str">
        <f>IFERROR(__xludf.DUMMYFUNCTION("""COMPUTED_VALUE"""),"")</f>
        <v/>
      </c>
      <c r="G3691" t="str">
        <f>IFERROR(__xludf.DUMMYFUNCTION("""COMPUTED_VALUE"""),"")</f>
        <v/>
      </c>
      <c r="H3691" s="2" t="str">
        <f>IFERROR(__xludf.DUMMYFUNCTION("""COMPUTED_VALUE"""),"")</f>
        <v/>
      </c>
      <c r="I3691" s="2" t="str">
        <f>IFERROR(__xludf.DUMMYFUNCTION("""COMPUTED_VALUE"""),"")</f>
        <v/>
      </c>
      <c r="J3691" s="2">
        <f>IFERROR(__xludf.DUMMYFUNCTION("""COMPUTED_VALUE"""),0.0)</f>
        <v>0</v>
      </c>
      <c r="K3691" s="5" t="str">
        <f>IFERROR(__xludf.DUMMYFUNCTION("""COMPUTED_VALUE"""),"")</f>
        <v/>
      </c>
      <c r="L3691" t="str">
        <f>IFERROR(__xludf.DUMMYFUNCTION("""COMPUTED_VALUE"""),"")</f>
        <v/>
      </c>
      <c r="M3691" t="str">
        <f>IFERROR(__xludf.DUMMYFUNCTION("""COMPUTED_VALUE"""),"")</f>
        <v/>
      </c>
      <c r="N3691" t="str">
        <f>IFERROR(__xludf.DUMMYFUNCTION("""COMPUTED_VALUE"""),"")</f>
        <v/>
      </c>
      <c r="O3691" t="str">
        <f>IFERROR(__xludf.DUMMYFUNCTION("""COMPUTED_VALUE"""),"")</f>
        <v/>
      </c>
      <c r="P3691" t="str">
        <f>IFERROR(__xludf.DUMMYFUNCTION("""COMPUTED_VALUE"""),"ID ")</f>
        <v>ID </v>
      </c>
    </row>
    <row r="3692">
      <c r="A3692" s="6" t="str">
        <f>IFERROR(__xludf.DUMMYFUNCTION("""COMPUTED_VALUE"""),"")</f>
        <v/>
      </c>
      <c r="C3692" t="str">
        <f>IFERROR(__xludf.DUMMYFUNCTION("""COMPUTED_VALUE"""),"")</f>
        <v/>
      </c>
      <c r="D3692" t="str">
        <f>IFERROR(__xludf.DUMMYFUNCTION("""COMPUTED_VALUE"""),"")</f>
        <v/>
      </c>
      <c r="E3692" t="str">
        <f>IFERROR(__xludf.DUMMYFUNCTION("""COMPUTED_VALUE"""),"")</f>
        <v/>
      </c>
      <c r="F3692" t="str">
        <f>IFERROR(__xludf.DUMMYFUNCTION("""COMPUTED_VALUE"""),"")</f>
        <v/>
      </c>
      <c r="G3692" t="str">
        <f>IFERROR(__xludf.DUMMYFUNCTION("""COMPUTED_VALUE"""),"")</f>
        <v/>
      </c>
      <c r="H3692" s="2" t="str">
        <f>IFERROR(__xludf.DUMMYFUNCTION("""COMPUTED_VALUE"""),"")</f>
        <v/>
      </c>
      <c r="I3692" s="2" t="str">
        <f>IFERROR(__xludf.DUMMYFUNCTION("""COMPUTED_VALUE"""),"")</f>
        <v/>
      </c>
      <c r="J3692" s="2">
        <f>IFERROR(__xludf.DUMMYFUNCTION("""COMPUTED_VALUE"""),0.0)</f>
        <v>0</v>
      </c>
      <c r="K3692" s="5" t="str">
        <f>IFERROR(__xludf.DUMMYFUNCTION("""COMPUTED_VALUE"""),"")</f>
        <v/>
      </c>
      <c r="L3692" t="str">
        <f>IFERROR(__xludf.DUMMYFUNCTION("""COMPUTED_VALUE"""),"")</f>
        <v/>
      </c>
      <c r="M3692" t="str">
        <f>IFERROR(__xludf.DUMMYFUNCTION("""COMPUTED_VALUE"""),"")</f>
        <v/>
      </c>
      <c r="N3692" t="str">
        <f>IFERROR(__xludf.DUMMYFUNCTION("""COMPUTED_VALUE"""),"")</f>
        <v/>
      </c>
      <c r="O3692" t="str">
        <f>IFERROR(__xludf.DUMMYFUNCTION("""COMPUTED_VALUE"""),"")</f>
        <v/>
      </c>
      <c r="P3692" t="str">
        <f>IFERROR(__xludf.DUMMYFUNCTION("""COMPUTED_VALUE"""),"ID ")</f>
        <v>ID </v>
      </c>
    </row>
    <row r="3693">
      <c r="A3693" s="6" t="str">
        <f>IFERROR(__xludf.DUMMYFUNCTION("""COMPUTED_VALUE"""),"")</f>
        <v/>
      </c>
      <c r="C3693" t="str">
        <f>IFERROR(__xludf.DUMMYFUNCTION("""COMPUTED_VALUE"""),"")</f>
        <v/>
      </c>
      <c r="D3693" t="str">
        <f>IFERROR(__xludf.DUMMYFUNCTION("""COMPUTED_VALUE"""),"")</f>
        <v/>
      </c>
      <c r="E3693" t="str">
        <f>IFERROR(__xludf.DUMMYFUNCTION("""COMPUTED_VALUE"""),"")</f>
        <v/>
      </c>
      <c r="F3693" t="str">
        <f>IFERROR(__xludf.DUMMYFUNCTION("""COMPUTED_VALUE"""),"")</f>
        <v/>
      </c>
      <c r="G3693" t="str">
        <f>IFERROR(__xludf.DUMMYFUNCTION("""COMPUTED_VALUE"""),"")</f>
        <v/>
      </c>
      <c r="H3693" s="2" t="str">
        <f>IFERROR(__xludf.DUMMYFUNCTION("""COMPUTED_VALUE"""),"")</f>
        <v/>
      </c>
      <c r="I3693" s="2" t="str">
        <f>IFERROR(__xludf.DUMMYFUNCTION("""COMPUTED_VALUE"""),"")</f>
        <v/>
      </c>
      <c r="J3693" s="2">
        <f>IFERROR(__xludf.DUMMYFUNCTION("""COMPUTED_VALUE"""),0.0)</f>
        <v>0</v>
      </c>
      <c r="K3693" s="5" t="str">
        <f>IFERROR(__xludf.DUMMYFUNCTION("""COMPUTED_VALUE"""),"")</f>
        <v/>
      </c>
      <c r="L3693" t="str">
        <f>IFERROR(__xludf.DUMMYFUNCTION("""COMPUTED_VALUE"""),"")</f>
        <v/>
      </c>
      <c r="M3693" t="str">
        <f>IFERROR(__xludf.DUMMYFUNCTION("""COMPUTED_VALUE"""),"")</f>
        <v/>
      </c>
      <c r="N3693" t="str">
        <f>IFERROR(__xludf.DUMMYFUNCTION("""COMPUTED_VALUE"""),"")</f>
        <v/>
      </c>
      <c r="O3693" t="str">
        <f>IFERROR(__xludf.DUMMYFUNCTION("""COMPUTED_VALUE"""),"")</f>
        <v/>
      </c>
      <c r="P3693" t="str">
        <f>IFERROR(__xludf.DUMMYFUNCTION("""COMPUTED_VALUE"""),"ID ")</f>
        <v>ID </v>
      </c>
    </row>
    <row r="3694">
      <c r="A3694" s="6" t="str">
        <f>IFERROR(__xludf.DUMMYFUNCTION("""COMPUTED_VALUE"""),"")</f>
        <v/>
      </c>
      <c r="C3694" t="str">
        <f>IFERROR(__xludf.DUMMYFUNCTION("""COMPUTED_VALUE"""),"")</f>
        <v/>
      </c>
      <c r="D3694" t="str">
        <f>IFERROR(__xludf.DUMMYFUNCTION("""COMPUTED_VALUE"""),"")</f>
        <v/>
      </c>
      <c r="E3694" t="str">
        <f>IFERROR(__xludf.DUMMYFUNCTION("""COMPUTED_VALUE"""),"")</f>
        <v/>
      </c>
      <c r="F3694" t="str">
        <f>IFERROR(__xludf.DUMMYFUNCTION("""COMPUTED_VALUE"""),"")</f>
        <v/>
      </c>
      <c r="G3694" t="str">
        <f>IFERROR(__xludf.DUMMYFUNCTION("""COMPUTED_VALUE"""),"")</f>
        <v/>
      </c>
      <c r="H3694" s="2" t="str">
        <f>IFERROR(__xludf.DUMMYFUNCTION("""COMPUTED_VALUE"""),"")</f>
        <v/>
      </c>
      <c r="I3694" s="2" t="str">
        <f>IFERROR(__xludf.DUMMYFUNCTION("""COMPUTED_VALUE"""),"")</f>
        <v/>
      </c>
      <c r="J3694" s="2">
        <f>IFERROR(__xludf.DUMMYFUNCTION("""COMPUTED_VALUE"""),0.0)</f>
        <v>0</v>
      </c>
      <c r="K3694" s="5" t="str">
        <f>IFERROR(__xludf.DUMMYFUNCTION("""COMPUTED_VALUE"""),"")</f>
        <v/>
      </c>
      <c r="L3694" t="str">
        <f>IFERROR(__xludf.DUMMYFUNCTION("""COMPUTED_VALUE"""),"")</f>
        <v/>
      </c>
      <c r="M3694" t="str">
        <f>IFERROR(__xludf.DUMMYFUNCTION("""COMPUTED_VALUE"""),"")</f>
        <v/>
      </c>
      <c r="N3694" t="str">
        <f>IFERROR(__xludf.DUMMYFUNCTION("""COMPUTED_VALUE"""),"")</f>
        <v/>
      </c>
      <c r="O3694" t="str">
        <f>IFERROR(__xludf.DUMMYFUNCTION("""COMPUTED_VALUE"""),"")</f>
        <v/>
      </c>
      <c r="P3694" t="str">
        <f>IFERROR(__xludf.DUMMYFUNCTION("""COMPUTED_VALUE"""),"ID ")</f>
        <v>ID </v>
      </c>
    </row>
    <row r="3695">
      <c r="A3695" s="6" t="str">
        <f>IFERROR(__xludf.DUMMYFUNCTION("""COMPUTED_VALUE"""),"")</f>
        <v/>
      </c>
      <c r="C3695" t="str">
        <f>IFERROR(__xludf.DUMMYFUNCTION("""COMPUTED_VALUE"""),"")</f>
        <v/>
      </c>
      <c r="D3695" t="str">
        <f>IFERROR(__xludf.DUMMYFUNCTION("""COMPUTED_VALUE"""),"")</f>
        <v/>
      </c>
      <c r="E3695" t="str">
        <f>IFERROR(__xludf.DUMMYFUNCTION("""COMPUTED_VALUE"""),"")</f>
        <v/>
      </c>
      <c r="F3695" t="str">
        <f>IFERROR(__xludf.DUMMYFUNCTION("""COMPUTED_VALUE"""),"")</f>
        <v/>
      </c>
      <c r="G3695" t="str">
        <f>IFERROR(__xludf.DUMMYFUNCTION("""COMPUTED_VALUE"""),"")</f>
        <v/>
      </c>
      <c r="H3695" s="2" t="str">
        <f>IFERROR(__xludf.DUMMYFUNCTION("""COMPUTED_VALUE"""),"")</f>
        <v/>
      </c>
      <c r="I3695" s="2" t="str">
        <f>IFERROR(__xludf.DUMMYFUNCTION("""COMPUTED_VALUE"""),"")</f>
        <v/>
      </c>
      <c r="J3695" s="2">
        <f>IFERROR(__xludf.DUMMYFUNCTION("""COMPUTED_VALUE"""),0.0)</f>
        <v>0</v>
      </c>
      <c r="K3695" s="5" t="str">
        <f>IFERROR(__xludf.DUMMYFUNCTION("""COMPUTED_VALUE"""),"")</f>
        <v/>
      </c>
      <c r="L3695" t="str">
        <f>IFERROR(__xludf.DUMMYFUNCTION("""COMPUTED_VALUE"""),"")</f>
        <v/>
      </c>
      <c r="M3695" t="str">
        <f>IFERROR(__xludf.DUMMYFUNCTION("""COMPUTED_VALUE"""),"")</f>
        <v/>
      </c>
      <c r="N3695" t="str">
        <f>IFERROR(__xludf.DUMMYFUNCTION("""COMPUTED_VALUE"""),"")</f>
        <v/>
      </c>
      <c r="O3695" t="str">
        <f>IFERROR(__xludf.DUMMYFUNCTION("""COMPUTED_VALUE"""),"")</f>
        <v/>
      </c>
      <c r="P3695" t="str">
        <f>IFERROR(__xludf.DUMMYFUNCTION("""COMPUTED_VALUE"""),"ID ")</f>
        <v>ID </v>
      </c>
    </row>
    <row r="3696">
      <c r="A3696" s="6" t="str">
        <f>IFERROR(__xludf.DUMMYFUNCTION("""COMPUTED_VALUE"""),"")</f>
        <v/>
      </c>
      <c r="C3696" t="str">
        <f>IFERROR(__xludf.DUMMYFUNCTION("""COMPUTED_VALUE"""),"")</f>
        <v/>
      </c>
      <c r="D3696" t="str">
        <f>IFERROR(__xludf.DUMMYFUNCTION("""COMPUTED_VALUE"""),"")</f>
        <v/>
      </c>
      <c r="E3696" t="str">
        <f>IFERROR(__xludf.DUMMYFUNCTION("""COMPUTED_VALUE"""),"")</f>
        <v/>
      </c>
      <c r="F3696" t="str">
        <f>IFERROR(__xludf.DUMMYFUNCTION("""COMPUTED_VALUE"""),"")</f>
        <v/>
      </c>
      <c r="G3696" t="str">
        <f>IFERROR(__xludf.DUMMYFUNCTION("""COMPUTED_VALUE"""),"")</f>
        <v/>
      </c>
      <c r="H3696" s="2" t="str">
        <f>IFERROR(__xludf.DUMMYFUNCTION("""COMPUTED_VALUE"""),"")</f>
        <v/>
      </c>
      <c r="I3696" s="2" t="str">
        <f>IFERROR(__xludf.DUMMYFUNCTION("""COMPUTED_VALUE"""),"")</f>
        <v/>
      </c>
      <c r="J3696" s="2">
        <f>IFERROR(__xludf.DUMMYFUNCTION("""COMPUTED_VALUE"""),0.0)</f>
        <v>0</v>
      </c>
      <c r="K3696" s="5" t="str">
        <f>IFERROR(__xludf.DUMMYFUNCTION("""COMPUTED_VALUE"""),"")</f>
        <v/>
      </c>
      <c r="L3696" t="str">
        <f>IFERROR(__xludf.DUMMYFUNCTION("""COMPUTED_VALUE"""),"")</f>
        <v/>
      </c>
      <c r="M3696" t="str">
        <f>IFERROR(__xludf.DUMMYFUNCTION("""COMPUTED_VALUE"""),"")</f>
        <v/>
      </c>
      <c r="N3696" t="str">
        <f>IFERROR(__xludf.DUMMYFUNCTION("""COMPUTED_VALUE"""),"")</f>
        <v/>
      </c>
      <c r="O3696" t="str">
        <f>IFERROR(__xludf.DUMMYFUNCTION("""COMPUTED_VALUE"""),"")</f>
        <v/>
      </c>
      <c r="P3696" t="str">
        <f>IFERROR(__xludf.DUMMYFUNCTION("""COMPUTED_VALUE"""),"ID ")</f>
        <v>ID </v>
      </c>
    </row>
    <row r="3697">
      <c r="A3697" s="6" t="str">
        <f>IFERROR(__xludf.DUMMYFUNCTION("""COMPUTED_VALUE"""),"")</f>
        <v/>
      </c>
      <c r="C3697" t="str">
        <f>IFERROR(__xludf.DUMMYFUNCTION("""COMPUTED_VALUE"""),"")</f>
        <v/>
      </c>
      <c r="D3697" t="str">
        <f>IFERROR(__xludf.DUMMYFUNCTION("""COMPUTED_VALUE"""),"")</f>
        <v/>
      </c>
      <c r="E3697" t="str">
        <f>IFERROR(__xludf.DUMMYFUNCTION("""COMPUTED_VALUE"""),"")</f>
        <v/>
      </c>
      <c r="F3697" t="str">
        <f>IFERROR(__xludf.DUMMYFUNCTION("""COMPUTED_VALUE"""),"")</f>
        <v/>
      </c>
      <c r="G3697" t="str">
        <f>IFERROR(__xludf.DUMMYFUNCTION("""COMPUTED_VALUE"""),"")</f>
        <v/>
      </c>
      <c r="H3697" s="2" t="str">
        <f>IFERROR(__xludf.DUMMYFUNCTION("""COMPUTED_VALUE"""),"")</f>
        <v/>
      </c>
      <c r="I3697" s="2" t="str">
        <f>IFERROR(__xludf.DUMMYFUNCTION("""COMPUTED_VALUE"""),"")</f>
        <v/>
      </c>
      <c r="J3697" s="2">
        <f>IFERROR(__xludf.DUMMYFUNCTION("""COMPUTED_VALUE"""),0.0)</f>
        <v>0</v>
      </c>
      <c r="K3697" s="5" t="str">
        <f>IFERROR(__xludf.DUMMYFUNCTION("""COMPUTED_VALUE"""),"")</f>
        <v/>
      </c>
      <c r="L3697" t="str">
        <f>IFERROR(__xludf.DUMMYFUNCTION("""COMPUTED_VALUE"""),"")</f>
        <v/>
      </c>
      <c r="M3697" t="str">
        <f>IFERROR(__xludf.DUMMYFUNCTION("""COMPUTED_VALUE"""),"")</f>
        <v/>
      </c>
      <c r="N3697" t="str">
        <f>IFERROR(__xludf.DUMMYFUNCTION("""COMPUTED_VALUE"""),"")</f>
        <v/>
      </c>
      <c r="O3697" t="str">
        <f>IFERROR(__xludf.DUMMYFUNCTION("""COMPUTED_VALUE"""),"")</f>
        <v/>
      </c>
      <c r="P3697" t="str">
        <f>IFERROR(__xludf.DUMMYFUNCTION("""COMPUTED_VALUE"""),"ID ")</f>
        <v>ID </v>
      </c>
    </row>
    <row r="3698">
      <c r="A3698" s="6" t="str">
        <f>IFERROR(__xludf.DUMMYFUNCTION("""COMPUTED_VALUE"""),"")</f>
        <v/>
      </c>
      <c r="C3698" t="str">
        <f>IFERROR(__xludf.DUMMYFUNCTION("""COMPUTED_VALUE"""),"")</f>
        <v/>
      </c>
      <c r="D3698" t="str">
        <f>IFERROR(__xludf.DUMMYFUNCTION("""COMPUTED_VALUE"""),"")</f>
        <v/>
      </c>
      <c r="E3698" t="str">
        <f>IFERROR(__xludf.DUMMYFUNCTION("""COMPUTED_VALUE"""),"")</f>
        <v/>
      </c>
      <c r="F3698" t="str">
        <f>IFERROR(__xludf.DUMMYFUNCTION("""COMPUTED_VALUE"""),"")</f>
        <v/>
      </c>
      <c r="G3698" t="str">
        <f>IFERROR(__xludf.DUMMYFUNCTION("""COMPUTED_VALUE"""),"")</f>
        <v/>
      </c>
      <c r="H3698" s="2" t="str">
        <f>IFERROR(__xludf.DUMMYFUNCTION("""COMPUTED_VALUE"""),"")</f>
        <v/>
      </c>
      <c r="I3698" s="2" t="str">
        <f>IFERROR(__xludf.DUMMYFUNCTION("""COMPUTED_VALUE"""),"")</f>
        <v/>
      </c>
      <c r="J3698" s="2">
        <f>IFERROR(__xludf.DUMMYFUNCTION("""COMPUTED_VALUE"""),0.0)</f>
        <v>0</v>
      </c>
      <c r="K3698" s="5" t="str">
        <f>IFERROR(__xludf.DUMMYFUNCTION("""COMPUTED_VALUE"""),"")</f>
        <v/>
      </c>
      <c r="L3698" t="str">
        <f>IFERROR(__xludf.DUMMYFUNCTION("""COMPUTED_VALUE"""),"")</f>
        <v/>
      </c>
      <c r="M3698" t="str">
        <f>IFERROR(__xludf.DUMMYFUNCTION("""COMPUTED_VALUE"""),"")</f>
        <v/>
      </c>
      <c r="N3698" t="str">
        <f>IFERROR(__xludf.DUMMYFUNCTION("""COMPUTED_VALUE"""),"")</f>
        <v/>
      </c>
      <c r="O3698" t="str">
        <f>IFERROR(__xludf.DUMMYFUNCTION("""COMPUTED_VALUE"""),"")</f>
        <v/>
      </c>
      <c r="P3698" t="str">
        <f>IFERROR(__xludf.DUMMYFUNCTION("""COMPUTED_VALUE"""),"ID ")</f>
        <v>ID </v>
      </c>
    </row>
    <row r="3699">
      <c r="A3699" s="6" t="str">
        <f>IFERROR(__xludf.DUMMYFUNCTION("""COMPUTED_VALUE"""),"")</f>
        <v/>
      </c>
      <c r="C3699" t="str">
        <f>IFERROR(__xludf.DUMMYFUNCTION("""COMPUTED_VALUE"""),"")</f>
        <v/>
      </c>
      <c r="D3699" t="str">
        <f>IFERROR(__xludf.DUMMYFUNCTION("""COMPUTED_VALUE"""),"")</f>
        <v/>
      </c>
      <c r="E3699" t="str">
        <f>IFERROR(__xludf.DUMMYFUNCTION("""COMPUTED_VALUE"""),"")</f>
        <v/>
      </c>
      <c r="F3699" t="str">
        <f>IFERROR(__xludf.DUMMYFUNCTION("""COMPUTED_VALUE"""),"")</f>
        <v/>
      </c>
      <c r="G3699" t="str">
        <f>IFERROR(__xludf.DUMMYFUNCTION("""COMPUTED_VALUE"""),"")</f>
        <v/>
      </c>
      <c r="H3699" s="2" t="str">
        <f>IFERROR(__xludf.DUMMYFUNCTION("""COMPUTED_VALUE"""),"")</f>
        <v/>
      </c>
      <c r="I3699" s="2" t="str">
        <f>IFERROR(__xludf.DUMMYFUNCTION("""COMPUTED_VALUE"""),"")</f>
        <v/>
      </c>
      <c r="J3699" s="2">
        <f>IFERROR(__xludf.DUMMYFUNCTION("""COMPUTED_VALUE"""),0.0)</f>
        <v>0</v>
      </c>
      <c r="K3699" s="5" t="str">
        <f>IFERROR(__xludf.DUMMYFUNCTION("""COMPUTED_VALUE"""),"")</f>
        <v/>
      </c>
      <c r="L3699" t="str">
        <f>IFERROR(__xludf.DUMMYFUNCTION("""COMPUTED_VALUE"""),"")</f>
        <v/>
      </c>
      <c r="M3699" t="str">
        <f>IFERROR(__xludf.DUMMYFUNCTION("""COMPUTED_VALUE"""),"")</f>
        <v/>
      </c>
      <c r="N3699" t="str">
        <f>IFERROR(__xludf.DUMMYFUNCTION("""COMPUTED_VALUE"""),"")</f>
        <v/>
      </c>
      <c r="O3699" t="str">
        <f>IFERROR(__xludf.DUMMYFUNCTION("""COMPUTED_VALUE"""),"")</f>
        <v/>
      </c>
      <c r="P3699" t="str">
        <f>IFERROR(__xludf.DUMMYFUNCTION("""COMPUTED_VALUE"""),"ID ")</f>
        <v>ID </v>
      </c>
    </row>
    <row r="3700">
      <c r="A3700" s="6" t="str">
        <f>IFERROR(__xludf.DUMMYFUNCTION("""COMPUTED_VALUE"""),"")</f>
        <v/>
      </c>
      <c r="C3700" t="str">
        <f>IFERROR(__xludf.DUMMYFUNCTION("""COMPUTED_VALUE"""),"")</f>
        <v/>
      </c>
      <c r="D3700" t="str">
        <f>IFERROR(__xludf.DUMMYFUNCTION("""COMPUTED_VALUE"""),"")</f>
        <v/>
      </c>
      <c r="E3700" t="str">
        <f>IFERROR(__xludf.DUMMYFUNCTION("""COMPUTED_VALUE"""),"")</f>
        <v/>
      </c>
      <c r="F3700" t="str">
        <f>IFERROR(__xludf.DUMMYFUNCTION("""COMPUTED_VALUE"""),"")</f>
        <v/>
      </c>
      <c r="G3700" t="str">
        <f>IFERROR(__xludf.DUMMYFUNCTION("""COMPUTED_VALUE"""),"")</f>
        <v/>
      </c>
      <c r="H3700" s="2" t="str">
        <f>IFERROR(__xludf.DUMMYFUNCTION("""COMPUTED_VALUE"""),"")</f>
        <v/>
      </c>
      <c r="I3700" s="2" t="str">
        <f>IFERROR(__xludf.DUMMYFUNCTION("""COMPUTED_VALUE"""),"")</f>
        <v/>
      </c>
      <c r="J3700" s="2">
        <f>IFERROR(__xludf.DUMMYFUNCTION("""COMPUTED_VALUE"""),0.0)</f>
        <v>0</v>
      </c>
      <c r="K3700" s="5" t="str">
        <f>IFERROR(__xludf.DUMMYFUNCTION("""COMPUTED_VALUE"""),"")</f>
        <v/>
      </c>
      <c r="L3700" t="str">
        <f>IFERROR(__xludf.DUMMYFUNCTION("""COMPUTED_VALUE"""),"")</f>
        <v/>
      </c>
      <c r="M3700" t="str">
        <f>IFERROR(__xludf.DUMMYFUNCTION("""COMPUTED_VALUE"""),"")</f>
        <v/>
      </c>
      <c r="N3700" t="str">
        <f>IFERROR(__xludf.DUMMYFUNCTION("""COMPUTED_VALUE"""),"")</f>
        <v/>
      </c>
      <c r="O3700" t="str">
        <f>IFERROR(__xludf.DUMMYFUNCTION("""COMPUTED_VALUE"""),"")</f>
        <v/>
      </c>
      <c r="P3700" t="str">
        <f>IFERROR(__xludf.DUMMYFUNCTION("""COMPUTED_VALUE"""),"ID ")</f>
        <v>ID </v>
      </c>
    </row>
    <row r="3701">
      <c r="A3701" s="6" t="str">
        <f>IFERROR(__xludf.DUMMYFUNCTION("""COMPUTED_VALUE"""),"")</f>
        <v/>
      </c>
      <c r="C3701" t="str">
        <f>IFERROR(__xludf.DUMMYFUNCTION("""COMPUTED_VALUE"""),"")</f>
        <v/>
      </c>
      <c r="D3701" t="str">
        <f>IFERROR(__xludf.DUMMYFUNCTION("""COMPUTED_VALUE"""),"")</f>
        <v/>
      </c>
      <c r="E3701" t="str">
        <f>IFERROR(__xludf.DUMMYFUNCTION("""COMPUTED_VALUE"""),"")</f>
        <v/>
      </c>
      <c r="F3701" t="str">
        <f>IFERROR(__xludf.DUMMYFUNCTION("""COMPUTED_VALUE"""),"")</f>
        <v/>
      </c>
      <c r="G3701" t="str">
        <f>IFERROR(__xludf.DUMMYFUNCTION("""COMPUTED_VALUE"""),"")</f>
        <v/>
      </c>
      <c r="H3701" s="2" t="str">
        <f>IFERROR(__xludf.DUMMYFUNCTION("""COMPUTED_VALUE"""),"")</f>
        <v/>
      </c>
      <c r="I3701" s="2" t="str">
        <f>IFERROR(__xludf.DUMMYFUNCTION("""COMPUTED_VALUE"""),"")</f>
        <v/>
      </c>
      <c r="J3701" s="2">
        <f>IFERROR(__xludf.DUMMYFUNCTION("""COMPUTED_VALUE"""),0.0)</f>
        <v>0</v>
      </c>
      <c r="K3701" s="5" t="str">
        <f>IFERROR(__xludf.DUMMYFUNCTION("""COMPUTED_VALUE"""),"")</f>
        <v/>
      </c>
      <c r="L3701" t="str">
        <f>IFERROR(__xludf.DUMMYFUNCTION("""COMPUTED_VALUE"""),"")</f>
        <v/>
      </c>
      <c r="M3701" t="str">
        <f>IFERROR(__xludf.DUMMYFUNCTION("""COMPUTED_VALUE"""),"")</f>
        <v/>
      </c>
      <c r="N3701" t="str">
        <f>IFERROR(__xludf.DUMMYFUNCTION("""COMPUTED_VALUE"""),"")</f>
        <v/>
      </c>
      <c r="O3701" t="str">
        <f>IFERROR(__xludf.DUMMYFUNCTION("""COMPUTED_VALUE"""),"")</f>
        <v/>
      </c>
      <c r="P3701" t="str">
        <f>IFERROR(__xludf.DUMMYFUNCTION("""COMPUTED_VALUE"""),"ID ")</f>
        <v>ID </v>
      </c>
    </row>
    <row r="3702">
      <c r="A3702" s="6" t="str">
        <f>IFERROR(__xludf.DUMMYFUNCTION("""COMPUTED_VALUE"""),"")</f>
        <v/>
      </c>
      <c r="C3702" t="str">
        <f>IFERROR(__xludf.DUMMYFUNCTION("""COMPUTED_VALUE"""),"")</f>
        <v/>
      </c>
      <c r="D3702" t="str">
        <f>IFERROR(__xludf.DUMMYFUNCTION("""COMPUTED_VALUE"""),"")</f>
        <v/>
      </c>
      <c r="E3702" t="str">
        <f>IFERROR(__xludf.DUMMYFUNCTION("""COMPUTED_VALUE"""),"")</f>
        <v/>
      </c>
      <c r="F3702" t="str">
        <f>IFERROR(__xludf.DUMMYFUNCTION("""COMPUTED_VALUE"""),"")</f>
        <v/>
      </c>
      <c r="G3702" t="str">
        <f>IFERROR(__xludf.DUMMYFUNCTION("""COMPUTED_VALUE"""),"")</f>
        <v/>
      </c>
      <c r="H3702" s="2" t="str">
        <f>IFERROR(__xludf.DUMMYFUNCTION("""COMPUTED_VALUE"""),"")</f>
        <v/>
      </c>
      <c r="I3702" s="2" t="str">
        <f>IFERROR(__xludf.DUMMYFUNCTION("""COMPUTED_VALUE"""),"")</f>
        <v/>
      </c>
      <c r="J3702" s="2">
        <f>IFERROR(__xludf.DUMMYFUNCTION("""COMPUTED_VALUE"""),0.0)</f>
        <v>0</v>
      </c>
      <c r="K3702" s="5" t="str">
        <f>IFERROR(__xludf.DUMMYFUNCTION("""COMPUTED_VALUE"""),"")</f>
        <v/>
      </c>
      <c r="L3702" t="str">
        <f>IFERROR(__xludf.DUMMYFUNCTION("""COMPUTED_VALUE"""),"")</f>
        <v/>
      </c>
      <c r="M3702" t="str">
        <f>IFERROR(__xludf.DUMMYFUNCTION("""COMPUTED_VALUE"""),"")</f>
        <v/>
      </c>
      <c r="N3702" t="str">
        <f>IFERROR(__xludf.DUMMYFUNCTION("""COMPUTED_VALUE"""),"")</f>
        <v/>
      </c>
      <c r="O3702" t="str">
        <f>IFERROR(__xludf.DUMMYFUNCTION("""COMPUTED_VALUE"""),"")</f>
        <v/>
      </c>
      <c r="P3702" t="str">
        <f>IFERROR(__xludf.DUMMYFUNCTION("""COMPUTED_VALUE"""),"ID ")</f>
        <v>ID </v>
      </c>
    </row>
    <row r="3703">
      <c r="A3703" s="6" t="str">
        <f>IFERROR(__xludf.DUMMYFUNCTION("""COMPUTED_VALUE"""),"")</f>
        <v/>
      </c>
      <c r="C3703" t="str">
        <f>IFERROR(__xludf.DUMMYFUNCTION("""COMPUTED_VALUE"""),"")</f>
        <v/>
      </c>
      <c r="D3703" t="str">
        <f>IFERROR(__xludf.DUMMYFUNCTION("""COMPUTED_VALUE"""),"")</f>
        <v/>
      </c>
      <c r="E3703" t="str">
        <f>IFERROR(__xludf.DUMMYFUNCTION("""COMPUTED_VALUE"""),"")</f>
        <v/>
      </c>
      <c r="F3703" t="str">
        <f>IFERROR(__xludf.DUMMYFUNCTION("""COMPUTED_VALUE"""),"")</f>
        <v/>
      </c>
      <c r="G3703" t="str">
        <f>IFERROR(__xludf.DUMMYFUNCTION("""COMPUTED_VALUE"""),"")</f>
        <v/>
      </c>
      <c r="H3703" s="2" t="str">
        <f>IFERROR(__xludf.DUMMYFUNCTION("""COMPUTED_VALUE"""),"")</f>
        <v/>
      </c>
      <c r="I3703" s="2" t="str">
        <f>IFERROR(__xludf.DUMMYFUNCTION("""COMPUTED_VALUE"""),"")</f>
        <v/>
      </c>
      <c r="J3703" s="2">
        <f>IFERROR(__xludf.DUMMYFUNCTION("""COMPUTED_VALUE"""),0.0)</f>
        <v>0</v>
      </c>
      <c r="K3703" s="5" t="str">
        <f>IFERROR(__xludf.DUMMYFUNCTION("""COMPUTED_VALUE"""),"")</f>
        <v/>
      </c>
      <c r="L3703" t="str">
        <f>IFERROR(__xludf.DUMMYFUNCTION("""COMPUTED_VALUE"""),"")</f>
        <v/>
      </c>
      <c r="M3703" t="str">
        <f>IFERROR(__xludf.DUMMYFUNCTION("""COMPUTED_VALUE"""),"")</f>
        <v/>
      </c>
      <c r="N3703" t="str">
        <f>IFERROR(__xludf.DUMMYFUNCTION("""COMPUTED_VALUE"""),"")</f>
        <v/>
      </c>
      <c r="O3703" t="str">
        <f>IFERROR(__xludf.DUMMYFUNCTION("""COMPUTED_VALUE"""),"")</f>
        <v/>
      </c>
      <c r="P3703" t="str">
        <f>IFERROR(__xludf.DUMMYFUNCTION("""COMPUTED_VALUE"""),"ID ")</f>
        <v>ID </v>
      </c>
    </row>
    <row r="3704">
      <c r="A3704" s="6" t="str">
        <f>IFERROR(__xludf.DUMMYFUNCTION("""COMPUTED_VALUE"""),"")</f>
        <v/>
      </c>
      <c r="C3704" t="str">
        <f>IFERROR(__xludf.DUMMYFUNCTION("""COMPUTED_VALUE"""),"")</f>
        <v/>
      </c>
      <c r="D3704" t="str">
        <f>IFERROR(__xludf.DUMMYFUNCTION("""COMPUTED_VALUE"""),"")</f>
        <v/>
      </c>
      <c r="E3704" t="str">
        <f>IFERROR(__xludf.DUMMYFUNCTION("""COMPUTED_VALUE"""),"")</f>
        <v/>
      </c>
      <c r="F3704" t="str">
        <f>IFERROR(__xludf.DUMMYFUNCTION("""COMPUTED_VALUE"""),"")</f>
        <v/>
      </c>
      <c r="G3704" t="str">
        <f>IFERROR(__xludf.DUMMYFUNCTION("""COMPUTED_VALUE"""),"")</f>
        <v/>
      </c>
      <c r="H3704" s="2" t="str">
        <f>IFERROR(__xludf.DUMMYFUNCTION("""COMPUTED_VALUE"""),"")</f>
        <v/>
      </c>
      <c r="I3704" s="2" t="str">
        <f>IFERROR(__xludf.DUMMYFUNCTION("""COMPUTED_VALUE"""),"")</f>
        <v/>
      </c>
      <c r="J3704" s="2">
        <f>IFERROR(__xludf.DUMMYFUNCTION("""COMPUTED_VALUE"""),0.0)</f>
        <v>0</v>
      </c>
      <c r="K3704" s="5" t="str">
        <f>IFERROR(__xludf.DUMMYFUNCTION("""COMPUTED_VALUE"""),"")</f>
        <v/>
      </c>
      <c r="L3704" t="str">
        <f>IFERROR(__xludf.DUMMYFUNCTION("""COMPUTED_VALUE"""),"")</f>
        <v/>
      </c>
      <c r="M3704" t="str">
        <f>IFERROR(__xludf.DUMMYFUNCTION("""COMPUTED_VALUE"""),"")</f>
        <v/>
      </c>
      <c r="N3704" t="str">
        <f>IFERROR(__xludf.DUMMYFUNCTION("""COMPUTED_VALUE"""),"")</f>
        <v/>
      </c>
      <c r="O3704" t="str">
        <f>IFERROR(__xludf.DUMMYFUNCTION("""COMPUTED_VALUE"""),"")</f>
        <v/>
      </c>
      <c r="P3704" t="str">
        <f>IFERROR(__xludf.DUMMYFUNCTION("""COMPUTED_VALUE"""),"ID ")</f>
        <v>ID </v>
      </c>
    </row>
    <row r="3705">
      <c r="A3705" s="6" t="str">
        <f>IFERROR(__xludf.DUMMYFUNCTION("""COMPUTED_VALUE"""),"")</f>
        <v/>
      </c>
      <c r="C3705" t="str">
        <f>IFERROR(__xludf.DUMMYFUNCTION("""COMPUTED_VALUE"""),"")</f>
        <v/>
      </c>
      <c r="D3705" t="str">
        <f>IFERROR(__xludf.DUMMYFUNCTION("""COMPUTED_VALUE"""),"")</f>
        <v/>
      </c>
      <c r="E3705" t="str">
        <f>IFERROR(__xludf.DUMMYFUNCTION("""COMPUTED_VALUE"""),"")</f>
        <v/>
      </c>
      <c r="F3705" t="str">
        <f>IFERROR(__xludf.DUMMYFUNCTION("""COMPUTED_VALUE"""),"")</f>
        <v/>
      </c>
      <c r="G3705" t="str">
        <f>IFERROR(__xludf.DUMMYFUNCTION("""COMPUTED_VALUE"""),"")</f>
        <v/>
      </c>
      <c r="H3705" s="2" t="str">
        <f>IFERROR(__xludf.DUMMYFUNCTION("""COMPUTED_VALUE"""),"")</f>
        <v/>
      </c>
      <c r="I3705" s="2" t="str">
        <f>IFERROR(__xludf.DUMMYFUNCTION("""COMPUTED_VALUE"""),"")</f>
        <v/>
      </c>
      <c r="J3705" s="2">
        <f>IFERROR(__xludf.DUMMYFUNCTION("""COMPUTED_VALUE"""),0.0)</f>
        <v>0</v>
      </c>
      <c r="K3705" s="5" t="str">
        <f>IFERROR(__xludf.DUMMYFUNCTION("""COMPUTED_VALUE"""),"")</f>
        <v/>
      </c>
      <c r="L3705" t="str">
        <f>IFERROR(__xludf.DUMMYFUNCTION("""COMPUTED_VALUE"""),"")</f>
        <v/>
      </c>
      <c r="M3705" t="str">
        <f>IFERROR(__xludf.DUMMYFUNCTION("""COMPUTED_VALUE"""),"")</f>
        <v/>
      </c>
      <c r="N3705" t="str">
        <f>IFERROR(__xludf.DUMMYFUNCTION("""COMPUTED_VALUE"""),"")</f>
        <v/>
      </c>
      <c r="O3705" t="str">
        <f>IFERROR(__xludf.DUMMYFUNCTION("""COMPUTED_VALUE"""),"")</f>
        <v/>
      </c>
      <c r="P3705" t="str">
        <f>IFERROR(__xludf.DUMMYFUNCTION("""COMPUTED_VALUE"""),"ID ")</f>
        <v>ID </v>
      </c>
    </row>
    <row r="3706">
      <c r="A3706" s="6" t="str">
        <f>IFERROR(__xludf.DUMMYFUNCTION("""COMPUTED_VALUE"""),"")</f>
        <v/>
      </c>
      <c r="C3706" t="str">
        <f>IFERROR(__xludf.DUMMYFUNCTION("""COMPUTED_VALUE"""),"")</f>
        <v/>
      </c>
      <c r="D3706" t="str">
        <f>IFERROR(__xludf.DUMMYFUNCTION("""COMPUTED_VALUE"""),"")</f>
        <v/>
      </c>
      <c r="E3706" t="str">
        <f>IFERROR(__xludf.DUMMYFUNCTION("""COMPUTED_VALUE"""),"")</f>
        <v/>
      </c>
      <c r="F3706" t="str">
        <f>IFERROR(__xludf.DUMMYFUNCTION("""COMPUTED_VALUE"""),"")</f>
        <v/>
      </c>
      <c r="G3706" t="str">
        <f>IFERROR(__xludf.DUMMYFUNCTION("""COMPUTED_VALUE"""),"")</f>
        <v/>
      </c>
      <c r="H3706" s="2" t="str">
        <f>IFERROR(__xludf.DUMMYFUNCTION("""COMPUTED_VALUE"""),"")</f>
        <v/>
      </c>
      <c r="I3706" s="2" t="str">
        <f>IFERROR(__xludf.DUMMYFUNCTION("""COMPUTED_VALUE"""),"")</f>
        <v/>
      </c>
      <c r="J3706" s="2">
        <f>IFERROR(__xludf.DUMMYFUNCTION("""COMPUTED_VALUE"""),0.0)</f>
        <v>0</v>
      </c>
      <c r="K3706" s="5" t="str">
        <f>IFERROR(__xludf.DUMMYFUNCTION("""COMPUTED_VALUE"""),"")</f>
        <v/>
      </c>
      <c r="L3706" t="str">
        <f>IFERROR(__xludf.DUMMYFUNCTION("""COMPUTED_VALUE"""),"")</f>
        <v/>
      </c>
      <c r="M3706" t="str">
        <f>IFERROR(__xludf.DUMMYFUNCTION("""COMPUTED_VALUE"""),"")</f>
        <v/>
      </c>
      <c r="N3706" t="str">
        <f>IFERROR(__xludf.DUMMYFUNCTION("""COMPUTED_VALUE"""),"")</f>
        <v/>
      </c>
      <c r="O3706" t="str">
        <f>IFERROR(__xludf.DUMMYFUNCTION("""COMPUTED_VALUE"""),"")</f>
        <v/>
      </c>
      <c r="P3706" t="str">
        <f>IFERROR(__xludf.DUMMYFUNCTION("""COMPUTED_VALUE"""),"ID ")</f>
        <v>ID </v>
      </c>
    </row>
    <row r="3707">
      <c r="A3707" s="6" t="str">
        <f>IFERROR(__xludf.DUMMYFUNCTION("""COMPUTED_VALUE"""),"")</f>
        <v/>
      </c>
      <c r="C3707" t="str">
        <f>IFERROR(__xludf.DUMMYFUNCTION("""COMPUTED_VALUE"""),"")</f>
        <v/>
      </c>
      <c r="D3707" t="str">
        <f>IFERROR(__xludf.DUMMYFUNCTION("""COMPUTED_VALUE"""),"")</f>
        <v/>
      </c>
      <c r="E3707" t="str">
        <f>IFERROR(__xludf.DUMMYFUNCTION("""COMPUTED_VALUE"""),"")</f>
        <v/>
      </c>
      <c r="F3707" t="str">
        <f>IFERROR(__xludf.DUMMYFUNCTION("""COMPUTED_VALUE"""),"")</f>
        <v/>
      </c>
      <c r="G3707" t="str">
        <f>IFERROR(__xludf.DUMMYFUNCTION("""COMPUTED_VALUE"""),"")</f>
        <v/>
      </c>
      <c r="H3707" s="2" t="str">
        <f>IFERROR(__xludf.DUMMYFUNCTION("""COMPUTED_VALUE"""),"")</f>
        <v/>
      </c>
      <c r="I3707" s="2" t="str">
        <f>IFERROR(__xludf.DUMMYFUNCTION("""COMPUTED_VALUE"""),"")</f>
        <v/>
      </c>
      <c r="J3707" s="2">
        <f>IFERROR(__xludf.DUMMYFUNCTION("""COMPUTED_VALUE"""),0.0)</f>
        <v>0</v>
      </c>
      <c r="K3707" s="5" t="str">
        <f>IFERROR(__xludf.DUMMYFUNCTION("""COMPUTED_VALUE"""),"")</f>
        <v/>
      </c>
      <c r="L3707" t="str">
        <f>IFERROR(__xludf.DUMMYFUNCTION("""COMPUTED_VALUE"""),"")</f>
        <v/>
      </c>
      <c r="M3707" t="str">
        <f>IFERROR(__xludf.DUMMYFUNCTION("""COMPUTED_VALUE"""),"")</f>
        <v/>
      </c>
      <c r="N3707" t="str">
        <f>IFERROR(__xludf.DUMMYFUNCTION("""COMPUTED_VALUE"""),"")</f>
        <v/>
      </c>
      <c r="O3707" t="str">
        <f>IFERROR(__xludf.DUMMYFUNCTION("""COMPUTED_VALUE"""),"")</f>
        <v/>
      </c>
      <c r="P3707" t="str">
        <f>IFERROR(__xludf.DUMMYFUNCTION("""COMPUTED_VALUE"""),"ID ")</f>
        <v>ID </v>
      </c>
    </row>
    <row r="3708">
      <c r="A3708" s="6" t="str">
        <f>IFERROR(__xludf.DUMMYFUNCTION("""COMPUTED_VALUE"""),"")</f>
        <v/>
      </c>
      <c r="C3708" t="str">
        <f>IFERROR(__xludf.DUMMYFUNCTION("""COMPUTED_VALUE"""),"")</f>
        <v/>
      </c>
      <c r="D3708" t="str">
        <f>IFERROR(__xludf.DUMMYFUNCTION("""COMPUTED_VALUE"""),"")</f>
        <v/>
      </c>
      <c r="E3708" t="str">
        <f>IFERROR(__xludf.DUMMYFUNCTION("""COMPUTED_VALUE"""),"")</f>
        <v/>
      </c>
      <c r="F3708" t="str">
        <f>IFERROR(__xludf.DUMMYFUNCTION("""COMPUTED_VALUE"""),"")</f>
        <v/>
      </c>
      <c r="G3708" t="str">
        <f>IFERROR(__xludf.DUMMYFUNCTION("""COMPUTED_VALUE"""),"")</f>
        <v/>
      </c>
      <c r="H3708" s="2" t="str">
        <f>IFERROR(__xludf.DUMMYFUNCTION("""COMPUTED_VALUE"""),"")</f>
        <v/>
      </c>
      <c r="I3708" s="2" t="str">
        <f>IFERROR(__xludf.DUMMYFUNCTION("""COMPUTED_VALUE"""),"")</f>
        <v/>
      </c>
      <c r="J3708" s="2">
        <f>IFERROR(__xludf.DUMMYFUNCTION("""COMPUTED_VALUE"""),0.0)</f>
        <v>0</v>
      </c>
      <c r="K3708" s="5" t="str">
        <f>IFERROR(__xludf.DUMMYFUNCTION("""COMPUTED_VALUE"""),"")</f>
        <v/>
      </c>
      <c r="L3708" t="str">
        <f>IFERROR(__xludf.DUMMYFUNCTION("""COMPUTED_VALUE"""),"")</f>
        <v/>
      </c>
      <c r="M3708" t="str">
        <f>IFERROR(__xludf.DUMMYFUNCTION("""COMPUTED_VALUE"""),"")</f>
        <v/>
      </c>
      <c r="N3708" t="str">
        <f>IFERROR(__xludf.DUMMYFUNCTION("""COMPUTED_VALUE"""),"")</f>
        <v/>
      </c>
      <c r="O3708" t="str">
        <f>IFERROR(__xludf.DUMMYFUNCTION("""COMPUTED_VALUE"""),"")</f>
        <v/>
      </c>
      <c r="P3708" t="str">
        <f>IFERROR(__xludf.DUMMYFUNCTION("""COMPUTED_VALUE"""),"ID ")</f>
        <v>ID </v>
      </c>
    </row>
    <row r="3709">
      <c r="A3709" s="6" t="str">
        <f>IFERROR(__xludf.DUMMYFUNCTION("""COMPUTED_VALUE"""),"")</f>
        <v/>
      </c>
      <c r="C3709" t="str">
        <f>IFERROR(__xludf.DUMMYFUNCTION("""COMPUTED_VALUE"""),"")</f>
        <v/>
      </c>
      <c r="D3709" t="str">
        <f>IFERROR(__xludf.DUMMYFUNCTION("""COMPUTED_VALUE"""),"")</f>
        <v/>
      </c>
      <c r="E3709" t="str">
        <f>IFERROR(__xludf.DUMMYFUNCTION("""COMPUTED_VALUE"""),"")</f>
        <v/>
      </c>
      <c r="F3709" t="str">
        <f>IFERROR(__xludf.DUMMYFUNCTION("""COMPUTED_VALUE"""),"")</f>
        <v/>
      </c>
      <c r="G3709" t="str">
        <f>IFERROR(__xludf.DUMMYFUNCTION("""COMPUTED_VALUE"""),"")</f>
        <v/>
      </c>
      <c r="H3709" s="2" t="str">
        <f>IFERROR(__xludf.DUMMYFUNCTION("""COMPUTED_VALUE"""),"")</f>
        <v/>
      </c>
      <c r="I3709" s="2" t="str">
        <f>IFERROR(__xludf.DUMMYFUNCTION("""COMPUTED_VALUE"""),"")</f>
        <v/>
      </c>
      <c r="J3709" s="2">
        <f>IFERROR(__xludf.DUMMYFUNCTION("""COMPUTED_VALUE"""),0.0)</f>
        <v>0</v>
      </c>
      <c r="K3709" s="5" t="str">
        <f>IFERROR(__xludf.DUMMYFUNCTION("""COMPUTED_VALUE"""),"")</f>
        <v/>
      </c>
      <c r="L3709" t="str">
        <f>IFERROR(__xludf.DUMMYFUNCTION("""COMPUTED_VALUE"""),"")</f>
        <v/>
      </c>
      <c r="M3709" t="str">
        <f>IFERROR(__xludf.DUMMYFUNCTION("""COMPUTED_VALUE"""),"")</f>
        <v/>
      </c>
      <c r="N3709" t="str">
        <f>IFERROR(__xludf.DUMMYFUNCTION("""COMPUTED_VALUE"""),"")</f>
        <v/>
      </c>
      <c r="O3709" t="str">
        <f>IFERROR(__xludf.DUMMYFUNCTION("""COMPUTED_VALUE"""),"")</f>
        <v/>
      </c>
      <c r="P3709" t="str">
        <f>IFERROR(__xludf.DUMMYFUNCTION("""COMPUTED_VALUE"""),"ID ")</f>
        <v>ID </v>
      </c>
    </row>
    <row r="3710">
      <c r="A3710" s="6" t="str">
        <f>IFERROR(__xludf.DUMMYFUNCTION("""COMPUTED_VALUE"""),"")</f>
        <v/>
      </c>
      <c r="C3710" t="str">
        <f>IFERROR(__xludf.DUMMYFUNCTION("""COMPUTED_VALUE"""),"")</f>
        <v/>
      </c>
      <c r="D3710" t="str">
        <f>IFERROR(__xludf.DUMMYFUNCTION("""COMPUTED_VALUE"""),"")</f>
        <v/>
      </c>
      <c r="E3710" t="str">
        <f>IFERROR(__xludf.DUMMYFUNCTION("""COMPUTED_VALUE"""),"")</f>
        <v/>
      </c>
      <c r="F3710" t="str">
        <f>IFERROR(__xludf.DUMMYFUNCTION("""COMPUTED_VALUE"""),"")</f>
        <v/>
      </c>
      <c r="G3710" t="str">
        <f>IFERROR(__xludf.DUMMYFUNCTION("""COMPUTED_VALUE"""),"")</f>
        <v/>
      </c>
      <c r="H3710" s="2" t="str">
        <f>IFERROR(__xludf.DUMMYFUNCTION("""COMPUTED_VALUE"""),"")</f>
        <v/>
      </c>
      <c r="I3710" s="2" t="str">
        <f>IFERROR(__xludf.DUMMYFUNCTION("""COMPUTED_VALUE"""),"")</f>
        <v/>
      </c>
      <c r="J3710" s="2">
        <f>IFERROR(__xludf.DUMMYFUNCTION("""COMPUTED_VALUE"""),0.0)</f>
        <v>0</v>
      </c>
      <c r="K3710" s="5" t="str">
        <f>IFERROR(__xludf.DUMMYFUNCTION("""COMPUTED_VALUE"""),"")</f>
        <v/>
      </c>
      <c r="L3710" t="str">
        <f>IFERROR(__xludf.DUMMYFUNCTION("""COMPUTED_VALUE"""),"")</f>
        <v/>
      </c>
      <c r="M3710" t="str">
        <f>IFERROR(__xludf.DUMMYFUNCTION("""COMPUTED_VALUE"""),"")</f>
        <v/>
      </c>
      <c r="N3710" t="str">
        <f>IFERROR(__xludf.DUMMYFUNCTION("""COMPUTED_VALUE"""),"")</f>
        <v/>
      </c>
      <c r="O3710" t="str">
        <f>IFERROR(__xludf.DUMMYFUNCTION("""COMPUTED_VALUE"""),"")</f>
        <v/>
      </c>
      <c r="P3710" t="str">
        <f>IFERROR(__xludf.DUMMYFUNCTION("""COMPUTED_VALUE"""),"ID ")</f>
        <v>ID </v>
      </c>
    </row>
    <row r="3711">
      <c r="A3711" s="6" t="str">
        <f>IFERROR(__xludf.DUMMYFUNCTION("""COMPUTED_VALUE"""),"")</f>
        <v/>
      </c>
      <c r="C3711" t="str">
        <f>IFERROR(__xludf.DUMMYFUNCTION("""COMPUTED_VALUE"""),"")</f>
        <v/>
      </c>
      <c r="D3711" t="str">
        <f>IFERROR(__xludf.DUMMYFUNCTION("""COMPUTED_VALUE"""),"")</f>
        <v/>
      </c>
      <c r="E3711" t="str">
        <f>IFERROR(__xludf.DUMMYFUNCTION("""COMPUTED_VALUE"""),"")</f>
        <v/>
      </c>
      <c r="F3711" t="str">
        <f>IFERROR(__xludf.DUMMYFUNCTION("""COMPUTED_VALUE"""),"")</f>
        <v/>
      </c>
      <c r="G3711" t="str">
        <f>IFERROR(__xludf.DUMMYFUNCTION("""COMPUTED_VALUE"""),"")</f>
        <v/>
      </c>
      <c r="H3711" s="2" t="str">
        <f>IFERROR(__xludf.DUMMYFUNCTION("""COMPUTED_VALUE"""),"")</f>
        <v/>
      </c>
      <c r="I3711" s="2" t="str">
        <f>IFERROR(__xludf.DUMMYFUNCTION("""COMPUTED_VALUE"""),"")</f>
        <v/>
      </c>
      <c r="J3711" s="2">
        <f>IFERROR(__xludf.DUMMYFUNCTION("""COMPUTED_VALUE"""),0.0)</f>
        <v>0</v>
      </c>
      <c r="K3711" s="5" t="str">
        <f>IFERROR(__xludf.DUMMYFUNCTION("""COMPUTED_VALUE"""),"")</f>
        <v/>
      </c>
      <c r="L3711" t="str">
        <f>IFERROR(__xludf.DUMMYFUNCTION("""COMPUTED_VALUE"""),"")</f>
        <v/>
      </c>
      <c r="M3711" t="str">
        <f>IFERROR(__xludf.DUMMYFUNCTION("""COMPUTED_VALUE"""),"")</f>
        <v/>
      </c>
      <c r="N3711" t="str">
        <f>IFERROR(__xludf.DUMMYFUNCTION("""COMPUTED_VALUE"""),"")</f>
        <v/>
      </c>
      <c r="O3711" t="str">
        <f>IFERROR(__xludf.DUMMYFUNCTION("""COMPUTED_VALUE"""),"")</f>
        <v/>
      </c>
      <c r="P3711" t="str">
        <f>IFERROR(__xludf.DUMMYFUNCTION("""COMPUTED_VALUE"""),"ID ")</f>
        <v>ID </v>
      </c>
    </row>
    <row r="3712">
      <c r="A3712" s="6" t="str">
        <f>IFERROR(__xludf.DUMMYFUNCTION("""COMPUTED_VALUE"""),"")</f>
        <v/>
      </c>
      <c r="C3712" t="str">
        <f>IFERROR(__xludf.DUMMYFUNCTION("""COMPUTED_VALUE"""),"")</f>
        <v/>
      </c>
      <c r="D3712" t="str">
        <f>IFERROR(__xludf.DUMMYFUNCTION("""COMPUTED_VALUE"""),"")</f>
        <v/>
      </c>
      <c r="E3712" t="str">
        <f>IFERROR(__xludf.DUMMYFUNCTION("""COMPUTED_VALUE"""),"")</f>
        <v/>
      </c>
      <c r="F3712" t="str">
        <f>IFERROR(__xludf.DUMMYFUNCTION("""COMPUTED_VALUE"""),"")</f>
        <v/>
      </c>
      <c r="G3712" t="str">
        <f>IFERROR(__xludf.DUMMYFUNCTION("""COMPUTED_VALUE"""),"")</f>
        <v/>
      </c>
      <c r="H3712" s="2" t="str">
        <f>IFERROR(__xludf.DUMMYFUNCTION("""COMPUTED_VALUE"""),"")</f>
        <v/>
      </c>
      <c r="I3712" s="2" t="str">
        <f>IFERROR(__xludf.DUMMYFUNCTION("""COMPUTED_VALUE"""),"")</f>
        <v/>
      </c>
      <c r="J3712" s="2">
        <f>IFERROR(__xludf.DUMMYFUNCTION("""COMPUTED_VALUE"""),0.0)</f>
        <v>0</v>
      </c>
      <c r="K3712" s="5" t="str">
        <f>IFERROR(__xludf.DUMMYFUNCTION("""COMPUTED_VALUE"""),"")</f>
        <v/>
      </c>
      <c r="L3712" t="str">
        <f>IFERROR(__xludf.DUMMYFUNCTION("""COMPUTED_VALUE"""),"")</f>
        <v/>
      </c>
      <c r="M3712" t="str">
        <f>IFERROR(__xludf.DUMMYFUNCTION("""COMPUTED_VALUE"""),"")</f>
        <v/>
      </c>
      <c r="N3712" t="str">
        <f>IFERROR(__xludf.DUMMYFUNCTION("""COMPUTED_VALUE"""),"")</f>
        <v/>
      </c>
      <c r="O3712" t="str">
        <f>IFERROR(__xludf.DUMMYFUNCTION("""COMPUTED_VALUE"""),"")</f>
        <v/>
      </c>
      <c r="P3712" t="str">
        <f>IFERROR(__xludf.DUMMYFUNCTION("""COMPUTED_VALUE"""),"ID ")</f>
        <v>ID </v>
      </c>
    </row>
    <row r="3713">
      <c r="A3713" s="6" t="str">
        <f>IFERROR(__xludf.DUMMYFUNCTION("""COMPUTED_VALUE"""),"")</f>
        <v/>
      </c>
      <c r="C3713" t="str">
        <f>IFERROR(__xludf.DUMMYFUNCTION("""COMPUTED_VALUE"""),"")</f>
        <v/>
      </c>
      <c r="D3713" t="str">
        <f>IFERROR(__xludf.DUMMYFUNCTION("""COMPUTED_VALUE"""),"")</f>
        <v/>
      </c>
      <c r="E3713" t="str">
        <f>IFERROR(__xludf.DUMMYFUNCTION("""COMPUTED_VALUE"""),"")</f>
        <v/>
      </c>
      <c r="F3713" t="str">
        <f>IFERROR(__xludf.DUMMYFUNCTION("""COMPUTED_VALUE"""),"")</f>
        <v/>
      </c>
      <c r="G3713" t="str">
        <f>IFERROR(__xludf.DUMMYFUNCTION("""COMPUTED_VALUE"""),"")</f>
        <v/>
      </c>
      <c r="H3713" s="2" t="str">
        <f>IFERROR(__xludf.DUMMYFUNCTION("""COMPUTED_VALUE"""),"")</f>
        <v/>
      </c>
      <c r="I3713" s="2" t="str">
        <f>IFERROR(__xludf.DUMMYFUNCTION("""COMPUTED_VALUE"""),"")</f>
        <v/>
      </c>
      <c r="J3713" s="2">
        <f>IFERROR(__xludf.DUMMYFUNCTION("""COMPUTED_VALUE"""),0.0)</f>
        <v>0</v>
      </c>
      <c r="K3713" s="5" t="str">
        <f>IFERROR(__xludf.DUMMYFUNCTION("""COMPUTED_VALUE"""),"")</f>
        <v/>
      </c>
      <c r="L3713" t="str">
        <f>IFERROR(__xludf.DUMMYFUNCTION("""COMPUTED_VALUE"""),"")</f>
        <v/>
      </c>
      <c r="M3713" t="str">
        <f>IFERROR(__xludf.DUMMYFUNCTION("""COMPUTED_VALUE"""),"")</f>
        <v/>
      </c>
      <c r="N3713" t="str">
        <f>IFERROR(__xludf.DUMMYFUNCTION("""COMPUTED_VALUE"""),"")</f>
        <v/>
      </c>
      <c r="O3713" t="str">
        <f>IFERROR(__xludf.DUMMYFUNCTION("""COMPUTED_VALUE"""),"")</f>
        <v/>
      </c>
      <c r="P3713" t="str">
        <f>IFERROR(__xludf.DUMMYFUNCTION("""COMPUTED_VALUE"""),"ID ")</f>
        <v>ID </v>
      </c>
    </row>
    <row r="3714">
      <c r="A3714" s="6" t="str">
        <f>IFERROR(__xludf.DUMMYFUNCTION("""COMPUTED_VALUE"""),"")</f>
        <v/>
      </c>
      <c r="C3714" t="str">
        <f>IFERROR(__xludf.DUMMYFUNCTION("""COMPUTED_VALUE"""),"")</f>
        <v/>
      </c>
      <c r="D3714" t="str">
        <f>IFERROR(__xludf.DUMMYFUNCTION("""COMPUTED_VALUE"""),"")</f>
        <v/>
      </c>
      <c r="E3714" t="str">
        <f>IFERROR(__xludf.DUMMYFUNCTION("""COMPUTED_VALUE"""),"")</f>
        <v/>
      </c>
      <c r="F3714" t="str">
        <f>IFERROR(__xludf.DUMMYFUNCTION("""COMPUTED_VALUE"""),"")</f>
        <v/>
      </c>
      <c r="G3714" t="str">
        <f>IFERROR(__xludf.DUMMYFUNCTION("""COMPUTED_VALUE"""),"")</f>
        <v/>
      </c>
      <c r="H3714" s="2" t="str">
        <f>IFERROR(__xludf.DUMMYFUNCTION("""COMPUTED_VALUE"""),"")</f>
        <v/>
      </c>
      <c r="I3714" s="2" t="str">
        <f>IFERROR(__xludf.DUMMYFUNCTION("""COMPUTED_VALUE"""),"")</f>
        <v/>
      </c>
      <c r="J3714" s="2">
        <f>IFERROR(__xludf.DUMMYFUNCTION("""COMPUTED_VALUE"""),0.0)</f>
        <v>0</v>
      </c>
      <c r="K3714" s="5" t="str">
        <f>IFERROR(__xludf.DUMMYFUNCTION("""COMPUTED_VALUE"""),"")</f>
        <v/>
      </c>
      <c r="L3714" t="str">
        <f>IFERROR(__xludf.DUMMYFUNCTION("""COMPUTED_VALUE"""),"")</f>
        <v/>
      </c>
      <c r="M3714" t="str">
        <f>IFERROR(__xludf.DUMMYFUNCTION("""COMPUTED_VALUE"""),"")</f>
        <v/>
      </c>
      <c r="N3714" t="str">
        <f>IFERROR(__xludf.DUMMYFUNCTION("""COMPUTED_VALUE"""),"")</f>
        <v/>
      </c>
      <c r="O3714" t="str">
        <f>IFERROR(__xludf.DUMMYFUNCTION("""COMPUTED_VALUE"""),"")</f>
        <v/>
      </c>
      <c r="P3714" t="str">
        <f>IFERROR(__xludf.DUMMYFUNCTION("""COMPUTED_VALUE"""),"ID ")</f>
        <v>ID </v>
      </c>
    </row>
    <row r="3715">
      <c r="A3715" s="6" t="str">
        <f>IFERROR(__xludf.DUMMYFUNCTION("""COMPUTED_VALUE"""),"")</f>
        <v/>
      </c>
      <c r="C3715" t="str">
        <f>IFERROR(__xludf.DUMMYFUNCTION("""COMPUTED_VALUE"""),"")</f>
        <v/>
      </c>
      <c r="D3715" t="str">
        <f>IFERROR(__xludf.DUMMYFUNCTION("""COMPUTED_VALUE"""),"")</f>
        <v/>
      </c>
      <c r="E3715" t="str">
        <f>IFERROR(__xludf.DUMMYFUNCTION("""COMPUTED_VALUE"""),"")</f>
        <v/>
      </c>
      <c r="F3715" t="str">
        <f>IFERROR(__xludf.DUMMYFUNCTION("""COMPUTED_VALUE"""),"")</f>
        <v/>
      </c>
      <c r="G3715" t="str">
        <f>IFERROR(__xludf.DUMMYFUNCTION("""COMPUTED_VALUE"""),"")</f>
        <v/>
      </c>
      <c r="H3715" s="2" t="str">
        <f>IFERROR(__xludf.DUMMYFUNCTION("""COMPUTED_VALUE"""),"")</f>
        <v/>
      </c>
      <c r="I3715" s="2" t="str">
        <f>IFERROR(__xludf.DUMMYFUNCTION("""COMPUTED_VALUE"""),"")</f>
        <v/>
      </c>
      <c r="J3715" s="2">
        <f>IFERROR(__xludf.DUMMYFUNCTION("""COMPUTED_VALUE"""),0.0)</f>
        <v>0</v>
      </c>
      <c r="K3715" s="5" t="str">
        <f>IFERROR(__xludf.DUMMYFUNCTION("""COMPUTED_VALUE"""),"")</f>
        <v/>
      </c>
      <c r="L3715" t="str">
        <f>IFERROR(__xludf.DUMMYFUNCTION("""COMPUTED_VALUE"""),"")</f>
        <v/>
      </c>
      <c r="M3715" t="str">
        <f>IFERROR(__xludf.DUMMYFUNCTION("""COMPUTED_VALUE"""),"")</f>
        <v/>
      </c>
      <c r="N3715" t="str">
        <f>IFERROR(__xludf.DUMMYFUNCTION("""COMPUTED_VALUE"""),"")</f>
        <v/>
      </c>
      <c r="O3715" t="str">
        <f>IFERROR(__xludf.DUMMYFUNCTION("""COMPUTED_VALUE"""),"")</f>
        <v/>
      </c>
      <c r="P3715" t="str">
        <f>IFERROR(__xludf.DUMMYFUNCTION("""COMPUTED_VALUE"""),"ID ")</f>
        <v>ID </v>
      </c>
    </row>
    <row r="3716">
      <c r="A3716" s="6" t="str">
        <f>IFERROR(__xludf.DUMMYFUNCTION("""COMPUTED_VALUE"""),"")</f>
        <v/>
      </c>
      <c r="C3716" t="str">
        <f>IFERROR(__xludf.DUMMYFUNCTION("""COMPUTED_VALUE"""),"")</f>
        <v/>
      </c>
      <c r="D3716" t="str">
        <f>IFERROR(__xludf.DUMMYFUNCTION("""COMPUTED_VALUE"""),"")</f>
        <v/>
      </c>
      <c r="E3716" t="str">
        <f>IFERROR(__xludf.DUMMYFUNCTION("""COMPUTED_VALUE"""),"")</f>
        <v/>
      </c>
      <c r="F3716" t="str">
        <f>IFERROR(__xludf.DUMMYFUNCTION("""COMPUTED_VALUE"""),"")</f>
        <v/>
      </c>
      <c r="G3716" t="str">
        <f>IFERROR(__xludf.DUMMYFUNCTION("""COMPUTED_VALUE"""),"")</f>
        <v/>
      </c>
      <c r="H3716" s="2" t="str">
        <f>IFERROR(__xludf.DUMMYFUNCTION("""COMPUTED_VALUE"""),"")</f>
        <v/>
      </c>
      <c r="I3716" s="2" t="str">
        <f>IFERROR(__xludf.DUMMYFUNCTION("""COMPUTED_VALUE"""),"")</f>
        <v/>
      </c>
      <c r="J3716" s="2">
        <f>IFERROR(__xludf.DUMMYFUNCTION("""COMPUTED_VALUE"""),0.0)</f>
        <v>0</v>
      </c>
      <c r="K3716" s="5" t="str">
        <f>IFERROR(__xludf.DUMMYFUNCTION("""COMPUTED_VALUE"""),"")</f>
        <v/>
      </c>
      <c r="L3716" t="str">
        <f>IFERROR(__xludf.DUMMYFUNCTION("""COMPUTED_VALUE"""),"")</f>
        <v/>
      </c>
      <c r="M3716" t="str">
        <f>IFERROR(__xludf.DUMMYFUNCTION("""COMPUTED_VALUE"""),"")</f>
        <v/>
      </c>
      <c r="N3716" t="str">
        <f>IFERROR(__xludf.DUMMYFUNCTION("""COMPUTED_VALUE"""),"")</f>
        <v/>
      </c>
      <c r="O3716" t="str">
        <f>IFERROR(__xludf.DUMMYFUNCTION("""COMPUTED_VALUE"""),"")</f>
        <v/>
      </c>
      <c r="P3716" t="str">
        <f>IFERROR(__xludf.DUMMYFUNCTION("""COMPUTED_VALUE"""),"ID ")</f>
        <v>ID </v>
      </c>
    </row>
    <row r="3717">
      <c r="A3717" s="6" t="str">
        <f>IFERROR(__xludf.DUMMYFUNCTION("""COMPUTED_VALUE"""),"")</f>
        <v/>
      </c>
      <c r="C3717" t="str">
        <f>IFERROR(__xludf.DUMMYFUNCTION("""COMPUTED_VALUE"""),"")</f>
        <v/>
      </c>
      <c r="D3717" t="str">
        <f>IFERROR(__xludf.DUMMYFUNCTION("""COMPUTED_VALUE"""),"")</f>
        <v/>
      </c>
      <c r="E3717" t="str">
        <f>IFERROR(__xludf.DUMMYFUNCTION("""COMPUTED_VALUE"""),"")</f>
        <v/>
      </c>
      <c r="F3717" t="str">
        <f>IFERROR(__xludf.DUMMYFUNCTION("""COMPUTED_VALUE"""),"")</f>
        <v/>
      </c>
      <c r="G3717" t="str">
        <f>IFERROR(__xludf.DUMMYFUNCTION("""COMPUTED_VALUE"""),"")</f>
        <v/>
      </c>
      <c r="H3717" s="2" t="str">
        <f>IFERROR(__xludf.DUMMYFUNCTION("""COMPUTED_VALUE"""),"")</f>
        <v/>
      </c>
      <c r="I3717" s="2" t="str">
        <f>IFERROR(__xludf.DUMMYFUNCTION("""COMPUTED_VALUE"""),"")</f>
        <v/>
      </c>
      <c r="J3717" s="2">
        <f>IFERROR(__xludf.DUMMYFUNCTION("""COMPUTED_VALUE"""),0.0)</f>
        <v>0</v>
      </c>
      <c r="K3717" s="5" t="str">
        <f>IFERROR(__xludf.DUMMYFUNCTION("""COMPUTED_VALUE"""),"")</f>
        <v/>
      </c>
      <c r="L3717" t="str">
        <f>IFERROR(__xludf.DUMMYFUNCTION("""COMPUTED_VALUE"""),"")</f>
        <v/>
      </c>
      <c r="M3717" t="str">
        <f>IFERROR(__xludf.DUMMYFUNCTION("""COMPUTED_VALUE"""),"")</f>
        <v/>
      </c>
      <c r="N3717" t="str">
        <f>IFERROR(__xludf.DUMMYFUNCTION("""COMPUTED_VALUE"""),"")</f>
        <v/>
      </c>
      <c r="O3717" t="str">
        <f>IFERROR(__xludf.DUMMYFUNCTION("""COMPUTED_VALUE"""),"")</f>
        <v/>
      </c>
      <c r="P3717" t="str">
        <f>IFERROR(__xludf.DUMMYFUNCTION("""COMPUTED_VALUE"""),"ID ")</f>
        <v>ID </v>
      </c>
    </row>
    <row r="3718">
      <c r="A3718" s="6" t="str">
        <f>IFERROR(__xludf.DUMMYFUNCTION("""COMPUTED_VALUE"""),"")</f>
        <v/>
      </c>
      <c r="C3718" t="str">
        <f>IFERROR(__xludf.DUMMYFUNCTION("""COMPUTED_VALUE"""),"")</f>
        <v/>
      </c>
      <c r="D3718" t="str">
        <f>IFERROR(__xludf.DUMMYFUNCTION("""COMPUTED_VALUE"""),"")</f>
        <v/>
      </c>
      <c r="E3718" t="str">
        <f>IFERROR(__xludf.DUMMYFUNCTION("""COMPUTED_VALUE"""),"")</f>
        <v/>
      </c>
      <c r="F3718" t="str">
        <f>IFERROR(__xludf.DUMMYFUNCTION("""COMPUTED_VALUE"""),"")</f>
        <v/>
      </c>
      <c r="G3718" t="str">
        <f>IFERROR(__xludf.DUMMYFUNCTION("""COMPUTED_VALUE"""),"")</f>
        <v/>
      </c>
      <c r="H3718" s="2" t="str">
        <f>IFERROR(__xludf.DUMMYFUNCTION("""COMPUTED_VALUE"""),"")</f>
        <v/>
      </c>
      <c r="I3718" s="2" t="str">
        <f>IFERROR(__xludf.DUMMYFUNCTION("""COMPUTED_VALUE"""),"")</f>
        <v/>
      </c>
      <c r="J3718" s="2">
        <f>IFERROR(__xludf.DUMMYFUNCTION("""COMPUTED_VALUE"""),0.0)</f>
        <v>0</v>
      </c>
      <c r="K3718" s="5" t="str">
        <f>IFERROR(__xludf.DUMMYFUNCTION("""COMPUTED_VALUE"""),"")</f>
        <v/>
      </c>
      <c r="L3718" t="str">
        <f>IFERROR(__xludf.DUMMYFUNCTION("""COMPUTED_VALUE"""),"")</f>
        <v/>
      </c>
      <c r="M3718" t="str">
        <f>IFERROR(__xludf.DUMMYFUNCTION("""COMPUTED_VALUE"""),"")</f>
        <v/>
      </c>
      <c r="N3718" t="str">
        <f>IFERROR(__xludf.DUMMYFUNCTION("""COMPUTED_VALUE"""),"")</f>
        <v/>
      </c>
      <c r="O3718" t="str">
        <f>IFERROR(__xludf.DUMMYFUNCTION("""COMPUTED_VALUE"""),"")</f>
        <v/>
      </c>
      <c r="P3718" t="str">
        <f>IFERROR(__xludf.DUMMYFUNCTION("""COMPUTED_VALUE"""),"ID ")</f>
        <v>ID </v>
      </c>
    </row>
    <row r="3719">
      <c r="A3719" s="6" t="str">
        <f>IFERROR(__xludf.DUMMYFUNCTION("""COMPUTED_VALUE"""),"")</f>
        <v/>
      </c>
      <c r="C3719" t="str">
        <f>IFERROR(__xludf.DUMMYFUNCTION("""COMPUTED_VALUE"""),"")</f>
        <v/>
      </c>
      <c r="D3719" t="str">
        <f>IFERROR(__xludf.DUMMYFUNCTION("""COMPUTED_VALUE"""),"")</f>
        <v/>
      </c>
      <c r="E3719" t="str">
        <f>IFERROR(__xludf.DUMMYFUNCTION("""COMPUTED_VALUE"""),"")</f>
        <v/>
      </c>
      <c r="F3719" t="str">
        <f>IFERROR(__xludf.DUMMYFUNCTION("""COMPUTED_VALUE"""),"")</f>
        <v/>
      </c>
      <c r="G3719" t="str">
        <f>IFERROR(__xludf.DUMMYFUNCTION("""COMPUTED_VALUE"""),"")</f>
        <v/>
      </c>
      <c r="H3719" s="2" t="str">
        <f>IFERROR(__xludf.DUMMYFUNCTION("""COMPUTED_VALUE"""),"")</f>
        <v/>
      </c>
      <c r="I3719" s="2" t="str">
        <f>IFERROR(__xludf.DUMMYFUNCTION("""COMPUTED_VALUE"""),"")</f>
        <v/>
      </c>
      <c r="J3719" s="2">
        <f>IFERROR(__xludf.DUMMYFUNCTION("""COMPUTED_VALUE"""),0.0)</f>
        <v>0</v>
      </c>
      <c r="K3719" s="5" t="str">
        <f>IFERROR(__xludf.DUMMYFUNCTION("""COMPUTED_VALUE"""),"")</f>
        <v/>
      </c>
      <c r="L3719" t="str">
        <f>IFERROR(__xludf.DUMMYFUNCTION("""COMPUTED_VALUE"""),"")</f>
        <v/>
      </c>
      <c r="M3719" t="str">
        <f>IFERROR(__xludf.DUMMYFUNCTION("""COMPUTED_VALUE"""),"")</f>
        <v/>
      </c>
      <c r="N3719" t="str">
        <f>IFERROR(__xludf.DUMMYFUNCTION("""COMPUTED_VALUE"""),"")</f>
        <v/>
      </c>
      <c r="O3719" t="str">
        <f>IFERROR(__xludf.DUMMYFUNCTION("""COMPUTED_VALUE"""),"")</f>
        <v/>
      </c>
      <c r="P3719" t="str">
        <f>IFERROR(__xludf.DUMMYFUNCTION("""COMPUTED_VALUE"""),"ID ")</f>
        <v>ID </v>
      </c>
    </row>
    <row r="3720">
      <c r="A3720" s="6" t="str">
        <f>IFERROR(__xludf.DUMMYFUNCTION("""COMPUTED_VALUE"""),"")</f>
        <v/>
      </c>
      <c r="C3720" t="str">
        <f>IFERROR(__xludf.DUMMYFUNCTION("""COMPUTED_VALUE"""),"")</f>
        <v/>
      </c>
      <c r="D3720" t="str">
        <f>IFERROR(__xludf.DUMMYFUNCTION("""COMPUTED_VALUE"""),"")</f>
        <v/>
      </c>
      <c r="E3720" t="str">
        <f>IFERROR(__xludf.DUMMYFUNCTION("""COMPUTED_VALUE"""),"")</f>
        <v/>
      </c>
      <c r="F3720" t="str">
        <f>IFERROR(__xludf.DUMMYFUNCTION("""COMPUTED_VALUE"""),"")</f>
        <v/>
      </c>
      <c r="G3720" t="str">
        <f>IFERROR(__xludf.DUMMYFUNCTION("""COMPUTED_VALUE"""),"")</f>
        <v/>
      </c>
      <c r="H3720" s="2" t="str">
        <f>IFERROR(__xludf.DUMMYFUNCTION("""COMPUTED_VALUE"""),"")</f>
        <v/>
      </c>
      <c r="I3720" s="2" t="str">
        <f>IFERROR(__xludf.DUMMYFUNCTION("""COMPUTED_VALUE"""),"")</f>
        <v/>
      </c>
      <c r="J3720" s="2">
        <f>IFERROR(__xludf.DUMMYFUNCTION("""COMPUTED_VALUE"""),0.0)</f>
        <v>0</v>
      </c>
      <c r="K3720" s="5" t="str">
        <f>IFERROR(__xludf.DUMMYFUNCTION("""COMPUTED_VALUE"""),"")</f>
        <v/>
      </c>
      <c r="L3720" t="str">
        <f>IFERROR(__xludf.DUMMYFUNCTION("""COMPUTED_VALUE"""),"")</f>
        <v/>
      </c>
      <c r="M3720" t="str">
        <f>IFERROR(__xludf.DUMMYFUNCTION("""COMPUTED_VALUE"""),"")</f>
        <v/>
      </c>
      <c r="N3720" t="str">
        <f>IFERROR(__xludf.DUMMYFUNCTION("""COMPUTED_VALUE"""),"")</f>
        <v/>
      </c>
      <c r="O3720" t="str">
        <f>IFERROR(__xludf.DUMMYFUNCTION("""COMPUTED_VALUE"""),"")</f>
        <v/>
      </c>
      <c r="P3720" t="str">
        <f>IFERROR(__xludf.DUMMYFUNCTION("""COMPUTED_VALUE"""),"ID ")</f>
        <v>ID </v>
      </c>
    </row>
    <row r="3721">
      <c r="A3721" s="6" t="str">
        <f>IFERROR(__xludf.DUMMYFUNCTION("""COMPUTED_VALUE"""),"")</f>
        <v/>
      </c>
      <c r="C3721" t="str">
        <f>IFERROR(__xludf.DUMMYFUNCTION("""COMPUTED_VALUE"""),"")</f>
        <v/>
      </c>
      <c r="D3721" t="str">
        <f>IFERROR(__xludf.DUMMYFUNCTION("""COMPUTED_VALUE"""),"")</f>
        <v/>
      </c>
      <c r="E3721" t="str">
        <f>IFERROR(__xludf.DUMMYFUNCTION("""COMPUTED_VALUE"""),"")</f>
        <v/>
      </c>
      <c r="F3721" t="str">
        <f>IFERROR(__xludf.DUMMYFUNCTION("""COMPUTED_VALUE"""),"")</f>
        <v/>
      </c>
      <c r="G3721" t="str">
        <f>IFERROR(__xludf.DUMMYFUNCTION("""COMPUTED_VALUE"""),"")</f>
        <v/>
      </c>
      <c r="H3721" s="2" t="str">
        <f>IFERROR(__xludf.DUMMYFUNCTION("""COMPUTED_VALUE"""),"")</f>
        <v/>
      </c>
      <c r="I3721" s="2" t="str">
        <f>IFERROR(__xludf.DUMMYFUNCTION("""COMPUTED_VALUE"""),"")</f>
        <v/>
      </c>
      <c r="J3721" s="2">
        <f>IFERROR(__xludf.DUMMYFUNCTION("""COMPUTED_VALUE"""),0.0)</f>
        <v>0</v>
      </c>
      <c r="K3721" s="5" t="str">
        <f>IFERROR(__xludf.DUMMYFUNCTION("""COMPUTED_VALUE"""),"")</f>
        <v/>
      </c>
      <c r="L3721" t="str">
        <f>IFERROR(__xludf.DUMMYFUNCTION("""COMPUTED_VALUE"""),"")</f>
        <v/>
      </c>
      <c r="M3721" t="str">
        <f>IFERROR(__xludf.DUMMYFUNCTION("""COMPUTED_VALUE"""),"")</f>
        <v/>
      </c>
      <c r="N3721" t="str">
        <f>IFERROR(__xludf.DUMMYFUNCTION("""COMPUTED_VALUE"""),"")</f>
        <v/>
      </c>
      <c r="O3721" t="str">
        <f>IFERROR(__xludf.DUMMYFUNCTION("""COMPUTED_VALUE"""),"")</f>
        <v/>
      </c>
      <c r="P3721" t="str">
        <f>IFERROR(__xludf.DUMMYFUNCTION("""COMPUTED_VALUE"""),"ID ")</f>
        <v>ID </v>
      </c>
    </row>
    <row r="3722">
      <c r="A3722" s="6" t="str">
        <f>IFERROR(__xludf.DUMMYFUNCTION("""COMPUTED_VALUE"""),"")</f>
        <v/>
      </c>
      <c r="C3722" t="str">
        <f>IFERROR(__xludf.DUMMYFUNCTION("""COMPUTED_VALUE"""),"")</f>
        <v/>
      </c>
      <c r="D3722" t="str">
        <f>IFERROR(__xludf.DUMMYFUNCTION("""COMPUTED_VALUE"""),"")</f>
        <v/>
      </c>
      <c r="E3722" t="str">
        <f>IFERROR(__xludf.DUMMYFUNCTION("""COMPUTED_VALUE"""),"")</f>
        <v/>
      </c>
      <c r="F3722" t="str">
        <f>IFERROR(__xludf.DUMMYFUNCTION("""COMPUTED_VALUE"""),"")</f>
        <v/>
      </c>
      <c r="G3722" t="str">
        <f>IFERROR(__xludf.DUMMYFUNCTION("""COMPUTED_VALUE"""),"")</f>
        <v/>
      </c>
      <c r="H3722" s="2" t="str">
        <f>IFERROR(__xludf.DUMMYFUNCTION("""COMPUTED_VALUE"""),"")</f>
        <v/>
      </c>
      <c r="I3722" s="2" t="str">
        <f>IFERROR(__xludf.DUMMYFUNCTION("""COMPUTED_VALUE"""),"")</f>
        <v/>
      </c>
      <c r="J3722" s="2">
        <f>IFERROR(__xludf.DUMMYFUNCTION("""COMPUTED_VALUE"""),0.0)</f>
        <v>0</v>
      </c>
      <c r="K3722" s="5" t="str">
        <f>IFERROR(__xludf.DUMMYFUNCTION("""COMPUTED_VALUE"""),"")</f>
        <v/>
      </c>
      <c r="L3722" t="str">
        <f>IFERROR(__xludf.DUMMYFUNCTION("""COMPUTED_VALUE"""),"")</f>
        <v/>
      </c>
      <c r="M3722" t="str">
        <f>IFERROR(__xludf.DUMMYFUNCTION("""COMPUTED_VALUE"""),"")</f>
        <v/>
      </c>
      <c r="N3722" t="str">
        <f>IFERROR(__xludf.DUMMYFUNCTION("""COMPUTED_VALUE"""),"")</f>
        <v/>
      </c>
      <c r="O3722" t="str">
        <f>IFERROR(__xludf.DUMMYFUNCTION("""COMPUTED_VALUE"""),"")</f>
        <v/>
      </c>
      <c r="P3722" t="str">
        <f>IFERROR(__xludf.DUMMYFUNCTION("""COMPUTED_VALUE"""),"ID ")</f>
        <v>ID </v>
      </c>
    </row>
    <row r="3723">
      <c r="A3723" s="6" t="str">
        <f>IFERROR(__xludf.DUMMYFUNCTION("""COMPUTED_VALUE"""),"")</f>
        <v/>
      </c>
      <c r="C3723" t="str">
        <f>IFERROR(__xludf.DUMMYFUNCTION("""COMPUTED_VALUE"""),"")</f>
        <v/>
      </c>
      <c r="D3723" t="str">
        <f>IFERROR(__xludf.DUMMYFUNCTION("""COMPUTED_VALUE"""),"")</f>
        <v/>
      </c>
      <c r="E3723" t="str">
        <f>IFERROR(__xludf.DUMMYFUNCTION("""COMPUTED_VALUE"""),"")</f>
        <v/>
      </c>
      <c r="F3723" t="str">
        <f>IFERROR(__xludf.DUMMYFUNCTION("""COMPUTED_VALUE"""),"")</f>
        <v/>
      </c>
      <c r="G3723" t="str">
        <f>IFERROR(__xludf.DUMMYFUNCTION("""COMPUTED_VALUE"""),"")</f>
        <v/>
      </c>
      <c r="H3723" s="2" t="str">
        <f>IFERROR(__xludf.DUMMYFUNCTION("""COMPUTED_VALUE"""),"")</f>
        <v/>
      </c>
      <c r="I3723" s="2" t="str">
        <f>IFERROR(__xludf.DUMMYFUNCTION("""COMPUTED_VALUE"""),"")</f>
        <v/>
      </c>
      <c r="J3723" s="2">
        <f>IFERROR(__xludf.DUMMYFUNCTION("""COMPUTED_VALUE"""),0.0)</f>
        <v>0</v>
      </c>
      <c r="K3723" s="5" t="str">
        <f>IFERROR(__xludf.DUMMYFUNCTION("""COMPUTED_VALUE"""),"")</f>
        <v/>
      </c>
      <c r="L3723" t="str">
        <f>IFERROR(__xludf.DUMMYFUNCTION("""COMPUTED_VALUE"""),"")</f>
        <v/>
      </c>
      <c r="M3723" t="str">
        <f>IFERROR(__xludf.DUMMYFUNCTION("""COMPUTED_VALUE"""),"")</f>
        <v/>
      </c>
      <c r="N3723" t="str">
        <f>IFERROR(__xludf.DUMMYFUNCTION("""COMPUTED_VALUE"""),"")</f>
        <v/>
      </c>
      <c r="O3723" t="str">
        <f>IFERROR(__xludf.DUMMYFUNCTION("""COMPUTED_VALUE"""),"")</f>
        <v/>
      </c>
      <c r="P3723" t="str">
        <f>IFERROR(__xludf.DUMMYFUNCTION("""COMPUTED_VALUE"""),"ID ")</f>
        <v>ID </v>
      </c>
    </row>
    <row r="3724">
      <c r="A3724" s="6" t="str">
        <f>IFERROR(__xludf.DUMMYFUNCTION("""COMPUTED_VALUE"""),"")</f>
        <v/>
      </c>
      <c r="C3724" t="str">
        <f>IFERROR(__xludf.DUMMYFUNCTION("""COMPUTED_VALUE"""),"")</f>
        <v/>
      </c>
      <c r="D3724" t="str">
        <f>IFERROR(__xludf.DUMMYFUNCTION("""COMPUTED_VALUE"""),"")</f>
        <v/>
      </c>
      <c r="E3724" t="str">
        <f>IFERROR(__xludf.DUMMYFUNCTION("""COMPUTED_VALUE"""),"")</f>
        <v/>
      </c>
      <c r="F3724" t="str">
        <f>IFERROR(__xludf.DUMMYFUNCTION("""COMPUTED_VALUE"""),"")</f>
        <v/>
      </c>
      <c r="G3724" t="str">
        <f>IFERROR(__xludf.DUMMYFUNCTION("""COMPUTED_VALUE"""),"")</f>
        <v/>
      </c>
      <c r="H3724" s="2" t="str">
        <f>IFERROR(__xludf.DUMMYFUNCTION("""COMPUTED_VALUE"""),"")</f>
        <v/>
      </c>
      <c r="I3724" s="2" t="str">
        <f>IFERROR(__xludf.DUMMYFUNCTION("""COMPUTED_VALUE"""),"")</f>
        <v/>
      </c>
      <c r="J3724" s="2">
        <f>IFERROR(__xludf.DUMMYFUNCTION("""COMPUTED_VALUE"""),0.0)</f>
        <v>0</v>
      </c>
      <c r="K3724" s="5" t="str">
        <f>IFERROR(__xludf.DUMMYFUNCTION("""COMPUTED_VALUE"""),"")</f>
        <v/>
      </c>
      <c r="L3724" t="str">
        <f>IFERROR(__xludf.DUMMYFUNCTION("""COMPUTED_VALUE"""),"")</f>
        <v/>
      </c>
      <c r="M3724" t="str">
        <f>IFERROR(__xludf.DUMMYFUNCTION("""COMPUTED_VALUE"""),"")</f>
        <v/>
      </c>
      <c r="N3724" t="str">
        <f>IFERROR(__xludf.DUMMYFUNCTION("""COMPUTED_VALUE"""),"")</f>
        <v/>
      </c>
      <c r="O3724" t="str">
        <f>IFERROR(__xludf.DUMMYFUNCTION("""COMPUTED_VALUE"""),"")</f>
        <v/>
      </c>
      <c r="P3724" t="str">
        <f>IFERROR(__xludf.DUMMYFUNCTION("""COMPUTED_VALUE"""),"ID ")</f>
        <v>ID </v>
      </c>
    </row>
    <row r="3725">
      <c r="A3725" s="6" t="str">
        <f>IFERROR(__xludf.DUMMYFUNCTION("""COMPUTED_VALUE"""),"")</f>
        <v/>
      </c>
      <c r="C3725" t="str">
        <f>IFERROR(__xludf.DUMMYFUNCTION("""COMPUTED_VALUE"""),"")</f>
        <v/>
      </c>
      <c r="D3725" t="str">
        <f>IFERROR(__xludf.DUMMYFUNCTION("""COMPUTED_VALUE"""),"")</f>
        <v/>
      </c>
      <c r="E3725" t="str">
        <f>IFERROR(__xludf.DUMMYFUNCTION("""COMPUTED_VALUE"""),"")</f>
        <v/>
      </c>
      <c r="F3725" t="str">
        <f>IFERROR(__xludf.DUMMYFUNCTION("""COMPUTED_VALUE"""),"")</f>
        <v/>
      </c>
      <c r="G3725" t="str">
        <f>IFERROR(__xludf.DUMMYFUNCTION("""COMPUTED_VALUE"""),"")</f>
        <v/>
      </c>
      <c r="H3725" s="2" t="str">
        <f>IFERROR(__xludf.DUMMYFUNCTION("""COMPUTED_VALUE"""),"")</f>
        <v/>
      </c>
      <c r="I3725" s="2" t="str">
        <f>IFERROR(__xludf.DUMMYFUNCTION("""COMPUTED_VALUE"""),"")</f>
        <v/>
      </c>
      <c r="J3725" s="2">
        <f>IFERROR(__xludf.DUMMYFUNCTION("""COMPUTED_VALUE"""),0.0)</f>
        <v>0</v>
      </c>
      <c r="K3725" s="5" t="str">
        <f>IFERROR(__xludf.DUMMYFUNCTION("""COMPUTED_VALUE"""),"")</f>
        <v/>
      </c>
      <c r="L3725" t="str">
        <f>IFERROR(__xludf.DUMMYFUNCTION("""COMPUTED_VALUE"""),"")</f>
        <v/>
      </c>
      <c r="M3725" t="str">
        <f>IFERROR(__xludf.DUMMYFUNCTION("""COMPUTED_VALUE"""),"")</f>
        <v/>
      </c>
      <c r="N3725" t="str">
        <f>IFERROR(__xludf.DUMMYFUNCTION("""COMPUTED_VALUE"""),"")</f>
        <v/>
      </c>
      <c r="O3725" t="str">
        <f>IFERROR(__xludf.DUMMYFUNCTION("""COMPUTED_VALUE"""),"")</f>
        <v/>
      </c>
      <c r="P3725" t="str">
        <f>IFERROR(__xludf.DUMMYFUNCTION("""COMPUTED_VALUE"""),"ID ")</f>
        <v>ID </v>
      </c>
    </row>
    <row r="3726">
      <c r="A3726" s="6" t="str">
        <f>IFERROR(__xludf.DUMMYFUNCTION("""COMPUTED_VALUE"""),"")</f>
        <v/>
      </c>
      <c r="C3726" t="str">
        <f>IFERROR(__xludf.DUMMYFUNCTION("""COMPUTED_VALUE"""),"")</f>
        <v/>
      </c>
      <c r="D3726" t="str">
        <f>IFERROR(__xludf.DUMMYFUNCTION("""COMPUTED_VALUE"""),"")</f>
        <v/>
      </c>
      <c r="E3726" t="str">
        <f>IFERROR(__xludf.DUMMYFUNCTION("""COMPUTED_VALUE"""),"")</f>
        <v/>
      </c>
      <c r="F3726" t="str">
        <f>IFERROR(__xludf.DUMMYFUNCTION("""COMPUTED_VALUE"""),"")</f>
        <v/>
      </c>
      <c r="G3726" t="str">
        <f>IFERROR(__xludf.DUMMYFUNCTION("""COMPUTED_VALUE"""),"")</f>
        <v/>
      </c>
      <c r="H3726" s="2" t="str">
        <f>IFERROR(__xludf.DUMMYFUNCTION("""COMPUTED_VALUE"""),"")</f>
        <v/>
      </c>
      <c r="I3726" s="2" t="str">
        <f>IFERROR(__xludf.DUMMYFUNCTION("""COMPUTED_VALUE"""),"")</f>
        <v/>
      </c>
      <c r="J3726" s="2">
        <f>IFERROR(__xludf.DUMMYFUNCTION("""COMPUTED_VALUE"""),0.0)</f>
        <v>0</v>
      </c>
      <c r="K3726" s="5" t="str">
        <f>IFERROR(__xludf.DUMMYFUNCTION("""COMPUTED_VALUE"""),"")</f>
        <v/>
      </c>
      <c r="L3726" t="str">
        <f>IFERROR(__xludf.DUMMYFUNCTION("""COMPUTED_VALUE"""),"")</f>
        <v/>
      </c>
      <c r="M3726" t="str">
        <f>IFERROR(__xludf.DUMMYFUNCTION("""COMPUTED_VALUE"""),"")</f>
        <v/>
      </c>
      <c r="N3726" t="str">
        <f>IFERROR(__xludf.DUMMYFUNCTION("""COMPUTED_VALUE"""),"")</f>
        <v/>
      </c>
      <c r="O3726" t="str">
        <f>IFERROR(__xludf.DUMMYFUNCTION("""COMPUTED_VALUE"""),"")</f>
        <v/>
      </c>
      <c r="P3726" t="str">
        <f>IFERROR(__xludf.DUMMYFUNCTION("""COMPUTED_VALUE"""),"ID ")</f>
        <v>ID </v>
      </c>
    </row>
    <row r="3727">
      <c r="A3727" s="6" t="str">
        <f>IFERROR(__xludf.DUMMYFUNCTION("""COMPUTED_VALUE"""),"")</f>
        <v/>
      </c>
      <c r="C3727" t="str">
        <f>IFERROR(__xludf.DUMMYFUNCTION("""COMPUTED_VALUE"""),"")</f>
        <v/>
      </c>
      <c r="D3727" t="str">
        <f>IFERROR(__xludf.DUMMYFUNCTION("""COMPUTED_VALUE"""),"")</f>
        <v/>
      </c>
      <c r="E3727" t="str">
        <f>IFERROR(__xludf.DUMMYFUNCTION("""COMPUTED_VALUE"""),"")</f>
        <v/>
      </c>
      <c r="F3727" t="str">
        <f>IFERROR(__xludf.DUMMYFUNCTION("""COMPUTED_VALUE"""),"")</f>
        <v/>
      </c>
      <c r="G3727" t="str">
        <f>IFERROR(__xludf.DUMMYFUNCTION("""COMPUTED_VALUE"""),"")</f>
        <v/>
      </c>
      <c r="H3727" s="2" t="str">
        <f>IFERROR(__xludf.DUMMYFUNCTION("""COMPUTED_VALUE"""),"")</f>
        <v/>
      </c>
      <c r="I3727" s="2" t="str">
        <f>IFERROR(__xludf.DUMMYFUNCTION("""COMPUTED_VALUE"""),"")</f>
        <v/>
      </c>
      <c r="J3727" s="2">
        <f>IFERROR(__xludf.DUMMYFUNCTION("""COMPUTED_VALUE"""),0.0)</f>
        <v>0</v>
      </c>
      <c r="K3727" s="5" t="str">
        <f>IFERROR(__xludf.DUMMYFUNCTION("""COMPUTED_VALUE"""),"")</f>
        <v/>
      </c>
      <c r="L3727" t="str">
        <f>IFERROR(__xludf.DUMMYFUNCTION("""COMPUTED_VALUE"""),"")</f>
        <v/>
      </c>
      <c r="M3727" t="str">
        <f>IFERROR(__xludf.DUMMYFUNCTION("""COMPUTED_VALUE"""),"")</f>
        <v/>
      </c>
      <c r="N3727" t="str">
        <f>IFERROR(__xludf.DUMMYFUNCTION("""COMPUTED_VALUE"""),"")</f>
        <v/>
      </c>
      <c r="O3727" t="str">
        <f>IFERROR(__xludf.DUMMYFUNCTION("""COMPUTED_VALUE"""),"")</f>
        <v/>
      </c>
      <c r="P3727" t="str">
        <f>IFERROR(__xludf.DUMMYFUNCTION("""COMPUTED_VALUE"""),"ID ")</f>
        <v>ID </v>
      </c>
    </row>
    <row r="3728">
      <c r="A3728" s="6" t="str">
        <f>IFERROR(__xludf.DUMMYFUNCTION("""COMPUTED_VALUE"""),"")</f>
        <v/>
      </c>
      <c r="C3728" t="str">
        <f>IFERROR(__xludf.DUMMYFUNCTION("""COMPUTED_VALUE"""),"")</f>
        <v/>
      </c>
      <c r="D3728" t="str">
        <f>IFERROR(__xludf.DUMMYFUNCTION("""COMPUTED_VALUE"""),"")</f>
        <v/>
      </c>
      <c r="E3728" t="str">
        <f>IFERROR(__xludf.DUMMYFUNCTION("""COMPUTED_VALUE"""),"")</f>
        <v/>
      </c>
      <c r="F3728" t="str">
        <f>IFERROR(__xludf.DUMMYFUNCTION("""COMPUTED_VALUE"""),"")</f>
        <v/>
      </c>
      <c r="G3728" t="str">
        <f>IFERROR(__xludf.DUMMYFUNCTION("""COMPUTED_VALUE"""),"")</f>
        <v/>
      </c>
      <c r="H3728" s="2" t="str">
        <f>IFERROR(__xludf.DUMMYFUNCTION("""COMPUTED_VALUE"""),"")</f>
        <v/>
      </c>
      <c r="I3728" s="2" t="str">
        <f>IFERROR(__xludf.DUMMYFUNCTION("""COMPUTED_VALUE"""),"")</f>
        <v/>
      </c>
      <c r="J3728" s="2">
        <f>IFERROR(__xludf.DUMMYFUNCTION("""COMPUTED_VALUE"""),0.0)</f>
        <v>0</v>
      </c>
      <c r="K3728" s="5" t="str">
        <f>IFERROR(__xludf.DUMMYFUNCTION("""COMPUTED_VALUE"""),"")</f>
        <v/>
      </c>
      <c r="L3728" t="str">
        <f>IFERROR(__xludf.DUMMYFUNCTION("""COMPUTED_VALUE"""),"")</f>
        <v/>
      </c>
      <c r="M3728" t="str">
        <f>IFERROR(__xludf.DUMMYFUNCTION("""COMPUTED_VALUE"""),"")</f>
        <v/>
      </c>
      <c r="N3728" t="str">
        <f>IFERROR(__xludf.DUMMYFUNCTION("""COMPUTED_VALUE"""),"")</f>
        <v/>
      </c>
      <c r="O3728" t="str">
        <f>IFERROR(__xludf.DUMMYFUNCTION("""COMPUTED_VALUE"""),"")</f>
        <v/>
      </c>
      <c r="P3728" t="str">
        <f>IFERROR(__xludf.DUMMYFUNCTION("""COMPUTED_VALUE"""),"ID ")</f>
        <v>ID </v>
      </c>
    </row>
    <row r="3729">
      <c r="A3729" s="6" t="str">
        <f>IFERROR(__xludf.DUMMYFUNCTION("""COMPUTED_VALUE"""),"")</f>
        <v/>
      </c>
      <c r="C3729" t="str">
        <f>IFERROR(__xludf.DUMMYFUNCTION("""COMPUTED_VALUE"""),"")</f>
        <v/>
      </c>
      <c r="D3729" t="str">
        <f>IFERROR(__xludf.DUMMYFUNCTION("""COMPUTED_VALUE"""),"")</f>
        <v/>
      </c>
      <c r="E3729" t="str">
        <f>IFERROR(__xludf.DUMMYFUNCTION("""COMPUTED_VALUE"""),"")</f>
        <v/>
      </c>
      <c r="F3729" t="str">
        <f>IFERROR(__xludf.DUMMYFUNCTION("""COMPUTED_VALUE"""),"")</f>
        <v/>
      </c>
      <c r="G3729" t="str">
        <f>IFERROR(__xludf.DUMMYFUNCTION("""COMPUTED_VALUE"""),"")</f>
        <v/>
      </c>
      <c r="H3729" s="2" t="str">
        <f>IFERROR(__xludf.DUMMYFUNCTION("""COMPUTED_VALUE"""),"")</f>
        <v/>
      </c>
      <c r="I3729" s="2" t="str">
        <f>IFERROR(__xludf.DUMMYFUNCTION("""COMPUTED_VALUE"""),"")</f>
        <v/>
      </c>
      <c r="J3729" s="2">
        <f>IFERROR(__xludf.DUMMYFUNCTION("""COMPUTED_VALUE"""),0.0)</f>
        <v>0</v>
      </c>
      <c r="K3729" s="5" t="str">
        <f>IFERROR(__xludf.DUMMYFUNCTION("""COMPUTED_VALUE"""),"")</f>
        <v/>
      </c>
      <c r="L3729" t="str">
        <f>IFERROR(__xludf.DUMMYFUNCTION("""COMPUTED_VALUE"""),"")</f>
        <v/>
      </c>
      <c r="M3729" t="str">
        <f>IFERROR(__xludf.DUMMYFUNCTION("""COMPUTED_VALUE"""),"")</f>
        <v/>
      </c>
      <c r="N3729" t="str">
        <f>IFERROR(__xludf.DUMMYFUNCTION("""COMPUTED_VALUE"""),"")</f>
        <v/>
      </c>
      <c r="O3729" t="str">
        <f>IFERROR(__xludf.DUMMYFUNCTION("""COMPUTED_VALUE"""),"")</f>
        <v/>
      </c>
      <c r="P3729" t="str">
        <f>IFERROR(__xludf.DUMMYFUNCTION("""COMPUTED_VALUE"""),"ID ")</f>
        <v>ID </v>
      </c>
    </row>
    <row r="3730">
      <c r="A3730" s="6" t="str">
        <f>IFERROR(__xludf.DUMMYFUNCTION("""COMPUTED_VALUE"""),"")</f>
        <v/>
      </c>
      <c r="C3730" t="str">
        <f>IFERROR(__xludf.DUMMYFUNCTION("""COMPUTED_VALUE"""),"")</f>
        <v/>
      </c>
      <c r="D3730" t="str">
        <f>IFERROR(__xludf.DUMMYFUNCTION("""COMPUTED_VALUE"""),"")</f>
        <v/>
      </c>
      <c r="E3730" t="str">
        <f>IFERROR(__xludf.DUMMYFUNCTION("""COMPUTED_VALUE"""),"")</f>
        <v/>
      </c>
      <c r="F3730" t="str">
        <f>IFERROR(__xludf.DUMMYFUNCTION("""COMPUTED_VALUE"""),"")</f>
        <v/>
      </c>
      <c r="G3730" t="str">
        <f>IFERROR(__xludf.DUMMYFUNCTION("""COMPUTED_VALUE"""),"")</f>
        <v/>
      </c>
      <c r="H3730" s="2" t="str">
        <f>IFERROR(__xludf.DUMMYFUNCTION("""COMPUTED_VALUE"""),"")</f>
        <v/>
      </c>
      <c r="I3730" s="2" t="str">
        <f>IFERROR(__xludf.DUMMYFUNCTION("""COMPUTED_VALUE"""),"")</f>
        <v/>
      </c>
      <c r="J3730" s="2">
        <f>IFERROR(__xludf.DUMMYFUNCTION("""COMPUTED_VALUE"""),0.0)</f>
        <v>0</v>
      </c>
      <c r="K3730" s="5" t="str">
        <f>IFERROR(__xludf.DUMMYFUNCTION("""COMPUTED_VALUE"""),"")</f>
        <v/>
      </c>
      <c r="L3730" t="str">
        <f>IFERROR(__xludf.DUMMYFUNCTION("""COMPUTED_VALUE"""),"")</f>
        <v/>
      </c>
      <c r="M3730" t="str">
        <f>IFERROR(__xludf.DUMMYFUNCTION("""COMPUTED_VALUE"""),"")</f>
        <v/>
      </c>
      <c r="N3730" t="str">
        <f>IFERROR(__xludf.DUMMYFUNCTION("""COMPUTED_VALUE"""),"")</f>
        <v/>
      </c>
      <c r="O3730" t="str">
        <f>IFERROR(__xludf.DUMMYFUNCTION("""COMPUTED_VALUE"""),"")</f>
        <v/>
      </c>
      <c r="P3730" t="str">
        <f>IFERROR(__xludf.DUMMYFUNCTION("""COMPUTED_VALUE"""),"ID ")</f>
        <v>ID </v>
      </c>
    </row>
    <row r="3731">
      <c r="A3731" s="6" t="str">
        <f>IFERROR(__xludf.DUMMYFUNCTION("""COMPUTED_VALUE"""),"")</f>
        <v/>
      </c>
      <c r="C3731" t="str">
        <f>IFERROR(__xludf.DUMMYFUNCTION("""COMPUTED_VALUE"""),"")</f>
        <v/>
      </c>
      <c r="D3731" t="str">
        <f>IFERROR(__xludf.DUMMYFUNCTION("""COMPUTED_VALUE"""),"")</f>
        <v/>
      </c>
      <c r="E3731" t="str">
        <f>IFERROR(__xludf.DUMMYFUNCTION("""COMPUTED_VALUE"""),"")</f>
        <v/>
      </c>
      <c r="F3731" t="str">
        <f>IFERROR(__xludf.DUMMYFUNCTION("""COMPUTED_VALUE"""),"")</f>
        <v/>
      </c>
      <c r="G3731" t="str">
        <f>IFERROR(__xludf.DUMMYFUNCTION("""COMPUTED_VALUE"""),"")</f>
        <v/>
      </c>
      <c r="H3731" s="2" t="str">
        <f>IFERROR(__xludf.DUMMYFUNCTION("""COMPUTED_VALUE"""),"")</f>
        <v/>
      </c>
      <c r="I3731" s="2" t="str">
        <f>IFERROR(__xludf.DUMMYFUNCTION("""COMPUTED_VALUE"""),"")</f>
        <v/>
      </c>
      <c r="J3731" s="2">
        <f>IFERROR(__xludf.DUMMYFUNCTION("""COMPUTED_VALUE"""),0.0)</f>
        <v>0</v>
      </c>
      <c r="K3731" s="5" t="str">
        <f>IFERROR(__xludf.DUMMYFUNCTION("""COMPUTED_VALUE"""),"")</f>
        <v/>
      </c>
      <c r="L3731" t="str">
        <f>IFERROR(__xludf.DUMMYFUNCTION("""COMPUTED_VALUE"""),"")</f>
        <v/>
      </c>
      <c r="M3731" t="str">
        <f>IFERROR(__xludf.DUMMYFUNCTION("""COMPUTED_VALUE"""),"")</f>
        <v/>
      </c>
      <c r="N3731" t="str">
        <f>IFERROR(__xludf.DUMMYFUNCTION("""COMPUTED_VALUE"""),"")</f>
        <v/>
      </c>
      <c r="O3731" t="str">
        <f>IFERROR(__xludf.DUMMYFUNCTION("""COMPUTED_VALUE"""),"")</f>
        <v/>
      </c>
      <c r="P3731" t="str">
        <f>IFERROR(__xludf.DUMMYFUNCTION("""COMPUTED_VALUE"""),"ID ")</f>
        <v>ID </v>
      </c>
    </row>
    <row r="3732">
      <c r="A3732" s="6" t="str">
        <f>IFERROR(__xludf.DUMMYFUNCTION("""COMPUTED_VALUE"""),"")</f>
        <v/>
      </c>
      <c r="C3732" t="str">
        <f>IFERROR(__xludf.DUMMYFUNCTION("""COMPUTED_VALUE"""),"")</f>
        <v/>
      </c>
      <c r="D3732" t="str">
        <f>IFERROR(__xludf.DUMMYFUNCTION("""COMPUTED_VALUE"""),"")</f>
        <v/>
      </c>
      <c r="E3732" t="str">
        <f>IFERROR(__xludf.DUMMYFUNCTION("""COMPUTED_VALUE"""),"")</f>
        <v/>
      </c>
      <c r="F3732" t="str">
        <f>IFERROR(__xludf.DUMMYFUNCTION("""COMPUTED_VALUE"""),"")</f>
        <v/>
      </c>
      <c r="G3732" t="str">
        <f>IFERROR(__xludf.DUMMYFUNCTION("""COMPUTED_VALUE"""),"")</f>
        <v/>
      </c>
      <c r="H3732" s="2" t="str">
        <f>IFERROR(__xludf.DUMMYFUNCTION("""COMPUTED_VALUE"""),"")</f>
        <v/>
      </c>
      <c r="I3732" s="2" t="str">
        <f>IFERROR(__xludf.DUMMYFUNCTION("""COMPUTED_VALUE"""),"")</f>
        <v/>
      </c>
      <c r="J3732" s="2">
        <f>IFERROR(__xludf.DUMMYFUNCTION("""COMPUTED_VALUE"""),0.0)</f>
        <v>0</v>
      </c>
      <c r="K3732" s="5" t="str">
        <f>IFERROR(__xludf.DUMMYFUNCTION("""COMPUTED_VALUE"""),"")</f>
        <v/>
      </c>
      <c r="L3732" t="str">
        <f>IFERROR(__xludf.DUMMYFUNCTION("""COMPUTED_VALUE"""),"")</f>
        <v/>
      </c>
      <c r="M3732" t="str">
        <f>IFERROR(__xludf.DUMMYFUNCTION("""COMPUTED_VALUE"""),"")</f>
        <v/>
      </c>
      <c r="N3732" t="str">
        <f>IFERROR(__xludf.DUMMYFUNCTION("""COMPUTED_VALUE"""),"")</f>
        <v/>
      </c>
      <c r="O3732" t="str">
        <f>IFERROR(__xludf.DUMMYFUNCTION("""COMPUTED_VALUE"""),"")</f>
        <v/>
      </c>
      <c r="P3732" t="str">
        <f>IFERROR(__xludf.DUMMYFUNCTION("""COMPUTED_VALUE"""),"ID ")</f>
        <v>ID </v>
      </c>
    </row>
    <row r="3733">
      <c r="A3733" s="6" t="str">
        <f>IFERROR(__xludf.DUMMYFUNCTION("""COMPUTED_VALUE"""),"")</f>
        <v/>
      </c>
      <c r="C3733" t="str">
        <f>IFERROR(__xludf.DUMMYFUNCTION("""COMPUTED_VALUE"""),"")</f>
        <v/>
      </c>
      <c r="D3733" t="str">
        <f>IFERROR(__xludf.DUMMYFUNCTION("""COMPUTED_VALUE"""),"")</f>
        <v/>
      </c>
      <c r="E3733" t="str">
        <f>IFERROR(__xludf.DUMMYFUNCTION("""COMPUTED_VALUE"""),"")</f>
        <v/>
      </c>
      <c r="F3733" t="str">
        <f>IFERROR(__xludf.DUMMYFUNCTION("""COMPUTED_VALUE"""),"")</f>
        <v/>
      </c>
      <c r="G3733" t="str">
        <f>IFERROR(__xludf.DUMMYFUNCTION("""COMPUTED_VALUE"""),"")</f>
        <v/>
      </c>
      <c r="H3733" s="2" t="str">
        <f>IFERROR(__xludf.DUMMYFUNCTION("""COMPUTED_VALUE"""),"")</f>
        <v/>
      </c>
      <c r="I3733" s="2" t="str">
        <f>IFERROR(__xludf.DUMMYFUNCTION("""COMPUTED_VALUE"""),"")</f>
        <v/>
      </c>
      <c r="J3733" s="2">
        <f>IFERROR(__xludf.DUMMYFUNCTION("""COMPUTED_VALUE"""),0.0)</f>
        <v>0</v>
      </c>
      <c r="K3733" s="5" t="str">
        <f>IFERROR(__xludf.DUMMYFUNCTION("""COMPUTED_VALUE"""),"")</f>
        <v/>
      </c>
      <c r="L3733" t="str">
        <f>IFERROR(__xludf.DUMMYFUNCTION("""COMPUTED_VALUE"""),"")</f>
        <v/>
      </c>
      <c r="M3733" t="str">
        <f>IFERROR(__xludf.DUMMYFUNCTION("""COMPUTED_VALUE"""),"")</f>
        <v/>
      </c>
      <c r="N3733" t="str">
        <f>IFERROR(__xludf.DUMMYFUNCTION("""COMPUTED_VALUE"""),"")</f>
        <v/>
      </c>
      <c r="O3733" t="str">
        <f>IFERROR(__xludf.DUMMYFUNCTION("""COMPUTED_VALUE"""),"")</f>
        <v/>
      </c>
      <c r="P3733" t="str">
        <f>IFERROR(__xludf.DUMMYFUNCTION("""COMPUTED_VALUE"""),"ID ")</f>
        <v>ID </v>
      </c>
    </row>
    <row r="3734">
      <c r="A3734" s="6" t="str">
        <f>IFERROR(__xludf.DUMMYFUNCTION("""COMPUTED_VALUE"""),"")</f>
        <v/>
      </c>
      <c r="C3734" t="str">
        <f>IFERROR(__xludf.DUMMYFUNCTION("""COMPUTED_VALUE"""),"")</f>
        <v/>
      </c>
      <c r="D3734" t="str">
        <f>IFERROR(__xludf.DUMMYFUNCTION("""COMPUTED_VALUE"""),"")</f>
        <v/>
      </c>
      <c r="E3734" t="str">
        <f>IFERROR(__xludf.DUMMYFUNCTION("""COMPUTED_VALUE"""),"")</f>
        <v/>
      </c>
      <c r="F3734" t="str">
        <f>IFERROR(__xludf.DUMMYFUNCTION("""COMPUTED_VALUE"""),"")</f>
        <v/>
      </c>
      <c r="G3734" t="str">
        <f>IFERROR(__xludf.DUMMYFUNCTION("""COMPUTED_VALUE"""),"")</f>
        <v/>
      </c>
      <c r="H3734" s="2" t="str">
        <f>IFERROR(__xludf.DUMMYFUNCTION("""COMPUTED_VALUE"""),"")</f>
        <v/>
      </c>
      <c r="I3734" s="2" t="str">
        <f>IFERROR(__xludf.DUMMYFUNCTION("""COMPUTED_VALUE"""),"")</f>
        <v/>
      </c>
      <c r="J3734" s="2">
        <f>IFERROR(__xludf.DUMMYFUNCTION("""COMPUTED_VALUE"""),0.0)</f>
        <v>0</v>
      </c>
      <c r="K3734" s="5" t="str">
        <f>IFERROR(__xludf.DUMMYFUNCTION("""COMPUTED_VALUE"""),"")</f>
        <v/>
      </c>
      <c r="L3734" t="str">
        <f>IFERROR(__xludf.DUMMYFUNCTION("""COMPUTED_VALUE"""),"")</f>
        <v/>
      </c>
      <c r="M3734" t="str">
        <f>IFERROR(__xludf.DUMMYFUNCTION("""COMPUTED_VALUE"""),"")</f>
        <v/>
      </c>
      <c r="N3734" t="str">
        <f>IFERROR(__xludf.DUMMYFUNCTION("""COMPUTED_VALUE"""),"")</f>
        <v/>
      </c>
      <c r="O3734" t="str">
        <f>IFERROR(__xludf.DUMMYFUNCTION("""COMPUTED_VALUE"""),"")</f>
        <v/>
      </c>
      <c r="P3734" t="str">
        <f>IFERROR(__xludf.DUMMYFUNCTION("""COMPUTED_VALUE"""),"ID ")</f>
        <v>ID </v>
      </c>
    </row>
    <row r="3735">
      <c r="A3735" s="6" t="str">
        <f>IFERROR(__xludf.DUMMYFUNCTION("""COMPUTED_VALUE"""),"")</f>
        <v/>
      </c>
      <c r="C3735" t="str">
        <f>IFERROR(__xludf.DUMMYFUNCTION("""COMPUTED_VALUE"""),"")</f>
        <v/>
      </c>
      <c r="D3735" t="str">
        <f>IFERROR(__xludf.DUMMYFUNCTION("""COMPUTED_VALUE"""),"")</f>
        <v/>
      </c>
      <c r="E3735" t="str">
        <f>IFERROR(__xludf.DUMMYFUNCTION("""COMPUTED_VALUE"""),"")</f>
        <v/>
      </c>
      <c r="F3735" t="str">
        <f>IFERROR(__xludf.DUMMYFUNCTION("""COMPUTED_VALUE"""),"")</f>
        <v/>
      </c>
      <c r="G3735" t="str">
        <f>IFERROR(__xludf.DUMMYFUNCTION("""COMPUTED_VALUE"""),"")</f>
        <v/>
      </c>
      <c r="H3735" s="2" t="str">
        <f>IFERROR(__xludf.DUMMYFUNCTION("""COMPUTED_VALUE"""),"")</f>
        <v/>
      </c>
      <c r="I3735" s="2" t="str">
        <f>IFERROR(__xludf.DUMMYFUNCTION("""COMPUTED_VALUE"""),"")</f>
        <v/>
      </c>
      <c r="J3735" s="2">
        <f>IFERROR(__xludf.DUMMYFUNCTION("""COMPUTED_VALUE"""),0.0)</f>
        <v>0</v>
      </c>
      <c r="K3735" s="5" t="str">
        <f>IFERROR(__xludf.DUMMYFUNCTION("""COMPUTED_VALUE"""),"")</f>
        <v/>
      </c>
      <c r="L3735" t="str">
        <f>IFERROR(__xludf.DUMMYFUNCTION("""COMPUTED_VALUE"""),"")</f>
        <v/>
      </c>
      <c r="M3735" t="str">
        <f>IFERROR(__xludf.DUMMYFUNCTION("""COMPUTED_VALUE"""),"")</f>
        <v/>
      </c>
      <c r="N3735" t="str">
        <f>IFERROR(__xludf.DUMMYFUNCTION("""COMPUTED_VALUE"""),"")</f>
        <v/>
      </c>
      <c r="O3735" t="str">
        <f>IFERROR(__xludf.DUMMYFUNCTION("""COMPUTED_VALUE"""),"")</f>
        <v/>
      </c>
      <c r="P3735" t="str">
        <f>IFERROR(__xludf.DUMMYFUNCTION("""COMPUTED_VALUE"""),"ID ")</f>
        <v>ID </v>
      </c>
    </row>
    <row r="3736">
      <c r="A3736" s="6" t="str">
        <f>IFERROR(__xludf.DUMMYFUNCTION("""COMPUTED_VALUE"""),"")</f>
        <v/>
      </c>
      <c r="C3736" t="str">
        <f>IFERROR(__xludf.DUMMYFUNCTION("""COMPUTED_VALUE"""),"")</f>
        <v/>
      </c>
      <c r="D3736" t="str">
        <f>IFERROR(__xludf.DUMMYFUNCTION("""COMPUTED_VALUE"""),"")</f>
        <v/>
      </c>
      <c r="E3736" t="str">
        <f>IFERROR(__xludf.DUMMYFUNCTION("""COMPUTED_VALUE"""),"")</f>
        <v/>
      </c>
      <c r="F3736" t="str">
        <f>IFERROR(__xludf.DUMMYFUNCTION("""COMPUTED_VALUE"""),"")</f>
        <v/>
      </c>
      <c r="G3736" t="str">
        <f>IFERROR(__xludf.DUMMYFUNCTION("""COMPUTED_VALUE"""),"")</f>
        <v/>
      </c>
      <c r="H3736" s="2" t="str">
        <f>IFERROR(__xludf.DUMMYFUNCTION("""COMPUTED_VALUE"""),"")</f>
        <v/>
      </c>
      <c r="I3736" s="2" t="str">
        <f>IFERROR(__xludf.DUMMYFUNCTION("""COMPUTED_VALUE"""),"")</f>
        <v/>
      </c>
      <c r="J3736" s="2">
        <f>IFERROR(__xludf.DUMMYFUNCTION("""COMPUTED_VALUE"""),0.0)</f>
        <v>0</v>
      </c>
      <c r="K3736" s="5" t="str">
        <f>IFERROR(__xludf.DUMMYFUNCTION("""COMPUTED_VALUE"""),"")</f>
        <v/>
      </c>
      <c r="L3736" t="str">
        <f>IFERROR(__xludf.DUMMYFUNCTION("""COMPUTED_VALUE"""),"")</f>
        <v/>
      </c>
      <c r="M3736" t="str">
        <f>IFERROR(__xludf.DUMMYFUNCTION("""COMPUTED_VALUE"""),"")</f>
        <v/>
      </c>
      <c r="N3736" t="str">
        <f>IFERROR(__xludf.DUMMYFUNCTION("""COMPUTED_VALUE"""),"")</f>
        <v/>
      </c>
      <c r="O3736" t="str">
        <f>IFERROR(__xludf.DUMMYFUNCTION("""COMPUTED_VALUE"""),"")</f>
        <v/>
      </c>
      <c r="P3736" t="str">
        <f>IFERROR(__xludf.DUMMYFUNCTION("""COMPUTED_VALUE"""),"ID ")</f>
        <v>ID </v>
      </c>
    </row>
    <row r="3737">
      <c r="A3737" s="6" t="str">
        <f>IFERROR(__xludf.DUMMYFUNCTION("""COMPUTED_VALUE"""),"")</f>
        <v/>
      </c>
      <c r="C3737" t="str">
        <f>IFERROR(__xludf.DUMMYFUNCTION("""COMPUTED_VALUE"""),"")</f>
        <v/>
      </c>
      <c r="D3737" t="str">
        <f>IFERROR(__xludf.DUMMYFUNCTION("""COMPUTED_VALUE"""),"")</f>
        <v/>
      </c>
      <c r="E3737" t="str">
        <f>IFERROR(__xludf.DUMMYFUNCTION("""COMPUTED_VALUE"""),"")</f>
        <v/>
      </c>
      <c r="F3737" t="str">
        <f>IFERROR(__xludf.DUMMYFUNCTION("""COMPUTED_VALUE"""),"")</f>
        <v/>
      </c>
      <c r="G3737" t="str">
        <f>IFERROR(__xludf.DUMMYFUNCTION("""COMPUTED_VALUE"""),"")</f>
        <v/>
      </c>
      <c r="H3737" s="2" t="str">
        <f>IFERROR(__xludf.DUMMYFUNCTION("""COMPUTED_VALUE"""),"")</f>
        <v/>
      </c>
      <c r="I3737" s="2" t="str">
        <f>IFERROR(__xludf.DUMMYFUNCTION("""COMPUTED_VALUE"""),"")</f>
        <v/>
      </c>
      <c r="J3737" s="2">
        <f>IFERROR(__xludf.DUMMYFUNCTION("""COMPUTED_VALUE"""),0.0)</f>
        <v>0</v>
      </c>
      <c r="K3737" s="5" t="str">
        <f>IFERROR(__xludf.DUMMYFUNCTION("""COMPUTED_VALUE"""),"")</f>
        <v/>
      </c>
      <c r="L3737" t="str">
        <f>IFERROR(__xludf.DUMMYFUNCTION("""COMPUTED_VALUE"""),"")</f>
        <v/>
      </c>
      <c r="M3737" t="str">
        <f>IFERROR(__xludf.DUMMYFUNCTION("""COMPUTED_VALUE"""),"")</f>
        <v/>
      </c>
      <c r="N3737" t="str">
        <f>IFERROR(__xludf.DUMMYFUNCTION("""COMPUTED_VALUE"""),"")</f>
        <v/>
      </c>
      <c r="O3737" t="str">
        <f>IFERROR(__xludf.DUMMYFUNCTION("""COMPUTED_VALUE"""),"")</f>
        <v/>
      </c>
      <c r="P3737" t="str">
        <f>IFERROR(__xludf.DUMMYFUNCTION("""COMPUTED_VALUE"""),"ID ")</f>
        <v>ID </v>
      </c>
    </row>
    <row r="3738">
      <c r="A3738" s="6" t="str">
        <f>IFERROR(__xludf.DUMMYFUNCTION("""COMPUTED_VALUE"""),"")</f>
        <v/>
      </c>
      <c r="C3738" t="str">
        <f>IFERROR(__xludf.DUMMYFUNCTION("""COMPUTED_VALUE"""),"")</f>
        <v/>
      </c>
      <c r="D3738" t="str">
        <f>IFERROR(__xludf.DUMMYFUNCTION("""COMPUTED_VALUE"""),"")</f>
        <v/>
      </c>
      <c r="E3738" t="str">
        <f>IFERROR(__xludf.DUMMYFUNCTION("""COMPUTED_VALUE"""),"")</f>
        <v/>
      </c>
      <c r="F3738" t="str">
        <f>IFERROR(__xludf.DUMMYFUNCTION("""COMPUTED_VALUE"""),"")</f>
        <v/>
      </c>
      <c r="G3738" t="str">
        <f>IFERROR(__xludf.DUMMYFUNCTION("""COMPUTED_VALUE"""),"")</f>
        <v/>
      </c>
      <c r="H3738" s="2" t="str">
        <f>IFERROR(__xludf.DUMMYFUNCTION("""COMPUTED_VALUE"""),"")</f>
        <v/>
      </c>
      <c r="I3738" s="2" t="str">
        <f>IFERROR(__xludf.DUMMYFUNCTION("""COMPUTED_VALUE"""),"")</f>
        <v/>
      </c>
      <c r="J3738" s="2">
        <f>IFERROR(__xludf.DUMMYFUNCTION("""COMPUTED_VALUE"""),0.0)</f>
        <v>0</v>
      </c>
      <c r="K3738" s="5" t="str">
        <f>IFERROR(__xludf.DUMMYFUNCTION("""COMPUTED_VALUE"""),"")</f>
        <v/>
      </c>
      <c r="L3738" t="str">
        <f>IFERROR(__xludf.DUMMYFUNCTION("""COMPUTED_VALUE"""),"")</f>
        <v/>
      </c>
      <c r="M3738" t="str">
        <f>IFERROR(__xludf.DUMMYFUNCTION("""COMPUTED_VALUE"""),"")</f>
        <v/>
      </c>
      <c r="N3738" t="str">
        <f>IFERROR(__xludf.DUMMYFUNCTION("""COMPUTED_VALUE"""),"")</f>
        <v/>
      </c>
      <c r="O3738" t="str">
        <f>IFERROR(__xludf.DUMMYFUNCTION("""COMPUTED_VALUE"""),"")</f>
        <v/>
      </c>
      <c r="P3738" t="str">
        <f>IFERROR(__xludf.DUMMYFUNCTION("""COMPUTED_VALUE"""),"ID ")</f>
        <v>ID </v>
      </c>
    </row>
    <row r="3739">
      <c r="A3739" s="6" t="str">
        <f>IFERROR(__xludf.DUMMYFUNCTION("""COMPUTED_VALUE"""),"")</f>
        <v/>
      </c>
      <c r="C3739" t="str">
        <f>IFERROR(__xludf.DUMMYFUNCTION("""COMPUTED_VALUE"""),"")</f>
        <v/>
      </c>
      <c r="D3739" t="str">
        <f>IFERROR(__xludf.DUMMYFUNCTION("""COMPUTED_VALUE"""),"")</f>
        <v/>
      </c>
      <c r="E3739" t="str">
        <f>IFERROR(__xludf.DUMMYFUNCTION("""COMPUTED_VALUE"""),"")</f>
        <v/>
      </c>
      <c r="F3739" t="str">
        <f>IFERROR(__xludf.DUMMYFUNCTION("""COMPUTED_VALUE"""),"")</f>
        <v/>
      </c>
      <c r="G3739" t="str">
        <f>IFERROR(__xludf.DUMMYFUNCTION("""COMPUTED_VALUE"""),"")</f>
        <v/>
      </c>
      <c r="H3739" s="2" t="str">
        <f>IFERROR(__xludf.DUMMYFUNCTION("""COMPUTED_VALUE"""),"")</f>
        <v/>
      </c>
      <c r="I3739" s="2" t="str">
        <f>IFERROR(__xludf.DUMMYFUNCTION("""COMPUTED_VALUE"""),"")</f>
        <v/>
      </c>
      <c r="J3739" s="2">
        <f>IFERROR(__xludf.DUMMYFUNCTION("""COMPUTED_VALUE"""),0.0)</f>
        <v>0</v>
      </c>
      <c r="K3739" s="5" t="str">
        <f>IFERROR(__xludf.DUMMYFUNCTION("""COMPUTED_VALUE"""),"")</f>
        <v/>
      </c>
      <c r="L3739" t="str">
        <f>IFERROR(__xludf.DUMMYFUNCTION("""COMPUTED_VALUE"""),"")</f>
        <v/>
      </c>
      <c r="M3739" t="str">
        <f>IFERROR(__xludf.DUMMYFUNCTION("""COMPUTED_VALUE"""),"")</f>
        <v/>
      </c>
      <c r="N3739" t="str">
        <f>IFERROR(__xludf.DUMMYFUNCTION("""COMPUTED_VALUE"""),"")</f>
        <v/>
      </c>
      <c r="O3739" t="str">
        <f>IFERROR(__xludf.DUMMYFUNCTION("""COMPUTED_VALUE"""),"")</f>
        <v/>
      </c>
      <c r="P3739" t="str">
        <f>IFERROR(__xludf.DUMMYFUNCTION("""COMPUTED_VALUE"""),"ID ")</f>
        <v>ID </v>
      </c>
    </row>
    <row r="3740">
      <c r="A3740" s="6" t="str">
        <f>IFERROR(__xludf.DUMMYFUNCTION("""COMPUTED_VALUE"""),"")</f>
        <v/>
      </c>
      <c r="C3740" t="str">
        <f>IFERROR(__xludf.DUMMYFUNCTION("""COMPUTED_VALUE"""),"")</f>
        <v/>
      </c>
      <c r="D3740" t="str">
        <f>IFERROR(__xludf.DUMMYFUNCTION("""COMPUTED_VALUE"""),"")</f>
        <v/>
      </c>
      <c r="E3740" t="str">
        <f>IFERROR(__xludf.DUMMYFUNCTION("""COMPUTED_VALUE"""),"")</f>
        <v/>
      </c>
      <c r="F3740" t="str">
        <f>IFERROR(__xludf.DUMMYFUNCTION("""COMPUTED_VALUE"""),"")</f>
        <v/>
      </c>
      <c r="G3740" t="str">
        <f>IFERROR(__xludf.DUMMYFUNCTION("""COMPUTED_VALUE"""),"")</f>
        <v/>
      </c>
      <c r="H3740" s="2" t="str">
        <f>IFERROR(__xludf.DUMMYFUNCTION("""COMPUTED_VALUE"""),"")</f>
        <v/>
      </c>
      <c r="I3740" s="2" t="str">
        <f>IFERROR(__xludf.DUMMYFUNCTION("""COMPUTED_VALUE"""),"")</f>
        <v/>
      </c>
      <c r="J3740" s="2">
        <f>IFERROR(__xludf.DUMMYFUNCTION("""COMPUTED_VALUE"""),0.0)</f>
        <v>0</v>
      </c>
      <c r="K3740" s="5" t="str">
        <f>IFERROR(__xludf.DUMMYFUNCTION("""COMPUTED_VALUE"""),"")</f>
        <v/>
      </c>
      <c r="L3740" t="str">
        <f>IFERROR(__xludf.DUMMYFUNCTION("""COMPUTED_VALUE"""),"")</f>
        <v/>
      </c>
      <c r="M3740" t="str">
        <f>IFERROR(__xludf.DUMMYFUNCTION("""COMPUTED_VALUE"""),"")</f>
        <v/>
      </c>
      <c r="N3740" t="str">
        <f>IFERROR(__xludf.DUMMYFUNCTION("""COMPUTED_VALUE"""),"")</f>
        <v/>
      </c>
      <c r="O3740" t="str">
        <f>IFERROR(__xludf.DUMMYFUNCTION("""COMPUTED_VALUE"""),"")</f>
        <v/>
      </c>
      <c r="P3740" t="str">
        <f>IFERROR(__xludf.DUMMYFUNCTION("""COMPUTED_VALUE"""),"ID ")</f>
        <v>ID </v>
      </c>
    </row>
    <row r="3741">
      <c r="A3741" s="6" t="str">
        <f>IFERROR(__xludf.DUMMYFUNCTION("""COMPUTED_VALUE"""),"")</f>
        <v/>
      </c>
      <c r="C3741" t="str">
        <f>IFERROR(__xludf.DUMMYFUNCTION("""COMPUTED_VALUE"""),"")</f>
        <v/>
      </c>
      <c r="D3741" t="str">
        <f>IFERROR(__xludf.DUMMYFUNCTION("""COMPUTED_VALUE"""),"")</f>
        <v/>
      </c>
      <c r="E3741" t="str">
        <f>IFERROR(__xludf.DUMMYFUNCTION("""COMPUTED_VALUE"""),"")</f>
        <v/>
      </c>
      <c r="F3741" t="str">
        <f>IFERROR(__xludf.DUMMYFUNCTION("""COMPUTED_VALUE"""),"")</f>
        <v/>
      </c>
      <c r="G3741" t="str">
        <f>IFERROR(__xludf.DUMMYFUNCTION("""COMPUTED_VALUE"""),"")</f>
        <v/>
      </c>
      <c r="H3741" s="2" t="str">
        <f>IFERROR(__xludf.DUMMYFUNCTION("""COMPUTED_VALUE"""),"")</f>
        <v/>
      </c>
      <c r="I3741" s="2" t="str">
        <f>IFERROR(__xludf.DUMMYFUNCTION("""COMPUTED_VALUE"""),"")</f>
        <v/>
      </c>
      <c r="J3741" s="2">
        <f>IFERROR(__xludf.DUMMYFUNCTION("""COMPUTED_VALUE"""),0.0)</f>
        <v>0</v>
      </c>
      <c r="K3741" s="5" t="str">
        <f>IFERROR(__xludf.DUMMYFUNCTION("""COMPUTED_VALUE"""),"")</f>
        <v/>
      </c>
      <c r="L3741" t="str">
        <f>IFERROR(__xludf.DUMMYFUNCTION("""COMPUTED_VALUE"""),"")</f>
        <v/>
      </c>
      <c r="M3741" t="str">
        <f>IFERROR(__xludf.DUMMYFUNCTION("""COMPUTED_VALUE"""),"")</f>
        <v/>
      </c>
      <c r="N3741" t="str">
        <f>IFERROR(__xludf.DUMMYFUNCTION("""COMPUTED_VALUE"""),"")</f>
        <v/>
      </c>
      <c r="O3741" t="str">
        <f>IFERROR(__xludf.DUMMYFUNCTION("""COMPUTED_VALUE"""),"")</f>
        <v/>
      </c>
      <c r="P3741" t="str">
        <f>IFERROR(__xludf.DUMMYFUNCTION("""COMPUTED_VALUE"""),"ID ")</f>
        <v>ID </v>
      </c>
    </row>
    <row r="3742">
      <c r="A3742" s="6" t="str">
        <f>IFERROR(__xludf.DUMMYFUNCTION("""COMPUTED_VALUE"""),"")</f>
        <v/>
      </c>
      <c r="C3742" t="str">
        <f>IFERROR(__xludf.DUMMYFUNCTION("""COMPUTED_VALUE"""),"")</f>
        <v/>
      </c>
      <c r="D3742" t="str">
        <f>IFERROR(__xludf.DUMMYFUNCTION("""COMPUTED_VALUE"""),"")</f>
        <v/>
      </c>
      <c r="E3742" t="str">
        <f>IFERROR(__xludf.DUMMYFUNCTION("""COMPUTED_VALUE"""),"")</f>
        <v/>
      </c>
      <c r="F3742" t="str">
        <f>IFERROR(__xludf.DUMMYFUNCTION("""COMPUTED_VALUE"""),"")</f>
        <v/>
      </c>
      <c r="G3742" t="str">
        <f>IFERROR(__xludf.DUMMYFUNCTION("""COMPUTED_VALUE"""),"")</f>
        <v/>
      </c>
      <c r="H3742" s="2" t="str">
        <f>IFERROR(__xludf.DUMMYFUNCTION("""COMPUTED_VALUE"""),"")</f>
        <v/>
      </c>
      <c r="I3742" s="2" t="str">
        <f>IFERROR(__xludf.DUMMYFUNCTION("""COMPUTED_VALUE"""),"")</f>
        <v/>
      </c>
      <c r="J3742" s="2">
        <f>IFERROR(__xludf.DUMMYFUNCTION("""COMPUTED_VALUE"""),0.0)</f>
        <v>0</v>
      </c>
      <c r="K3742" s="5" t="str">
        <f>IFERROR(__xludf.DUMMYFUNCTION("""COMPUTED_VALUE"""),"")</f>
        <v/>
      </c>
      <c r="L3742" t="str">
        <f>IFERROR(__xludf.DUMMYFUNCTION("""COMPUTED_VALUE"""),"")</f>
        <v/>
      </c>
      <c r="M3742" t="str">
        <f>IFERROR(__xludf.DUMMYFUNCTION("""COMPUTED_VALUE"""),"")</f>
        <v/>
      </c>
      <c r="N3742" t="str">
        <f>IFERROR(__xludf.DUMMYFUNCTION("""COMPUTED_VALUE"""),"")</f>
        <v/>
      </c>
      <c r="O3742" t="str">
        <f>IFERROR(__xludf.DUMMYFUNCTION("""COMPUTED_VALUE"""),"")</f>
        <v/>
      </c>
      <c r="P3742" t="str">
        <f>IFERROR(__xludf.DUMMYFUNCTION("""COMPUTED_VALUE"""),"ID ")</f>
        <v>ID </v>
      </c>
    </row>
    <row r="3743">
      <c r="A3743" s="6" t="str">
        <f>IFERROR(__xludf.DUMMYFUNCTION("""COMPUTED_VALUE"""),"")</f>
        <v/>
      </c>
      <c r="C3743" t="str">
        <f>IFERROR(__xludf.DUMMYFUNCTION("""COMPUTED_VALUE"""),"")</f>
        <v/>
      </c>
      <c r="D3743" t="str">
        <f>IFERROR(__xludf.DUMMYFUNCTION("""COMPUTED_VALUE"""),"")</f>
        <v/>
      </c>
      <c r="E3743" t="str">
        <f>IFERROR(__xludf.DUMMYFUNCTION("""COMPUTED_VALUE"""),"")</f>
        <v/>
      </c>
      <c r="F3743" t="str">
        <f>IFERROR(__xludf.DUMMYFUNCTION("""COMPUTED_VALUE"""),"")</f>
        <v/>
      </c>
      <c r="G3743" t="str">
        <f>IFERROR(__xludf.DUMMYFUNCTION("""COMPUTED_VALUE"""),"")</f>
        <v/>
      </c>
      <c r="H3743" s="2" t="str">
        <f>IFERROR(__xludf.DUMMYFUNCTION("""COMPUTED_VALUE"""),"")</f>
        <v/>
      </c>
      <c r="I3743" s="2" t="str">
        <f>IFERROR(__xludf.DUMMYFUNCTION("""COMPUTED_VALUE"""),"")</f>
        <v/>
      </c>
      <c r="J3743" s="2">
        <f>IFERROR(__xludf.DUMMYFUNCTION("""COMPUTED_VALUE"""),0.0)</f>
        <v>0</v>
      </c>
      <c r="K3743" s="5" t="str">
        <f>IFERROR(__xludf.DUMMYFUNCTION("""COMPUTED_VALUE"""),"")</f>
        <v/>
      </c>
      <c r="L3743" t="str">
        <f>IFERROR(__xludf.DUMMYFUNCTION("""COMPUTED_VALUE"""),"")</f>
        <v/>
      </c>
      <c r="M3743" t="str">
        <f>IFERROR(__xludf.DUMMYFUNCTION("""COMPUTED_VALUE"""),"")</f>
        <v/>
      </c>
      <c r="N3743" t="str">
        <f>IFERROR(__xludf.DUMMYFUNCTION("""COMPUTED_VALUE"""),"")</f>
        <v/>
      </c>
      <c r="O3743" t="str">
        <f>IFERROR(__xludf.DUMMYFUNCTION("""COMPUTED_VALUE"""),"")</f>
        <v/>
      </c>
      <c r="P3743" t="str">
        <f>IFERROR(__xludf.DUMMYFUNCTION("""COMPUTED_VALUE"""),"ID ")</f>
        <v>ID </v>
      </c>
    </row>
    <row r="3744">
      <c r="A3744" s="6" t="str">
        <f>IFERROR(__xludf.DUMMYFUNCTION("""COMPUTED_VALUE"""),"")</f>
        <v/>
      </c>
      <c r="C3744" t="str">
        <f>IFERROR(__xludf.DUMMYFUNCTION("""COMPUTED_VALUE"""),"")</f>
        <v/>
      </c>
      <c r="D3744" t="str">
        <f>IFERROR(__xludf.DUMMYFUNCTION("""COMPUTED_VALUE"""),"")</f>
        <v/>
      </c>
      <c r="E3744" t="str">
        <f>IFERROR(__xludf.DUMMYFUNCTION("""COMPUTED_VALUE"""),"")</f>
        <v/>
      </c>
      <c r="F3744" t="str">
        <f>IFERROR(__xludf.DUMMYFUNCTION("""COMPUTED_VALUE"""),"")</f>
        <v/>
      </c>
      <c r="G3744" t="str">
        <f>IFERROR(__xludf.DUMMYFUNCTION("""COMPUTED_VALUE"""),"")</f>
        <v/>
      </c>
      <c r="H3744" s="2" t="str">
        <f>IFERROR(__xludf.DUMMYFUNCTION("""COMPUTED_VALUE"""),"")</f>
        <v/>
      </c>
      <c r="I3744" s="2" t="str">
        <f>IFERROR(__xludf.DUMMYFUNCTION("""COMPUTED_VALUE"""),"")</f>
        <v/>
      </c>
      <c r="J3744" s="2">
        <f>IFERROR(__xludf.DUMMYFUNCTION("""COMPUTED_VALUE"""),0.0)</f>
        <v>0</v>
      </c>
      <c r="K3744" s="5" t="str">
        <f>IFERROR(__xludf.DUMMYFUNCTION("""COMPUTED_VALUE"""),"")</f>
        <v/>
      </c>
      <c r="L3744" t="str">
        <f>IFERROR(__xludf.DUMMYFUNCTION("""COMPUTED_VALUE"""),"")</f>
        <v/>
      </c>
      <c r="M3744" t="str">
        <f>IFERROR(__xludf.DUMMYFUNCTION("""COMPUTED_VALUE"""),"")</f>
        <v/>
      </c>
      <c r="N3744" t="str">
        <f>IFERROR(__xludf.DUMMYFUNCTION("""COMPUTED_VALUE"""),"")</f>
        <v/>
      </c>
      <c r="O3744" t="str">
        <f>IFERROR(__xludf.DUMMYFUNCTION("""COMPUTED_VALUE"""),"")</f>
        <v/>
      </c>
      <c r="P3744" t="str">
        <f>IFERROR(__xludf.DUMMYFUNCTION("""COMPUTED_VALUE"""),"ID ")</f>
        <v>ID </v>
      </c>
    </row>
    <row r="3745">
      <c r="A3745" s="6" t="str">
        <f>IFERROR(__xludf.DUMMYFUNCTION("""COMPUTED_VALUE"""),"")</f>
        <v/>
      </c>
      <c r="C3745" t="str">
        <f>IFERROR(__xludf.DUMMYFUNCTION("""COMPUTED_VALUE"""),"")</f>
        <v/>
      </c>
      <c r="D3745" t="str">
        <f>IFERROR(__xludf.DUMMYFUNCTION("""COMPUTED_VALUE"""),"")</f>
        <v/>
      </c>
      <c r="E3745" t="str">
        <f>IFERROR(__xludf.DUMMYFUNCTION("""COMPUTED_VALUE"""),"")</f>
        <v/>
      </c>
      <c r="F3745" t="str">
        <f>IFERROR(__xludf.DUMMYFUNCTION("""COMPUTED_VALUE"""),"")</f>
        <v/>
      </c>
      <c r="G3745" t="str">
        <f>IFERROR(__xludf.DUMMYFUNCTION("""COMPUTED_VALUE"""),"")</f>
        <v/>
      </c>
      <c r="H3745" s="2" t="str">
        <f>IFERROR(__xludf.DUMMYFUNCTION("""COMPUTED_VALUE"""),"")</f>
        <v/>
      </c>
      <c r="I3745" s="2" t="str">
        <f>IFERROR(__xludf.DUMMYFUNCTION("""COMPUTED_VALUE"""),"")</f>
        <v/>
      </c>
      <c r="J3745" s="2">
        <f>IFERROR(__xludf.DUMMYFUNCTION("""COMPUTED_VALUE"""),0.0)</f>
        <v>0</v>
      </c>
      <c r="K3745" s="5" t="str">
        <f>IFERROR(__xludf.DUMMYFUNCTION("""COMPUTED_VALUE"""),"")</f>
        <v/>
      </c>
      <c r="L3745" t="str">
        <f>IFERROR(__xludf.DUMMYFUNCTION("""COMPUTED_VALUE"""),"")</f>
        <v/>
      </c>
      <c r="M3745" t="str">
        <f>IFERROR(__xludf.DUMMYFUNCTION("""COMPUTED_VALUE"""),"")</f>
        <v/>
      </c>
      <c r="N3745" t="str">
        <f>IFERROR(__xludf.DUMMYFUNCTION("""COMPUTED_VALUE"""),"")</f>
        <v/>
      </c>
      <c r="O3745" t="str">
        <f>IFERROR(__xludf.DUMMYFUNCTION("""COMPUTED_VALUE"""),"")</f>
        <v/>
      </c>
      <c r="P3745" t="str">
        <f>IFERROR(__xludf.DUMMYFUNCTION("""COMPUTED_VALUE"""),"ID ")</f>
        <v>ID </v>
      </c>
    </row>
    <row r="3746">
      <c r="A3746" s="6" t="str">
        <f>IFERROR(__xludf.DUMMYFUNCTION("""COMPUTED_VALUE"""),"")</f>
        <v/>
      </c>
      <c r="C3746" t="str">
        <f>IFERROR(__xludf.DUMMYFUNCTION("""COMPUTED_VALUE"""),"")</f>
        <v/>
      </c>
      <c r="D3746" t="str">
        <f>IFERROR(__xludf.DUMMYFUNCTION("""COMPUTED_VALUE"""),"")</f>
        <v/>
      </c>
      <c r="E3746" t="str">
        <f>IFERROR(__xludf.DUMMYFUNCTION("""COMPUTED_VALUE"""),"")</f>
        <v/>
      </c>
      <c r="F3746" t="str">
        <f>IFERROR(__xludf.DUMMYFUNCTION("""COMPUTED_VALUE"""),"")</f>
        <v/>
      </c>
      <c r="G3746" t="str">
        <f>IFERROR(__xludf.DUMMYFUNCTION("""COMPUTED_VALUE"""),"")</f>
        <v/>
      </c>
      <c r="H3746" s="2" t="str">
        <f>IFERROR(__xludf.DUMMYFUNCTION("""COMPUTED_VALUE"""),"")</f>
        <v/>
      </c>
      <c r="I3746" s="2" t="str">
        <f>IFERROR(__xludf.DUMMYFUNCTION("""COMPUTED_VALUE"""),"")</f>
        <v/>
      </c>
      <c r="J3746" s="2">
        <f>IFERROR(__xludf.DUMMYFUNCTION("""COMPUTED_VALUE"""),0.0)</f>
        <v>0</v>
      </c>
      <c r="K3746" s="5" t="str">
        <f>IFERROR(__xludf.DUMMYFUNCTION("""COMPUTED_VALUE"""),"")</f>
        <v/>
      </c>
      <c r="L3746" t="str">
        <f>IFERROR(__xludf.DUMMYFUNCTION("""COMPUTED_VALUE"""),"")</f>
        <v/>
      </c>
      <c r="M3746" t="str">
        <f>IFERROR(__xludf.DUMMYFUNCTION("""COMPUTED_VALUE"""),"")</f>
        <v/>
      </c>
      <c r="N3746" t="str">
        <f>IFERROR(__xludf.DUMMYFUNCTION("""COMPUTED_VALUE"""),"")</f>
        <v/>
      </c>
      <c r="O3746" t="str">
        <f>IFERROR(__xludf.DUMMYFUNCTION("""COMPUTED_VALUE"""),"")</f>
        <v/>
      </c>
      <c r="P3746" t="str">
        <f>IFERROR(__xludf.DUMMYFUNCTION("""COMPUTED_VALUE"""),"ID ")</f>
        <v>ID </v>
      </c>
    </row>
    <row r="3747">
      <c r="A3747" s="6" t="str">
        <f>IFERROR(__xludf.DUMMYFUNCTION("""COMPUTED_VALUE"""),"")</f>
        <v/>
      </c>
      <c r="C3747" t="str">
        <f>IFERROR(__xludf.DUMMYFUNCTION("""COMPUTED_VALUE"""),"")</f>
        <v/>
      </c>
      <c r="D3747" t="str">
        <f>IFERROR(__xludf.DUMMYFUNCTION("""COMPUTED_VALUE"""),"")</f>
        <v/>
      </c>
      <c r="E3747" t="str">
        <f>IFERROR(__xludf.DUMMYFUNCTION("""COMPUTED_VALUE"""),"")</f>
        <v/>
      </c>
      <c r="F3747" t="str">
        <f>IFERROR(__xludf.DUMMYFUNCTION("""COMPUTED_VALUE"""),"")</f>
        <v/>
      </c>
      <c r="G3747" t="str">
        <f>IFERROR(__xludf.DUMMYFUNCTION("""COMPUTED_VALUE"""),"")</f>
        <v/>
      </c>
      <c r="H3747" s="2" t="str">
        <f>IFERROR(__xludf.DUMMYFUNCTION("""COMPUTED_VALUE"""),"")</f>
        <v/>
      </c>
      <c r="I3747" s="2" t="str">
        <f>IFERROR(__xludf.DUMMYFUNCTION("""COMPUTED_VALUE"""),"")</f>
        <v/>
      </c>
      <c r="J3747" s="2">
        <f>IFERROR(__xludf.DUMMYFUNCTION("""COMPUTED_VALUE"""),0.0)</f>
        <v>0</v>
      </c>
      <c r="K3747" s="5" t="str">
        <f>IFERROR(__xludf.DUMMYFUNCTION("""COMPUTED_VALUE"""),"")</f>
        <v/>
      </c>
      <c r="L3747" t="str">
        <f>IFERROR(__xludf.DUMMYFUNCTION("""COMPUTED_VALUE"""),"")</f>
        <v/>
      </c>
      <c r="M3747" t="str">
        <f>IFERROR(__xludf.DUMMYFUNCTION("""COMPUTED_VALUE"""),"")</f>
        <v/>
      </c>
      <c r="N3747" t="str">
        <f>IFERROR(__xludf.DUMMYFUNCTION("""COMPUTED_VALUE"""),"")</f>
        <v/>
      </c>
      <c r="O3747" t="str">
        <f>IFERROR(__xludf.DUMMYFUNCTION("""COMPUTED_VALUE"""),"")</f>
        <v/>
      </c>
      <c r="P3747" t="str">
        <f>IFERROR(__xludf.DUMMYFUNCTION("""COMPUTED_VALUE"""),"ID ")</f>
        <v>ID </v>
      </c>
    </row>
    <row r="3748">
      <c r="A3748" s="6" t="str">
        <f>IFERROR(__xludf.DUMMYFUNCTION("""COMPUTED_VALUE"""),"")</f>
        <v/>
      </c>
      <c r="C3748" t="str">
        <f>IFERROR(__xludf.DUMMYFUNCTION("""COMPUTED_VALUE"""),"")</f>
        <v/>
      </c>
      <c r="D3748" t="str">
        <f>IFERROR(__xludf.DUMMYFUNCTION("""COMPUTED_VALUE"""),"")</f>
        <v/>
      </c>
      <c r="E3748" t="str">
        <f>IFERROR(__xludf.DUMMYFUNCTION("""COMPUTED_VALUE"""),"")</f>
        <v/>
      </c>
      <c r="F3748" t="str">
        <f>IFERROR(__xludf.DUMMYFUNCTION("""COMPUTED_VALUE"""),"")</f>
        <v/>
      </c>
      <c r="G3748" t="str">
        <f>IFERROR(__xludf.DUMMYFUNCTION("""COMPUTED_VALUE"""),"")</f>
        <v/>
      </c>
      <c r="H3748" s="2" t="str">
        <f>IFERROR(__xludf.DUMMYFUNCTION("""COMPUTED_VALUE"""),"")</f>
        <v/>
      </c>
      <c r="I3748" s="2" t="str">
        <f>IFERROR(__xludf.DUMMYFUNCTION("""COMPUTED_VALUE"""),"")</f>
        <v/>
      </c>
      <c r="J3748" s="2">
        <f>IFERROR(__xludf.DUMMYFUNCTION("""COMPUTED_VALUE"""),0.0)</f>
        <v>0</v>
      </c>
      <c r="K3748" s="5" t="str">
        <f>IFERROR(__xludf.DUMMYFUNCTION("""COMPUTED_VALUE"""),"")</f>
        <v/>
      </c>
      <c r="L3748" t="str">
        <f>IFERROR(__xludf.DUMMYFUNCTION("""COMPUTED_VALUE"""),"")</f>
        <v/>
      </c>
      <c r="M3748" t="str">
        <f>IFERROR(__xludf.DUMMYFUNCTION("""COMPUTED_VALUE"""),"")</f>
        <v/>
      </c>
      <c r="N3748" t="str">
        <f>IFERROR(__xludf.DUMMYFUNCTION("""COMPUTED_VALUE"""),"")</f>
        <v/>
      </c>
      <c r="O3748" t="str">
        <f>IFERROR(__xludf.DUMMYFUNCTION("""COMPUTED_VALUE"""),"")</f>
        <v/>
      </c>
      <c r="P3748" t="str">
        <f>IFERROR(__xludf.DUMMYFUNCTION("""COMPUTED_VALUE"""),"ID ")</f>
        <v>ID </v>
      </c>
    </row>
    <row r="3749">
      <c r="A3749" s="6" t="str">
        <f>IFERROR(__xludf.DUMMYFUNCTION("""COMPUTED_VALUE"""),"")</f>
        <v/>
      </c>
      <c r="C3749" t="str">
        <f>IFERROR(__xludf.DUMMYFUNCTION("""COMPUTED_VALUE"""),"")</f>
        <v/>
      </c>
      <c r="D3749" t="str">
        <f>IFERROR(__xludf.DUMMYFUNCTION("""COMPUTED_VALUE"""),"")</f>
        <v/>
      </c>
      <c r="E3749" t="str">
        <f>IFERROR(__xludf.DUMMYFUNCTION("""COMPUTED_VALUE"""),"")</f>
        <v/>
      </c>
      <c r="F3749" t="str">
        <f>IFERROR(__xludf.DUMMYFUNCTION("""COMPUTED_VALUE"""),"")</f>
        <v/>
      </c>
      <c r="G3749" t="str">
        <f>IFERROR(__xludf.DUMMYFUNCTION("""COMPUTED_VALUE"""),"")</f>
        <v/>
      </c>
      <c r="H3749" s="2" t="str">
        <f>IFERROR(__xludf.DUMMYFUNCTION("""COMPUTED_VALUE"""),"")</f>
        <v/>
      </c>
      <c r="I3749" s="2" t="str">
        <f>IFERROR(__xludf.DUMMYFUNCTION("""COMPUTED_VALUE"""),"")</f>
        <v/>
      </c>
      <c r="J3749" s="2">
        <f>IFERROR(__xludf.DUMMYFUNCTION("""COMPUTED_VALUE"""),0.0)</f>
        <v>0</v>
      </c>
      <c r="K3749" s="5" t="str">
        <f>IFERROR(__xludf.DUMMYFUNCTION("""COMPUTED_VALUE"""),"")</f>
        <v/>
      </c>
      <c r="L3749" t="str">
        <f>IFERROR(__xludf.DUMMYFUNCTION("""COMPUTED_VALUE"""),"")</f>
        <v/>
      </c>
      <c r="M3749" t="str">
        <f>IFERROR(__xludf.DUMMYFUNCTION("""COMPUTED_VALUE"""),"")</f>
        <v/>
      </c>
      <c r="N3749" t="str">
        <f>IFERROR(__xludf.DUMMYFUNCTION("""COMPUTED_VALUE"""),"")</f>
        <v/>
      </c>
      <c r="O3749" t="str">
        <f>IFERROR(__xludf.DUMMYFUNCTION("""COMPUTED_VALUE"""),"")</f>
        <v/>
      </c>
      <c r="P3749" t="str">
        <f>IFERROR(__xludf.DUMMYFUNCTION("""COMPUTED_VALUE"""),"ID ")</f>
        <v>ID </v>
      </c>
    </row>
    <row r="3750">
      <c r="A3750" s="6" t="str">
        <f>IFERROR(__xludf.DUMMYFUNCTION("""COMPUTED_VALUE"""),"")</f>
        <v/>
      </c>
      <c r="C3750" t="str">
        <f>IFERROR(__xludf.DUMMYFUNCTION("""COMPUTED_VALUE"""),"")</f>
        <v/>
      </c>
      <c r="D3750" t="str">
        <f>IFERROR(__xludf.DUMMYFUNCTION("""COMPUTED_VALUE"""),"")</f>
        <v/>
      </c>
      <c r="E3750" t="str">
        <f>IFERROR(__xludf.DUMMYFUNCTION("""COMPUTED_VALUE"""),"")</f>
        <v/>
      </c>
      <c r="F3750" t="str">
        <f>IFERROR(__xludf.DUMMYFUNCTION("""COMPUTED_VALUE"""),"")</f>
        <v/>
      </c>
      <c r="G3750" t="str">
        <f>IFERROR(__xludf.DUMMYFUNCTION("""COMPUTED_VALUE"""),"")</f>
        <v/>
      </c>
      <c r="H3750" s="2" t="str">
        <f>IFERROR(__xludf.DUMMYFUNCTION("""COMPUTED_VALUE"""),"")</f>
        <v/>
      </c>
      <c r="I3750" s="2" t="str">
        <f>IFERROR(__xludf.DUMMYFUNCTION("""COMPUTED_VALUE"""),"")</f>
        <v/>
      </c>
      <c r="J3750" s="2">
        <f>IFERROR(__xludf.DUMMYFUNCTION("""COMPUTED_VALUE"""),0.0)</f>
        <v>0</v>
      </c>
      <c r="K3750" s="5" t="str">
        <f>IFERROR(__xludf.DUMMYFUNCTION("""COMPUTED_VALUE"""),"")</f>
        <v/>
      </c>
      <c r="L3750" t="str">
        <f>IFERROR(__xludf.DUMMYFUNCTION("""COMPUTED_VALUE"""),"")</f>
        <v/>
      </c>
      <c r="M3750" t="str">
        <f>IFERROR(__xludf.DUMMYFUNCTION("""COMPUTED_VALUE"""),"")</f>
        <v/>
      </c>
      <c r="N3750" t="str">
        <f>IFERROR(__xludf.DUMMYFUNCTION("""COMPUTED_VALUE"""),"")</f>
        <v/>
      </c>
      <c r="O3750" t="str">
        <f>IFERROR(__xludf.DUMMYFUNCTION("""COMPUTED_VALUE"""),"")</f>
        <v/>
      </c>
      <c r="P3750" t="str">
        <f>IFERROR(__xludf.DUMMYFUNCTION("""COMPUTED_VALUE"""),"ID ")</f>
        <v>ID </v>
      </c>
    </row>
    <row r="3751">
      <c r="A3751" s="6" t="str">
        <f>IFERROR(__xludf.DUMMYFUNCTION("""COMPUTED_VALUE"""),"")</f>
        <v/>
      </c>
      <c r="C3751" t="str">
        <f>IFERROR(__xludf.DUMMYFUNCTION("""COMPUTED_VALUE"""),"")</f>
        <v/>
      </c>
      <c r="D3751" t="str">
        <f>IFERROR(__xludf.DUMMYFUNCTION("""COMPUTED_VALUE"""),"")</f>
        <v/>
      </c>
      <c r="E3751" t="str">
        <f>IFERROR(__xludf.DUMMYFUNCTION("""COMPUTED_VALUE"""),"")</f>
        <v/>
      </c>
      <c r="F3751" t="str">
        <f>IFERROR(__xludf.DUMMYFUNCTION("""COMPUTED_VALUE"""),"")</f>
        <v/>
      </c>
      <c r="G3751" t="str">
        <f>IFERROR(__xludf.DUMMYFUNCTION("""COMPUTED_VALUE"""),"")</f>
        <v/>
      </c>
      <c r="H3751" s="2" t="str">
        <f>IFERROR(__xludf.DUMMYFUNCTION("""COMPUTED_VALUE"""),"")</f>
        <v/>
      </c>
      <c r="I3751" s="2" t="str">
        <f>IFERROR(__xludf.DUMMYFUNCTION("""COMPUTED_VALUE"""),"")</f>
        <v/>
      </c>
      <c r="J3751" s="2">
        <f>IFERROR(__xludf.DUMMYFUNCTION("""COMPUTED_VALUE"""),0.0)</f>
        <v>0</v>
      </c>
      <c r="K3751" s="5" t="str">
        <f>IFERROR(__xludf.DUMMYFUNCTION("""COMPUTED_VALUE"""),"")</f>
        <v/>
      </c>
      <c r="L3751" t="str">
        <f>IFERROR(__xludf.DUMMYFUNCTION("""COMPUTED_VALUE"""),"")</f>
        <v/>
      </c>
      <c r="M3751" t="str">
        <f>IFERROR(__xludf.DUMMYFUNCTION("""COMPUTED_VALUE"""),"")</f>
        <v/>
      </c>
      <c r="N3751" t="str">
        <f>IFERROR(__xludf.DUMMYFUNCTION("""COMPUTED_VALUE"""),"")</f>
        <v/>
      </c>
      <c r="O3751" t="str">
        <f>IFERROR(__xludf.DUMMYFUNCTION("""COMPUTED_VALUE"""),"")</f>
        <v/>
      </c>
      <c r="P3751" t="str">
        <f>IFERROR(__xludf.DUMMYFUNCTION("""COMPUTED_VALUE"""),"ID ")</f>
        <v>ID </v>
      </c>
    </row>
    <row r="3752">
      <c r="A3752" s="6" t="str">
        <f>IFERROR(__xludf.DUMMYFUNCTION("""COMPUTED_VALUE"""),"")</f>
        <v/>
      </c>
      <c r="C3752" t="str">
        <f>IFERROR(__xludf.DUMMYFUNCTION("""COMPUTED_VALUE"""),"")</f>
        <v/>
      </c>
      <c r="D3752" t="str">
        <f>IFERROR(__xludf.DUMMYFUNCTION("""COMPUTED_VALUE"""),"")</f>
        <v/>
      </c>
      <c r="E3752" t="str">
        <f>IFERROR(__xludf.DUMMYFUNCTION("""COMPUTED_VALUE"""),"")</f>
        <v/>
      </c>
      <c r="F3752" t="str">
        <f>IFERROR(__xludf.DUMMYFUNCTION("""COMPUTED_VALUE"""),"")</f>
        <v/>
      </c>
      <c r="G3752" t="str">
        <f>IFERROR(__xludf.DUMMYFUNCTION("""COMPUTED_VALUE"""),"")</f>
        <v/>
      </c>
      <c r="H3752" s="2" t="str">
        <f>IFERROR(__xludf.DUMMYFUNCTION("""COMPUTED_VALUE"""),"")</f>
        <v/>
      </c>
      <c r="I3752" s="2" t="str">
        <f>IFERROR(__xludf.DUMMYFUNCTION("""COMPUTED_VALUE"""),"")</f>
        <v/>
      </c>
      <c r="J3752" s="2">
        <f>IFERROR(__xludf.DUMMYFUNCTION("""COMPUTED_VALUE"""),0.0)</f>
        <v>0</v>
      </c>
      <c r="K3752" s="5" t="str">
        <f>IFERROR(__xludf.DUMMYFUNCTION("""COMPUTED_VALUE"""),"")</f>
        <v/>
      </c>
      <c r="L3752" t="str">
        <f>IFERROR(__xludf.DUMMYFUNCTION("""COMPUTED_VALUE"""),"")</f>
        <v/>
      </c>
      <c r="M3752" t="str">
        <f>IFERROR(__xludf.DUMMYFUNCTION("""COMPUTED_VALUE"""),"")</f>
        <v/>
      </c>
      <c r="N3752" t="str">
        <f>IFERROR(__xludf.DUMMYFUNCTION("""COMPUTED_VALUE"""),"")</f>
        <v/>
      </c>
      <c r="O3752" t="str">
        <f>IFERROR(__xludf.DUMMYFUNCTION("""COMPUTED_VALUE"""),"")</f>
        <v/>
      </c>
      <c r="P3752" t="str">
        <f>IFERROR(__xludf.DUMMYFUNCTION("""COMPUTED_VALUE"""),"ID ")</f>
        <v>ID </v>
      </c>
    </row>
    <row r="3753">
      <c r="A3753" s="6" t="str">
        <f>IFERROR(__xludf.DUMMYFUNCTION("""COMPUTED_VALUE"""),"")</f>
        <v/>
      </c>
      <c r="C3753" t="str">
        <f>IFERROR(__xludf.DUMMYFUNCTION("""COMPUTED_VALUE"""),"")</f>
        <v/>
      </c>
      <c r="D3753" t="str">
        <f>IFERROR(__xludf.DUMMYFUNCTION("""COMPUTED_VALUE"""),"")</f>
        <v/>
      </c>
      <c r="E3753" t="str">
        <f>IFERROR(__xludf.DUMMYFUNCTION("""COMPUTED_VALUE"""),"")</f>
        <v/>
      </c>
      <c r="F3753" t="str">
        <f>IFERROR(__xludf.DUMMYFUNCTION("""COMPUTED_VALUE"""),"")</f>
        <v/>
      </c>
      <c r="G3753" t="str">
        <f>IFERROR(__xludf.DUMMYFUNCTION("""COMPUTED_VALUE"""),"")</f>
        <v/>
      </c>
      <c r="H3753" s="2" t="str">
        <f>IFERROR(__xludf.DUMMYFUNCTION("""COMPUTED_VALUE"""),"")</f>
        <v/>
      </c>
      <c r="I3753" s="2" t="str">
        <f>IFERROR(__xludf.DUMMYFUNCTION("""COMPUTED_VALUE"""),"")</f>
        <v/>
      </c>
      <c r="J3753" s="2">
        <f>IFERROR(__xludf.DUMMYFUNCTION("""COMPUTED_VALUE"""),0.0)</f>
        <v>0</v>
      </c>
      <c r="K3753" s="5" t="str">
        <f>IFERROR(__xludf.DUMMYFUNCTION("""COMPUTED_VALUE"""),"")</f>
        <v/>
      </c>
      <c r="L3753" t="str">
        <f>IFERROR(__xludf.DUMMYFUNCTION("""COMPUTED_VALUE"""),"")</f>
        <v/>
      </c>
      <c r="M3753" t="str">
        <f>IFERROR(__xludf.DUMMYFUNCTION("""COMPUTED_VALUE"""),"")</f>
        <v/>
      </c>
      <c r="N3753" t="str">
        <f>IFERROR(__xludf.DUMMYFUNCTION("""COMPUTED_VALUE"""),"")</f>
        <v/>
      </c>
      <c r="O3753" t="str">
        <f>IFERROR(__xludf.DUMMYFUNCTION("""COMPUTED_VALUE"""),"")</f>
        <v/>
      </c>
      <c r="P3753" t="str">
        <f>IFERROR(__xludf.DUMMYFUNCTION("""COMPUTED_VALUE"""),"ID ")</f>
        <v>ID </v>
      </c>
    </row>
    <row r="3754">
      <c r="A3754" s="6" t="str">
        <f>IFERROR(__xludf.DUMMYFUNCTION("""COMPUTED_VALUE"""),"")</f>
        <v/>
      </c>
      <c r="C3754" t="str">
        <f>IFERROR(__xludf.DUMMYFUNCTION("""COMPUTED_VALUE"""),"")</f>
        <v/>
      </c>
      <c r="D3754" t="str">
        <f>IFERROR(__xludf.DUMMYFUNCTION("""COMPUTED_VALUE"""),"")</f>
        <v/>
      </c>
      <c r="E3754" t="str">
        <f>IFERROR(__xludf.DUMMYFUNCTION("""COMPUTED_VALUE"""),"")</f>
        <v/>
      </c>
      <c r="F3754" t="str">
        <f>IFERROR(__xludf.DUMMYFUNCTION("""COMPUTED_VALUE"""),"")</f>
        <v/>
      </c>
      <c r="G3754" t="str">
        <f>IFERROR(__xludf.DUMMYFUNCTION("""COMPUTED_VALUE"""),"")</f>
        <v/>
      </c>
      <c r="H3754" s="2" t="str">
        <f>IFERROR(__xludf.DUMMYFUNCTION("""COMPUTED_VALUE"""),"")</f>
        <v/>
      </c>
      <c r="I3754" s="2" t="str">
        <f>IFERROR(__xludf.DUMMYFUNCTION("""COMPUTED_VALUE"""),"")</f>
        <v/>
      </c>
      <c r="J3754" s="2">
        <f>IFERROR(__xludf.DUMMYFUNCTION("""COMPUTED_VALUE"""),0.0)</f>
        <v>0</v>
      </c>
      <c r="K3754" s="5" t="str">
        <f>IFERROR(__xludf.DUMMYFUNCTION("""COMPUTED_VALUE"""),"")</f>
        <v/>
      </c>
      <c r="L3754" t="str">
        <f>IFERROR(__xludf.DUMMYFUNCTION("""COMPUTED_VALUE"""),"")</f>
        <v/>
      </c>
      <c r="M3754" t="str">
        <f>IFERROR(__xludf.DUMMYFUNCTION("""COMPUTED_VALUE"""),"")</f>
        <v/>
      </c>
      <c r="N3754" t="str">
        <f>IFERROR(__xludf.DUMMYFUNCTION("""COMPUTED_VALUE"""),"")</f>
        <v/>
      </c>
      <c r="O3754" t="str">
        <f>IFERROR(__xludf.DUMMYFUNCTION("""COMPUTED_VALUE"""),"")</f>
        <v/>
      </c>
      <c r="P3754" t="str">
        <f>IFERROR(__xludf.DUMMYFUNCTION("""COMPUTED_VALUE"""),"ID ")</f>
        <v>ID </v>
      </c>
    </row>
    <row r="3755">
      <c r="A3755" s="6" t="str">
        <f>IFERROR(__xludf.DUMMYFUNCTION("""COMPUTED_VALUE"""),"")</f>
        <v/>
      </c>
      <c r="C3755" t="str">
        <f>IFERROR(__xludf.DUMMYFUNCTION("""COMPUTED_VALUE"""),"")</f>
        <v/>
      </c>
      <c r="D3755" t="str">
        <f>IFERROR(__xludf.DUMMYFUNCTION("""COMPUTED_VALUE"""),"")</f>
        <v/>
      </c>
      <c r="E3755" t="str">
        <f>IFERROR(__xludf.DUMMYFUNCTION("""COMPUTED_VALUE"""),"")</f>
        <v/>
      </c>
      <c r="F3755" t="str">
        <f>IFERROR(__xludf.DUMMYFUNCTION("""COMPUTED_VALUE"""),"")</f>
        <v/>
      </c>
      <c r="G3755" t="str">
        <f>IFERROR(__xludf.DUMMYFUNCTION("""COMPUTED_VALUE"""),"")</f>
        <v/>
      </c>
      <c r="H3755" s="2" t="str">
        <f>IFERROR(__xludf.DUMMYFUNCTION("""COMPUTED_VALUE"""),"")</f>
        <v/>
      </c>
      <c r="I3755" s="2" t="str">
        <f>IFERROR(__xludf.DUMMYFUNCTION("""COMPUTED_VALUE"""),"")</f>
        <v/>
      </c>
      <c r="J3755" s="2">
        <f>IFERROR(__xludf.DUMMYFUNCTION("""COMPUTED_VALUE"""),0.0)</f>
        <v>0</v>
      </c>
      <c r="K3755" s="5" t="str">
        <f>IFERROR(__xludf.DUMMYFUNCTION("""COMPUTED_VALUE"""),"")</f>
        <v/>
      </c>
      <c r="L3755" t="str">
        <f>IFERROR(__xludf.DUMMYFUNCTION("""COMPUTED_VALUE"""),"")</f>
        <v/>
      </c>
      <c r="M3755" t="str">
        <f>IFERROR(__xludf.DUMMYFUNCTION("""COMPUTED_VALUE"""),"")</f>
        <v/>
      </c>
      <c r="N3755" t="str">
        <f>IFERROR(__xludf.DUMMYFUNCTION("""COMPUTED_VALUE"""),"")</f>
        <v/>
      </c>
      <c r="O3755" t="str">
        <f>IFERROR(__xludf.DUMMYFUNCTION("""COMPUTED_VALUE"""),"")</f>
        <v/>
      </c>
      <c r="P3755" t="str">
        <f>IFERROR(__xludf.DUMMYFUNCTION("""COMPUTED_VALUE"""),"ID ")</f>
        <v>ID </v>
      </c>
    </row>
    <row r="3756">
      <c r="A3756" s="6" t="str">
        <f>IFERROR(__xludf.DUMMYFUNCTION("""COMPUTED_VALUE"""),"")</f>
        <v/>
      </c>
      <c r="C3756" t="str">
        <f>IFERROR(__xludf.DUMMYFUNCTION("""COMPUTED_VALUE"""),"")</f>
        <v/>
      </c>
      <c r="D3756" t="str">
        <f>IFERROR(__xludf.DUMMYFUNCTION("""COMPUTED_VALUE"""),"")</f>
        <v/>
      </c>
      <c r="E3756" t="str">
        <f>IFERROR(__xludf.DUMMYFUNCTION("""COMPUTED_VALUE"""),"")</f>
        <v/>
      </c>
      <c r="F3756" t="str">
        <f>IFERROR(__xludf.DUMMYFUNCTION("""COMPUTED_VALUE"""),"")</f>
        <v/>
      </c>
      <c r="G3756" t="str">
        <f>IFERROR(__xludf.DUMMYFUNCTION("""COMPUTED_VALUE"""),"")</f>
        <v/>
      </c>
      <c r="H3756" s="2" t="str">
        <f>IFERROR(__xludf.DUMMYFUNCTION("""COMPUTED_VALUE"""),"")</f>
        <v/>
      </c>
      <c r="I3756" s="2" t="str">
        <f>IFERROR(__xludf.DUMMYFUNCTION("""COMPUTED_VALUE"""),"")</f>
        <v/>
      </c>
      <c r="J3756" s="2">
        <f>IFERROR(__xludf.DUMMYFUNCTION("""COMPUTED_VALUE"""),0.0)</f>
        <v>0</v>
      </c>
      <c r="K3756" s="5" t="str">
        <f>IFERROR(__xludf.DUMMYFUNCTION("""COMPUTED_VALUE"""),"")</f>
        <v/>
      </c>
      <c r="L3756" t="str">
        <f>IFERROR(__xludf.DUMMYFUNCTION("""COMPUTED_VALUE"""),"")</f>
        <v/>
      </c>
      <c r="M3756" t="str">
        <f>IFERROR(__xludf.DUMMYFUNCTION("""COMPUTED_VALUE"""),"")</f>
        <v/>
      </c>
      <c r="N3756" t="str">
        <f>IFERROR(__xludf.DUMMYFUNCTION("""COMPUTED_VALUE"""),"")</f>
        <v/>
      </c>
      <c r="O3756" t="str">
        <f>IFERROR(__xludf.DUMMYFUNCTION("""COMPUTED_VALUE"""),"")</f>
        <v/>
      </c>
      <c r="P3756" t="str">
        <f>IFERROR(__xludf.DUMMYFUNCTION("""COMPUTED_VALUE"""),"ID ")</f>
        <v>ID </v>
      </c>
    </row>
    <row r="3757">
      <c r="A3757" s="6" t="str">
        <f>IFERROR(__xludf.DUMMYFUNCTION("""COMPUTED_VALUE"""),"")</f>
        <v/>
      </c>
      <c r="C3757" t="str">
        <f>IFERROR(__xludf.DUMMYFUNCTION("""COMPUTED_VALUE"""),"")</f>
        <v/>
      </c>
      <c r="D3757" t="str">
        <f>IFERROR(__xludf.DUMMYFUNCTION("""COMPUTED_VALUE"""),"")</f>
        <v/>
      </c>
      <c r="E3757" t="str">
        <f>IFERROR(__xludf.DUMMYFUNCTION("""COMPUTED_VALUE"""),"")</f>
        <v/>
      </c>
      <c r="F3757" t="str">
        <f>IFERROR(__xludf.DUMMYFUNCTION("""COMPUTED_VALUE"""),"")</f>
        <v/>
      </c>
      <c r="G3757" t="str">
        <f>IFERROR(__xludf.DUMMYFUNCTION("""COMPUTED_VALUE"""),"")</f>
        <v/>
      </c>
      <c r="H3757" s="2" t="str">
        <f>IFERROR(__xludf.DUMMYFUNCTION("""COMPUTED_VALUE"""),"")</f>
        <v/>
      </c>
      <c r="I3757" s="2" t="str">
        <f>IFERROR(__xludf.DUMMYFUNCTION("""COMPUTED_VALUE"""),"")</f>
        <v/>
      </c>
      <c r="J3757" s="2">
        <f>IFERROR(__xludf.DUMMYFUNCTION("""COMPUTED_VALUE"""),0.0)</f>
        <v>0</v>
      </c>
      <c r="K3757" s="5" t="str">
        <f>IFERROR(__xludf.DUMMYFUNCTION("""COMPUTED_VALUE"""),"")</f>
        <v/>
      </c>
      <c r="L3757" t="str">
        <f>IFERROR(__xludf.DUMMYFUNCTION("""COMPUTED_VALUE"""),"")</f>
        <v/>
      </c>
      <c r="M3757" t="str">
        <f>IFERROR(__xludf.DUMMYFUNCTION("""COMPUTED_VALUE"""),"")</f>
        <v/>
      </c>
      <c r="N3757" t="str">
        <f>IFERROR(__xludf.DUMMYFUNCTION("""COMPUTED_VALUE"""),"")</f>
        <v/>
      </c>
      <c r="O3757" t="str">
        <f>IFERROR(__xludf.DUMMYFUNCTION("""COMPUTED_VALUE"""),"")</f>
        <v/>
      </c>
      <c r="P3757" t="str">
        <f>IFERROR(__xludf.DUMMYFUNCTION("""COMPUTED_VALUE"""),"ID ")</f>
        <v>ID </v>
      </c>
    </row>
    <row r="3758">
      <c r="A3758" s="6" t="str">
        <f>IFERROR(__xludf.DUMMYFUNCTION("""COMPUTED_VALUE"""),"")</f>
        <v/>
      </c>
      <c r="C3758" t="str">
        <f>IFERROR(__xludf.DUMMYFUNCTION("""COMPUTED_VALUE"""),"")</f>
        <v/>
      </c>
      <c r="D3758" t="str">
        <f>IFERROR(__xludf.DUMMYFUNCTION("""COMPUTED_VALUE"""),"")</f>
        <v/>
      </c>
      <c r="E3758" t="str">
        <f>IFERROR(__xludf.DUMMYFUNCTION("""COMPUTED_VALUE"""),"")</f>
        <v/>
      </c>
      <c r="F3758" t="str">
        <f>IFERROR(__xludf.DUMMYFUNCTION("""COMPUTED_VALUE"""),"")</f>
        <v/>
      </c>
      <c r="G3758" t="str">
        <f>IFERROR(__xludf.DUMMYFUNCTION("""COMPUTED_VALUE"""),"")</f>
        <v/>
      </c>
      <c r="H3758" s="2" t="str">
        <f>IFERROR(__xludf.DUMMYFUNCTION("""COMPUTED_VALUE"""),"")</f>
        <v/>
      </c>
      <c r="I3758" s="2" t="str">
        <f>IFERROR(__xludf.DUMMYFUNCTION("""COMPUTED_VALUE"""),"")</f>
        <v/>
      </c>
      <c r="J3758" s="2">
        <f>IFERROR(__xludf.DUMMYFUNCTION("""COMPUTED_VALUE"""),0.0)</f>
        <v>0</v>
      </c>
      <c r="K3758" s="5" t="str">
        <f>IFERROR(__xludf.DUMMYFUNCTION("""COMPUTED_VALUE"""),"")</f>
        <v/>
      </c>
      <c r="L3758" t="str">
        <f>IFERROR(__xludf.DUMMYFUNCTION("""COMPUTED_VALUE"""),"")</f>
        <v/>
      </c>
      <c r="M3758" t="str">
        <f>IFERROR(__xludf.DUMMYFUNCTION("""COMPUTED_VALUE"""),"")</f>
        <v/>
      </c>
      <c r="N3758" t="str">
        <f>IFERROR(__xludf.DUMMYFUNCTION("""COMPUTED_VALUE"""),"")</f>
        <v/>
      </c>
      <c r="O3758" t="str">
        <f>IFERROR(__xludf.DUMMYFUNCTION("""COMPUTED_VALUE"""),"")</f>
        <v/>
      </c>
      <c r="P3758" t="str">
        <f>IFERROR(__xludf.DUMMYFUNCTION("""COMPUTED_VALUE"""),"ID ")</f>
        <v>ID </v>
      </c>
    </row>
    <row r="3759">
      <c r="A3759" s="6" t="str">
        <f>IFERROR(__xludf.DUMMYFUNCTION("""COMPUTED_VALUE"""),"")</f>
        <v/>
      </c>
      <c r="C3759" t="str">
        <f>IFERROR(__xludf.DUMMYFUNCTION("""COMPUTED_VALUE"""),"")</f>
        <v/>
      </c>
      <c r="D3759" t="str">
        <f>IFERROR(__xludf.DUMMYFUNCTION("""COMPUTED_VALUE"""),"")</f>
        <v/>
      </c>
      <c r="E3759" t="str">
        <f>IFERROR(__xludf.DUMMYFUNCTION("""COMPUTED_VALUE"""),"")</f>
        <v/>
      </c>
      <c r="F3759" t="str">
        <f>IFERROR(__xludf.DUMMYFUNCTION("""COMPUTED_VALUE"""),"")</f>
        <v/>
      </c>
      <c r="G3759" t="str">
        <f>IFERROR(__xludf.DUMMYFUNCTION("""COMPUTED_VALUE"""),"")</f>
        <v/>
      </c>
      <c r="H3759" s="2" t="str">
        <f>IFERROR(__xludf.DUMMYFUNCTION("""COMPUTED_VALUE"""),"")</f>
        <v/>
      </c>
      <c r="I3759" s="2" t="str">
        <f>IFERROR(__xludf.DUMMYFUNCTION("""COMPUTED_VALUE"""),"")</f>
        <v/>
      </c>
      <c r="J3759" s="2">
        <f>IFERROR(__xludf.DUMMYFUNCTION("""COMPUTED_VALUE"""),0.0)</f>
        <v>0</v>
      </c>
      <c r="K3759" s="5" t="str">
        <f>IFERROR(__xludf.DUMMYFUNCTION("""COMPUTED_VALUE"""),"")</f>
        <v/>
      </c>
      <c r="L3759" t="str">
        <f>IFERROR(__xludf.DUMMYFUNCTION("""COMPUTED_VALUE"""),"")</f>
        <v/>
      </c>
      <c r="M3759" t="str">
        <f>IFERROR(__xludf.DUMMYFUNCTION("""COMPUTED_VALUE"""),"")</f>
        <v/>
      </c>
      <c r="N3759" t="str">
        <f>IFERROR(__xludf.DUMMYFUNCTION("""COMPUTED_VALUE"""),"")</f>
        <v/>
      </c>
      <c r="O3759" t="str">
        <f>IFERROR(__xludf.DUMMYFUNCTION("""COMPUTED_VALUE"""),"")</f>
        <v/>
      </c>
      <c r="P3759" t="str">
        <f>IFERROR(__xludf.DUMMYFUNCTION("""COMPUTED_VALUE"""),"ID ")</f>
        <v>ID </v>
      </c>
    </row>
    <row r="3760">
      <c r="A3760" s="6" t="str">
        <f>IFERROR(__xludf.DUMMYFUNCTION("""COMPUTED_VALUE"""),"")</f>
        <v/>
      </c>
      <c r="C3760" t="str">
        <f>IFERROR(__xludf.DUMMYFUNCTION("""COMPUTED_VALUE"""),"")</f>
        <v/>
      </c>
      <c r="D3760" t="str">
        <f>IFERROR(__xludf.DUMMYFUNCTION("""COMPUTED_VALUE"""),"")</f>
        <v/>
      </c>
      <c r="E3760" t="str">
        <f>IFERROR(__xludf.DUMMYFUNCTION("""COMPUTED_VALUE"""),"")</f>
        <v/>
      </c>
      <c r="F3760" t="str">
        <f>IFERROR(__xludf.DUMMYFUNCTION("""COMPUTED_VALUE"""),"")</f>
        <v/>
      </c>
      <c r="G3760" t="str">
        <f>IFERROR(__xludf.DUMMYFUNCTION("""COMPUTED_VALUE"""),"")</f>
        <v/>
      </c>
      <c r="H3760" s="2" t="str">
        <f>IFERROR(__xludf.DUMMYFUNCTION("""COMPUTED_VALUE"""),"")</f>
        <v/>
      </c>
      <c r="I3760" s="2" t="str">
        <f>IFERROR(__xludf.DUMMYFUNCTION("""COMPUTED_VALUE"""),"")</f>
        <v/>
      </c>
      <c r="J3760" s="2">
        <f>IFERROR(__xludf.DUMMYFUNCTION("""COMPUTED_VALUE"""),0.0)</f>
        <v>0</v>
      </c>
      <c r="K3760" s="5" t="str">
        <f>IFERROR(__xludf.DUMMYFUNCTION("""COMPUTED_VALUE"""),"")</f>
        <v/>
      </c>
      <c r="L3760" t="str">
        <f>IFERROR(__xludf.DUMMYFUNCTION("""COMPUTED_VALUE"""),"")</f>
        <v/>
      </c>
      <c r="M3760" t="str">
        <f>IFERROR(__xludf.DUMMYFUNCTION("""COMPUTED_VALUE"""),"")</f>
        <v/>
      </c>
      <c r="N3760" t="str">
        <f>IFERROR(__xludf.DUMMYFUNCTION("""COMPUTED_VALUE"""),"")</f>
        <v/>
      </c>
      <c r="O3760" t="str">
        <f>IFERROR(__xludf.DUMMYFUNCTION("""COMPUTED_VALUE"""),"")</f>
        <v/>
      </c>
      <c r="P3760" t="str">
        <f>IFERROR(__xludf.DUMMYFUNCTION("""COMPUTED_VALUE"""),"ID ")</f>
        <v>ID </v>
      </c>
    </row>
    <row r="3761">
      <c r="A3761" s="6" t="str">
        <f>IFERROR(__xludf.DUMMYFUNCTION("""COMPUTED_VALUE"""),"")</f>
        <v/>
      </c>
      <c r="C3761" t="str">
        <f>IFERROR(__xludf.DUMMYFUNCTION("""COMPUTED_VALUE"""),"")</f>
        <v/>
      </c>
      <c r="D3761" t="str">
        <f>IFERROR(__xludf.DUMMYFUNCTION("""COMPUTED_VALUE"""),"")</f>
        <v/>
      </c>
      <c r="E3761" t="str">
        <f>IFERROR(__xludf.DUMMYFUNCTION("""COMPUTED_VALUE"""),"")</f>
        <v/>
      </c>
      <c r="F3761" t="str">
        <f>IFERROR(__xludf.DUMMYFUNCTION("""COMPUTED_VALUE"""),"")</f>
        <v/>
      </c>
      <c r="G3761" t="str">
        <f>IFERROR(__xludf.DUMMYFUNCTION("""COMPUTED_VALUE"""),"")</f>
        <v/>
      </c>
      <c r="H3761" s="2" t="str">
        <f>IFERROR(__xludf.DUMMYFUNCTION("""COMPUTED_VALUE"""),"")</f>
        <v/>
      </c>
      <c r="I3761" s="2" t="str">
        <f>IFERROR(__xludf.DUMMYFUNCTION("""COMPUTED_VALUE"""),"")</f>
        <v/>
      </c>
      <c r="J3761" s="2">
        <f>IFERROR(__xludf.DUMMYFUNCTION("""COMPUTED_VALUE"""),0.0)</f>
        <v>0</v>
      </c>
      <c r="K3761" s="5" t="str">
        <f>IFERROR(__xludf.DUMMYFUNCTION("""COMPUTED_VALUE"""),"")</f>
        <v/>
      </c>
      <c r="L3761" t="str">
        <f>IFERROR(__xludf.DUMMYFUNCTION("""COMPUTED_VALUE"""),"")</f>
        <v/>
      </c>
      <c r="M3761" t="str">
        <f>IFERROR(__xludf.DUMMYFUNCTION("""COMPUTED_VALUE"""),"")</f>
        <v/>
      </c>
      <c r="N3761" t="str">
        <f>IFERROR(__xludf.DUMMYFUNCTION("""COMPUTED_VALUE"""),"")</f>
        <v/>
      </c>
      <c r="O3761" t="str">
        <f>IFERROR(__xludf.DUMMYFUNCTION("""COMPUTED_VALUE"""),"")</f>
        <v/>
      </c>
      <c r="P3761" t="str">
        <f>IFERROR(__xludf.DUMMYFUNCTION("""COMPUTED_VALUE"""),"ID ")</f>
        <v>ID </v>
      </c>
    </row>
    <row r="3762">
      <c r="A3762" s="6" t="str">
        <f>IFERROR(__xludf.DUMMYFUNCTION("""COMPUTED_VALUE"""),"")</f>
        <v/>
      </c>
      <c r="C3762" t="str">
        <f>IFERROR(__xludf.DUMMYFUNCTION("""COMPUTED_VALUE"""),"")</f>
        <v/>
      </c>
      <c r="D3762" t="str">
        <f>IFERROR(__xludf.DUMMYFUNCTION("""COMPUTED_VALUE"""),"")</f>
        <v/>
      </c>
      <c r="E3762" t="str">
        <f>IFERROR(__xludf.DUMMYFUNCTION("""COMPUTED_VALUE"""),"")</f>
        <v/>
      </c>
      <c r="F3762" t="str">
        <f>IFERROR(__xludf.DUMMYFUNCTION("""COMPUTED_VALUE"""),"")</f>
        <v/>
      </c>
      <c r="G3762" t="str">
        <f>IFERROR(__xludf.DUMMYFUNCTION("""COMPUTED_VALUE"""),"")</f>
        <v/>
      </c>
      <c r="H3762" s="2" t="str">
        <f>IFERROR(__xludf.DUMMYFUNCTION("""COMPUTED_VALUE"""),"")</f>
        <v/>
      </c>
      <c r="I3762" s="2" t="str">
        <f>IFERROR(__xludf.DUMMYFUNCTION("""COMPUTED_VALUE"""),"")</f>
        <v/>
      </c>
      <c r="J3762" s="2">
        <f>IFERROR(__xludf.DUMMYFUNCTION("""COMPUTED_VALUE"""),0.0)</f>
        <v>0</v>
      </c>
      <c r="K3762" s="5" t="str">
        <f>IFERROR(__xludf.DUMMYFUNCTION("""COMPUTED_VALUE"""),"")</f>
        <v/>
      </c>
      <c r="L3762" t="str">
        <f>IFERROR(__xludf.DUMMYFUNCTION("""COMPUTED_VALUE"""),"")</f>
        <v/>
      </c>
      <c r="M3762" t="str">
        <f>IFERROR(__xludf.DUMMYFUNCTION("""COMPUTED_VALUE"""),"")</f>
        <v/>
      </c>
      <c r="N3762" t="str">
        <f>IFERROR(__xludf.DUMMYFUNCTION("""COMPUTED_VALUE"""),"")</f>
        <v/>
      </c>
      <c r="O3762" t="str">
        <f>IFERROR(__xludf.DUMMYFUNCTION("""COMPUTED_VALUE"""),"")</f>
        <v/>
      </c>
      <c r="P3762" t="str">
        <f>IFERROR(__xludf.DUMMYFUNCTION("""COMPUTED_VALUE"""),"ID ")</f>
        <v>ID </v>
      </c>
    </row>
    <row r="3763">
      <c r="A3763" s="6" t="str">
        <f>IFERROR(__xludf.DUMMYFUNCTION("""COMPUTED_VALUE"""),"")</f>
        <v/>
      </c>
      <c r="C3763" t="str">
        <f>IFERROR(__xludf.DUMMYFUNCTION("""COMPUTED_VALUE"""),"")</f>
        <v/>
      </c>
      <c r="D3763" t="str">
        <f>IFERROR(__xludf.DUMMYFUNCTION("""COMPUTED_VALUE"""),"")</f>
        <v/>
      </c>
      <c r="E3763" t="str">
        <f>IFERROR(__xludf.DUMMYFUNCTION("""COMPUTED_VALUE"""),"")</f>
        <v/>
      </c>
      <c r="F3763" t="str">
        <f>IFERROR(__xludf.DUMMYFUNCTION("""COMPUTED_VALUE"""),"")</f>
        <v/>
      </c>
      <c r="G3763" t="str">
        <f>IFERROR(__xludf.DUMMYFUNCTION("""COMPUTED_VALUE"""),"")</f>
        <v/>
      </c>
      <c r="H3763" s="2" t="str">
        <f>IFERROR(__xludf.DUMMYFUNCTION("""COMPUTED_VALUE"""),"")</f>
        <v/>
      </c>
      <c r="I3763" s="2" t="str">
        <f>IFERROR(__xludf.DUMMYFUNCTION("""COMPUTED_VALUE"""),"")</f>
        <v/>
      </c>
      <c r="J3763" s="2">
        <f>IFERROR(__xludf.DUMMYFUNCTION("""COMPUTED_VALUE"""),0.0)</f>
        <v>0</v>
      </c>
      <c r="K3763" s="5" t="str">
        <f>IFERROR(__xludf.DUMMYFUNCTION("""COMPUTED_VALUE"""),"")</f>
        <v/>
      </c>
      <c r="L3763" t="str">
        <f>IFERROR(__xludf.DUMMYFUNCTION("""COMPUTED_VALUE"""),"")</f>
        <v/>
      </c>
      <c r="M3763" t="str">
        <f>IFERROR(__xludf.DUMMYFUNCTION("""COMPUTED_VALUE"""),"")</f>
        <v/>
      </c>
      <c r="N3763" t="str">
        <f>IFERROR(__xludf.DUMMYFUNCTION("""COMPUTED_VALUE"""),"")</f>
        <v/>
      </c>
      <c r="O3763" t="str">
        <f>IFERROR(__xludf.DUMMYFUNCTION("""COMPUTED_VALUE"""),"")</f>
        <v/>
      </c>
      <c r="P3763" t="str">
        <f>IFERROR(__xludf.DUMMYFUNCTION("""COMPUTED_VALUE"""),"ID ")</f>
        <v>ID </v>
      </c>
    </row>
    <row r="3764">
      <c r="A3764" s="6" t="str">
        <f>IFERROR(__xludf.DUMMYFUNCTION("""COMPUTED_VALUE"""),"")</f>
        <v/>
      </c>
      <c r="C3764" t="str">
        <f>IFERROR(__xludf.DUMMYFUNCTION("""COMPUTED_VALUE"""),"")</f>
        <v/>
      </c>
      <c r="D3764" t="str">
        <f>IFERROR(__xludf.DUMMYFUNCTION("""COMPUTED_VALUE"""),"")</f>
        <v/>
      </c>
      <c r="E3764" t="str">
        <f>IFERROR(__xludf.DUMMYFUNCTION("""COMPUTED_VALUE"""),"")</f>
        <v/>
      </c>
      <c r="F3764" t="str">
        <f>IFERROR(__xludf.DUMMYFUNCTION("""COMPUTED_VALUE"""),"")</f>
        <v/>
      </c>
      <c r="G3764" t="str">
        <f>IFERROR(__xludf.DUMMYFUNCTION("""COMPUTED_VALUE"""),"")</f>
        <v/>
      </c>
      <c r="H3764" s="2" t="str">
        <f>IFERROR(__xludf.DUMMYFUNCTION("""COMPUTED_VALUE"""),"")</f>
        <v/>
      </c>
      <c r="I3764" s="2" t="str">
        <f>IFERROR(__xludf.DUMMYFUNCTION("""COMPUTED_VALUE"""),"")</f>
        <v/>
      </c>
      <c r="J3764" s="2">
        <f>IFERROR(__xludf.DUMMYFUNCTION("""COMPUTED_VALUE"""),0.0)</f>
        <v>0</v>
      </c>
      <c r="K3764" s="5" t="str">
        <f>IFERROR(__xludf.DUMMYFUNCTION("""COMPUTED_VALUE"""),"")</f>
        <v/>
      </c>
      <c r="L3764" t="str">
        <f>IFERROR(__xludf.DUMMYFUNCTION("""COMPUTED_VALUE"""),"")</f>
        <v/>
      </c>
      <c r="M3764" t="str">
        <f>IFERROR(__xludf.DUMMYFUNCTION("""COMPUTED_VALUE"""),"")</f>
        <v/>
      </c>
      <c r="N3764" t="str">
        <f>IFERROR(__xludf.DUMMYFUNCTION("""COMPUTED_VALUE"""),"")</f>
        <v/>
      </c>
      <c r="O3764" t="str">
        <f>IFERROR(__xludf.DUMMYFUNCTION("""COMPUTED_VALUE"""),"")</f>
        <v/>
      </c>
      <c r="P3764" t="str">
        <f>IFERROR(__xludf.DUMMYFUNCTION("""COMPUTED_VALUE"""),"ID ")</f>
        <v>ID </v>
      </c>
    </row>
    <row r="3765">
      <c r="A3765" s="6" t="str">
        <f>IFERROR(__xludf.DUMMYFUNCTION("""COMPUTED_VALUE"""),"")</f>
        <v/>
      </c>
      <c r="C3765" t="str">
        <f>IFERROR(__xludf.DUMMYFUNCTION("""COMPUTED_VALUE"""),"")</f>
        <v/>
      </c>
      <c r="D3765" t="str">
        <f>IFERROR(__xludf.DUMMYFUNCTION("""COMPUTED_VALUE"""),"")</f>
        <v/>
      </c>
      <c r="E3765" t="str">
        <f>IFERROR(__xludf.DUMMYFUNCTION("""COMPUTED_VALUE"""),"")</f>
        <v/>
      </c>
      <c r="F3765" t="str">
        <f>IFERROR(__xludf.DUMMYFUNCTION("""COMPUTED_VALUE"""),"")</f>
        <v/>
      </c>
      <c r="G3765" t="str">
        <f>IFERROR(__xludf.DUMMYFUNCTION("""COMPUTED_VALUE"""),"")</f>
        <v/>
      </c>
      <c r="H3765" s="2" t="str">
        <f>IFERROR(__xludf.DUMMYFUNCTION("""COMPUTED_VALUE"""),"")</f>
        <v/>
      </c>
      <c r="I3765" s="2" t="str">
        <f>IFERROR(__xludf.DUMMYFUNCTION("""COMPUTED_VALUE"""),"")</f>
        <v/>
      </c>
      <c r="J3765" s="2">
        <f>IFERROR(__xludf.DUMMYFUNCTION("""COMPUTED_VALUE"""),0.0)</f>
        <v>0</v>
      </c>
      <c r="K3765" s="5" t="str">
        <f>IFERROR(__xludf.DUMMYFUNCTION("""COMPUTED_VALUE"""),"")</f>
        <v/>
      </c>
      <c r="L3765" t="str">
        <f>IFERROR(__xludf.DUMMYFUNCTION("""COMPUTED_VALUE"""),"")</f>
        <v/>
      </c>
      <c r="M3765" t="str">
        <f>IFERROR(__xludf.DUMMYFUNCTION("""COMPUTED_VALUE"""),"")</f>
        <v/>
      </c>
      <c r="N3765" t="str">
        <f>IFERROR(__xludf.DUMMYFUNCTION("""COMPUTED_VALUE"""),"")</f>
        <v/>
      </c>
      <c r="O3765" t="str">
        <f>IFERROR(__xludf.DUMMYFUNCTION("""COMPUTED_VALUE"""),"")</f>
        <v/>
      </c>
      <c r="P3765" t="str">
        <f>IFERROR(__xludf.DUMMYFUNCTION("""COMPUTED_VALUE"""),"ID ")</f>
        <v>ID </v>
      </c>
    </row>
    <row r="3766">
      <c r="A3766" s="6" t="str">
        <f>IFERROR(__xludf.DUMMYFUNCTION("""COMPUTED_VALUE"""),"")</f>
        <v/>
      </c>
      <c r="C3766" t="str">
        <f>IFERROR(__xludf.DUMMYFUNCTION("""COMPUTED_VALUE"""),"")</f>
        <v/>
      </c>
      <c r="D3766" t="str">
        <f>IFERROR(__xludf.DUMMYFUNCTION("""COMPUTED_VALUE"""),"")</f>
        <v/>
      </c>
      <c r="E3766" t="str">
        <f>IFERROR(__xludf.DUMMYFUNCTION("""COMPUTED_VALUE"""),"")</f>
        <v/>
      </c>
      <c r="F3766" t="str">
        <f>IFERROR(__xludf.DUMMYFUNCTION("""COMPUTED_VALUE"""),"")</f>
        <v/>
      </c>
      <c r="G3766" t="str">
        <f>IFERROR(__xludf.DUMMYFUNCTION("""COMPUTED_VALUE"""),"")</f>
        <v/>
      </c>
      <c r="H3766" s="2" t="str">
        <f>IFERROR(__xludf.DUMMYFUNCTION("""COMPUTED_VALUE"""),"")</f>
        <v/>
      </c>
      <c r="I3766" s="2" t="str">
        <f>IFERROR(__xludf.DUMMYFUNCTION("""COMPUTED_VALUE"""),"")</f>
        <v/>
      </c>
      <c r="J3766" s="2">
        <f>IFERROR(__xludf.DUMMYFUNCTION("""COMPUTED_VALUE"""),0.0)</f>
        <v>0</v>
      </c>
      <c r="K3766" s="5" t="str">
        <f>IFERROR(__xludf.DUMMYFUNCTION("""COMPUTED_VALUE"""),"")</f>
        <v/>
      </c>
      <c r="L3766" t="str">
        <f>IFERROR(__xludf.DUMMYFUNCTION("""COMPUTED_VALUE"""),"")</f>
        <v/>
      </c>
      <c r="M3766" t="str">
        <f>IFERROR(__xludf.DUMMYFUNCTION("""COMPUTED_VALUE"""),"")</f>
        <v/>
      </c>
      <c r="N3766" t="str">
        <f>IFERROR(__xludf.DUMMYFUNCTION("""COMPUTED_VALUE"""),"")</f>
        <v/>
      </c>
      <c r="O3766" t="str">
        <f>IFERROR(__xludf.DUMMYFUNCTION("""COMPUTED_VALUE"""),"")</f>
        <v/>
      </c>
      <c r="P3766" t="str">
        <f>IFERROR(__xludf.DUMMYFUNCTION("""COMPUTED_VALUE"""),"ID ")</f>
        <v>ID </v>
      </c>
    </row>
    <row r="3767">
      <c r="A3767" s="6" t="str">
        <f>IFERROR(__xludf.DUMMYFUNCTION("""COMPUTED_VALUE"""),"")</f>
        <v/>
      </c>
      <c r="C3767" t="str">
        <f>IFERROR(__xludf.DUMMYFUNCTION("""COMPUTED_VALUE"""),"")</f>
        <v/>
      </c>
      <c r="D3767" t="str">
        <f>IFERROR(__xludf.DUMMYFUNCTION("""COMPUTED_VALUE"""),"")</f>
        <v/>
      </c>
      <c r="E3767" t="str">
        <f>IFERROR(__xludf.DUMMYFUNCTION("""COMPUTED_VALUE"""),"")</f>
        <v/>
      </c>
      <c r="F3767" t="str">
        <f>IFERROR(__xludf.DUMMYFUNCTION("""COMPUTED_VALUE"""),"")</f>
        <v/>
      </c>
      <c r="G3767" t="str">
        <f>IFERROR(__xludf.DUMMYFUNCTION("""COMPUTED_VALUE"""),"")</f>
        <v/>
      </c>
      <c r="H3767" s="2" t="str">
        <f>IFERROR(__xludf.DUMMYFUNCTION("""COMPUTED_VALUE"""),"")</f>
        <v/>
      </c>
      <c r="I3767" s="2" t="str">
        <f>IFERROR(__xludf.DUMMYFUNCTION("""COMPUTED_VALUE"""),"")</f>
        <v/>
      </c>
      <c r="J3767" s="2">
        <f>IFERROR(__xludf.DUMMYFUNCTION("""COMPUTED_VALUE"""),0.0)</f>
        <v>0</v>
      </c>
      <c r="K3767" s="5" t="str">
        <f>IFERROR(__xludf.DUMMYFUNCTION("""COMPUTED_VALUE"""),"")</f>
        <v/>
      </c>
      <c r="L3767" t="str">
        <f>IFERROR(__xludf.DUMMYFUNCTION("""COMPUTED_VALUE"""),"")</f>
        <v/>
      </c>
      <c r="M3767" t="str">
        <f>IFERROR(__xludf.DUMMYFUNCTION("""COMPUTED_VALUE"""),"")</f>
        <v/>
      </c>
      <c r="N3767" t="str">
        <f>IFERROR(__xludf.DUMMYFUNCTION("""COMPUTED_VALUE"""),"")</f>
        <v/>
      </c>
      <c r="O3767" t="str">
        <f>IFERROR(__xludf.DUMMYFUNCTION("""COMPUTED_VALUE"""),"")</f>
        <v/>
      </c>
      <c r="P3767" t="str">
        <f>IFERROR(__xludf.DUMMYFUNCTION("""COMPUTED_VALUE"""),"ID ")</f>
        <v>ID </v>
      </c>
    </row>
    <row r="3768">
      <c r="A3768" s="6" t="str">
        <f>IFERROR(__xludf.DUMMYFUNCTION("""COMPUTED_VALUE"""),"")</f>
        <v/>
      </c>
      <c r="C3768" t="str">
        <f>IFERROR(__xludf.DUMMYFUNCTION("""COMPUTED_VALUE"""),"")</f>
        <v/>
      </c>
      <c r="D3768" t="str">
        <f>IFERROR(__xludf.DUMMYFUNCTION("""COMPUTED_VALUE"""),"")</f>
        <v/>
      </c>
      <c r="E3768" t="str">
        <f>IFERROR(__xludf.DUMMYFUNCTION("""COMPUTED_VALUE"""),"")</f>
        <v/>
      </c>
      <c r="F3768" t="str">
        <f>IFERROR(__xludf.DUMMYFUNCTION("""COMPUTED_VALUE"""),"")</f>
        <v/>
      </c>
      <c r="G3768" t="str">
        <f>IFERROR(__xludf.DUMMYFUNCTION("""COMPUTED_VALUE"""),"")</f>
        <v/>
      </c>
      <c r="H3768" s="2" t="str">
        <f>IFERROR(__xludf.DUMMYFUNCTION("""COMPUTED_VALUE"""),"")</f>
        <v/>
      </c>
      <c r="I3768" s="2" t="str">
        <f>IFERROR(__xludf.DUMMYFUNCTION("""COMPUTED_VALUE"""),"")</f>
        <v/>
      </c>
      <c r="J3768" s="2">
        <f>IFERROR(__xludf.DUMMYFUNCTION("""COMPUTED_VALUE"""),0.0)</f>
        <v>0</v>
      </c>
      <c r="K3768" s="5" t="str">
        <f>IFERROR(__xludf.DUMMYFUNCTION("""COMPUTED_VALUE"""),"")</f>
        <v/>
      </c>
      <c r="L3768" t="str">
        <f>IFERROR(__xludf.DUMMYFUNCTION("""COMPUTED_VALUE"""),"")</f>
        <v/>
      </c>
      <c r="M3768" t="str">
        <f>IFERROR(__xludf.DUMMYFUNCTION("""COMPUTED_VALUE"""),"")</f>
        <v/>
      </c>
      <c r="N3768" t="str">
        <f>IFERROR(__xludf.DUMMYFUNCTION("""COMPUTED_VALUE"""),"")</f>
        <v/>
      </c>
      <c r="O3768" t="str">
        <f>IFERROR(__xludf.DUMMYFUNCTION("""COMPUTED_VALUE"""),"")</f>
        <v/>
      </c>
      <c r="P3768" t="str">
        <f>IFERROR(__xludf.DUMMYFUNCTION("""COMPUTED_VALUE"""),"ID ")</f>
        <v>ID </v>
      </c>
    </row>
    <row r="3769">
      <c r="A3769" s="6" t="str">
        <f>IFERROR(__xludf.DUMMYFUNCTION("""COMPUTED_VALUE"""),"")</f>
        <v/>
      </c>
      <c r="C3769" t="str">
        <f>IFERROR(__xludf.DUMMYFUNCTION("""COMPUTED_VALUE"""),"")</f>
        <v/>
      </c>
      <c r="D3769" t="str">
        <f>IFERROR(__xludf.DUMMYFUNCTION("""COMPUTED_VALUE"""),"")</f>
        <v/>
      </c>
      <c r="E3769" t="str">
        <f>IFERROR(__xludf.DUMMYFUNCTION("""COMPUTED_VALUE"""),"")</f>
        <v/>
      </c>
      <c r="F3769" t="str">
        <f>IFERROR(__xludf.DUMMYFUNCTION("""COMPUTED_VALUE"""),"")</f>
        <v/>
      </c>
      <c r="G3769" t="str">
        <f>IFERROR(__xludf.DUMMYFUNCTION("""COMPUTED_VALUE"""),"")</f>
        <v/>
      </c>
      <c r="H3769" s="2" t="str">
        <f>IFERROR(__xludf.DUMMYFUNCTION("""COMPUTED_VALUE"""),"")</f>
        <v/>
      </c>
      <c r="I3769" s="2" t="str">
        <f>IFERROR(__xludf.DUMMYFUNCTION("""COMPUTED_VALUE"""),"")</f>
        <v/>
      </c>
      <c r="J3769" s="2">
        <f>IFERROR(__xludf.DUMMYFUNCTION("""COMPUTED_VALUE"""),0.0)</f>
        <v>0</v>
      </c>
      <c r="K3769" s="5" t="str">
        <f>IFERROR(__xludf.DUMMYFUNCTION("""COMPUTED_VALUE"""),"")</f>
        <v/>
      </c>
      <c r="L3769" t="str">
        <f>IFERROR(__xludf.DUMMYFUNCTION("""COMPUTED_VALUE"""),"")</f>
        <v/>
      </c>
      <c r="M3769" t="str">
        <f>IFERROR(__xludf.DUMMYFUNCTION("""COMPUTED_VALUE"""),"")</f>
        <v/>
      </c>
      <c r="N3769" t="str">
        <f>IFERROR(__xludf.DUMMYFUNCTION("""COMPUTED_VALUE"""),"")</f>
        <v/>
      </c>
      <c r="O3769" t="str">
        <f>IFERROR(__xludf.DUMMYFUNCTION("""COMPUTED_VALUE"""),"")</f>
        <v/>
      </c>
      <c r="P3769" t="str">
        <f>IFERROR(__xludf.DUMMYFUNCTION("""COMPUTED_VALUE"""),"ID ")</f>
        <v>ID </v>
      </c>
    </row>
    <row r="3770">
      <c r="A3770" s="6" t="str">
        <f>IFERROR(__xludf.DUMMYFUNCTION("""COMPUTED_VALUE"""),"")</f>
        <v/>
      </c>
      <c r="C3770" t="str">
        <f>IFERROR(__xludf.DUMMYFUNCTION("""COMPUTED_VALUE"""),"")</f>
        <v/>
      </c>
      <c r="D3770" t="str">
        <f>IFERROR(__xludf.DUMMYFUNCTION("""COMPUTED_VALUE"""),"")</f>
        <v/>
      </c>
      <c r="E3770" t="str">
        <f>IFERROR(__xludf.DUMMYFUNCTION("""COMPUTED_VALUE"""),"")</f>
        <v/>
      </c>
      <c r="F3770" t="str">
        <f>IFERROR(__xludf.DUMMYFUNCTION("""COMPUTED_VALUE"""),"")</f>
        <v/>
      </c>
      <c r="G3770" t="str">
        <f>IFERROR(__xludf.DUMMYFUNCTION("""COMPUTED_VALUE"""),"")</f>
        <v/>
      </c>
      <c r="H3770" s="2" t="str">
        <f>IFERROR(__xludf.DUMMYFUNCTION("""COMPUTED_VALUE"""),"")</f>
        <v/>
      </c>
      <c r="I3770" s="2" t="str">
        <f>IFERROR(__xludf.DUMMYFUNCTION("""COMPUTED_VALUE"""),"")</f>
        <v/>
      </c>
      <c r="J3770" s="2">
        <f>IFERROR(__xludf.DUMMYFUNCTION("""COMPUTED_VALUE"""),0.0)</f>
        <v>0</v>
      </c>
      <c r="K3770" s="5" t="str">
        <f>IFERROR(__xludf.DUMMYFUNCTION("""COMPUTED_VALUE"""),"")</f>
        <v/>
      </c>
      <c r="L3770" t="str">
        <f>IFERROR(__xludf.DUMMYFUNCTION("""COMPUTED_VALUE"""),"")</f>
        <v/>
      </c>
      <c r="M3770" t="str">
        <f>IFERROR(__xludf.DUMMYFUNCTION("""COMPUTED_VALUE"""),"")</f>
        <v/>
      </c>
      <c r="N3770" t="str">
        <f>IFERROR(__xludf.DUMMYFUNCTION("""COMPUTED_VALUE"""),"")</f>
        <v/>
      </c>
      <c r="O3770" t="str">
        <f>IFERROR(__xludf.DUMMYFUNCTION("""COMPUTED_VALUE"""),"")</f>
        <v/>
      </c>
      <c r="P3770" t="str">
        <f>IFERROR(__xludf.DUMMYFUNCTION("""COMPUTED_VALUE"""),"ID ")</f>
        <v>ID </v>
      </c>
    </row>
    <row r="3771">
      <c r="A3771" s="6" t="str">
        <f>IFERROR(__xludf.DUMMYFUNCTION("""COMPUTED_VALUE"""),"")</f>
        <v/>
      </c>
      <c r="C3771" t="str">
        <f>IFERROR(__xludf.DUMMYFUNCTION("""COMPUTED_VALUE"""),"")</f>
        <v/>
      </c>
      <c r="D3771" t="str">
        <f>IFERROR(__xludf.DUMMYFUNCTION("""COMPUTED_VALUE"""),"")</f>
        <v/>
      </c>
      <c r="E3771" t="str">
        <f>IFERROR(__xludf.DUMMYFUNCTION("""COMPUTED_VALUE"""),"")</f>
        <v/>
      </c>
      <c r="F3771" t="str">
        <f>IFERROR(__xludf.DUMMYFUNCTION("""COMPUTED_VALUE"""),"")</f>
        <v/>
      </c>
      <c r="G3771" t="str">
        <f>IFERROR(__xludf.DUMMYFUNCTION("""COMPUTED_VALUE"""),"")</f>
        <v/>
      </c>
      <c r="H3771" s="2" t="str">
        <f>IFERROR(__xludf.DUMMYFUNCTION("""COMPUTED_VALUE"""),"")</f>
        <v/>
      </c>
      <c r="I3771" s="2" t="str">
        <f>IFERROR(__xludf.DUMMYFUNCTION("""COMPUTED_VALUE"""),"")</f>
        <v/>
      </c>
      <c r="J3771" s="2">
        <f>IFERROR(__xludf.DUMMYFUNCTION("""COMPUTED_VALUE"""),0.0)</f>
        <v>0</v>
      </c>
      <c r="K3771" s="5" t="str">
        <f>IFERROR(__xludf.DUMMYFUNCTION("""COMPUTED_VALUE"""),"")</f>
        <v/>
      </c>
      <c r="L3771" t="str">
        <f>IFERROR(__xludf.DUMMYFUNCTION("""COMPUTED_VALUE"""),"")</f>
        <v/>
      </c>
      <c r="M3771" t="str">
        <f>IFERROR(__xludf.DUMMYFUNCTION("""COMPUTED_VALUE"""),"")</f>
        <v/>
      </c>
      <c r="N3771" t="str">
        <f>IFERROR(__xludf.DUMMYFUNCTION("""COMPUTED_VALUE"""),"")</f>
        <v/>
      </c>
      <c r="O3771" t="str">
        <f>IFERROR(__xludf.DUMMYFUNCTION("""COMPUTED_VALUE"""),"")</f>
        <v/>
      </c>
      <c r="P3771" t="str">
        <f>IFERROR(__xludf.DUMMYFUNCTION("""COMPUTED_VALUE"""),"ID ")</f>
        <v>ID </v>
      </c>
    </row>
    <row r="3772">
      <c r="A3772" s="6" t="str">
        <f>IFERROR(__xludf.DUMMYFUNCTION("""COMPUTED_VALUE"""),"")</f>
        <v/>
      </c>
      <c r="C3772" t="str">
        <f>IFERROR(__xludf.DUMMYFUNCTION("""COMPUTED_VALUE"""),"")</f>
        <v/>
      </c>
      <c r="D3772" t="str">
        <f>IFERROR(__xludf.DUMMYFUNCTION("""COMPUTED_VALUE"""),"")</f>
        <v/>
      </c>
      <c r="E3772" t="str">
        <f>IFERROR(__xludf.DUMMYFUNCTION("""COMPUTED_VALUE"""),"")</f>
        <v/>
      </c>
      <c r="F3772" t="str">
        <f>IFERROR(__xludf.DUMMYFUNCTION("""COMPUTED_VALUE"""),"")</f>
        <v/>
      </c>
      <c r="G3772" t="str">
        <f>IFERROR(__xludf.DUMMYFUNCTION("""COMPUTED_VALUE"""),"")</f>
        <v/>
      </c>
      <c r="H3772" s="2" t="str">
        <f>IFERROR(__xludf.DUMMYFUNCTION("""COMPUTED_VALUE"""),"")</f>
        <v/>
      </c>
      <c r="I3772" s="2" t="str">
        <f>IFERROR(__xludf.DUMMYFUNCTION("""COMPUTED_VALUE"""),"")</f>
        <v/>
      </c>
      <c r="J3772" s="2">
        <f>IFERROR(__xludf.DUMMYFUNCTION("""COMPUTED_VALUE"""),0.0)</f>
        <v>0</v>
      </c>
      <c r="K3772" s="5" t="str">
        <f>IFERROR(__xludf.DUMMYFUNCTION("""COMPUTED_VALUE"""),"")</f>
        <v/>
      </c>
      <c r="L3772" t="str">
        <f>IFERROR(__xludf.DUMMYFUNCTION("""COMPUTED_VALUE"""),"")</f>
        <v/>
      </c>
      <c r="M3772" t="str">
        <f>IFERROR(__xludf.DUMMYFUNCTION("""COMPUTED_VALUE"""),"")</f>
        <v/>
      </c>
      <c r="N3772" t="str">
        <f>IFERROR(__xludf.DUMMYFUNCTION("""COMPUTED_VALUE"""),"")</f>
        <v/>
      </c>
      <c r="O3772" t="str">
        <f>IFERROR(__xludf.DUMMYFUNCTION("""COMPUTED_VALUE"""),"")</f>
        <v/>
      </c>
      <c r="P3772" t="str">
        <f>IFERROR(__xludf.DUMMYFUNCTION("""COMPUTED_VALUE"""),"ID ")</f>
        <v>ID </v>
      </c>
    </row>
    <row r="3773">
      <c r="A3773" s="6" t="str">
        <f>IFERROR(__xludf.DUMMYFUNCTION("""COMPUTED_VALUE"""),"")</f>
        <v/>
      </c>
      <c r="C3773" t="str">
        <f>IFERROR(__xludf.DUMMYFUNCTION("""COMPUTED_VALUE"""),"")</f>
        <v/>
      </c>
      <c r="D3773" t="str">
        <f>IFERROR(__xludf.DUMMYFUNCTION("""COMPUTED_VALUE"""),"")</f>
        <v/>
      </c>
      <c r="E3773" t="str">
        <f>IFERROR(__xludf.DUMMYFUNCTION("""COMPUTED_VALUE"""),"")</f>
        <v/>
      </c>
      <c r="F3773" t="str">
        <f>IFERROR(__xludf.DUMMYFUNCTION("""COMPUTED_VALUE"""),"")</f>
        <v/>
      </c>
      <c r="G3773" t="str">
        <f>IFERROR(__xludf.DUMMYFUNCTION("""COMPUTED_VALUE"""),"")</f>
        <v/>
      </c>
      <c r="H3773" s="2" t="str">
        <f>IFERROR(__xludf.DUMMYFUNCTION("""COMPUTED_VALUE"""),"")</f>
        <v/>
      </c>
      <c r="I3773" s="2" t="str">
        <f>IFERROR(__xludf.DUMMYFUNCTION("""COMPUTED_VALUE"""),"")</f>
        <v/>
      </c>
      <c r="J3773" s="2">
        <f>IFERROR(__xludf.DUMMYFUNCTION("""COMPUTED_VALUE"""),0.0)</f>
        <v>0</v>
      </c>
      <c r="K3773" s="5" t="str">
        <f>IFERROR(__xludf.DUMMYFUNCTION("""COMPUTED_VALUE"""),"")</f>
        <v/>
      </c>
      <c r="L3773" t="str">
        <f>IFERROR(__xludf.DUMMYFUNCTION("""COMPUTED_VALUE"""),"")</f>
        <v/>
      </c>
      <c r="M3773" t="str">
        <f>IFERROR(__xludf.DUMMYFUNCTION("""COMPUTED_VALUE"""),"")</f>
        <v/>
      </c>
      <c r="N3773" t="str">
        <f>IFERROR(__xludf.DUMMYFUNCTION("""COMPUTED_VALUE"""),"")</f>
        <v/>
      </c>
      <c r="O3773" t="str">
        <f>IFERROR(__xludf.DUMMYFUNCTION("""COMPUTED_VALUE"""),"")</f>
        <v/>
      </c>
      <c r="P3773" t="str">
        <f>IFERROR(__xludf.DUMMYFUNCTION("""COMPUTED_VALUE"""),"ID ")</f>
        <v>ID </v>
      </c>
    </row>
    <row r="3774">
      <c r="A3774" s="6" t="str">
        <f>IFERROR(__xludf.DUMMYFUNCTION("""COMPUTED_VALUE"""),"")</f>
        <v/>
      </c>
      <c r="C3774" t="str">
        <f>IFERROR(__xludf.DUMMYFUNCTION("""COMPUTED_VALUE"""),"")</f>
        <v/>
      </c>
      <c r="D3774" t="str">
        <f>IFERROR(__xludf.DUMMYFUNCTION("""COMPUTED_VALUE"""),"")</f>
        <v/>
      </c>
      <c r="E3774" t="str">
        <f>IFERROR(__xludf.DUMMYFUNCTION("""COMPUTED_VALUE"""),"")</f>
        <v/>
      </c>
      <c r="F3774" t="str">
        <f>IFERROR(__xludf.DUMMYFUNCTION("""COMPUTED_VALUE"""),"")</f>
        <v/>
      </c>
      <c r="G3774" t="str">
        <f>IFERROR(__xludf.DUMMYFUNCTION("""COMPUTED_VALUE"""),"")</f>
        <v/>
      </c>
      <c r="H3774" s="2" t="str">
        <f>IFERROR(__xludf.DUMMYFUNCTION("""COMPUTED_VALUE"""),"")</f>
        <v/>
      </c>
      <c r="I3774" s="2" t="str">
        <f>IFERROR(__xludf.DUMMYFUNCTION("""COMPUTED_VALUE"""),"")</f>
        <v/>
      </c>
      <c r="J3774" s="2">
        <f>IFERROR(__xludf.DUMMYFUNCTION("""COMPUTED_VALUE"""),0.0)</f>
        <v>0</v>
      </c>
      <c r="K3774" s="5" t="str">
        <f>IFERROR(__xludf.DUMMYFUNCTION("""COMPUTED_VALUE"""),"")</f>
        <v/>
      </c>
      <c r="L3774" t="str">
        <f>IFERROR(__xludf.DUMMYFUNCTION("""COMPUTED_VALUE"""),"")</f>
        <v/>
      </c>
      <c r="M3774" t="str">
        <f>IFERROR(__xludf.DUMMYFUNCTION("""COMPUTED_VALUE"""),"")</f>
        <v/>
      </c>
      <c r="N3774" t="str">
        <f>IFERROR(__xludf.DUMMYFUNCTION("""COMPUTED_VALUE"""),"")</f>
        <v/>
      </c>
      <c r="O3774" t="str">
        <f>IFERROR(__xludf.DUMMYFUNCTION("""COMPUTED_VALUE"""),"")</f>
        <v/>
      </c>
      <c r="P3774" t="str">
        <f>IFERROR(__xludf.DUMMYFUNCTION("""COMPUTED_VALUE"""),"ID ")</f>
        <v>ID </v>
      </c>
    </row>
    <row r="3775">
      <c r="A3775" s="6" t="str">
        <f>IFERROR(__xludf.DUMMYFUNCTION("""COMPUTED_VALUE"""),"")</f>
        <v/>
      </c>
      <c r="C3775" t="str">
        <f>IFERROR(__xludf.DUMMYFUNCTION("""COMPUTED_VALUE"""),"")</f>
        <v/>
      </c>
      <c r="D3775" t="str">
        <f>IFERROR(__xludf.DUMMYFUNCTION("""COMPUTED_VALUE"""),"")</f>
        <v/>
      </c>
      <c r="E3775" t="str">
        <f>IFERROR(__xludf.DUMMYFUNCTION("""COMPUTED_VALUE"""),"")</f>
        <v/>
      </c>
      <c r="F3775" t="str">
        <f>IFERROR(__xludf.DUMMYFUNCTION("""COMPUTED_VALUE"""),"")</f>
        <v/>
      </c>
      <c r="G3775" t="str">
        <f>IFERROR(__xludf.DUMMYFUNCTION("""COMPUTED_VALUE"""),"")</f>
        <v/>
      </c>
      <c r="H3775" s="2" t="str">
        <f>IFERROR(__xludf.DUMMYFUNCTION("""COMPUTED_VALUE"""),"")</f>
        <v/>
      </c>
      <c r="I3775" s="2" t="str">
        <f>IFERROR(__xludf.DUMMYFUNCTION("""COMPUTED_VALUE"""),"")</f>
        <v/>
      </c>
      <c r="J3775" s="2">
        <f>IFERROR(__xludf.DUMMYFUNCTION("""COMPUTED_VALUE"""),0.0)</f>
        <v>0</v>
      </c>
      <c r="K3775" s="5" t="str">
        <f>IFERROR(__xludf.DUMMYFUNCTION("""COMPUTED_VALUE"""),"")</f>
        <v/>
      </c>
      <c r="L3775" t="str">
        <f>IFERROR(__xludf.DUMMYFUNCTION("""COMPUTED_VALUE"""),"")</f>
        <v/>
      </c>
      <c r="M3775" t="str">
        <f>IFERROR(__xludf.DUMMYFUNCTION("""COMPUTED_VALUE"""),"")</f>
        <v/>
      </c>
      <c r="N3775" t="str">
        <f>IFERROR(__xludf.DUMMYFUNCTION("""COMPUTED_VALUE"""),"")</f>
        <v/>
      </c>
      <c r="O3775" t="str">
        <f>IFERROR(__xludf.DUMMYFUNCTION("""COMPUTED_VALUE"""),"")</f>
        <v/>
      </c>
      <c r="P3775" t="str">
        <f>IFERROR(__xludf.DUMMYFUNCTION("""COMPUTED_VALUE"""),"ID ")</f>
        <v>ID </v>
      </c>
    </row>
    <row r="3776">
      <c r="A3776" s="6" t="str">
        <f>IFERROR(__xludf.DUMMYFUNCTION("""COMPUTED_VALUE"""),"")</f>
        <v/>
      </c>
      <c r="C3776" t="str">
        <f>IFERROR(__xludf.DUMMYFUNCTION("""COMPUTED_VALUE"""),"")</f>
        <v/>
      </c>
      <c r="D3776" t="str">
        <f>IFERROR(__xludf.DUMMYFUNCTION("""COMPUTED_VALUE"""),"")</f>
        <v/>
      </c>
      <c r="E3776" t="str">
        <f>IFERROR(__xludf.DUMMYFUNCTION("""COMPUTED_VALUE"""),"")</f>
        <v/>
      </c>
      <c r="F3776" t="str">
        <f>IFERROR(__xludf.DUMMYFUNCTION("""COMPUTED_VALUE"""),"")</f>
        <v/>
      </c>
      <c r="G3776" t="str">
        <f>IFERROR(__xludf.DUMMYFUNCTION("""COMPUTED_VALUE"""),"")</f>
        <v/>
      </c>
      <c r="H3776" s="2" t="str">
        <f>IFERROR(__xludf.DUMMYFUNCTION("""COMPUTED_VALUE"""),"")</f>
        <v/>
      </c>
      <c r="I3776" s="2" t="str">
        <f>IFERROR(__xludf.DUMMYFUNCTION("""COMPUTED_VALUE"""),"")</f>
        <v/>
      </c>
      <c r="J3776" s="2">
        <f>IFERROR(__xludf.DUMMYFUNCTION("""COMPUTED_VALUE"""),0.0)</f>
        <v>0</v>
      </c>
      <c r="K3776" s="5" t="str">
        <f>IFERROR(__xludf.DUMMYFUNCTION("""COMPUTED_VALUE"""),"")</f>
        <v/>
      </c>
      <c r="L3776" t="str">
        <f>IFERROR(__xludf.DUMMYFUNCTION("""COMPUTED_VALUE"""),"")</f>
        <v/>
      </c>
      <c r="M3776" t="str">
        <f>IFERROR(__xludf.DUMMYFUNCTION("""COMPUTED_VALUE"""),"")</f>
        <v/>
      </c>
      <c r="N3776" t="str">
        <f>IFERROR(__xludf.DUMMYFUNCTION("""COMPUTED_VALUE"""),"")</f>
        <v/>
      </c>
      <c r="O3776" t="str">
        <f>IFERROR(__xludf.DUMMYFUNCTION("""COMPUTED_VALUE"""),"")</f>
        <v/>
      </c>
      <c r="P3776" t="str">
        <f>IFERROR(__xludf.DUMMYFUNCTION("""COMPUTED_VALUE"""),"ID ")</f>
        <v>ID </v>
      </c>
    </row>
    <row r="3777">
      <c r="A3777" s="6" t="str">
        <f>IFERROR(__xludf.DUMMYFUNCTION("""COMPUTED_VALUE"""),"")</f>
        <v/>
      </c>
      <c r="C3777" t="str">
        <f>IFERROR(__xludf.DUMMYFUNCTION("""COMPUTED_VALUE"""),"")</f>
        <v/>
      </c>
      <c r="D3777" t="str">
        <f>IFERROR(__xludf.DUMMYFUNCTION("""COMPUTED_VALUE"""),"")</f>
        <v/>
      </c>
      <c r="E3777" t="str">
        <f>IFERROR(__xludf.DUMMYFUNCTION("""COMPUTED_VALUE"""),"")</f>
        <v/>
      </c>
      <c r="F3777" t="str">
        <f>IFERROR(__xludf.DUMMYFUNCTION("""COMPUTED_VALUE"""),"")</f>
        <v/>
      </c>
      <c r="G3777" t="str">
        <f>IFERROR(__xludf.DUMMYFUNCTION("""COMPUTED_VALUE"""),"")</f>
        <v/>
      </c>
      <c r="H3777" s="2" t="str">
        <f>IFERROR(__xludf.DUMMYFUNCTION("""COMPUTED_VALUE"""),"")</f>
        <v/>
      </c>
      <c r="I3777" s="2" t="str">
        <f>IFERROR(__xludf.DUMMYFUNCTION("""COMPUTED_VALUE"""),"")</f>
        <v/>
      </c>
      <c r="J3777" s="2">
        <f>IFERROR(__xludf.DUMMYFUNCTION("""COMPUTED_VALUE"""),0.0)</f>
        <v>0</v>
      </c>
      <c r="K3777" s="5" t="str">
        <f>IFERROR(__xludf.DUMMYFUNCTION("""COMPUTED_VALUE"""),"")</f>
        <v/>
      </c>
      <c r="L3777" t="str">
        <f>IFERROR(__xludf.DUMMYFUNCTION("""COMPUTED_VALUE"""),"")</f>
        <v/>
      </c>
      <c r="M3777" t="str">
        <f>IFERROR(__xludf.DUMMYFUNCTION("""COMPUTED_VALUE"""),"")</f>
        <v/>
      </c>
      <c r="N3777" t="str">
        <f>IFERROR(__xludf.DUMMYFUNCTION("""COMPUTED_VALUE"""),"")</f>
        <v/>
      </c>
      <c r="O3777" t="str">
        <f>IFERROR(__xludf.DUMMYFUNCTION("""COMPUTED_VALUE"""),"")</f>
        <v/>
      </c>
      <c r="P3777" t="str">
        <f>IFERROR(__xludf.DUMMYFUNCTION("""COMPUTED_VALUE"""),"ID ")</f>
        <v>ID </v>
      </c>
    </row>
    <row r="3778">
      <c r="A3778" s="6" t="str">
        <f>IFERROR(__xludf.DUMMYFUNCTION("""COMPUTED_VALUE"""),"")</f>
        <v/>
      </c>
      <c r="C3778" t="str">
        <f>IFERROR(__xludf.DUMMYFUNCTION("""COMPUTED_VALUE"""),"")</f>
        <v/>
      </c>
      <c r="D3778" t="str">
        <f>IFERROR(__xludf.DUMMYFUNCTION("""COMPUTED_VALUE"""),"")</f>
        <v/>
      </c>
      <c r="E3778" t="str">
        <f>IFERROR(__xludf.DUMMYFUNCTION("""COMPUTED_VALUE"""),"")</f>
        <v/>
      </c>
      <c r="F3778" t="str">
        <f>IFERROR(__xludf.DUMMYFUNCTION("""COMPUTED_VALUE"""),"")</f>
        <v/>
      </c>
      <c r="G3778" t="str">
        <f>IFERROR(__xludf.DUMMYFUNCTION("""COMPUTED_VALUE"""),"")</f>
        <v/>
      </c>
      <c r="H3778" s="2" t="str">
        <f>IFERROR(__xludf.DUMMYFUNCTION("""COMPUTED_VALUE"""),"")</f>
        <v/>
      </c>
      <c r="I3778" s="2" t="str">
        <f>IFERROR(__xludf.DUMMYFUNCTION("""COMPUTED_VALUE"""),"")</f>
        <v/>
      </c>
      <c r="J3778" s="2">
        <f>IFERROR(__xludf.DUMMYFUNCTION("""COMPUTED_VALUE"""),0.0)</f>
        <v>0</v>
      </c>
      <c r="K3778" s="5" t="str">
        <f>IFERROR(__xludf.DUMMYFUNCTION("""COMPUTED_VALUE"""),"")</f>
        <v/>
      </c>
      <c r="L3778" t="str">
        <f>IFERROR(__xludf.DUMMYFUNCTION("""COMPUTED_VALUE"""),"")</f>
        <v/>
      </c>
      <c r="M3778" t="str">
        <f>IFERROR(__xludf.DUMMYFUNCTION("""COMPUTED_VALUE"""),"")</f>
        <v/>
      </c>
      <c r="N3778" t="str">
        <f>IFERROR(__xludf.DUMMYFUNCTION("""COMPUTED_VALUE"""),"")</f>
        <v/>
      </c>
      <c r="O3778" t="str">
        <f>IFERROR(__xludf.DUMMYFUNCTION("""COMPUTED_VALUE"""),"")</f>
        <v/>
      </c>
      <c r="P3778" t="str">
        <f>IFERROR(__xludf.DUMMYFUNCTION("""COMPUTED_VALUE"""),"ID ")</f>
        <v>ID </v>
      </c>
    </row>
    <row r="3779">
      <c r="A3779" s="6" t="str">
        <f>IFERROR(__xludf.DUMMYFUNCTION("""COMPUTED_VALUE"""),"")</f>
        <v/>
      </c>
      <c r="C3779" t="str">
        <f>IFERROR(__xludf.DUMMYFUNCTION("""COMPUTED_VALUE"""),"")</f>
        <v/>
      </c>
      <c r="D3779" t="str">
        <f>IFERROR(__xludf.DUMMYFUNCTION("""COMPUTED_VALUE"""),"")</f>
        <v/>
      </c>
      <c r="E3779" t="str">
        <f>IFERROR(__xludf.DUMMYFUNCTION("""COMPUTED_VALUE"""),"")</f>
        <v/>
      </c>
      <c r="F3779" t="str">
        <f>IFERROR(__xludf.DUMMYFUNCTION("""COMPUTED_VALUE"""),"")</f>
        <v/>
      </c>
      <c r="G3779" t="str">
        <f>IFERROR(__xludf.DUMMYFUNCTION("""COMPUTED_VALUE"""),"")</f>
        <v/>
      </c>
      <c r="H3779" s="2" t="str">
        <f>IFERROR(__xludf.DUMMYFUNCTION("""COMPUTED_VALUE"""),"")</f>
        <v/>
      </c>
      <c r="I3779" s="2" t="str">
        <f>IFERROR(__xludf.DUMMYFUNCTION("""COMPUTED_VALUE"""),"")</f>
        <v/>
      </c>
      <c r="J3779" s="2">
        <f>IFERROR(__xludf.DUMMYFUNCTION("""COMPUTED_VALUE"""),0.0)</f>
        <v>0</v>
      </c>
      <c r="K3779" s="5" t="str">
        <f>IFERROR(__xludf.DUMMYFUNCTION("""COMPUTED_VALUE"""),"")</f>
        <v/>
      </c>
      <c r="L3779" t="str">
        <f>IFERROR(__xludf.DUMMYFUNCTION("""COMPUTED_VALUE"""),"")</f>
        <v/>
      </c>
      <c r="M3779" t="str">
        <f>IFERROR(__xludf.DUMMYFUNCTION("""COMPUTED_VALUE"""),"")</f>
        <v/>
      </c>
      <c r="N3779" t="str">
        <f>IFERROR(__xludf.DUMMYFUNCTION("""COMPUTED_VALUE"""),"")</f>
        <v/>
      </c>
      <c r="O3779" t="str">
        <f>IFERROR(__xludf.DUMMYFUNCTION("""COMPUTED_VALUE"""),"")</f>
        <v/>
      </c>
      <c r="P3779" t="str">
        <f>IFERROR(__xludf.DUMMYFUNCTION("""COMPUTED_VALUE"""),"ID ")</f>
        <v>ID </v>
      </c>
    </row>
    <row r="3780">
      <c r="A3780" s="6" t="str">
        <f>IFERROR(__xludf.DUMMYFUNCTION("""COMPUTED_VALUE"""),"")</f>
        <v/>
      </c>
      <c r="C3780" t="str">
        <f>IFERROR(__xludf.DUMMYFUNCTION("""COMPUTED_VALUE"""),"")</f>
        <v/>
      </c>
      <c r="D3780" t="str">
        <f>IFERROR(__xludf.DUMMYFUNCTION("""COMPUTED_VALUE"""),"")</f>
        <v/>
      </c>
      <c r="E3780" t="str">
        <f>IFERROR(__xludf.DUMMYFUNCTION("""COMPUTED_VALUE"""),"")</f>
        <v/>
      </c>
      <c r="F3780" t="str">
        <f>IFERROR(__xludf.DUMMYFUNCTION("""COMPUTED_VALUE"""),"")</f>
        <v/>
      </c>
      <c r="G3780" t="str">
        <f>IFERROR(__xludf.DUMMYFUNCTION("""COMPUTED_VALUE"""),"")</f>
        <v/>
      </c>
      <c r="H3780" s="2" t="str">
        <f>IFERROR(__xludf.DUMMYFUNCTION("""COMPUTED_VALUE"""),"")</f>
        <v/>
      </c>
      <c r="I3780" s="2" t="str">
        <f>IFERROR(__xludf.DUMMYFUNCTION("""COMPUTED_VALUE"""),"")</f>
        <v/>
      </c>
      <c r="J3780" s="2">
        <f>IFERROR(__xludf.DUMMYFUNCTION("""COMPUTED_VALUE"""),0.0)</f>
        <v>0</v>
      </c>
      <c r="K3780" s="5" t="str">
        <f>IFERROR(__xludf.DUMMYFUNCTION("""COMPUTED_VALUE"""),"")</f>
        <v/>
      </c>
      <c r="L3780" t="str">
        <f>IFERROR(__xludf.DUMMYFUNCTION("""COMPUTED_VALUE"""),"")</f>
        <v/>
      </c>
      <c r="M3780" t="str">
        <f>IFERROR(__xludf.DUMMYFUNCTION("""COMPUTED_VALUE"""),"")</f>
        <v/>
      </c>
      <c r="N3780" t="str">
        <f>IFERROR(__xludf.DUMMYFUNCTION("""COMPUTED_VALUE"""),"")</f>
        <v/>
      </c>
      <c r="O3780" t="str">
        <f>IFERROR(__xludf.DUMMYFUNCTION("""COMPUTED_VALUE"""),"")</f>
        <v/>
      </c>
      <c r="P3780" t="str">
        <f>IFERROR(__xludf.DUMMYFUNCTION("""COMPUTED_VALUE"""),"ID ")</f>
        <v>ID </v>
      </c>
    </row>
    <row r="3781">
      <c r="A3781" s="6" t="str">
        <f>IFERROR(__xludf.DUMMYFUNCTION("""COMPUTED_VALUE"""),"")</f>
        <v/>
      </c>
      <c r="C3781" t="str">
        <f>IFERROR(__xludf.DUMMYFUNCTION("""COMPUTED_VALUE"""),"")</f>
        <v/>
      </c>
      <c r="D3781" t="str">
        <f>IFERROR(__xludf.DUMMYFUNCTION("""COMPUTED_VALUE"""),"")</f>
        <v/>
      </c>
      <c r="E3781" t="str">
        <f>IFERROR(__xludf.DUMMYFUNCTION("""COMPUTED_VALUE"""),"")</f>
        <v/>
      </c>
      <c r="F3781" t="str">
        <f>IFERROR(__xludf.DUMMYFUNCTION("""COMPUTED_VALUE"""),"")</f>
        <v/>
      </c>
      <c r="G3781" t="str">
        <f>IFERROR(__xludf.DUMMYFUNCTION("""COMPUTED_VALUE"""),"")</f>
        <v/>
      </c>
      <c r="H3781" s="2" t="str">
        <f>IFERROR(__xludf.DUMMYFUNCTION("""COMPUTED_VALUE"""),"")</f>
        <v/>
      </c>
      <c r="I3781" s="2" t="str">
        <f>IFERROR(__xludf.DUMMYFUNCTION("""COMPUTED_VALUE"""),"")</f>
        <v/>
      </c>
      <c r="J3781" s="2">
        <f>IFERROR(__xludf.DUMMYFUNCTION("""COMPUTED_VALUE"""),0.0)</f>
        <v>0</v>
      </c>
      <c r="K3781" s="5" t="str">
        <f>IFERROR(__xludf.DUMMYFUNCTION("""COMPUTED_VALUE"""),"")</f>
        <v/>
      </c>
      <c r="L3781" t="str">
        <f>IFERROR(__xludf.DUMMYFUNCTION("""COMPUTED_VALUE"""),"")</f>
        <v/>
      </c>
      <c r="M3781" t="str">
        <f>IFERROR(__xludf.DUMMYFUNCTION("""COMPUTED_VALUE"""),"")</f>
        <v/>
      </c>
      <c r="N3781" t="str">
        <f>IFERROR(__xludf.DUMMYFUNCTION("""COMPUTED_VALUE"""),"")</f>
        <v/>
      </c>
      <c r="O3781" t="str">
        <f>IFERROR(__xludf.DUMMYFUNCTION("""COMPUTED_VALUE"""),"")</f>
        <v/>
      </c>
      <c r="P3781" t="str">
        <f>IFERROR(__xludf.DUMMYFUNCTION("""COMPUTED_VALUE"""),"ID ")</f>
        <v>ID </v>
      </c>
    </row>
    <row r="3782">
      <c r="A3782" s="6" t="str">
        <f>IFERROR(__xludf.DUMMYFUNCTION("""COMPUTED_VALUE"""),"")</f>
        <v/>
      </c>
      <c r="C3782" t="str">
        <f>IFERROR(__xludf.DUMMYFUNCTION("""COMPUTED_VALUE"""),"")</f>
        <v/>
      </c>
      <c r="D3782" t="str">
        <f>IFERROR(__xludf.DUMMYFUNCTION("""COMPUTED_VALUE"""),"")</f>
        <v/>
      </c>
      <c r="E3782" t="str">
        <f>IFERROR(__xludf.DUMMYFUNCTION("""COMPUTED_VALUE"""),"")</f>
        <v/>
      </c>
      <c r="F3782" t="str">
        <f>IFERROR(__xludf.DUMMYFUNCTION("""COMPUTED_VALUE"""),"")</f>
        <v/>
      </c>
      <c r="G3782" t="str">
        <f>IFERROR(__xludf.DUMMYFUNCTION("""COMPUTED_VALUE"""),"")</f>
        <v/>
      </c>
      <c r="H3782" s="2" t="str">
        <f>IFERROR(__xludf.DUMMYFUNCTION("""COMPUTED_VALUE"""),"")</f>
        <v/>
      </c>
      <c r="I3782" s="2" t="str">
        <f>IFERROR(__xludf.DUMMYFUNCTION("""COMPUTED_VALUE"""),"")</f>
        <v/>
      </c>
      <c r="J3782" s="2">
        <f>IFERROR(__xludf.DUMMYFUNCTION("""COMPUTED_VALUE"""),0.0)</f>
        <v>0</v>
      </c>
      <c r="K3782" s="5" t="str">
        <f>IFERROR(__xludf.DUMMYFUNCTION("""COMPUTED_VALUE"""),"")</f>
        <v/>
      </c>
      <c r="L3782" t="str">
        <f>IFERROR(__xludf.DUMMYFUNCTION("""COMPUTED_VALUE"""),"")</f>
        <v/>
      </c>
      <c r="M3782" t="str">
        <f>IFERROR(__xludf.DUMMYFUNCTION("""COMPUTED_VALUE"""),"")</f>
        <v/>
      </c>
      <c r="N3782" t="str">
        <f>IFERROR(__xludf.DUMMYFUNCTION("""COMPUTED_VALUE"""),"")</f>
        <v/>
      </c>
      <c r="O3782" t="str">
        <f>IFERROR(__xludf.DUMMYFUNCTION("""COMPUTED_VALUE"""),"")</f>
        <v/>
      </c>
      <c r="P3782" t="str">
        <f>IFERROR(__xludf.DUMMYFUNCTION("""COMPUTED_VALUE"""),"ID ")</f>
        <v>ID </v>
      </c>
    </row>
    <row r="3783">
      <c r="A3783" s="6" t="str">
        <f>IFERROR(__xludf.DUMMYFUNCTION("""COMPUTED_VALUE"""),"")</f>
        <v/>
      </c>
      <c r="C3783" t="str">
        <f>IFERROR(__xludf.DUMMYFUNCTION("""COMPUTED_VALUE"""),"")</f>
        <v/>
      </c>
      <c r="D3783" t="str">
        <f>IFERROR(__xludf.DUMMYFUNCTION("""COMPUTED_VALUE"""),"")</f>
        <v/>
      </c>
      <c r="E3783" t="str">
        <f>IFERROR(__xludf.DUMMYFUNCTION("""COMPUTED_VALUE"""),"")</f>
        <v/>
      </c>
      <c r="F3783" t="str">
        <f>IFERROR(__xludf.DUMMYFUNCTION("""COMPUTED_VALUE"""),"")</f>
        <v/>
      </c>
      <c r="G3783" t="str">
        <f>IFERROR(__xludf.DUMMYFUNCTION("""COMPUTED_VALUE"""),"")</f>
        <v/>
      </c>
      <c r="H3783" s="2" t="str">
        <f>IFERROR(__xludf.DUMMYFUNCTION("""COMPUTED_VALUE"""),"")</f>
        <v/>
      </c>
      <c r="I3783" s="2" t="str">
        <f>IFERROR(__xludf.DUMMYFUNCTION("""COMPUTED_VALUE"""),"")</f>
        <v/>
      </c>
      <c r="J3783" s="2">
        <f>IFERROR(__xludf.DUMMYFUNCTION("""COMPUTED_VALUE"""),0.0)</f>
        <v>0</v>
      </c>
      <c r="K3783" s="5" t="str">
        <f>IFERROR(__xludf.DUMMYFUNCTION("""COMPUTED_VALUE"""),"")</f>
        <v/>
      </c>
      <c r="L3783" t="str">
        <f>IFERROR(__xludf.DUMMYFUNCTION("""COMPUTED_VALUE"""),"")</f>
        <v/>
      </c>
      <c r="M3783" t="str">
        <f>IFERROR(__xludf.DUMMYFUNCTION("""COMPUTED_VALUE"""),"")</f>
        <v/>
      </c>
      <c r="N3783" t="str">
        <f>IFERROR(__xludf.DUMMYFUNCTION("""COMPUTED_VALUE"""),"")</f>
        <v/>
      </c>
      <c r="O3783" t="str">
        <f>IFERROR(__xludf.DUMMYFUNCTION("""COMPUTED_VALUE"""),"")</f>
        <v/>
      </c>
      <c r="P3783" t="str">
        <f>IFERROR(__xludf.DUMMYFUNCTION("""COMPUTED_VALUE"""),"ID ")</f>
        <v>ID </v>
      </c>
    </row>
    <row r="3784">
      <c r="A3784" s="6" t="str">
        <f>IFERROR(__xludf.DUMMYFUNCTION("""COMPUTED_VALUE"""),"")</f>
        <v/>
      </c>
      <c r="C3784" t="str">
        <f>IFERROR(__xludf.DUMMYFUNCTION("""COMPUTED_VALUE"""),"")</f>
        <v/>
      </c>
      <c r="D3784" t="str">
        <f>IFERROR(__xludf.DUMMYFUNCTION("""COMPUTED_VALUE"""),"")</f>
        <v/>
      </c>
      <c r="E3784" t="str">
        <f>IFERROR(__xludf.DUMMYFUNCTION("""COMPUTED_VALUE"""),"")</f>
        <v/>
      </c>
      <c r="F3784" t="str">
        <f>IFERROR(__xludf.DUMMYFUNCTION("""COMPUTED_VALUE"""),"")</f>
        <v/>
      </c>
      <c r="G3784" t="str">
        <f>IFERROR(__xludf.DUMMYFUNCTION("""COMPUTED_VALUE"""),"")</f>
        <v/>
      </c>
      <c r="H3784" s="2" t="str">
        <f>IFERROR(__xludf.DUMMYFUNCTION("""COMPUTED_VALUE"""),"")</f>
        <v/>
      </c>
      <c r="I3784" s="2" t="str">
        <f>IFERROR(__xludf.DUMMYFUNCTION("""COMPUTED_VALUE"""),"")</f>
        <v/>
      </c>
      <c r="J3784" s="2">
        <f>IFERROR(__xludf.DUMMYFUNCTION("""COMPUTED_VALUE"""),0.0)</f>
        <v>0</v>
      </c>
      <c r="K3784" s="5" t="str">
        <f>IFERROR(__xludf.DUMMYFUNCTION("""COMPUTED_VALUE"""),"")</f>
        <v/>
      </c>
      <c r="L3784" t="str">
        <f>IFERROR(__xludf.DUMMYFUNCTION("""COMPUTED_VALUE"""),"")</f>
        <v/>
      </c>
      <c r="M3784" t="str">
        <f>IFERROR(__xludf.DUMMYFUNCTION("""COMPUTED_VALUE"""),"")</f>
        <v/>
      </c>
      <c r="N3784" t="str">
        <f>IFERROR(__xludf.DUMMYFUNCTION("""COMPUTED_VALUE"""),"")</f>
        <v/>
      </c>
      <c r="O3784" t="str">
        <f>IFERROR(__xludf.DUMMYFUNCTION("""COMPUTED_VALUE"""),"")</f>
        <v/>
      </c>
      <c r="P3784" t="str">
        <f>IFERROR(__xludf.DUMMYFUNCTION("""COMPUTED_VALUE"""),"ID ")</f>
        <v>ID </v>
      </c>
    </row>
    <row r="3785">
      <c r="A3785" s="6" t="str">
        <f>IFERROR(__xludf.DUMMYFUNCTION("""COMPUTED_VALUE"""),"")</f>
        <v/>
      </c>
      <c r="C3785" t="str">
        <f>IFERROR(__xludf.DUMMYFUNCTION("""COMPUTED_VALUE"""),"")</f>
        <v/>
      </c>
      <c r="D3785" t="str">
        <f>IFERROR(__xludf.DUMMYFUNCTION("""COMPUTED_VALUE"""),"")</f>
        <v/>
      </c>
      <c r="E3785" t="str">
        <f>IFERROR(__xludf.DUMMYFUNCTION("""COMPUTED_VALUE"""),"")</f>
        <v/>
      </c>
      <c r="F3785" t="str">
        <f>IFERROR(__xludf.DUMMYFUNCTION("""COMPUTED_VALUE"""),"")</f>
        <v/>
      </c>
      <c r="G3785" t="str">
        <f>IFERROR(__xludf.DUMMYFUNCTION("""COMPUTED_VALUE"""),"")</f>
        <v/>
      </c>
      <c r="H3785" s="2" t="str">
        <f>IFERROR(__xludf.DUMMYFUNCTION("""COMPUTED_VALUE"""),"")</f>
        <v/>
      </c>
      <c r="I3785" s="2" t="str">
        <f>IFERROR(__xludf.DUMMYFUNCTION("""COMPUTED_VALUE"""),"")</f>
        <v/>
      </c>
      <c r="J3785" s="2">
        <f>IFERROR(__xludf.DUMMYFUNCTION("""COMPUTED_VALUE"""),0.0)</f>
        <v>0</v>
      </c>
      <c r="K3785" s="5" t="str">
        <f>IFERROR(__xludf.DUMMYFUNCTION("""COMPUTED_VALUE"""),"")</f>
        <v/>
      </c>
      <c r="L3785" t="str">
        <f>IFERROR(__xludf.DUMMYFUNCTION("""COMPUTED_VALUE"""),"")</f>
        <v/>
      </c>
      <c r="M3785" t="str">
        <f>IFERROR(__xludf.DUMMYFUNCTION("""COMPUTED_VALUE"""),"")</f>
        <v/>
      </c>
      <c r="N3785" t="str">
        <f>IFERROR(__xludf.DUMMYFUNCTION("""COMPUTED_VALUE"""),"")</f>
        <v/>
      </c>
      <c r="O3785" t="str">
        <f>IFERROR(__xludf.DUMMYFUNCTION("""COMPUTED_VALUE"""),"")</f>
        <v/>
      </c>
      <c r="P3785" t="str">
        <f>IFERROR(__xludf.DUMMYFUNCTION("""COMPUTED_VALUE"""),"ID ")</f>
        <v>ID </v>
      </c>
    </row>
    <row r="3786">
      <c r="A3786" s="6" t="str">
        <f>IFERROR(__xludf.DUMMYFUNCTION("""COMPUTED_VALUE"""),"")</f>
        <v/>
      </c>
      <c r="C3786" t="str">
        <f>IFERROR(__xludf.DUMMYFUNCTION("""COMPUTED_VALUE"""),"")</f>
        <v/>
      </c>
      <c r="D3786" t="str">
        <f>IFERROR(__xludf.DUMMYFUNCTION("""COMPUTED_VALUE"""),"")</f>
        <v/>
      </c>
      <c r="E3786" t="str">
        <f>IFERROR(__xludf.DUMMYFUNCTION("""COMPUTED_VALUE"""),"")</f>
        <v/>
      </c>
      <c r="F3786" t="str">
        <f>IFERROR(__xludf.DUMMYFUNCTION("""COMPUTED_VALUE"""),"")</f>
        <v/>
      </c>
      <c r="G3786" t="str">
        <f>IFERROR(__xludf.DUMMYFUNCTION("""COMPUTED_VALUE"""),"")</f>
        <v/>
      </c>
      <c r="H3786" s="2" t="str">
        <f>IFERROR(__xludf.DUMMYFUNCTION("""COMPUTED_VALUE"""),"")</f>
        <v/>
      </c>
      <c r="I3786" s="2" t="str">
        <f>IFERROR(__xludf.DUMMYFUNCTION("""COMPUTED_VALUE"""),"")</f>
        <v/>
      </c>
      <c r="J3786" s="2">
        <f>IFERROR(__xludf.DUMMYFUNCTION("""COMPUTED_VALUE"""),0.0)</f>
        <v>0</v>
      </c>
      <c r="K3786" s="5" t="str">
        <f>IFERROR(__xludf.DUMMYFUNCTION("""COMPUTED_VALUE"""),"")</f>
        <v/>
      </c>
      <c r="L3786" t="str">
        <f>IFERROR(__xludf.DUMMYFUNCTION("""COMPUTED_VALUE"""),"")</f>
        <v/>
      </c>
      <c r="M3786" t="str">
        <f>IFERROR(__xludf.DUMMYFUNCTION("""COMPUTED_VALUE"""),"")</f>
        <v/>
      </c>
      <c r="N3786" t="str">
        <f>IFERROR(__xludf.DUMMYFUNCTION("""COMPUTED_VALUE"""),"")</f>
        <v/>
      </c>
      <c r="O3786" t="str">
        <f>IFERROR(__xludf.DUMMYFUNCTION("""COMPUTED_VALUE"""),"")</f>
        <v/>
      </c>
      <c r="P3786" t="str">
        <f>IFERROR(__xludf.DUMMYFUNCTION("""COMPUTED_VALUE"""),"ID ")</f>
        <v>ID </v>
      </c>
    </row>
    <row r="3787">
      <c r="A3787" s="6" t="str">
        <f>IFERROR(__xludf.DUMMYFUNCTION("""COMPUTED_VALUE"""),"")</f>
        <v/>
      </c>
      <c r="C3787" t="str">
        <f>IFERROR(__xludf.DUMMYFUNCTION("""COMPUTED_VALUE"""),"")</f>
        <v/>
      </c>
      <c r="D3787" t="str">
        <f>IFERROR(__xludf.DUMMYFUNCTION("""COMPUTED_VALUE"""),"")</f>
        <v/>
      </c>
      <c r="E3787" t="str">
        <f>IFERROR(__xludf.DUMMYFUNCTION("""COMPUTED_VALUE"""),"")</f>
        <v/>
      </c>
      <c r="F3787" t="str">
        <f>IFERROR(__xludf.DUMMYFUNCTION("""COMPUTED_VALUE"""),"")</f>
        <v/>
      </c>
      <c r="G3787" t="str">
        <f>IFERROR(__xludf.DUMMYFUNCTION("""COMPUTED_VALUE"""),"")</f>
        <v/>
      </c>
      <c r="H3787" s="2" t="str">
        <f>IFERROR(__xludf.DUMMYFUNCTION("""COMPUTED_VALUE"""),"")</f>
        <v/>
      </c>
      <c r="I3787" s="2" t="str">
        <f>IFERROR(__xludf.DUMMYFUNCTION("""COMPUTED_VALUE"""),"")</f>
        <v/>
      </c>
      <c r="J3787" s="2">
        <f>IFERROR(__xludf.DUMMYFUNCTION("""COMPUTED_VALUE"""),0.0)</f>
        <v>0</v>
      </c>
      <c r="K3787" s="5" t="str">
        <f>IFERROR(__xludf.DUMMYFUNCTION("""COMPUTED_VALUE"""),"")</f>
        <v/>
      </c>
      <c r="L3787" t="str">
        <f>IFERROR(__xludf.DUMMYFUNCTION("""COMPUTED_VALUE"""),"")</f>
        <v/>
      </c>
      <c r="M3787" t="str">
        <f>IFERROR(__xludf.DUMMYFUNCTION("""COMPUTED_VALUE"""),"")</f>
        <v/>
      </c>
      <c r="N3787" t="str">
        <f>IFERROR(__xludf.DUMMYFUNCTION("""COMPUTED_VALUE"""),"")</f>
        <v/>
      </c>
      <c r="O3787" t="str">
        <f>IFERROR(__xludf.DUMMYFUNCTION("""COMPUTED_VALUE"""),"")</f>
        <v/>
      </c>
      <c r="P3787" t="str">
        <f>IFERROR(__xludf.DUMMYFUNCTION("""COMPUTED_VALUE"""),"ID ")</f>
        <v>ID </v>
      </c>
    </row>
    <row r="3788">
      <c r="A3788" s="6" t="str">
        <f>IFERROR(__xludf.DUMMYFUNCTION("""COMPUTED_VALUE"""),"")</f>
        <v/>
      </c>
      <c r="C3788" t="str">
        <f>IFERROR(__xludf.DUMMYFUNCTION("""COMPUTED_VALUE"""),"")</f>
        <v/>
      </c>
      <c r="D3788" t="str">
        <f>IFERROR(__xludf.DUMMYFUNCTION("""COMPUTED_VALUE"""),"")</f>
        <v/>
      </c>
      <c r="E3788" t="str">
        <f>IFERROR(__xludf.DUMMYFUNCTION("""COMPUTED_VALUE"""),"")</f>
        <v/>
      </c>
      <c r="F3788" t="str">
        <f>IFERROR(__xludf.DUMMYFUNCTION("""COMPUTED_VALUE"""),"")</f>
        <v/>
      </c>
      <c r="G3788" t="str">
        <f>IFERROR(__xludf.DUMMYFUNCTION("""COMPUTED_VALUE"""),"")</f>
        <v/>
      </c>
      <c r="H3788" s="2" t="str">
        <f>IFERROR(__xludf.DUMMYFUNCTION("""COMPUTED_VALUE"""),"")</f>
        <v/>
      </c>
      <c r="I3788" s="2" t="str">
        <f>IFERROR(__xludf.DUMMYFUNCTION("""COMPUTED_VALUE"""),"")</f>
        <v/>
      </c>
      <c r="J3788" s="2">
        <f>IFERROR(__xludf.DUMMYFUNCTION("""COMPUTED_VALUE"""),0.0)</f>
        <v>0</v>
      </c>
      <c r="K3788" s="5" t="str">
        <f>IFERROR(__xludf.DUMMYFUNCTION("""COMPUTED_VALUE"""),"")</f>
        <v/>
      </c>
      <c r="L3788" t="str">
        <f>IFERROR(__xludf.DUMMYFUNCTION("""COMPUTED_VALUE"""),"")</f>
        <v/>
      </c>
      <c r="M3788" t="str">
        <f>IFERROR(__xludf.DUMMYFUNCTION("""COMPUTED_VALUE"""),"")</f>
        <v/>
      </c>
      <c r="N3788" t="str">
        <f>IFERROR(__xludf.DUMMYFUNCTION("""COMPUTED_VALUE"""),"")</f>
        <v/>
      </c>
      <c r="O3788" t="str">
        <f>IFERROR(__xludf.DUMMYFUNCTION("""COMPUTED_VALUE"""),"")</f>
        <v/>
      </c>
      <c r="P3788" t="str">
        <f>IFERROR(__xludf.DUMMYFUNCTION("""COMPUTED_VALUE"""),"ID ")</f>
        <v>ID </v>
      </c>
    </row>
    <row r="3789">
      <c r="A3789" s="6" t="str">
        <f>IFERROR(__xludf.DUMMYFUNCTION("""COMPUTED_VALUE"""),"")</f>
        <v/>
      </c>
      <c r="C3789" t="str">
        <f>IFERROR(__xludf.DUMMYFUNCTION("""COMPUTED_VALUE"""),"")</f>
        <v/>
      </c>
      <c r="D3789" t="str">
        <f>IFERROR(__xludf.DUMMYFUNCTION("""COMPUTED_VALUE"""),"")</f>
        <v/>
      </c>
      <c r="E3789" t="str">
        <f>IFERROR(__xludf.DUMMYFUNCTION("""COMPUTED_VALUE"""),"")</f>
        <v/>
      </c>
      <c r="F3789" t="str">
        <f>IFERROR(__xludf.DUMMYFUNCTION("""COMPUTED_VALUE"""),"")</f>
        <v/>
      </c>
      <c r="G3789" t="str">
        <f>IFERROR(__xludf.DUMMYFUNCTION("""COMPUTED_VALUE"""),"")</f>
        <v/>
      </c>
      <c r="H3789" s="2" t="str">
        <f>IFERROR(__xludf.DUMMYFUNCTION("""COMPUTED_VALUE"""),"")</f>
        <v/>
      </c>
      <c r="I3789" s="2" t="str">
        <f>IFERROR(__xludf.DUMMYFUNCTION("""COMPUTED_VALUE"""),"")</f>
        <v/>
      </c>
      <c r="J3789" s="2">
        <f>IFERROR(__xludf.DUMMYFUNCTION("""COMPUTED_VALUE"""),0.0)</f>
        <v>0</v>
      </c>
      <c r="K3789" s="5" t="str">
        <f>IFERROR(__xludf.DUMMYFUNCTION("""COMPUTED_VALUE"""),"")</f>
        <v/>
      </c>
      <c r="L3789" t="str">
        <f>IFERROR(__xludf.DUMMYFUNCTION("""COMPUTED_VALUE"""),"")</f>
        <v/>
      </c>
      <c r="M3789" t="str">
        <f>IFERROR(__xludf.DUMMYFUNCTION("""COMPUTED_VALUE"""),"")</f>
        <v/>
      </c>
      <c r="N3789" t="str">
        <f>IFERROR(__xludf.DUMMYFUNCTION("""COMPUTED_VALUE"""),"")</f>
        <v/>
      </c>
      <c r="O3789" t="str">
        <f>IFERROR(__xludf.DUMMYFUNCTION("""COMPUTED_VALUE"""),"")</f>
        <v/>
      </c>
      <c r="P3789" t="str">
        <f>IFERROR(__xludf.DUMMYFUNCTION("""COMPUTED_VALUE"""),"ID ")</f>
        <v>ID </v>
      </c>
    </row>
    <row r="3790">
      <c r="A3790" s="6" t="str">
        <f>IFERROR(__xludf.DUMMYFUNCTION("""COMPUTED_VALUE"""),"")</f>
        <v/>
      </c>
      <c r="C3790" t="str">
        <f>IFERROR(__xludf.DUMMYFUNCTION("""COMPUTED_VALUE"""),"")</f>
        <v/>
      </c>
      <c r="D3790" t="str">
        <f>IFERROR(__xludf.DUMMYFUNCTION("""COMPUTED_VALUE"""),"")</f>
        <v/>
      </c>
      <c r="E3790" t="str">
        <f>IFERROR(__xludf.DUMMYFUNCTION("""COMPUTED_VALUE"""),"")</f>
        <v/>
      </c>
      <c r="F3790" t="str">
        <f>IFERROR(__xludf.DUMMYFUNCTION("""COMPUTED_VALUE"""),"")</f>
        <v/>
      </c>
      <c r="G3790" t="str">
        <f>IFERROR(__xludf.DUMMYFUNCTION("""COMPUTED_VALUE"""),"")</f>
        <v/>
      </c>
      <c r="H3790" s="2" t="str">
        <f>IFERROR(__xludf.DUMMYFUNCTION("""COMPUTED_VALUE"""),"")</f>
        <v/>
      </c>
      <c r="I3790" s="2" t="str">
        <f>IFERROR(__xludf.DUMMYFUNCTION("""COMPUTED_VALUE"""),"")</f>
        <v/>
      </c>
      <c r="J3790" s="2">
        <f>IFERROR(__xludf.DUMMYFUNCTION("""COMPUTED_VALUE"""),0.0)</f>
        <v>0</v>
      </c>
      <c r="K3790" s="5" t="str">
        <f>IFERROR(__xludf.DUMMYFUNCTION("""COMPUTED_VALUE"""),"")</f>
        <v/>
      </c>
      <c r="L3790" t="str">
        <f>IFERROR(__xludf.DUMMYFUNCTION("""COMPUTED_VALUE"""),"")</f>
        <v/>
      </c>
      <c r="M3790" t="str">
        <f>IFERROR(__xludf.DUMMYFUNCTION("""COMPUTED_VALUE"""),"")</f>
        <v/>
      </c>
      <c r="N3790" t="str">
        <f>IFERROR(__xludf.DUMMYFUNCTION("""COMPUTED_VALUE"""),"")</f>
        <v/>
      </c>
      <c r="O3790" t="str">
        <f>IFERROR(__xludf.DUMMYFUNCTION("""COMPUTED_VALUE"""),"")</f>
        <v/>
      </c>
      <c r="P3790" t="str">
        <f>IFERROR(__xludf.DUMMYFUNCTION("""COMPUTED_VALUE"""),"ID ")</f>
        <v>ID </v>
      </c>
    </row>
    <row r="3791">
      <c r="A3791" s="6" t="str">
        <f>IFERROR(__xludf.DUMMYFUNCTION("""COMPUTED_VALUE"""),"")</f>
        <v/>
      </c>
      <c r="C3791" t="str">
        <f>IFERROR(__xludf.DUMMYFUNCTION("""COMPUTED_VALUE"""),"")</f>
        <v/>
      </c>
      <c r="D3791" t="str">
        <f>IFERROR(__xludf.DUMMYFUNCTION("""COMPUTED_VALUE"""),"")</f>
        <v/>
      </c>
      <c r="E3791" t="str">
        <f>IFERROR(__xludf.DUMMYFUNCTION("""COMPUTED_VALUE"""),"")</f>
        <v/>
      </c>
      <c r="F3791" t="str">
        <f>IFERROR(__xludf.DUMMYFUNCTION("""COMPUTED_VALUE"""),"")</f>
        <v/>
      </c>
      <c r="G3791" t="str">
        <f>IFERROR(__xludf.DUMMYFUNCTION("""COMPUTED_VALUE"""),"")</f>
        <v/>
      </c>
      <c r="H3791" s="2" t="str">
        <f>IFERROR(__xludf.DUMMYFUNCTION("""COMPUTED_VALUE"""),"")</f>
        <v/>
      </c>
      <c r="I3791" s="2" t="str">
        <f>IFERROR(__xludf.DUMMYFUNCTION("""COMPUTED_VALUE"""),"")</f>
        <v/>
      </c>
      <c r="J3791" s="2">
        <f>IFERROR(__xludf.DUMMYFUNCTION("""COMPUTED_VALUE"""),0.0)</f>
        <v>0</v>
      </c>
      <c r="K3791" s="5" t="str">
        <f>IFERROR(__xludf.DUMMYFUNCTION("""COMPUTED_VALUE"""),"")</f>
        <v/>
      </c>
      <c r="L3791" t="str">
        <f>IFERROR(__xludf.DUMMYFUNCTION("""COMPUTED_VALUE"""),"")</f>
        <v/>
      </c>
      <c r="M3791" t="str">
        <f>IFERROR(__xludf.DUMMYFUNCTION("""COMPUTED_VALUE"""),"")</f>
        <v/>
      </c>
      <c r="N3791" t="str">
        <f>IFERROR(__xludf.DUMMYFUNCTION("""COMPUTED_VALUE"""),"")</f>
        <v/>
      </c>
      <c r="O3791" t="str">
        <f>IFERROR(__xludf.DUMMYFUNCTION("""COMPUTED_VALUE"""),"")</f>
        <v/>
      </c>
      <c r="P3791" t="str">
        <f>IFERROR(__xludf.DUMMYFUNCTION("""COMPUTED_VALUE"""),"ID ")</f>
        <v>ID </v>
      </c>
    </row>
    <row r="3792">
      <c r="A3792" s="6" t="str">
        <f>IFERROR(__xludf.DUMMYFUNCTION("""COMPUTED_VALUE"""),"")</f>
        <v/>
      </c>
      <c r="C3792" t="str">
        <f>IFERROR(__xludf.DUMMYFUNCTION("""COMPUTED_VALUE"""),"")</f>
        <v/>
      </c>
      <c r="D3792" t="str">
        <f>IFERROR(__xludf.DUMMYFUNCTION("""COMPUTED_VALUE"""),"")</f>
        <v/>
      </c>
      <c r="E3792" t="str">
        <f>IFERROR(__xludf.DUMMYFUNCTION("""COMPUTED_VALUE"""),"")</f>
        <v/>
      </c>
      <c r="F3792" t="str">
        <f>IFERROR(__xludf.DUMMYFUNCTION("""COMPUTED_VALUE"""),"")</f>
        <v/>
      </c>
      <c r="G3792" t="str">
        <f>IFERROR(__xludf.DUMMYFUNCTION("""COMPUTED_VALUE"""),"")</f>
        <v/>
      </c>
      <c r="H3792" s="2" t="str">
        <f>IFERROR(__xludf.DUMMYFUNCTION("""COMPUTED_VALUE"""),"")</f>
        <v/>
      </c>
      <c r="I3792" s="2" t="str">
        <f>IFERROR(__xludf.DUMMYFUNCTION("""COMPUTED_VALUE"""),"")</f>
        <v/>
      </c>
      <c r="J3792" s="2">
        <f>IFERROR(__xludf.DUMMYFUNCTION("""COMPUTED_VALUE"""),0.0)</f>
        <v>0</v>
      </c>
      <c r="K3792" s="5" t="str">
        <f>IFERROR(__xludf.DUMMYFUNCTION("""COMPUTED_VALUE"""),"")</f>
        <v/>
      </c>
      <c r="L3792" t="str">
        <f>IFERROR(__xludf.DUMMYFUNCTION("""COMPUTED_VALUE"""),"")</f>
        <v/>
      </c>
      <c r="M3792" t="str">
        <f>IFERROR(__xludf.DUMMYFUNCTION("""COMPUTED_VALUE"""),"")</f>
        <v/>
      </c>
      <c r="N3792" t="str">
        <f>IFERROR(__xludf.DUMMYFUNCTION("""COMPUTED_VALUE"""),"")</f>
        <v/>
      </c>
      <c r="O3792" t="str">
        <f>IFERROR(__xludf.DUMMYFUNCTION("""COMPUTED_VALUE"""),"")</f>
        <v/>
      </c>
      <c r="P3792" t="str">
        <f>IFERROR(__xludf.DUMMYFUNCTION("""COMPUTED_VALUE"""),"ID ")</f>
        <v>ID </v>
      </c>
    </row>
    <row r="3793">
      <c r="A3793" s="6" t="str">
        <f>IFERROR(__xludf.DUMMYFUNCTION("""COMPUTED_VALUE"""),"")</f>
        <v/>
      </c>
      <c r="C3793" t="str">
        <f>IFERROR(__xludf.DUMMYFUNCTION("""COMPUTED_VALUE"""),"")</f>
        <v/>
      </c>
      <c r="D3793" t="str">
        <f>IFERROR(__xludf.DUMMYFUNCTION("""COMPUTED_VALUE"""),"")</f>
        <v/>
      </c>
      <c r="E3793" t="str">
        <f>IFERROR(__xludf.DUMMYFUNCTION("""COMPUTED_VALUE"""),"")</f>
        <v/>
      </c>
      <c r="F3793" t="str">
        <f>IFERROR(__xludf.DUMMYFUNCTION("""COMPUTED_VALUE"""),"")</f>
        <v/>
      </c>
      <c r="G3793" t="str">
        <f>IFERROR(__xludf.DUMMYFUNCTION("""COMPUTED_VALUE"""),"")</f>
        <v/>
      </c>
      <c r="H3793" s="2" t="str">
        <f>IFERROR(__xludf.DUMMYFUNCTION("""COMPUTED_VALUE"""),"")</f>
        <v/>
      </c>
      <c r="I3793" s="2" t="str">
        <f>IFERROR(__xludf.DUMMYFUNCTION("""COMPUTED_VALUE"""),"")</f>
        <v/>
      </c>
      <c r="J3793" s="2">
        <f>IFERROR(__xludf.DUMMYFUNCTION("""COMPUTED_VALUE"""),0.0)</f>
        <v>0</v>
      </c>
      <c r="K3793" s="5" t="str">
        <f>IFERROR(__xludf.DUMMYFUNCTION("""COMPUTED_VALUE"""),"")</f>
        <v/>
      </c>
      <c r="L3793" t="str">
        <f>IFERROR(__xludf.DUMMYFUNCTION("""COMPUTED_VALUE"""),"")</f>
        <v/>
      </c>
      <c r="M3793" t="str">
        <f>IFERROR(__xludf.DUMMYFUNCTION("""COMPUTED_VALUE"""),"")</f>
        <v/>
      </c>
      <c r="N3793" t="str">
        <f>IFERROR(__xludf.DUMMYFUNCTION("""COMPUTED_VALUE"""),"")</f>
        <v/>
      </c>
      <c r="O3793" t="str">
        <f>IFERROR(__xludf.DUMMYFUNCTION("""COMPUTED_VALUE"""),"")</f>
        <v/>
      </c>
      <c r="P3793" t="str">
        <f>IFERROR(__xludf.DUMMYFUNCTION("""COMPUTED_VALUE"""),"ID ")</f>
        <v>ID </v>
      </c>
    </row>
    <row r="3794">
      <c r="A3794" s="6" t="str">
        <f>IFERROR(__xludf.DUMMYFUNCTION("""COMPUTED_VALUE"""),"")</f>
        <v/>
      </c>
      <c r="C3794" t="str">
        <f>IFERROR(__xludf.DUMMYFUNCTION("""COMPUTED_VALUE"""),"")</f>
        <v/>
      </c>
      <c r="D3794" t="str">
        <f>IFERROR(__xludf.DUMMYFUNCTION("""COMPUTED_VALUE"""),"")</f>
        <v/>
      </c>
      <c r="E3794" t="str">
        <f>IFERROR(__xludf.DUMMYFUNCTION("""COMPUTED_VALUE"""),"")</f>
        <v/>
      </c>
      <c r="F3794" t="str">
        <f>IFERROR(__xludf.DUMMYFUNCTION("""COMPUTED_VALUE"""),"")</f>
        <v/>
      </c>
      <c r="G3794" t="str">
        <f>IFERROR(__xludf.DUMMYFUNCTION("""COMPUTED_VALUE"""),"")</f>
        <v/>
      </c>
      <c r="H3794" s="2" t="str">
        <f>IFERROR(__xludf.DUMMYFUNCTION("""COMPUTED_VALUE"""),"")</f>
        <v/>
      </c>
      <c r="I3794" s="2" t="str">
        <f>IFERROR(__xludf.DUMMYFUNCTION("""COMPUTED_VALUE"""),"")</f>
        <v/>
      </c>
      <c r="J3794" s="2">
        <f>IFERROR(__xludf.DUMMYFUNCTION("""COMPUTED_VALUE"""),0.0)</f>
        <v>0</v>
      </c>
      <c r="K3794" s="5" t="str">
        <f>IFERROR(__xludf.DUMMYFUNCTION("""COMPUTED_VALUE"""),"")</f>
        <v/>
      </c>
      <c r="L3794" t="str">
        <f>IFERROR(__xludf.DUMMYFUNCTION("""COMPUTED_VALUE"""),"")</f>
        <v/>
      </c>
      <c r="M3794" t="str">
        <f>IFERROR(__xludf.DUMMYFUNCTION("""COMPUTED_VALUE"""),"")</f>
        <v/>
      </c>
      <c r="N3794" t="str">
        <f>IFERROR(__xludf.DUMMYFUNCTION("""COMPUTED_VALUE"""),"")</f>
        <v/>
      </c>
      <c r="O3794" t="str">
        <f>IFERROR(__xludf.DUMMYFUNCTION("""COMPUTED_VALUE"""),"")</f>
        <v/>
      </c>
      <c r="P3794" t="str">
        <f>IFERROR(__xludf.DUMMYFUNCTION("""COMPUTED_VALUE"""),"ID ")</f>
        <v>ID </v>
      </c>
    </row>
    <row r="3795">
      <c r="A3795" s="6" t="str">
        <f>IFERROR(__xludf.DUMMYFUNCTION("""COMPUTED_VALUE"""),"")</f>
        <v/>
      </c>
      <c r="C3795" t="str">
        <f>IFERROR(__xludf.DUMMYFUNCTION("""COMPUTED_VALUE"""),"")</f>
        <v/>
      </c>
      <c r="D3795" t="str">
        <f>IFERROR(__xludf.DUMMYFUNCTION("""COMPUTED_VALUE"""),"")</f>
        <v/>
      </c>
      <c r="E3795" t="str">
        <f>IFERROR(__xludf.DUMMYFUNCTION("""COMPUTED_VALUE"""),"")</f>
        <v/>
      </c>
      <c r="F3795" t="str">
        <f>IFERROR(__xludf.DUMMYFUNCTION("""COMPUTED_VALUE"""),"")</f>
        <v/>
      </c>
      <c r="G3795" t="str">
        <f>IFERROR(__xludf.DUMMYFUNCTION("""COMPUTED_VALUE"""),"")</f>
        <v/>
      </c>
      <c r="H3795" s="2" t="str">
        <f>IFERROR(__xludf.DUMMYFUNCTION("""COMPUTED_VALUE"""),"")</f>
        <v/>
      </c>
      <c r="I3795" s="2" t="str">
        <f>IFERROR(__xludf.DUMMYFUNCTION("""COMPUTED_VALUE"""),"")</f>
        <v/>
      </c>
      <c r="J3795" s="2">
        <f>IFERROR(__xludf.DUMMYFUNCTION("""COMPUTED_VALUE"""),0.0)</f>
        <v>0</v>
      </c>
      <c r="K3795" s="5" t="str">
        <f>IFERROR(__xludf.DUMMYFUNCTION("""COMPUTED_VALUE"""),"")</f>
        <v/>
      </c>
      <c r="L3795" t="str">
        <f>IFERROR(__xludf.DUMMYFUNCTION("""COMPUTED_VALUE"""),"")</f>
        <v/>
      </c>
      <c r="M3795" t="str">
        <f>IFERROR(__xludf.DUMMYFUNCTION("""COMPUTED_VALUE"""),"")</f>
        <v/>
      </c>
      <c r="N3795" t="str">
        <f>IFERROR(__xludf.DUMMYFUNCTION("""COMPUTED_VALUE"""),"")</f>
        <v/>
      </c>
      <c r="O3795" t="str">
        <f>IFERROR(__xludf.DUMMYFUNCTION("""COMPUTED_VALUE"""),"")</f>
        <v/>
      </c>
      <c r="P3795" t="str">
        <f>IFERROR(__xludf.DUMMYFUNCTION("""COMPUTED_VALUE"""),"ID ")</f>
        <v>ID </v>
      </c>
    </row>
    <row r="3796">
      <c r="A3796" s="6" t="str">
        <f>IFERROR(__xludf.DUMMYFUNCTION("""COMPUTED_VALUE"""),"")</f>
        <v/>
      </c>
      <c r="C3796" t="str">
        <f>IFERROR(__xludf.DUMMYFUNCTION("""COMPUTED_VALUE"""),"")</f>
        <v/>
      </c>
      <c r="D3796" t="str">
        <f>IFERROR(__xludf.DUMMYFUNCTION("""COMPUTED_VALUE"""),"")</f>
        <v/>
      </c>
      <c r="E3796" t="str">
        <f>IFERROR(__xludf.DUMMYFUNCTION("""COMPUTED_VALUE"""),"")</f>
        <v/>
      </c>
      <c r="F3796" t="str">
        <f>IFERROR(__xludf.DUMMYFUNCTION("""COMPUTED_VALUE"""),"")</f>
        <v/>
      </c>
      <c r="G3796" t="str">
        <f>IFERROR(__xludf.DUMMYFUNCTION("""COMPUTED_VALUE"""),"")</f>
        <v/>
      </c>
      <c r="H3796" s="2" t="str">
        <f>IFERROR(__xludf.DUMMYFUNCTION("""COMPUTED_VALUE"""),"")</f>
        <v/>
      </c>
      <c r="I3796" s="2" t="str">
        <f>IFERROR(__xludf.DUMMYFUNCTION("""COMPUTED_VALUE"""),"")</f>
        <v/>
      </c>
      <c r="J3796" s="2">
        <f>IFERROR(__xludf.DUMMYFUNCTION("""COMPUTED_VALUE"""),0.0)</f>
        <v>0</v>
      </c>
      <c r="K3796" s="5" t="str">
        <f>IFERROR(__xludf.DUMMYFUNCTION("""COMPUTED_VALUE"""),"")</f>
        <v/>
      </c>
      <c r="L3796" t="str">
        <f>IFERROR(__xludf.DUMMYFUNCTION("""COMPUTED_VALUE"""),"")</f>
        <v/>
      </c>
      <c r="M3796" t="str">
        <f>IFERROR(__xludf.DUMMYFUNCTION("""COMPUTED_VALUE"""),"")</f>
        <v/>
      </c>
      <c r="N3796" t="str">
        <f>IFERROR(__xludf.DUMMYFUNCTION("""COMPUTED_VALUE"""),"")</f>
        <v/>
      </c>
      <c r="O3796" t="str">
        <f>IFERROR(__xludf.DUMMYFUNCTION("""COMPUTED_VALUE"""),"")</f>
        <v/>
      </c>
      <c r="P3796" t="str">
        <f>IFERROR(__xludf.DUMMYFUNCTION("""COMPUTED_VALUE"""),"ID ")</f>
        <v>ID </v>
      </c>
    </row>
    <row r="3797">
      <c r="A3797" s="6" t="str">
        <f>IFERROR(__xludf.DUMMYFUNCTION("""COMPUTED_VALUE"""),"")</f>
        <v/>
      </c>
      <c r="C3797" t="str">
        <f>IFERROR(__xludf.DUMMYFUNCTION("""COMPUTED_VALUE"""),"")</f>
        <v/>
      </c>
      <c r="D3797" t="str">
        <f>IFERROR(__xludf.DUMMYFUNCTION("""COMPUTED_VALUE"""),"")</f>
        <v/>
      </c>
      <c r="E3797" t="str">
        <f>IFERROR(__xludf.DUMMYFUNCTION("""COMPUTED_VALUE"""),"")</f>
        <v/>
      </c>
      <c r="F3797" t="str">
        <f>IFERROR(__xludf.DUMMYFUNCTION("""COMPUTED_VALUE"""),"")</f>
        <v/>
      </c>
      <c r="G3797" t="str">
        <f>IFERROR(__xludf.DUMMYFUNCTION("""COMPUTED_VALUE"""),"")</f>
        <v/>
      </c>
      <c r="H3797" s="2" t="str">
        <f>IFERROR(__xludf.DUMMYFUNCTION("""COMPUTED_VALUE"""),"")</f>
        <v/>
      </c>
      <c r="I3797" s="2" t="str">
        <f>IFERROR(__xludf.DUMMYFUNCTION("""COMPUTED_VALUE"""),"")</f>
        <v/>
      </c>
      <c r="J3797" s="2">
        <f>IFERROR(__xludf.DUMMYFUNCTION("""COMPUTED_VALUE"""),0.0)</f>
        <v>0</v>
      </c>
      <c r="K3797" s="5" t="str">
        <f>IFERROR(__xludf.DUMMYFUNCTION("""COMPUTED_VALUE"""),"")</f>
        <v/>
      </c>
      <c r="L3797" t="str">
        <f>IFERROR(__xludf.DUMMYFUNCTION("""COMPUTED_VALUE"""),"")</f>
        <v/>
      </c>
      <c r="M3797" t="str">
        <f>IFERROR(__xludf.DUMMYFUNCTION("""COMPUTED_VALUE"""),"")</f>
        <v/>
      </c>
      <c r="N3797" t="str">
        <f>IFERROR(__xludf.DUMMYFUNCTION("""COMPUTED_VALUE"""),"")</f>
        <v/>
      </c>
      <c r="O3797" t="str">
        <f>IFERROR(__xludf.DUMMYFUNCTION("""COMPUTED_VALUE"""),"")</f>
        <v/>
      </c>
      <c r="P3797" t="str">
        <f>IFERROR(__xludf.DUMMYFUNCTION("""COMPUTED_VALUE"""),"ID ")</f>
        <v>ID </v>
      </c>
    </row>
    <row r="3798">
      <c r="A3798" s="6" t="str">
        <f>IFERROR(__xludf.DUMMYFUNCTION("""COMPUTED_VALUE"""),"")</f>
        <v/>
      </c>
      <c r="C3798" t="str">
        <f>IFERROR(__xludf.DUMMYFUNCTION("""COMPUTED_VALUE"""),"")</f>
        <v/>
      </c>
      <c r="D3798" t="str">
        <f>IFERROR(__xludf.DUMMYFUNCTION("""COMPUTED_VALUE"""),"")</f>
        <v/>
      </c>
      <c r="E3798" t="str">
        <f>IFERROR(__xludf.DUMMYFUNCTION("""COMPUTED_VALUE"""),"")</f>
        <v/>
      </c>
      <c r="F3798" t="str">
        <f>IFERROR(__xludf.DUMMYFUNCTION("""COMPUTED_VALUE"""),"")</f>
        <v/>
      </c>
      <c r="G3798" t="str">
        <f>IFERROR(__xludf.DUMMYFUNCTION("""COMPUTED_VALUE"""),"")</f>
        <v/>
      </c>
      <c r="H3798" s="2" t="str">
        <f>IFERROR(__xludf.DUMMYFUNCTION("""COMPUTED_VALUE"""),"")</f>
        <v/>
      </c>
      <c r="I3798" s="2" t="str">
        <f>IFERROR(__xludf.DUMMYFUNCTION("""COMPUTED_VALUE"""),"")</f>
        <v/>
      </c>
      <c r="J3798" s="2">
        <f>IFERROR(__xludf.DUMMYFUNCTION("""COMPUTED_VALUE"""),0.0)</f>
        <v>0</v>
      </c>
      <c r="K3798" s="5" t="str">
        <f>IFERROR(__xludf.DUMMYFUNCTION("""COMPUTED_VALUE"""),"")</f>
        <v/>
      </c>
      <c r="L3798" t="str">
        <f>IFERROR(__xludf.DUMMYFUNCTION("""COMPUTED_VALUE"""),"")</f>
        <v/>
      </c>
      <c r="M3798" t="str">
        <f>IFERROR(__xludf.DUMMYFUNCTION("""COMPUTED_VALUE"""),"")</f>
        <v/>
      </c>
      <c r="N3798" t="str">
        <f>IFERROR(__xludf.DUMMYFUNCTION("""COMPUTED_VALUE"""),"")</f>
        <v/>
      </c>
      <c r="O3798" t="str">
        <f>IFERROR(__xludf.DUMMYFUNCTION("""COMPUTED_VALUE"""),"")</f>
        <v/>
      </c>
      <c r="P3798" t="str">
        <f>IFERROR(__xludf.DUMMYFUNCTION("""COMPUTED_VALUE"""),"ID ")</f>
        <v>ID </v>
      </c>
    </row>
    <row r="3799">
      <c r="A3799" s="6" t="str">
        <f>IFERROR(__xludf.DUMMYFUNCTION("""COMPUTED_VALUE"""),"")</f>
        <v/>
      </c>
      <c r="C3799" t="str">
        <f>IFERROR(__xludf.DUMMYFUNCTION("""COMPUTED_VALUE"""),"")</f>
        <v/>
      </c>
      <c r="D3799" t="str">
        <f>IFERROR(__xludf.DUMMYFUNCTION("""COMPUTED_VALUE"""),"")</f>
        <v/>
      </c>
      <c r="E3799" t="str">
        <f>IFERROR(__xludf.DUMMYFUNCTION("""COMPUTED_VALUE"""),"")</f>
        <v/>
      </c>
      <c r="F3799" t="str">
        <f>IFERROR(__xludf.DUMMYFUNCTION("""COMPUTED_VALUE"""),"")</f>
        <v/>
      </c>
      <c r="G3799" t="str">
        <f>IFERROR(__xludf.DUMMYFUNCTION("""COMPUTED_VALUE"""),"")</f>
        <v/>
      </c>
      <c r="H3799" s="2" t="str">
        <f>IFERROR(__xludf.DUMMYFUNCTION("""COMPUTED_VALUE"""),"")</f>
        <v/>
      </c>
      <c r="I3799" s="2" t="str">
        <f>IFERROR(__xludf.DUMMYFUNCTION("""COMPUTED_VALUE"""),"")</f>
        <v/>
      </c>
      <c r="J3799" s="2">
        <f>IFERROR(__xludf.DUMMYFUNCTION("""COMPUTED_VALUE"""),0.0)</f>
        <v>0</v>
      </c>
      <c r="K3799" s="5" t="str">
        <f>IFERROR(__xludf.DUMMYFUNCTION("""COMPUTED_VALUE"""),"")</f>
        <v/>
      </c>
      <c r="L3799" t="str">
        <f>IFERROR(__xludf.DUMMYFUNCTION("""COMPUTED_VALUE"""),"")</f>
        <v/>
      </c>
      <c r="M3799" t="str">
        <f>IFERROR(__xludf.DUMMYFUNCTION("""COMPUTED_VALUE"""),"")</f>
        <v/>
      </c>
      <c r="N3799" t="str">
        <f>IFERROR(__xludf.DUMMYFUNCTION("""COMPUTED_VALUE"""),"")</f>
        <v/>
      </c>
      <c r="O3799" t="str">
        <f>IFERROR(__xludf.DUMMYFUNCTION("""COMPUTED_VALUE"""),"")</f>
        <v/>
      </c>
      <c r="P3799" t="str">
        <f>IFERROR(__xludf.DUMMYFUNCTION("""COMPUTED_VALUE"""),"ID ")</f>
        <v>ID </v>
      </c>
    </row>
    <row r="3800">
      <c r="A3800" s="6" t="str">
        <f>IFERROR(__xludf.DUMMYFUNCTION("""COMPUTED_VALUE"""),"")</f>
        <v/>
      </c>
      <c r="C3800" t="str">
        <f>IFERROR(__xludf.DUMMYFUNCTION("""COMPUTED_VALUE"""),"")</f>
        <v/>
      </c>
      <c r="D3800" t="str">
        <f>IFERROR(__xludf.DUMMYFUNCTION("""COMPUTED_VALUE"""),"")</f>
        <v/>
      </c>
      <c r="E3800" t="str">
        <f>IFERROR(__xludf.DUMMYFUNCTION("""COMPUTED_VALUE"""),"")</f>
        <v/>
      </c>
      <c r="F3800" t="str">
        <f>IFERROR(__xludf.DUMMYFUNCTION("""COMPUTED_VALUE"""),"")</f>
        <v/>
      </c>
      <c r="G3800" t="str">
        <f>IFERROR(__xludf.DUMMYFUNCTION("""COMPUTED_VALUE"""),"")</f>
        <v/>
      </c>
      <c r="H3800" s="2" t="str">
        <f>IFERROR(__xludf.DUMMYFUNCTION("""COMPUTED_VALUE"""),"")</f>
        <v/>
      </c>
      <c r="I3800" s="2" t="str">
        <f>IFERROR(__xludf.DUMMYFUNCTION("""COMPUTED_VALUE"""),"")</f>
        <v/>
      </c>
      <c r="J3800" s="2">
        <f>IFERROR(__xludf.DUMMYFUNCTION("""COMPUTED_VALUE"""),0.0)</f>
        <v>0</v>
      </c>
      <c r="K3800" s="5" t="str">
        <f>IFERROR(__xludf.DUMMYFUNCTION("""COMPUTED_VALUE"""),"")</f>
        <v/>
      </c>
      <c r="L3800" t="str">
        <f>IFERROR(__xludf.DUMMYFUNCTION("""COMPUTED_VALUE"""),"")</f>
        <v/>
      </c>
      <c r="M3800" t="str">
        <f>IFERROR(__xludf.DUMMYFUNCTION("""COMPUTED_VALUE"""),"")</f>
        <v/>
      </c>
      <c r="N3800" t="str">
        <f>IFERROR(__xludf.DUMMYFUNCTION("""COMPUTED_VALUE"""),"")</f>
        <v/>
      </c>
      <c r="O3800" t="str">
        <f>IFERROR(__xludf.DUMMYFUNCTION("""COMPUTED_VALUE"""),"")</f>
        <v/>
      </c>
      <c r="P3800" t="str">
        <f>IFERROR(__xludf.DUMMYFUNCTION("""COMPUTED_VALUE"""),"ID ")</f>
        <v>ID </v>
      </c>
    </row>
    <row r="3801">
      <c r="A3801" s="6" t="str">
        <f>IFERROR(__xludf.DUMMYFUNCTION("""COMPUTED_VALUE"""),"")</f>
        <v/>
      </c>
      <c r="C3801" t="str">
        <f>IFERROR(__xludf.DUMMYFUNCTION("""COMPUTED_VALUE"""),"")</f>
        <v/>
      </c>
      <c r="D3801" t="str">
        <f>IFERROR(__xludf.DUMMYFUNCTION("""COMPUTED_VALUE"""),"")</f>
        <v/>
      </c>
      <c r="E3801" t="str">
        <f>IFERROR(__xludf.DUMMYFUNCTION("""COMPUTED_VALUE"""),"")</f>
        <v/>
      </c>
      <c r="F3801" t="str">
        <f>IFERROR(__xludf.DUMMYFUNCTION("""COMPUTED_VALUE"""),"")</f>
        <v/>
      </c>
      <c r="G3801" t="str">
        <f>IFERROR(__xludf.DUMMYFUNCTION("""COMPUTED_VALUE"""),"")</f>
        <v/>
      </c>
      <c r="H3801" s="2" t="str">
        <f>IFERROR(__xludf.DUMMYFUNCTION("""COMPUTED_VALUE"""),"")</f>
        <v/>
      </c>
      <c r="I3801" s="2" t="str">
        <f>IFERROR(__xludf.DUMMYFUNCTION("""COMPUTED_VALUE"""),"")</f>
        <v/>
      </c>
      <c r="J3801" s="2">
        <f>IFERROR(__xludf.DUMMYFUNCTION("""COMPUTED_VALUE"""),0.0)</f>
        <v>0</v>
      </c>
      <c r="K3801" s="5" t="str">
        <f>IFERROR(__xludf.DUMMYFUNCTION("""COMPUTED_VALUE"""),"")</f>
        <v/>
      </c>
      <c r="L3801" t="str">
        <f>IFERROR(__xludf.DUMMYFUNCTION("""COMPUTED_VALUE"""),"")</f>
        <v/>
      </c>
      <c r="M3801" t="str">
        <f>IFERROR(__xludf.DUMMYFUNCTION("""COMPUTED_VALUE"""),"")</f>
        <v/>
      </c>
      <c r="N3801" t="str">
        <f>IFERROR(__xludf.DUMMYFUNCTION("""COMPUTED_VALUE"""),"")</f>
        <v/>
      </c>
      <c r="O3801" t="str">
        <f>IFERROR(__xludf.DUMMYFUNCTION("""COMPUTED_VALUE"""),"")</f>
        <v/>
      </c>
      <c r="P3801" t="str">
        <f>IFERROR(__xludf.DUMMYFUNCTION("""COMPUTED_VALUE"""),"ID ")</f>
        <v>ID </v>
      </c>
    </row>
    <row r="3802">
      <c r="A3802" s="6" t="str">
        <f>IFERROR(__xludf.DUMMYFUNCTION("""COMPUTED_VALUE"""),"")</f>
        <v/>
      </c>
      <c r="C3802" t="str">
        <f>IFERROR(__xludf.DUMMYFUNCTION("""COMPUTED_VALUE"""),"")</f>
        <v/>
      </c>
      <c r="D3802" t="str">
        <f>IFERROR(__xludf.DUMMYFUNCTION("""COMPUTED_VALUE"""),"")</f>
        <v/>
      </c>
      <c r="E3802" t="str">
        <f>IFERROR(__xludf.DUMMYFUNCTION("""COMPUTED_VALUE"""),"")</f>
        <v/>
      </c>
      <c r="F3802" t="str">
        <f>IFERROR(__xludf.DUMMYFUNCTION("""COMPUTED_VALUE"""),"")</f>
        <v/>
      </c>
      <c r="G3802" t="str">
        <f>IFERROR(__xludf.DUMMYFUNCTION("""COMPUTED_VALUE"""),"")</f>
        <v/>
      </c>
      <c r="H3802" s="2" t="str">
        <f>IFERROR(__xludf.DUMMYFUNCTION("""COMPUTED_VALUE"""),"")</f>
        <v/>
      </c>
      <c r="I3802" s="2" t="str">
        <f>IFERROR(__xludf.DUMMYFUNCTION("""COMPUTED_VALUE"""),"")</f>
        <v/>
      </c>
      <c r="J3802" s="2">
        <f>IFERROR(__xludf.DUMMYFUNCTION("""COMPUTED_VALUE"""),0.0)</f>
        <v>0</v>
      </c>
      <c r="K3802" s="5" t="str">
        <f>IFERROR(__xludf.DUMMYFUNCTION("""COMPUTED_VALUE"""),"")</f>
        <v/>
      </c>
      <c r="L3802" t="str">
        <f>IFERROR(__xludf.DUMMYFUNCTION("""COMPUTED_VALUE"""),"")</f>
        <v/>
      </c>
      <c r="M3802" t="str">
        <f>IFERROR(__xludf.DUMMYFUNCTION("""COMPUTED_VALUE"""),"")</f>
        <v/>
      </c>
      <c r="N3802" t="str">
        <f>IFERROR(__xludf.DUMMYFUNCTION("""COMPUTED_VALUE"""),"")</f>
        <v/>
      </c>
      <c r="O3802" t="str">
        <f>IFERROR(__xludf.DUMMYFUNCTION("""COMPUTED_VALUE"""),"")</f>
        <v/>
      </c>
      <c r="P3802" t="str">
        <f>IFERROR(__xludf.DUMMYFUNCTION("""COMPUTED_VALUE"""),"ID ")</f>
        <v>ID </v>
      </c>
    </row>
    <row r="3803">
      <c r="A3803" s="6" t="str">
        <f>IFERROR(__xludf.DUMMYFUNCTION("""COMPUTED_VALUE"""),"")</f>
        <v/>
      </c>
      <c r="C3803" t="str">
        <f>IFERROR(__xludf.DUMMYFUNCTION("""COMPUTED_VALUE"""),"")</f>
        <v/>
      </c>
      <c r="D3803" t="str">
        <f>IFERROR(__xludf.DUMMYFUNCTION("""COMPUTED_VALUE"""),"")</f>
        <v/>
      </c>
      <c r="E3803" t="str">
        <f>IFERROR(__xludf.DUMMYFUNCTION("""COMPUTED_VALUE"""),"")</f>
        <v/>
      </c>
      <c r="F3803" t="str">
        <f>IFERROR(__xludf.DUMMYFUNCTION("""COMPUTED_VALUE"""),"")</f>
        <v/>
      </c>
      <c r="G3803" t="str">
        <f>IFERROR(__xludf.DUMMYFUNCTION("""COMPUTED_VALUE"""),"")</f>
        <v/>
      </c>
      <c r="H3803" s="2" t="str">
        <f>IFERROR(__xludf.DUMMYFUNCTION("""COMPUTED_VALUE"""),"")</f>
        <v/>
      </c>
      <c r="I3803" s="2" t="str">
        <f>IFERROR(__xludf.DUMMYFUNCTION("""COMPUTED_VALUE"""),"")</f>
        <v/>
      </c>
      <c r="J3803" s="2">
        <f>IFERROR(__xludf.DUMMYFUNCTION("""COMPUTED_VALUE"""),0.0)</f>
        <v>0</v>
      </c>
      <c r="K3803" s="5" t="str">
        <f>IFERROR(__xludf.DUMMYFUNCTION("""COMPUTED_VALUE"""),"")</f>
        <v/>
      </c>
      <c r="L3803" t="str">
        <f>IFERROR(__xludf.DUMMYFUNCTION("""COMPUTED_VALUE"""),"")</f>
        <v/>
      </c>
      <c r="M3803" t="str">
        <f>IFERROR(__xludf.DUMMYFUNCTION("""COMPUTED_VALUE"""),"")</f>
        <v/>
      </c>
      <c r="N3803" t="str">
        <f>IFERROR(__xludf.DUMMYFUNCTION("""COMPUTED_VALUE"""),"")</f>
        <v/>
      </c>
      <c r="O3803" t="str">
        <f>IFERROR(__xludf.DUMMYFUNCTION("""COMPUTED_VALUE"""),"")</f>
        <v/>
      </c>
      <c r="P3803" t="str">
        <f>IFERROR(__xludf.DUMMYFUNCTION("""COMPUTED_VALUE"""),"ID ")</f>
        <v>ID </v>
      </c>
    </row>
    <row r="3804">
      <c r="A3804" s="6" t="str">
        <f>IFERROR(__xludf.DUMMYFUNCTION("""COMPUTED_VALUE"""),"")</f>
        <v/>
      </c>
      <c r="C3804" t="str">
        <f>IFERROR(__xludf.DUMMYFUNCTION("""COMPUTED_VALUE"""),"")</f>
        <v/>
      </c>
      <c r="D3804" t="str">
        <f>IFERROR(__xludf.DUMMYFUNCTION("""COMPUTED_VALUE"""),"")</f>
        <v/>
      </c>
      <c r="E3804" t="str">
        <f>IFERROR(__xludf.DUMMYFUNCTION("""COMPUTED_VALUE"""),"")</f>
        <v/>
      </c>
      <c r="F3804" t="str">
        <f>IFERROR(__xludf.DUMMYFUNCTION("""COMPUTED_VALUE"""),"")</f>
        <v/>
      </c>
      <c r="G3804" t="str">
        <f>IFERROR(__xludf.DUMMYFUNCTION("""COMPUTED_VALUE"""),"")</f>
        <v/>
      </c>
      <c r="H3804" s="2" t="str">
        <f>IFERROR(__xludf.DUMMYFUNCTION("""COMPUTED_VALUE"""),"")</f>
        <v/>
      </c>
      <c r="I3804" s="2" t="str">
        <f>IFERROR(__xludf.DUMMYFUNCTION("""COMPUTED_VALUE"""),"")</f>
        <v/>
      </c>
      <c r="J3804" s="2">
        <f>IFERROR(__xludf.DUMMYFUNCTION("""COMPUTED_VALUE"""),0.0)</f>
        <v>0</v>
      </c>
      <c r="K3804" s="5" t="str">
        <f>IFERROR(__xludf.DUMMYFUNCTION("""COMPUTED_VALUE"""),"")</f>
        <v/>
      </c>
      <c r="L3804" t="str">
        <f>IFERROR(__xludf.DUMMYFUNCTION("""COMPUTED_VALUE"""),"")</f>
        <v/>
      </c>
      <c r="M3804" t="str">
        <f>IFERROR(__xludf.DUMMYFUNCTION("""COMPUTED_VALUE"""),"")</f>
        <v/>
      </c>
      <c r="N3804" t="str">
        <f>IFERROR(__xludf.DUMMYFUNCTION("""COMPUTED_VALUE"""),"")</f>
        <v/>
      </c>
      <c r="O3804" t="str">
        <f>IFERROR(__xludf.DUMMYFUNCTION("""COMPUTED_VALUE"""),"")</f>
        <v/>
      </c>
      <c r="P3804" t="str">
        <f>IFERROR(__xludf.DUMMYFUNCTION("""COMPUTED_VALUE"""),"ID ")</f>
        <v>ID </v>
      </c>
    </row>
    <row r="3805">
      <c r="A3805" s="6" t="str">
        <f>IFERROR(__xludf.DUMMYFUNCTION("""COMPUTED_VALUE"""),"")</f>
        <v/>
      </c>
      <c r="C3805" t="str">
        <f>IFERROR(__xludf.DUMMYFUNCTION("""COMPUTED_VALUE"""),"")</f>
        <v/>
      </c>
      <c r="D3805" t="str">
        <f>IFERROR(__xludf.DUMMYFUNCTION("""COMPUTED_VALUE"""),"")</f>
        <v/>
      </c>
      <c r="E3805" t="str">
        <f>IFERROR(__xludf.DUMMYFUNCTION("""COMPUTED_VALUE"""),"")</f>
        <v/>
      </c>
      <c r="F3805" t="str">
        <f>IFERROR(__xludf.DUMMYFUNCTION("""COMPUTED_VALUE"""),"")</f>
        <v/>
      </c>
      <c r="G3805" t="str">
        <f>IFERROR(__xludf.DUMMYFUNCTION("""COMPUTED_VALUE"""),"")</f>
        <v/>
      </c>
      <c r="H3805" s="2" t="str">
        <f>IFERROR(__xludf.DUMMYFUNCTION("""COMPUTED_VALUE"""),"")</f>
        <v/>
      </c>
      <c r="I3805" s="2" t="str">
        <f>IFERROR(__xludf.DUMMYFUNCTION("""COMPUTED_VALUE"""),"")</f>
        <v/>
      </c>
      <c r="J3805" s="2">
        <f>IFERROR(__xludf.DUMMYFUNCTION("""COMPUTED_VALUE"""),0.0)</f>
        <v>0</v>
      </c>
      <c r="K3805" s="5" t="str">
        <f>IFERROR(__xludf.DUMMYFUNCTION("""COMPUTED_VALUE"""),"")</f>
        <v/>
      </c>
      <c r="L3805" t="str">
        <f>IFERROR(__xludf.DUMMYFUNCTION("""COMPUTED_VALUE"""),"")</f>
        <v/>
      </c>
      <c r="M3805" t="str">
        <f>IFERROR(__xludf.DUMMYFUNCTION("""COMPUTED_VALUE"""),"")</f>
        <v/>
      </c>
      <c r="N3805" t="str">
        <f>IFERROR(__xludf.DUMMYFUNCTION("""COMPUTED_VALUE"""),"")</f>
        <v/>
      </c>
      <c r="O3805" t="str">
        <f>IFERROR(__xludf.DUMMYFUNCTION("""COMPUTED_VALUE"""),"")</f>
        <v/>
      </c>
      <c r="P3805" t="str">
        <f>IFERROR(__xludf.DUMMYFUNCTION("""COMPUTED_VALUE"""),"ID ")</f>
        <v>ID </v>
      </c>
    </row>
    <row r="3806">
      <c r="A3806" s="6" t="str">
        <f>IFERROR(__xludf.DUMMYFUNCTION("""COMPUTED_VALUE"""),"")</f>
        <v/>
      </c>
      <c r="C3806" t="str">
        <f>IFERROR(__xludf.DUMMYFUNCTION("""COMPUTED_VALUE"""),"")</f>
        <v/>
      </c>
      <c r="D3806" t="str">
        <f>IFERROR(__xludf.DUMMYFUNCTION("""COMPUTED_VALUE"""),"")</f>
        <v/>
      </c>
      <c r="E3806" t="str">
        <f>IFERROR(__xludf.DUMMYFUNCTION("""COMPUTED_VALUE"""),"")</f>
        <v/>
      </c>
      <c r="F3806" t="str">
        <f>IFERROR(__xludf.DUMMYFUNCTION("""COMPUTED_VALUE"""),"")</f>
        <v/>
      </c>
      <c r="G3806" t="str">
        <f>IFERROR(__xludf.DUMMYFUNCTION("""COMPUTED_VALUE"""),"")</f>
        <v/>
      </c>
      <c r="H3806" s="2" t="str">
        <f>IFERROR(__xludf.DUMMYFUNCTION("""COMPUTED_VALUE"""),"")</f>
        <v/>
      </c>
      <c r="I3806" s="2" t="str">
        <f>IFERROR(__xludf.DUMMYFUNCTION("""COMPUTED_VALUE"""),"")</f>
        <v/>
      </c>
      <c r="J3806" s="2">
        <f>IFERROR(__xludf.DUMMYFUNCTION("""COMPUTED_VALUE"""),0.0)</f>
        <v>0</v>
      </c>
      <c r="K3806" s="5" t="str">
        <f>IFERROR(__xludf.DUMMYFUNCTION("""COMPUTED_VALUE"""),"")</f>
        <v/>
      </c>
      <c r="L3806" t="str">
        <f>IFERROR(__xludf.DUMMYFUNCTION("""COMPUTED_VALUE"""),"")</f>
        <v/>
      </c>
      <c r="M3806" t="str">
        <f>IFERROR(__xludf.DUMMYFUNCTION("""COMPUTED_VALUE"""),"")</f>
        <v/>
      </c>
      <c r="N3806" t="str">
        <f>IFERROR(__xludf.DUMMYFUNCTION("""COMPUTED_VALUE"""),"")</f>
        <v/>
      </c>
      <c r="O3806" t="str">
        <f>IFERROR(__xludf.DUMMYFUNCTION("""COMPUTED_VALUE"""),"")</f>
        <v/>
      </c>
      <c r="P3806" t="str">
        <f>IFERROR(__xludf.DUMMYFUNCTION("""COMPUTED_VALUE"""),"ID ")</f>
        <v>ID </v>
      </c>
    </row>
    <row r="3807">
      <c r="A3807" s="6" t="str">
        <f>IFERROR(__xludf.DUMMYFUNCTION("""COMPUTED_VALUE"""),"")</f>
        <v/>
      </c>
      <c r="C3807" t="str">
        <f>IFERROR(__xludf.DUMMYFUNCTION("""COMPUTED_VALUE"""),"")</f>
        <v/>
      </c>
      <c r="D3807" t="str">
        <f>IFERROR(__xludf.DUMMYFUNCTION("""COMPUTED_VALUE"""),"")</f>
        <v/>
      </c>
      <c r="E3807" t="str">
        <f>IFERROR(__xludf.DUMMYFUNCTION("""COMPUTED_VALUE"""),"")</f>
        <v/>
      </c>
      <c r="F3807" t="str">
        <f>IFERROR(__xludf.DUMMYFUNCTION("""COMPUTED_VALUE"""),"")</f>
        <v/>
      </c>
      <c r="G3807" t="str">
        <f>IFERROR(__xludf.DUMMYFUNCTION("""COMPUTED_VALUE"""),"")</f>
        <v/>
      </c>
      <c r="H3807" s="2" t="str">
        <f>IFERROR(__xludf.DUMMYFUNCTION("""COMPUTED_VALUE"""),"")</f>
        <v/>
      </c>
      <c r="I3807" s="2" t="str">
        <f>IFERROR(__xludf.DUMMYFUNCTION("""COMPUTED_VALUE"""),"")</f>
        <v/>
      </c>
      <c r="J3807" s="2">
        <f>IFERROR(__xludf.DUMMYFUNCTION("""COMPUTED_VALUE"""),0.0)</f>
        <v>0</v>
      </c>
      <c r="K3807" s="5" t="str">
        <f>IFERROR(__xludf.DUMMYFUNCTION("""COMPUTED_VALUE"""),"")</f>
        <v/>
      </c>
      <c r="L3807" t="str">
        <f>IFERROR(__xludf.DUMMYFUNCTION("""COMPUTED_VALUE"""),"")</f>
        <v/>
      </c>
      <c r="M3807" t="str">
        <f>IFERROR(__xludf.DUMMYFUNCTION("""COMPUTED_VALUE"""),"")</f>
        <v/>
      </c>
      <c r="N3807" t="str">
        <f>IFERROR(__xludf.DUMMYFUNCTION("""COMPUTED_VALUE"""),"")</f>
        <v/>
      </c>
      <c r="O3807" t="str">
        <f>IFERROR(__xludf.DUMMYFUNCTION("""COMPUTED_VALUE"""),"")</f>
        <v/>
      </c>
      <c r="P3807" t="str">
        <f>IFERROR(__xludf.DUMMYFUNCTION("""COMPUTED_VALUE"""),"ID ")</f>
        <v>ID </v>
      </c>
    </row>
    <row r="3808">
      <c r="A3808" s="6" t="str">
        <f>IFERROR(__xludf.DUMMYFUNCTION("""COMPUTED_VALUE"""),"")</f>
        <v/>
      </c>
      <c r="C3808" t="str">
        <f>IFERROR(__xludf.DUMMYFUNCTION("""COMPUTED_VALUE"""),"")</f>
        <v/>
      </c>
      <c r="D3808" t="str">
        <f>IFERROR(__xludf.DUMMYFUNCTION("""COMPUTED_VALUE"""),"")</f>
        <v/>
      </c>
      <c r="E3808" t="str">
        <f>IFERROR(__xludf.DUMMYFUNCTION("""COMPUTED_VALUE"""),"")</f>
        <v/>
      </c>
      <c r="F3808" t="str">
        <f>IFERROR(__xludf.DUMMYFUNCTION("""COMPUTED_VALUE"""),"")</f>
        <v/>
      </c>
      <c r="G3808" t="str">
        <f>IFERROR(__xludf.DUMMYFUNCTION("""COMPUTED_VALUE"""),"")</f>
        <v/>
      </c>
      <c r="H3808" s="2" t="str">
        <f>IFERROR(__xludf.DUMMYFUNCTION("""COMPUTED_VALUE"""),"")</f>
        <v/>
      </c>
      <c r="I3808" s="2" t="str">
        <f>IFERROR(__xludf.DUMMYFUNCTION("""COMPUTED_VALUE"""),"")</f>
        <v/>
      </c>
      <c r="J3808" s="2">
        <f>IFERROR(__xludf.DUMMYFUNCTION("""COMPUTED_VALUE"""),0.0)</f>
        <v>0</v>
      </c>
      <c r="K3808" s="5" t="str">
        <f>IFERROR(__xludf.DUMMYFUNCTION("""COMPUTED_VALUE"""),"")</f>
        <v/>
      </c>
      <c r="L3808" t="str">
        <f>IFERROR(__xludf.DUMMYFUNCTION("""COMPUTED_VALUE"""),"")</f>
        <v/>
      </c>
      <c r="M3808" t="str">
        <f>IFERROR(__xludf.DUMMYFUNCTION("""COMPUTED_VALUE"""),"")</f>
        <v/>
      </c>
      <c r="N3808" t="str">
        <f>IFERROR(__xludf.DUMMYFUNCTION("""COMPUTED_VALUE"""),"")</f>
        <v/>
      </c>
      <c r="O3808" t="str">
        <f>IFERROR(__xludf.DUMMYFUNCTION("""COMPUTED_VALUE"""),"")</f>
        <v/>
      </c>
      <c r="P3808" t="str">
        <f>IFERROR(__xludf.DUMMYFUNCTION("""COMPUTED_VALUE"""),"ID ")</f>
        <v>ID </v>
      </c>
    </row>
    <row r="3809">
      <c r="A3809" s="6" t="str">
        <f>IFERROR(__xludf.DUMMYFUNCTION("""COMPUTED_VALUE"""),"")</f>
        <v/>
      </c>
      <c r="C3809" t="str">
        <f>IFERROR(__xludf.DUMMYFUNCTION("""COMPUTED_VALUE"""),"")</f>
        <v/>
      </c>
      <c r="D3809" t="str">
        <f>IFERROR(__xludf.DUMMYFUNCTION("""COMPUTED_VALUE"""),"")</f>
        <v/>
      </c>
      <c r="E3809" t="str">
        <f>IFERROR(__xludf.DUMMYFUNCTION("""COMPUTED_VALUE"""),"")</f>
        <v/>
      </c>
      <c r="F3809" t="str">
        <f>IFERROR(__xludf.DUMMYFUNCTION("""COMPUTED_VALUE"""),"")</f>
        <v/>
      </c>
      <c r="G3809" t="str">
        <f>IFERROR(__xludf.DUMMYFUNCTION("""COMPUTED_VALUE"""),"")</f>
        <v/>
      </c>
      <c r="H3809" s="2" t="str">
        <f>IFERROR(__xludf.DUMMYFUNCTION("""COMPUTED_VALUE"""),"")</f>
        <v/>
      </c>
      <c r="I3809" s="2" t="str">
        <f>IFERROR(__xludf.DUMMYFUNCTION("""COMPUTED_VALUE"""),"")</f>
        <v/>
      </c>
      <c r="J3809" s="2">
        <f>IFERROR(__xludf.DUMMYFUNCTION("""COMPUTED_VALUE"""),0.0)</f>
        <v>0</v>
      </c>
      <c r="K3809" s="5" t="str">
        <f>IFERROR(__xludf.DUMMYFUNCTION("""COMPUTED_VALUE"""),"")</f>
        <v/>
      </c>
      <c r="L3809" t="str">
        <f>IFERROR(__xludf.DUMMYFUNCTION("""COMPUTED_VALUE"""),"")</f>
        <v/>
      </c>
      <c r="M3809" t="str">
        <f>IFERROR(__xludf.DUMMYFUNCTION("""COMPUTED_VALUE"""),"")</f>
        <v/>
      </c>
      <c r="N3809" t="str">
        <f>IFERROR(__xludf.DUMMYFUNCTION("""COMPUTED_VALUE"""),"")</f>
        <v/>
      </c>
      <c r="O3809" t="str">
        <f>IFERROR(__xludf.DUMMYFUNCTION("""COMPUTED_VALUE"""),"")</f>
        <v/>
      </c>
      <c r="P3809" t="str">
        <f>IFERROR(__xludf.DUMMYFUNCTION("""COMPUTED_VALUE"""),"ID ")</f>
        <v>ID </v>
      </c>
    </row>
    <row r="3810">
      <c r="A3810" s="6" t="str">
        <f>IFERROR(__xludf.DUMMYFUNCTION("""COMPUTED_VALUE"""),"")</f>
        <v/>
      </c>
      <c r="C3810" t="str">
        <f>IFERROR(__xludf.DUMMYFUNCTION("""COMPUTED_VALUE"""),"")</f>
        <v/>
      </c>
      <c r="D3810" t="str">
        <f>IFERROR(__xludf.DUMMYFUNCTION("""COMPUTED_VALUE"""),"")</f>
        <v/>
      </c>
      <c r="E3810" t="str">
        <f>IFERROR(__xludf.DUMMYFUNCTION("""COMPUTED_VALUE"""),"")</f>
        <v/>
      </c>
      <c r="F3810" t="str">
        <f>IFERROR(__xludf.DUMMYFUNCTION("""COMPUTED_VALUE"""),"")</f>
        <v/>
      </c>
      <c r="G3810" t="str">
        <f>IFERROR(__xludf.DUMMYFUNCTION("""COMPUTED_VALUE"""),"")</f>
        <v/>
      </c>
      <c r="H3810" s="2" t="str">
        <f>IFERROR(__xludf.DUMMYFUNCTION("""COMPUTED_VALUE"""),"")</f>
        <v/>
      </c>
      <c r="I3810" s="2" t="str">
        <f>IFERROR(__xludf.DUMMYFUNCTION("""COMPUTED_VALUE"""),"")</f>
        <v/>
      </c>
      <c r="J3810" s="2">
        <f>IFERROR(__xludf.DUMMYFUNCTION("""COMPUTED_VALUE"""),0.0)</f>
        <v>0</v>
      </c>
      <c r="K3810" s="5" t="str">
        <f>IFERROR(__xludf.DUMMYFUNCTION("""COMPUTED_VALUE"""),"")</f>
        <v/>
      </c>
      <c r="L3810" t="str">
        <f>IFERROR(__xludf.DUMMYFUNCTION("""COMPUTED_VALUE"""),"")</f>
        <v/>
      </c>
      <c r="M3810" t="str">
        <f>IFERROR(__xludf.DUMMYFUNCTION("""COMPUTED_VALUE"""),"")</f>
        <v/>
      </c>
      <c r="N3810" t="str">
        <f>IFERROR(__xludf.DUMMYFUNCTION("""COMPUTED_VALUE"""),"")</f>
        <v/>
      </c>
      <c r="O3810" t="str">
        <f>IFERROR(__xludf.DUMMYFUNCTION("""COMPUTED_VALUE"""),"")</f>
        <v/>
      </c>
      <c r="P3810" t="str">
        <f>IFERROR(__xludf.DUMMYFUNCTION("""COMPUTED_VALUE"""),"ID ")</f>
        <v>ID </v>
      </c>
    </row>
    <row r="3811">
      <c r="A3811" s="6" t="str">
        <f>IFERROR(__xludf.DUMMYFUNCTION("""COMPUTED_VALUE"""),"")</f>
        <v/>
      </c>
      <c r="C3811" t="str">
        <f>IFERROR(__xludf.DUMMYFUNCTION("""COMPUTED_VALUE"""),"")</f>
        <v/>
      </c>
      <c r="D3811" t="str">
        <f>IFERROR(__xludf.DUMMYFUNCTION("""COMPUTED_VALUE"""),"")</f>
        <v/>
      </c>
      <c r="E3811" t="str">
        <f>IFERROR(__xludf.DUMMYFUNCTION("""COMPUTED_VALUE"""),"")</f>
        <v/>
      </c>
      <c r="F3811" t="str">
        <f>IFERROR(__xludf.DUMMYFUNCTION("""COMPUTED_VALUE"""),"")</f>
        <v/>
      </c>
      <c r="G3811" t="str">
        <f>IFERROR(__xludf.DUMMYFUNCTION("""COMPUTED_VALUE"""),"")</f>
        <v/>
      </c>
      <c r="H3811" s="2" t="str">
        <f>IFERROR(__xludf.DUMMYFUNCTION("""COMPUTED_VALUE"""),"")</f>
        <v/>
      </c>
      <c r="I3811" s="2" t="str">
        <f>IFERROR(__xludf.DUMMYFUNCTION("""COMPUTED_VALUE"""),"")</f>
        <v/>
      </c>
      <c r="J3811" s="2">
        <f>IFERROR(__xludf.DUMMYFUNCTION("""COMPUTED_VALUE"""),0.0)</f>
        <v>0</v>
      </c>
      <c r="K3811" s="5" t="str">
        <f>IFERROR(__xludf.DUMMYFUNCTION("""COMPUTED_VALUE"""),"")</f>
        <v/>
      </c>
      <c r="L3811" t="str">
        <f>IFERROR(__xludf.DUMMYFUNCTION("""COMPUTED_VALUE"""),"")</f>
        <v/>
      </c>
      <c r="M3811" t="str">
        <f>IFERROR(__xludf.DUMMYFUNCTION("""COMPUTED_VALUE"""),"")</f>
        <v/>
      </c>
      <c r="N3811" t="str">
        <f>IFERROR(__xludf.DUMMYFUNCTION("""COMPUTED_VALUE"""),"")</f>
        <v/>
      </c>
      <c r="O3811" t="str">
        <f>IFERROR(__xludf.DUMMYFUNCTION("""COMPUTED_VALUE"""),"")</f>
        <v/>
      </c>
      <c r="P3811" t="str">
        <f>IFERROR(__xludf.DUMMYFUNCTION("""COMPUTED_VALUE"""),"ID ")</f>
        <v>ID </v>
      </c>
    </row>
    <row r="3812">
      <c r="A3812" s="6" t="str">
        <f>IFERROR(__xludf.DUMMYFUNCTION("""COMPUTED_VALUE"""),"")</f>
        <v/>
      </c>
      <c r="C3812" t="str">
        <f>IFERROR(__xludf.DUMMYFUNCTION("""COMPUTED_VALUE"""),"")</f>
        <v/>
      </c>
      <c r="D3812" t="str">
        <f>IFERROR(__xludf.DUMMYFUNCTION("""COMPUTED_VALUE"""),"")</f>
        <v/>
      </c>
      <c r="E3812" t="str">
        <f>IFERROR(__xludf.DUMMYFUNCTION("""COMPUTED_VALUE"""),"")</f>
        <v/>
      </c>
      <c r="F3812" t="str">
        <f>IFERROR(__xludf.DUMMYFUNCTION("""COMPUTED_VALUE"""),"")</f>
        <v/>
      </c>
      <c r="G3812" t="str">
        <f>IFERROR(__xludf.DUMMYFUNCTION("""COMPUTED_VALUE"""),"")</f>
        <v/>
      </c>
      <c r="H3812" s="2" t="str">
        <f>IFERROR(__xludf.DUMMYFUNCTION("""COMPUTED_VALUE"""),"")</f>
        <v/>
      </c>
      <c r="I3812" s="2" t="str">
        <f>IFERROR(__xludf.DUMMYFUNCTION("""COMPUTED_VALUE"""),"")</f>
        <v/>
      </c>
      <c r="J3812" s="2">
        <f>IFERROR(__xludf.DUMMYFUNCTION("""COMPUTED_VALUE"""),0.0)</f>
        <v>0</v>
      </c>
      <c r="K3812" s="5" t="str">
        <f>IFERROR(__xludf.DUMMYFUNCTION("""COMPUTED_VALUE"""),"")</f>
        <v/>
      </c>
      <c r="L3812" t="str">
        <f>IFERROR(__xludf.DUMMYFUNCTION("""COMPUTED_VALUE"""),"")</f>
        <v/>
      </c>
      <c r="M3812" t="str">
        <f>IFERROR(__xludf.DUMMYFUNCTION("""COMPUTED_VALUE"""),"")</f>
        <v/>
      </c>
      <c r="N3812" t="str">
        <f>IFERROR(__xludf.DUMMYFUNCTION("""COMPUTED_VALUE"""),"")</f>
        <v/>
      </c>
      <c r="O3812" t="str">
        <f>IFERROR(__xludf.DUMMYFUNCTION("""COMPUTED_VALUE"""),"")</f>
        <v/>
      </c>
      <c r="P3812" t="str">
        <f>IFERROR(__xludf.DUMMYFUNCTION("""COMPUTED_VALUE"""),"ID ")</f>
        <v>ID </v>
      </c>
    </row>
    <row r="3813">
      <c r="A3813" s="6" t="str">
        <f>IFERROR(__xludf.DUMMYFUNCTION("""COMPUTED_VALUE"""),"")</f>
        <v/>
      </c>
      <c r="C3813" t="str">
        <f>IFERROR(__xludf.DUMMYFUNCTION("""COMPUTED_VALUE"""),"")</f>
        <v/>
      </c>
      <c r="D3813" t="str">
        <f>IFERROR(__xludf.DUMMYFUNCTION("""COMPUTED_VALUE"""),"")</f>
        <v/>
      </c>
      <c r="E3813" t="str">
        <f>IFERROR(__xludf.DUMMYFUNCTION("""COMPUTED_VALUE"""),"")</f>
        <v/>
      </c>
      <c r="F3813" t="str">
        <f>IFERROR(__xludf.DUMMYFUNCTION("""COMPUTED_VALUE"""),"")</f>
        <v/>
      </c>
      <c r="G3813" t="str">
        <f>IFERROR(__xludf.DUMMYFUNCTION("""COMPUTED_VALUE"""),"")</f>
        <v/>
      </c>
      <c r="H3813" s="2" t="str">
        <f>IFERROR(__xludf.DUMMYFUNCTION("""COMPUTED_VALUE"""),"")</f>
        <v/>
      </c>
      <c r="I3813" s="2" t="str">
        <f>IFERROR(__xludf.DUMMYFUNCTION("""COMPUTED_VALUE"""),"")</f>
        <v/>
      </c>
      <c r="J3813" s="2">
        <f>IFERROR(__xludf.DUMMYFUNCTION("""COMPUTED_VALUE"""),0.0)</f>
        <v>0</v>
      </c>
      <c r="K3813" s="5" t="str">
        <f>IFERROR(__xludf.DUMMYFUNCTION("""COMPUTED_VALUE"""),"")</f>
        <v/>
      </c>
      <c r="L3813" t="str">
        <f>IFERROR(__xludf.DUMMYFUNCTION("""COMPUTED_VALUE"""),"")</f>
        <v/>
      </c>
      <c r="M3813" t="str">
        <f>IFERROR(__xludf.DUMMYFUNCTION("""COMPUTED_VALUE"""),"")</f>
        <v/>
      </c>
      <c r="N3813" t="str">
        <f>IFERROR(__xludf.DUMMYFUNCTION("""COMPUTED_VALUE"""),"")</f>
        <v/>
      </c>
      <c r="O3813" t="str">
        <f>IFERROR(__xludf.DUMMYFUNCTION("""COMPUTED_VALUE"""),"")</f>
        <v/>
      </c>
      <c r="P3813" t="str">
        <f>IFERROR(__xludf.DUMMYFUNCTION("""COMPUTED_VALUE"""),"ID ")</f>
        <v>ID </v>
      </c>
    </row>
    <row r="3814">
      <c r="A3814" s="6" t="str">
        <f>IFERROR(__xludf.DUMMYFUNCTION("""COMPUTED_VALUE"""),"")</f>
        <v/>
      </c>
      <c r="C3814" t="str">
        <f>IFERROR(__xludf.DUMMYFUNCTION("""COMPUTED_VALUE"""),"")</f>
        <v/>
      </c>
      <c r="D3814" t="str">
        <f>IFERROR(__xludf.DUMMYFUNCTION("""COMPUTED_VALUE"""),"")</f>
        <v/>
      </c>
      <c r="E3814" t="str">
        <f>IFERROR(__xludf.DUMMYFUNCTION("""COMPUTED_VALUE"""),"")</f>
        <v/>
      </c>
      <c r="F3814" t="str">
        <f>IFERROR(__xludf.DUMMYFUNCTION("""COMPUTED_VALUE"""),"")</f>
        <v/>
      </c>
      <c r="G3814" t="str">
        <f>IFERROR(__xludf.DUMMYFUNCTION("""COMPUTED_VALUE"""),"")</f>
        <v/>
      </c>
      <c r="H3814" s="2" t="str">
        <f>IFERROR(__xludf.DUMMYFUNCTION("""COMPUTED_VALUE"""),"")</f>
        <v/>
      </c>
      <c r="I3814" s="2" t="str">
        <f>IFERROR(__xludf.DUMMYFUNCTION("""COMPUTED_VALUE"""),"")</f>
        <v/>
      </c>
      <c r="J3814" s="2">
        <f>IFERROR(__xludf.DUMMYFUNCTION("""COMPUTED_VALUE"""),0.0)</f>
        <v>0</v>
      </c>
      <c r="K3814" s="5" t="str">
        <f>IFERROR(__xludf.DUMMYFUNCTION("""COMPUTED_VALUE"""),"")</f>
        <v/>
      </c>
      <c r="L3814" t="str">
        <f>IFERROR(__xludf.DUMMYFUNCTION("""COMPUTED_VALUE"""),"")</f>
        <v/>
      </c>
      <c r="M3814" t="str">
        <f>IFERROR(__xludf.DUMMYFUNCTION("""COMPUTED_VALUE"""),"")</f>
        <v/>
      </c>
      <c r="N3814" t="str">
        <f>IFERROR(__xludf.DUMMYFUNCTION("""COMPUTED_VALUE"""),"")</f>
        <v/>
      </c>
      <c r="O3814" t="str">
        <f>IFERROR(__xludf.DUMMYFUNCTION("""COMPUTED_VALUE"""),"")</f>
        <v/>
      </c>
      <c r="P3814" t="str">
        <f>IFERROR(__xludf.DUMMYFUNCTION("""COMPUTED_VALUE"""),"ID ")</f>
        <v>ID </v>
      </c>
    </row>
    <row r="3815">
      <c r="A3815" s="6" t="str">
        <f>IFERROR(__xludf.DUMMYFUNCTION("""COMPUTED_VALUE"""),"")</f>
        <v/>
      </c>
      <c r="C3815" t="str">
        <f>IFERROR(__xludf.DUMMYFUNCTION("""COMPUTED_VALUE"""),"")</f>
        <v/>
      </c>
      <c r="D3815" t="str">
        <f>IFERROR(__xludf.DUMMYFUNCTION("""COMPUTED_VALUE"""),"")</f>
        <v/>
      </c>
      <c r="E3815" t="str">
        <f>IFERROR(__xludf.DUMMYFUNCTION("""COMPUTED_VALUE"""),"")</f>
        <v/>
      </c>
      <c r="F3815" t="str">
        <f>IFERROR(__xludf.DUMMYFUNCTION("""COMPUTED_VALUE"""),"")</f>
        <v/>
      </c>
      <c r="G3815" t="str">
        <f>IFERROR(__xludf.DUMMYFUNCTION("""COMPUTED_VALUE"""),"")</f>
        <v/>
      </c>
      <c r="H3815" s="2" t="str">
        <f>IFERROR(__xludf.DUMMYFUNCTION("""COMPUTED_VALUE"""),"")</f>
        <v/>
      </c>
      <c r="I3815" s="2" t="str">
        <f>IFERROR(__xludf.DUMMYFUNCTION("""COMPUTED_VALUE"""),"")</f>
        <v/>
      </c>
      <c r="J3815" s="2">
        <f>IFERROR(__xludf.DUMMYFUNCTION("""COMPUTED_VALUE"""),0.0)</f>
        <v>0</v>
      </c>
      <c r="K3815" s="5" t="str">
        <f>IFERROR(__xludf.DUMMYFUNCTION("""COMPUTED_VALUE"""),"")</f>
        <v/>
      </c>
      <c r="L3815" t="str">
        <f>IFERROR(__xludf.DUMMYFUNCTION("""COMPUTED_VALUE"""),"")</f>
        <v/>
      </c>
      <c r="M3815" t="str">
        <f>IFERROR(__xludf.DUMMYFUNCTION("""COMPUTED_VALUE"""),"")</f>
        <v/>
      </c>
      <c r="N3815" t="str">
        <f>IFERROR(__xludf.DUMMYFUNCTION("""COMPUTED_VALUE"""),"")</f>
        <v/>
      </c>
      <c r="O3815" t="str">
        <f>IFERROR(__xludf.DUMMYFUNCTION("""COMPUTED_VALUE"""),"")</f>
        <v/>
      </c>
      <c r="P3815" t="str">
        <f>IFERROR(__xludf.DUMMYFUNCTION("""COMPUTED_VALUE"""),"ID ")</f>
        <v>ID </v>
      </c>
    </row>
    <row r="3816">
      <c r="A3816" s="6" t="str">
        <f>IFERROR(__xludf.DUMMYFUNCTION("""COMPUTED_VALUE"""),"")</f>
        <v/>
      </c>
      <c r="C3816" t="str">
        <f>IFERROR(__xludf.DUMMYFUNCTION("""COMPUTED_VALUE"""),"")</f>
        <v/>
      </c>
      <c r="D3816" t="str">
        <f>IFERROR(__xludf.DUMMYFUNCTION("""COMPUTED_VALUE"""),"")</f>
        <v/>
      </c>
      <c r="E3816" t="str">
        <f>IFERROR(__xludf.DUMMYFUNCTION("""COMPUTED_VALUE"""),"")</f>
        <v/>
      </c>
      <c r="F3816" t="str">
        <f>IFERROR(__xludf.DUMMYFUNCTION("""COMPUTED_VALUE"""),"")</f>
        <v/>
      </c>
      <c r="G3816" t="str">
        <f>IFERROR(__xludf.DUMMYFUNCTION("""COMPUTED_VALUE"""),"")</f>
        <v/>
      </c>
      <c r="H3816" s="2" t="str">
        <f>IFERROR(__xludf.DUMMYFUNCTION("""COMPUTED_VALUE"""),"")</f>
        <v/>
      </c>
      <c r="I3816" s="2" t="str">
        <f>IFERROR(__xludf.DUMMYFUNCTION("""COMPUTED_VALUE"""),"")</f>
        <v/>
      </c>
      <c r="J3816" s="2">
        <f>IFERROR(__xludf.DUMMYFUNCTION("""COMPUTED_VALUE"""),0.0)</f>
        <v>0</v>
      </c>
      <c r="K3816" s="5" t="str">
        <f>IFERROR(__xludf.DUMMYFUNCTION("""COMPUTED_VALUE"""),"")</f>
        <v/>
      </c>
      <c r="L3816" t="str">
        <f>IFERROR(__xludf.DUMMYFUNCTION("""COMPUTED_VALUE"""),"")</f>
        <v/>
      </c>
      <c r="M3816" t="str">
        <f>IFERROR(__xludf.DUMMYFUNCTION("""COMPUTED_VALUE"""),"")</f>
        <v/>
      </c>
      <c r="N3816" t="str">
        <f>IFERROR(__xludf.DUMMYFUNCTION("""COMPUTED_VALUE"""),"")</f>
        <v/>
      </c>
      <c r="O3816" t="str">
        <f>IFERROR(__xludf.DUMMYFUNCTION("""COMPUTED_VALUE"""),"")</f>
        <v/>
      </c>
      <c r="P3816" t="str">
        <f>IFERROR(__xludf.DUMMYFUNCTION("""COMPUTED_VALUE"""),"ID ")</f>
        <v>ID </v>
      </c>
    </row>
    <row r="3817">
      <c r="A3817" s="6" t="str">
        <f>IFERROR(__xludf.DUMMYFUNCTION("""COMPUTED_VALUE"""),"")</f>
        <v/>
      </c>
      <c r="C3817" t="str">
        <f>IFERROR(__xludf.DUMMYFUNCTION("""COMPUTED_VALUE"""),"")</f>
        <v/>
      </c>
      <c r="D3817" t="str">
        <f>IFERROR(__xludf.DUMMYFUNCTION("""COMPUTED_VALUE"""),"")</f>
        <v/>
      </c>
      <c r="E3817" t="str">
        <f>IFERROR(__xludf.DUMMYFUNCTION("""COMPUTED_VALUE"""),"")</f>
        <v/>
      </c>
      <c r="F3817" t="str">
        <f>IFERROR(__xludf.DUMMYFUNCTION("""COMPUTED_VALUE"""),"")</f>
        <v/>
      </c>
      <c r="G3817" t="str">
        <f>IFERROR(__xludf.DUMMYFUNCTION("""COMPUTED_VALUE"""),"")</f>
        <v/>
      </c>
      <c r="H3817" s="2" t="str">
        <f>IFERROR(__xludf.DUMMYFUNCTION("""COMPUTED_VALUE"""),"")</f>
        <v/>
      </c>
      <c r="I3817" s="2" t="str">
        <f>IFERROR(__xludf.DUMMYFUNCTION("""COMPUTED_VALUE"""),"")</f>
        <v/>
      </c>
      <c r="J3817" s="2">
        <f>IFERROR(__xludf.DUMMYFUNCTION("""COMPUTED_VALUE"""),0.0)</f>
        <v>0</v>
      </c>
      <c r="K3817" s="5" t="str">
        <f>IFERROR(__xludf.DUMMYFUNCTION("""COMPUTED_VALUE"""),"")</f>
        <v/>
      </c>
      <c r="L3817" t="str">
        <f>IFERROR(__xludf.DUMMYFUNCTION("""COMPUTED_VALUE"""),"")</f>
        <v/>
      </c>
      <c r="M3817" t="str">
        <f>IFERROR(__xludf.DUMMYFUNCTION("""COMPUTED_VALUE"""),"")</f>
        <v/>
      </c>
      <c r="N3817" t="str">
        <f>IFERROR(__xludf.DUMMYFUNCTION("""COMPUTED_VALUE"""),"")</f>
        <v/>
      </c>
      <c r="O3817" t="str">
        <f>IFERROR(__xludf.DUMMYFUNCTION("""COMPUTED_VALUE"""),"")</f>
        <v/>
      </c>
      <c r="P3817" t="str">
        <f>IFERROR(__xludf.DUMMYFUNCTION("""COMPUTED_VALUE"""),"ID ")</f>
        <v>ID </v>
      </c>
    </row>
    <row r="3818">
      <c r="A3818" s="6" t="str">
        <f>IFERROR(__xludf.DUMMYFUNCTION("""COMPUTED_VALUE"""),"")</f>
        <v/>
      </c>
      <c r="C3818" t="str">
        <f>IFERROR(__xludf.DUMMYFUNCTION("""COMPUTED_VALUE"""),"")</f>
        <v/>
      </c>
      <c r="D3818" t="str">
        <f>IFERROR(__xludf.DUMMYFUNCTION("""COMPUTED_VALUE"""),"")</f>
        <v/>
      </c>
      <c r="E3818" t="str">
        <f>IFERROR(__xludf.DUMMYFUNCTION("""COMPUTED_VALUE"""),"")</f>
        <v/>
      </c>
      <c r="F3818" t="str">
        <f>IFERROR(__xludf.DUMMYFUNCTION("""COMPUTED_VALUE"""),"")</f>
        <v/>
      </c>
      <c r="G3818" t="str">
        <f>IFERROR(__xludf.DUMMYFUNCTION("""COMPUTED_VALUE"""),"")</f>
        <v/>
      </c>
      <c r="H3818" s="2" t="str">
        <f>IFERROR(__xludf.DUMMYFUNCTION("""COMPUTED_VALUE"""),"")</f>
        <v/>
      </c>
      <c r="I3818" s="2" t="str">
        <f>IFERROR(__xludf.DUMMYFUNCTION("""COMPUTED_VALUE"""),"")</f>
        <v/>
      </c>
      <c r="J3818" s="2">
        <f>IFERROR(__xludf.DUMMYFUNCTION("""COMPUTED_VALUE"""),0.0)</f>
        <v>0</v>
      </c>
      <c r="K3818" s="5" t="str">
        <f>IFERROR(__xludf.DUMMYFUNCTION("""COMPUTED_VALUE"""),"")</f>
        <v/>
      </c>
      <c r="L3818" t="str">
        <f>IFERROR(__xludf.DUMMYFUNCTION("""COMPUTED_VALUE"""),"")</f>
        <v/>
      </c>
      <c r="M3818" t="str">
        <f>IFERROR(__xludf.DUMMYFUNCTION("""COMPUTED_VALUE"""),"")</f>
        <v/>
      </c>
      <c r="N3818" t="str">
        <f>IFERROR(__xludf.DUMMYFUNCTION("""COMPUTED_VALUE"""),"")</f>
        <v/>
      </c>
      <c r="O3818" t="str">
        <f>IFERROR(__xludf.DUMMYFUNCTION("""COMPUTED_VALUE"""),"")</f>
        <v/>
      </c>
      <c r="P3818" t="str">
        <f>IFERROR(__xludf.DUMMYFUNCTION("""COMPUTED_VALUE"""),"ID ")</f>
        <v>ID </v>
      </c>
    </row>
    <row r="3819">
      <c r="A3819" s="6" t="str">
        <f>IFERROR(__xludf.DUMMYFUNCTION("""COMPUTED_VALUE"""),"")</f>
        <v/>
      </c>
      <c r="C3819" t="str">
        <f>IFERROR(__xludf.DUMMYFUNCTION("""COMPUTED_VALUE"""),"")</f>
        <v/>
      </c>
      <c r="D3819" t="str">
        <f>IFERROR(__xludf.DUMMYFUNCTION("""COMPUTED_VALUE"""),"")</f>
        <v/>
      </c>
      <c r="E3819" t="str">
        <f>IFERROR(__xludf.DUMMYFUNCTION("""COMPUTED_VALUE"""),"")</f>
        <v/>
      </c>
      <c r="F3819" t="str">
        <f>IFERROR(__xludf.DUMMYFUNCTION("""COMPUTED_VALUE"""),"")</f>
        <v/>
      </c>
      <c r="G3819" t="str">
        <f>IFERROR(__xludf.DUMMYFUNCTION("""COMPUTED_VALUE"""),"")</f>
        <v/>
      </c>
      <c r="H3819" s="2" t="str">
        <f>IFERROR(__xludf.DUMMYFUNCTION("""COMPUTED_VALUE"""),"")</f>
        <v/>
      </c>
      <c r="I3819" s="2" t="str">
        <f>IFERROR(__xludf.DUMMYFUNCTION("""COMPUTED_VALUE"""),"")</f>
        <v/>
      </c>
      <c r="J3819" s="2">
        <f>IFERROR(__xludf.DUMMYFUNCTION("""COMPUTED_VALUE"""),0.0)</f>
        <v>0</v>
      </c>
      <c r="K3819" s="5" t="str">
        <f>IFERROR(__xludf.DUMMYFUNCTION("""COMPUTED_VALUE"""),"")</f>
        <v/>
      </c>
      <c r="L3819" t="str">
        <f>IFERROR(__xludf.DUMMYFUNCTION("""COMPUTED_VALUE"""),"")</f>
        <v/>
      </c>
      <c r="M3819" t="str">
        <f>IFERROR(__xludf.DUMMYFUNCTION("""COMPUTED_VALUE"""),"")</f>
        <v/>
      </c>
      <c r="N3819" t="str">
        <f>IFERROR(__xludf.DUMMYFUNCTION("""COMPUTED_VALUE"""),"")</f>
        <v/>
      </c>
      <c r="O3819" t="str">
        <f>IFERROR(__xludf.DUMMYFUNCTION("""COMPUTED_VALUE"""),"")</f>
        <v/>
      </c>
      <c r="P3819" t="str">
        <f>IFERROR(__xludf.DUMMYFUNCTION("""COMPUTED_VALUE"""),"ID ")</f>
        <v>ID </v>
      </c>
    </row>
    <row r="3820">
      <c r="A3820" s="6" t="str">
        <f>IFERROR(__xludf.DUMMYFUNCTION("""COMPUTED_VALUE"""),"")</f>
        <v/>
      </c>
      <c r="C3820" t="str">
        <f>IFERROR(__xludf.DUMMYFUNCTION("""COMPUTED_VALUE"""),"")</f>
        <v/>
      </c>
      <c r="D3820" t="str">
        <f>IFERROR(__xludf.DUMMYFUNCTION("""COMPUTED_VALUE"""),"")</f>
        <v/>
      </c>
      <c r="E3820" t="str">
        <f>IFERROR(__xludf.DUMMYFUNCTION("""COMPUTED_VALUE"""),"")</f>
        <v/>
      </c>
      <c r="F3820" t="str">
        <f>IFERROR(__xludf.DUMMYFUNCTION("""COMPUTED_VALUE"""),"")</f>
        <v/>
      </c>
      <c r="G3820" t="str">
        <f>IFERROR(__xludf.DUMMYFUNCTION("""COMPUTED_VALUE"""),"")</f>
        <v/>
      </c>
      <c r="H3820" s="2" t="str">
        <f>IFERROR(__xludf.DUMMYFUNCTION("""COMPUTED_VALUE"""),"")</f>
        <v/>
      </c>
      <c r="I3820" s="2" t="str">
        <f>IFERROR(__xludf.DUMMYFUNCTION("""COMPUTED_VALUE"""),"")</f>
        <v/>
      </c>
      <c r="J3820" s="2">
        <f>IFERROR(__xludf.DUMMYFUNCTION("""COMPUTED_VALUE"""),0.0)</f>
        <v>0</v>
      </c>
      <c r="K3820" s="5" t="str">
        <f>IFERROR(__xludf.DUMMYFUNCTION("""COMPUTED_VALUE"""),"")</f>
        <v/>
      </c>
      <c r="L3820" t="str">
        <f>IFERROR(__xludf.DUMMYFUNCTION("""COMPUTED_VALUE"""),"")</f>
        <v/>
      </c>
      <c r="M3820" t="str">
        <f>IFERROR(__xludf.DUMMYFUNCTION("""COMPUTED_VALUE"""),"")</f>
        <v/>
      </c>
      <c r="N3820" t="str">
        <f>IFERROR(__xludf.DUMMYFUNCTION("""COMPUTED_VALUE"""),"")</f>
        <v/>
      </c>
      <c r="O3820" t="str">
        <f>IFERROR(__xludf.DUMMYFUNCTION("""COMPUTED_VALUE"""),"")</f>
        <v/>
      </c>
      <c r="P3820" t="str">
        <f>IFERROR(__xludf.DUMMYFUNCTION("""COMPUTED_VALUE"""),"ID ")</f>
        <v>ID </v>
      </c>
    </row>
    <row r="3821">
      <c r="A3821" s="6" t="str">
        <f>IFERROR(__xludf.DUMMYFUNCTION("""COMPUTED_VALUE"""),"")</f>
        <v/>
      </c>
      <c r="C3821" t="str">
        <f>IFERROR(__xludf.DUMMYFUNCTION("""COMPUTED_VALUE"""),"")</f>
        <v/>
      </c>
      <c r="D3821" t="str">
        <f>IFERROR(__xludf.DUMMYFUNCTION("""COMPUTED_VALUE"""),"")</f>
        <v/>
      </c>
      <c r="E3821" t="str">
        <f>IFERROR(__xludf.DUMMYFUNCTION("""COMPUTED_VALUE"""),"")</f>
        <v/>
      </c>
      <c r="F3821" t="str">
        <f>IFERROR(__xludf.DUMMYFUNCTION("""COMPUTED_VALUE"""),"")</f>
        <v/>
      </c>
      <c r="G3821" t="str">
        <f>IFERROR(__xludf.DUMMYFUNCTION("""COMPUTED_VALUE"""),"")</f>
        <v/>
      </c>
      <c r="H3821" s="2" t="str">
        <f>IFERROR(__xludf.DUMMYFUNCTION("""COMPUTED_VALUE"""),"")</f>
        <v/>
      </c>
      <c r="I3821" s="2" t="str">
        <f>IFERROR(__xludf.DUMMYFUNCTION("""COMPUTED_VALUE"""),"")</f>
        <v/>
      </c>
      <c r="J3821" s="2">
        <f>IFERROR(__xludf.DUMMYFUNCTION("""COMPUTED_VALUE"""),0.0)</f>
        <v>0</v>
      </c>
      <c r="K3821" s="5" t="str">
        <f>IFERROR(__xludf.DUMMYFUNCTION("""COMPUTED_VALUE"""),"")</f>
        <v/>
      </c>
      <c r="L3821" t="str">
        <f>IFERROR(__xludf.DUMMYFUNCTION("""COMPUTED_VALUE"""),"")</f>
        <v/>
      </c>
      <c r="M3821" t="str">
        <f>IFERROR(__xludf.DUMMYFUNCTION("""COMPUTED_VALUE"""),"")</f>
        <v/>
      </c>
      <c r="N3821" t="str">
        <f>IFERROR(__xludf.DUMMYFUNCTION("""COMPUTED_VALUE"""),"")</f>
        <v/>
      </c>
      <c r="O3821" t="str">
        <f>IFERROR(__xludf.DUMMYFUNCTION("""COMPUTED_VALUE"""),"")</f>
        <v/>
      </c>
      <c r="P3821" t="str">
        <f>IFERROR(__xludf.DUMMYFUNCTION("""COMPUTED_VALUE"""),"ID ")</f>
        <v>ID </v>
      </c>
    </row>
    <row r="3822">
      <c r="A3822" s="6" t="str">
        <f>IFERROR(__xludf.DUMMYFUNCTION("""COMPUTED_VALUE"""),"")</f>
        <v/>
      </c>
      <c r="C3822" t="str">
        <f>IFERROR(__xludf.DUMMYFUNCTION("""COMPUTED_VALUE"""),"")</f>
        <v/>
      </c>
      <c r="D3822" t="str">
        <f>IFERROR(__xludf.DUMMYFUNCTION("""COMPUTED_VALUE"""),"")</f>
        <v/>
      </c>
      <c r="E3822" t="str">
        <f>IFERROR(__xludf.DUMMYFUNCTION("""COMPUTED_VALUE"""),"")</f>
        <v/>
      </c>
      <c r="F3822" t="str">
        <f>IFERROR(__xludf.DUMMYFUNCTION("""COMPUTED_VALUE"""),"")</f>
        <v/>
      </c>
      <c r="G3822" t="str">
        <f>IFERROR(__xludf.DUMMYFUNCTION("""COMPUTED_VALUE"""),"")</f>
        <v/>
      </c>
      <c r="H3822" s="2" t="str">
        <f>IFERROR(__xludf.DUMMYFUNCTION("""COMPUTED_VALUE"""),"")</f>
        <v/>
      </c>
      <c r="I3822" s="2" t="str">
        <f>IFERROR(__xludf.DUMMYFUNCTION("""COMPUTED_VALUE"""),"")</f>
        <v/>
      </c>
      <c r="J3822" s="2">
        <f>IFERROR(__xludf.DUMMYFUNCTION("""COMPUTED_VALUE"""),0.0)</f>
        <v>0</v>
      </c>
      <c r="K3822" s="5" t="str">
        <f>IFERROR(__xludf.DUMMYFUNCTION("""COMPUTED_VALUE"""),"")</f>
        <v/>
      </c>
      <c r="L3822" t="str">
        <f>IFERROR(__xludf.DUMMYFUNCTION("""COMPUTED_VALUE"""),"")</f>
        <v/>
      </c>
      <c r="M3822" t="str">
        <f>IFERROR(__xludf.DUMMYFUNCTION("""COMPUTED_VALUE"""),"")</f>
        <v/>
      </c>
      <c r="N3822" t="str">
        <f>IFERROR(__xludf.DUMMYFUNCTION("""COMPUTED_VALUE"""),"")</f>
        <v/>
      </c>
      <c r="O3822" t="str">
        <f>IFERROR(__xludf.DUMMYFUNCTION("""COMPUTED_VALUE"""),"")</f>
        <v/>
      </c>
      <c r="P3822" t="str">
        <f>IFERROR(__xludf.DUMMYFUNCTION("""COMPUTED_VALUE"""),"ID ")</f>
        <v>ID </v>
      </c>
    </row>
    <row r="3823">
      <c r="A3823" s="6" t="str">
        <f>IFERROR(__xludf.DUMMYFUNCTION("""COMPUTED_VALUE"""),"")</f>
        <v/>
      </c>
      <c r="C3823" t="str">
        <f>IFERROR(__xludf.DUMMYFUNCTION("""COMPUTED_VALUE"""),"")</f>
        <v/>
      </c>
      <c r="D3823" t="str">
        <f>IFERROR(__xludf.DUMMYFUNCTION("""COMPUTED_VALUE"""),"")</f>
        <v/>
      </c>
      <c r="E3823" t="str">
        <f>IFERROR(__xludf.DUMMYFUNCTION("""COMPUTED_VALUE"""),"")</f>
        <v/>
      </c>
      <c r="F3823" t="str">
        <f>IFERROR(__xludf.DUMMYFUNCTION("""COMPUTED_VALUE"""),"")</f>
        <v/>
      </c>
      <c r="G3823" t="str">
        <f>IFERROR(__xludf.DUMMYFUNCTION("""COMPUTED_VALUE"""),"")</f>
        <v/>
      </c>
      <c r="H3823" s="2" t="str">
        <f>IFERROR(__xludf.DUMMYFUNCTION("""COMPUTED_VALUE"""),"")</f>
        <v/>
      </c>
      <c r="I3823" s="2" t="str">
        <f>IFERROR(__xludf.DUMMYFUNCTION("""COMPUTED_VALUE"""),"")</f>
        <v/>
      </c>
      <c r="J3823" s="2">
        <f>IFERROR(__xludf.DUMMYFUNCTION("""COMPUTED_VALUE"""),0.0)</f>
        <v>0</v>
      </c>
      <c r="K3823" s="5" t="str">
        <f>IFERROR(__xludf.DUMMYFUNCTION("""COMPUTED_VALUE"""),"")</f>
        <v/>
      </c>
      <c r="L3823" t="str">
        <f>IFERROR(__xludf.DUMMYFUNCTION("""COMPUTED_VALUE"""),"")</f>
        <v/>
      </c>
      <c r="M3823" t="str">
        <f>IFERROR(__xludf.DUMMYFUNCTION("""COMPUTED_VALUE"""),"")</f>
        <v/>
      </c>
      <c r="N3823" t="str">
        <f>IFERROR(__xludf.DUMMYFUNCTION("""COMPUTED_VALUE"""),"")</f>
        <v/>
      </c>
      <c r="O3823" t="str">
        <f>IFERROR(__xludf.DUMMYFUNCTION("""COMPUTED_VALUE"""),"")</f>
        <v/>
      </c>
      <c r="P3823" t="str">
        <f>IFERROR(__xludf.DUMMYFUNCTION("""COMPUTED_VALUE"""),"ID ")</f>
        <v>ID </v>
      </c>
    </row>
    <row r="3824">
      <c r="A3824" s="6" t="str">
        <f>IFERROR(__xludf.DUMMYFUNCTION("""COMPUTED_VALUE"""),"")</f>
        <v/>
      </c>
      <c r="C3824" t="str">
        <f>IFERROR(__xludf.DUMMYFUNCTION("""COMPUTED_VALUE"""),"")</f>
        <v/>
      </c>
      <c r="D3824" t="str">
        <f>IFERROR(__xludf.DUMMYFUNCTION("""COMPUTED_VALUE"""),"")</f>
        <v/>
      </c>
      <c r="E3824" t="str">
        <f>IFERROR(__xludf.DUMMYFUNCTION("""COMPUTED_VALUE"""),"")</f>
        <v/>
      </c>
      <c r="F3824" t="str">
        <f>IFERROR(__xludf.DUMMYFUNCTION("""COMPUTED_VALUE"""),"")</f>
        <v/>
      </c>
      <c r="G3824" t="str">
        <f>IFERROR(__xludf.DUMMYFUNCTION("""COMPUTED_VALUE"""),"")</f>
        <v/>
      </c>
      <c r="H3824" s="2" t="str">
        <f>IFERROR(__xludf.DUMMYFUNCTION("""COMPUTED_VALUE"""),"")</f>
        <v/>
      </c>
      <c r="I3824" s="2" t="str">
        <f>IFERROR(__xludf.DUMMYFUNCTION("""COMPUTED_VALUE"""),"")</f>
        <v/>
      </c>
      <c r="J3824" s="2">
        <f>IFERROR(__xludf.DUMMYFUNCTION("""COMPUTED_VALUE"""),0.0)</f>
        <v>0</v>
      </c>
      <c r="K3824" s="5" t="str">
        <f>IFERROR(__xludf.DUMMYFUNCTION("""COMPUTED_VALUE"""),"")</f>
        <v/>
      </c>
      <c r="L3824" t="str">
        <f>IFERROR(__xludf.DUMMYFUNCTION("""COMPUTED_VALUE"""),"")</f>
        <v/>
      </c>
      <c r="M3824" t="str">
        <f>IFERROR(__xludf.DUMMYFUNCTION("""COMPUTED_VALUE"""),"")</f>
        <v/>
      </c>
      <c r="N3824" t="str">
        <f>IFERROR(__xludf.DUMMYFUNCTION("""COMPUTED_VALUE"""),"")</f>
        <v/>
      </c>
      <c r="O3824" t="str">
        <f>IFERROR(__xludf.DUMMYFUNCTION("""COMPUTED_VALUE"""),"")</f>
        <v/>
      </c>
      <c r="P3824" t="str">
        <f>IFERROR(__xludf.DUMMYFUNCTION("""COMPUTED_VALUE"""),"ID ")</f>
        <v>ID </v>
      </c>
    </row>
    <row r="3825">
      <c r="A3825" s="6" t="str">
        <f>IFERROR(__xludf.DUMMYFUNCTION("""COMPUTED_VALUE"""),"")</f>
        <v/>
      </c>
      <c r="C3825" t="str">
        <f>IFERROR(__xludf.DUMMYFUNCTION("""COMPUTED_VALUE"""),"")</f>
        <v/>
      </c>
      <c r="D3825" t="str">
        <f>IFERROR(__xludf.DUMMYFUNCTION("""COMPUTED_VALUE"""),"")</f>
        <v/>
      </c>
      <c r="E3825" t="str">
        <f>IFERROR(__xludf.DUMMYFUNCTION("""COMPUTED_VALUE"""),"")</f>
        <v/>
      </c>
      <c r="F3825" t="str">
        <f>IFERROR(__xludf.DUMMYFUNCTION("""COMPUTED_VALUE"""),"")</f>
        <v/>
      </c>
      <c r="G3825" t="str">
        <f>IFERROR(__xludf.DUMMYFUNCTION("""COMPUTED_VALUE"""),"")</f>
        <v/>
      </c>
      <c r="H3825" s="2" t="str">
        <f>IFERROR(__xludf.DUMMYFUNCTION("""COMPUTED_VALUE"""),"")</f>
        <v/>
      </c>
      <c r="I3825" s="2" t="str">
        <f>IFERROR(__xludf.DUMMYFUNCTION("""COMPUTED_VALUE"""),"")</f>
        <v/>
      </c>
      <c r="J3825" s="2">
        <f>IFERROR(__xludf.DUMMYFUNCTION("""COMPUTED_VALUE"""),0.0)</f>
        <v>0</v>
      </c>
      <c r="K3825" s="5" t="str">
        <f>IFERROR(__xludf.DUMMYFUNCTION("""COMPUTED_VALUE"""),"")</f>
        <v/>
      </c>
      <c r="L3825" t="str">
        <f>IFERROR(__xludf.DUMMYFUNCTION("""COMPUTED_VALUE"""),"")</f>
        <v/>
      </c>
      <c r="M3825" t="str">
        <f>IFERROR(__xludf.DUMMYFUNCTION("""COMPUTED_VALUE"""),"")</f>
        <v/>
      </c>
      <c r="N3825" t="str">
        <f>IFERROR(__xludf.DUMMYFUNCTION("""COMPUTED_VALUE"""),"")</f>
        <v/>
      </c>
      <c r="O3825" t="str">
        <f>IFERROR(__xludf.DUMMYFUNCTION("""COMPUTED_VALUE"""),"")</f>
        <v/>
      </c>
      <c r="P3825" t="str">
        <f>IFERROR(__xludf.DUMMYFUNCTION("""COMPUTED_VALUE"""),"ID ")</f>
        <v>ID </v>
      </c>
    </row>
    <row r="3826">
      <c r="A3826" s="6" t="str">
        <f>IFERROR(__xludf.DUMMYFUNCTION("""COMPUTED_VALUE"""),"")</f>
        <v/>
      </c>
      <c r="C3826" t="str">
        <f>IFERROR(__xludf.DUMMYFUNCTION("""COMPUTED_VALUE"""),"")</f>
        <v/>
      </c>
      <c r="D3826" t="str">
        <f>IFERROR(__xludf.DUMMYFUNCTION("""COMPUTED_VALUE"""),"")</f>
        <v/>
      </c>
      <c r="E3826" t="str">
        <f>IFERROR(__xludf.DUMMYFUNCTION("""COMPUTED_VALUE"""),"")</f>
        <v/>
      </c>
      <c r="F3826" t="str">
        <f>IFERROR(__xludf.DUMMYFUNCTION("""COMPUTED_VALUE"""),"")</f>
        <v/>
      </c>
      <c r="G3826" t="str">
        <f>IFERROR(__xludf.DUMMYFUNCTION("""COMPUTED_VALUE"""),"")</f>
        <v/>
      </c>
      <c r="H3826" s="2" t="str">
        <f>IFERROR(__xludf.DUMMYFUNCTION("""COMPUTED_VALUE"""),"")</f>
        <v/>
      </c>
      <c r="I3826" s="2" t="str">
        <f>IFERROR(__xludf.DUMMYFUNCTION("""COMPUTED_VALUE"""),"")</f>
        <v/>
      </c>
      <c r="J3826" s="2">
        <f>IFERROR(__xludf.DUMMYFUNCTION("""COMPUTED_VALUE"""),0.0)</f>
        <v>0</v>
      </c>
      <c r="K3826" s="5" t="str">
        <f>IFERROR(__xludf.DUMMYFUNCTION("""COMPUTED_VALUE"""),"")</f>
        <v/>
      </c>
      <c r="L3826" t="str">
        <f>IFERROR(__xludf.DUMMYFUNCTION("""COMPUTED_VALUE"""),"")</f>
        <v/>
      </c>
      <c r="M3826" t="str">
        <f>IFERROR(__xludf.DUMMYFUNCTION("""COMPUTED_VALUE"""),"")</f>
        <v/>
      </c>
      <c r="N3826" t="str">
        <f>IFERROR(__xludf.DUMMYFUNCTION("""COMPUTED_VALUE"""),"")</f>
        <v/>
      </c>
      <c r="O3826" t="str">
        <f>IFERROR(__xludf.DUMMYFUNCTION("""COMPUTED_VALUE"""),"")</f>
        <v/>
      </c>
      <c r="P3826" t="str">
        <f>IFERROR(__xludf.DUMMYFUNCTION("""COMPUTED_VALUE"""),"ID ")</f>
        <v>ID </v>
      </c>
    </row>
    <row r="3827">
      <c r="A3827" s="6" t="str">
        <f>IFERROR(__xludf.DUMMYFUNCTION("""COMPUTED_VALUE"""),"")</f>
        <v/>
      </c>
      <c r="C3827" t="str">
        <f>IFERROR(__xludf.DUMMYFUNCTION("""COMPUTED_VALUE"""),"")</f>
        <v/>
      </c>
      <c r="D3827" t="str">
        <f>IFERROR(__xludf.DUMMYFUNCTION("""COMPUTED_VALUE"""),"")</f>
        <v/>
      </c>
      <c r="E3827" t="str">
        <f>IFERROR(__xludf.DUMMYFUNCTION("""COMPUTED_VALUE"""),"")</f>
        <v/>
      </c>
      <c r="F3827" t="str">
        <f>IFERROR(__xludf.DUMMYFUNCTION("""COMPUTED_VALUE"""),"")</f>
        <v/>
      </c>
      <c r="G3827" t="str">
        <f>IFERROR(__xludf.DUMMYFUNCTION("""COMPUTED_VALUE"""),"")</f>
        <v/>
      </c>
      <c r="H3827" s="2" t="str">
        <f>IFERROR(__xludf.DUMMYFUNCTION("""COMPUTED_VALUE"""),"")</f>
        <v/>
      </c>
      <c r="I3827" s="2" t="str">
        <f>IFERROR(__xludf.DUMMYFUNCTION("""COMPUTED_VALUE"""),"")</f>
        <v/>
      </c>
      <c r="J3827" s="2">
        <f>IFERROR(__xludf.DUMMYFUNCTION("""COMPUTED_VALUE"""),0.0)</f>
        <v>0</v>
      </c>
      <c r="K3827" s="5" t="str">
        <f>IFERROR(__xludf.DUMMYFUNCTION("""COMPUTED_VALUE"""),"")</f>
        <v/>
      </c>
      <c r="L3827" t="str">
        <f>IFERROR(__xludf.DUMMYFUNCTION("""COMPUTED_VALUE"""),"")</f>
        <v/>
      </c>
      <c r="M3827" t="str">
        <f>IFERROR(__xludf.DUMMYFUNCTION("""COMPUTED_VALUE"""),"")</f>
        <v/>
      </c>
      <c r="N3827" t="str">
        <f>IFERROR(__xludf.DUMMYFUNCTION("""COMPUTED_VALUE"""),"")</f>
        <v/>
      </c>
      <c r="O3827" t="str">
        <f>IFERROR(__xludf.DUMMYFUNCTION("""COMPUTED_VALUE"""),"")</f>
        <v/>
      </c>
      <c r="P3827" t="str">
        <f>IFERROR(__xludf.DUMMYFUNCTION("""COMPUTED_VALUE"""),"ID ")</f>
        <v>ID </v>
      </c>
    </row>
    <row r="3828">
      <c r="A3828" s="6" t="str">
        <f>IFERROR(__xludf.DUMMYFUNCTION("""COMPUTED_VALUE"""),"")</f>
        <v/>
      </c>
      <c r="C3828" t="str">
        <f>IFERROR(__xludf.DUMMYFUNCTION("""COMPUTED_VALUE"""),"")</f>
        <v/>
      </c>
      <c r="D3828" t="str">
        <f>IFERROR(__xludf.DUMMYFUNCTION("""COMPUTED_VALUE"""),"")</f>
        <v/>
      </c>
      <c r="E3828" t="str">
        <f>IFERROR(__xludf.DUMMYFUNCTION("""COMPUTED_VALUE"""),"")</f>
        <v/>
      </c>
      <c r="F3828" t="str">
        <f>IFERROR(__xludf.DUMMYFUNCTION("""COMPUTED_VALUE"""),"")</f>
        <v/>
      </c>
      <c r="G3828" t="str">
        <f>IFERROR(__xludf.DUMMYFUNCTION("""COMPUTED_VALUE"""),"")</f>
        <v/>
      </c>
      <c r="H3828" s="2" t="str">
        <f>IFERROR(__xludf.DUMMYFUNCTION("""COMPUTED_VALUE"""),"")</f>
        <v/>
      </c>
      <c r="I3828" s="2" t="str">
        <f>IFERROR(__xludf.DUMMYFUNCTION("""COMPUTED_VALUE"""),"")</f>
        <v/>
      </c>
      <c r="J3828" s="2">
        <f>IFERROR(__xludf.DUMMYFUNCTION("""COMPUTED_VALUE"""),0.0)</f>
        <v>0</v>
      </c>
      <c r="K3828" s="5" t="str">
        <f>IFERROR(__xludf.DUMMYFUNCTION("""COMPUTED_VALUE"""),"")</f>
        <v/>
      </c>
      <c r="L3828" t="str">
        <f>IFERROR(__xludf.DUMMYFUNCTION("""COMPUTED_VALUE"""),"")</f>
        <v/>
      </c>
      <c r="M3828" t="str">
        <f>IFERROR(__xludf.DUMMYFUNCTION("""COMPUTED_VALUE"""),"")</f>
        <v/>
      </c>
      <c r="N3828" t="str">
        <f>IFERROR(__xludf.DUMMYFUNCTION("""COMPUTED_VALUE"""),"")</f>
        <v/>
      </c>
      <c r="O3828" t="str">
        <f>IFERROR(__xludf.DUMMYFUNCTION("""COMPUTED_VALUE"""),"")</f>
        <v/>
      </c>
      <c r="P3828" t="str">
        <f>IFERROR(__xludf.DUMMYFUNCTION("""COMPUTED_VALUE"""),"ID ")</f>
        <v>ID </v>
      </c>
    </row>
    <row r="3829">
      <c r="A3829" s="6" t="str">
        <f>IFERROR(__xludf.DUMMYFUNCTION("""COMPUTED_VALUE"""),"")</f>
        <v/>
      </c>
      <c r="C3829" t="str">
        <f>IFERROR(__xludf.DUMMYFUNCTION("""COMPUTED_VALUE"""),"")</f>
        <v/>
      </c>
      <c r="D3829" t="str">
        <f>IFERROR(__xludf.DUMMYFUNCTION("""COMPUTED_VALUE"""),"")</f>
        <v/>
      </c>
      <c r="E3829" t="str">
        <f>IFERROR(__xludf.DUMMYFUNCTION("""COMPUTED_VALUE"""),"")</f>
        <v/>
      </c>
      <c r="F3829" t="str">
        <f>IFERROR(__xludf.DUMMYFUNCTION("""COMPUTED_VALUE"""),"")</f>
        <v/>
      </c>
      <c r="G3829" t="str">
        <f>IFERROR(__xludf.DUMMYFUNCTION("""COMPUTED_VALUE"""),"")</f>
        <v/>
      </c>
      <c r="H3829" s="2" t="str">
        <f>IFERROR(__xludf.DUMMYFUNCTION("""COMPUTED_VALUE"""),"")</f>
        <v/>
      </c>
      <c r="I3829" s="2" t="str">
        <f>IFERROR(__xludf.DUMMYFUNCTION("""COMPUTED_VALUE"""),"")</f>
        <v/>
      </c>
      <c r="J3829" s="2">
        <f>IFERROR(__xludf.DUMMYFUNCTION("""COMPUTED_VALUE"""),0.0)</f>
        <v>0</v>
      </c>
      <c r="K3829" s="5" t="str">
        <f>IFERROR(__xludf.DUMMYFUNCTION("""COMPUTED_VALUE"""),"")</f>
        <v/>
      </c>
      <c r="L3829" t="str">
        <f>IFERROR(__xludf.DUMMYFUNCTION("""COMPUTED_VALUE"""),"")</f>
        <v/>
      </c>
      <c r="M3829" t="str">
        <f>IFERROR(__xludf.DUMMYFUNCTION("""COMPUTED_VALUE"""),"")</f>
        <v/>
      </c>
      <c r="N3829" t="str">
        <f>IFERROR(__xludf.DUMMYFUNCTION("""COMPUTED_VALUE"""),"")</f>
        <v/>
      </c>
      <c r="O3829" t="str">
        <f>IFERROR(__xludf.DUMMYFUNCTION("""COMPUTED_VALUE"""),"")</f>
        <v/>
      </c>
      <c r="P3829" t="str">
        <f>IFERROR(__xludf.DUMMYFUNCTION("""COMPUTED_VALUE"""),"ID ")</f>
        <v>ID </v>
      </c>
    </row>
    <row r="3830">
      <c r="A3830" s="6" t="str">
        <f>IFERROR(__xludf.DUMMYFUNCTION("""COMPUTED_VALUE"""),"")</f>
        <v/>
      </c>
      <c r="C3830" t="str">
        <f>IFERROR(__xludf.DUMMYFUNCTION("""COMPUTED_VALUE"""),"")</f>
        <v/>
      </c>
      <c r="D3830" t="str">
        <f>IFERROR(__xludf.DUMMYFUNCTION("""COMPUTED_VALUE"""),"")</f>
        <v/>
      </c>
      <c r="E3830" t="str">
        <f>IFERROR(__xludf.DUMMYFUNCTION("""COMPUTED_VALUE"""),"")</f>
        <v/>
      </c>
      <c r="F3830" t="str">
        <f>IFERROR(__xludf.DUMMYFUNCTION("""COMPUTED_VALUE"""),"")</f>
        <v/>
      </c>
      <c r="G3830" t="str">
        <f>IFERROR(__xludf.DUMMYFUNCTION("""COMPUTED_VALUE"""),"")</f>
        <v/>
      </c>
      <c r="H3830" s="2" t="str">
        <f>IFERROR(__xludf.DUMMYFUNCTION("""COMPUTED_VALUE"""),"")</f>
        <v/>
      </c>
      <c r="I3830" s="2" t="str">
        <f>IFERROR(__xludf.DUMMYFUNCTION("""COMPUTED_VALUE"""),"")</f>
        <v/>
      </c>
      <c r="J3830" s="2">
        <f>IFERROR(__xludf.DUMMYFUNCTION("""COMPUTED_VALUE"""),0.0)</f>
        <v>0</v>
      </c>
      <c r="K3830" s="5" t="str">
        <f>IFERROR(__xludf.DUMMYFUNCTION("""COMPUTED_VALUE"""),"")</f>
        <v/>
      </c>
      <c r="L3830" t="str">
        <f>IFERROR(__xludf.DUMMYFUNCTION("""COMPUTED_VALUE"""),"")</f>
        <v/>
      </c>
      <c r="M3830" t="str">
        <f>IFERROR(__xludf.DUMMYFUNCTION("""COMPUTED_VALUE"""),"")</f>
        <v/>
      </c>
      <c r="N3830" t="str">
        <f>IFERROR(__xludf.DUMMYFUNCTION("""COMPUTED_VALUE"""),"")</f>
        <v/>
      </c>
      <c r="O3830" t="str">
        <f>IFERROR(__xludf.DUMMYFUNCTION("""COMPUTED_VALUE"""),"")</f>
        <v/>
      </c>
      <c r="P3830" t="str">
        <f>IFERROR(__xludf.DUMMYFUNCTION("""COMPUTED_VALUE"""),"ID ")</f>
        <v>ID </v>
      </c>
    </row>
    <row r="3831">
      <c r="A3831" s="6" t="str">
        <f>IFERROR(__xludf.DUMMYFUNCTION("""COMPUTED_VALUE"""),"")</f>
        <v/>
      </c>
      <c r="C3831" t="str">
        <f>IFERROR(__xludf.DUMMYFUNCTION("""COMPUTED_VALUE"""),"")</f>
        <v/>
      </c>
      <c r="D3831" t="str">
        <f>IFERROR(__xludf.DUMMYFUNCTION("""COMPUTED_VALUE"""),"")</f>
        <v/>
      </c>
      <c r="E3831" t="str">
        <f>IFERROR(__xludf.DUMMYFUNCTION("""COMPUTED_VALUE"""),"")</f>
        <v/>
      </c>
      <c r="F3831" t="str">
        <f>IFERROR(__xludf.DUMMYFUNCTION("""COMPUTED_VALUE"""),"")</f>
        <v/>
      </c>
      <c r="G3831" t="str">
        <f>IFERROR(__xludf.DUMMYFUNCTION("""COMPUTED_VALUE"""),"")</f>
        <v/>
      </c>
      <c r="H3831" s="2" t="str">
        <f>IFERROR(__xludf.DUMMYFUNCTION("""COMPUTED_VALUE"""),"")</f>
        <v/>
      </c>
      <c r="I3831" s="2" t="str">
        <f>IFERROR(__xludf.DUMMYFUNCTION("""COMPUTED_VALUE"""),"")</f>
        <v/>
      </c>
      <c r="J3831" s="2">
        <f>IFERROR(__xludf.DUMMYFUNCTION("""COMPUTED_VALUE"""),0.0)</f>
        <v>0</v>
      </c>
      <c r="K3831" s="5" t="str">
        <f>IFERROR(__xludf.DUMMYFUNCTION("""COMPUTED_VALUE"""),"")</f>
        <v/>
      </c>
      <c r="L3831" t="str">
        <f>IFERROR(__xludf.DUMMYFUNCTION("""COMPUTED_VALUE"""),"")</f>
        <v/>
      </c>
      <c r="M3831" t="str">
        <f>IFERROR(__xludf.DUMMYFUNCTION("""COMPUTED_VALUE"""),"")</f>
        <v/>
      </c>
      <c r="N3831" t="str">
        <f>IFERROR(__xludf.DUMMYFUNCTION("""COMPUTED_VALUE"""),"")</f>
        <v/>
      </c>
      <c r="O3831" t="str">
        <f>IFERROR(__xludf.DUMMYFUNCTION("""COMPUTED_VALUE"""),"")</f>
        <v/>
      </c>
      <c r="P3831" t="str">
        <f>IFERROR(__xludf.DUMMYFUNCTION("""COMPUTED_VALUE"""),"ID ")</f>
        <v>ID </v>
      </c>
    </row>
    <row r="3832">
      <c r="A3832" s="6" t="str">
        <f>IFERROR(__xludf.DUMMYFUNCTION("""COMPUTED_VALUE"""),"")</f>
        <v/>
      </c>
      <c r="C3832" t="str">
        <f>IFERROR(__xludf.DUMMYFUNCTION("""COMPUTED_VALUE"""),"")</f>
        <v/>
      </c>
      <c r="D3832" t="str">
        <f>IFERROR(__xludf.DUMMYFUNCTION("""COMPUTED_VALUE"""),"")</f>
        <v/>
      </c>
      <c r="E3832" t="str">
        <f>IFERROR(__xludf.DUMMYFUNCTION("""COMPUTED_VALUE"""),"")</f>
        <v/>
      </c>
      <c r="F3832" t="str">
        <f>IFERROR(__xludf.DUMMYFUNCTION("""COMPUTED_VALUE"""),"")</f>
        <v/>
      </c>
      <c r="G3832" t="str">
        <f>IFERROR(__xludf.DUMMYFUNCTION("""COMPUTED_VALUE"""),"")</f>
        <v/>
      </c>
      <c r="H3832" s="2" t="str">
        <f>IFERROR(__xludf.DUMMYFUNCTION("""COMPUTED_VALUE"""),"")</f>
        <v/>
      </c>
      <c r="I3832" s="2" t="str">
        <f>IFERROR(__xludf.DUMMYFUNCTION("""COMPUTED_VALUE"""),"")</f>
        <v/>
      </c>
      <c r="J3832" s="2">
        <f>IFERROR(__xludf.DUMMYFUNCTION("""COMPUTED_VALUE"""),0.0)</f>
        <v>0</v>
      </c>
      <c r="K3832" s="5" t="str">
        <f>IFERROR(__xludf.DUMMYFUNCTION("""COMPUTED_VALUE"""),"")</f>
        <v/>
      </c>
      <c r="L3832" t="str">
        <f>IFERROR(__xludf.DUMMYFUNCTION("""COMPUTED_VALUE"""),"")</f>
        <v/>
      </c>
      <c r="M3832" t="str">
        <f>IFERROR(__xludf.DUMMYFUNCTION("""COMPUTED_VALUE"""),"")</f>
        <v/>
      </c>
      <c r="N3832" t="str">
        <f>IFERROR(__xludf.DUMMYFUNCTION("""COMPUTED_VALUE"""),"")</f>
        <v/>
      </c>
      <c r="O3832" t="str">
        <f>IFERROR(__xludf.DUMMYFUNCTION("""COMPUTED_VALUE"""),"")</f>
        <v/>
      </c>
      <c r="P3832" t="str">
        <f>IFERROR(__xludf.DUMMYFUNCTION("""COMPUTED_VALUE"""),"ID ")</f>
        <v>ID </v>
      </c>
    </row>
    <row r="3833">
      <c r="A3833" s="6" t="str">
        <f>IFERROR(__xludf.DUMMYFUNCTION("""COMPUTED_VALUE"""),"")</f>
        <v/>
      </c>
      <c r="C3833" t="str">
        <f>IFERROR(__xludf.DUMMYFUNCTION("""COMPUTED_VALUE"""),"")</f>
        <v/>
      </c>
      <c r="D3833" t="str">
        <f>IFERROR(__xludf.DUMMYFUNCTION("""COMPUTED_VALUE"""),"")</f>
        <v/>
      </c>
      <c r="E3833" t="str">
        <f>IFERROR(__xludf.DUMMYFUNCTION("""COMPUTED_VALUE"""),"")</f>
        <v/>
      </c>
      <c r="F3833" t="str">
        <f>IFERROR(__xludf.DUMMYFUNCTION("""COMPUTED_VALUE"""),"")</f>
        <v/>
      </c>
      <c r="G3833" t="str">
        <f>IFERROR(__xludf.DUMMYFUNCTION("""COMPUTED_VALUE"""),"")</f>
        <v/>
      </c>
      <c r="H3833" s="2" t="str">
        <f>IFERROR(__xludf.DUMMYFUNCTION("""COMPUTED_VALUE"""),"")</f>
        <v/>
      </c>
      <c r="I3833" s="2" t="str">
        <f>IFERROR(__xludf.DUMMYFUNCTION("""COMPUTED_VALUE"""),"")</f>
        <v/>
      </c>
      <c r="J3833" s="2">
        <f>IFERROR(__xludf.DUMMYFUNCTION("""COMPUTED_VALUE"""),0.0)</f>
        <v>0</v>
      </c>
      <c r="K3833" s="5" t="str">
        <f>IFERROR(__xludf.DUMMYFUNCTION("""COMPUTED_VALUE"""),"")</f>
        <v/>
      </c>
      <c r="L3833" t="str">
        <f>IFERROR(__xludf.DUMMYFUNCTION("""COMPUTED_VALUE"""),"")</f>
        <v/>
      </c>
      <c r="M3833" t="str">
        <f>IFERROR(__xludf.DUMMYFUNCTION("""COMPUTED_VALUE"""),"")</f>
        <v/>
      </c>
      <c r="N3833" t="str">
        <f>IFERROR(__xludf.DUMMYFUNCTION("""COMPUTED_VALUE"""),"")</f>
        <v/>
      </c>
      <c r="O3833" t="str">
        <f>IFERROR(__xludf.DUMMYFUNCTION("""COMPUTED_VALUE"""),"")</f>
        <v/>
      </c>
      <c r="P3833" t="str">
        <f>IFERROR(__xludf.DUMMYFUNCTION("""COMPUTED_VALUE"""),"ID ")</f>
        <v>ID </v>
      </c>
    </row>
    <row r="3834">
      <c r="A3834" s="6" t="str">
        <f>IFERROR(__xludf.DUMMYFUNCTION("""COMPUTED_VALUE"""),"")</f>
        <v/>
      </c>
      <c r="C3834" t="str">
        <f>IFERROR(__xludf.DUMMYFUNCTION("""COMPUTED_VALUE"""),"")</f>
        <v/>
      </c>
      <c r="D3834" t="str">
        <f>IFERROR(__xludf.DUMMYFUNCTION("""COMPUTED_VALUE"""),"")</f>
        <v/>
      </c>
      <c r="E3834" t="str">
        <f>IFERROR(__xludf.DUMMYFUNCTION("""COMPUTED_VALUE"""),"")</f>
        <v/>
      </c>
      <c r="F3834" t="str">
        <f>IFERROR(__xludf.DUMMYFUNCTION("""COMPUTED_VALUE"""),"")</f>
        <v/>
      </c>
      <c r="G3834" t="str">
        <f>IFERROR(__xludf.DUMMYFUNCTION("""COMPUTED_VALUE"""),"")</f>
        <v/>
      </c>
      <c r="H3834" s="2" t="str">
        <f>IFERROR(__xludf.DUMMYFUNCTION("""COMPUTED_VALUE"""),"")</f>
        <v/>
      </c>
      <c r="I3834" s="2" t="str">
        <f>IFERROR(__xludf.DUMMYFUNCTION("""COMPUTED_VALUE"""),"")</f>
        <v/>
      </c>
      <c r="J3834" s="2">
        <f>IFERROR(__xludf.DUMMYFUNCTION("""COMPUTED_VALUE"""),0.0)</f>
        <v>0</v>
      </c>
      <c r="K3834" s="5" t="str">
        <f>IFERROR(__xludf.DUMMYFUNCTION("""COMPUTED_VALUE"""),"")</f>
        <v/>
      </c>
      <c r="L3834" t="str">
        <f>IFERROR(__xludf.DUMMYFUNCTION("""COMPUTED_VALUE"""),"")</f>
        <v/>
      </c>
      <c r="M3834" t="str">
        <f>IFERROR(__xludf.DUMMYFUNCTION("""COMPUTED_VALUE"""),"")</f>
        <v/>
      </c>
      <c r="N3834" t="str">
        <f>IFERROR(__xludf.DUMMYFUNCTION("""COMPUTED_VALUE"""),"")</f>
        <v/>
      </c>
      <c r="O3834" t="str">
        <f>IFERROR(__xludf.DUMMYFUNCTION("""COMPUTED_VALUE"""),"")</f>
        <v/>
      </c>
      <c r="P3834" t="str">
        <f>IFERROR(__xludf.DUMMYFUNCTION("""COMPUTED_VALUE"""),"ID ")</f>
        <v>ID </v>
      </c>
    </row>
    <row r="3835">
      <c r="A3835" s="6" t="str">
        <f>IFERROR(__xludf.DUMMYFUNCTION("""COMPUTED_VALUE"""),"")</f>
        <v/>
      </c>
      <c r="C3835" t="str">
        <f>IFERROR(__xludf.DUMMYFUNCTION("""COMPUTED_VALUE"""),"")</f>
        <v/>
      </c>
      <c r="D3835" t="str">
        <f>IFERROR(__xludf.DUMMYFUNCTION("""COMPUTED_VALUE"""),"")</f>
        <v/>
      </c>
      <c r="E3835" t="str">
        <f>IFERROR(__xludf.DUMMYFUNCTION("""COMPUTED_VALUE"""),"")</f>
        <v/>
      </c>
      <c r="F3835" t="str">
        <f>IFERROR(__xludf.DUMMYFUNCTION("""COMPUTED_VALUE"""),"")</f>
        <v/>
      </c>
      <c r="G3835" t="str">
        <f>IFERROR(__xludf.DUMMYFUNCTION("""COMPUTED_VALUE"""),"")</f>
        <v/>
      </c>
      <c r="H3835" s="2" t="str">
        <f>IFERROR(__xludf.DUMMYFUNCTION("""COMPUTED_VALUE"""),"")</f>
        <v/>
      </c>
      <c r="I3835" s="2" t="str">
        <f>IFERROR(__xludf.DUMMYFUNCTION("""COMPUTED_VALUE"""),"")</f>
        <v/>
      </c>
      <c r="J3835" s="2">
        <f>IFERROR(__xludf.DUMMYFUNCTION("""COMPUTED_VALUE"""),0.0)</f>
        <v>0</v>
      </c>
      <c r="K3835" s="5" t="str">
        <f>IFERROR(__xludf.DUMMYFUNCTION("""COMPUTED_VALUE"""),"")</f>
        <v/>
      </c>
      <c r="L3835" t="str">
        <f>IFERROR(__xludf.DUMMYFUNCTION("""COMPUTED_VALUE"""),"")</f>
        <v/>
      </c>
      <c r="M3835" t="str">
        <f>IFERROR(__xludf.DUMMYFUNCTION("""COMPUTED_VALUE"""),"")</f>
        <v/>
      </c>
      <c r="N3835" t="str">
        <f>IFERROR(__xludf.DUMMYFUNCTION("""COMPUTED_VALUE"""),"")</f>
        <v/>
      </c>
      <c r="O3835" t="str">
        <f>IFERROR(__xludf.DUMMYFUNCTION("""COMPUTED_VALUE"""),"")</f>
        <v/>
      </c>
      <c r="P3835" t="str">
        <f>IFERROR(__xludf.DUMMYFUNCTION("""COMPUTED_VALUE"""),"ID ")</f>
        <v>ID </v>
      </c>
    </row>
    <row r="3836">
      <c r="A3836" s="6" t="str">
        <f>IFERROR(__xludf.DUMMYFUNCTION("""COMPUTED_VALUE"""),"")</f>
        <v/>
      </c>
      <c r="C3836" t="str">
        <f>IFERROR(__xludf.DUMMYFUNCTION("""COMPUTED_VALUE"""),"")</f>
        <v/>
      </c>
      <c r="D3836" t="str">
        <f>IFERROR(__xludf.DUMMYFUNCTION("""COMPUTED_VALUE"""),"")</f>
        <v/>
      </c>
      <c r="E3836" t="str">
        <f>IFERROR(__xludf.DUMMYFUNCTION("""COMPUTED_VALUE"""),"")</f>
        <v/>
      </c>
      <c r="F3836" t="str">
        <f>IFERROR(__xludf.DUMMYFUNCTION("""COMPUTED_VALUE"""),"")</f>
        <v/>
      </c>
      <c r="G3836" t="str">
        <f>IFERROR(__xludf.DUMMYFUNCTION("""COMPUTED_VALUE"""),"")</f>
        <v/>
      </c>
      <c r="H3836" s="2" t="str">
        <f>IFERROR(__xludf.DUMMYFUNCTION("""COMPUTED_VALUE"""),"")</f>
        <v/>
      </c>
      <c r="I3836" s="2" t="str">
        <f>IFERROR(__xludf.DUMMYFUNCTION("""COMPUTED_VALUE"""),"")</f>
        <v/>
      </c>
      <c r="J3836" s="2">
        <f>IFERROR(__xludf.DUMMYFUNCTION("""COMPUTED_VALUE"""),0.0)</f>
        <v>0</v>
      </c>
      <c r="K3836" s="5" t="str">
        <f>IFERROR(__xludf.DUMMYFUNCTION("""COMPUTED_VALUE"""),"")</f>
        <v/>
      </c>
      <c r="L3836" t="str">
        <f>IFERROR(__xludf.DUMMYFUNCTION("""COMPUTED_VALUE"""),"")</f>
        <v/>
      </c>
      <c r="M3836" t="str">
        <f>IFERROR(__xludf.DUMMYFUNCTION("""COMPUTED_VALUE"""),"")</f>
        <v/>
      </c>
      <c r="N3836" t="str">
        <f>IFERROR(__xludf.DUMMYFUNCTION("""COMPUTED_VALUE"""),"")</f>
        <v/>
      </c>
      <c r="O3836" t="str">
        <f>IFERROR(__xludf.DUMMYFUNCTION("""COMPUTED_VALUE"""),"")</f>
        <v/>
      </c>
      <c r="P3836" t="str">
        <f>IFERROR(__xludf.DUMMYFUNCTION("""COMPUTED_VALUE"""),"ID ")</f>
        <v>ID </v>
      </c>
    </row>
    <row r="3837">
      <c r="A3837" s="6" t="str">
        <f>IFERROR(__xludf.DUMMYFUNCTION("""COMPUTED_VALUE"""),"")</f>
        <v/>
      </c>
      <c r="C3837" t="str">
        <f>IFERROR(__xludf.DUMMYFUNCTION("""COMPUTED_VALUE"""),"")</f>
        <v/>
      </c>
      <c r="D3837" t="str">
        <f>IFERROR(__xludf.DUMMYFUNCTION("""COMPUTED_VALUE"""),"")</f>
        <v/>
      </c>
      <c r="E3837" t="str">
        <f>IFERROR(__xludf.DUMMYFUNCTION("""COMPUTED_VALUE"""),"")</f>
        <v/>
      </c>
      <c r="F3837" t="str">
        <f>IFERROR(__xludf.DUMMYFUNCTION("""COMPUTED_VALUE"""),"")</f>
        <v/>
      </c>
      <c r="G3837" t="str">
        <f>IFERROR(__xludf.DUMMYFUNCTION("""COMPUTED_VALUE"""),"")</f>
        <v/>
      </c>
      <c r="H3837" s="2" t="str">
        <f>IFERROR(__xludf.DUMMYFUNCTION("""COMPUTED_VALUE"""),"")</f>
        <v/>
      </c>
      <c r="I3837" s="2" t="str">
        <f>IFERROR(__xludf.DUMMYFUNCTION("""COMPUTED_VALUE"""),"")</f>
        <v/>
      </c>
      <c r="J3837" s="2">
        <f>IFERROR(__xludf.DUMMYFUNCTION("""COMPUTED_VALUE"""),0.0)</f>
        <v>0</v>
      </c>
      <c r="K3837" s="5" t="str">
        <f>IFERROR(__xludf.DUMMYFUNCTION("""COMPUTED_VALUE"""),"")</f>
        <v/>
      </c>
      <c r="L3837" t="str">
        <f>IFERROR(__xludf.DUMMYFUNCTION("""COMPUTED_VALUE"""),"")</f>
        <v/>
      </c>
      <c r="M3837" t="str">
        <f>IFERROR(__xludf.DUMMYFUNCTION("""COMPUTED_VALUE"""),"")</f>
        <v/>
      </c>
      <c r="N3837" t="str">
        <f>IFERROR(__xludf.DUMMYFUNCTION("""COMPUTED_VALUE"""),"")</f>
        <v/>
      </c>
      <c r="O3837" t="str">
        <f>IFERROR(__xludf.DUMMYFUNCTION("""COMPUTED_VALUE"""),"")</f>
        <v/>
      </c>
      <c r="P3837" t="str">
        <f>IFERROR(__xludf.DUMMYFUNCTION("""COMPUTED_VALUE"""),"ID ")</f>
        <v>ID </v>
      </c>
    </row>
    <row r="3838">
      <c r="A3838" s="6" t="str">
        <f>IFERROR(__xludf.DUMMYFUNCTION("""COMPUTED_VALUE"""),"")</f>
        <v/>
      </c>
      <c r="C3838" t="str">
        <f>IFERROR(__xludf.DUMMYFUNCTION("""COMPUTED_VALUE"""),"")</f>
        <v/>
      </c>
      <c r="D3838" t="str">
        <f>IFERROR(__xludf.DUMMYFUNCTION("""COMPUTED_VALUE"""),"")</f>
        <v/>
      </c>
      <c r="E3838" t="str">
        <f>IFERROR(__xludf.DUMMYFUNCTION("""COMPUTED_VALUE"""),"")</f>
        <v/>
      </c>
      <c r="F3838" t="str">
        <f>IFERROR(__xludf.DUMMYFUNCTION("""COMPUTED_VALUE"""),"")</f>
        <v/>
      </c>
      <c r="G3838" t="str">
        <f>IFERROR(__xludf.DUMMYFUNCTION("""COMPUTED_VALUE"""),"")</f>
        <v/>
      </c>
      <c r="H3838" s="2" t="str">
        <f>IFERROR(__xludf.DUMMYFUNCTION("""COMPUTED_VALUE"""),"")</f>
        <v/>
      </c>
      <c r="I3838" s="2" t="str">
        <f>IFERROR(__xludf.DUMMYFUNCTION("""COMPUTED_VALUE"""),"")</f>
        <v/>
      </c>
      <c r="J3838" s="2">
        <f>IFERROR(__xludf.DUMMYFUNCTION("""COMPUTED_VALUE"""),0.0)</f>
        <v>0</v>
      </c>
      <c r="K3838" s="5" t="str">
        <f>IFERROR(__xludf.DUMMYFUNCTION("""COMPUTED_VALUE"""),"")</f>
        <v/>
      </c>
      <c r="L3838" t="str">
        <f>IFERROR(__xludf.DUMMYFUNCTION("""COMPUTED_VALUE"""),"")</f>
        <v/>
      </c>
      <c r="M3838" t="str">
        <f>IFERROR(__xludf.DUMMYFUNCTION("""COMPUTED_VALUE"""),"")</f>
        <v/>
      </c>
      <c r="N3838" t="str">
        <f>IFERROR(__xludf.DUMMYFUNCTION("""COMPUTED_VALUE"""),"")</f>
        <v/>
      </c>
      <c r="O3838" t="str">
        <f>IFERROR(__xludf.DUMMYFUNCTION("""COMPUTED_VALUE"""),"")</f>
        <v/>
      </c>
      <c r="P3838" t="str">
        <f>IFERROR(__xludf.DUMMYFUNCTION("""COMPUTED_VALUE"""),"ID ")</f>
        <v>ID </v>
      </c>
    </row>
    <row r="3839">
      <c r="A3839" s="6" t="str">
        <f>IFERROR(__xludf.DUMMYFUNCTION("""COMPUTED_VALUE"""),"")</f>
        <v/>
      </c>
      <c r="C3839" t="str">
        <f>IFERROR(__xludf.DUMMYFUNCTION("""COMPUTED_VALUE"""),"")</f>
        <v/>
      </c>
      <c r="D3839" t="str">
        <f>IFERROR(__xludf.DUMMYFUNCTION("""COMPUTED_VALUE"""),"")</f>
        <v/>
      </c>
      <c r="E3839" t="str">
        <f>IFERROR(__xludf.DUMMYFUNCTION("""COMPUTED_VALUE"""),"")</f>
        <v/>
      </c>
      <c r="F3839" t="str">
        <f>IFERROR(__xludf.DUMMYFUNCTION("""COMPUTED_VALUE"""),"")</f>
        <v/>
      </c>
      <c r="G3839" t="str">
        <f>IFERROR(__xludf.DUMMYFUNCTION("""COMPUTED_VALUE"""),"")</f>
        <v/>
      </c>
      <c r="H3839" s="2" t="str">
        <f>IFERROR(__xludf.DUMMYFUNCTION("""COMPUTED_VALUE"""),"")</f>
        <v/>
      </c>
      <c r="I3839" s="2" t="str">
        <f>IFERROR(__xludf.DUMMYFUNCTION("""COMPUTED_VALUE"""),"")</f>
        <v/>
      </c>
      <c r="J3839" s="2">
        <f>IFERROR(__xludf.DUMMYFUNCTION("""COMPUTED_VALUE"""),0.0)</f>
        <v>0</v>
      </c>
      <c r="K3839" s="5" t="str">
        <f>IFERROR(__xludf.DUMMYFUNCTION("""COMPUTED_VALUE"""),"")</f>
        <v/>
      </c>
      <c r="L3839" t="str">
        <f>IFERROR(__xludf.DUMMYFUNCTION("""COMPUTED_VALUE"""),"")</f>
        <v/>
      </c>
      <c r="M3839" t="str">
        <f>IFERROR(__xludf.DUMMYFUNCTION("""COMPUTED_VALUE"""),"")</f>
        <v/>
      </c>
      <c r="N3839" t="str">
        <f>IFERROR(__xludf.DUMMYFUNCTION("""COMPUTED_VALUE"""),"")</f>
        <v/>
      </c>
      <c r="O3839" t="str">
        <f>IFERROR(__xludf.DUMMYFUNCTION("""COMPUTED_VALUE"""),"")</f>
        <v/>
      </c>
      <c r="P3839" t="str">
        <f>IFERROR(__xludf.DUMMYFUNCTION("""COMPUTED_VALUE"""),"ID ")</f>
        <v>ID </v>
      </c>
    </row>
    <row r="3840">
      <c r="A3840" s="6" t="str">
        <f>IFERROR(__xludf.DUMMYFUNCTION("""COMPUTED_VALUE"""),"")</f>
        <v/>
      </c>
      <c r="C3840" t="str">
        <f>IFERROR(__xludf.DUMMYFUNCTION("""COMPUTED_VALUE"""),"")</f>
        <v/>
      </c>
      <c r="D3840" t="str">
        <f>IFERROR(__xludf.DUMMYFUNCTION("""COMPUTED_VALUE"""),"")</f>
        <v/>
      </c>
      <c r="E3840" t="str">
        <f>IFERROR(__xludf.DUMMYFUNCTION("""COMPUTED_VALUE"""),"")</f>
        <v/>
      </c>
      <c r="F3840" t="str">
        <f>IFERROR(__xludf.DUMMYFUNCTION("""COMPUTED_VALUE"""),"")</f>
        <v/>
      </c>
      <c r="G3840" t="str">
        <f>IFERROR(__xludf.DUMMYFUNCTION("""COMPUTED_VALUE"""),"")</f>
        <v/>
      </c>
      <c r="H3840" s="2" t="str">
        <f>IFERROR(__xludf.DUMMYFUNCTION("""COMPUTED_VALUE"""),"")</f>
        <v/>
      </c>
      <c r="I3840" s="2" t="str">
        <f>IFERROR(__xludf.DUMMYFUNCTION("""COMPUTED_VALUE"""),"")</f>
        <v/>
      </c>
      <c r="J3840" s="2">
        <f>IFERROR(__xludf.DUMMYFUNCTION("""COMPUTED_VALUE"""),0.0)</f>
        <v>0</v>
      </c>
      <c r="K3840" s="5" t="str">
        <f>IFERROR(__xludf.DUMMYFUNCTION("""COMPUTED_VALUE"""),"")</f>
        <v/>
      </c>
      <c r="L3840" t="str">
        <f>IFERROR(__xludf.DUMMYFUNCTION("""COMPUTED_VALUE"""),"")</f>
        <v/>
      </c>
      <c r="M3840" t="str">
        <f>IFERROR(__xludf.DUMMYFUNCTION("""COMPUTED_VALUE"""),"")</f>
        <v/>
      </c>
      <c r="N3840" t="str">
        <f>IFERROR(__xludf.DUMMYFUNCTION("""COMPUTED_VALUE"""),"")</f>
        <v/>
      </c>
      <c r="O3840" t="str">
        <f>IFERROR(__xludf.DUMMYFUNCTION("""COMPUTED_VALUE"""),"")</f>
        <v/>
      </c>
      <c r="P3840" t="str">
        <f>IFERROR(__xludf.DUMMYFUNCTION("""COMPUTED_VALUE"""),"ID ")</f>
        <v>ID </v>
      </c>
    </row>
    <row r="3841">
      <c r="A3841" s="6" t="str">
        <f>IFERROR(__xludf.DUMMYFUNCTION("""COMPUTED_VALUE"""),"")</f>
        <v/>
      </c>
      <c r="C3841" t="str">
        <f>IFERROR(__xludf.DUMMYFUNCTION("""COMPUTED_VALUE"""),"")</f>
        <v/>
      </c>
      <c r="D3841" t="str">
        <f>IFERROR(__xludf.DUMMYFUNCTION("""COMPUTED_VALUE"""),"")</f>
        <v/>
      </c>
      <c r="E3841" t="str">
        <f>IFERROR(__xludf.DUMMYFUNCTION("""COMPUTED_VALUE"""),"")</f>
        <v/>
      </c>
      <c r="F3841" t="str">
        <f>IFERROR(__xludf.DUMMYFUNCTION("""COMPUTED_VALUE"""),"")</f>
        <v/>
      </c>
      <c r="G3841" t="str">
        <f>IFERROR(__xludf.DUMMYFUNCTION("""COMPUTED_VALUE"""),"")</f>
        <v/>
      </c>
      <c r="H3841" s="2" t="str">
        <f>IFERROR(__xludf.DUMMYFUNCTION("""COMPUTED_VALUE"""),"")</f>
        <v/>
      </c>
      <c r="I3841" s="2" t="str">
        <f>IFERROR(__xludf.DUMMYFUNCTION("""COMPUTED_VALUE"""),"")</f>
        <v/>
      </c>
      <c r="J3841" s="2">
        <f>IFERROR(__xludf.DUMMYFUNCTION("""COMPUTED_VALUE"""),0.0)</f>
        <v>0</v>
      </c>
      <c r="K3841" s="5" t="str">
        <f>IFERROR(__xludf.DUMMYFUNCTION("""COMPUTED_VALUE"""),"")</f>
        <v/>
      </c>
      <c r="L3841" t="str">
        <f>IFERROR(__xludf.DUMMYFUNCTION("""COMPUTED_VALUE"""),"")</f>
        <v/>
      </c>
      <c r="M3841" t="str">
        <f>IFERROR(__xludf.DUMMYFUNCTION("""COMPUTED_VALUE"""),"")</f>
        <v/>
      </c>
      <c r="N3841" t="str">
        <f>IFERROR(__xludf.DUMMYFUNCTION("""COMPUTED_VALUE"""),"")</f>
        <v/>
      </c>
      <c r="O3841" t="str">
        <f>IFERROR(__xludf.DUMMYFUNCTION("""COMPUTED_VALUE"""),"")</f>
        <v/>
      </c>
      <c r="P3841" t="str">
        <f>IFERROR(__xludf.DUMMYFUNCTION("""COMPUTED_VALUE"""),"ID ")</f>
        <v>ID </v>
      </c>
    </row>
    <row r="3842">
      <c r="A3842" s="6" t="str">
        <f>IFERROR(__xludf.DUMMYFUNCTION("""COMPUTED_VALUE"""),"")</f>
        <v/>
      </c>
      <c r="C3842" t="str">
        <f>IFERROR(__xludf.DUMMYFUNCTION("""COMPUTED_VALUE"""),"")</f>
        <v/>
      </c>
      <c r="D3842" t="str">
        <f>IFERROR(__xludf.DUMMYFUNCTION("""COMPUTED_VALUE"""),"")</f>
        <v/>
      </c>
      <c r="E3842" t="str">
        <f>IFERROR(__xludf.DUMMYFUNCTION("""COMPUTED_VALUE"""),"")</f>
        <v/>
      </c>
      <c r="F3842" t="str">
        <f>IFERROR(__xludf.DUMMYFUNCTION("""COMPUTED_VALUE"""),"")</f>
        <v/>
      </c>
      <c r="G3842" t="str">
        <f>IFERROR(__xludf.DUMMYFUNCTION("""COMPUTED_VALUE"""),"")</f>
        <v/>
      </c>
      <c r="H3842" s="2" t="str">
        <f>IFERROR(__xludf.DUMMYFUNCTION("""COMPUTED_VALUE"""),"")</f>
        <v/>
      </c>
      <c r="I3842" s="2" t="str">
        <f>IFERROR(__xludf.DUMMYFUNCTION("""COMPUTED_VALUE"""),"")</f>
        <v/>
      </c>
      <c r="J3842" s="2">
        <f>IFERROR(__xludf.DUMMYFUNCTION("""COMPUTED_VALUE"""),0.0)</f>
        <v>0</v>
      </c>
      <c r="K3842" s="5" t="str">
        <f>IFERROR(__xludf.DUMMYFUNCTION("""COMPUTED_VALUE"""),"")</f>
        <v/>
      </c>
      <c r="L3842" t="str">
        <f>IFERROR(__xludf.DUMMYFUNCTION("""COMPUTED_VALUE"""),"")</f>
        <v/>
      </c>
      <c r="M3842" t="str">
        <f>IFERROR(__xludf.DUMMYFUNCTION("""COMPUTED_VALUE"""),"")</f>
        <v/>
      </c>
      <c r="N3842" t="str">
        <f>IFERROR(__xludf.DUMMYFUNCTION("""COMPUTED_VALUE"""),"")</f>
        <v/>
      </c>
      <c r="O3842" t="str">
        <f>IFERROR(__xludf.DUMMYFUNCTION("""COMPUTED_VALUE"""),"")</f>
        <v/>
      </c>
      <c r="P3842" t="str">
        <f>IFERROR(__xludf.DUMMYFUNCTION("""COMPUTED_VALUE"""),"ID ")</f>
        <v>ID </v>
      </c>
    </row>
    <row r="3843">
      <c r="A3843" s="6" t="str">
        <f>IFERROR(__xludf.DUMMYFUNCTION("""COMPUTED_VALUE"""),"")</f>
        <v/>
      </c>
      <c r="C3843" t="str">
        <f>IFERROR(__xludf.DUMMYFUNCTION("""COMPUTED_VALUE"""),"")</f>
        <v/>
      </c>
      <c r="D3843" t="str">
        <f>IFERROR(__xludf.DUMMYFUNCTION("""COMPUTED_VALUE"""),"")</f>
        <v/>
      </c>
      <c r="E3843" t="str">
        <f>IFERROR(__xludf.DUMMYFUNCTION("""COMPUTED_VALUE"""),"")</f>
        <v/>
      </c>
      <c r="F3843" t="str">
        <f>IFERROR(__xludf.DUMMYFUNCTION("""COMPUTED_VALUE"""),"")</f>
        <v/>
      </c>
      <c r="G3843" t="str">
        <f>IFERROR(__xludf.DUMMYFUNCTION("""COMPUTED_VALUE"""),"")</f>
        <v/>
      </c>
      <c r="H3843" s="2" t="str">
        <f>IFERROR(__xludf.DUMMYFUNCTION("""COMPUTED_VALUE"""),"")</f>
        <v/>
      </c>
      <c r="I3843" s="2" t="str">
        <f>IFERROR(__xludf.DUMMYFUNCTION("""COMPUTED_VALUE"""),"")</f>
        <v/>
      </c>
      <c r="J3843" s="2">
        <f>IFERROR(__xludf.DUMMYFUNCTION("""COMPUTED_VALUE"""),0.0)</f>
        <v>0</v>
      </c>
      <c r="K3843" s="5" t="str">
        <f>IFERROR(__xludf.DUMMYFUNCTION("""COMPUTED_VALUE"""),"")</f>
        <v/>
      </c>
      <c r="L3843" t="str">
        <f>IFERROR(__xludf.DUMMYFUNCTION("""COMPUTED_VALUE"""),"")</f>
        <v/>
      </c>
      <c r="M3843" t="str">
        <f>IFERROR(__xludf.DUMMYFUNCTION("""COMPUTED_VALUE"""),"")</f>
        <v/>
      </c>
      <c r="N3843" t="str">
        <f>IFERROR(__xludf.DUMMYFUNCTION("""COMPUTED_VALUE"""),"")</f>
        <v/>
      </c>
      <c r="O3843" t="str">
        <f>IFERROR(__xludf.DUMMYFUNCTION("""COMPUTED_VALUE"""),"")</f>
        <v/>
      </c>
      <c r="P3843" t="str">
        <f>IFERROR(__xludf.DUMMYFUNCTION("""COMPUTED_VALUE"""),"ID ")</f>
        <v>ID </v>
      </c>
    </row>
    <row r="3844">
      <c r="A3844" s="6" t="str">
        <f>IFERROR(__xludf.DUMMYFUNCTION("""COMPUTED_VALUE"""),"")</f>
        <v/>
      </c>
      <c r="C3844" t="str">
        <f>IFERROR(__xludf.DUMMYFUNCTION("""COMPUTED_VALUE"""),"")</f>
        <v/>
      </c>
      <c r="D3844" t="str">
        <f>IFERROR(__xludf.DUMMYFUNCTION("""COMPUTED_VALUE"""),"")</f>
        <v/>
      </c>
      <c r="E3844" t="str">
        <f>IFERROR(__xludf.DUMMYFUNCTION("""COMPUTED_VALUE"""),"")</f>
        <v/>
      </c>
      <c r="F3844" t="str">
        <f>IFERROR(__xludf.DUMMYFUNCTION("""COMPUTED_VALUE"""),"")</f>
        <v/>
      </c>
      <c r="G3844" t="str">
        <f>IFERROR(__xludf.DUMMYFUNCTION("""COMPUTED_VALUE"""),"")</f>
        <v/>
      </c>
      <c r="H3844" s="2" t="str">
        <f>IFERROR(__xludf.DUMMYFUNCTION("""COMPUTED_VALUE"""),"")</f>
        <v/>
      </c>
      <c r="I3844" s="2" t="str">
        <f>IFERROR(__xludf.DUMMYFUNCTION("""COMPUTED_VALUE"""),"")</f>
        <v/>
      </c>
      <c r="J3844" s="2">
        <f>IFERROR(__xludf.DUMMYFUNCTION("""COMPUTED_VALUE"""),0.0)</f>
        <v>0</v>
      </c>
      <c r="K3844" s="5" t="str">
        <f>IFERROR(__xludf.DUMMYFUNCTION("""COMPUTED_VALUE"""),"")</f>
        <v/>
      </c>
      <c r="L3844" t="str">
        <f>IFERROR(__xludf.DUMMYFUNCTION("""COMPUTED_VALUE"""),"")</f>
        <v/>
      </c>
      <c r="M3844" t="str">
        <f>IFERROR(__xludf.DUMMYFUNCTION("""COMPUTED_VALUE"""),"")</f>
        <v/>
      </c>
      <c r="N3844" t="str">
        <f>IFERROR(__xludf.DUMMYFUNCTION("""COMPUTED_VALUE"""),"")</f>
        <v/>
      </c>
      <c r="O3844" t="str">
        <f>IFERROR(__xludf.DUMMYFUNCTION("""COMPUTED_VALUE"""),"")</f>
        <v/>
      </c>
      <c r="P3844" t="str">
        <f>IFERROR(__xludf.DUMMYFUNCTION("""COMPUTED_VALUE"""),"ID ")</f>
        <v>ID </v>
      </c>
    </row>
    <row r="3845">
      <c r="A3845" s="6" t="str">
        <f>IFERROR(__xludf.DUMMYFUNCTION("""COMPUTED_VALUE"""),"")</f>
        <v/>
      </c>
      <c r="C3845" t="str">
        <f>IFERROR(__xludf.DUMMYFUNCTION("""COMPUTED_VALUE"""),"")</f>
        <v/>
      </c>
      <c r="D3845" t="str">
        <f>IFERROR(__xludf.DUMMYFUNCTION("""COMPUTED_VALUE"""),"")</f>
        <v/>
      </c>
      <c r="E3845" t="str">
        <f>IFERROR(__xludf.DUMMYFUNCTION("""COMPUTED_VALUE"""),"")</f>
        <v/>
      </c>
      <c r="F3845" t="str">
        <f>IFERROR(__xludf.DUMMYFUNCTION("""COMPUTED_VALUE"""),"")</f>
        <v/>
      </c>
      <c r="G3845" t="str">
        <f>IFERROR(__xludf.DUMMYFUNCTION("""COMPUTED_VALUE"""),"")</f>
        <v/>
      </c>
      <c r="H3845" s="2" t="str">
        <f>IFERROR(__xludf.DUMMYFUNCTION("""COMPUTED_VALUE"""),"")</f>
        <v/>
      </c>
      <c r="I3845" s="2" t="str">
        <f>IFERROR(__xludf.DUMMYFUNCTION("""COMPUTED_VALUE"""),"")</f>
        <v/>
      </c>
      <c r="J3845" s="2">
        <f>IFERROR(__xludf.DUMMYFUNCTION("""COMPUTED_VALUE"""),0.0)</f>
        <v>0</v>
      </c>
      <c r="K3845" s="5" t="str">
        <f>IFERROR(__xludf.DUMMYFUNCTION("""COMPUTED_VALUE"""),"")</f>
        <v/>
      </c>
      <c r="L3845" t="str">
        <f>IFERROR(__xludf.DUMMYFUNCTION("""COMPUTED_VALUE"""),"")</f>
        <v/>
      </c>
      <c r="M3845" t="str">
        <f>IFERROR(__xludf.DUMMYFUNCTION("""COMPUTED_VALUE"""),"")</f>
        <v/>
      </c>
      <c r="N3845" t="str">
        <f>IFERROR(__xludf.DUMMYFUNCTION("""COMPUTED_VALUE"""),"")</f>
        <v/>
      </c>
      <c r="O3845" t="str">
        <f>IFERROR(__xludf.DUMMYFUNCTION("""COMPUTED_VALUE"""),"")</f>
        <v/>
      </c>
      <c r="P3845" t="str">
        <f>IFERROR(__xludf.DUMMYFUNCTION("""COMPUTED_VALUE"""),"ID ")</f>
        <v>ID </v>
      </c>
    </row>
    <row r="3846">
      <c r="A3846" s="6" t="str">
        <f>IFERROR(__xludf.DUMMYFUNCTION("""COMPUTED_VALUE"""),"")</f>
        <v/>
      </c>
      <c r="C3846" t="str">
        <f>IFERROR(__xludf.DUMMYFUNCTION("""COMPUTED_VALUE"""),"")</f>
        <v/>
      </c>
      <c r="D3846" t="str">
        <f>IFERROR(__xludf.DUMMYFUNCTION("""COMPUTED_VALUE"""),"")</f>
        <v/>
      </c>
      <c r="E3846" t="str">
        <f>IFERROR(__xludf.DUMMYFUNCTION("""COMPUTED_VALUE"""),"")</f>
        <v/>
      </c>
      <c r="F3846" t="str">
        <f>IFERROR(__xludf.DUMMYFUNCTION("""COMPUTED_VALUE"""),"")</f>
        <v/>
      </c>
      <c r="G3846" t="str">
        <f>IFERROR(__xludf.DUMMYFUNCTION("""COMPUTED_VALUE"""),"")</f>
        <v/>
      </c>
      <c r="H3846" s="2" t="str">
        <f>IFERROR(__xludf.DUMMYFUNCTION("""COMPUTED_VALUE"""),"")</f>
        <v/>
      </c>
      <c r="I3846" s="2" t="str">
        <f>IFERROR(__xludf.DUMMYFUNCTION("""COMPUTED_VALUE"""),"")</f>
        <v/>
      </c>
      <c r="J3846" s="2">
        <f>IFERROR(__xludf.DUMMYFUNCTION("""COMPUTED_VALUE"""),0.0)</f>
        <v>0</v>
      </c>
      <c r="K3846" s="5" t="str">
        <f>IFERROR(__xludf.DUMMYFUNCTION("""COMPUTED_VALUE"""),"")</f>
        <v/>
      </c>
      <c r="L3846" t="str">
        <f>IFERROR(__xludf.DUMMYFUNCTION("""COMPUTED_VALUE"""),"")</f>
        <v/>
      </c>
      <c r="M3846" t="str">
        <f>IFERROR(__xludf.DUMMYFUNCTION("""COMPUTED_VALUE"""),"")</f>
        <v/>
      </c>
      <c r="N3846" t="str">
        <f>IFERROR(__xludf.DUMMYFUNCTION("""COMPUTED_VALUE"""),"")</f>
        <v/>
      </c>
      <c r="O3846" t="str">
        <f>IFERROR(__xludf.DUMMYFUNCTION("""COMPUTED_VALUE"""),"")</f>
        <v/>
      </c>
      <c r="P3846" t="str">
        <f>IFERROR(__xludf.DUMMYFUNCTION("""COMPUTED_VALUE"""),"ID ")</f>
        <v>ID </v>
      </c>
    </row>
    <row r="3847">
      <c r="A3847" s="6" t="str">
        <f>IFERROR(__xludf.DUMMYFUNCTION("""COMPUTED_VALUE"""),"")</f>
        <v/>
      </c>
      <c r="C3847" t="str">
        <f>IFERROR(__xludf.DUMMYFUNCTION("""COMPUTED_VALUE"""),"")</f>
        <v/>
      </c>
      <c r="D3847" t="str">
        <f>IFERROR(__xludf.DUMMYFUNCTION("""COMPUTED_VALUE"""),"")</f>
        <v/>
      </c>
      <c r="E3847" t="str">
        <f>IFERROR(__xludf.DUMMYFUNCTION("""COMPUTED_VALUE"""),"")</f>
        <v/>
      </c>
      <c r="F3847" t="str">
        <f>IFERROR(__xludf.DUMMYFUNCTION("""COMPUTED_VALUE"""),"")</f>
        <v/>
      </c>
      <c r="G3847" t="str">
        <f>IFERROR(__xludf.DUMMYFUNCTION("""COMPUTED_VALUE"""),"")</f>
        <v/>
      </c>
      <c r="H3847" s="2" t="str">
        <f>IFERROR(__xludf.DUMMYFUNCTION("""COMPUTED_VALUE"""),"")</f>
        <v/>
      </c>
      <c r="I3847" s="2" t="str">
        <f>IFERROR(__xludf.DUMMYFUNCTION("""COMPUTED_VALUE"""),"")</f>
        <v/>
      </c>
      <c r="J3847" s="2">
        <f>IFERROR(__xludf.DUMMYFUNCTION("""COMPUTED_VALUE"""),0.0)</f>
        <v>0</v>
      </c>
      <c r="K3847" s="5" t="str">
        <f>IFERROR(__xludf.DUMMYFUNCTION("""COMPUTED_VALUE"""),"")</f>
        <v/>
      </c>
      <c r="L3847" t="str">
        <f>IFERROR(__xludf.DUMMYFUNCTION("""COMPUTED_VALUE"""),"")</f>
        <v/>
      </c>
      <c r="M3847" t="str">
        <f>IFERROR(__xludf.DUMMYFUNCTION("""COMPUTED_VALUE"""),"")</f>
        <v/>
      </c>
      <c r="N3847" t="str">
        <f>IFERROR(__xludf.DUMMYFUNCTION("""COMPUTED_VALUE"""),"")</f>
        <v/>
      </c>
      <c r="O3847" t="str">
        <f>IFERROR(__xludf.DUMMYFUNCTION("""COMPUTED_VALUE"""),"")</f>
        <v/>
      </c>
      <c r="P3847" t="str">
        <f>IFERROR(__xludf.DUMMYFUNCTION("""COMPUTED_VALUE"""),"ID ")</f>
        <v>ID </v>
      </c>
    </row>
    <row r="3848">
      <c r="A3848" s="6" t="str">
        <f>IFERROR(__xludf.DUMMYFUNCTION("""COMPUTED_VALUE"""),"")</f>
        <v/>
      </c>
      <c r="C3848" t="str">
        <f>IFERROR(__xludf.DUMMYFUNCTION("""COMPUTED_VALUE"""),"")</f>
        <v/>
      </c>
      <c r="D3848" t="str">
        <f>IFERROR(__xludf.DUMMYFUNCTION("""COMPUTED_VALUE"""),"")</f>
        <v/>
      </c>
      <c r="E3848" t="str">
        <f>IFERROR(__xludf.DUMMYFUNCTION("""COMPUTED_VALUE"""),"")</f>
        <v/>
      </c>
      <c r="F3848" t="str">
        <f>IFERROR(__xludf.DUMMYFUNCTION("""COMPUTED_VALUE"""),"")</f>
        <v/>
      </c>
      <c r="G3848" t="str">
        <f>IFERROR(__xludf.DUMMYFUNCTION("""COMPUTED_VALUE"""),"")</f>
        <v/>
      </c>
      <c r="H3848" s="2" t="str">
        <f>IFERROR(__xludf.DUMMYFUNCTION("""COMPUTED_VALUE"""),"")</f>
        <v/>
      </c>
      <c r="I3848" s="2" t="str">
        <f>IFERROR(__xludf.DUMMYFUNCTION("""COMPUTED_VALUE"""),"")</f>
        <v/>
      </c>
      <c r="J3848" s="2">
        <f>IFERROR(__xludf.DUMMYFUNCTION("""COMPUTED_VALUE"""),0.0)</f>
        <v>0</v>
      </c>
      <c r="K3848" s="5" t="str">
        <f>IFERROR(__xludf.DUMMYFUNCTION("""COMPUTED_VALUE"""),"")</f>
        <v/>
      </c>
      <c r="L3848" t="str">
        <f>IFERROR(__xludf.DUMMYFUNCTION("""COMPUTED_VALUE"""),"")</f>
        <v/>
      </c>
      <c r="M3848" t="str">
        <f>IFERROR(__xludf.DUMMYFUNCTION("""COMPUTED_VALUE"""),"")</f>
        <v/>
      </c>
      <c r="N3848" t="str">
        <f>IFERROR(__xludf.DUMMYFUNCTION("""COMPUTED_VALUE"""),"")</f>
        <v/>
      </c>
      <c r="O3848" t="str">
        <f>IFERROR(__xludf.DUMMYFUNCTION("""COMPUTED_VALUE"""),"")</f>
        <v/>
      </c>
      <c r="P3848" t="str">
        <f>IFERROR(__xludf.DUMMYFUNCTION("""COMPUTED_VALUE"""),"ID ")</f>
        <v>ID </v>
      </c>
    </row>
    <row r="3849">
      <c r="A3849" s="6" t="str">
        <f>IFERROR(__xludf.DUMMYFUNCTION("""COMPUTED_VALUE"""),"")</f>
        <v/>
      </c>
      <c r="C3849" t="str">
        <f>IFERROR(__xludf.DUMMYFUNCTION("""COMPUTED_VALUE"""),"")</f>
        <v/>
      </c>
      <c r="D3849" t="str">
        <f>IFERROR(__xludf.DUMMYFUNCTION("""COMPUTED_VALUE"""),"")</f>
        <v/>
      </c>
      <c r="E3849" t="str">
        <f>IFERROR(__xludf.DUMMYFUNCTION("""COMPUTED_VALUE"""),"")</f>
        <v/>
      </c>
      <c r="F3849" t="str">
        <f>IFERROR(__xludf.DUMMYFUNCTION("""COMPUTED_VALUE"""),"")</f>
        <v/>
      </c>
      <c r="G3849" t="str">
        <f>IFERROR(__xludf.DUMMYFUNCTION("""COMPUTED_VALUE"""),"")</f>
        <v/>
      </c>
      <c r="H3849" s="2" t="str">
        <f>IFERROR(__xludf.DUMMYFUNCTION("""COMPUTED_VALUE"""),"")</f>
        <v/>
      </c>
      <c r="I3849" s="2" t="str">
        <f>IFERROR(__xludf.DUMMYFUNCTION("""COMPUTED_VALUE"""),"")</f>
        <v/>
      </c>
      <c r="J3849" s="2">
        <f>IFERROR(__xludf.DUMMYFUNCTION("""COMPUTED_VALUE"""),0.0)</f>
        <v>0</v>
      </c>
      <c r="K3849" s="5" t="str">
        <f>IFERROR(__xludf.DUMMYFUNCTION("""COMPUTED_VALUE"""),"")</f>
        <v/>
      </c>
      <c r="L3849" t="str">
        <f>IFERROR(__xludf.DUMMYFUNCTION("""COMPUTED_VALUE"""),"")</f>
        <v/>
      </c>
      <c r="M3849" t="str">
        <f>IFERROR(__xludf.DUMMYFUNCTION("""COMPUTED_VALUE"""),"")</f>
        <v/>
      </c>
      <c r="N3849" t="str">
        <f>IFERROR(__xludf.DUMMYFUNCTION("""COMPUTED_VALUE"""),"")</f>
        <v/>
      </c>
      <c r="O3849" t="str">
        <f>IFERROR(__xludf.DUMMYFUNCTION("""COMPUTED_VALUE"""),"")</f>
        <v/>
      </c>
      <c r="P3849" t="str">
        <f>IFERROR(__xludf.DUMMYFUNCTION("""COMPUTED_VALUE"""),"ID ")</f>
        <v>ID </v>
      </c>
    </row>
    <row r="3850">
      <c r="A3850" s="6" t="str">
        <f>IFERROR(__xludf.DUMMYFUNCTION("""COMPUTED_VALUE"""),"")</f>
        <v/>
      </c>
      <c r="C3850" t="str">
        <f>IFERROR(__xludf.DUMMYFUNCTION("""COMPUTED_VALUE"""),"")</f>
        <v/>
      </c>
      <c r="D3850" t="str">
        <f>IFERROR(__xludf.DUMMYFUNCTION("""COMPUTED_VALUE"""),"")</f>
        <v/>
      </c>
      <c r="E3850" t="str">
        <f>IFERROR(__xludf.DUMMYFUNCTION("""COMPUTED_VALUE"""),"")</f>
        <v/>
      </c>
      <c r="F3850" t="str">
        <f>IFERROR(__xludf.DUMMYFUNCTION("""COMPUTED_VALUE"""),"")</f>
        <v/>
      </c>
      <c r="G3850" t="str">
        <f>IFERROR(__xludf.DUMMYFUNCTION("""COMPUTED_VALUE"""),"")</f>
        <v/>
      </c>
      <c r="H3850" s="2" t="str">
        <f>IFERROR(__xludf.DUMMYFUNCTION("""COMPUTED_VALUE"""),"")</f>
        <v/>
      </c>
      <c r="I3850" s="2" t="str">
        <f>IFERROR(__xludf.DUMMYFUNCTION("""COMPUTED_VALUE"""),"")</f>
        <v/>
      </c>
      <c r="J3850" s="2">
        <f>IFERROR(__xludf.DUMMYFUNCTION("""COMPUTED_VALUE"""),0.0)</f>
        <v>0</v>
      </c>
      <c r="K3850" s="5" t="str">
        <f>IFERROR(__xludf.DUMMYFUNCTION("""COMPUTED_VALUE"""),"")</f>
        <v/>
      </c>
      <c r="L3850" t="str">
        <f>IFERROR(__xludf.DUMMYFUNCTION("""COMPUTED_VALUE"""),"")</f>
        <v/>
      </c>
      <c r="M3850" t="str">
        <f>IFERROR(__xludf.DUMMYFUNCTION("""COMPUTED_VALUE"""),"")</f>
        <v/>
      </c>
      <c r="N3850" t="str">
        <f>IFERROR(__xludf.DUMMYFUNCTION("""COMPUTED_VALUE"""),"")</f>
        <v/>
      </c>
      <c r="O3850" t="str">
        <f>IFERROR(__xludf.DUMMYFUNCTION("""COMPUTED_VALUE"""),"")</f>
        <v/>
      </c>
      <c r="P3850" t="str">
        <f>IFERROR(__xludf.DUMMYFUNCTION("""COMPUTED_VALUE"""),"ID ")</f>
        <v>ID </v>
      </c>
    </row>
    <row r="3851">
      <c r="A3851" s="6" t="str">
        <f>IFERROR(__xludf.DUMMYFUNCTION("""COMPUTED_VALUE"""),"")</f>
        <v/>
      </c>
      <c r="C3851" t="str">
        <f>IFERROR(__xludf.DUMMYFUNCTION("""COMPUTED_VALUE"""),"")</f>
        <v/>
      </c>
      <c r="D3851" t="str">
        <f>IFERROR(__xludf.DUMMYFUNCTION("""COMPUTED_VALUE"""),"")</f>
        <v/>
      </c>
      <c r="E3851" t="str">
        <f>IFERROR(__xludf.DUMMYFUNCTION("""COMPUTED_VALUE"""),"")</f>
        <v/>
      </c>
      <c r="F3851" t="str">
        <f>IFERROR(__xludf.DUMMYFUNCTION("""COMPUTED_VALUE"""),"")</f>
        <v/>
      </c>
      <c r="G3851" t="str">
        <f>IFERROR(__xludf.DUMMYFUNCTION("""COMPUTED_VALUE"""),"")</f>
        <v/>
      </c>
      <c r="H3851" s="2" t="str">
        <f>IFERROR(__xludf.DUMMYFUNCTION("""COMPUTED_VALUE"""),"")</f>
        <v/>
      </c>
      <c r="I3851" s="2" t="str">
        <f>IFERROR(__xludf.DUMMYFUNCTION("""COMPUTED_VALUE"""),"")</f>
        <v/>
      </c>
      <c r="J3851" s="2">
        <f>IFERROR(__xludf.DUMMYFUNCTION("""COMPUTED_VALUE"""),0.0)</f>
        <v>0</v>
      </c>
      <c r="K3851" s="5" t="str">
        <f>IFERROR(__xludf.DUMMYFUNCTION("""COMPUTED_VALUE"""),"")</f>
        <v/>
      </c>
      <c r="L3851" t="str">
        <f>IFERROR(__xludf.DUMMYFUNCTION("""COMPUTED_VALUE"""),"")</f>
        <v/>
      </c>
      <c r="M3851" t="str">
        <f>IFERROR(__xludf.DUMMYFUNCTION("""COMPUTED_VALUE"""),"")</f>
        <v/>
      </c>
      <c r="N3851" t="str">
        <f>IFERROR(__xludf.DUMMYFUNCTION("""COMPUTED_VALUE"""),"")</f>
        <v/>
      </c>
      <c r="O3851" t="str">
        <f>IFERROR(__xludf.DUMMYFUNCTION("""COMPUTED_VALUE"""),"")</f>
        <v/>
      </c>
      <c r="P3851" t="str">
        <f>IFERROR(__xludf.DUMMYFUNCTION("""COMPUTED_VALUE"""),"ID ")</f>
        <v>ID </v>
      </c>
    </row>
    <row r="3852">
      <c r="A3852" s="6" t="str">
        <f>IFERROR(__xludf.DUMMYFUNCTION("""COMPUTED_VALUE"""),"")</f>
        <v/>
      </c>
      <c r="C3852" t="str">
        <f>IFERROR(__xludf.DUMMYFUNCTION("""COMPUTED_VALUE"""),"")</f>
        <v/>
      </c>
      <c r="D3852" t="str">
        <f>IFERROR(__xludf.DUMMYFUNCTION("""COMPUTED_VALUE"""),"")</f>
        <v/>
      </c>
      <c r="E3852" t="str">
        <f>IFERROR(__xludf.DUMMYFUNCTION("""COMPUTED_VALUE"""),"")</f>
        <v/>
      </c>
      <c r="F3852" t="str">
        <f>IFERROR(__xludf.DUMMYFUNCTION("""COMPUTED_VALUE"""),"")</f>
        <v/>
      </c>
      <c r="G3852" t="str">
        <f>IFERROR(__xludf.DUMMYFUNCTION("""COMPUTED_VALUE"""),"")</f>
        <v/>
      </c>
      <c r="H3852" s="2" t="str">
        <f>IFERROR(__xludf.DUMMYFUNCTION("""COMPUTED_VALUE"""),"")</f>
        <v/>
      </c>
      <c r="I3852" s="2" t="str">
        <f>IFERROR(__xludf.DUMMYFUNCTION("""COMPUTED_VALUE"""),"")</f>
        <v/>
      </c>
      <c r="J3852" s="2">
        <f>IFERROR(__xludf.DUMMYFUNCTION("""COMPUTED_VALUE"""),0.0)</f>
        <v>0</v>
      </c>
      <c r="K3852" s="5" t="str">
        <f>IFERROR(__xludf.DUMMYFUNCTION("""COMPUTED_VALUE"""),"")</f>
        <v/>
      </c>
      <c r="L3852" t="str">
        <f>IFERROR(__xludf.DUMMYFUNCTION("""COMPUTED_VALUE"""),"")</f>
        <v/>
      </c>
      <c r="M3852" t="str">
        <f>IFERROR(__xludf.DUMMYFUNCTION("""COMPUTED_VALUE"""),"")</f>
        <v/>
      </c>
      <c r="N3852" t="str">
        <f>IFERROR(__xludf.DUMMYFUNCTION("""COMPUTED_VALUE"""),"")</f>
        <v/>
      </c>
      <c r="O3852" t="str">
        <f>IFERROR(__xludf.DUMMYFUNCTION("""COMPUTED_VALUE"""),"")</f>
        <v/>
      </c>
      <c r="P3852" t="str">
        <f>IFERROR(__xludf.DUMMYFUNCTION("""COMPUTED_VALUE"""),"ID ")</f>
        <v>ID </v>
      </c>
    </row>
    <row r="3853">
      <c r="A3853" s="6" t="str">
        <f>IFERROR(__xludf.DUMMYFUNCTION("""COMPUTED_VALUE"""),"")</f>
        <v/>
      </c>
      <c r="C3853" t="str">
        <f>IFERROR(__xludf.DUMMYFUNCTION("""COMPUTED_VALUE"""),"")</f>
        <v/>
      </c>
      <c r="D3853" t="str">
        <f>IFERROR(__xludf.DUMMYFUNCTION("""COMPUTED_VALUE"""),"")</f>
        <v/>
      </c>
      <c r="E3853" t="str">
        <f>IFERROR(__xludf.DUMMYFUNCTION("""COMPUTED_VALUE"""),"")</f>
        <v/>
      </c>
      <c r="F3853" t="str">
        <f>IFERROR(__xludf.DUMMYFUNCTION("""COMPUTED_VALUE"""),"")</f>
        <v/>
      </c>
      <c r="G3853" t="str">
        <f>IFERROR(__xludf.DUMMYFUNCTION("""COMPUTED_VALUE"""),"")</f>
        <v/>
      </c>
      <c r="H3853" s="2" t="str">
        <f>IFERROR(__xludf.DUMMYFUNCTION("""COMPUTED_VALUE"""),"")</f>
        <v/>
      </c>
      <c r="I3853" s="2" t="str">
        <f>IFERROR(__xludf.DUMMYFUNCTION("""COMPUTED_VALUE"""),"")</f>
        <v/>
      </c>
      <c r="J3853" s="2">
        <f>IFERROR(__xludf.DUMMYFUNCTION("""COMPUTED_VALUE"""),0.0)</f>
        <v>0</v>
      </c>
      <c r="K3853" s="5" t="str">
        <f>IFERROR(__xludf.DUMMYFUNCTION("""COMPUTED_VALUE"""),"")</f>
        <v/>
      </c>
      <c r="L3853" t="str">
        <f>IFERROR(__xludf.DUMMYFUNCTION("""COMPUTED_VALUE"""),"")</f>
        <v/>
      </c>
      <c r="M3853" t="str">
        <f>IFERROR(__xludf.DUMMYFUNCTION("""COMPUTED_VALUE"""),"")</f>
        <v/>
      </c>
      <c r="N3853" t="str">
        <f>IFERROR(__xludf.DUMMYFUNCTION("""COMPUTED_VALUE"""),"")</f>
        <v/>
      </c>
      <c r="O3853" t="str">
        <f>IFERROR(__xludf.DUMMYFUNCTION("""COMPUTED_VALUE"""),"")</f>
        <v/>
      </c>
      <c r="P3853" t="str">
        <f>IFERROR(__xludf.DUMMYFUNCTION("""COMPUTED_VALUE"""),"ID ")</f>
        <v>ID </v>
      </c>
    </row>
    <row r="3854">
      <c r="A3854" s="6" t="str">
        <f>IFERROR(__xludf.DUMMYFUNCTION("""COMPUTED_VALUE"""),"")</f>
        <v/>
      </c>
      <c r="C3854" t="str">
        <f>IFERROR(__xludf.DUMMYFUNCTION("""COMPUTED_VALUE"""),"")</f>
        <v/>
      </c>
      <c r="D3854" t="str">
        <f>IFERROR(__xludf.DUMMYFUNCTION("""COMPUTED_VALUE"""),"")</f>
        <v/>
      </c>
      <c r="E3854" t="str">
        <f>IFERROR(__xludf.DUMMYFUNCTION("""COMPUTED_VALUE"""),"")</f>
        <v/>
      </c>
      <c r="F3854" t="str">
        <f>IFERROR(__xludf.DUMMYFUNCTION("""COMPUTED_VALUE"""),"")</f>
        <v/>
      </c>
      <c r="G3854" t="str">
        <f>IFERROR(__xludf.DUMMYFUNCTION("""COMPUTED_VALUE"""),"")</f>
        <v/>
      </c>
      <c r="H3854" s="2" t="str">
        <f>IFERROR(__xludf.DUMMYFUNCTION("""COMPUTED_VALUE"""),"")</f>
        <v/>
      </c>
      <c r="I3854" s="2" t="str">
        <f>IFERROR(__xludf.DUMMYFUNCTION("""COMPUTED_VALUE"""),"")</f>
        <v/>
      </c>
      <c r="J3854" s="2">
        <f>IFERROR(__xludf.DUMMYFUNCTION("""COMPUTED_VALUE"""),0.0)</f>
        <v>0</v>
      </c>
      <c r="K3854" s="5" t="str">
        <f>IFERROR(__xludf.DUMMYFUNCTION("""COMPUTED_VALUE"""),"")</f>
        <v/>
      </c>
      <c r="L3854" t="str">
        <f>IFERROR(__xludf.DUMMYFUNCTION("""COMPUTED_VALUE"""),"")</f>
        <v/>
      </c>
      <c r="M3854" t="str">
        <f>IFERROR(__xludf.DUMMYFUNCTION("""COMPUTED_VALUE"""),"")</f>
        <v/>
      </c>
      <c r="N3854" t="str">
        <f>IFERROR(__xludf.DUMMYFUNCTION("""COMPUTED_VALUE"""),"")</f>
        <v/>
      </c>
      <c r="O3854" t="str">
        <f>IFERROR(__xludf.DUMMYFUNCTION("""COMPUTED_VALUE"""),"")</f>
        <v/>
      </c>
      <c r="P3854" t="str">
        <f>IFERROR(__xludf.DUMMYFUNCTION("""COMPUTED_VALUE"""),"ID ")</f>
        <v>ID </v>
      </c>
    </row>
    <row r="3855">
      <c r="A3855" s="6" t="str">
        <f>IFERROR(__xludf.DUMMYFUNCTION("""COMPUTED_VALUE"""),"")</f>
        <v/>
      </c>
      <c r="C3855" t="str">
        <f>IFERROR(__xludf.DUMMYFUNCTION("""COMPUTED_VALUE"""),"")</f>
        <v/>
      </c>
      <c r="D3855" t="str">
        <f>IFERROR(__xludf.DUMMYFUNCTION("""COMPUTED_VALUE"""),"")</f>
        <v/>
      </c>
      <c r="E3855" t="str">
        <f>IFERROR(__xludf.DUMMYFUNCTION("""COMPUTED_VALUE"""),"")</f>
        <v/>
      </c>
      <c r="F3855" t="str">
        <f>IFERROR(__xludf.DUMMYFUNCTION("""COMPUTED_VALUE"""),"")</f>
        <v/>
      </c>
      <c r="G3855" t="str">
        <f>IFERROR(__xludf.DUMMYFUNCTION("""COMPUTED_VALUE"""),"")</f>
        <v/>
      </c>
      <c r="H3855" s="2" t="str">
        <f>IFERROR(__xludf.DUMMYFUNCTION("""COMPUTED_VALUE"""),"")</f>
        <v/>
      </c>
      <c r="I3855" s="2" t="str">
        <f>IFERROR(__xludf.DUMMYFUNCTION("""COMPUTED_VALUE"""),"")</f>
        <v/>
      </c>
      <c r="J3855" s="2">
        <f>IFERROR(__xludf.DUMMYFUNCTION("""COMPUTED_VALUE"""),0.0)</f>
        <v>0</v>
      </c>
      <c r="K3855" s="5" t="str">
        <f>IFERROR(__xludf.DUMMYFUNCTION("""COMPUTED_VALUE"""),"")</f>
        <v/>
      </c>
      <c r="L3855" t="str">
        <f>IFERROR(__xludf.DUMMYFUNCTION("""COMPUTED_VALUE"""),"")</f>
        <v/>
      </c>
      <c r="M3855" t="str">
        <f>IFERROR(__xludf.DUMMYFUNCTION("""COMPUTED_VALUE"""),"")</f>
        <v/>
      </c>
      <c r="N3855" t="str">
        <f>IFERROR(__xludf.DUMMYFUNCTION("""COMPUTED_VALUE"""),"")</f>
        <v/>
      </c>
      <c r="O3855" t="str">
        <f>IFERROR(__xludf.DUMMYFUNCTION("""COMPUTED_VALUE"""),"")</f>
        <v/>
      </c>
      <c r="P3855" t="str">
        <f>IFERROR(__xludf.DUMMYFUNCTION("""COMPUTED_VALUE"""),"ID ")</f>
        <v>ID </v>
      </c>
    </row>
    <row r="3856">
      <c r="A3856" s="6" t="str">
        <f>IFERROR(__xludf.DUMMYFUNCTION("""COMPUTED_VALUE"""),"")</f>
        <v/>
      </c>
      <c r="C3856" t="str">
        <f>IFERROR(__xludf.DUMMYFUNCTION("""COMPUTED_VALUE"""),"")</f>
        <v/>
      </c>
      <c r="D3856" t="str">
        <f>IFERROR(__xludf.DUMMYFUNCTION("""COMPUTED_VALUE"""),"")</f>
        <v/>
      </c>
      <c r="E3856" t="str">
        <f>IFERROR(__xludf.DUMMYFUNCTION("""COMPUTED_VALUE"""),"")</f>
        <v/>
      </c>
      <c r="F3856" t="str">
        <f>IFERROR(__xludf.DUMMYFUNCTION("""COMPUTED_VALUE"""),"")</f>
        <v/>
      </c>
      <c r="G3856" t="str">
        <f>IFERROR(__xludf.DUMMYFUNCTION("""COMPUTED_VALUE"""),"")</f>
        <v/>
      </c>
      <c r="H3856" s="2" t="str">
        <f>IFERROR(__xludf.DUMMYFUNCTION("""COMPUTED_VALUE"""),"")</f>
        <v/>
      </c>
      <c r="I3856" s="2" t="str">
        <f>IFERROR(__xludf.DUMMYFUNCTION("""COMPUTED_VALUE"""),"")</f>
        <v/>
      </c>
      <c r="J3856" s="2">
        <f>IFERROR(__xludf.DUMMYFUNCTION("""COMPUTED_VALUE"""),0.0)</f>
        <v>0</v>
      </c>
      <c r="K3856" s="5" t="str">
        <f>IFERROR(__xludf.DUMMYFUNCTION("""COMPUTED_VALUE"""),"")</f>
        <v/>
      </c>
      <c r="L3856" t="str">
        <f>IFERROR(__xludf.DUMMYFUNCTION("""COMPUTED_VALUE"""),"")</f>
        <v/>
      </c>
      <c r="M3856" t="str">
        <f>IFERROR(__xludf.DUMMYFUNCTION("""COMPUTED_VALUE"""),"")</f>
        <v/>
      </c>
      <c r="N3856" t="str">
        <f>IFERROR(__xludf.DUMMYFUNCTION("""COMPUTED_VALUE"""),"")</f>
        <v/>
      </c>
      <c r="O3856" t="str">
        <f>IFERROR(__xludf.DUMMYFUNCTION("""COMPUTED_VALUE"""),"")</f>
        <v/>
      </c>
      <c r="P3856" t="str">
        <f>IFERROR(__xludf.DUMMYFUNCTION("""COMPUTED_VALUE"""),"ID ")</f>
        <v>ID </v>
      </c>
    </row>
    <row r="3857">
      <c r="A3857" s="6" t="str">
        <f>IFERROR(__xludf.DUMMYFUNCTION("""COMPUTED_VALUE"""),"")</f>
        <v/>
      </c>
      <c r="C3857" t="str">
        <f>IFERROR(__xludf.DUMMYFUNCTION("""COMPUTED_VALUE"""),"")</f>
        <v/>
      </c>
      <c r="D3857" t="str">
        <f>IFERROR(__xludf.DUMMYFUNCTION("""COMPUTED_VALUE"""),"")</f>
        <v/>
      </c>
      <c r="E3857" t="str">
        <f>IFERROR(__xludf.DUMMYFUNCTION("""COMPUTED_VALUE"""),"")</f>
        <v/>
      </c>
      <c r="F3857" t="str">
        <f>IFERROR(__xludf.DUMMYFUNCTION("""COMPUTED_VALUE"""),"")</f>
        <v/>
      </c>
      <c r="G3857" t="str">
        <f>IFERROR(__xludf.DUMMYFUNCTION("""COMPUTED_VALUE"""),"")</f>
        <v/>
      </c>
      <c r="H3857" s="2" t="str">
        <f>IFERROR(__xludf.DUMMYFUNCTION("""COMPUTED_VALUE"""),"")</f>
        <v/>
      </c>
      <c r="I3857" s="2" t="str">
        <f>IFERROR(__xludf.DUMMYFUNCTION("""COMPUTED_VALUE"""),"")</f>
        <v/>
      </c>
      <c r="J3857" s="2">
        <f>IFERROR(__xludf.DUMMYFUNCTION("""COMPUTED_VALUE"""),0.0)</f>
        <v>0</v>
      </c>
      <c r="K3857" s="5" t="str">
        <f>IFERROR(__xludf.DUMMYFUNCTION("""COMPUTED_VALUE"""),"")</f>
        <v/>
      </c>
      <c r="L3857" t="str">
        <f>IFERROR(__xludf.DUMMYFUNCTION("""COMPUTED_VALUE"""),"")</f>
        <v/>
      </c>
      <c r="M3857" t="str">
        <f>IFERROR(__xludf.DUMMYFUNCTION("""COMPUTED_VALUE"""),"")</f>
        <v/>
      </c>
      <c r="N3857" t="str">
        <f>IFERROR(__xludf.DUMMYFUNCTION("""COMPUTED_VALUE"""),"")</f>
        <v/>
      </c>
      <c r="O3857" t="str">
        <f>IFERROR(__xludf.DUMMYFUNCTION("""COMPUTED_VALUE"""),"")</f>
        <v/>
      </c>
      <c r="P3857" t="str">
        <f>IFERROR(__xludf.DUMMYFUNCTION("""COMPUTED_VALUE"""),"ID ")</f>
        <v>ID </v>
      </c>
    </row>
    <row r="3858">
      <c r="A3858" s="6" t="str">
        <f>IFERROR(__xludf.DUMMYFUNCTION("""COMPUTED_VALUE"""),"")</f>
        <v/>
      </c>
      <c r="C3858" t="str">
        <f>IFERROR(__xludf.DUMMYFUNCTION("""COMPUTED_VALUE"""),"")</f>
        <v/>
      </c>
      <c r="D3858" t="str">
        <f>IFERROR(__xludf.DUMMYFUNCTION("""COMPUTED_VALUE"""),"")</f>
        <v/>
      </c>
      <c r="E3858" t="str">
        <f>IFERROR(__xludf.DUMMYFUNCTION("""COMPUTED_VALUE"""),"")</f>
        <v/>
      </c>
      <c r="F3858" t="str">
        <f>IFERROR(__xludf.DUMMYFUNCTION("""COMPUTED_VALUE"""),"")</f>
        <v/>
      </c>
      <c r="G3858" t="str">
        <f>IFERROR(__xludf.DUMMYFUNCTION("""COMPUTED_VALUE"""),"")</f>
        <v/>
      </c>
      <c r="H3858" s="2" t="str">
        <f>IFERROR(__xludf.DUMMYFUNCTION("""COMPUTED_VALUE"""),"")</f>
        <v/>
      </c>
      <c r="I3858" s="2" t="str">
        <f>IFERROR(__xludf.DUMMYFUNCTION("""COMPUTED_VALUE"""),"")</f>
        <v/>
      </c>
      <c r="J3858" s="2">
        <f>IFERROR(__xludf.DUMMYFUNCTION("""COMPUTED_VALUE"""),0.0)</f>
        <v>0</v>
      </c>
      <c r="K3858" s="5" t="str">
        <f>IFERROR(__xludf.DUMMYFUNCTION("""COMPUTED_VALUE"""),"")</f>
        <v/>
      </c>
      <c r="L3858" t="str">
        <f>IFERROR(__xludf.DUMMYFUNCTION("""COMPUTED_VALUE"""),"")</f>
        <v/>
      </c>
      <c r="M3858" t="str">
        <f>IFERROR(__xludf.DUMMYFUNCTION("""COMPUTED_VALUE"""),"")</f>
        <v/>
      </c>
      <c r="N3858" t="str">
        <f>IFERROR(__xludf.DUMMYFUNCTION("""COMPUTED_VALUE"""),"")</f>
        <v/>
      </c>
      <c r="O3858" t="str">
        <f>IFERROR(__xludf.DUMMYFUNCTION("""COMPUTED_VALUE"""),"")</f>
        <v/>
      </c>
      <c r="P3858" t="str">
        <f>IFERROR(__xludf.DUMMYFUNCTION("""COMPUTED_VALUE"""),"ID ")</f>
        <v>ID </v>
      </c>
    </row>
    <row r="3859">
      <c r="A3859" s="6" t="str">
        <f>IFERROR(__xludf.DUMMYFUNCTION("""COMPUTED_VALUE"""),"")</f>
        <v/>
      </c>
      <c r="C3859" t="str">
        <f>IFERROR(__xludf.DUMMYFUNCTION("""COMPUTED_VALUE"""),"")</f>
        <v/>
      </c>
      <c r="D3859" t="str">
        <f>IFERROR(__xludf.DUMMYFUNCTION("""COMPUTED_VALUE"""),"")</f>
        <v/>
      </c>
      <c r="E3859" t="str">
        <f>IFERROR(__xludf.DUMMYFUNCTION("""COMPUTED_VALUE"""),"")</f>
        <v/>
      </c>
      <c r="F3859" t="str">
        <f>IFERROR(__xludf.DUMMYFUNCTION("""COMPUTED_VALUE"""),"")</f>
        <v/>
      </c>
      <c r="G3859" t="str">
        <f>IFERROR(__xludf.DUMMYFUNCTION("""COMPUTED_VALUE"""),"")</f>
        <v/>
      </c>
      <c r="H3859" s="2" t="str">
        <f>IFERROR(__xludf.DUMMYFUNCTION("""COMPUTED_VALUE"""),"")</f>
        <v/>
      </c>
      <c r="I3859" s="2" t="str">
        <f>IFERROR(__xludf.DUMMYFUNCTION("""COMPUTED_VALUE"""),"")</f>
        <v/>
      </c>
      <c r="J3859" s="2">
        <f>IFERROR(__xludf.DUMMYFUNCTION("""COMPUTED_VALUE"""),0.0)</f>
        <v>0</v>
      </c>
      <c r="K3859" s="5" t="str">
        <f>IFERROR(__xludf.DUMMYFUNCTION("""COMPUTED_VALUE"""),"")</f>
        <v/>
      </c>
      <c r="L3859" t="str">
        <f>IFERROR(__xludf.DUMMYFUNCTION("""COMPUTED_VALUE"""),"")</f>
        <v/>
      </c>
      <c r="M3859" t="str">
        <f>IFERROR(__xludf.DUMMYFUNCTION("""COMPUTED_VALUE"""),"")</f>
        <v/>
      </c>
      <c r="N3859" t="str">
        <f>IFERROR(__xludf.DUMMYFUNCTION("""COMPUTED_VALUE"""),"")</f>
        <v/>
      </c>
      <c r="O3859" t="str">
        <f>IFERROR(__xludf.DUMMYFUNCTION("""COMPUTED_VALUE"""),"")</f>
        <v/>
      </c>
      <c r="P3859" t="str">
        <f>IFERROR(__xludf.DUMMYFUNCTION("""COMPUTED_VALUE"""),"ID ")</f>
        <v>ID </v>
      </c>
    </row>
    <row r="3860">
      <c r="A3860" s="6" t="str">
        <f>IFERROR(__xludf.DUMMYFUNCTION("""COMPUTED_VALUE"""),"")</f>
        <v/>
      </c>
      <c r="C3860" t="str">
        <f>IFERROR(__xludf.DUMMYFUNCTION("""COMPUTED_VALUE"""),"")</f>
        <v/>
      </c>
      <c r="D3860" t="str">
        <f>IFERROR(__xludf.DUMMYFUNCTION("""COMPUTED_VALUE"""),"")</f>
        <v/>
      </c>
      <c r="E3860" t="str">
        <f>IFERROR(__xludf.DUMMYFUNCTION("""COMPUTED_VALUE"""),"")</f>
        <v/>
      </c>
      <c r="F3860" t="str">
        <f>IFERROR(__xludf.DUMMYFUNCTION("""COMPUTED_VALUE"""),"")</f>
        <v/>
      </c>
      <c r="G3860" t="str">
        <f>IFERROR(__xludf.DUMMYFUNCTION("""COMPUTED_VALUE"""),"")</f>
        <v/>
      </c>
      <c r="H3860" s="2" t="str">
        <f>IFERROR(__xludf.DUMMYFUNCTION("""COMPUTED_VALUE"""),"")</f>
        <v/>
      </c>
      <c r="I3860" s="2" t="str">
        <f>IFERROR(__xludf.DUMMYFUNCTION("""COMPUTED_VALUE"""),"")</f>
        <v/>
      </c>
      <c r="J3860" s="2">
        <f>IFERROR(__xludf.DUMMYFUNCTION("""COMPUTED_VALUE"""),0.0)</f>
        <v>0</v>
      </c>
      <c r="K3860" s="5" t="str">
        <f>IFERROR(__xludf.DUMMYFUNCTION("""COMPUTED_VALUE"""),"")</f>
        <v/>
      </c>
      <c r="L3860" t="str">
        <f>IFERROR(__xludf.DUMMYFUNCTION("""COMPUTED_VALUE"""),"")</f>
        <v/>
      </c>
      <c r="M3860" t="str">
        <f>IFERROR(__xludf.DUMMYFUNCTION("""COMPUTED_VALUE"""),"")</f>
        <v/>
      </c>
      <c r="N3860" t="str">
        <f>IFERROR(__xludf.DUMMYFUNCTION("""COMPUTED_VALUE"""),"")</f>
        <v/>
      </c>
      <c r="O3860" t="str">
        <f>IFERROR(__xludf.DUMMYFUNCTION("""COMPUTED_VALUE"""),"")</f>
        <v/>
      </c>
      <c r="P3860" t="str">
        <f>IFERROR(__xludf.DUMMYFUNCTION("""COMPUTED_VALUE"""),"ID ")</f>
        <v>ID </v>
      </c>
    </row>
    <row r="3861">
      <c r="A3861" s="6" t="str">
        <f>IFERROR(__xludf.DUMMYFUNCTION("""COMPUTED_VALUE"""),"")</f>
        <v/>
      </c>
      <c r="C3861" t="str">
        <f>IFERROR(__xludf.DUMMYFUNCTION("""COMPUTED_VALUE"""),"")</f>
        <v/>
      </c>
      <c r="D3861" t="str">
        <f>IFERROR(__xludf.DUMMYFUNCTION("""COMPUTED_VALUE"""),"")</f>
        <v/>
      </c>
      <c r="E3861" t="str">
        <f>IFERROR(__xludf.DUMMYFUNCTION("""COMPUTED_VALUE"""),"")</f>
        <v/>
      </c>
      <c r="F3861" t="str">
        <f>IFERROR(__xludf.DUMMYFUNCTION("""COMPUTED_VALUE"""),"")</f>
        <v/>
      </c>
      <c r="G3861" t="str">
        <f>IFERROR(__xludf.DUMMYFUNCTION("""COMPUTED_VALUE"""),"")</f>
        <v/>
      </c>
      <c r="H3861" s="2" t="str">
        <f>IFERROR(__xludf.DUMMYFUNCTION("""COMPUTED_VALUE"""),"")</f>
        <v/>
      </c>
      <c r="I3861" s="2" t="str">
        <f>IFERROR(__xludf.DUMMYFUNCTION("""COMPUTED_VALUE"""),"")</f>
        <v/>
      </c>
      <c r="J3861" s="2">
        <f>IFERROR(__xludf.DUMMYFUNCTION("""COMPUTED_VALUE"""),0.0)</f>
        <v>0</v>
      </c>
      <c r="K3861" s="5" t="str">
        <f>IFERROR(__xludf.DUMMYFUNCTION("""COMPUTED_VALUE"""),"")</f>
        <v/>
      </c>
      <c r="L3861" t="str">
        <f>IFERROR(__xludf.DUMMYFUNCTION("""COMPUTED_VALUE"""),"")</f>
        <v/>
      </c>
      <c r="M3861" t="str">
        <f>IFERROR(__xludf.DUMMYFUNCTION("""COMPUTED_VALUE"""),"")</f>
        <v/>
      </c>
      <c r="N3861" t="str">
        <f>IFERROR(__xludf.DUMMYFUNCTION("""COMPUTED_VALUE"""),"")</f>
        <v/>
      </c>
      <c r="O3861" t="str">
        <f>IFERROR(__xludf.DUMMYFUNCTION("""COMPUTED_VALUE"""),"")</f>
        <v/>
      </c>
      <c r="P3861" t="str">
        <f>IFERROR(__xludf.DUMMYFUNCTION("""COMPUTED_VALUE"""),"ID ")</f>
        <v>ID </v>
      </c>
    </row>
    <row r="3862">
      <c r="A3862" s="6" t="str">
        <f>IFERROR(__xludf.DUMMYFUNCTION("""COMPUTED_VALUE"""),"")</f>
        <v/>
      </c>
      <c r="C3862" t="str">
        <f>IFERROR(__xludf.DUMMYFUNCTION("""COMPUTED_VALUE"""),"")</f>
        <v/>
      </c>
      <c r="D3862" t="str">
        <f>IFERROR(__xludf.DUMMYFUNCTION("""COMPUTED_VALUE"""),"")</f>
        <v/>
      </c>
      <c r="E3862" t="str">
        <f>IFERROR(__xludf.DUMMYFUNCTION("""COMPUTED_VALUE"""),"")</f>
        <v/>
      </c>
      <c r="F3862" t="str">
        <f>IFERROR(__xludf.DUMMYFUNCTION("""COMPUTED_VALUE"""),"")</f>
        <v/>
      </c>
      <c r="G3862" t="str">
        <f>IFERROR(__xludf.DUMMYFUNCTION("""COMPUTED_VALUE"""),"")</f>
        <v/>
      </c>
      <c r="H3862" s="2" t="str">
        <f>IFERROR(__xludf.DUMMYFUNCTION("""COMPUTED_VALUE"""),"")</f>
        <v/>
      </c>
      <c r="I3862" s="2" t="str">
        <f>IFERROR(__xludf.DUMMYFUNCTION("""COMPUTED_VALUE"""),"")</f>
        <v/>
      </c>
      <c r="J3862" s="2">
        <f>IFERROR(__xludf.DUMMYFUNCTION("""COMPUTED_VALUE"""),0.0)</f>
        <v>0</v>
      </c>
      <c r="K3862" s="5" t="str">
        <f>IFERROR(__xludf.DUMMYFUNCTION("""COMPUTED_VALUE"""),"")</f>
        <v/>
      </c>
      <c r="L3862" t="str">
        <f>IFERROR(__xludf.DUMMYFUNCTION("""COMPUTED_VALUE"""),"")</f>
        <v/>
      </c>
      <c r="M3862" t="str">
        <f>IFERROR(__xludf.DUMMYFUNCTION("""COMPUTED_VALUE"""),"")</f>
        <v/>
      </c>
      <c r="N3862" t="str">
        <f>IFERROR(__xludf.DUMMYFUNCTION("""COMPUTED_VALUE"""),"")</f>
        <v/>
      </c>
      <c r="O3862" t="str">
        <f>IFERROR(__xludf.DUMMYFUNCTION("""COMPUTED_VALUE"""),"")</f>
        <v/>
      </c>
      <c r="P3862" t="str">
        <f>IFERROR(__xludf.DUMMYFUNCTION("""COMPUTED_VALUE"""),"ID ")</f>
        <v>ID </v>
      </c>
    </row>
    <row r="3863">
      <c r="A3863" s="6" t="str">
        <f>IFERROR(__xludf.DUMMYFUNCTION("""COMPUTED_VALUE"""),"")</f>
        <v/>
      </c>
      <c r="C3863" t="str">
        <f>IFERROR(__xludf.DUMMYFUNCTION("""COMPUTED_VALUE"""),"")</f>
        <v/>
      </c>
      <c r="D3863" t="str">
        <f>IFERROR(__xludf.DUMMYFUNCTION("""COMPUTED_VALUE"""),"")</f>
        <v/>
      </c>
      <c r="E3863" t="str">
        <f>IFERROR(__xludf.DUMMYFUNCTION("""COMPUTED_VALUE"""),"")</f>
        <v/>
      </c>
      <c r="F3863" t="str">
        <f>IFERROR(__xludf.DUMMYFUNCTION("""COMPUTED_VALUE"""),"")</f>
        <v/>
      </c>
      <c r="G3863" t="str">
        <f>IFERROR(__xludf.DUMMYFUNCTION("""COMPUTED_VALUE"""),"")</f>
        <v/>
      </c>
      <c r="H3863" s="2" t="str">
        <f>IFERROR(__xludf.DUMMYFUNCTION("""COMPUTED_VALUE"""),"")</f>
        <v/>
      </c>
      <c r="I3863" s="2" t="str">
        <f>IFERROR(__xludf.DUMMYFUNCTION("""COMPUTED_VALUE"""),"")</f>
        <v/>
      </c>
      <c r="J3863" s="2">
        <f>IFERROR(__xludf.DUMMYFUNCTION("""COMPUTED_VALUE"""),0.0)</f>
        <v>0</v>
      </c>
      <c r="K3863" s="5" t="str">
        <f>IFERROR(__xludf.DUMMYFUNCTION("""COMPUTED_VALUE"""),"")</f>
        <v/>
      </c>
      <c r="L3863" t="str">
        <f>IFERROR(__xludf.DUMMYFUNCTION("""COMPUTED_VALUE"""),"")</f>
        <v/>
      </c>
      <c r="M3863" t="str">
        <f>IFERROR(__xludf.DUMMYFUNCTION("""COMPUTED_VALUE"""),"")</f>
        <v/>
      </c>
      <c r="N3863" t="str">
        <f>IFERROR(__xludf.DUMMYFUNCTION("""COMPUTED_VALUE"""),"")</f>
        <v/>
      </c>
      <c r="O3863" t="str">
        <f>IFERROR(__xludf.DUMMYFUNCTION("""COMPUTED_VALUE"""),"")</f>
        <v/>
      </c>
      <c r="P3863" t="str">
        <f>IFERROR(__xludf.DUMMYFUNCTION("""COMPUTED_VALUE"""),"ID ")</f>
        <v>ID </v>
      </c>
    </row>
    <row r="3864">
      <c r="A3864" s="6" t="str">
        <f>IFERROR(__xludf.DUMMYFUNCTION("""COMPUTED_VALUE"""),"")</f>
        <v/>
      </c>
      <c r="C3864" t="str">
        <f>IFERROR(__xludf.DUMMYFUNCTION("""COMPUTED_VALUE"""),"")</f>
        <v/>
      </c>
      <c r="D3864" t="str">
        <f>IFERROR(__xludf.DUMMYFUNCTION("""COMPUTED_VALUE"""),"")</f>
        <v/>
      </c>
      <c r="E3864" t="str">
        <f>IFERROR(__xludf.DUMMYFUNCTION("""COMPUTED_VALUE"""),"")</f>
        <v/>
      </c>
      <c r="F3864" t="str">
        <f>IFERROR(__xludf.DUMMYFUNCTION("""COMPUTED_VALUE"""),"")</f>
        <v/>
      </c>
      <c r="G3864" t="str">
        <f>IFERROR(__xludf.DUMMYFUNCTION("""COMPUTED_VALUE"""),"")</f>
        <v/>
      </c>
      <c r="H3864" s="2" t="str">
        <f>IFERROR(__xludf.DUMMYFUNCTION("""COMPUTED_VALUE"""),"")</f>
        <v/>
      </c>
      <c r="I3864" s="2" t="str">
        <f>IFERROR(__xludf.DUMMYFUNCTION("""COMPUTED_VALUE"""),"")</f>
        <v/>
      </c>
      <c r="J3864" s="2">
        <f>IFERROR(__xludf.DUMMYFUNCTION("""COMPUTED_VALUE"""),0.0)</f>
        <v>0</v>
      </c>
      <c r="K3864" s="5" t="str">
        <f>IFERROR(__xludf.DUMMYFUNCTION("""COMPUTED_VALUE"""),"")</f>
        <v/>
      </c>
      <c r="L3864" t="str">
        <f>IFERROR(__xludf.DUMMYFUNCTION("""COMPUTED_VALUE"""),"")</f>
        <v/>
      </c>
      <c r="M3864" t="str">
        <f>IFERROR(__xludf.DUMMYFUNCTION("""COMPUTED_VALUE"""),"")</f>
        <v/>
      </c>
      <c r="N3864" t="str">
        <f>IFERROR(__xludf.DUMMYFUNCTION("""COMPUTED_VALUE"""),"")</f>
        <v/>
      </c>
      <c r="O3864" t="str">
        <f>IFERROR(__xludf.DUMMYFUNCTION("""COMPUTED_VALUE"""),"")</f>
        <v/>
      </c>
      <c r="P3864" t="str">
        <f>IFERROR(__xludf.DUMMYFUNCTION("""COMPUTED_VALUE"""),"ID ")</f>
        <v>ID </v>
      </c>
    </row>
    <row r="3865">
      <c r="A3865" s="6" t="str">
        <f>IFERROR(__xludf.DUMMYFUNCTION("""COMPUTED_VALUE"""),"")</f>
        <v/>
      </c>
      <c r="C3865" t="str">
        <f>IFERROR(__xludf.DUMMYFUNCTION("""COMPUTED_VALUE"""),"")</f>
        <v/>
      </c>
      <c r="D3865" t="str">
        <f>IFERROR(__xludf.DUMMYFUNCTION("""COMPUTED_VALUE"""),"")</f>
        <v/>
      </c>
      <c r="E3865" t="str">
        <f>IFERROR(__xludf.DUMMYFUNCTION("""COMPUTED_VALUE"""),"")</f>
        <v/>
      </c>
      <c r="F3865" t="str">
        <f>IFERROR(__xludf.DUMMYFUNCTION("""COMPUTED_VALUE"""),"")</f>
        <v/>
      </c>
      <c r="G3865" t="str">
        <f>IFERROR(__xludf.DUMMYFUNCTION("""COMPUTED_VALUE"""),"")</f>
        <v/>
      </c>
      <c r="H3865" s="2" t="str">
        <f>IFERROR(__xludf.DUMMYFUNCTION("""COMPUTED_VALUE"""),"")</f>
        <v/>
      </c>
      <c r="I3865" s="2" t="str">
        <f>IFERROR(__xludf.DUMMYFUNCTION("""COMPUTED_VALUE"""),"")</f>
        <v/>
      </c>
      <c r="J3865" s="2">
        <f>IFERROR(__xludf.DUMMYFUNCTION("""COMPUTED_VALUE"""),0.0)</f>
        <v>0</v>
      </c>
      <c r="K3865" s="5" t="str">
        <f>IFERROR(__xludf.DUMMYFUNCTION("""COMPUTED_VALUE"""),"")</f>
        <v/>
      </c>
      <c r="L3865" t="str">
        <f>IFERROR(__xludf.DUMMYFUNCTION("""COMPUTED_VALUE"""),"")</f>
        <v/>
      </c>
      <c r="M3865" t="str">
        <f>IFERROR(__xludf.DUMMYFUNCTION("""COMPUTED_VALUE"""),"")</f>
        <v/>
      </c>
      <c r="N3865" t="str">
        <f>IFERROR(__xludf.DUMMYFUNCTION("""COMPUTED_VALUE"""),"")</f>
        <v/>
      </c>
      <c r="O3865" t="str">
        <f>IFERROR(__xludf.DUMMYFUNCTION("""COMPUTED_VALUE"""),"")</f>
        <v/>
      </c>
      <c r="P3865" t="str">
        <f>IFERROR(__xludf.DUMMYFUNCTION("""COMPUTED_VALUE"""),"ID ")</f>
        <v>ID </v>
      </c>
    </row>
    <row r="3866">
      <c r="A3866" s="6" t="str">
        <f>IFERROR(__xludf.DUMMYFUNCTION("""COMPUTED_VALUE"""),"")</f>
        <v/>
      </c>
      <c r="C3866" t="str">
        <f>IFERROR(__xludf.DUMMYFUNCTION("""COMPUTED_VALUE"""),"")</f>
        <v/>
      </c>
      <c r="D3866" t="str">
        <f>IFERROR(__xludf.DUMMYFUNCTION("""COMPUTED_VALUE"""),"")</f>
        <v/>
      </c>
      <c r="E3866" t="str">
        <f>IFERROR(__xludf.DUMMYFUNCTION("""COMPUTED_VALUE"""),"")</f>
        <v/>
      </c>
      <c r="F3866" t="str">
        <f>IFERROR(__xludf.DUMMYFUNCTION("""COMPUTED_VALUE"""),"")</f>
        <v/>
      </c>
      <c r="G3866" t="str">
        <f>IFERROR(__xludf.DUMMYFUNCTION("""COMPUTED_VALUE"""),"")</f>
        <v/>
      </c>
      <c r="H3866" s="2" t="str">
        <f>IFERROR(__xludf.DUMMYFUNCTION("""COMPUTED_VALUE"""),"")</f>
        <v/>
      </c>
      <c r="I3866" s="2" t="str">
        <f>IFERROR(__xludf.DUMMYFUNCTION("""COMPUTED_VALUE"""),"")</f>
        <v/>
      </c>
      <c r="J3866" s="2">
        <f>IFERROR(__xludf.DUMMYFUNCTION("""COMPUTED_VALUE"""),0.0)</f>
        <v>0</v>
      </c>
      <c r="K3866" s="5" t="str">
        <f>IFERROR(__xludf.DUMMYFUNCTION("""COMPUTED_VALUE"""),"")</f>
        <v/>
      </c>
      <c r="L3866" t="str">
        <f>IFERROR(__xludf.DUMMYFUNCTION("""COMPUTED_VALUE"""),"")</f>
        <v/>
      </c>
      <c r="M3866" t="str">
        <f>IFERROR(__xludf.DUMMYFUNCTION("""COMPUTED_VALUE"""),"")</f>
        <v/>
      </c>
      <c r="N3866" t="str">
        <f>IFERROR(__xludf.DUMMYFUNCTION("""COMPUTED_VALUE"""),"")</f>
        <v/>
      </c>
      <c r="O3866" t="str">
        <f>IFERROR(__xludf.DUMMYFUNCTION("""COMPUTED_VALUE"""),"")</f>
        <v/>
      </c>
      <c r="P3866" t="str">
        <f>IFERROR(__xludf.DUMMYFUNCTION("""COMPUTED_VALUE"""),"ID ")</f>
        <v>ID </v>
      </c>
    </row>
    <row r="3867">
      <c r="A3867" s="6" t="str">
        <f>IFERROR(__xludf.DUMMYFUNCTION("""COMPUTED_VALUE"""),"")</f>
        <v/>
      </c>
      <c r="C3867" t="str">
        <f>IFERROR(__xludf.DUMMYFUNCTION("""COMPUTED_VALUE"""),"")</f>
        <v/>
      </c>
      <c r="D3867" t="str">
        <f>IFERROR(__xludf.DUMMYFUNCTION("""COMPUTED_VALUE"""),"")</f>
        <v/>
      </c>
      <c r="E3867" t="str">
        <f>IFERROR(__xludf.DUMMYFUNCTION("""COMPUTED_VALUE"""),"")</f>
        <v/>
      </c>
      <c r="F3867" t="str">
        <f>IFERROR(__xludf.DUMMYFUNCTION("""COMPUTED_VALUE"""),"")</f>
        <v/>
      </c>
      <c r="G3867" t="str">
        <f>IFERROR(__xludf.DUMMYFUNCTION("""COMPUTED_VALUE"""),"")</f>
        <v/>
      </c>
      <c r="H3867" s="2" t="str">
        <f>IFERROR(__xludf.DUMMYFUNCTION("""COMPUTED_VALUE"""),"")</f>
        <v/>
      </c>
      <c r="I3867" s="2" t="str">
        <f>IFERROR(__xludf.DUMMYFUNCTION("""COMPUTED_VALUE"""),"")</f>
        <v/>
      </c>
      <c r="J3867" s="2">
        <f>IFERROR(__xludf.DUMMYFUNCTION("""COMPUTED_VALUE"""),0.0)</f>
        <v>0</v>
      </c>
      <c r="K3867" s="5" t="str">
        <f>IFERROR(__xludf.DUMMYFUNCTION("""COMPUTED_VALUE"""),"")</f>
        <v/>
      </c>
      <c r="L3867" t="str">
        <f>IFERROR(__xludf.DUMMYFUNCTION("""COMPUTED_VALUE"""),"")</f>
        <v/>
      </c>
      <c r="M3867" t="str">
        <f>IFERROR(__xludf.DUMMYFUNCTION("""COMPUTED_VALUE"""),"")</f>
        <v/>
      </c>
      <c r="N3867" t="str">
        <f>IFERROR(__xludf.DUMMYFUNCTION("""COMPUTED_VALUE"""),"")</f>
        <v/>
      </c>
      <c r="O3867" t="str">
        <f>IFERROR(__xludf.DUMMYFUNCTION("""COMPUTED_VALUE"""),"")</f>
        <v/>
      </c>
      <c r="P3867" t="str">
        <f>IFERROR(__xludf.DUMMYFUNCTION("""COMPUTED_VALUE"""),"ID ")</f>
        <v>ID </v>
      </c>
    </row>
    <row r="3868">
      <c r="A3868" s="6" t="str">
        <f>IFERROR(__xludf.DUMMYFUNCTION("""COMPUTED_VALUE"""),"")</f>
        <v/>
      </c>
      <c r="C3868" t="str">
        <f>IFERROR(__xludf.DUMMYFUNCTION("""COMPUTED_VALUE"""),"")</f>
        <v/>
      </c>
      <c r="D3868" t="str">
        <f>IFERROR(__xludf.DUMMYFUNCTION("""COMPUTED_VALUE"""),"")</f>
        <v/>
      </c>
      <c r="E3868" t="str">
        <f>IFERROR(__xludf.DUMMYFUNCTION("""COMPUTED_VALUE"""),"")</f>
        <v/>
      </c>
      <c r="F3868" t="str">
        <f>IFERROR(__xludf.DUMMYFUNCTION("""COMPUTED_VALUE"""),"")</f>
        <v/>
      </c>
      <c r="G3868" t="str">
        <f>IFERROR(__xludf.DUMMYFUNCTION("""COMPUTED_VALUE"""),"")</f>
        <v/>
      </c>
      <c r="H3868" s="2" t="str">
        <f>IFERROR(__xludf.DUMMYFUNCTION("""COMPUTED_VALUE"""),"")</f>
        <v/>
      </c>
      <c r="I3868" s="2" t="str">
        <f>IFERROR(__xludf.DUMMYFUNCTION("""COMPUTED_VALUE"""),"")</f>
        <v/>
      </c>
      <c r="J3868" s="2">
        <f>IFERROR(__xludf.DUMMYFUNCTION("""COMPUTED_VALUE"""),0.0)</f>
        <v>0</v>
      </c>
      <c r="K3868" s="5" t="str">
        <f>IFERROR(__xludf.DUMMYFUNCTION("""COMPUTED_VALUE"""),"")</f>
        <v/>
      </c>
      <c r="L3868" t="str">
        <f>IFERROR(__xludf.DUMMYFUNCTION("""COMPUTED_VALUE"""),"")</f>
        <v/>
      </c>
      <c r="M3868" t="str">
        <f>IFERROR(__xludf.DUMMYFUNCTION("""COMPUTED_VALUE"""),"")</f>
        <v/>
      </c>
      <c r="N3868" t="str">
        <f>IFERROR(__xludf.DUMMYFUNCTION("""COMPUTED_VALUE"""),"")</f>
        <v/>
      </c>
      <c r="O3868" t="str">
        <f>IFERROR(__xludf.DUMMYFUNCTION("""COMPUTED_VALUE"""),"")</f>
        <v/>
      </c>
      <c r="P3868" t="str">
        <f>IFERROR(__xludf.DUMMYFUNCTION("""COMPUTED_VALUE"""),"ID ")</f>
        <v>ID </v>
      </c>
    </row>
    <row r="3869">
      <c r="A3869" s="6" t="str">
        <f>IFERROR(__xludf.DUMMYFUNCTION("""COMPUTED_VALUE"""),"")</f>
        <v/>
      </c>
      <c r="C3869" t="str">
        <f>IFERROR(__xludf.DUMMYFUNCTION("""COMPUTED_VALUE"""),"")</f>
        <v/>
      </c>
      <c r="D3869" t="str">
        <f>IFERROR(__xludf.DUMMYFUNCTION("""COMPUTED_VALUE"""),"")</f>
        <v/>
      </c>
      <c r="E3869" t="str">
        <f>IFERROR(__xludf.DUMMYFUNCTION("""COMPUTED_VALUE"""),"")</f>
        <v/>
      </c>
      <c r="F3869" t="str">
        <f>IFERROR(__xludf.DUMMYFUNCTION("""COMPUTED_VALUE"""),"")</f>
        <v/>
      </c>
      <c r="G3869" t="str">
        <f>IFERROR(__xludf.DUMMYFUNCTION("""COMPUTED_VALUE"""),"")</f>
        <v/>
      </c>
      <c r="H3869" s="2" t="str">
        <f>IFERROR(__xludf.DUMMYFUNCTION("""COMPUTED_VALUE"""),"")</f>
        <v/>
      </c>
      <c r="I3869" s="2" t="str">
        <f>IFERROR(__xludf.DUMMYFUNCTION("""COMPUTED_VALUE"""),"")</f>
        <v/>
      </c>
      <c r="J3869" s="2">
        <f>IFERROR(__xludf.DUMMYFUNCTION("""COMPUTED_VALUE"""),0.0)</f>
        <v>0</v>
      </c>
      <c r="K3869" s="5" t="str">
        <f>IFERROR(__xludf.DUMMYFUNCTION("""COMPUTED_VALUE"""),"")</f>
        <v/>
      </c>
      <c r="L3869" t="str">
        <f>IFERROR(__xludf.DUMMYFUNCTION("""COMPUTED_VALUE"""),"")</f>
        <v/>
      </c>
      <c r="M3869" t="str">
        <f>IFERROR(__xludf.DUMMYFUNCTION("""COMPUTED_VALUE"""),"")</f>
        <v/>
      </c>
      <c r="N3869" t="str">
        <f>IFERROR(__xludf.DUMMYFUNCTION("""COMPUTED_VALUE"""),"")</f>
        <v/>
      </c>
      <c r="O3869" t="str">
        <f>IFERROR(__xludf.DUMMYFUNCTION("""COMPUTED_VALUE"""),"")</f>
        <v/>
      </c>
      <c r="P3869" t="str">
        <f>IFERROR(__xludf.DUMMYFUNCTION("""COMPUTED_VALUE"""),"ID ")</f>
        <v>ID </v>
      </c>
    </row>
    <row r="3870">
      <c r="A3870" s="6" t="str">
        <f>IFERROR(__xludf.DUMMYFUNCTION("""COMPUTED_VALUE"""),"")</f>
        <v/>
      </c>
      <c r="C3870" t="str">
        <f>IFERROR(__xludf.DUMMYFUNCTION("""COMPUTED_VALUE"""),"")</f>
        <v/>
      </c>
      <c r="D3870" t="str">
        <f>IFERROR(__xludf.DUMMYFUNCTION("""COMPUTED_VALUE"""),"")</f>
        <v/>
      </c>
      <c r="E3870" t="str">
        <f>IFERROR(__xludf.DUMMYFUNCTION("""COMPUTED_VALUE"""),"")</f>
        <v/>
      </c>
      <c r="F3870" t="str">
        <f>IFERROR(__xludf.DUMMYFUNCTION("""COMPUTED_VALUE"""),"")</f>
        <v/>
      </c>
      <c r="G3870" t="str">
        <f>IFERROR(__xludf.DUMMYFUNCTION("""COMPUTED_VALUE"""),"")</f>
        <v/>
      </c>
      <c r="H3870" s="2" t="str">
        <f>IFERROR(__xludf.DUMMYFUNCTION("""COMPUTED_VALUE"""),"")</f>
        <v/>
      </c>
      <c r="I3870" s="2" t="str">
        <f>IFERROR(__xludf.DUMMYFUNCTION("""COMPUTED_VALUE"""),"")</f>
        <v/>
      </c>
      <c r="J3870" s="2">
        <f>IFERROR(__xludf.DUMMYFUNCTION("""COMPUTED_VALUE"""),0.0)</f>
        <v>0</v>
      </c>
      <c r="K3870" s="5" t="str">
        <f>IFERROR(__xludf.DUMMYFUNCTION("""COMPUTED_VALUE"""),"")</f>
        <v/>
      </c>
      <c r="L3870" t="str">
        <f>IFERROR(__xludf.DUMMYFUNCTION("""COMPUTED_VALUE"""),"")</f>
        <v/>
      </c>
      <c r="M3870" t="str">
        <f>IFERROR(__xludf.DUMMYFUNCTION("""COMPUTED_VALUE"""),"")</f>
        <v/>
      </c>
      <c r="N3870" t="str">
        <f>IFERROR(__xludf.DUMMYFUNCTION("""COMPUTED_VALUE"""),"")</f>
        <v/>
      </c>
      <c r="O3870" t="str">
        <f>IFERROR(__xludf.DUMMYFUNCTION("""COMPUTED_VALUE"""),"")</f>
        <v/>
      </c>
      <c r="P3870" t="str">
        <f>IFERROR(__xludf.DUMMYFUNCTION("""COMPUTED_VALUE"""),"ID ")</f>
        <v>ID </v>
      </c>
    </row>
    <row r="3871">
      <c r="A3871" s="6" t="str">
        <f>IFERROR(__xludf.DUMMYFUNCTION("""COMPUTED_VALUE"""),"")</f>
        <v/>
      </c>
      <c r="C3871" t="str">
        <f>IFERROR(__xludf.DUMMYFUNCTION("""COMPUTED_VALUE"""),"")</f>
        <v/>
      </c>
      <c r="D3871" t="str">
        <f>IFERROR(__xludf.DUMMYFUNCTION("""COMPUTED_VALUE"""),"")</f>
        <v/>
      </c>
      <c r="E3871" t="str">
        <f>IFERROR(__xludf.DUMMYFUNCTION("""COMPUTED_VALUE"""),"")</f>
        <v/>
      </c>
      <c r="F3871" t="str">
        <f>IFERROR(__xludf.DUMMYFUNCTION("""COMPUTED_VALUE"""),"")</f>
        <v/>
      </c>
      <c r="G3871" t="str">
        <f>IFERROR(__xludf.DUMMYFUNCTION("""COMPUTED_VALUE"""),"")</f>
        <v/>
      </c>
      <c r="H3871" s="2" t="str">
        <f>IFERROR(__xludf.DUMMYFUNCTION("""COMPUTED_VALUE"""),"")</f>
        <v/>
      </c>
      <c r="I3871" s="2" t="str">
        <f>IFERROR(__xludf.DUMMYFUNCTION("""COMPUTED_VALUE"""),"")</f>
        <v/>
      </c>
      <c r="J3871" s="2">
        <f>IFERROR(__xludf.DUMMYFUNCTION("""COMPUTED_VALUE"""),0.0)</f>
        <v>0</v>
      </c>
      <c r="K3871" s="5" t="str">
        <f>IFERROR(__xludf.DUMMYFUNCTION("""COMPUTED_VALUE"""),"")</f>
        <v/>
      </c>
      <c r="L3871" t="str">
        <f>IFERROR(__xludf.DUMMYFUNCTION("""COMPUTED_VALUE"""),"")</f>
        <v/>
      </c>
      <c r="M3871" t="str">
        <f>IFERROR(__xludf.DUMMYFUNCTION("""COMPUTED_VALUE"""),"")</f>
        <v/>
      </c>
      <c r="N3871" t="str">
        <f>IFERROR(__xludf.DUMMYFUNCTION("""COMPUTED_VALUE"""),"")</f>
        <v/>
      </c>
      <c r="O3871" t="str">
        <f>IFERROR(__xludf.DUMMYFUNCTION("""COMPUTED_VALUE"""),"")</f>
        <v/>
      </c>
      <c r="P3871" t="str">
        <f>IFERROR(__xludf.DUMMYFUNCTION("""COMPUTED_VALUE"""),"ID ")</f>
        <v>ID </v>
      </c>
    </row>
    <row r="3872">
      <c r="A3872" s="6" t="str">
        <f>IFERROR(__xludf.DUMMYFUNCTION("""COMPUTED_VALUE"""),"")</f>
        <v/>
      </c>
      <c r="C3872" t="str">
        <f>IFERROR(__xludf.DUMMYFUNCTION("""COMPUTED_VALUE"""),"")</f>
        <v/>
      </c>
      <c r="D3872" t="str">
        <f>IFERROR(__xludf.DUMMYFUNCTION("""COMPUTED_VALUE"""),"")</f>
        <v/>
      </c>
      <c r="E3872" t="str">
        <f>IFERROR(__xludf.DUMMYFUNCTION("""COMPUTED_VALUE"""),"")</f>
        <v/>
      </c>
      <c r="F3872" t="str">
        <f>IFERROR(__xludf.DUMMYFUNCTION("""COMPUTED_VALUE"""),"")</f>
        <v/>
      </c>
      <c r="G3872" t="str">
        <f>IFERROR(__xludf.DUMMYFUNCTION("""COMPUTED_VALUE"""),"")</f>
        <v/>
      </c>
      <c r="H3872" s="2" t="str">
        <f>IFERROR(__xludf.DUMMYFUNCTION("""COMPUTED_VALUE"""),"")</f>
        <v/>
      </c>
      <c r="I3872" s="2" t="str">
        <f>IFERROR(__xludf.DUMMYFUNCTION("""COMPUTED_VALUE"""),"")</f>
        <v/>
      </c>
      <c r="J3872" s="2">
        <f>IFERROR(__xludf.DUMMYFUNCTION("""COMPUTED_VALUE"""),0.0)</f>
        <v>0</v>
      </c>
      <c r="K3872" s="5" t="str">
        <f>IFERROR(__xludf.DUMMYFUNCTION("""COMPUTED_VALUE"""),"")</f>
        <v/>
      </c>
      <c r="L3872" t="str">
        <f>IFERROR(__xludf.DUMMYFUNCTION("""COMPUTED_VALUE"""),"")</f>
        <v/>
      </c>
      <c r="M3872" t="str">
        <f>IFERROR(__xludf.DUMMYFUNCTION("""COMPUTED_VALUE"""),"")</f>
        <v/>
      </c>
      <c r="N3872" t="str">
        <f>IFERROR(__xludf.DUMMYFUNCTION("""COMPUTED_VALUE"""),"")</f>
        <v/>
      </c>
      <c r="O3872" t="str">
        <f>IFERROR(__xludf.DUMMYFUNCTION("""COMPUTED_VALUE"""),"")</f>
        <v/>
      </c>
      <c r="P3872" t="str">
        <f>IFERROR(__xludf.DUMMYFUNCTION("""COMPUTED_VALUE"""),"ID ")</f>
        <v>ID </v>
      </c>
    </row>
    <row r="3873">
      <c r="A3873" s="6" t="str">
        <f>IFERROR(__xludf.DUMMYFUNCTION("""COMPUTED_VALUE"""),"")</f>
        <v/>
      </c>
      <c r="C3873" t="str">
        <f>IFERROR(__xludf.DUMMYFUNCTION("""COMPUTED_VALUE"""),"")</f>
        <v/>
      </c>
      <c r="D3873" t="str">
        <f>IFERROR(__xludf.DUMMYFUNCTION("""COMPUTED_VALUE"""),"")</f>
        <v/>
      </c>
      <c r="E3873" t="str">
        <f>IFERROR(__xludf.DUMMYFUNCTION("""COMPUTED_VALUE"""),"")</f>
        <v/>
      </c>
      <c r="F3873" t="str">
        <f>IFERROR(__xludf.DUMMYFUNCTION("""COMPUTED_VALUE"""),"")</f>
        <v/>
      </c>
      <c r="G3873" t="str">
        <f>IFERROR(__xludf.DUMMYFUNCTION("""COMPUTED_VALUE"""),"")</f>
        <v/>
      </c>
      <c r="H3873" s="2" t="str">
        <f>IFERROR(__xludf.DUMMYFUNCTION("""COMPUTED_VALUE"""),"")</f>
        <v/>
      </c>
      <c r="I3873" s="2" t="str">
        <f>IFERROR(__xludf.DUMMYFUNCTION("""COMPUTED_VALUE"""),"")</f>
        <v/>
      </c>
      <c r="J3873" s="2">
        <f>IFERROR(__xludf.DUMMYFUNCTION("""COMPUTED_VALUE"""),0.0)</f>
        <v>0</v>
      </c>
      <c r="K3873" s="5" t="str">
        <f>IFERROR(__xludf.DUMMYFUNCTION("""COMPUTED_VALUE"""),"")</f>
        <v/>
      </c>
      <c r="L3873" t="str">
        <f>IFERROR(__xludf.DUMMYFUNCTION("""COMPUTED_VALUE"""),"")</f>
        <v/>
      </c>
      <c r="M3873" t="str">
        <f>IFERROR(__xludf.DUMMYFUNCTION("""COMPUTED_VALUE"""),"")</f>
        <v/>
      </c>
      <c r="N3873" t="str">
        <f>IFERROR(__xludf.DUMMYFUNCTION("""COMPUTED_VALUE"""),"")</f>
        <v/>
      </c>
      <c r="O3873" t="str">
        <f>IFERROR(__xludf.DUMMYFUNCTION("""COMPUTED_VALUE"""),"")</f>
        <v/>
      </c>
      <c r="P3873" t="str">
        <f>IFERROR(__xludf.DUMMYFUNCTION("""COMPUTED_VALUE"""),"ID ")</f>
        <v>ID </v>
      </c>
    </row>
    <row r="3874">
      <c r="A3874" s="6" t="str">
        <f>IFERROR(__xludf.DUMMYFUNCTION("""COMPUTED_VALUE"""),"")</f>
        <v/>
      </c>
      <c r="C3874" t="str">
        <f>IFERROR(__xludf.DUMMYFUNCTION("""COMPUTED_VALUE"""),"")</f>
        <v/>
      </c>
      <c r="D3874" t="str">
        <f>IFERROR(__xludf.DUMMYFUNCTION("""COMPUTED_VALUE"""),"")</f>
        <v/>
      </c>
      <c r="E3874" t="str">
        <f>IFERROR(__xludf.DUMMYFUNCTION("""COMPUTED_VALUE"""),"")</f>
        <v/>
      </c>
      <c r="F3874" t="str">
        <f>IFERROR(__xludf.DUMMYFUNCTION("""COMPUTED_VALUE"""),"")</f>
        <v/>
      </c>
      <c r="G3874" t="str">
        <f>IFERROR(__xludf.DUMMYFUNCTION("""COMPUTED_VALUE"""),"")</f>
        <v/>
      </c>
      <c r="H3874" s="2" t="str">
        <f>IFERROR(__xludf.DUMMYFUNCTION("""COMPUTED_VALUE"""),"")</f>
        <v/>
      </c>
      <c r="I3874" s="2" t="str">
        <f>IFERROR(__xludf.DUMMYFUNCTION("""COMPUTED_VALUE"""),"")</f>
        <v/>
      </c>
      <c r="J3874" s="2">
        <f>IFERROR(__xludf.DUMMYFUNCTION("""COMPUTED_VALUE"""),0.0)</f>
        <v>0</v>
      </c>
      <c r="K3874" s="5" t="str">
        <f>IFERROR(__xludf.DUMMYFUNCTION("""COMPUTED_VALUE"""),"")</f>
        <v/>
      </c>
      <c r="L3874" t="str">
        <f>IFERROR(__xludf.DUMMYFUNCTION("""COMPUTED_VALUE"""),"")</f>
        <v/>
      </c>
      <c r="M3874" t="str">
        <f>IFERROR(__xludf.DUMMYFUNCTION("""COMPUTED_VALUE"""),"")</f>
        <v/>
      </c>
      <c r="N3874" t="str">
        <f>IFERROR(__xludf.DUMMYFUNCTION("""COMPUTED_VALUE"""),"")</f>
        <v/>
      </c>
      <c r="O3874" t="str">
        <f>IFERROR(__xludf.DUMMYFUNCTION("""COMPUTED_VALUE"""),"")</f>
        <v/>
      </c>
      <c r="P3874" t="str">
        <f>IFERROR(__xludf.DUMMYFUNCTION("""COMPUTED_VALUE"""),"ID ")</f>
        <v>ID </v>
      </c>
    </row>
    <row r="3875">
      <c r="A3875" s="6" t="str">
        <f>IFERROR(__xludf.DUMMYFUNCTION("""COMPUTED_VALUE"""),"")</f>
        <v/>
      </c>
      <c r="C3875" t="str">
        <f>IFERROR(__xludf.DUMMYFUNCTION("""COMPUTED_VALUE"""),"")</f>
        <v/>
      </c>
      <c r="D3875" t="str">
        <f>IFERROR(__xludf.DUMMYFUNCTION("""COMPUTED_VALUE"""),"")</f>
        <v/>
      </c>
      <c r="E3875" t="str">
        <f>IFERROR(__xludf.DUMMYFUNCTION("""COMPUTED_VALUE"""),"")</f>
        <v/>
      </c>
      <c r="F3875" t="str">
        <f>IFERROR(__xludf.DUMMYFUNCTION("""COMPUTED_VALUE"""),"")</f>
        <v/>
      </c>
      <c r="G3875" t="str">
        <f>IFERROR(__xludf.DUMMYFUNCTION("""COMPUTED_VALUE"""),"")</f>
        <v/>
      </c>
      <c r="H3875" s="2" t="str">
        <f>IFERROR(__xludf.DUMMYFUNCTION("""COMPUTED_VALUE"""),"")</f>
        <v/>
      </c>
      <c r="I3875" s="2" t="str">
        <f>IFERROR(__xludf.DUMMYFUNCTION("""COMPUTED_VALUE"""),"")</f>
        <v/>
      </c>
      <c r="J3875" s="2">
        <f>IFERROR(__xludf.DUMMYFUNCTION("""COMPUTED_VALUE"""),0.0)</f>
        <v>0</v>
      </c>
      <c r="K3875" s="5" t="str">
        <f>IFERROR(__xludf.DUMMYFUNCTION("""COMPUTED_VALUE"""),"")</f>
        <v/>
      </c>
      <c r="L3875" t="str">
        <f>IFERROR(__xludf.DUMMYFUNCTION("""COMPUTED_VALUE"""),"")</f>
        <v/>
      </c>
      <c r="M3875" t="str">
        <f>IFERROR(__xludf.DUMMYFUNCTION("""COMPUTED_VALUE"""),"")</f>
        <v/>
      </c>
      <c r="N3875" t="str">
        <f>IFERROR(__xludf.DUMMYFUNCTION("""COMPUTED_VALUE"""),"")</f>
        <v/>
      </c>
      <c r="O3875" t="str">
        <f>IFERROR(__xludf.DUMMYFUNCTION("""COMPUTED_VALUE"""),"")</f>
        <v/>
      </c>
      <c r="P3875" t="str">
        <f>IFERROR(__xludf.DUMMYFUNCTION("""COMPUTED_VALUE"""),"ID ")</f>
        <v>ID </v>
      </c>
    </row>
    <row r="3876">
      <c r="A3876" s="6" t="str">
        <f>IFERROR(__xludf.DUMMYFUNCTION("""COMPUTED_VALUE"""),"")</f>
        <v/>
      </c>
      <c r="C3876" t="str">
        <f>IFERROR(__xludf.DUMMYFUNCTION("""COMPUTED_VALUE"""),"")</f>
        <v/>
      </c>
      <c r="D3876" t="str">
        <f>IFERROR(__xludf.DUMMYFUNCTION("""COMPUTED_VALUE"""),"")</f>
        <v/>
      </c>
      <c r="E3876" t="str">
        <f>IFERROR(__xludf.DUMMYFUNCTION("""COMPUTED_VALUE"""),"")</f>
        <v/>
      </c>
      <c r="F3876" t="str">
        <f>IFERROR(__xludf.DUMMYFUNCTION("""COMPUTED_VALUE"""),"")</f>
        <v/>
      </c>
      <c r="G3876" t="str">
        <f>IFERROR(__xludf.DUMMYFUNCTION("""COMPUTED_VALUE"""),"")</f>
        <v/>
      </c>
      <c r="H3876" s="2" t="str">
        <f>IFERROR(__xludf.DUMMYFUNCTION("""COMPUTED_VALUE"""),"")</f>
        <v/>
      </c>
      <c r="I3876" s="2" t="str">
        <f>IFERROR(__xludf.DUMMYFUNCTION("""COMPUTED_VALUE"""),"")</f>
        <v/>
      </c>
      <c r="J3876" s="2">
        <f>IFERROR(__xludf.DUMMYFUNCTION("""COMPUTED_VALUE"""),0.0)</f>
        <v>0</v>
      </c>
      <c r="K3876" s="5" t="str">
        <f>IFERROR(__xludf.DUMMYFUNCTION("""COMPUTED_VALUE"""),"")</f>
        <v/>
      </c>
      <c r="L3876" t="str">
        <f>IFERROR(__xludf.DUMMYFUNCTION("""COMPUTED_VALUE"""),"")</f>
        <v/>
      </c>
      <c r="M3876" t="str">
        <f>IFERROR(__xludf.DUMMYFUNCTION("""COMPUTED_VALUE"""),"")</f>
        <v/>
      </c>
      <c r="N3876" t="str">
        <f>IFERROR(__xludf.DUMMYFUNCTION("""COMPUTED_VALUE"""),"")</f>
        <v/>
      </c>
      <c r="O3876" t="str">
        <f>IFERROR(__xludf.DUMMYFUNCTION("""COMPUTED_VALUE"""),"")</f>
        <v/>
      </c>
      <c r="P3876" t="str">
        <f>IFERROR(__xludf.DUMMYFUNCTION("""COMPUTED_VALUE"""),"ID ")</f>
        <v>ID </v>
      </c>
    </row>
    <row r="3877">
      <c r="A3877" s="6" t="str">
        <f>IFERROR(__xludf.DUMMYFUNCTION("""COMPUTED_VALUE"""),"")</f>
        <v/>
      </c>
      <c r="C3877" t="str">
        <f>IFERROR(__xludf.DUMMYFUNCTION("""COMPUTED_VALUE"""),"")</f>
        <v/>
      </c>
      <c r="D3877" t="str">
        <f>IFERROR(__xludf.DUMMYFUNCTION("""COMPUTED_VALUE"""),"")</f>
        <v/>
      </c>
      <c r="E3877" t="str">
        <f>IFERROR(__xludf.DUMMYFUNCTION("""COMPUTED_VALUE"""),"")</f>
        <v/>
      </c>
      <c r="F3877" t="str">
        <f>IFERROR(__xludf.DUMMYFUNCTION("""COMPUTED_VALUE"""),"")</f>
        <v/>
      </c>
      <c r="G3877" t="str">
        <f>IFERROR(__xludf.DUMMYFUNCTION("""COMPUTED_VALUE"""),"")</f>
        <v/>
      </c>
      <c r="H3877" s="2" t="str">
        <f>IFERROR(__xludf.DUMMYFUNCTION("""COMPUTED_VALUE"""),"")</f>
        <v/>
      </c>
      <c r="I3877" s="2" t="str">
        <f>IFERROR(__xludf.DUMMYFUNCTION("""COMPUTED_VALUE"""),"")</f>
        <v/>
      </c>
      <c r="J3877" s="2">
        <f>IFERROR(__xludf.DUMMYFUNCTION("""COMPUTED_VALUE"""),0.0)</f>
        <v>0</v>
      </c>
      <c r="K3877" s="5" t="str">
        <f>IFERROR(__xludf.DUMMYFUNCTION("""COMPUTED_VALUE"""),"")</f>
        <v/>
      </c>
      <c r="L3877" t="str">
        <f>IFERROR(__xludf.DUMMYFUNCTION("""COMPUTED_VALUE"""),"")</f>
        <v/>
      </c>
      <c r="M3877" t="str">
        <f>IFERROR(__xludf.DUMMYFUNCTION("""COMPUTED_VALUE"""),"")</f>
        <v/>
      </c>
      <c r="N3877" t="str">
        <f>IFERROR(__xludf.DUMMYFUNCTION("""COMPUTED_VALUE"""),"")</f>
        <v/>
      </c>
      <c r="O3877" t="str">
        <f>IFERROR(__xludf.DUMMYFUNCTION("""COMPUTED_VALUE"""),"")</f>
        <v/>
      </c>
      <c r="P3877" t="str">
        <f>IFERROR(__xludf.DUMMYFUNCTION("""COMPUTED_VALUE"""),"ID ")</f>
        <v>ID </v>
      </c>
    </row>
    <row r="3878">
      <c r="A3878" s="6" t="str">
        <f>IFERROR(__xludf.DUMMYFUNCTION("""COMPUTED_VALUE"""),"")</f>
        <v/>
      </c>
      <c r="C3878" t="str">
        <f>IFERROR(__xludf.DUMMYFUNCTION("""COMPUTED_VALUE"""),"")</f>
        <v/>
      </c>
      <c r="D3878" t="str">
        <f>IFERROR(__xludf.DUMMYFUNCTION("""COMPUTED_VALUE"""),"")</f>
        <v/>
      </c>
      <c r="E3878" t="str">
        <f>IFERROR(__xludf.DUMMYFUNCTION("""COMPUTED_VALUE"""),"")</f>
        <v/>
      </c>
      <c r="F3878" t="str">
        <f>IFERROR(__xludf.DUMMYFUNCTION("""COMPUTED_VALUE"""),"")</f>
        <v/>
      </c>
      <c r="G3878" t="str">
        <f>IFERROR(__xludf.DUMMYFUNCTION("""COMPUTED_VALUE"""),"")</f>
        <v/>
      </c>
      <c r="H3878" s="2" t="str">
        <f>IFERROR(__xludf.DUMMYFUNCTION("""COMPUTED_VALUE"""),"")</f>
        <v/>
      </c>
      <c r="I3878" s="2" t="str">
        <f>IFERROR(__xludf.DUMMYFUNCTION("""COMPUTED_VALUE"""),"")</f>
        <v/>
      </c>
      <c r="J3878" s="2">
        <f>IFERROR(__xludf.DUMMYFUNCTION("""COMPUTED_VALUE"""),0.0)</f>
        <v>0</v>
      </c>
      <c r="K3878" s="5" t="str">
        <f>IFERROR(__xludf.DUMMYFUNCTION("""COMPUTED_VALUE"""),"")</f>
        <v/>
      </c>
      <c r="L3878" t="str">
        <f>IFERROR(__xludf.DUMMYFUNCTION("""COMPUTED_VALUE"""),"")</f>
        <v/>
      </c>
      <c r="M3878" t="str">
        <f>IFERROR(__xludf.DUMMYFUNCTION("""COMPUTED_VALUE"""),"")</f>
        <v/>
      </c>
      <c r="N3878" t="str">
        <f>IFERROR(__xludf.DUMMYFUNCTION("""COMPUTED_VALUE"""),"")</f>
        <v/>
      </c>
      <c r="O3878" t="str">
        <f>IFERROR(__xludf.DUMMYFUNCTION("""COMPUTED_VALUE"""),"")</f>
        <v/>
      </c>
      <c r="P3878" t="str">
        <f>IFERROR(__xludf.DUMMYFUNCTION("""COMPUTED_VALUE"""),"ID ")</f>
        <v>ID </v>
      </c>
    </row>
    <row r="3879">
      <c r="A3879" s="6" t="str">
        <f>IFERROR(__xludf.DUMMYFUNCTION("""COMPUTED_VALUE"""),"")</f>
        <v/>
      </c>
      <c r="C3879" t="str">
        <f>IFERROR(__xludf.DUMMYFUNCTION("""COMPUTED_VALUE"""),"")</f>
        <v/>
      </c>
      <c r="D3879" t="str">
        <f>IFERROR(__xludf.DUMMYFUNCTION("""COMPUTED_VALUE"""),"")</f>
        <v/>
      </c>
      <c r="E3879" t="str">
        <f>IFERROR(__xludf.DUMMYFUNCTION("""COMPUTED_VALUE"""),"")</f>
        <v/>
      </c>
      <c r="F3879" t="str">
        <f>IFERROR(__xludf.DUMMYFUNCTION("""COMPUTED_VALUE"""),"")</f>
        <v/>
      </c>
      <c r="G3879" t="str">
        <f>IFERROR(__xludf.DUMMYFUNCTION("""COMPUTED_VALUE"""),"")</f>
        <v/>
      </c>
      <c r="H3879" s="2" t="str">
        <f>IFERROR(__xludf.DUMMYFUNCTION("""COMPUTED_VALUE"""),"")</f>
        <v/>
      </c>
      <c r="I3879" s="2" t="str">
        <f>IFERROR(__xludf.DUMMYFUNCTION("""COMPUTED_VALUE"""),"")</f>
        <v/>
      </c>
      <c r="J3879" s="2">
        <f>IFERROR(__xludf.DUMMYFUNCTION("""COMPUTED_VALUE"""),0.0)</f>
        <v>0</v>
      </c>
      <c r="K3879" s="5" t="str">
        <f>IFERROR(__xludf.DUMMYFUNCTION("""COMPUTED_VALUE"""),"")</f>
        <v/>
      </c>
      <c r="L3879" t="str">
        <f>IFERROR(__xludf.DUMMYFUNCTION("""COMPUTED_VALUE"""),"")</f>
        <v/>
      </c>
      <c r="M3879" t="str">
        <f>IFERROR(__xludf.DUMMYFUNCTION("""COMPUTED_VALUE"""),"")</f>
        <v/>
      </c>
      <c r="N3879" t="str">
        <f>IFERROR(__xludf.DUMMYFUNCTION("""COMPUTED_VALUE"""),"")</f>
        <v/>
      </c>
      <c r="O3879" t="str">
        <f>IFERROR(__xludf.DUMMYFUNCTION("""COMPUTED_VALUE"""),"")</f>
        <v/>
      </c>
      <c r="P3879" t="str">
        <f>IFERROR(__xludf.DUMMYFUNCTION("""COMPUTED_VALUE"""),"ID ")</f>
        <v>ID </v>
      </c>
    </row>
    <row r="3880">
      <c r="A3880" s="6" t="str">
        <f>IFERROR(__xludf.DUMMYFUNCTION("""COMPUTED_VALUE"""),"")</f>
        <v/>
      </c>
      <c r="C3880" t="str">
        <f>IFERROR(__xludf.DUMMYFUNCTION("""COMPUTED_VALUE"""),"")</f>
        <v/>
      </c>
      <c r="D3880" t="str">
        <f>IFERROR(__xludf.DUMMYFUNCTION("""COMPUTED_VALUE"""),"")</f>
        <v/>
      </c>
      <c r="E3880" t="str">
        <f>IFERROR(__xludf.DUMMYFUNCTION("""COMPUTED_VALUE"""),"")</f>
        <v/>
      </c>
      <c r="F3880" t="str">
        <f>IFERROR(__xludf.DUMMYFUNCTION("""COMPUTED_VALUE"""),"")</f>
        <v/>
      </c>
      <c r="G3880" t="str">
        <f>IFERROR(__xludf.DUMMYFUNCTION("""COMPUTED_VALUE"""),"")</f>
        <v/>
      </c>
      <c r="H3880" s="2" t="str">
        <f>IFERROR(__xludf.DUMMYFUNCTION("""COMPUTED_VALUE"""),"")</f>
        <v/>
      </c>
      <c r="I3880" s="2" t="str">
        <f>IFERROR(__xludf.DUMMYFUNCTION("""COMPUTED_VALUE"""),"")</f>
        <v/>
      </c>
      <c r="J3880" s="2">
        <f>IFERROR(__xludf.DUMMYFUNCTION("""COMPUTED_VALUE"""),0.0)</f>
        <v>0</v>
      </c>
      <c r="K3880" s="5" t="str">
        <f>IFERROR(__xludf.DUMMYFUNCTION("""COMPUTED_VALUE"""),"")</f>
        <v/>
      </c>
      <c r="L3880" t="str">
        <f>IFERROR(__xludf.DUMMYFUNCTION("""COMPUTED_VALUE"""),"")</f>
        <v/>
      </c>
      <c r="M3880" t="str">
        <f>IFERROR(__xludf.DUMMYFUNCTION("""COMPUTED_VALUE"""),"")</f>
        <v/>
      </c>
      <c r="N3880" t="str">
        <f>IFERROR(__xludf.DUMMYFUNCTION("""COMPUTED_VALUE"""),"")</f>
        <v/>
      </c>
      <c r="O3880" t="str">
        <f>IFERROR(__xludf.DUMMYFUNCTION("""COMPUTED_VALUE"""),"")</f>
        <v/>
      </c>
      <c r="P3880" t="str">
        <f>IFERROR(__xludf.DUMMYFUNCTION("""COMPUTED_VALUE"""),"ID ")</f>
        <v>ID </v>
      </c>
    </row>
    <row r="3881">
      <c r="A3881" s="6" t="str">
        <f>IFERROR(__xludf.DUMMYFUNCTION("""COMPUTED_VALUE"""),"")</f>
        <v/>
      </c>
      <c r="C3881" t="str">
        <f>IFERROR(__xludf.DUMMYFUNCTION("""COMPUTED_VALUE"""),"")</f>
        <v/>
      </c>
      <c r="D3881" t="str">
        <f>IFERROR(__xludf.DUMMYFUNCTION("""COMPUTED_VALUE"""),"")</f>
        <v/>
      </c>
      <c r="E3881" t="str">
        <f>IFERROR(__xludf.DUMMYFUNCTION("""COMPUTED_VALUE"""),"")</f>
        <v/>
      </c>
      <c r="F3881" t="str">
        <f>IFERROR(__xludf.DUMMYFUNCTION("""COMPUTED_VALUE"""),"")</f>
        <v/>
      </c>
      <c r="G3881" t="str">
        <f>IFERROR(__xludf.DUMMYFUNCTION("""COMPUTED_VALUE"""),"")</f>
        <v/>
      </c>
      <c r="H3881" s="2" t="str">
        <f>IFERROR(__xludf.DUMMYFUNCTION("""COMPUTED_VALUE"""),"")</f>
        <v/>
      </c>
      <c r="I3881" s="2" t="str">
        <f>IFERROR(__xludf.DUMMYFUNCTION("""COMPUTED_VALUE"""),"")</f>
        <v/>
      </c>
      <c r="J3881" s="2">
        <f>IFERROR(__xludf.DUMMYFUNCTION("""COMPUTED_VALUE"""),0.0)</f>
        <v>0</v>
      </c>
      <c r="K3881" s="5" t="str">
        <f>IFERROR(__xludf.DUMMYFUNCTION("""COMPUTED_VALUE"""),"")</f>
        <v/>
      </c>
      <c r="L3881" t="str">
        <f>IFERROR(__xludf.DUMMYFUNCTION("""COMPUTED_VALUE"""),"")</f>
        <v/>
      </c>
      <c r="M3881" t="str">
        <f>IFERROR(__xludf.DUMMYFUNCTION("""COMPUTED_VALUE"""),"")</f>
        <v/>
      </c>
      <c r="N3881" t="str">
        <f>IFERROR(__xludf.DUMMYFUNCTION("""COMPUTED_VALUE"""),"")</f>
        <v/>
      </c>
      <c r="O3881" t="str">
        <f>IFERROR(__xludf.DUMMYFUNCTION("""COMPUTED_VALUE"""),"")</f>
        <v/>
      </c>
      <c r="P3881" t="str">
        <f>IFERROR(__xludf.DUMMYFUNCTION("""COMPUTED_VALUE"""),"ID ")</f>
        <v>ID </v>
      </c>
    </row>
    <row r="3882">
      <c r="A3882" s="6" t="str">
        <f>IFERROR(__xludf.DUMMYFUNCTION("""COMPUTED_VALUE"""),"")</f>
        <v/>
      </c>
      <c r="C3882" t="str">
        <f>IFERROR(__xludf.DUMMYFUNCTION("""COMPUTED_VALUE"""),"")</f>
        <v/>
      </c>
      <c r="D3882" t="str">
        <f>IFERROR(__xludf.DUMMYFUNCTION("""COMPUTED_VALUE"""),"")</f>
        <v/>
      </c>
      <c r="E3882" t="str">
        <f>IFERROR(__xludf.DUMMYFUNCTION("""COMPUTED_VALUE"""),"")</f>
        <v/>
      </c>
      <c r="F3882" t="str">
        <f>IFERROR(__xludf.DUMMYFUNCTION("""COMPUTED_VALUE"""),"")</f>
        <v/>
      </c>
      <c r="G3882" t="str">
        <f>IFERROR(__xludf.DUMMYFUNCTION("""COMPUTED_VALUE"""),"")</f>
        <v/>
      </c>
      <c r="H3882" s="2" t="str">
        <f>IFERROR(__xludf.DUMMYFUNCTION("""COMPUTED_VALUE"""),"")</f>
        <v/>
      </c>
      <c r="I3882" s="2" t="str">
        <f>IFERROR(__xludf.DUMMYFUNCTION("""COMPUTED_VALUE"""),"")</f>
        <v/>
      </c>
      <c r="J3882" s="2">
        <f>IFERROR(__xludf.DUMMYFUNCTION("""COMPUTED_VALUE"""),0.0)</f>
        <v>0</v>
      </c>
      <c r="K3882" s="5" t="str">
        <f>IFERROR(__xludf.DUMMYFUNCTION("""COMPUTED_VALUE"""),"")</f>
        <v/>
      </c>
      <c r="L3882" t="str">
        <f>IFERROR(__xludf.DUMMYFUNCTION("""COMPUTED_VALUE"""),"")</f>
        <v/>
      </c>
      <c r="M3882" t="str">
        <f>IFERROR(__xludf.DUMMYFUNCTION("""COMPUTED_VALUE"""),"")</f>
        <v/>
      </c>
      <c r="N3882" t="str">
        <f>IFERROR(__xludf.DUMMYFUNCTION("""COMPUTED_VALUE"""),"")</f>
        <v/>
      </c>
      <c r="O3882" t="str">
        <f>IFERROR(__xludf.DUMMYFUNCTION("""COMPUTED_VALUE"""),"")</f>
        <v/>
      </c>
      <c r="P3882" t="str">
        <f>IFERROR(__xludf.DUMMYFUNCTION("""COMPUTED_VALUE"""),"ID ")</f>
        <v>ID </v>
      </c>
    </row>
    <row r="3883">
      <c r="A3883" s="6" t="str">
        <f>IFERROR(__xludf.DUMMYFUNCTION("""COMPUTED_VALUE"""),"")</f>
        <v/>
      </c>
      <c r="C3883" t="str">
        <f>IFERROR(__xludf.DUMMYFUNCTION("""COMPUTED_VALUE"""),"")</f>
        <v/>
      </c>
      <c r="D3883" t="str">
        <f>IFERROR(__xludf.DUMMYFUNCTION("""COMPUTED_VALUE"""),"")</f>
        <v/>
      </c>
      <c r="E3883" t="str">
        <f>IFERROR(__xludf.DUMMYFUNCTION("""COMPUTED_VALUE"""),"")</f>
        <v/>
      </c>
      <c r="F3883" t="str">
        <f>IFERROR(__xludf.DUMMYFUNCTION("""COMPUTED_VALUE"""),"")</f>
        <v/>
      </c>
      <c r="G3883" t="str">
        <f>IFERROR(__xludf.DUMMYFUNCTION("""COMPUTED_VALUE"""),"")</f>
        <v/>
      </c>
      <c r="H3883" s="2" t="str">
        <f>IFERROR(__xludf.DUMMYFUNCTION("""COMPUTED_VALUE"""),"")</f>
        <v/>
      </c>
      <c r="I3883" s="2" t="str">
        <f>IFERROR(__xludf.DUMMYFUNCTION("""COMPUTED_VALUE"""),"")</f>
        <v/>
      </c>
      <c r="J3883" s="2">
        <f>IFERROR(__xludf.DUMMYFUNCTION("""COMPUTED_VALUE"""),0.0)</f>
        <v>0</v>
      </c>
      <c r="K3883" s="5" t="str">
        <f>IFERROR(__xludf.DUMMYFUNCTION("""COMPUTED_VALUE"""),"")</f>
        <v/>
      </c>
      <c r="L3883" t="str">
        <f>IFERROR(__xludf.DUMMYFUNCTION("""COMPUTED_VALUE"""),"")</f>
        <v/>
      </c>
      <c r="M3883" t="str">
        <f>IFERROR(__xludf.DUMMYFUNCTION("""COMPUTED_VALUE"""),"")</f>
        <v/>
      </c>
      <c r="N3883" t="str">
        <f>IFERROR(__xludf.DUMMYFUNCTION("""COMPUTED_VALUE"""),"")</f>
        <v/>
      </c>
      <c r="O3883" t="str">
        <f>IFERROR(__xludf.DUMMYFUNCTION("""COMPUTED_VALUE"""),"")</f>
        <v/>
      </c>
      <c r="P3883" t="str">
        <f>IFERROR(__xludf.DUMMYFUNCTION("""COMPUTED_VALUE"""),"ID ")</f>
        <v>ID </v>
      </c>
    </row>
    <row r="3884">
      <c r="A3884" s="6" t="str">
        <f>IFERROR(__xludf.DUMMYFUNCTION("""COMPUTED_VALUE"""),"")</f>
        <v/>
      </c>
      <c r="C3884" t="str">
        <f>IFERROR(__xludf.DUMMYFUNCTION("""COMPUTED_VALUE"""),"")</f>
        <v/>
      </c>
      <c r="D3884" t="str">
        <f>IFERROR(__xludf.DUMMYFUNCTION("""COMPUTED_VALUE"""),"")</f>
        <v/>
      </c>
      <c r="E3884" t="str">
        <f>IFERROR(__xludf.DUMMYFUNCTION("""COMPUTED_VALUE"""),"")</f>
        <v/>
      </c>
      <c r="F3884" t="str">
        <f>IFERROR(__xludf.DUMMYFUNCTION("""COMPUTED_VALUE"""),"")</f>
        <v/>
      </c>
      <c r="G3884" t="str">
        <f>IFERROR(__xludf.DUMMYFUNCTION("""COMPUTED_VALUE"""),"")</f>
        <v/>
      </c>
      <c r="H3884" s="2" t="str">
        <f>IFERROR(__xludf.DUMMYFUNCTION("""COMPUTED_VALUE"""),"")</f>
        <v/>
      </c>
      <c r="I3884" s="2" t="str">
        <f>IFERROR(__xludf.DUMMYFUNCTION("""COMPUTED_VALUE"""),"")</f>
        <v/>
      </c>
      <c r="J3884" s="2">
        <f>IFERROR(__xludf.DUMMYFUNCTION("""COMPUTED_VALUE"""),0.0)</f>
        <v>0</v>
      </c>
      <c r="K3884" s="5" t="str">
        <f>IFERROR(__xludf.DUMMYFUNCTION("""COMPUTED_VALUE"""),"")</f>
        <v/>
      </c>
      <c r="L3884" t="str">
        <f>IFERROR(__xludf.DUMMYFUNCTION("""COMPUTED_VALUE"""),"")</f>
        <v/>
      </c>
      <c r="M3884" t="str">
        <f>IFERROR(__xludf.DUMMYFUNCTION("""COMPUTED_VALUE"""),"")</f>
        <v/>
      </c>
      <c r="N3884" t="str">
        <f>IFERROR(__xludf.DUMMYFUNCTION("""COMPUTED_VALUE"""),"")</f>
        <v/>
      </c>
      <c r="O3884" t="str">
        <f>IFERROR(__xludf.DUMMYFUNCTION("""COMPUTED_VALUE"""),"")</f>
        <v/>
      </c>
      <c r="P3884" t="str">
        <f>IFERROR(__xludf.DUMMYFUNCTION("""COMPUTED_VALUE"""),"ID ")</f>
        <v>ID </v>
      </c>
    </row>
    <row r="3885">
      <c r="A3885" s="6" t="str">
        <f>IFERROR(__xludf.DUMMYFUNCTION("""COMPUTED_VALUE"""),"")</f>
        <v/>
      </c>
      <c r="C3885" t="str">
        <f>IFERROR(__xludf.DUMMYFUNCTION("""COMPUTED_VALUE"""),"")</f>
        <v/>
      </c>
      <c r="D3885" t="str">
        <f>IFERROR(__xludf.DUMMYFUNCTION("""COMPUTED_VALUE"""),"")</f>
        <v/>
      </c>
      <c r="E3885" t="str">
        <f>IFERROR(__xludf.DUMMYFUNCTION("""COMPUTED_VALUE"""),"")</f>
        <v/>
      </c>
      <c r="F3885" t="str">
        <f>IFERROR(__xludf.DUMMYFUNCTION("""COMPUTED_VALUE"""),"")</f>
        <v/>
      </c>
      <c r="G3885" t="str">
        <f>IFERROR(__xludf.DUMMYFUNCTION("""COMPUTED_VALUE"""),"")</f>
        <v/>
      </c>
      <c r="H3885" s="2" t="str">
        <f>IFERROR(__xludf.DUMMYFUNCTION("""COMPUTED_VALUE"""),"")</f>
        <v/>
      </c>
      <c r="I3885" s="2" t="str">
        <f>IFERROR(__xludf.DUMMYFUNCTION("""COMPUTED_VALUE"""),"")</f>
        <v/>
      </c>
      <c r="J3885" s="2">
        <f>IFERROR(__xludf.DUMMYFUNCTION("""COMPUTED_VALUE"""),0.0)</f>
        <v>0</v>
      </c>
      <c r="K3885" s="5" t="str">
        <f>IFERROR(__xludf.DUMMYFUNCTION("""COMPUTED_VALUE"""),"")</f>
        <v/>
      </c>
      <c r="L3885" t="str">
        <f>IFERROR(__xludf.DUMMYFUNCTION("""COMPUTED_VALUE"""),"")</f>
        <v/>
      </c>
      <c r="M3885" t="str">
        <f>IFERROR(__xludf.DUMMYFUNCTION("""COMPUTED_VALUE"""),"")</f>
        <v/>
      </c>
      <c r="N3885" t="str">
        <f>IFERROR(__xludf.DUMMYFUNCTION("""COMPUTED_VALUE"""),"")</f>
        <v/>
      </c>
      <c r="O3885" t="str">
        <f>IFERROR(__xludf.DUMMYFUNCTION("""COMPUTED_VALUE"""),"")</f>
        <v/>
      </c>
      <c r="P3885" t="str">
        <f>IFERROR(__xludf.DUMMYFUNCTION("""COMPUTED_VALUE"""),"ID ")</f>
        <v>ID </v>
      </c>
    </row>
    <row r="3886">
      <c r="A3886" s="6" t="str">
        <f>IFERROR(__xludf.DUMMYFUNCTION("""COMPUTED_VALUE"""),"")</f>
        <v/>
      </c>
      <c r="C3886" t="str">
        <f>IFERROR(__xludf.DUMMYFUNCTION("""COMPUTED_VALUE"""),"")</f>
        <v/>
      </c>
      <c r="D3886" t="str">
        <f>IFERROR(__xludf.DUMMYFUNCTION("""COMPUTED_VALUE"""),"")</f>
        <v/>
      </c>
      <c r="E3886" t="str">
        <f>IFERROR(__xludf.DUMMYFUNCTION("""COMPUTED_VALUE"""),"")</f>
        <v/>
      </c>
      <c r="F3886" t="str">
        <f>IFERROR(__xludf.DUMMYFUNCTION("""COMPUTED_VALUE"""),"")</f>
        <v/>
      </c>
      <c r="G3886" t="str">
        <f>IFERROR(__xludf.DUMMYFUNCTION("""COMPUTED_VALUE"""),"")</f>
        <v/>
      </c>
      <c r="H3886" s="2" t="str">
        <f>IFERROR(__xludf.DUMMYFUNCTION("""COMPUTED_VALUE"""),"")</f>
        <v/>
      </c>
      <c r="I3886" s="2" t="str">
        <f>IFERROR(__xludf.DUMMYFUNCTION("""COMPUTED_VALUE"""),"")</f>
        <v/>
      </c>
      <c r="J3886" s="2">
        <f>IFERROR(__xludf.DUMMYFUNCTION("""COMPUTED_VALUE"""),0.0)</f>
        <v>0</v>
      </c>
      <c r="K3886" s="5" t="str">
        <f>IFERROR(__xludf.DUMMYFUNCTION("""COMPUTED_VALUE"""),"")</f>
        <v/>
      </c>
      <c r="L3886" t="str">
        <f>IFERROR(__xludf.DUMMYFUNCTION("""COMPUTED_VALUE"""),"")</f>
        <v/>
      </c>
      <c r="M3886" t="str">
        <f>IFERROR(__xludf.DUMMYFUNCTION("""COMPUTED_VALUE"""),"")</f>
        <v/>
      </c>
      <c r="N3886" t="str">
        <f>IFERROR(__xludf.DUMMYFUNCTION("""COMPUTED_VALUE"""),"")</f>
        <v/>
      </c>
      <c r="O3886" t="str">
        <f>IFERROR(__xludf.DUMMYFUNCTION("""COMPUTED_VALUE"""),"")</f>
        <v/>
      </c>
      <c r="P3886" t="str">
        <f>IFERROR(__xludf.DUMMYFUNCTION("""COMPUTED_VALUE"""),"ID ")</f>
        <v>ID </v>
      </c>
    </row>
    <row r="3887">
      <c r="A3887" s="6" t="str">
        <f>IFERROR(__xludf.DUMMYFUNCTION("""COMPUTED_VALUE"""),"")</f>
        <v/>
      </c>
      <c r="C3887" t="str">
        <f>IFERROR(__xludf.DUMMYFUNCTION("""COMPUTED_VALUE"""),"")</f>
        <v/>
      </c>
      <c r="D3887" t="str">
        <f>IFERROR(__xludf.DUMMYFUNCTION("""COMPUTED_VALUE"""),"")</f>
        <v/>
      </c>
      <c r="E3887" t="str">
        <f>IFERROR(__xludf.DUMMYFUNCTION("""COMPUTED_VALUE"""),"")</f>
        <v/>
      </c>
      <c r="F3887" t="str">
        <f>IFERROR(__xludf.DUMMYFUNCTION("""COMPUTED_VALUE"""),"")</f>
        <v/>
      </c>
      <c r="G3887" t="str">
        <f>IFERROR(__xludf.DUMMYFUNCTION("""COMPUTED_VALUE"""),"")</f>
        <v/>
      </c>
      <c r="H3887" s="2" t="str">
        <f>IFERROR(__xludf.DUMMYFUNCTION("""COMPUTED_VALUE"""),"")</f>
        <v/>
      </c>
      <c r="I3887" s="2" t="str">
        <f>IFERROR(__xludf.DUMMYFUNCTION("""COMPUTED_VALUE"""),"")</f>
        <v/>
      </c>
      <c r="J3887" s="2">
        <f>IFERROR(__xludf.DUMMYFUNCTION("""COMPUTED_VALUE"""),0.0)</f>
        <v>0</v>
      </c>
      <c r="K3887" s="5" t="str">
        <f>IFERROR(__xludf.DUMMYFUNCTION("""COMPUTED_VALUE"""),"")</f>
        <v/>
      </c>
      <c r="L3887" t="str">
        <f>IFERROR(__xludf.DUMMYFUNCTION("""COMPUTED_VALUE"""),"")</f>
        <v/>
      </c>
      <c r="M3887" t="str">
        <f>IFERROR(__xludf.DUMMYFUNCTION("""COMPUTED_VALUE"""),"")</f>
        <v/>
      </c>
      <c r="N3887" t="str">
        <f>IFERROR(__xludf.DUMMYFUNCTION("""COMPUTED_VALUE"""),"")</f>
        <v/>
      </c>
      <c r="O3887" t="str">
        <f>IFERROR(__xludf.DUMMYFUNCTION("""COMPUTED_VALUE"""),"")</f>
        <v/>
      </c>
      <c r="P3887" t="str">
        <f>IFERROR(__xludf.DUMMYFUNCTION("""COMPUTED_VALUE"""),"ID ")</f>
        <v>ID </v>
      </c>
    </row>
    <row r="3888">
      <c r="A3888" s="6" t="str">
        <f>IFERROR(__xludf.DUMMYFUNCTION("""COMPUTED_VALUE"""),"")</f>
        <v/>
      </c>
      <c r="C3888" t="str">
        <f>IFERROR(__xludf.DUMMYFUNCTION("""COMPUTED_VALUE"""),"")</f>
        <v/>
      </c>
      <c r="D3888" t="str">
        <f>IFERROR(__xludf.DUMMYFUNCTION("""COMPUTED_VALUE"""),"")</f>
        <v/>
      </c>
      <c r="E3888" t="str">
        <f>IFERROR(__xludf.DUMMYFUNCTION("""COMPUTED_VALUE"""),"")</f>
        <v/>
      </c>
      <c r="F3888" t="str">
        <f>IFERROR(__xludf.DUMMYFUNCTION("""COMPUTED_VALUE"""),"")</f>
        <v/>
      </c>
      <c r="G3888" t="str">
        <f>IFERROR(__xludf.DUMMYFUNCTION("""COMPUTED_VALUE"""),"")</f>
        <v/>
      </c>
      <c r="H3888" s="2" t="str">
        <f>IFERROR(__xludf.DUMMYFUNCTION("""COMPUTED_VALUE"""),"")</f>
        <v/>
      </c>
      <c r="I3888" s="2" t="str">
        <f>IFERROR(__xludf.DUMMYFUNCTION("""COMPUTED_VALUE"""),"")</f>
        <v/>
      </c>
      <c r="J3888" s="2">
        <f>IFERROR(__xludf.DUMMYFUNCTION("""COMPUTED_VALUE"""),0.0)</f>
        <v>0</v>
      </c>
      <c r="K3888" s="5" t="str">
        <f>IFERROR(__xludf.DUMMYFUNCTION("""COMPUTED_VALUE"""),"")</f>
        <v/>
      </c>
      <c r="L3888" t="str">
        <f>IFERROR(__xludf.DUMMYFUNCTION("""COMPUTED_VALUE"""),"")</f>
        <v/>
      </c>
      <c r="M3888" t="str">
        <f>IFERROR(__xludf.DUMMYFUNCTION("""COMPUTED_VALUE"""),"")</f>
        <v/>
      </c>
      <c r="N3888" t="str">
        <f>IFERROR(__xludf.DUMMYFUNCTION("""COMPUTED_VALUE"""),"")</f>
        <v/>
      </c>
      <c r="O3888" t="str">
        <f>IFERROR(__xludf.DUMMYFUNCTION("""COMPUTED_VALUE"""),"")</f>
        <v/>
      </c>
      <c r="P3888" t="str">
        <f>IFERROR(__xludf.DUMMYFUNCTION("""COMPUTED_VALUE"""),"ID ")</f>
        <v>ID </v>
      </c>
    </row>
    <row r="3889">
      <c r="A3889" s="6" t="str">
        <f>IFERROR(__xludf.DUMMYFUNCTION("""COMPUTED_VALUE"""),"")</f>
        <v/>
      </c>
      <c r="C3889" t="str">
        <f>IFERROR(__xludf.DUMMYFUNCTION("""COMPUTED_VALUE"""),"")</f>
        <v/>
      </c>
      <c r="D3889" t="str">
        <f>IFERROR(__xludf.DUMMYFUNCTION("""COMPUTED_VALUE"""),"")</f>
        <v/>
      </c>
      <c r="E3889" t="str">
        <f>IFERROR(__xludf.DUMMYFUNCTION("""COMPUTED_VALUE"""),"")</f>
        <v/>
      </c>
      <c r="F3889" t="str">
        <f>IFERROR(__xludf.DUMMYFUNCTION("""COMPUTED_VALUE"""),"")</f>
        <v/>
      </c>
      <c r="G3889" t="str">
        <f>IFERROR(__xludf.DUMMYFUNCTION("""COMPUTED_VALUE"""),"")</f>
        <v/>
      </c>
      <c r="H3889" s="2" t="str">
        <f>IFERROR(__xludf.DUMMYFUNCTION("""COMPUTED_VALUE"""),"")</f>
        <v/>
      </c>
      <c r="I3889" s="2" t="str">
        <f>IFERROR(__xludf.DUMMYFUNCTION("""COMPUTED_VALUE"""),"")</f>
        <v/>
      </c>
      <c r="J3889" s="2">
        <f>IFERROR(__xludf.DUMMYFUNCTION("""COMPUTED_VALUE"""),0.0)</f>
        <v>0</v>
      </c>
      <c r="K3889" s="5" t="str">
        <f>IFERROR(__xludf.DUMMYFUNCTION("""COMPUTED_VALUE"""),"")</f>
        <v/>
      </c>
      <c r="L3889" t="str">
        <f>IFERROR(__xludf.DUMMYFUNCTION("""COMPUTED_VALUE"""),"")</f>
        <v/>
      </c>
      <c r="M3889" t="str">
        <f>IFERROR(__xludf.DUMMYFUNCTION("""COMPUTED_VALUE"""),"")</f>
        <v/>
      </c>
      <c r="N3889" t="str">
        <f>IFERROR(__xludf.DUMMYFUNCTION("""COMPUTED_VALUE"""),"")</f>
        <v/>
      </c>
      <c r="O3889" t="str">
        <f>IFERROR(__xludf.DUMMYFUNCTION("""COMPUTED_VALUE"""),"")</f>
        <v/>
      </c>
      <c r="P3889" t="str">
        <f>IFERROR(__xludf.DUMMYFUNCTION("""COMPUTED_VALUE"""),"ID ")</f>
        <v>ID </v>
      </c>
    </row>
    <row r="3890">
      <c r="A3890" s="6" t="str">
        <f>IFERROR(__xludf.DUMMYFUNCTION("""COMPUTED_VALUE"""),"")</f>
        <v/>
      </c>
      <c r="C3890" t="str">
        <f>IFERROR(__xludf.DUMMYFUNCTION("""COMPUTED_VALUE"""),"")</f>
        <v/>
      </c>
      <c r="D3890" t="str">
        <f>IFERROR(__xludf.DUMMYFUNCTION("""COMPUTED_VALUE"""),"")</f>
        <v/>
      </c>
      <c r="E3890" t="str">
        <f>IFERROR(__xludf.DUMMYFUNCTION("""COMPUTED_VALUE"""),"")</f>
        <v/>
      </c>
      <c r="F3890" t="str">
        <f>IFERROR(__xludf.DUMMYFUNCTION("""COMPUTED_VALUE"""),"")</f>
        <v/>
      </c>
      <c r="G3890" t="str">
        <f>IFERROR(__xludf.DUMMYFUNCTION("""COMPUTED_VALUE"""),"")</f>
        <v/>
      </c>
      <c r="H3890" s="2" t="str">
        <f>IFERROR(__xludf.DUMMYFUNCTION("""COMPUTED_VALUE"""),"")</f>
        <v/>
      </c>
      <c r="I3890" s="2" t="str">
        <f>IFERROR(__xludf.DUMMYFUNCTION("""COMPUTED_VALUE"""),"")</f>
        <v/>
      </c>
      <c r="J3890" s="2">
        <f>IFERROR(__xludf.DUMMYFUNCTION("""COMPUTED_VALUE"""),0.0)</f>
        <v>0</v>
      </c>
      <c r="K3890" s="5" t="str">
        <f>IFERROR(__xludf.DUMMYFUNCTION("""COMPUTED_VALUE"""),"")</f>
        <v/>
      </c>
      <c r="L3890" t="str">
        <f>IFERROR(__xludf.DUMMYFUNCTION("""COMPUTED_VALUE"""),"")</f>
        <v/>
      </c>
      <c r="M3890" t="str">
        <f>IFERROR(__xludf.DUMMYFUNCTION("""COMPUTED_VALUE"""),"")</f>
        <v/>
      </c>
      <c r="N3890" t="str">
        <f>IFERROR(__xludf.DUMMYFUNCTION("""COMPUTED_VALUE"""),"")</f>
        <v/>
      </c>
      <c r="O3890" t="str">
        <f>IFERROR(__xludf.DUMMYFUNCTION("""COMPUTED_VALUE"""),"")</f>
        <v/>
      </c>
      <c r="P3890" t="str">
        <f>IFERROR(__xludf.DUMMYFUNCTION("""COMPUTED_VALUE"""),"ID ")</f>
        <v>ID </v>
      </c>
    </row>
    <row r="3891">
      <c r="A3891" s="6" t="str">
        <f>IFERROR(__xludf.DUMMYFUNCTION("""COMPUTED_VALUE"""),"")</f>
        <v/>
      </c>
      <c r="C3891" t="str">
        <f>IFERROR(__xludf.DUMMYFUNCTION("""COMPUTED_VALUE"""),"")</f>
        <v/>
      </c>
      <c r="D3891" t="str">
        <f>IFERROR(__xludf.DUMMYFUNCTION("""COMPUTED_VALUE"""),"")</f>
        <v/>
      </c>
      <c r="E3891" t="str">
        <f>IFERROR(__xludf.DUMMYFUNCTION("""COMPUTED_VALUE"""),"")</f>
        <v/>
      </c>
      <c r="F3891" t="str">
        <f>IFERROR(__xludf.DUMMYFUNCTION("""COMPUTED_VALUE"""),"")</f>
        <v/>
      </c>
      <c r="G3891" t="str">
        <f>IFERROR(__xludf.DUMMYFUNCTION("""COMPUTED_VALUE"""),"")</f>
        <v/>
      </c>
      <c r="H3891" s="2" t="str">
        <f>IFERROR(__xludf.DUMMYFUNCTION("""COMPUTED_VALUE"""),"")</f>
        <v/>
      </c>
      <c r="I3891" s="2" t="str">
        <f>IFERROR(__xludf.DUMMYFUNCTION("""COMPUTED_VALUE"""),"")</f>
        <v/>
      </c>
      <c r="J3891" s="2">
        <f>IFERROR(__xludf.DUMMYFUNCTION("""COMPUTED_VALUE"""),0.0)</f>
        <v>0</v>
      </c>
      <c r="K3891" s="5" t="str">
        <f>IFERROR(__xludf.DUMMYFUNCTION("""COMPUTED_VALUE"""),"")</f>
        <v/>
      </c>
      <c r="L3891" t="str">
        <f>IFERROR(__xludf.DUMMYFUNCTION("""COMPUTED_VALUE"""),"")</f>
        <v/>
      </c>
      <c r="M3891" t="str">
        <f>IFERROR(__xludf.DUMMYFUNCTION("""COMPUTED_VALUE"""),"")</f>
        <v/>
      </c>
      <c r="N3891" t="str">
        <f>IFERROR(__xludf.DUMMYFUNCTION("""COMPUTED_VALUE"""),"")</f>
        <v/>
      </c>
      <c r="O3891" t="str">
        <f>IFERROR(__xludf.DUMMYFUNCTION("""COMPUTED_VALUE"""),"")</f>
        <v/>
      </c>
      <c r="P3891" t="str">
        <f>IFERROR(__xludf.DUMMYFUNCTION("""COMPUTED_VALUE"""),"ID ")</f>
        <v>ID </v>
      </c>
    </row>
    <row r="3892">
      <c r="A3892" s="6" t="str">
        <f>IFERROR(__xludf.DUMMYFUNCTION("""COMPUTED_VALUE"""),"")</f>
        <v/>
      </c>
      <c r="C3892" t="str">
        <f>IFERROR(__xludf.DUMMYFUNCTION("""COMPUTED_VALUE"""),"")</f>
        <v/>
      </c>
      <c r="D3892" t="str">
        <f>IFERROR(__xludf.DUMMYFUNCTION("""COMPUTED_VALUE"""),"")</f>
        <v/>
      </c>
      <c r="E3892" t="str">
        <f>IFERROR(__xludf.DUMMYFUNCTION("""COMPUTED_VALUE"""),"")</f>
        <v/>
      </c>
      <c r="F3892" t="str">
        <f>IFERROR(__xludf.DUMMYFUNCTION("""COMPUTED_VALUE"""),"")</f>
        <v/>
      </c>
      <c r="G3892" t="str">
        <f>IFERROR(__xludf.DUMMYFUNCTION("""COMPUTED_VALUE"""),"")</f>
        <v/>
      </c>
      <c r="H3892" s="2" t="str">
        <f>IFERROR(__xludf.DUMMYFUNCTION("""COMPUTED_VALUE"""),"")</f>
        <v/>
      </c>
      <c r="I3892" s="2" t="str">
        <f>IFERROR(__xludf.DUMMYFUNCTION("""COMPUTED_VALUE"""),"")</f>
        <v/>
      </c>
      <c r="J3892" s="2">
        <f>IFERROR(__xludf.DUMMYFUNCTION("""COMPUTED_VALUE"""),0.0)</f>
        <v>0</v>
      </c>
      <c r="K3892" s="5" t="str">
        <f>IFERROR(__xludf.DUMMYFUNCTION("""COMPUTED_VALUE"""),"")</f>
        <v/>
      </c>
      <c r="L3892" t="str">
        <f>IFERROR(__xludf.DUMMYFUNCTION("""COMPUTED_VALUE"""),"")</f>
        <v/>
      </c>
      <c r="M3892" t="str">
        <f>IFERROR(__xludf.DUMMYFUNCTION("""COMPUTED_VALUE"""),"")</f>
        <v/>
      </c>
      <c r="N3892" t="str">
        <f>IFERROR(__xludf.DUMMYFUNCTION("""COMPUTED_VALUE"""),"")</f>
        <v/>
      </c>
      <c r="O3892" t="str">
        <f>IFERROR(__xludf.DUMMYFUNCTION("""COMPUTED_VALUE"""),"")</f>
        <v/>
      </c>
      <c r="P3892" t="str">
        <f>IFERROR(__xludf.DUMMYFUNCTION("""COMPUTED_VALUE"""),"ID ")</f>
        <v>ID </v>
      </c>
    </row>
    <row r="3893">
      <c r="A3893" s="6" t="str">
        <f>IFERROR(__xludf.DUMMYFUNCTION("""COMPUTED_VALUE"""),"")</f>
        <v/>
      </c>
      <c r="C3893" t="str">
        <f>IFERROR(__xludf.DUMMYFUNCTION("""COMPUTED_VALUE"""),"")</f>
        <v/>
      </c>
      <c r="D3893" t="str">
        <f>IFERROR(__xludf.DUMMYFUNCTION("""COMPUTED_VALUE"""),"")</f>
        <v/>
      </c>
      <c r="E3893" t="str">
        <f>IFERROR(__xludf.DUMMYFUNCTION("""COMPUTED_VALUE"""),"")</f>
        <v/>
      </c>
      <c r="F3893" t="str">
        <f>IFERROR(__xludf.DUMMYFUNCTION("""COMPUTED_VALUE"""),"")</f>
        <v/>
      </c>
      <c r="G3893" t="str">
        <f>IFERROR(__xludf.DUMMYFUNCTION("""COMPUTED_VALUE"""),"")</f>
        <v/>
      </c>
      <c r="H3893" s="2" t="str">
        <f>IFERROR(__xludf.DUMMYFUNCTION("""COMPUTED_VALUE"""),"")</f>
        <v/>
      </c>
      <c r="I3893" s="2" t="str">
        <f>IFERROR(__xludf.DUMMYFUNCTION("""COMPUTED_VALUE"""),"")</f>
        <v/>
      </c>
      <c r="J3893" s="2">
        <f>IFERROR(__xludf.DUMMYFUNCTION("""COMPUTED_VALUE"""),0.0)</f>
        <v>0</v>
      </c>
      <c r="K3893" s="5" t="str">
        <f>IFERROR(__xludf.DUMMYFUNCTION("""COMPUTED_VALUE"""),"")</f>
        <v/>
      </c>
      <c r="L3893" t="str">
        <f>IFERROR(__xludf.DUMMYFUNCTION("""COMPUTED_VALUE"""),"")</f>
        <v/>
      </c>
      <c r="M3893" t="str">
        <f>IFERROR(__xludf.DUMMYFUNCTION("""COMPUTED_VALUE"""),"")</f>
        <v/>
      </c>
      <c r="N3893" t="str">
        <f>IFERROR(__xludf.DUMMYFUNCTION("""COMPUTED_VALUE"""),"")</f>
        <v/>
      </c>
      <c r="O3893" t="str">
        <f>IFERROR(__xludf.DUMMYFUNCTION("""COMPUTED_VALUE"""),"")</f>
        <v/>
      </c>
      <c r="P3893" t="str">
        <f>IFERROR(__xludf.DUMMYFUNCTION("""COMPUTED_VALUE"""),"ID ")</f>
        <v>ID </v>
      </c>
    </row>
    <row r="3894">
      <c r="A3894" s="6" t="str">
        <f>IFERROR(__xludf.DUMMYFUNCTION("""COMPUTED_VALUE"""),"")</f>
        <v/>
      </c>
      <c r="C3894" t="str">
        <f>IFERROR(__xludf.DUMMYFUNCTION("""COMPUTED_VALUE"""),"")</f>
        <v/>
      </c>
      <c r="D3894" t="str">
        <f>IFERROR(__xludf.DUMMYFUNCTION("""COMPUTED_VALUE"""),"")</f>
        <v/>
      </c>
      <c r="E3894" t="str">
        <f>IFERROR(__xludf.DUMMYFUNCTION("""COMPUTED_VALUE"""),"")</f>
        <v/>
      </c>
      <c r="F3894" t="str">
        <f>IFERROR(__xludf.DUMMYFUNCTION("""COMPUTED_VALUE"""),"")</f>
        <v/>
      </c>
      <c r="G3894" t="str">
        <f>IFERROR(__xludf.DUMMYFUNCTION("""COMPUTED_VALUE"""),"")</f>
        <v/>
      </c>
      <c r="H3894" s="2" t="str">
        <f>IFERROR(__xludf.DUMMYFUNCTION("""COMPUTED_VALUE"""),"")</f>
        <v/>
      </c>
      <c r="I3894" s="2" t="str">
        <f>IFERROR(__xludf.DUMMYFUNCTION("""COMPUTED_VALUE"""),"")</f>
        <v/>
      </c>
      <c r="J3894" s="2">
        <f>IFERROR(__xludf.DUMMYFUNCTION("""COMPUTED_VALUE"""),0.0)</f>
        <v>0</v>
      </c>
      <c r="K3894" s="5" t="str">
        <f>IFERROR(__xludf.DUMMYFUNCTION("""COMPUTED_VALUE"""),"")</f>
        <v/>
      </c>
      <c r="L3894" t="str">
        <f>IFERROR(__xludf.DUMMYFUNCTION("""COMPUTED_VALUE"""),"")</f>
        <v/>
      </c>
      <c r="M3894" t="str">
        <f>IFERROR(__xludf.DUMMYFUNCTION("""COMPUTED_VALUE"""),"")</f>
        <v/>
      </c>
      <c r="N3894" t="str">
        <f>IFERROR(__xludf.DUMMYFUNCTION("""COMPUTED_VALUE"""),"")</f>
        <v/>
      </c>
      <c r="O3894" t="str">
        <f>IFERROR(__xludf.DUMMYFUNCTION("""COMPUTED_VALUE"""),"")</f>
        <v/>
      </c>
      <c r="P3894" t="str">
        <f>IFERROR(__xludf.DUMMYFUNCTION("""COMPUTED_VALUE"""),"ID ")</f>
        <v>ID </v>
      </c>
    </row>
    <row r="3895">
      <c r="A3895" s="6" t="str">
        <f>IFERROR(__xludf.DUMMYFUNCTION("""COMPUTED_VALUE"""),"")</f>
        <v/>
      </c>
      <c r="C3895" t="str">
        <f>IFERROR(__xludf.DUMMYFUNCTION("""COMPUTED_VALUE"""),"")</f>
        <v/>
      </c>
      <c r="D3895" t="str">
        <f>IFERROR(__xludf.DUMMYFUNCTION("""COMPUTED_VALUE"""),"")</f>
        <v/>
      </c>
      <c r="E3895" t="str">
        <f>IFERROR(__xludf.DUMMYFUNCTION("""COMPUTED_VALUE"""),"")</f>
        <v/>
      </c>
      <c r="F3895" t="str">
        <f>IFERROR(__xludf.DUMMYFUNCTION("""COMPUTED_VALUE"""),"")</f>
        <v/>
      </c>
      <c r="G3895" t="str">
        <f>IFERROR(__xludf.DUMMYFUNCTION("""COMPUTED_VALUE"""),"")</f>
        <v/>
      </c>
      <c r="H3895" s="2" t="str">
        <f>IFERROR(__xludf.DUMMYFUNCTION("""COMPUTED_VALUE"""),"")</f>
        <v/>
      </c>
      <c r="I3895" s="2" t="str">
        <f>IFERROR(__xludf.DUMMYFUNCTION("""COMPUTED_VALUE"""),"")</f>
        <v/>
      </c>
      <c r="J3895" s="2">
        <f>IFERROR(__xludf.DUMMYFUNCTION("""COMPUTED_VALUE"""),0.0)</f>
        <v>0</v>
      </c>
      <c r="K3895" s="5" t="str">
        <f>IFERROR(__xludf.DUMMYFUNCTION("""COMPUTED_VALUE"""),"")</f>
        <v/>
      </c>
      <c r="L3895" t="str">
        <f>IFERROR(__xludf.DUMMYFUNCTION("""COMPUTED_VALUE"""),"")</f>
        <v/>
      </c>
      <c r="M3895" t="str">
        <f>IFERROR(__xludf.DUMMYFUNCTION("""COMPUTED_VALUE"""),"")</f>
        <v/>
      </c>
      <c r="N3895" t="str">
        <f>IFERROR(__xludf.DUMMYFUNCTION("""COMPUTED_VALUE"""),"")</f>
        <v/>
      </c>
      <c r="O3895" t="str">
        <f>IFERROR(__xludf.DUMMYFUNCTION("""COMPUTED_VALUE"""),"")</f>
        <v/>
      </c>
      <c r="P3895" t="str">
        <f>IFERROR(__xludf.DUMMYFUNCTION("""COMPUTED_VALUE"""),"ID ")</f>
        <v>ID </v>
      </c>
    </row>
    <row r="3896">
      <c r="A3896" s="6" t="str">
        <f>IFERROR(__xludf.DUMMYFUNCTION("""COMPUTED_VALUE"""),"")</f>
        <v/>
      </c>
      <c r="C3896" t="str">
        <f>IFERROR(__xludf.DUMMYFUNCTION("""COMPUTED_VALUE"""),"")</f>
        <v/>
      </c>
      <c r="D3896" t="str">
        <f>IFERROR(__xludf.DUMMYFUNCTION("""COMPUTED_VALUE"""),"")</f>
        <v/>
      </c>
      <c r="E3896" t="str">
        <f>IFERROR(__xludf.DUMMYFUNCTION("""COMPUTED_VALUE"""),"")</f>
        <v/>
      </c>
      <c r="F3896" t="str">
        <f>IFERROR(__xludf.DUMMYFUNCTION("""COMPUTED_VALUE"""),"")</f>
        <v/>
      </c>
      <c r="G3896" t="str">
        <f>IFERROR(__xludf.DUMMYFUNCTION("""COMPUTED_VALUE"""),"")</f>
        <v/>
      </c>
      <c r="H3896" s="2" t="str">
        <f>IFERROR(__xludf.DUMMYFUNCTION("""COMPUTED_VALUE"""),"")</f>
        <v/>
      </c>
      <c r="I3896" s="2" t="str">
        <f>IFERROR(__xludf.DUMMYFUNCTION("""COMPUTED_VALUE"""),"")</f>
        <v/>
      </c>
      <c r="J3896" s="2">
        <f>IFERROR(__xludf.DUMMYFUNCTION("""COMPUTED_VALUE"""),0.0)</f>
        <v>0</v>
      </c>
      <c r="K3896" s="5" t="str">
        <f>IFERROR(__xludf.DUMMYFUNCTION("""COMPUTED_VALUE"""),"")</f>
        <v/>
      </c>
      <c r="L3896" t="str">
        <f>IFERROR(__xludf.DUMMYFUNCTION("""COMPUTED_VALUE"""),"")</f>
        <v/>
      </c>
      <c r="M3896" t="str">
        <f>IFERROR(__xludf.DUMMYFUNCTION("""COMPUTED_VALUE"""),"")</f>
        <v/>
      </c>
      <c r="N3896" t="str">
        <f>IFERROR(__xludf.DUMMYFUNCTION("""COMPUTED_VALUE"""),"")</f>
        <v/>
      </c>
      <c r="O3896" t="str">
        <f>IFERROR(__xludf.DUMMYFUNCTION("""COMPUTED_VALUE"""),"")</f>
        <v/>
      </c>
      <c r="P3896" t="str">
        <f>IFERROR(__xludf.DUMMYFUNCTION("""COMPUTED_VALUE"""),"ID ")</f>
        <v>ID </v>
      </c>
    </row>
    <row r="3897">
      <c r="A3897" s="6" t="str">
        <f>IFERROR(__xludf.DUMMYFUNCTION("""COMPUTED_VALUE"""),"")</f>
        <v/>
      </c>
      <c r="C3897" t="str">
        <f>IFERROR(__xludf.DUMMYFUNCTION("""COMPUTED_VALUE"""),"")</f>
        <v/>
      </c>
      <c r="D3897" t="str">
        <f>IFERROR(__xludf.DUMMYFUNCTION("""COMPUTED_VALUE"""),"")</f>
        <v/>
      </c>
      <c r="E3897" t="str">
        <f>IFERROR(__xludf.DUMMYFUNCTION("""COMPUTED_VALUE"""),"")</f>
        <v/>
      </c>
      <c r="F3897" t="str">
        <f>IFERROR(__xludf.DUMMYFUNCTION("""COMPUTED_VALUE"""),"")</f>
        <v/>
      </c>
      <c r="G3897" t="str">
        <f>IFERROR(__xludf.DUMMYFUNCTION("""COMPUTED_VALUE"""),"")</f>
        <v/>
      </c>
      <c r="H3897" s="2" t="str">
        <f>IFERROR(__xludf.DUMMYFUNCTION("""COMPUTED_VALUE"""),"")</f>
        <v/>
      </c>
      <c r="I3897" s="2" t="str">
        <f>IFERROR(__xludf.DUMMYFUNCTION("""COMPUTED_VALUE"""),"")</f>
        <v/>
      </c>
      <c r="J3897" s="2">
        <f>IFERROR(__xludf.DUMMYFUNCTION("""COMPUTED_VALUE"""),0.0)</f>
        <v>0</v>
      </c>
      <c r="K3897" s="5" t="str">
        <f>IFERROR(__xludf.DUMMYFUNCTION("""COMPUTED_VALUE"""),"")</f>
        <v/>
      </c>
      <c r="L3897" t="str">
        <f>IFERROR(__xludf.DUMMYFUNCTION("""COMPUTED_VALUE"""),"")</f>
        <v/>
      </c>
      <c r="M3897" t="str">
        <f>IFERROR(__xludf.DUMMYFUNCTION("""COMPUTED_VALUE"""),"")</f>
        <v/>
      </c>
      <c r="N3897" t="str">
        <f>IFERROR(__xludf.DUMMYFUNCTION("""COMPUTED_VALUE"""),"")</f>
        <v/>
      </c>
      <c r="O3897" t="str">
        <f>IFERROR(__xludf.DUMMYFUNCTION("""COMPUTED_VALUE"""),"")</f>
        <v/>
      </c>
      <c r="P3897" t="str">
        <f>IFERROR(__xludf.DUMMYFUNCTION("""COMPUTED_VALUE"""),"ID ")</f>
        <v>ID </v>
      </c>
    </row>
    <row r="3898">
      <c r="A3898" s="6" t="str">
        <f>IFERROR(__xludf.DUMMYFUNCTION("""COMPUTED_VALUE"""),"")</f>
        <v/>
      </c>
      <c r="C3898" t="str">
        <f>IFERROR(__xludf.DUMMYFUNCTION("""COMPUTED_VALUE"""),"")</f>
        <v/>
      </c>
      <c r="D3898" t="str">
        <f>IFERROR(__xludf.DUMMYFUNCTION("""COMPUTED_VALUE"""),"")</f>
        <v/>
      </c>
      <c r="E3898" t="str">
        <f>IFERROR(__xludf.DUMMYFUNCTION("""COMPUTED_VALUE"""),"")</f>
        <v/>
      </c>
      <c r="F3898" t="str">
        <f>IFERROR(__xludf.DUMMYFUNCTION("""COMPUTED_VALUE"""),"")</f>
        <v/>
      </c>
      <c r="G3898" t="str">
        <f>IFERROR(__xludf.DUMMYFUNCTION("""COMPUTED_VALUE"""),"")</f>
        <v/>
      </c>
      <c r="H3898" s="2" t="str">
        <f>IFERROR(__xludf.DUMMYFUNCTION("""COMPUTED_VALUE"""),"")</f>
        <v/>
      </c>
      <c r="I3898" s="2" t="str">
        <f>IFERROR(__xludf.DUMMYFUNCTION("""COMPUTED_VALUE"""),"")</f>
        <v/>
      </c>
      <c r="J3898" s="2">
        <f>IFERROR(__xludf.DUMMYFUNCTION("""COMPUTED_VALUE"""),0.0)</f>
        <v>0</v>
      </c>
      <c r="K3898" s="5" t="str">
        <f>IFERROR(__xludf.DUMMYFUNCTION("""COMPUTED_VALUE"""),"")</f>
        <v/>
      </c>
      <c r="L3898" t="str">
        <f>IFERROR(__xludf.DUMMYFUNCTION("""COMPUTED_VALUE"""),"")</f>
        <v/>
      </c>
      <c r="M3898" t="str">
        <f>IFERROR(__xludf.DUMMYFUNCTION("""COMPUTED_VALUE"""),"")</f>
        <v/>
      </c>
      <c r="N3898" t="str">
        <f>IFERROR(__xludf.DUMMYFUNCTION("""COMPUTED_VALUE"""),"")</f>
        <v/>
      </c>
      <c r="O3898" t="str">
        <f>IFERROR(__xludf.DUMMYFUNCTION("""COMPUTED_VALUE"""),"")</f>
        <v/>
      </c>
      <c r="P3898" t="str">
        <f>IFERROR(__xludf.DUMMYFUNCTION("""COMPUTED_VALUE"""),"ID ")</f>
        <v>ID </v>
      </c>
    </row>
    <row r="3899">
      <c r="A3899" s="6" t="str">
        <f>IFERROR(__xludf.DUMMYFUNCTION("""COMPUTED_VALUE"""),"")</f>
        <v/>
      </c>
      <c r="C3899" t="str">
        <f>IFERROR(__xludf.DUMMYFUNCTION("""COMPUTED_VALUE"""),"")</f>
        <v/>
      </c>
      <c r="D3899" t="str">
        <f>IFERROR(__xludf.DUMMYFUNCTION("""COMPUTED_VALUE"""),"")</f>
        <v/>
      </c>
      <c r="E3899" t="str">
        <f>IFERROR(__xludf.DUMMYFUNCTION("""COMPUTED_VALUE"""),"")</f>
        <v/>
      </c>
      <c r="F3899" t="str">
        <f>IFERROR(__xludf.DUMMYFUNCTION("""COMPUTED_VALUE"""),"")</f>
        <v/>
      </c>
      <c r="G3899" t="str">
        <f>IFERROR(__xludf.DUMMYFUNCTION("""COMPUTED_VALUE"""),"")</f>
        <v/>
      </c>
      <c r="H3899" s="2" t="str">
        <f>IFERROR(__xludf.DUMMYFUNCTION("""COMPUTED_VALUE"""),"")</f>
        <v/>
      </c>
      <c r="I3899" s="2" t="str">
        <f>IFERROR(__xludf.DUMMYFUNCTION("""COMPUTED_VALUE"""),"")</f>
        <v/>
      </c>
      <c r="J3899" s="2">
        <f>IFERROR(__xludf.DUMMYFUNCTION("""COMPUTED_VALUE"""),0.0)</f>
        <v>0</v>
      </c>
      <c r="K3899" s="5" t="str">
        <f>IFERROR(__xludf.DUMMYFUNCTION("""COMPUTED_VALUE"""),"")</f>
        <v/>
      </c>
      <c r="L3899" t="str">
        <f>IFERROR(__xludf.DUMMYFUNCTION("""COMPUTED_VALUE"""),"")</f>
        <v/>
      </c>
      <c r="M3899" t="str">
        <f>IFERROR(__xludf.DUMMYFUNCTION("""COMPUTED_VALUE"""),"")</f>
        <v/>
      </c>
      <c r="N3899" t="str">
        <f>IFERROR(__xludf.DUMMYFUNCTION("""COMPUTED_VALUE"""),"")</f>
        <v/>
      </c>
      <c r="O3899" t="str">
        <f>IFERROR(__xludf.DUMMYFUNCTION("""COMPUTED_VALUE"""),"")</f>
        <v/>
      </c>
      <c r="P3899" t="str">
        <f>IFERROR(__xludf.DUMMYFUNCTION("""COMPUTED_VALUE"""),"ID ")</f>
        <v>ID </v>
      </c>
    </row>
    <row r="3900">
      <c r="A3900" s="6" t="str">
        <f>IFERROR(__xludf.DUMMYFUNCTION("""COMPUTED_VALUE"""),"")</f>
        <v/>
      </c>
      <c r="C3900" t="str">
        <f>IFERROR(__xludf.DUMMYFUNCTION("""COMPUTED_VALUE"""),"")</f>
        <v/>
      </c>
      <c r="D3900" t="str">
        <f>IFERROR(__xludf.DUMMYFUNCTION("""COMPUTED_VALUE"""),"")</f>
        <v/>
      </c>
      <c r="E3900" t="str">
        <f>IFERROR(__xludf.DUMMYFUNCTION("""COMPUTED_VALUE"""),"")</f>
        <v/>
      </c>
      <c r="F3900" t="str">
        <f>IFERROR(__xludf.DUMMYFUNCTION("""COMPUTED_VALUE"""),"")</f>
        <v/>
      </c>
      <c r="G3900" t="str">
        <f>IFERROR(__xludf.DUMMYFUNCTION("""COMPUTED_VALUE"""),"")</f>
        <v/>
      </c>
      <c r="H3900" s="2" t="str">
        <f>IFERROR(__xludf.DUMMYFUNCTION("""COMPUTED_VALUE"""),"")</f>
        <v/>
      </c>
      <c r="I3900" s="2" t="str">
        <f>IFERROR(__xludf.DUMMYFUNCTION("""COMPUTED_VALUE"""),"")</f>
        <v/>
      </c>
      <c r="J3900" s="2">
        <f>IFERROR(__xludf.DUMMYFUNCTION("""COMPUTED_VALUE"""),0.0)</f>
        <v>0</v>
      </c>
      <c r="K3900" s="5" t="str">
        <f>IFERROR(__xludf.DUMMYFUNCTION("""COMPUTED_VALUE"""),"")</f>
        <v/>
      </c>
      <c r="L3900" t="str">
        <f>IFERROR(__xludf.DUMMYFUNCTION("""COMPUTED_VALUE"""),"")</f>
        <v/>
      </c>
      <c r="M3900" t="str">
        <f>IFERROR(__xludf.DUMMYFUNCTION("""COMPUTED_VALUE"""),"")</f>
        <v/>
      </c>
      <c r="N3900" t="str">
        <f>IFERROR(__xludf.DUMMYFUNCTION("""COMPUTED_VALUE"""),"")</f>
        <v/>
      </c>
      <c r="O3900" t="str">
        <f>IFERROR(__xludf.DUMMYFUNCTION("""COMPUTED_VALUE"""),"")</f>
        <v/>
      </c>
      <c r="P3900" t="str">
        <f>IFERROR(__xludf.DUMMYFUNCTION("""COMPUTED_VALUE"""),"ID ")</f>
        <v>ID </v>
      </c>
    </row>
    <row r="3901">
      <c r="A3901" s="6" t="str">
        <f>IFERROR(__xludf.DUMMYFUNCTION("""COMPUTED_VALUE"""),"")</f>
        <v/>
      </c>
      <c r="C3901" t="str">
        <f>IFERROR(__xludf.DUMMYFUNCTION("""COMPUTED_VALUE"""),"")</f>
        <v/>
      </c>
      <c r="D3901" t="str">
        <f>IFERROR(__xludf.DUMMYFUNCTION("""COMPUTED_VALUE"""),"")</f>
        <v/>
      </c>
      <c r="E3901" t="str">
        <f>IFERROR(__xludf.DUMMYFUNCTION("""COMPUTED_VALUE"""),"")</f>
        <v/>
      </c>
      <c r="F3901" t="str">
        <f>IFERROR(__xludf.DUMMYFUNCTION("""COMPUTED_VALUE"""),"")</f>
        <v/>
      </c>
      <c r="G3901" t="str">
        <f>IFERROR(__xludf.DUMMYFUNCTION("""COMPUTED_VALUE"""),"")</f>
        <v/>
      </c>
      <c r="H3901" s="2" t="str">
        <f>IFERROR(__xludf.DUMMYFUNCTION("""COMPUTED_VALUE"""),"")</f>
        <v/>
      </c>
      <c r="I3901" s="2" t="str">
        <f>IFERROR(__xludf.DUMMYFUNCTION("""COMPUTED_VALUE"""),"")</f>
        <v/>
      </c>
      <c r="J3901" s="2">
        <f>IFERROR(__xludf.DUMMYFUNCTION("""COMPUTED_VALUE"""),0.0)</f>
        <v>0</v>
      </c>
      <c r="K3901" s="5" t="str">
        <f>IFERROR(__xludf.DUMMYFUNCTION("""COMPUTED_VALUE"""),"")</f>
        <v/>
      </c>
      <c r="L3901" t="str">
        <f>IFERROR(__xludf.DUMMYFUNCTION("""COMPUTED_VALUE"""),"")</f>
        <v/>
      </c>
      <c r="M3901" t="str">
        <f>IFERROR(__xludf.DUMMYFUNCTION("""COMPUTED_VALUE"""),"")</f>
        <v/>
      </c>
      <c r="N3901" t="str">
        <f>IFERROR(__xludf.DUMMYFUNCTION("""COMPUTED_VALUE"""),"")</f>
        <v/>
      </c>
      <c r="O3901" t="str">
        <f>IFERROR(__xludf.DUMMYFUNCTION("""COMPUTED_VALUE"""),"")</f>
        <v/>
      </c>
      <c r="P3901" t="str">
        <f>IFERROR(__xludf.DUMMYFUNCTION("""COMPUTED_VALUE"""),"ID ")</f>
        <v>ID </v>
      </c>
    </row>
    <row r="3902">
      <c r="A3902" s="6" t="str">
        <f>IFERROR(__xludf.DUMMYFUNCTION("""COMPUTED_VALUE"""),"")</f>
        <v/>
      </c>
      <c r="C3902" t="str">
        <f>IFERROR(__xludf.DUMMYFUNCTION("""COMPUTED_VALUE"""),"")</f>
        <v/>
      </c>
      <c r="D3902" t="str">
        <f>IFERROR(__xludf.DUMMYFUNCTION("""COMPUTED_VALUE"""),"")</f>
        <v/>
      </c>
      <c r="E3902" t="str">
        <f>IFERROR(__xludf.DUMMYFUNCTION("""COMPUTED_VALUE"""),"")</f>
        <v/>
      </c>
      <c r="F3902" t="str">
        <f>IFERROR(__xludf.DUMMYFUNCTION("""COMPUTED_VALUE"""),"")</f>
        <v/>
      </c>
      <c r="G3902" t="str">
        <f>IFERROR(__xludf.DUMMYFUNCTION("""COMPUTED_VALUE"""),"")</f>
        <v/>
      </c>
      <c r="H3902" s="2" t="str">
        <f>IFERROR(__xludf.DUMMYFUNCTION("""COMPUTED_VALUE"""),"")</f>
        <v/>
      </c>
      <c r="I3902" s="2" t="str">
        <f>IFERROR(__xludf.DUMMYFUNCTION("""COMPUTED_VALUE"""),"")</f>
        <v/>
      </c>
      <c r="J3902" s="2">
        <f>IFERROR(__xludf.DUMMYFUNCTION("""COMPUTED_VALUE"""),0.0)</f>
        <v>0</v>
      </c>
      <c r="K3902" s="5" t="str">
        <f>IFERROR(__xludf.DUMMYFUNCTION("""COMPUTED_VALUE"""),"")</f>
        <v/>
      </c>
      <c r="L3902" t="str">
        <f>IFERROR(__xludf.DUMMYFUNCTION("""COMPUTED_VALUE"""),"")</f>
        <v/>
      </c>
      <c r="M3902" t="str">
        <f>IFERROR(__xludf.DUMMYFUNCTION("""COMPUTED_VALUE"""),"")</f>
        <v/>
      </c>
      <c r="N3902" t="str">
        <f>IFERROR(__xludf.DUMMYFUNCTION("""COMPUTED_VALUE"""),"")</f>
        <v/>
      </c>
      <c r="O3902" t="str">
        <f>IFERROR(__xludf.DUMMYFUNCTION("""COMPUTED_VALUE"""),"")</f>
        <v/>
      </c>
      <c r="P3902" t="str">
        <f>IFERROR(__xludf.DUMMYFUNCTION("""COMPUTED_VALUE"""),"ID ")</f>
        <v>ID </v>
      </c>
    </row>
    <row r="3903">
      <c r="A3903" s="6" t="str">
        <f>IFERROR(__xludf.DUMMYFUNCTION("""COMPUTED_VALUE"""),"")</f>
        <v/>
      </c>
      <c r="C3903" t="str">
        <f>IFERROR(__xludf.DUMMYFUNCTION("""COMPUTED_VALUE"""),"")</f>
        <v/>
      </c>
      <c r="D3903" t="str">
        <f>IFERROR(__xludf.DUMMYFUNCTION("""COMPUTED_VALUE"""),"")</f>
        <v/>
      </c>
      <c r="E3903" t="str">
        <f>IFERROR(__xludf.DUMMYFUNCTION("""COMPUTED_VALUE"""),"")</f>
        <v/>
      </c>
      <c r="F3903" t="str">
        <f>IFERROR(__xludf.DUMMYFUNCTION("""COMPUTED_VALUE"""),"")</f>
        <v/>
      </c>
      <c r="G3903" t="str">
        <f>IFERROR(__xludf.DUMMYFUNCTION("""COMPUTED_VALUE"""),"")</f>
        <v/>
      </c>
      <c r="H3903" s="2" t="str">
        <f>IFERROR(__xludf.DUMMYFUNCTION("""COMPUTED_VALUE"""),"")</f>
        <v/>
      </c>
      <c r="I3903" s="2" t="str">
        <f>IFERROR(__xludf.DUMMYFUNCTION("""COMPUTED_VALUE"""),"")</f>
        <v/>
      </c>
      <c r="J3903" s="2">
        <f>IFERROR(__xludf.DUMMYFUNCTION("""COMPUTED_VALUE"""),0.0)</f>
        <v>0</v>
      </c>
      <c r="K3903" s="5" t="str">
        <f>IFERROR(__xludf.DUMMYFUNCTION("""COMPUTED_VALUE"""),"")</f>
        <v/>
      </c>
      <c r="L3903" t="str">
        <f>IFERROR(__xludf.DUMMYFUNCTION("""COMPUTED_VALUE"""),"")</f>
        <v/>
      </c>
      <c r="M3903" t="str">
        <f>IFERROR(__xludf.DUMMYFUNCTION("""COMPUTED_VALUE"""),"")</f>
        <v/>
      </c>
      <c r="N3903" t="str">
        <f>IFERROR(__xludf.DUMMYFUNCTION("""COMPUTED_VALUE"""),"")</f>
        <v/>
      </c>
      <c r="O3903" t="str">
        <f>IFERROR(__xludf.DUMMYFUNCTION("""COMPUTED_VALUE"""),"")</f>
        <v/>
      </c>
      <c r="P3903" t="str">
        <f>IFERROR(__xludf.DUMMYFUNCTION("""COMPUTED_VALUE"""),"ID ")</f>
        <v>ID </v>
      </c>
    </row>
    <row r="3904">
      <c r="A3904" s="6" t="str">
        <f>IFERROR(__xludf.DUMMYFUNCTION("""COMPUTED_VALUE"""),"")</f>
        <v/>
      </c>
      <c r="C3904" t="str">
        <f>IFERROR(__xludf.DUMMYFUNCTION("""COMPUTED_VALUE"""),"")</f>
        <v/>
      </c>
      <c r="D3904" t="str">
        <f>IFERROR(__xludf.DUMMYFUNCTION("""COMPUTED_VALUE"""),"")</f>
        <v/>
      </c>
      <c r="E3904" t="str">
        <f>IFERROR(__xludf.DUMMYFUNCTION("""COMPUTED_VALUE"""),"")</f>
        <v/>
      </c>
      <c r="F3904" t="str">
        <f>IFERROR(__xludf.DUMMYFUNCTION("""COMPUTED_VALUE"""),"")</f>
        <v/>
      </c>
      <c r="G3904" t="str">
        <f>IFERROR(__xludf.DUMMYFUNCTION("""COMPUTED_VALUE"""),"")</f>
        <v/>
      </c>
      <c r="H3904" s="2" t="str">
        <f>IFERROR(__xludf.DUMMYFUNCTION("""COMPUTED_VALUE"""),"")</f>
        <v/>
      </c>
      <c r="I3904" s="2" t="str">
        <f>IFERROR(__xludf.DUMMYFUNCTION("""COMPUTED_VALUE"""),"")</f>
        <v/>
      </c>
      <c r="J3904" s="2">
        <f>IFERROR(__xludf.DUMMYFUNCTION("""COMPUTED_VALUE"""),0.0)</f>
        <v>0</v>
      </c>
      <c r="K3904" s="5" t="str">
        <f>IFERROR(__xludf.DUMMYFUNCTION("""COMPUTED_VALUE"""),"")</f>
        <v/>
      </c>
      <c r="L3904" t="str">
        <f>IFERROR(__xludf.DUMMYFUNCTION("""COMPUTED_VALUE"""),"")</f>
        <v/>
      </c>
      <c r="M3904" t="str">
        <f>IFERROR(__xludf.DUMMYFUNCTION("""COMPUTED_VALUE"""),"")</f>
        <v/>
      </c>
      <c r="N3904" t="str">
        <f>IFERROR(__xludf.DUMMYFUNCTION("""COMPUTED_VALUE"""),"")</f>
        <v/>
      </c>
      <c r="O3904" t="str">
        <f>IFERROR(__xludf.DUMMYFUNCTION("""COMPUTED_VALUE"""),"")</f>
        <v/>
      </c>
      <c r="P3904" t="str">
        <f>IFERROR(__xludf.DUMMYFUNCTION("""COMPUTED_VALUE"""),"ID ")</f>
        <v>ID </v>
      </c>
    </row>
    <row r="3905">
      <c r="A3905" s="6" t="str">
        <f>IFERROR(__xludf.DUMMYFUNCTION("""COMPUTED_VALUE"""),"")</f>
        <v/>
      </c>
      <c r="C3905" t="str">
        <f>IFERROR(__xludf.DUMMYFUNCTION("""COMPUTED_VALUE"""),"")</f>
        <v/>
      </c>
      <c r="D3905" t="str">
        <f>IFERROR(__xludf.DUMMYFUNCTION("""COMPUTED_VALUE"""),"")</f>
        <v/>
      </c>
      <c r="E3905" t="str">
        <f>IFERROR(__xludf.DUMMYFUNCTION("""COMPUTED_VALUE"""),"")</f>
        <v/>
      </c>
      <c r="F3905" t="str">
        <f>IFERROR(__xludf.DUMMYFUNCTION("""COMPUTED_VALUE"""),"")</f>
        <v/>
      </c>
      <c r="G3905" t="str">
        <f>IFERROR(__xludf.DUMMYFUNCTION("""COMPUTED_VALUE"""),"")</f>
        <v/>
      </c>
      <c r="H3905" s="2" t="str">
        <f>IFERROR(__xludf.DUMMYFUNCTION("""COMPUTED_VALUE"""),"")</f>
        <v/>
      </c>
      <c r="I3905" s="2" t="str">
        <f>IFERROR(__xludf.DUMMYFUNCTION("""COMPUTED_VALUE"""),"")</f>
        <v/>
      </c>
      <c r="J3905" s="2">
        <f>IFERROR(__xludf.DUMMYFUNCTION("""COMPUTED_VALUE"""),0.0)</f>
        <v>0</v>
      </c>
      <c r="K3905" s="5" t="str">
        <f>IFERROR(__xludf.DUMMYFUNCTION("""COMPUTED_VALUE"""),"")</f>
        <v/>
      </c>
      <c r="L3905" t="str">
        <f>IFERROR(__xludf.DUMMYFUNCTION("""COMPUTED_VALUE"""),"")</f>
        <v/>
      </c>
      <c r="M3905" t="str">
        <f>IFERROR(__xludf.DUMMYFUNCTION("""COMPUTED_VALUE"""),"")</f>
        <v/>
      </c>
      <c r="N3905" t="str">
        <f>IFERROR(__xludf.DUMMYFUNCTION("""COMPUTED_VALUE"""),"")</f>
        <v/>
      </c>
      <c r="O3905" t="str">
        <f>IFERROR(__xludf.DUMMYFUNCTION("""COMPUTED_VALUE"""),"")</f>
        <v/>
      </c>
      <c r="P3905" t="str">
        <f>IFERROR(__xludf.DUMMYFUNCTION("""COMPUTED_VALUE"""),"ID ")</f>
        <v>ID </v>
      </c>
    </row>
    <row r="3906">
      <c r="A3906" s="6" t="str">
        <f>IFERROR(__xludf.DUMMYFUNCTION("""COMPUTED_VALUE"""),"")</f>
        <v/>
      </c>
      <c r="C3906" t="str">
        <f>IFERROR(__xludf.DUMMYFUNCTION("""COMPUTED_VALUE"""),"")</f>
        <v/>
      </c>
      <c r="D3906" t="str">
        <f>IFERROR(__xludf.DUMMYFUNCTION("""COMPUTED_VALUE"""),"")</f>
        <v/>
      </c>
      <c r="E3906" t="str">
        <f>IFERROR(__xludf.DUMMYFUNCTION("""COMPUTED_VALUE"""),"")</f>
        <v/>
      </c>
      <c r="F3906" t="str">
        <f>IFERROR(__xludf.DUMMYFUNCTION("""COMPUTED_VALUE"""),"")</f>
        <v/>
      </c>
      <c r="G3906" t="str">
        <f>IFERROR(__xludf.DUMMYFUNCTION("""COMPUTED_VALUE"""),"")</f>
        <v/>
      </c>
      <c r="H3906" s="2" t="str">
        <f>IFERROR(__xludf.DUMMYFUNCTION("""COMPUTED_VALUE"""),"")</f>
        <v/>
      </c>
      <c r="I3906" s="2" t="str">
        <f>IFERROR(__xludf.DUMMYFUNCTION("""COMPUTED_VALUE"""),"")</f>
        <v/>
      </c>
      <c r="J3906" s="2">
        <f>IFERROR(__xludf.DUMMYFUNCTION("""COMPUTED_VALUE"""),0.0)</f>
        <v>0</v>
      </c>
      <c r="K3906" s="5" t="str">
        <f>IFERROR(__xludf.DUMMYFUNCTION("""COMPUTED_VALUE"""),"")</f>
        <v/>
      </c>
      <c r="L3906" t="str">
        <f>IFERROR(__xludf.DUMMYFUNCTION("""COMPUTED_VALUE"""),"")</f>
        <v/>
      </c>
      <c r="M3906" t="str">
        <f>IFERROR(__xludf.DUMMYFUNCTION("""COMPUTED_VALUE"""),"")</f>
        <v/>
      </c>
      <c r="N3906" t="str">
        <f>IFERROR(__xludf.DUMMYFUNCTION("""COMPUTED_VALUE"""),"")</f>
        <v/>
      </c>
      <c r="O3906" t="str">
        <f>IFERROR(__xludf.DUMMYFUNCTION("""COMPUTED_VALUE"""),"")</f>
        <v/>
      </c>
      <c r="P3906" t="str">
        <f>IFERROR(__xludf.DUMMYFUNCTION("""COMPUTED_VALUE"""),"ID ")</f>
        <v>ID </v>
      </c>
    </row>
    <row r="3907">
      <c r="A3907" s="6" t="str">
        <f>IFERROR(__xludf.DUMMYFUNCTION("""COMPUTED_VALUE"""),"")</f>
        <v/>
      </c>
      <c r="C3907" t="str">
        <f>IFERROR(__xludf.DUMMYFUNCTION("""COMPUTED_VALUE"""),"")</f>
        <v/>
      </c>
      <c r="D3907" t="str">
        <f>IFERROR(__xludf.DUMMYFUNCTION("""COMPUTED_VALUE"""),"")</f>
        <v/>
      </c>
      <c r="E3907" t="str">
        <f>IFERROR(__xludf.DUMMYFUNCTION("""COMPUTED_VALUE"""),"")</f>
        <v/>
      </c>
      <c r="F3907" t="str">
        <f>IFERROR(__xludf.DUMMYFUNCTION("""COMPUTED_VALUE"""),"")</f>
        <v/>
      </c>
      <c r="G3907" t="str">
        <f>IFERROR(__xludf.DUMMYFUNCTION("""COMPUTED_VALUE"""),"")</f>
        <v/>
      </c>
      <c r="H3907" s="2" t="str">
        <f>IFERROR(__xludf.DUMMYFUNCTION("""COMPUTED_VALUE"""),"")</f>
        <v/>
      </c>
      <c r="I3907" s="2" t="str">
        <f>IFERROR(__xludf.DUMMYFUNCTION("""COMPUTED_VALUE"""),"")</f>
        <v/>
      </c>
      <c r="J3907" s="2">
        <f>IFERROR(__xludf.DUMMYFUNCTION("""COMPUTED_VALUE"""),0.0)</f>
        <v>0</v>
      </c>
      <c r="K3907" s="5" t="str">
        <f>IFERROR(__xludf.DUMMYFUNCTION("""COMPUTED_VALUE"""),"")</f>
        <v/>
      </c>
      <c r="L3907" t="str">
        <f>IFERROR(__xludf.DUMMYFUNCTION("""COMPUTED_VALUE"""),"")</f>
        <v/>
      </c>
      <c r="M3907" t="str">
        <f>IFERROR(__xludf.DUMMYFUNCTION("""COMPUTED_VALUE"""),"")</f>
        <v/>
      </c>
      <c r="N3907" t="str">
        <f>IFERROR(__xludf.DUMMYFUNCTION("""COMPUTED_VALUE"""),"")</f>
        <v/>
      </c>
      <c r="O3907" t="str">
        <f>IFERROR(__xludf.DUMMYFUNCTION("""COMPUTED_VALUE"""),"")</f>
        <v/>
      </c>
      <c r="P3907" t="str">
        <f>IFERROR(__xludf.DUMMYFUNCTION("""COMPUTED_VALUE"""),"ID ")</f>
        <v>ID </v>
      </c>
    </row>
    <row r="3908">
      <c r="A3908" s="6" t="str">
        <f>IFERROR(__xludf.DUMMYFUNCTION("""COMPUTED_VALUE"""),"")</f>
        <v/>
      </c>
      <c r="C3908" t="str">
        <f>IFERROR(__xludf.DUMMYFUNCTION("""COMPUTED_VALUE"""),"")</f>
        <v/>
      </c>
      <c r="D3908" t="str">
        <f>IFERROR(__xludf.DUMMYFUNCTION("""COMPUTED_VALUE"""),"")</f>
        <v/>
      </c>
      <c r="E3908" t="str">
        <f>IFERROR(__xludf.DUMMYFUNCTION("""COMPUTED_VALUE"""),"")</f>
        <v/>
      </c>
      <c r="F3908" t="str">
        <f>IFERROR(__xludf.DUMMYFUNCTION("""COMPUTED_VALUE"""),"")</f>
        <v/>
      </c>
      <c r="G3908" t="str">
        <f>IFERROR(__xludf.DUMMYFUNCTION("""COMPUTED_VALUE"""),"")</f>
        <v/>
      </c>
      <c r="H3908" s="2" t="str">
        <f>IFERROR(__xludf.DUMMYFUNCTION("""COMPUTED_VALUE"""),"")</f>
        <v/>
      </c>
      <c r="I3908" s="2" t="str">
        <f>IFERROR(__xludf.DUMMYFUNCTION("""COMPUTED_VALUE"""),"")</f>
        <v/>
      </c>
      <c r="J3908" s="2">
        <f>IFERROR(__xludf.DUMMYFUNCTION("""COMPUTED_VALUE"""),0.0)</f>
        <v>0</v>
      </c>
      <c r="K3908" s="5" t="str">
        <f>IFERROR(__xludf.DUMMYFUNCTION("""COMPUTED_VALUE"""),"")</f>
        <v/>
      </c>
      <c r="L3908" t="str">
        <f>IFERROR(__xludf.DUMMYFUNCTION("""COMPUTED_VALUE"""),"")</f>
        <v/>
      </c>
      <c r="M3908" t="str">
        <f>IFERROR(__xludf.DUMMYFUNCTION("""COMPUTED_VALUE"""),"")</f>
        <v/>
      </c>
      <c r="N3908" t="str">
        <f>IFERROR(__xludf.DUMMYFUNCTION("""COMPUTED_VALUE"""),"")</f>
        <v/>
      </c>
      <c r="O3908" t="str">
        <f>IFERROR(__xludf.DUMMYFUNCTION("""COMPUTED_VALUE"""),"")</f>
        <v/>
      </c>
      <c r="P3908" t="str">
        <f>IFERROR(__xludf.DUMMYFUNCTION("""COMPUTED_VALUE"""),"ID ")</f>
        <v>ID </v>
      </c>
    </row>
    <row r="3909">
      <c r="A3909" s="6" t="str">
        <f>IFERROR(__xludf.DUMMYFUNCTION("""COMPUTED_VALUE"""),"")</f>
        <v/>
      </c>
      <c r="C3909" t="str">
        <f>IFERROR(__xludf.DUMMYFUNCTION("""COMPUTED_VALUE"""),"")</f>
        <v/>
      </c>
      <c r="D3909" t="str">
        <f>IFERROR(__xludf.DUMMYFUNCTION("""COMPUTED_VALUE"""),"")</f>
        <v/>
      </c>
      <c r="E3909" t="str">
        <f>IFERROR(__xludf.DUMMYFUNCTION("""COMPUTED_VALUE"""),"")</f>
        <v/>
      </c>
      <c r="F3909" t="str">
        <f>IFERROR(__xludf.DUMMYFUNCTION("""COMPUTED_VALUE"""),"")</f>
        <v/>
      </c>
      <c r="G3909" t="str">
        <f>IFERROR(__xludf.DUMMYFUNCTION("""COMPUTED_VALUE"""),"")</f>
        <v/>
      </c>
      <c r="H3909" s="2" t="str">
        <f>IFERROR(__xludf.DUMMYFUNCTION("""COMPUTED_VALUE"""),"")</f>
        <v/>
      </c>
      <c r="I3909" s="2" t="str">
        <f>IFERROR(__xludf.DUMMYFUNCTION("""COMPUTED_VALUE"""),"")</f>
        <v/>
      </c>
      <c r="J3909" s="2">
        <f>IFERROR(__xludf.DUMMYFUNCTION("""COMPUTED_VALUE"""),0.0)</f>
        <v>0</v>
      </c>
      <c r="K3909" s="5" t="str">
        <f>IFERROR(__xludf.DUMMYFUNCTION("""COMPUTED_VALUE"""),"")</f>
        <v/>
      </c>
      <c r="L3909" t="str">
        <f>IFERROR(__xludf.DUMMYFUNCTION("""COMPUTED_VALUE"""),"")</f>
        <v/>
      </c>
      <c r="M3909" t="str">
        <f>IFERROR(__xludf.DUMMYFUNCTION("""COMPUTED_VALUE"""),"")</f>
        <v/>
      </c>
      <c r="N3909" t="str">
        <f>IFERROR(__xludf.DUMMYFUNCTION("""COMPUTED_VALUE"""),"")</f>
        <v/>
      </c>
      <c r="O3909" t="str">
        <f>IFERROR(__xludf.DUMMYFUNCTION("""COMPUTED_VALUE"""),"")</f>
        <v/>
      </c>
      <c r="P3909" t="str">
        <f>IFERROR(__xludf.DUMMYFUNCTION("""COMPUTED_VALUE"""),"ID ")</f>
        <v>ID </v>
      </c>
    </row>
    <row r="3910">
      <c r="A3910" s="6" t="str">
        <f>IFERROR(__xludf.DUMMYFUNCTION("""COMPUTED_VALUE"""),"")</f>
        <v/>
      </c>
      <c r="C3910" t="str">
        <f>IFERROR(__xludf.DUMMYFUNCTION("""COMPUTED_VALUE"""),"")</f>
        <v/>
      </c>
      <c r="D3910" t="str">
        <f>IFERROR(__xludf.DUMMYFUNCTION("""COMPUTED_VALUE"""),"")</f>
        <v/>
      </c>
      <c r="E3910" t="str">
        <f>IFERROR(__xludf.DUMMYFUNCTION("""COMPUTED_VALUE"""),"")</f>
        <v/>
      </c>
      <c r="F3910" t="str">
        <f>IFERROR(__xludf.DUMMYFUNCTION("""COMPUTED_VALUE"""),"")</f>
        <v/>
      </c>
      <c r="G3910" t="str">
        <f>IFERROR(__xludf.DUMMYFUNCTION("""COMPUTED_VALUE"""),"")</f>
        <v/>
      </c>
      <c r="H3910" s="2" t="str">
        <f>IFERROR(__xludf.DUMMYFUNCTION("""COMPUTED_VALUE"""),"")</f>
        <v/>
      </c>
      <c r="I3910" s="2" t="str">
        <f>IFERROR(__xludf.DUMMYFUNCTION("""COMPUTED_VALUE"""),"")</f>
        <v/>
      </c>
      <c r="J3910" s="2">
        <f>IFERROR(__xludf.DUMMYFUNCTION("""COMPUTED_VALUE"""),0.0)</f>
        <v>0</v>
      </c>
      <c r="K3910" s="5" t="str">
        <f>IFERROR(__xludf.DUMMYFUNCTION("""COMPUTED_VALUE"""),"")</f>
        <v/>
      </c>
      <c r="L3910" t="str">
        <f>IFERROR(__xludf.DUMMYFUNCTION("""COMPUTED_VALUE"""),"")</f>
        <v/>
      </c>
      <c r="M3910" t="str">
        <f>IFERROR(__xludf.DUMMYFUNCTION("""COMPUTED_VALUE"""),"")</f>
        <v/>
      </c>
      <c r="N3910" t="str">
        <f>IFERROR(__xludf.DUMMYFUNCTION("""COMPUTED_VALUE"""),"")</f>
        <v/>
      </c>
      <c r="O3910" t="str">
        <f>IFERROR(__xludf.DUMMYFUNCTION("""COMPUTED_VALUE"""),"")</f>
        <v/>
      </c>
      <c r="P3910" t="str">
        <f>IFERROR(__xludf.DUMMYFUNCTION("""COMPUTED_VALUE"""),"ID ")</f>
        <v>ID </v>
      </c>
    </row>
    <row r="3911">
      <c r="A3911" s="6" t="str">
        <f>IFERROR(__xludf.DUMMYFUNCTION("""COMPUTED_VALUE"""),"")</f>
        <v/>
      </c>
      <c r="C3911" t="str">
        <f>IFERROR(__xludf.DUMMYFUNCTION("""COMPUTED_VALUE"""),"")</f>
        <v/>
      </c>
      <c r="D3911" t="str">
        <f>IFERROR(__xludf.DUMMYFUNCTION("""COMPUTED_VALUE"""),"")</f>
        <v/>
      </c>
      <c r="E3911" t="str">
        <f>IFERROR(__xludf.DUMMYFUNCTION("""COMPUTED_VALUE"""),"")</f>
        <v/>
      </c>
      <c r="F3911" t="str">
        <f>IFERROR(__xludf.DUMMYFUNCTION("""COMPUTED_VALUE"""),"")</f>
        <v/>
      </c>
      <c r="G3911" t="str">
        <f>IFERROR(__xludf.DUMMYFUNCTION("""COMPUTED_VALUE"""),"")</f>
        <v/>
      </c>
      <c r="H3911" s="2" t="str">
        <f>IFERROR(__xludf.DUMMYFUNCTION("""COMPUTED_VALUE"""),"")</f>
        <v/>
      </c>
      <c r="I3911" s="2" t="str">
        <f>IFERROR(__xludf.DUMMYFUNCTION("""COMPUTED_VALUE"""),"")</f>
        <v/>
      </c>
      <c r="J3911" s="2">
        <f>IFERROR(__xludf.DUMMYFUNCTION("""COMPUTED_VALUE"""),0.0)</f>
        <v>0</v>
      </c>
      <c r="K3911" s="5" t="str">
        <f>IFERROR(__xludf.DUMMYFUNCTION("""COMPUTED_VALUE"""),"")</f>
        <v/>
      </c>
      <c r="L3911" t="str">
        <f>IFERROR(__xludf.DUMMYFUNCTION("""COMPUTED_VALUE"""),"")</f>
        <v/>
      </c>
      <c r="M3911" t="str">
        <f>IFERROR(__xludf.DUMMYFUNCTION("""COMPUTED_VALUE"""),"")</f>
        <v/>
      </c>
      <c r="N3911" t="str">
        <f>IFERROR(__xludf.DUMMYFUNCTION("""COMPUTED_VALUE"""),"")</f>
        <v/>
      </c>
      <c r="O3911" t="str">
        <f>IFERROR(__xludf.DUMMYFUNCTION("""COMPUTED_VALUE"""),"")</f>
        <v/>
      </c>
      <c r="P3911" t="str">
        <f>IFERROR(__xludf.DUMMYFUNCTION("""COMPUTED_VALUE"""),"ID ")</f>
        <v>ID </v>
      </c>
    </row>
    <row r="3912">
      <c r="A3912" s="6" t="str">
        <f>IFERROR(__xludf.DUMMYFUNCTION("""COMPUTED_VALUE"""),"")</f>
        <v/>
      </c>
      <c r="C3912" t="str">
        <f>IFERROR(__xludf.DUMMYFUNCTION("""COMPUTED_VALUE"""),"")</f>
        <v/>
      </c>
      <c r="D3912" t="str">
        <f>IFERROR(__xludf.DUMMYFUNCTION("""COMPUTED_VALUE"""),"")</f>
        <v/>
      </c>
      <c r="E3912" t="str">
        <f>IFERROR(__xludf.DUMMYFUNCTION("""COMPUTED_VALUE"""),"")</f>
        <v/>
      </c>
      <c r="F3912" t="str">
        <f>IFERROR(__xludf.DUMMYFUNCTION("""COMPUTED_VALUE"""),"")</f>
        <v/>
      </c>
      <c r="G3912" t="str">
        <f>IFERROR(__xludf.DUMMYFUNCTION("""COMPUTED_VALUE"""),"")</f>
        <v/>
      </c>
      <c r="H3912" s="2" t="str">
        <f>IFERROR(__xludf.DUMMYFUNCTION("""COMPUTED_VALUE"""),"")</f>
        <v/>
      </c>
      <c r="I3912" s="2" t="str">
        <f>IFERROR(__xludf.DUMMYFUNCTION("""COMPUTED_VALUE"""),"")</f>
        <v/>
      </c>
      <c r="J3912" s="2">
        <f>IFERROR(__xludf.DUMMYFUNCTION("""COMPUTED_VALUE"""),0.0)</f>
        <v>0</v>
      </c>
      <c r="K3912" s="5" t="str">
        <f>IFERROR(__xludf.DUMMYFUNCTION("""COMPUTED_VALUE"""),"")</f>
        <v/>
      </c>
      <c r="L3912" t="str">
        <f>IFERROR(__xludf.DUMMYFUNCTION("""COMPUTED_VALUE"""),"")</f>
        <v/>
      </c>
      <c r="M3912" t="str">
        <f>IFERROR(__xludf.DUMMYFUNCTION("""COMPUTED_VALUE"""),"")</f>
        <v/>
      </c>
      <c r="N3912" t="str">
        <f>IFERROR(__xludf.DUMMYFUNCTION("""COMPUTED_VALUE"""),"")</f>
        <v/>
      </c>
      <c r="O3912" t="str">
        <f>IFERROR(__xludf.DUMMYFUNCTION("""COMPUTED_VALUE"""),"")</f>
        <v/>
      </c>
      <c r="P3912" t="str">
        <f>IFERROR(__xludf.DUMMYFUNCTION("""COMPUTED_VALUE"""),"ID ")</f>
        <v>ID </v>
      </c>
    </row>
    <row r="3913">
      <c r="A3913" s="6" t="str">
        <f>IFERROR(__xludf.DUMMYFUNCTION("""COMPUTED_VALUE"""),"")</f>
        <v/>
      </c>
      <c r="C3913" t="str">
        <f>IFERROR(__xludf.DUMMYFUNCTION("""COMPUTED_VALUE"""),"")</f>
        <v/>
      </c>
      <c r="D3913" t="str">
        <f>IFERROR(__xludf.DUMMYFUNCTION("""COMPUTED_VALUE"""),"")</f>
        <v/>
      </c>
      <c r="E3913" t="str">
        <f>IFERROR(__xludf.DUMMYFUNCTION("""COMPUTED_VALUE"""),"")</f>
        <v/>
      </c>
      <c r="F3913" t="str">
        <f>IFERROR(__xludf.DUMMYFUNCTION("""COMPUTED_VALUE"""),"")</f>
        <v/>
      </c>
      <c r="G3913" t="str">
        <f>IFERROR(__xludf.DUMMYFUNCTION("""COMPUTED_VALUE"""),"")</f>
        <v/>
      </c>
      <c r="H3913" s="2" t="str">
        <f>IFERROR(__xludf.DUMMYFUNCTION("""COMPUTED_VALUE"""),"")</f>
        <v/>
      </c>
      <c r="I3913" s="2" t="str">
        <f>IFERROR(__xludf.DUMMYFUNCTION("""COMPUTED_VALUE"""),"")</f>
        <v/>
      </c>
      <c r="J3913" s="2">
        <f>IFERROR(__xludf.DUMMYFUNCTION("""COMPUTED_VALUE"""),0.0)</f>
        <v>0</v>
      </c>
      <c r="K3913" s="5" t="str">
        <f>IFERROR(__xludf.DUMMYFUNCTION("""COMPUTED_VALUE"""),"")</f>
        <v/>
      </c>
      <c r="L3913" t="str">
        <f>IFERROR(__xludf.DUMMYFUNCTION("""COMPUTED_VALUE"""),"")</f>
        <v/>
      </c>
      <c r="M3913" t="str">
        <f>IFERROR(__xludf.DUMMYFUNCTION("""COMPUTED_VALUE"""),"")</f>
        <v/>
      </c>
      <c r="N3913" t="str">
        <f>IFERROR(__xludf.DUMMYFUNCTION("""COMPUTED_VALUE"""),"")</f>
        <v/>
      </c>
      <c r="O3913" t="str">
        <f>IFERROR(__xludf.DUMMYFUNCTION("""COMPUTED_VALUE"""),"")</f>
        <v/>
      </c>
      <c r="P3913" t="str">
        <f>IFERROR(__xludf.DUMMYFUNCTION("""COMPUTED_VALUE"""),"ID ")</f>
        <v>ID </v>
      </c>
    </row>
    <row r="3914">
      <c r="A3914" s="6" t="str">
        <f>IFERROR(__xludf.DUMMYFUNCTION("""COMPUTED_VALUE"""),"")</f>
        <v/>
      </c>
      <c r="C3914" t="str">
        <f>IFERROR(__xludf.DUMMYFUNCTION("""COMPUTED_VALUE"""),"")</f>
        <v/>
      </c>
      <c r="D3914" t="str">
        <f>IFERROR(__xludf.DUMMYFUNCTION("""COMPUTED_VALUE"""),"")</f>
        <v/>
      </c>
      <c r="E3914" t="str">
        <f>IFERROR(__xludf.DUMMYFUNCTION("""COMPUTED_VALUE"""),"")</f>
        <v/>
      </c>
      <c r="F3914" t="str">
        <f>IFERROR(__xludf.DUMMYFUNCTION("""COMPUTED_VALUE"""),"")</f>
        <v/>
      </c>
      <c r="G3914" t="str">
        <f>IFERROR(__xludf.DUMMYFUNCTION("""COMPUTED_VALUE"""),"")</f>
        <v/>
      </c>
      <c r="H3914" s="2" t="str">
        <f>IFERROR(__xludf.DUMMYFUNCTION("""COMPUTED_VALUE"""),"")</f>
        <v/>
      </c>
      <c r="I3914" s="2" t="str">
        <f>IFERROR(__xludf.DUMMYFUNCTION("""COMPUTED_VALUE"""),"")</f>
        <v/>
      </c>
      <c r="J3914" s="2">
        <f>IFERROR(__xludf.DUMMYFUNCTION("""COMPUTED_VALUE"""),0.0)</f>
        <v>0</v>
      </c>
      <c r="K3914" s="5" t="str">
        <f>IFERROR(__xludf.DUMMYFUNCTION("""COMPUTED_VALUE"""),"")</f>
        <v/>
      </c>
      <c r="L3914" t="str">
        <f>IFERROR(__xludf.DUMMYFUNCTION("""COMPUTED_VALUE"""),"")</f>
        <v/>
      </c>
      <c r="M3914" t="str">
        <f>IFERROR(__xludf.DUMMYFUNCTION("""COMPUTED_VALUE"""),"")</f>
        <v/>
      </c>
      <c r="N3914" t="str">
        <f>IFERROR(__xludf.DUMMYFUNCTION("""COMPUTED_VALUE"""),"")</f>
        <v/>
      </c>
      <c r="O3914" t="str">
        <f>IFERROR(__xludf.DUMMYFUNCTION("""COMPUTED_VALUE"""),"")</f>
        <v/>
      </c>
      <c r="P3914" t="str">
        <f>IFERROR(__xludf.DUMMYFUNCTION("""COMPUTED_VALUE"""),"ID ")</f>
        <v>ID </v>
      </c>
    </row>
    <row r="3915">
      <c r="A3915" s="6" t="str">
        <f>IFERROR(__xludf.DUMMYFUNCTION("""COMPUTED_VALUE"""),"")</f>
        <v/>
      </c>
      <c r="C3915" t="str">
        <f>IFERROR(__xludf.DUMMYFUNCTION("""COMPUTED_VALUE"""),"")</f>
        <v/>
      </c>
      <c r="D3915" t="str">
        <f>IFERROR(__xludf.DUMMYFUNCTION("""COMPUTED_VALUE"""),"")</f>
        <v/>
      </c>
      <c r="E3915" t="str">
        <f>IFERROR(__xludf.DUMMYFUNCTION("""COMPUTED_VALUE"""),"")</f>
        <v/>
      </c>
      <c r="F3915" t="str">
        <f>IFERROR(__xludf.DUMMYFUNCTION("""COMPUTED_VALUE"""),"")</f>
        <v/>
      </c>
      <c r="G3915" t="str">
        <f>IFERROR(__xludf.DUMMYFUNCTION("""COMPUTED_VALUE"""),"")</f>
        <v/>
      </c>
      <c r="H3915" s="2" t="str">
        <f>IFERROR(__xludf.DUMMYFUNCTION("""COMPUTED_VALUE"""),"")</f>
        <v/>
      </c>
      <c r="I3915" s="2" t="str">
        <f>IFERROR(__xludf.DUMMYFUNCTION("""COMPUTED_VALUE"""),"")</f>
        <v/>
      </c>
      <c r="J3915" s="2">
        <f>IFERROR(__xludf.DUMMYFUNCTION("""COMPUTED_VALUE"""),0.0)</f>
        <v>0</v>
      </c>
      <c r="K3915" s="5" t="str">
        <f>IFERROR(__xludf.DUMMYFUNCTION("""COMPUTED_VALUE"""),"")</f>
        <v/>
      </c>
      <c r="L3915" t="str">
        <f>IFERROR(__xludf.DUMMYFUNCTION("""COMPUTED_VALUE"""),"")</f>
        <v/>
      </c>
      <c r="M3915" t="str">
        <f>IFERROR(__xludf.DUMMYFUNCTION("""COMPUTED_VALUE"""),"")</f>
        <v/>
      </c>
      <c r="N3915" t="str">
        <f>IFERROR(__xludf.DUMMYFUNCTION("""COMPUTED_VALUE"""),"")</f>
        <v/>
      </c>
      <c r="O3915" t="str">
        <f>IFERROR(__xludf.DUMMYFUNCTION("""COMPUTED_VALUE"""),"")</f>
        <v/>
      </c>
      <c r="P3915" t="str">
        <f>IFERROR(__xludf.DUMMYFUNCTION("""COMPUTED_VALUE"""),"ID ")</f>
        <v>ID </v>
      </c>
    </row>
    <row r="3916">
      <c r="A3916" s="6" t="str">
        <f>IFERROR(__xludf.DUMMYFUNCTION("""COMPUTED_VALUE"""),"")</f>
        <v/>
      </c>
      <c r="C3916" t="str">
        <f>IFERROR(__xludf.DUMMYFUNCTION("""COMPUTED_VALUE"""),"")</f>
        <v/>
      </c>
      <c r="D3916" t="str">
        <f>IFERROR(__xludf.DUMMYFUNCTION("""COMPUTED_VALUE"""),"")</f>
        <v/>
      </c>
      <c r="E3916" t="str">
        <f>IFERROR(__xludf.DUMMYFUNCTION("""COMPUTED_VALUE"""),"")</f>
        <v/>
      </c>
      <c r="F3916" t="str">
        <f>IFERROR(__xludf.DUMMYFUNCTION("""COMPUTED_VALUE"""),"")</f>
        <v/>
      </c>
      <c r="G3916" t="str">
        <f>IFERROR(__xludf.DUMMYFUNCTION("""COMPUTED_VALUE"""),"")</f>
        <v/>
      </c>
      <c r="H3916" s="2" t="str">
        <f>IFERROR(__xludf.DUMMYFUNCTION("""COMPUTED_VALUE"""),"")</f>
        <v/>
      </c>
      <c r="I3916" s="2" t="str">
        <f>IFERROR(__xludf.DUMMYFUNCTION("""COMPUTED_VALUE"""),"")</f>
        <v/>
      </c>
      <c r="J3916" s="2">
        <f>IFERROR(__xludf.DUMMYFUNCTION("""COMPUTED_VALUE"""),0.0)</f>
        <v>0</v>
      </c>
      <c r="K3916" s="5" t="str">
        <f>IFERROR(__xludf.DUMMYFUNCTION("""COMPUTED_VALUE"""),"")</f>
        <v/>
      </c>
      <c r="L3916" t="str">
        <f>IFERROR(__xludf.DUMMYFUNCTION("""COMPUTED_VALUE"""),"")</f>
        <v/>
      </c>
      <c r="M3916" t="str">
        <f>IFERROR(__xludf.DUMMYFUNCTION("""COMPUTED_VALUE"""),"")</f>
        <v/>
      </c>
      <c r="N3916" t="str">
        <f>IFERROR(__xludf.DUMMYFUNCTION("""COMPUTED_VALUE"""),"")</f>
        <v/>
      </c>
      <c r="O3916" t="str">
        <f>IFERROR(__xludf.DUMMYFUNCTION("""COMPUTED_VALUE"""),"")</f>
        <v/>
      </c>
      <c r="P3916" t="str">
        <f>IFERROR(__xludf.DUMMYFUNCTION("""COMPUTED_VALUE"""),"ID ")</f>
        <v>ID </v>
      </c>
    </row>
    <row r="3917">
      <c r="A3917" s="6" t="str">
        <f>IFERROR(__xludf.DUMMYFUNCTION("""COMPUTED_VALUE"""),"")</f>
        <v/>
      </c>
      <c r="C3917" t="str">
        <f>IFERROR(__xludf.DUMMYFUNCTION("""COMPUTED_VALUE"""),"")</f>
        <v/>
      </c>
      <c r="D3917" t="str">
        <f>IFERROR(__xludf.DUMMYFUNCTION("""COMPUTED_VALUE"""),"")</f>
        <v/>
      </c>
      <c r="E3917" t="str">
        <f>IFERROR(__xludf.DUMMYFUNCTION("""COMPUTED_VALUE"""),"")</f>
        <v/>
      </c>
      <c r="F3917" t="str">
        <f>IFERROR(__xludf.DUMMYFUNCTION("""COMPUTED_VALUE"""),"")</f>
        <v/>
      </c>
      <c r="G3917" t="str">
        <f>IFERROR(__xludf.DUMMYFUNCTION("""COMPUTED_VALUE"""),"")</f>
        <v/>
      </c>
      <c r="H3917" s="2" t="str">
        <f>IFERROR(__xludf.DUMMYFUNCTION("""COMPUTED_VALUE"""),"")</f>
        <v/>
      </c>
      <c r="I3917" s="2" t="str">
        <f>IFERROR(__xludf.DUMMYFUNCTION("""COMPUTED_VALUE"""),"")</f>
        <v/>
      </c>
      <c r="J3917" s="2">
        <f>IFERROR(__xludf.DUMMYFUNCTION("""COMPUTED_VALUE"""),0.0)</f>
        <v>0</v>
      </c>
      <c r="K3917" s="5" t="str">
        <f>IFERROR(__xludf.DUMMYFUNCTION("""COMPUTED_VALUE"""),"")</f>
        <v/>
      </c>
      <c r="L3917" t="str">
        <f>IFERROR(__xludf.DUMMYFUNCTION("""COMPUTED_VALUE"""),"")</f>
        <v/>
      </c>
      <c r="M3917" t="str">
        <f>IFERROR(__xludf.DUMMYFUNCTION("""COMPUTED_VALUE"""),"")</f>
        <v/>
      </c>
      <c r="N3917" t="str">
        <f>IFERROR(__xludf.DUMMYFUNCTION("""COMPUTED_VALUE"""),"")</f>
        <v/>
      </c>
      <c r="O3917" t="str">
        <f>IFERROR(__xludf.DUMMYFUNCTION("""COMPUTED_VALUE"""),"")</f>
        <v/>
      </c>
      <c r="P3917" t="str">
        <f>IFERROR(__xludf.DUMMYFUNCTION("""COMPUTED_VALUE"""),"ID ")</f>
        <v>ID </v>
      </c>
    </row>
    <row r="3918">
      <c r="A3918" s="6" t="str">
        <f>IFERROR(__xludf.DUMMYFUNCTION("""COMPUTED_VALUE"""),"")</f>
        <v/>
      </c>
      <c r="C3918" t="str">
        <f>IFERROR(__xludf.DUMMYFUNCTION("""COMPUTED_VALUE"""),"")</f>
        <v/>
      </c>
      <c r="D3918" t="str">
        <f>IFERROR(__xludf.DUMMYFUNCTION("""COMPUTED_VALUE"""),"")</f>
        <v/>
      </c>
      <c r="E3918" t="str">
        <f>IFERROR(__xludf.DUMMYFUNCTION("""COMPUTED_VALUE"""),"")</f>
        <v/>
      </c>
      <c r="F3918" t="str">
        <f>IFERROR(__xludf.DUMMYFUNCTION("""COMPUTED_VALUE"""),"")</f>
        <v/>
      </c>
      <c r="G3918" t="str">
        <f>IFERROR(__xludf.DUMMYFUNCTION("""COMPUTED_VALUE"""),"")</f>
        <v/>
      </c>
      <c r="H3918" s="2" t="str">
        <f>IFERROR(__xludf.DUMMYFUNCTION("""COMPUTED_VALUE"""),"")</f>
        <v/>
      </c>
      <c r="I3918" s="2" t="str">
        <f>IFERROR(__xludf.DUMMYFUNCTION("""COMPUTED_VALUE"""),"")</f>
        <v/>
      </c>
      <c r="J3918" s="2">
        <f>IFERROR(__xludf.DUMMYFUNCTION("""COMPUTED_VALUE"""),0.0)</f>
        <v>0</v>
      </c>
      <c r="K3918" s="5" t="str">
        <f>IFERROR(__xludf.DUMMYFUNCTION("""COMPUTED_VALUE"""),"")</f>
        <v/>
      </c>
      <c r="L3918" t="str">
        <f>IFERROR(__xludf.DUMMYFUNCTION("""COMPUTED_VALUE"""),"")</f>
        <v/>
      </c>
      <c r="M3918" t="str">
        <f>IFERROR(__xludf.DUMMYFUNCTION("""COMPUTED_VALUE"""),"")</f>
        <v/>
      </c>
      <c r="N3918" t="str">
        <f>IFERROR(__xludf.DUMMYFUNCTION("""COMPUTED_VALUE"""),"")</f>
        <v/>
      </c>
      <c r="O3918" t="str">
        <f>IFERROR(__xludf.DUMMYFUNCTION("""COMPUTED_VALUE"""),"")</f>
        <v/>
      </c>
      <c r="P3918" t="str">
        <f>IFERROR(__xludf.DUMMYFUNCTION("""COMPUTED_VALUE"""),"ID ")</f>
        <v>ID </v>
      </c>
    </row>
    <row r="3919">
      <c r="A3919" s="6" t="str">
        <f>IFERROR(__xludf.DUMMYFUNCTION("""COMPUTED_VALUE"""),"")</f>
        <v/>
      </c>
      <c r="C3919" t="str">
        <f>IFERROR(__xludf.DUMMYFUNCTION("""COMPUTED_VALUE"""),"")</f>
        <v/>
      </c>
      <c r="D3919" t="str">
        <f>IFERROR(__xludf.DUMMYFUNCTION("""COMPUTED_VALUE"""),"")</f>
        <v/>
      </c>
      <c r="E3919" t="str">
        <f>IFERROR(__xludf.DUMMYFUNCTION("""COMPUTED_VALUE"""),"")</f>
        <v/>
      </c>
      <c r="F3919" t="str">
        <f>IFERROR(__xludf.DUMMYFUNCTION("""COMPUTED_VALUE"""),"")</f>
        <v/>
      </c>
      <c r="G3919" t="str">
        <f>IFERROR(__xludf.DUMMYFUNCTION("""COMPUTED_VALUE"""),"")</f>
        <v/>
      </c>
      <c r="H3919" s="2" t="str">
        <f>IFERROR(__xludf.DUMMYFUNCTION("""COMPUTED_VALUE"""),"")</f>
        <v/>
      </c>
      <c r="I3919" s="2" t="str">
        <f>IFERROR(__xludf.DUMMYFUNCTION("""COMPUTED_VALUE"""),"")</f>
        <v/>
      </c>
      <c r="J3919" s="2">
        <f>IFERROR(__xludf.DUMMYFUNCTION("""COMPUTED_VALUE"""),0.0)</f>
        <v>0</v>
      </c>
      <c r="K3919" s="5" t="str">
        <f>IFERROR(__xludf.DUMMYFUNCTION("""COMPUTED_VALUE"""),"")</f>
        <v/>
      </c>
      <c r="L3919" t="str">
        <f>IFERROR(__xludf.DUMMYFUNCTION("""COMPUTED_VALUE"""),"")</f>
        <v/>
      </c>
      <c r="M3919" t="str">
        <f>IFERROR(__xludf.DUMMYFUNCTION("""COMPUTED_VALUE"""),"")</f>
        <v/>
      </c>
      <c r="N3919" t="str">
        <f>IFERROR(__xludf.DUMMYFUNCTION("""COMPUTED_VALUE"""),"")</f>
        <v/>
      </c>
      <c r="O3919" t="str">
        <f>IFERROR(__xludf.DUMMYFUNCTION("""COMPUTED_VALUE"""),"")</f>
        <v/>
      </c>
      <c r="P3919" t="str">
        <f>IFERROR(__xludf.DUMMYFUNCTION("""COMPUTED_VALUE"""),"ID ")</f>
        <v>ID </v>
      </c>
    </row>
    <row r="3920">
      <c r="A3920" s="6" t="str">
        <f>IFERROR(__xludf.DUMMYFUNCTION("""COMPUTED_VALUE"""),"")</f>
        <v/>
      </c>
      <c r="C3920" t="str">
        <f>IFERROR(__xludf.DUMMYFUNCTION("""COMPUTED_VALUE"""),"")</f>
        <v/>
      </c>
      <c r="D3920" t="str">
        <f>IFERROR(__xludf.DUMMYFUNCTION("""COMPUTED_VALUE"""),"")</f>
        <v/>
      </c>
      <c r="E3920" t="str">
        <f>IFERROR(__xludf.DUMMYFUNCTION("""COMPUTED_VALUE"""),"")</f>
        <v/>
      </c>
      <c r="F3920" t="str">
        <f>IFERROR(__xludf.DUMMYFUNCTION("""COMPUTED_VALUE"""),"")</f>
        <v/>
      </c>
      <c r="G3920" t="str">
        <f>IFERROR(__xludf.DUMMYFUNCTION("""COMPUTED_VALUE"""),"")</f>
        <v/>
      </c>
      <c r="H3920" s="2" t="str">
        <f>IFERROR(__xludf.DUMMYFUNCTION("""COMPUTED_VALUE"""),"")</f>
        <v/>
      </c>
      <c r="I3920" s="2" t="str">
        <f>IFERROR(__xludf.DUMMYFUNCTION("""COMPUTED_VALUE"""),"")</f>
        <v/>
      </c>
      <c r="J3920" s="2">
        <f>IFERROR(__xludf.DUMMYFUNCTION("""COMPUTED_VALUE"""),0.0)</f>
        <v>0</v>
      </c>
      <c r="K3920" s="5" t="str">
        <f>IFERROR(__xludf.DUMMYFUNCTION("""COMPUTED_VALUE"""),"")</f>
        <v/>
      </c>
      <c r="L3920" t="str">
        <f>IFERROR(__xludf.DUMMYFUNCTION("""COMPUTED_VALUE"""),"")</f>
        <v/>
      </c>
      <c r="M3920" t="str">
        <f>IFERROR(__xludf.DUMMYFUNCTION("""COMPUTED_VALUE"""),"")</f>
        <v/>
      </c>
      <c r="N3920" t="str">
        <f>IFERROR(__xludf.DUMMYFUNCTION("""COMPUTED_VALUE"""),"")</f>
        <v/>
      </c>
      <c r="O3920" t="str">
        <f>IFERROR(__xludf.DUMMYFUNCTION("""COMPUTED_VALUE"""),"")</f>
        <v/>
      </c>
      <c r="P3920" t="str">
        <f>IFERROR(__xludf.DUMMYFUNCTION("""COMPUTED_VALUE"""),"ID ")</f>
        <v>ID </v>
      </c>
    </row>
    <row r="3921">
      <c r="A3921" s="6" t="str">
        <f>IFERROR(__xludf.DUMMYFUNCTION("""COMPUTED_VALUE"""),"")</f>
        <v/>
      </c>
      <c r="C3921" t="str">
        <f>IFERROR(__xludf.DUMMYFUNCTION("""COMPUTED_VALUE"""),"")</f>
        <v/>
      </c>
      <c r="D3921" t="str">
        <f>IFERROR(__xludf.DUMMYFUNCTION("""COMPUTED_VALUE"""),"")</f>
        <v/>
      </c>
      <c r="E3921" t="str">
        <f>IFERROR(__xludf.DUMMYFUNCTION("""COMPUTED_VALUE"""),"")</f>
        <v/>
      </c>
      <c r="F3921" t="str">
        <f>IFERROR(__xludf.DUMMYFUNCTION("""COMPUTED_VALUE"""),"")</f>
        <v/>
      </c>
      <c r="G3921" t="str">
        <f>IFERROR(__xludf.DUMMYFUNCTION("""COMPUTED_VALUE"""),"")</f>
        <v/>
      </c>
      <c r="H3921" s="2" t="str">
        <f>IFERROR(__xludf.DUMMYFUNCTION("""COMPUTED_VALUE"""),"")</f>
        <v/>
      </c>
      <c r="I3921" s="2" t="str">
        <f>IFERROR(__xludf.DUMMYFUNCTION("""COMPUTED_VALUE"""),"")</f>
        <v/>
      </c>
      <c r="J3921" s="2">
        <f>IFERROR(__xludf.DUMMYFUNCTION("""COMPUTED_VALUE"""),0.0)</f>
        <v>0</v>
      </c>
      <c r="K3921" s="5" t="str">
        <f>IFERROR(__xludf.DUMMYFUNCTION("""COMPUTED_VALUE"""),"")</f>
        <v/>
      </c>
      <c r="L3921" t="str">
        <f>IFERROR(__xludf.DUMMYFUNCTION("""COMPUTED_VALUE"""),"")</f>
        <v/>
      </c>
      <c r="M3921" t="str">
        <f>IFERROR(__xludf.DUMMYFUNCTION("""COMPUTED_VALUE"""),"")</f>
        <v/>
      </c>
      <c r="N3921" t="str">
        <f>IFERROR(__xludf.DUMMYFUNCTION("""COMPUTED_VALUE"""),"")</f>
        <v/>
      </c>
      <c r="O3921" t="str">
        <f>IFERROR(__xludf.DUMMYFUNCTION("""COMPUTED_VALUE"""),"")</f>
        <v/>
      </c>
      <c r="P3921" t="str">
        <f>IFERROR(__xludf.DUMMYFUNCTION("""COMPUTED_VALUE"""),"ID ")</f>
        <v>ID </v>
      </c>
    </row>
    <row r="3922">
      <c r="A3922" s="6" t="str">
        <f>IFERROR(__xludf.DUMMYFUNCTION("""COMPUTED_VALUE"""),"")</f>
        <v/>
      </c>
      <c r="C3922" t="str">
        <f>IFERROR(__xludf.DUMMYFUNCTION("""COMPUTED_VALUE"""),"")</f>
        <v/>
      </c>
      <c r="D3922" t="str">
        <f>IFERROR(__xludf.DUMMYFUNCTION("""COMPUTED_VALUE"""),"")</f>
        <v/>
      </c>
      <c r="E3922" t="str">
        <f>IFERROR(__xludf.DUMMYFUNCTION("""COMPUTED_VALUE"""),"")</f>
        <v/>
      </c>
      <c r="F3922" t="str">
        <f>IFERROR(__xludf.DUMMYFUNCTION("""COMPUTED_VALUE"""),"")</f>
        <v/>
      </c>
      <c r="G3922" t="str">
        <f>IFERROR(__xludf.DUMMYFUNCTION("""COMPUTED_VALUE"""),"")</f>
        <v/>
      </c>
      <c r="H3922" s="2" t="str">
        <f>IFERROR(__xludf.DUMMYFUNCTION("""COMPUTED_VALUE"""),"")</f>
        <v/>
      </c>
      <c r="I3922" s="2" t="str">
        <f>IFERROR(__xludf.DUMMYFUNCTION("""COMPUTED_VALUE"""),"")</f>
        <v/>
      </c>
      <c r="J3922" s="2">
        <f>IFERROR(__xludf.DUMMYFUNCTION("""COMPUTED_VALUE"""),0.0)</f>
        <v>0</v>
      </c>
      <c r="K3922" s="5" t="str">
        <f>IFERROR(__xludf.DUMMYFUNCTION("""COMPUTED_VALUE"""),"")</f>
        <v/>
      </c>
      <c r="L3922" t="str">
        <f>IFERROR(__xludf.DUMMYFUNCTION("""COMPUTED_VALUE"""),"")</f>
        <v/>
      </c>
      <c r="M3922" t="str">
        <f>IFERROR(__xludf.DUMMYFUNCTION("""COMPUTED_VALUE"""),"")</f>
        <v/>
      </c>
      <c r="N3922" t="str">
        <f>IFERROR(__xludf.DUMMYFUNCTION("""COMPUTED_VALUE"""),"")</f>
        <v/>
      </c>
      <c r="O3922" t="str">
        <f>IFERROR(__xludf.DUMMYFUNCTION("""COMPUTED_VALUE"""),"")</f>
        <v/>
      </c>
      <c r="P3922" t="str">
        <f>IFERROR(__xludf.DUMMYFUNCTION("""COMPUTED_VALUE"""),"ID ")</f>
        <v>ID </v>
      </c>
    </row>
    <row r="3923">
      <c r="A3923" s="6" t="str">
        <f>IFERROR(__xludf.DUMMYFUNCTION("""COMPUTED_VALUE"""),"")</f>
        <v/>
      </c>
      <c r="C3923" t="str">
        <f>IFERROR(__xludf.DUMMYFUNCTION("""COMPUTED_VALUE"""),"")</f>
        <v/>
      </c>
      <c r="D3923" t="str">
        <f>IFERROR(__xludf.DUMMYFUNCTION("""COMPUTED_VALUE"""),"")</f>
        <v/>
      </c>
      <c r="E3923" t="str">
        <f>IFERROR(__xludf.DUMMYFUNCTION("""COMPUTED_VALUE"""),"")</f>
        <v/>
      </c>
      <c r="F3923" t="str">
        <f>IFERROR(__xludf.DUMMYFUNCTION("""COMPUTED_VALUE"""),"")</f>
        <v/>
      </c>
      <c r="G3923" t="str">
        <f>IFERROR(__xludf.DUMMYFUNCTION("""COMPUTED_VALUE"""),"")</f>
        <v/>
      </c>
      <c r="H3923" s="2" t="str">
        <f>IFERROR(__xludf.DUMMYFUNCTION("""COMPUTED_VALUE"""),"")</f>
        <v/>
      </c>
      <c r="I3923" s="2" t="str">
        <f>IFERROR(__xludf.DUMMYFUNCTION("""COMPUTED_VALUE"""),"")</f>
        <v/>
      </c>
      <c r="J3923" s="2">
        <f>IFERROR(__xludf.DUMMYFUNCTION("""COMPUTED_VALUE"""),0.0)</f>
        <v>0</v>
      </c>
      <c r="K3923" s="5" t="str">
        <f>IFERROR(__xludf.DUMMYFUNCTION("""COMPUTED_VALUE"""),"")</f>
        <v/>
      </c>
      <c r="L3923" t="str">
        <f>IFERROR(__xludf.DUMMYFUNCTION("""COMPUTED_VALUE"""),"")</f>
        <v/>
      </c>
      <c r="M3923" t="str">
        <f>IFERROR(__xludf.DUMMYFUNCTION("""COMPUTED_VALUE"""),"")</f>
        <v/>
      </c>
      <c r="N3923" t="str">
        <f>IFERROR(__xludf.DUMMYFUNCTION("""COMPUTED_VALUE"""),"")</f>
        <v/>
      </c>
      <c r="O3923" t="str">
        <f>IFERROR(__xludf.DUMMYFUNCTION("""COMPUTED_VALUE"""),"")</f>
        <v/>
      </c>
      <c r="P3923" t="str">
        <f>IFERROR(__xludf.DUMMYFUNCTION("""COMPUTED_VALUE"""),"ID ")</f>
        <v>ID </v>
      </c>
    </row>
    <row r="3924">
      <c r="A3924" s="6" t="str">
        <f>IFERROR(__xludf.DUMMYFUNCTION("""COMPUTED_VALUE"""),"")</f>
        <v/>
      </c>
      <c r="C3924" t="str">
        <f>IFERROR(__xludf.DUMMYFUNCTION("""COMPUTED_VALUE"""),"")</f>
        <v/>
      </c>
      <c r="D3924" t="str">
        <f>IFERROR(__xludf.DUMMYFUNCTION("""COMPUTED_VALUE"""),"")</f>
        <v/>
      </c>
      <c r="E3924" t="str">
        <f>IFERROR(__xludf.DUMMYFUNCTION("""COMPUTED_VALUE"""),"")</f>
        <v/>
      </c>
      <c r="F3924" t="str">
        <f>IFERROR(__xludf.DUMMYFUNCTION("""COMPUTED_VALUE"""),"")</f>
        <v/>
      </c>
      <c r="G3924" t="str">
        <f>IFERROR(__xludf.DUMMYFUNCTION("""COMPUTED_VALUE"""),"")</f>
        <v/>
      </c>
      <c r="H3924" s="2" t="str">
        <f>IFERROR(__xludf.DUMMYFUNCTION("""COMPUTED_VALUE"""),"")</f>
        <v/>
      </c>
      <c r="I3924" s="2" t="str">
        <f>IFERROR(__xludf.DUMMYFUNCTION("""COMPUTED_VALUE"""),"")</f>
        <v/>
      </c>
      <c r="J3924" s="2">
        <f>IFERROR(__xludf.DUMMYFUNCTION("""COMPUTED_VALUE"""),0.0)</f>
        <v>0</v>
      </c>
      <c r="K3924" s="5" t="str">
        <f>IFERROR(__xludf.DUMMYFUNCTION("""COMPUTED_VALUE"""),"")</f>
        <v/>
      </c>
      <c r="L3924" t="str">
        <f>IFERROR(__xludf.DUMMYFUNCTION("""COMPUTED_VALUE"""),"")</f>
        <v/>
      </c>
      <c r="M3924" t="str">
        <f>IFERROR(__xludf.DUMMYFUNCTION("""COMPUTED_VALUE"""),"")</f>
        <v/>
      </c>
      <c r="N3924" t="str">
        <f>IFERROR(__xludf.DUMMYFUNCTION("""COMPUTED_VALUE"""),"")</f>
        <v/>
      </c>
      <c r="O3924" t="str">
        <f>IFERROR(__xludf.DUMMYFUNCTION("""COMPUTED_VALUE"""),"")</f>
        <v/>
      </c>
      <c r="P3924" t="str">
        <f>IFERROR(__xludf.DUMMYFUNCTION("""COMPUTED_VALUE"""),"ID ")</f>
        <v>ID </v>
      </c>
    </row>
    <row r="3925">
      <c r="A3925" s="6" t="str">
        <f>IFERROR(__xludf.DUMMYFUNCTION("""COMPUTED_VALUE"""),"")</f>
        <v/>
      </c>
      <c r="C3925" t="str">
        <f>IFERROR(__xludf.DUMMYFUNCTION("""COMPUTED_VALUE"""),"")</f>
        <v/>
      </c>
      <c r="D3925" t="str">
        <f>IFERROR(__xludf.DUMMYFUNCTION("""COMPUTED_VALUE"""),"")</f>
        <v/>
      </c>
      <c r="E3925" t="str">
        <f>IFERROR(__xludf.DUMMYFUNCTION("""COMPUTED_VALUE"""),"")</f>
        <v/>
      </c>
      <c r="F3925" t="str">
        <f>IFERROR(__xludf.DUMMYFUNCTION("""COMPUTED_VALUE"""),"")</f>
        <v/>
      </c>
      <c r="G3925" t="str">
        <f>IFERROR(__xludf.DUMMYFUNCTION("""COMPUTED_VALUE"""),"")</f>
        <v/>
      </c>
      <c r="H3925" s="2" t="str">
        <f>IFERROR(__xludf.DUMMYFUNCTION("""COMPUTED_VALUE"""),"")</f>
        <v/>
      </c>
      <c r="I3925" s="2" t="str">
        <f>IFERROR(__xludf.DUMMYFUNCTION("""COMPUTED_VALUE"""),"")</f>
        <v/>
      </c>
      <c r="J3925" s="2">
        <f>IFERROR(__xludf.DUMMYFUNCTION("""COMPUTED_VALUE"""),0.0)</f>
        <v>0</v>
      </c>
      <c r="K3925" s="5" t="str">
        <f>IFERROR(__xludf.DUMMYFUNCTION("""COMPUTED_VALUE"""),"")</f>
        <v/>
      </c>
      <c r="L3925" t="str">
        <f>IFERROR(__xludf.DUMMYFUNCTION("""COMPUTED_VALUE"""),"")</f>
        <v/>
      </c>
      <c r="M3925" t="str">
        <f>IFERROR(__xludf.DUMMYFUNCTION("""COMPUTED_VALUE"""),"")</f>
        <v/>
      </c>
      <c r="N3925" t="str">
        <f>IFERROR(__xludf.DUMMYFUNCTION("""COMPUTED_VALUE"""),"")</f>
        <v/>
      </c>
      <c r="O3925" t="str">
        <f>IFERROR(__xludf.DUMMYFUNCTION("""COMPUTED_VALUE"""),"")</f>
        <v/>
      </c>
      <c r="P3925" t="str">
        <f>IFERROR(__xludf.DUMMYFUNCTION("""COMPUTED_VALUE"""),"ID ")</f>
        <v>ID </v>
      </c>
    </row>
    <row r="3926">
      <c r="A3926" s="6" t="str">
        <f>IFERROR(__xludf.DUMMYFUNCTION("""COMPUTED_VALUE"""),"")</f>
        <v/>
      </c>
      <c r="C3926" t="str">
        <f>IFERROR(__xludf.DUMMYFUNCTION("""COMPUTED_VALUE"""),"")</f>
        <v/>
      </c>
      <c r="D3926" t="str">
        <f>IFERROR(__xludf.DUMMYFUNCTION("""COMPUTED_VALUE"""),"")</f>
        <v/>
      </c>
      <c r="E3926" t="str">
        <f>IFERROR(__xludf.DUMMYFUNCTION("""COMPUTED_VALUE"""),"")</f>
        <v/>
      </c>
      <c r="F3926" t="str">
        <f>IFERROR(__xludf.DUMMYFUNCTION("""COMPUTED_VALUE"""),"")</f>
        <v/>
      </c>
      <c r="G3926" t="str">
        <f>IFERROR(__xludf.DUMMYFUNCTION("""COMPUTED_VALUE"""),"")</f>
        <v/>
      </c>
      <c r="H3926" s="2" t="str">
        <f>IFERROR(__xludf.DUMMYFUNCTION("""COMPUTED_VALUE"""),"")</f>
        <v/>
      </c>
      <c r="I3926" s="2" t="str">
        <f>IFERROR(__xludf.DUMMYFUNCTION("""COMPUTED_VALUE"""),"")</f>
        <v/>
      </c>
      <c r="J3926" s="2">
        <f>IFERROR(__xludf.DUMMYFUNCTION("""COMPUTED_VALUE"""),0.0)</f>
        <v>0</v>
      </c>
      <c r="K3926" s="5" t="str">
        <f>IFERROR(__xludf.DUMMYFUNCTION("""COMPUTED_VALUE"""),"")</f>
        <v/>
      </c>
      <c r="L3926" t="str">
        <f>IFERROR(__xludf.DUMMYFUNCTION("""COMPUTED_VALUE"""),"")</f>
        <v/>
      </c>
      <c r="M3926" t="str">
        <f>IFERROR(__xludf.DUMMYFUNCTION("""COMPUTED_VALUE"""),"")</f>
        <v/>
      </c>
      <c r="N3926" t="str">
        <f>IFERROR(__xludf.DUMMYFUNCTION("""COMPUTED_VALUE"""),"")</f>
        <v/>
      </c>
      <c r="O3926" t="str">
        <f>IFERROR(__xludf.DUMMYFUNCTION("""COMPUTED_VALUE"""),"")</f>
        <v/>
      </c>
      <c r="P3926" t="str">
        <f>IFERROR(__xludf.DUMMYFUNCTION("""COMPUTED_VALUE"""),"ID ")</f>
        <v>ID </v>
      </c>
    </row>
    <row r="3927">
      <c r="A3927" s="6" t="str">
        <f>IFERROR(__xludf.DUMMYFUNCTION("""COMPUTED_VALUE"""),"")</f>
        <v/>
      </c>
      <c r="C3927" t="str">
        <f>IFERROR(__xludf.DUMMYFUNCTION("""COMPUTED_VALUE"""),"")</f>
        <v/>
      </c>
      <c r="D3927" t="str">
        <f>IFERROR(__xludf.DUMMYFUNCTION("""COMPUTED_VALUE"""),"")</f>
        <v/>
      </c>
      <c r="E3927" t="str">
        <f>IFERROR(__xludf.DUMMYFUNCTION("""COMPUTED_VALUE"""),"")</f>
        <v/>
      </c>
      <c r="F3927" t="str">
        <f>IFERROR(__xludf.DUMMYFUNCTION("""COMPUTED_VALUE"""),"")</f>
        <v/>
      </c>
      <c r="G3927" t="str">
        <f>IFERROR(__xludf.DUMMYFUNCTION("""COMPUTED_VALUE"""),"")</f>
        <v/>
      </c>
      <c r="H3927" s="2" t="str">
        <f>IFERROR(__xludf.DUMMYFUNCTION("""COMPUTED_VALUE"""),"")</f>
        <v/>
      </c>
      <c r="I3927" s="2" t="str">
        <f>IFERROR(__xludf.DUMMYFUNCTION("""COMPUTED_VALUE"""),"")</f>
        <v/>
      </c>
      <c r="J3927" s="2">
        <f>IFERROR(__xludf.DUMMYFUNCTION("""COMPUTED_VALUE"""),0.0)</f>
        <v>0</v>
      </c>
      <c r="K3927" s="5" t="str">
        <f>IFERROR(__xludf.DUMMYFUNCTION("""COMPUTED_VALUE"""),"")</f>
        <v/>
      </c>
      <c r="L3927" t="str">
        <f>IFERROR(__xludf.DUMMYFUNCTION("""COMPUTED_VALUE"""),"")</f>
        <v/>
      </c>
      <c r="M3927" t="str">
        <f>IFERROR(__xludf.DUMMYFUNCTION("""COMPUTED_VALUE"""),"")</f>
        <v/>
      </c>
      <c r="N3927" t="str">
        <f>IFERROR(__xludf.DUMMYFUNCTION("""COMPUTED_VALUE"""),"")</f>
        <v/>
      </c>
      <c r="O3927" t="str">
        <f>IFERROR(__xludf.DUMMYFUNCTION("""COMPUTED_VALUE"""),"")</f>
        <v/>
      </c>
      <c r="P3927" t="str">
        <f>IFERROR(__xludf.DUMMYFUNCTION("""COMPUTED_VALUE"""),"ID ")</f>
        <v>ID </v>
      </c>
    </row>
    <row r="3928">
      <c r="A3928" s="6" t="str">
        <f>IFERROR(__xludf.DUMMYFUNCTION("""COMPUTED_VALUE"""),"")</f>
        <v/>
      </c>
      <c r="C3928" t="str">
        <f>IFERROR(__xludf.DUMMYFUNCTION("""COMPUTED_VALUE"""),"")</f>
        <v/>
      </c>
      <c r="D3928" t="str">
        <f>IFERROR(__xludf.DUMMYFUNCTION("""COMPUTED_VALUE"""),"")</f>
        <v/>
      </c>
      <c r="E3928" t="str">
        <f>IFERROR(__xludf.DUMMYFUNCTION("""COMPUTED_VALUE"""),"")</f>
        <v/>
      </c>
      <c r="F3928" t="str">
        <f>IFERROR(__xludf.DUMMYFUNCTION("""COMPUTED_VALUE"""),"")</f>
        <v/>
      </c>
      <c r="G3928" t="str">
        <f>IFERROR(__xludf.DUMMYFUNCTION("""COMPUTED_VALUE"""),"")</f>
        <v/>
      </c>
      <c r="H3928" s="2" t="str">
        <f>IFERROR(__xludf.DUMMYFUNCTION("""COMPUTED_VALUE"""),"")</f>
        <v/>
      </c>
      <c r="I3928" s="2" t="str">
        <f>IFERROR(__xludf.DUMMYFUNCTION("""COMPUTED_VALUE"""),"")</f>
        <v/>
      </c>
      <c r="J3928" s="2">
        <f>IFERROR(__xludf.DUMMYFUNCTION("""COMPUTED_VALUE"""),0.0)</f>
        <v>0</v>
      </c>
      <c r="K3928" s="5" t="str">
        <f>IFERROR(__xludf.DUMMYFUNCTION("""COMPUTED_VALUE"""),"")</f>
        <v/>
      </c>
      <c r="L3928" t="str">
        <f>IFERROR(__xludf.DUMMYFUNCTION("""COMPUTED_VALUE"""),"")</f>
        <v/>
      </c>
      <c r="M3928" t="str">
        <f>IFERROR(__xludf.DUMMYFUNCTION("""COMPUTED_VALUE"""),"")</f>
        <v/>
      </c>
      <c r="N3928" t="str">
        <f>IFERROR(__xludf.DUMMYFUNCTION("""COMPUTED_VALUE"""),"")</f>
        <v/>
      </c>
      <c r="O3928" t="str">
        <f>IFERROR(__xludf.DUMMYFUNCTION("""COMPUTED_VALUE"""),"")</f>
        <v/>
      </c>
      <c r="P3928" t="str">
        <f>IFERROR(__xludf.DUMMYFUNCTION("""COMPUTED_VALUE"""),"ID ")</f>
        <v>ID </v>
      </c>
    </row>
    <row r="3929">
      <c r="A3929" s="6" t="str">
        <f>IFERROR(__xludf.DUMMYFUNCTION("""COMPUTED_VALUE"""),"")</f>
        <v/>
      </c>
      <c r="C3929" t="str">
        <f>IFERROR(__xludf.DUMMYFUNCTION("""COMPUTED_VALUE"""),"")</f>
        <v/>
      </c>
      <c r="D3929" t="str">
        <f>IFERROR(__xludf.DUMMYFUNCTION("""COMPUTED_VALUE"""),"")</f>
        <v/>
      </c>
      <c r="E3929" t="str">
        <f>IFERROR(__xludf.DUMMYFUNCTION("""COMPUTED_VALUE"""),"")</f>
        <v/>
      </c>
      <c r="F3929" t="str">
        <f>IFERROR(__xludf.DUMMYFUNCTION("""COMPUTED_VALUE"""),"")</f>
        <v/>
      </c>
      <c r="G3929" t="str">
        <f>IFERROR(__xludf.DUMMYFUNCTION("""COMPUTED_VALUE"""),"")</f>
        <v/>
      </c>
      <c r="H3929" s="2" t="str">
        <f>IFERROR(__xludf.DUMMYFUNCTION("""COMPUTED_VALUE"""),"")</f>
        <v/>
      </c>
      <c r="I3929" s="2" t="str">
        <f>IFERROR(__xludf.DUMMYFUNCTION("""COMPUTED_VALUE"""),"")</f>
        <v/>
      </c>
      <c r="J3929" s="2">
        <f>IFERROR(__xludf.DUMMYFUNCTION("""COMPUTED_VALUE"""),0.0)</f>
        <v>0</v>
      </c>
      <c r="K3929" s="5" t="str">
        <f>IFERROR(__xludf.DUMMYFUNCTION("""COMPUTED_VALUE"""),"")</f>
        <v/>
      </c>
      <c r="L3929" t="str">
        <f>IFERROR(__xludf.DUMMYFUNCTION("""COMPUTED_VALUE"""),"")</f>
        <v/>
      </c>
      <c r="M3929" t="str">
        <f>IFERROR(__xludf.DUMMYFUNCTION("""COMPUTED_VALUE"""),"")</f>
        <v/>
      </c>
      <c r="N3929" t="str">
        <f>IFERROR(__xludf.DUMMYFUNCTION("""COMPUTED_VALUE"""),"")</f>
        <v/>
      </c>
      <c r="O3929" t="str">
        <f>IFERROR(__xludf.DUMMYFUNCTION("""COMPUTED_VALUE"""),"")</f>
        <v/>
      </c>
      <c r="P3929" t="str">
        <f>IFERROR(__xludf.DUMMYFUNCTION("""COMPUTED_VALUE"""),"ID ")</f>
        <v>ID </v>
      </c>
    </row>
    <row r="3930">
      <c r="A3930" s="6" t="str">
        <f>IFERROR(__xludf.DUMMYFUNCTION("""COMPUTED_VALUE"""),"")</f>
        <v/>
      </c>
      <c r="C3930" t="str">
        <f>IFERROR(__xludf.DUMMYFUNCTION("""COMPUTED_VALUE"""),"")</f>
        <v/>
      </c>
      <c r="D3930" t="str">
        <f>IFERROR(__xludf.DUMMYFUNCTION("""COMPUTED_VALUE"""),"")</f>
        <v/>
      </c>
      <c r="E3930" t="str">
        <f>IFERROR(__xludf.DUMMYFUNCTION("""COMPUTED_VALUE"""),"")</f>
        <v/>
      </c>
      <c r="F3930" t="str">
        <f>IFERROR(__xludf.DUMMYFUNCTION("""COMPUTED_VALUE"""),"")</f>
        <v/>
      </c>
      <c r="G3930" t="str">
        <f>IFERROR(__xludf.DUMMYFUNCTION("""COMPUTED_VALUE"""),"")</f>
        <v/>
      </c>
      <c r="H3930" s="2" t="str">
        <f>IFERROR(__xludf.DUMMYFUNCTION("""COMPUTED_VALUE"""),"")</f>
        <v/>
      </c>
      <c r="I3930" s="2" t="str">
        <f>IFERROR(__xludf.DUMMYFUNCTION("""COMPUTED_VALUE"""),"")</f>
        <v/>
      </c>
      <c r="J3930" s="2">
        <f>IFERROR(__xludf.DUMMYFUNCTION("""COMPUTED_VALUE"""),0.0)</f>
        <v>0</v>
      </c>
      <c r="K3930" s="5" t="str">
        <f>IFERROR(__xludf.DUMMYFUNCTION("""COMPUTED_VALUE"""),"")</f>
        <v/>
      </c>
      <c r="L3930" t="str">
        <f>IFERROR(__xludf.DUMMYFUNCTION("""COMPUTED_VALUE"""),"")</f>
        <v/>
      </c>
      <c r="M3930" t="str">
        <f>IFERROR(__xludf.DUMMYFUNCTION("""COMPUTED_VALUE"""),"")</f>
        <v/>
      </c>
      <c r="N3930" t="str">
        <f>IFERROR(__xludf.DUMMYFUNCTION("""COMPUTED_VALUE"""),"")</f>
        <v/>
      </c>
      <c r="O3930" t="str">
        <f>IFERROR(__xludf.DUMMYFUNCTION("""COMPUTED_VALUE"""),"")</f>
        <v/>
      </c>
      <c r="P3930" t="str">
        <f>IFERROR(__xludf.DUMMYFUNCTION("""COMPUTED_VALUE"""),"ID ")</f>
        <v>ID </v>
      </c>
    </row>
    <row r="3931">
      <c r="A3931" s="6" t="str">
        <f>IFERROR(__xludf.DUMMYFUNCTION("""COMPUTED_VALUE"""),"")</f>
        <v/>
      </c>
      <c r="C3931" t="str">
        <f>IFERROR(__xludf.DUMMYFUNCTION("""COMPUTED_VALUE"""),"")</f>
        <v/>
      </c>
      <c r="D3931" t="str">
        <f>IFERROR(__xludf.DUMMYFUNCTION("""COMPUTED_VALUE"""),"")</f>
        <v/>
      </c>
      <c r="E3931" t="str">
        <f>IFERROR(__xludf.DUMMYFUNCTION("""COMPUTED_VALUE"""),"")</f>
        <v/>
      </c>
      <c r="F3931" t="str">
        <f>IFERROR(__xludf.DUMMYFUNCTION("""COMPUTED_VALUE"""),"")</f>
        <v/>
      </c>
      <c r="G3931" t="str">
        <f>IFERROR(__xludf.DUMMYFUNCTION("""COMPUTED_VALUE"""),"")</f>
        <v/>
      </c>
      <c r="H3931" s="2" t="str">
        <f>IFERROR(__xludf.DUMMYFUNCTION("""COMPUTED_VALUE"""),"")</f>
        <v/>
      </c>
      <c r="I3931" s="2" t="str">
        <f>IFERROR(__xludf.DUMMYFUNCTION("""COMPUTED_VALUE"""),"")</f>
        <v/>
      </c>
      <c r="J3931" s="2">
        <f>IFERROR(__xludf.DUMMYFUNCTION("""COMPUTED_VALUE"""),0.0)</f>
        <v>0</v>
      </c>
      <c r="K3931" s="5" t="str">
        <f>IFERROR(__xludf.DUMMYFUNCTION("""COMPUTED_VALUE"""),"")</f>
        <v/>
      </c>
      <c r="L3931" t="str">
        <f>IFERROR(__xludf.DUMMYFUNCTION("""COMPUTED_VALUE"""),"")</f>
        <v/>
      </c>
      <c r="M3931" t="str">
        <f>IFERROR(__xludf.DUMMYFUNCTION("""COMPUTED_VALUE"""),"")</f>
        <v/>
      </c>
      <c r="N3931" t="str">
        <f>IFERROR(__xludf.DUMMYFUNCTION("""COMPUTED_VALUE"""),"")</f>
        <v/>
      </c>
      <c r="O3931" t="str">
        <f>IFERROR(__xludf.DUMMYFUNCTION("""COMPUTED_VALUE"""),"")</f>
        <v/>
      </c>
      <c r="P3931" t="str">
        <f>IFERROR(__xludf.DUMMYFUNCTION("""COMPUTED_VALUE"""),"ID ")</f>
        <v>ID </v>
      </c>
    </row>
    <row r="3932">
      <c r="A3932" s="6" t="str">
        <f>IFERROR(__xludf.DUMMYFUNCTION("""COMPUTED_VALUE"""),"")</f>
        <v/>
      </c>
      <c r="C3932" t="str">
        <f>IFERROR(__xludf.DUMMYFUNCTION("""COMPUTED_VALUE"""),"")</f>
        <v/>
      </c>
      <c r="D3932" t="str">
        <f>IFERROR(__xludf.DUMMYFUNCTION("""COMPUTED_VALUE"""),"")</f>
        <v/>
      </c>
      <c r="E3932" t="str">
        <f>IFERROR(__xludf.DUMMYFUNCTION("""COMPUTED_VALUE"""),"")</f>
        <v/>
      </c>
      <c r="F3932" t="str">
        <f>IFERROR(__xludf.DUMMYFUNCTION("""COMPUTED_VALUE"""),"")</f>
        <v/>
      </c>
      <c r="G3932" t="str">
        <f>IFERROR(__xludf.DUMMYFUNCTION("""COMPUTED_VALUE"""),"")</f>
        <v/>
      </c>
      <c r="H3932" s="2" t="str">
        <f>IFERROR(__xludf.DUMMYFUNCTION("""COMPUTED_VALUE"""),"")</f>
        <v/>
      </c>
      <c r="I3932" s="2" t="str">
        <f>IFERROR(__xludf.DUMMYFUNCTION("""COMPUTED_VALUE"""),"")</f>
        <v/>
      </c>
      <c r="J3932" s="2">
        <f>IFERROR(__xludf.DUMMYFUNCTION("""COMPUTED_VALUE"""),0.0)</f>
        <v>0</v>
      </c>
      <c r="K3932" s="5" t="str">
        <f>IFERROR(__xludf.DUMMYFUNCTION("""COMPUTED_VALUE"""),"")</f>
        <v/>
      </c>
      <c r="L3932" t="str">
        <f>IFERROR(__xludf.DUMMYFUNCTION("""COMPUTED_VALUE"""),"")</f>
        <v/>
      </c>
      <c r="M3932" t="str">
        <f>IFERROR(__xludf.DUMMYFUNCTION("""COMPUTED_VALUE"""),"")</f>
        <v/>
      </c>
      <c r="N3932" t="str">
        <f>IFERROR(__xludf.DUMMYFUNCTION("""COMPUTED_VALUE"""),"")</f>
        <v/>
      </c>
      <c r="O3932" t="str">
        <f>IFERROR(__xludf.DUMMYFUNCTION("""COMPUTED_VALUE"""),"")</f>
        <v/>
      </c>
      <c r="P3932" t="str">
        <f>IFERROR(__xludf.DUMMYFUNCTION("""COMPUTED_VALUE"""),"ID ")</f>
        <v>ID </v>
      </c>
    </row>
    <row r="3933">
      <c r="A3933" s="6" t="str">
        <f>IFERROR(__xludf.DUMMYFUNCTION("""COMPUTED_VALUE"""),"")</f>
        <v/>
      </c>
      <c r="C3933" t="str">
        <f>IFERROR(__xludf.DUMMYFUNCTION("""COMPUTED_VALUE"""),"")</f>
        <v/>
      </c>
      <c r="D3933" t="str">
        <f>IFERROR(__xludf.DUMMYFUNCTION("""COMPUTED_VALUE"""),"")</f>
        <v/>
      </c>
      <c r="E3933" t="str">
        <f>IFERROR(__xludf.DUMMYFUNCTION("""COMPUTED_VALUE"""),"")</f>
        <v/>
      </c>
      <c r="F3933" t="str">
        <f>IFERROR(__xludf.DUMMYFUNCTION("""COMPUTED_VALUE"""),"")</f>
        <v/>
      </c>
      <c r="G3933" t="str">
        <f>IFERROR(__xludf.DUMMYFUNCTION("""COMPUTED_VALUE"""),"")</f>
        <v/>
      </c>
      <c r="H3933" s="2" t="str">
        <f>IFERROR(__xludf.DUMMYFUNCTION("""COMPUTED_VALUE"""),"")</f>
        <v/>
      </c>
      <c r="I3933" s="2" t="str">
        <f>IFERROR(__xludf.DUMMYFUNCTION("""COMPUTED_VALUE"""),"")</f>
        <v/>
      </c>
      <c r="J3933" s="2">
        <f>IFERROR(__xludf.DUMMYFUNCTION("""COMPUTED_VALUE"""),0.0)</f>
        <v>0</v>
      </c>
      <c r="K3933" s="5" t="str">
        <f>IFERROR(__xludf.DUMMYFUNCTION("""COMPUTED_VALUE"""),"")</f>
        <v/>
      </c>
      <c r="L3933" t="str">
        <f>IFERROR(__xludf.DUMMYFUNCTION("""COMPUTED_VALUE"""),"")</f>
        <v/>
      </c>
      <c r="M3933" t="str">
        <f>IFERROR(__xludf.DUMMYFUNCTION("""COMPUTED_VALUE"""),"")</f>
        <v/>
      </c>
      <c r="N3933" t="str">
        <f>IFERROR(__xludf.DUMMYFUNCTION("""COMPUTED_VALUE"""),"")</f>
        <v/>
      </c>
      <c r="O3933" t="str">
        <f>IFERROR(__xludf.DUMMYFUNCTION("""COMPUTED_VALUE"""),"")</f>
        <v/>
      </c>
      <c r="P3933" t="str">
        <f>IFERROR(__xludf.DUMMYFUNCTION("""COMPUTED_VALUE"""),"ID ")</f>
        <v>ID </v>
      </c>
    </row>
    <row r="3934">
      <c r="A3934" s="6" t="str">
        <f>IFERROR(__xludf.DUMMYFUNCTION("""COMPUTED_VALUE"""),"")</f>
        <v/>
      </c>
      <c r="C3934" t="str">
        <f>IFERROR(__xludf.DUMMYFUNCTION("""COMPUTED_VALUE"""),"")</f>
        <v/>
      </c>
      <c r="D3934" t="str">
        <f>IFERROR(__xludf.DUMMYFUNCTION("""COMPUTED_VALUE"""),"")</f>
        <v/>
      </c>
      <c r="E3934" t="str">
        <f>IFERROR(__xludf.DUMMYFUNCTION("""COMPUTED_VALUE"""),"")</f>
        <v/>
      </c>
      <c r="F3934" t="str">
        <f>IFERROR(__xludf.DUMMYFUNCTION("""COMPUTED_VALUE"""),"")</f>
        <v/>
      </c>
      <c r="G3934" t="str">
        <f>IFERROR(__xludf.DUMMYFUNCTION("""COMPUTED_VALUE"""),"")</f>
        <v/>
      </c>
      <c r="H3934" s="2" t="str">
        <f>IFERROR(__xludf.DUMMYFUNCTION("""COMPUTED_VALUE"""),"")</f>
        <v/>
      </c>
      <c r="I3934" s="2" t="str">
        <f>IFERROR(__xludf.DUMMYFUNCTION("""COMPUTED_VALUE"""),"")</f>
        <v/>
      </c>
      <c r="J3934" s="2">
        <f>IFERROR(__xludf.DUMMYFUNCTION("""COMPUTED_VALUE"""),0.0)</f>
        <v>0</v>
      </c>
      <c r="K3934" s="5" t="str">
        <f>IFERROR(__xludf.DUMMYFUNCTION("""COMPUTED_VALUE"""),"")</f>
        <v/>
      </c>
      <c r="L3934" t="str">
        <f>IFERROR(__xludf.DUMMYFUNCTION("""COMPUTED_VALUE"""),"")</f>
        <v/>
      </c>
      <c r="M3934" t="str">
        <f>IFERROR(__xludf.DUMMYFUNCTION("""COMPUTED_VALUE"""),"")</f>
        <v/>
      </c>
      <c r="N3934" t="str">
        <f>IFERROR(__xludf.DUMMYFUNCTION("""COMPUTED_VALUE"""),"")</f>
        <v/>
      </c>
      <c r="O3934" t="str">
        <f>IFERROR(__xludf.DUMMYFUNCTION("""COMPUTED_VALUE"""),"")</f>
        <v/>
      </c>
      <c r="P3934" t="str">
        <f>IFERROR(__xludf.DUMMYFUNCTION("""COMPUTED_VALUE"""),"ID ")</f>
        <v>ID </v>
      </c>
    </row>
    <row r="3935">
      <c r="A3935" s="6" t="str">
        <f>IFERROR(__xludf.DUMMYFUNCTION("""COMPUTED_VALUE"""),"")</f>
        <v/>
      </c>
      <c r="C3935" t="str">
        <f>IFERROR(__xludf.DUMMYFUNCTION("""COMPUTED_VALUE"""),"")</f>
        <v/>
      </c>
      <c r="D3935" t="str">
        <f>IFERROR(__xludf.DUMMYFUNCTION("""COMPUTED_VALUE"""),"")</f>
        <v/>
      </c>
      <c r="E3935" t="str">
        <f>IFERROR(__xludf.DUMMYFUNCTION("""COMPUTED_VALUE"""),"")</f>
        <v/>
      </c>
      <c r="F3935" t="str">
        <f>IFERROR(__xludf.DUMMYFUNCTION("""COMPUTED_VALUE"""),"")</f>
        <v/>
      </c>
      <c r="G3935" t="str">
        <f>IFERROR(__xludf.DUMMYFUNCTION("""COMPUTED_VALUE"""),"")</f>
        <v/>
      </c>
      <c r="H3935" s="2" t="str">
        <f>IFERROR(__xludf.DUMMYFUNCTION("""COMPUTED_VALUE"""),"")</f>
        <v/>
      </c>
      <c r="I3935" s="2" t="str">
        <f>IFERROR(__xludf.DUMMYFUNCTION("""COMPUTED_VALUE"""),"")</f>
        <v/>
      </c>
      <c r="J3935" s="2">
        <f>IFERROR(__xludf.DUMMYFUNCTION("""COMPUTED_VALUE"""),0.0)</f>
        <v>0</v>
      </c>
      <c r="K3935" s="5" t="str">
        <f>IFERROR(__xludf.DUMMYFUNCTION("""COMPUTED_VALUE"""),"")</f>
        <v/>
      </c>
      <c r="L3935" t="str">
        <f>IFERROR(__xludf.DUMMYFUNCTION("""COMPUTED_VALUE"""),"")</f>
        <v/>
      </c>
      <c r="M3935" t="str">
        <f>IFERROR(__xludf.DUMMYFUNCTION("""COMPUTED_VALUE"""),"")</f>
        <v/>
      </c>
      <c r="N3935" t="str">
        <f>IFERROR(__xludf.DUMMYFUNCTION("""COMPUTED_VALUE"""),"")</f>
        <v/>
      </c>
      <c r="O3935" t="str">
        <f>IFERROR(__xludf.DUMMYFUNCTION("""COMPUTED_VALUE"""),"")</f>
        <v/>
      </c>
      <c r="P3935" t="str">
        <f>IFERROR(__xludf.DUMMYFUNCTION("""COMPUTED_VALUE"""),"ID ")</f>
        <v>ID </v>
      </c>
    </row>
    <row r="3936">
      <c r="A3936" s="6" t="str">
        <f>IFERROR(__xludf.DUMMYFUNCTION("""COMPUTED_VALUE"""),"")</f>
        <v/>
      </c>
      <c r="C3936" t="str">
        <f>IFERROR(__xludf.DUMMYFUNCTION("""COMPUTED_VALUE"""),"")</f>
        <v/>
      </c>
      <c r="D3936" t="str">
        <f>IFERROR(__xludf.DUMMYFUNCTION("""COMPUTED_VALUE"""),"")</f>
        <v/>
      </c>
      <c r="E3936" t="str">
        <f>IFERROR(__xludf.DUMMYFUNCTION("""COMPUTED_VALUE"""),"")</f>
        <v/>
      </c>
      <c r="F3936" t="str">
        <f>IFERROR(__xludf.DUMMYFUNCTION("""COMPUTED_VALUE"""),"")</f>
        <v/>
      </c>
      <c r="G3936" t="str">
        <f>IFERROR(__xludf.DUMMYFUNCTION("""COMPUTED_VALUE"""),"")</f>
        <v/>
      </c>
      <c r="H3936" s="2" t="str">
        <f>IFERROR(__xludf.DUMMYFUNCTION("""COMPUTED_VALUE"""),"")</f>
        <v/>
      </c>
      <c r="I3936" s="2" t="str">
        <f>IFERROR(__xludf.DUMMYFUNCTION("""COMPUTED_VALUE"""),"")</f>
        <v/>
      </c>
      <c r="J3936" s="2">
        <f>IFERROR(__xludf.DUMMYFUNCTION("""COMPUTED_VALUE"""),0.0)</f>
        <v>0</v>
      </c>
      <c r="K3936" s="5" t="str">
        <f>IFERROR(__xludf.DUMMYFUNCTION("""COMPUTED_VALUE"""),"")</f>
        <v/>
      </c>
      <c r="L3936" t="str">
        <f>IFERROR(__xludf.DUMMYFUNCTION("""COMPUTED_VALUE"""),"")</f>
        <v/>
      </c>
      <c r="M3936" t="str">
        <f>IFERROR(__xludf.DUMMYFUNCTION("""COMPUTED_VALUE"""),"")</f>
        <v/>
      </c>
      <c r="N3936" t="str">
        <f>IFERROR(__xludf.DUMMYFUNCTION("""COMPUTED_VALUE"""),"")</f>
        <v/>
      </c>
      <c r="O3936" t="str">
        <f>IFERROR(__xludf.DUMMYFUNCTION("""COMPUTED_VALUE"""),"")</f>
        <v/>
      </c>
      <c r="P3936" t="str">
        <f>IFERROR(__xludf.DUMMYFUNCTION("""COMPUTED_VALUE"""),"ID ")</f>
        <v>ID </v>
      </c>
    </row>
    <row r="3937">
      <c r="A3937" s="6" t="str">
        <f>IFERROR(__xludf.DUMMYFUNCTION("""COMPUTED_VALUE"""),"")</f>
        <v/>
      </c>
      <c r="C3937" t="str">
        <f>IFERROR(__xludf.DUMMYFUNCTION("""COMPUTED_VALUE"""),"")</f>
        <v/>
      </c>
      <c r="D3937" t="str">
        <f>IFERROR(__xludf.DUMMYFUNCTION("""COMPUTED_VALUE"""),"")</f>
        <v/>
      </c>
      <c r="E3937" t="str">
        <f>IFERROR(__xludf.DUMMYFUNCTION("""COMPUTED_VALUE"""),"")</f>
        <v/>
      </c>
      <c r="F3937" t="str">
        <f>IFERROR(__xludf.DUMMYFUNCTION("""COMPUTED_VALUE"""),"")</f>
        <v/>
      </c>
      <c r="G3937" t="str">
        <f>IFERROR(__xludf.DUMMYFUNCTION("""COMPUTED_VALUE"""),"")</f>
        <v/>
      </c>
      <c r="H3937" s="2" t="str">
        <f>IFERROR(__xludf.DUMMYFUNCTION("""COMPUTED_VALUE"""),"")</f>
        <v/>
      </c>
      <c r="I3937" s="2" t="str">
        <f>IFERROR(__xludf.DUMMYFUNCTION("""COMPUTED_VALUE"""),"")</f>
        <v/>
      </c>
      <c r="J3937" s="2">
        <f>IFERROR(__xludf.DUMMYFUNCTION("""COMPUTED_VALUE"""),0.0)</f>
        <v>0</v>
      </c>
      <c r="K3937" s="5" t="str">
        <f>IFERROR(__xludf.DUMMYFUNCTION("""COMPUTED_VALUE"""),"")</f>
        <v/>
      </c>
      <c r="L3937" t="str">
        <f>IFERROR(__xludf.DUMMYFUNCTION("""COMPUTED_VALUE"""),"")</f>
        <v/>
      </c>
      <c r="M3937" t="str">
        <f>IFERROR(__xludf.DUMMYFUNCTION("""COMPUTED_VALUE"""),"")</f>
        <v/>
      </c>
      <c r="N3937" t="str">
        <f>IFERROR(__xludf.DUMMYFUNCTION("""COMPUTED_VALUE"""),"")</f>
        <v/>
      </c>
      <c r="O3937" t="str">
        <f>IFERROR(__xludf.DUMMYFUNCTION("""COMPUTED_VALUE"""),"")</f>
        <v/>
      </c>
      <c r="P3937" t="str">
        <f>IFERROR(__xludf.DUMMYFUNCTION("""COMPUTED_VALUE"""),"ID ")</f>
        <v>ID </v>
      </c>
    </row>
    <row r="3938">
      <c r="A3938" s="6" t="str">
        <f>IFERROR(__xludf.DUMMYFUNCTION("""COMPUTED_VALUE"""),"")</f>
        <v/>
      </c>
      <c r="C3938" t="str">
        <f>IFERROR(__xludf.DUMMYFUNCTION("""COMPUTED_VALUE"""),"")</f>
        <v/>
      </c>
      <c r="D3938" t="str">
        <f>IFERROR(__xludf.DUMMYFUNCTION("""COMPUTED_VALUE"""),"")</f>
        <v/>
      </c>
      <c r="E3938" t="str">
        <f>IFERROR(__xludf.DUMMYFUNCTION("""COMPUTED_VALUE"""),"")</f>
        <v/>
      </c>
      <c r="F3938" t="str">
        <f>IFERROR(__xludf.DUMMYFUNCTION("""COMPUTED_VALUE"""),"")</f>
        <v/>
      </c>
      <c r="G3938" t="str">
        <f>IFERROR(__xludf.DUMMYFUNCTION("""COMPUTED_VALUE"""),"")</f>
        <v/>
      </c>
      <c r="H3938" s="2" t="str">
        <f>IFERROR(__xludf.DUMMYFUNCTION("""COMPUTED_VALUE"""),"")</f>
        <v/>
      </c>
      <c r="I3938" s="2" t="str">
        <f>IFERROR(__xludf.DUMMYFUNCTION("""COMPUTED_VALUE"""),"")</f>
        <v/>
      </c>
      <c r="J3938" s="2">
        <f>IFERROR(__xludf.DUMMYFUNCTION("""COMPUTED_VALUE"""),0.0)</f>
        <v>0</v>
      </c>
      <c r="K3938" s="5" t="str">
        <f>IFERROR(__xludf.DUMMYFUNCTION("""COMPUTED_VALUE"""),"")</f>
        <v/>
      </c>
      <c r="L3938" t="str">
        <f>IFERROR(__xludf.DUMMYFUNCTION("""COMPUTED_VALUE"""),"")</f>
        <v/>
      </c>
      <c r="M3938" t="str">
        <f>IFERROR(__xludf.DUMMYFUNCTION("""COMPUTED_VALUE"""),"")</f>
        <v/>
      </c>
      <c r="N3938" t="str">
        <f>IFERROR(__xludf.DUMMYFUNCTION("""COMPUTED_VALUE"""),"")</f>
        <v/>
      </c>
      <c r="O3938" t="str">
        <f>IFERROR(__xludf.DUMMYFUNCTION("""COMPUTED_VALUE"""),"")</f>
        <v/>
      </c>
      <c r="P3938" t="str">
        <f>IFERROR(__xludf.DUMMYFUNCTION("""COMPUTED_VALUE"""),"ID ")</f>
        <v>ID </v>
      </c>
    </row>
    <row r="3939">
      <c r="A3939" s="6" t="str">
        <f>IFERROR(__xludf.DUMMYFUNCTION("""COMPUTED_VALUE"""),"")</f>
        <v/>
      </c>
      <c r="C3939" t="str">
        <f>IFERROR(__xludf.DUMMYFUNCTION("""COMPUTED_VALUE"""),"")</f>
        <v/>
      </c>
      <c r="D3939" t="str">
        <f>IFERROR(__xludf.DUMMYFUNCTION("""COMPUTED_VALUE"""),"")</f>
        <v/>
      </c>
      <c r="E3939" t="str">
        <f>IFERROR(__xludf.DUMMYFUNCTION("""COMPUTED_VALUE"""),"")</f>
        <v/>
      </c>
      <c r="F3939" t="str">
        <f>IFERROR(__xludf.DUMMYFUNCTION("""COMPUTED_VALUE"""),"")</f>
        <v/>
      </c>
      <c r="G3939" t="str">
        <f>IFERROR(__xludf.DUMMYFUNCTION("""COMPUTED_VALUE"""),"")</f>
        <v/>
      </c>
      <c r="H3939" s="2" t="str">
        <f>IFERROR(__xludf.DUMMYFUNCTION("""COMPUTED_VALUE"""),"")</f>
        <v/>
      </c>
      <c r="I3939" s="2" t="str">
        <f>IFERROR(__xludf.DUMMYFUNCTION("""COMPUTED_VALUE"""),"")</f>
        <v/>
      </c>
      <c r="J3939" s="2">
        <f>IFERROR(__xludf.DUMMYFUNCTION("""COMPUTED_VALUE"""),0.0)</f>
        <v>0</v>
      </c>
      <c r="K3939" s="5" t="str">
        <f>IFERROR(__xludf.DUMMYFUNCTION("""COMPUTED_VALUE"""),"")</f>
        <v/>
      </c>
      <c r="L3939" t="str">
        <f>IFERROR(__xludf.DUMMYFUNCTION("""COMPUTED_VALUE"""),"")</f>
        <v/>
      </c>
      <c r="M3939" t="str">
        <f>IFERROR(__xludf.DUMMYFUNCTION("""COMPUTED_VALUE"""),"")</f>
        <v/>
      </c>
      <c r="N3939" t="str">
        <f>IFERROR(__xludf.DUMMYFUNCTION("""COMPUTED_VALUE"""),"")</f>
        <v/>
      </c>
      <c r="O3939" t="str">
        <f>IFERROR(__xludf.DUMMYFUNCTION("""COMPUTED_VALUE"""),"")</f>
        <v/>
      </c>
      <c r="P3939" t="str">
        <f>IFERROR(__xludf.DUMMYFUNCTION("""COMPUTED_VALUE"""),"ID ")</f>
        <v>ID </v>
      </c>
    </row>
    <row r="3940">
      <c r="A3940" s="6" t="str">
        <f>IFERROR(__xludf.DUMMYFUNCTION("""COMPUTED_VALUE"""),"")</f>
        <v/>
      </c>
      <c r="C3940" t="str">
        <f>IFERROR(__xludf.DUMMYFUNCTION("""COMPUTED_VALUE"""),"")</f>
        <v/>
      </c>
      <c r="D3940" t="str">
        <f>IFERROR(__xludf.DUMMYFUNCTION("""COMPUTED_VALUE"""),"")</f>
        <v/>
      </c>
      <c r="E3940" t="str">
        <f>IFERROR(__xludf.DUMMYFUNCTION("""COMPUTED_VALUE"""),"")</f>
        <v/>
      </c>
      <c r="F3940" t="str">
        <f>IFERROR(__xludf.DUMMYFUNCTION("""COMPUTED_VALUE"""),"")</f>
        <v/>
      </c>
      <c r="G3940" t="str">
        <f>IFERROR(__xludf.DUMMYFUNCTION("""COMPUTED_VALUE"""),"")</f>
        <v/>
      </c>
      <c r="H3940" s="2" t="str">
        <f>IFERROR(__xludf.DUMMYFUNCTION("""COMPUTED_VALUE"""),"")</f>
        <v/>
      </c>
      <c r="I3940" s="2" t="str">
        <f>IFERROR(__xludf.DUMMYFUNCTION("""COMPUTED_VALUE"""),"")</f>
        <v/>
      </c>
      <c r="J3940" s="2">
        <f>IFERROR(__xludf.DUMMYFUNCTION("""COMPUTED_VALUE"""),0.0)</f>
        <v>0</v>
      </c>
      <c r="K3940" s="5" t="str">
        <f>IFERROR(__xludf.DUMMYFUNCTION("""COMPUTED_VALUE"""),"")</f>
        <v/>
      </c>
      <c r="L3940" t="str">
        <f>IFERROR(__xludf.DUMMYFUNCTION("""COMPUTED_VALUE"""),"")</f>
        <v/>
      </c>
      <c r="M3940" t="str">
        <f>IFERROR(__xludf.DUMMYFUNCTION("""COMPUTED_VALUE"""),"")</f>
        <v/>
      </c>
      <c r="N3940" t="str">
        <f>IFERROR(__xludf.DUMMYFUNCTION("""COMPUTED_VALUE"""),"")</f>
        <v/>
      </c>
      <c r="O3940" t="str">
        <f>IFERROR(__xludf.DUMMYFUNCTION("""COMPUTED_VALUE"""),"")</f>
        <v/>
      </c>
      <c r="P3940" t="str">
        <f>IFERROR(__xludf.DUMMYFUNCTION("""COMPUTED_VALUE"""),"ID ")</f>
        <v>ID </v>
      </c>
    </row>
    <row r="3941">
      <c r="A3941" s="6" t="str">
        <f>IFERROR(__xludf.DUMMYFUNCTION("""COMPUTED_VALUE"""),"")</f>
        <v/>
      </c>
      <c r="C3941" t="str">
        <f>IFERROR(__xludf.DUMMYFUNCTION("""COMPUTED_VALUE"""),"")</f>
        <v/>
      </c>
      <c r="D3941" t="str">
        <f>IFERROR(__xludf.DUMMYFUNCTION("""COMPUTED_VALUE"""),"")</f>
        <v/>
      </c>
      <c r="E3941" t="str">
        <f>IFERROR(__xludf.DUMMYFUNCTION("""COMPUTED_VALUE"""),"")</f>
        <v/>
      </c>
      <c r="F3941" t="str">
        <f>IFERROR(__xludf.DUMMYFUNCTION("""COMPUTED_VALUE"""),"")</f>
        <v/>
      </c>
      <c r="G3941" t="str">
        <f>IFERROR(__xludf.DUMMYFUNCTION("""COMPUTED_VALUE"""),"")</f>
        <v/>
      </c>
      <c r="H3941" s="2" t="str">
        <f>IFERROR(__xludf.DUMMYFUNCTION("""COMPUTED_VALUE"""),"")</f>
        <v/>
      </c>
      <c r="I3941" s="2" t="str">
        <f>IFERROR(__xludf.DUMMYFUNCTION("""COMPUTED_VALUE"""),"")</f>
        <v/>
      </c>
      <c r="J3941" s="2">
        <f>IFERROR(__xludf.DUMMYFUNCTION("""COMPUTED_VALUE"""),0.0)</f>
        <v>0</v>
      </c>
      <c r="K3941" s="5" t="str">
        <f>IFERROR(__xludf.DUMMYFUNCTION("""COMPUTED_VALUE"""),"")</f>
        <v/>
      </c>
      <c r="L3941" t="str">
        <f>IFERROR(__xludf.DUMMYFUNCTION("""COMPUTED_VALUE"""),"")</f>
        <v/>
      </c>
      <c r="M3941" t="str">
        <f>IFERROR(__xludf.DUMMYFUNCTION("""COMPUTED_VALUE"""),"")</f>
        <v/>
      </c>
      <c r="N3941" t="str">
        <f>IFERROR(__xludf.DUMMYFUNCTION("""COMPUTED_VALUE"""),"")</f>
        <v/>
      </c>
      <c r="O3941" t="str">
        <f>IFERROR(__xludf.DUMMYFUNCTION("""COMPUTED_VALUE"""),"")</f>
        <v/>
      </c>
      <c r="P3941" t="str">
        <f>IFERROR(__xludf.DUMMYFUNCTION("""COMPUTED_VALUE"""),"ID ")</f>
        <v>ID </v>
      </c>
    </row>
    <row r="3942">
      <c r="A3942" s="6" t="str">
        <f>IFERROR(__xludf.DUMMYFUNCTION("""COMPUTED_VALUE"""),"")</f>
        <v/>
      </c>
      <c r="C3942" t="str">
        <f>IFERROR(__xludf.DUMMYFUNCTION("""COMPUTED_VALUE"""),"")</f>
        <v/>
      </c>
      <c r="D3942" t="str">
        <f>IFERROR(__xludf.DUMMYFUNCTION("""COMPUTED_VALUE"""),"")</f>
        <v/>
      </c>
      <c r="E3942" t="str">
        <f>IFERROR(__xludf.DUMMYFUNCTION("""COMPUTED_VALUE"""),"")</f>
        <v/>
      </c>
      <c r="F3942" t="str">
        <f>IFERROR(__xludf.DUMMYFUNCTION("""COMPUTED_VALUE"""),"")</f>
        <v/>
      </c>
      <c r="G3942" t="str">
        <f>IFERROR(__xludf.DUMMYFUNCTION("""COMPUTED_VALUE"""),"")</f>
        <v/>
      </c>
      <c r="H3942" s="2" t="str">
        <f>IFERROR(__xludf.DUMMYFUNCTION("""COMPUTED_VALUE"""),"")</f>
        <v/>
      </c>
      <c r="I3942" s="2" t="str">
        <f>IFERROR(__xludf.DUMMYFUNCTION("""COMPUTED_VALUE"""),"")</f>
        <v/>
      </c>
      <c r="J3942" s="2">
        <f>IFERROR(__xludf.DUMMYFUNCTION("""COMPUTED_VALUE"""),0.0)</f>
        <v>0</v>
      </c>
      <c r="K3942" s="5" t="str">
        <f>IFERROR(__xludf.DUMMYFUNCTION("""COMPUTED_VALUE"""),"")</f>
        <v/>
      </c>
      <c r="L3942" t="str">
        <f>IFERROR(__xludf.DUMMYFUNCTION("""COMPUTED_VALUE"""),"")</f>
        <v/>
      </c>
      <c r="M3942" t="str">
        <f>IFERROR(__xludf.DUMMYFUNCTION("""COMPUTED_VALUE"""),"")</f>
        <v/>
      </c>
      <c r="N3942" t="str">
        <f>IFERROR(__xludf.DUMMYFUNCTION("""COMPUTED_VALUE"""),"")</f>
        <v/>
      </c>
      <c r="O3942" t="str">
        <f>IFERROR(__xludf.DUMMYFUNCTION("""COMPUTED_VALUE"""),"")</f>
        <v/>
      </c>
      <c r="P3942" t="str">
        <f>IFERROR(__xludf.DUMMYFUNCTION("""COMPUTED_VALUE"""),"ID ")</f>
        <v>ID </v>
      </c>
    </row>
    <row r="3943">
      <c r="A3943" s="6" t="str">
        <f>IFERROR(__xludf.DUMMYFUNCTION("""COMPUTED_VALUE"""),"")</f>
        <v/>
      </c>
      <c r="C3943" t="str">
        <f>IFERROR(__xludf.DUMMYFUNCTION("""COMPUTED_VALUE"""),"")</f>
        <v/>
      </c>
      <c r="D3943" t="str">
        <f>IFERROR(__xludf.DUMMYFUNCTION("""COMPUTED_VALUE"""),"")</f>
        <v/>
      </c>
      <c r="E3943" t="str">
        <f>IFERROR(__xludf.DUMMYFUNCTION("""COMPUTED_VALUE"""),"")</f>
        <v/>
      </c>
      <c r="F3943" t="str">
        <f>IFERROR(__xludf.DUMMYFUNCTION("""COMPUTED_VALUE"""),"")</f>
        <v/>
      </c>
      <c r="G3943" t="str">
        <f>IFERROR(__xludf.DUMMYFUNCTION("""COMPUTED_VALUE"""),"")</f>
        <v/>
      </c>
      <c r="H3943" s="2" t="str">
        <f>IFERROR(__xludf.DUMMYFUNCTION("""COMPUTED_VALUE"""),"")</f>
        <v/>
      </c>
      <c r="I3943" s="2" t="str">
        <f>IFERROR(__xludf.DUMMYFUNCTION("""COMPUTED_VALUE"""),"")</f>
        <v/>
      </c>
      <c r="J3943" s="2">
        <f>IFERROR(__xludf.DUMMYFUNCTION("""COMPUTED_VALUE"""),0.0)</f>
        <v>0</v>
      </c>
      <c r="K3943" s="5" t="str">
        <f>IFERROR(__xludf.DUMMYFUNCTION("""COMPUTED_VALUE"""),"")</f>
        <v/>
      </c>
      <c r="L3943" t="str">
        <f>IFERROR(__xludf.DUMMYFUNCTION("""COMPUTED_VALUE"""),"")</f>
        <v/>
      </c>
      <c r="M3943" t="str">
        <f>IFERROR(__xludf.DUMMYFUNCTION("""COMPUTED_VALUE"""),"")</f>
        <v/>
      </c>
      <c r="N3943" t="str">
        <f>IFERROR(__xludf.DUMMYFUNCTION("""COMPUTED_VALUE"""),"")</f>
        <v/>
      </c>
      <c r="O3943" t="str">
        <f>IFERROR(__xludf.DUMMYFUNCTION("""COMPUTED_VALUE"""),"")</f>
        <v/>
      </c>
      <c r="P3943" t="str">
        <f>IFERROR(__xludf.DUMMYFUNCTION("""COMPUTED_VALUE"""),"ID ")</f>
        <v>ID </v>
      </c>
    </row>
    <row r="3944">
      <c r="A3944" s="6" t="str">
        <f>IFERROR(__xludf.DUMMYFUNCTION("""COMPUTED_VALUE"""),"")</f>
        <v/>
      </c>
      <c r="C3944" t="str">
        <f>IFERROR(__xludf.DUMMYFUNCTION("""COMPUTED_VALUE"""),"")</f>
        <v/>
      </c>
      <c r="D3944" t="str">
        <f>IFERROR(__xludf.DUMMYFUNCTION("""COMPUTED_VALUE"""),"")</f>
        <v/>
      </c>
      <c r="E3944" t="str">
        <f>IFERROR(__xludf.DUMMYFUNCTION("""COMPUTED_VALUE"""),"")</f>
        <v/>
      </c>
      <c r="F3944" t="str">
        <f>IFERROR(__xludf.DUMMYFUNCTION("""COMPUTED_VALUE"""),"")</f>
        <v/>
      </c>
      <c r="G3944" t="str">
        <f>IFERROR(__xludf.DUMMYFUNCTION("""COMPUTED_VALUE"""),"")</f>
        <v/>
      </c>
      <c r="H3944" s="2" t="str">
        <f>IFERROR(__xludf.DUMMYFUNCTION("""COMPUTED_VALUE"""),"")</f>
        <v/>
      </c>
      <c r="I3944" s="2" t="str">
        <f>IFERROR(__xludf.DUMMYFUNCTION("""COMPUTED_VALUE"""),"")</f>
        <v/>
      </c>
      <c r="J3944" s="2">
        <f>IFERROR(__xludf.DUMMYFUNCTION("""COMPUTED_VALUE"""),0.0)</f>
        <v>0</v>
      </c>
      <c r="K3944" s="5" t="str">
        <f>IFERROR(__xludf.DUMMYFUNCTION("""COMPUTED_VALUE"""),"")</f>
        <v/>
      </c>
      <c r="L3944" t="str">
        <f>IFERROR(__xludf.DUMMYFUNCTION("""COMPUTED_VALUE"""),"")</f>
        <v/>
      </c>
      <c r="M3944" t="str">
        <f>IFERROR(__xludf.DUMMYFUNCTION("""COMPUTED_VALUE"""),"")</f>
        <v/>
      </c>
      <c r="N3944" t="str">
        <f>IFERROR(__xludf.DUMMYFUNCTION("""COMPUTED_VALUE"""),"")</f>
        <v/>
      </c>
      <c r="O3944" t="str">
        <f>IFERROR(__xludf.DUMMYFUNCTION("""COMPUTED_VALUE"""),"")</f>
        <v/>
      </c>
      <c r="P3944" t="str">
        <f>IFERROR(__xludf.DUMMYFUNCTION("""COMPUTED_VALUE"""),"ID ")</f>
        <v>ID </v>
      </c>
    </row>
    <row r="3945">
      <c r="A3945" s="6" t="str">
        <f>IFERROR(__xludf.DUMMYFUNCTION("""COMPUTED_VALUE"""),"")</f>
        <v/>
      </c>
      <c r="C3945" t="str">
        <f>IFERROR(__xludf.DUMMYFUNCTION("""COMPUTED_VALUE"""),"")</f>
        <v/>
      </c>
      <c r="D3945" t="str">
        <f>IFERROR(__xludf.DUMMYFUNCTION("""COMPUTED_VALUE"""),"")</f>
        <v/>
      </c>
      <c r="E3945" t="str">
        <f>IFERROR(__xludf.DUMMYFUNCTION("""COMPUTED_VALUE"""),"")</f>
        <v/>
      </c>
      <c r="F3945" t="str">
        <f>IFERROR(__xludf.DUMMYFUNCTION("""COMPUTED_VALUE"""),"")</f>
        <v/>
      </c>
      <c r="G3945" t="str">
        <f>IFERROR(__xludf.DUMMYFUNCTION("""COMPUTED_VALUE"""),"")</f>
        <v/>
      </c>
      <c r="H3945" s="2" t="str">
        <f>IFERROR(__xludf.DUMMYFUNCTION("""COMPUTED_VALUE"""),"")</f>
        <v/>
      </c>
      <c r="I3945" s="2" t="str">
        <f>IFERROR(__xludf.DUMMYFUNCTION("""COMPUTED_VALUE"""),"")</f>
        <v/>
      </c>
      <c r="J3945" s="2">
        <f>IFERROR(__xludf.DUMMYFUNCTION("""COMPUTED_VALUE"""),0.0)</f>
        <v>0</v>
      </c>
      <c r="K3945" s="5" t="str">
        <f>IFERROR(__xludf.DUMMYFUNCTION("""COMPUTED_VALUE"""),"")</f>
        <v/>
      </c>
      <c r="L3945" t="str">
        <f>IFERROR(__xludf.DUMMYFUNCTION("""COMPUTED_VALUE"""),"")</f>
        <v/>
      </c>
      <c r="M3945" t="str">
        <f>IFERROR(__xludf.DUMMYFUNCTION("""COMPUTED_VALUE"""),"")</f>
        <v/>
      </c>
      <c r="N3945" t="str">
        <f>IFERROR(__xludf.DUMMYFUNCTION("""COMPUTED_VALUE"""),"")</f>
        <v/>
      </c>
      <c r="O3945" t="str">
        <f>IFERROR(__xludf.DUMMYFUNCTION("""COMPUTED_VALUE"""),"")</f>
        <v/>
      </c>
      <c r="P3945" t="str">
        <f>IFERROR(__xludf.DUMMYFUNCTION("""COMPUTED_VALUE"""),"ID ")</f>
        <v>ID </v>
      </c>
    </row>
    <row r="3946">
      <c r="A3946" s="6" t="str">
        <f>IFERROR(__xludf.DUMMYFUNCTION("""COMPUTED_VALUE"""),"")</f>
        <v/>
      </c>
      <c r="C3946" t="str">
        <f>IFERROR(__xludf.DUMMYFUNCTION("""COMPUTED_VALUE"""),"")</f>
        <v/>
      </c>
      <c r="D3946" t="str">
        <f>IFERROR(__xludf.DUMMYFUNCTION("""COMPUTED_VALUE"""),"")</f>
        <v/>
      </c>
      <c r="E3946" t="str">
        <f>IFERROR(__xludf.DUMMYFUNCTION("""COMPUTED_VALUE"""),"")</f>
        <v/>
      </c>
      <c r="F3946" t="str">
        <f>IFERROR(__xludf.DUMMYFUNCTION("""COMPUTED_VALUE"""),"")</f>
        <v/>
      </c>
      <c r="G3946" t="str">
        <f>IFERROR(__xludf.DUMMYFUNCTION("""COMPUTED_VALUE"""),"")</f>
        <v/>
      </c>
      <c r="H3946" s="2" t="str">
        <f>IFERROR(__xludf.DUMMYFUNCTION("""COMPUTED_VALUE"""),"")</f>
        <v/>
      </c>
      <c r="I3946" s="2" t="str">
        <f>IFERROR(__xludf.DUMMYFUNCTION("""COMPUTED_VALUE"""),"")</f>
        <v/>
      </c>
      <c r="J3946" s="2">
        <f>IFERROR(__xludf.DUMMYFUNCTION("""COMPUTED_VALUE"""),0.0)</f>
        <v>0</v>
      </c>
      <c r="K3946" s="5" t="str">
        <f>IFERROR(__xludf.DUMMYFUNCTION("""COMPUTED_VALUE"""),"")</f>
        <v/>
      </c>
      <c r="L3946" t="str">
        <f>IFERROR(__xludf.DUMMYFUNCTION("""COMPUTED_VALUE"""),"")</f>
        <v/>
      </c>
      <c r="M3946" t="str">
        <f>IFERROR(__xludf.DUMMYFUNCTION("""COMPUTED_VALUE"""),"")</f>
        <v/>
      </c>
      <c r="N3946" t="str">
        <f>IFERROR(__xludf.DUMMYFUNCTION("""COMPUTED_VALUE"""),"")</f>
        <v/>
      </c>
      <c r="O3946" t="str">
        <f>IFERROR(__xludf.DUMMYFUNCTION("""COMPUTED_VALUE"""),"")</f>
        <v/>
      </c>
      <c r="P3946" t="str">
        <f>IFERROR(__xludf.DUMMYFUNCTION("""COMPUTED_VALUE"""),"ID ")</f>
        <v>ID </v>
      </c>
    </row>
    <row r="3947">
      <c r="A3947" s="6" t="str">
        <f>IFERROR(__xludf.DUMMYFUNCTION("""COMPUTED_VALUE"""),"")</f>
        <v/>
      </c>
      <c r="C3947" t="str">
        <f>IFERROR(__xludf.DUMMYFUNCTION("""COMPUTED_VALUE"""),"")</f>
        <v/>
      </c>
      <c r="D3947" t="str">
        <f>IFERROR(__xludf.DUMMYFUNCTION("""COMPUTED_VALUE"""),"")</f>
        <v/>
      </c>
      <c r="E3947" t="str">
        <f>IFERROR(__xludf.DUMMYFUNCTION("""COMPUTED_VALUE"""),"")</f>
        <v/>
      </c>
      <c r="F3947" t="str">
        <f>IFERROR(__xludf.DUMMYFUNCTION("""COMPUTED_VALUE"""),"")</f>
        <v/>
      </c>
      <c r="G3947" t="str">
        <f>IFERROR(__xludf.DUMMYFUNCTION("""COMPUTED_VALUE"""),"")</f>
        <v/>
      </c>
      <c r="H3947" s="2" t="str">
        <f>IFERROR(__xludf.DUMMYFUNCTION("""COMPUTED_VALUE"""),"")</f>
        <v/>
      </c>
      <c r="I3947" s="2" t="str">
        <f>IFERROR(__xludf.DUMMYFUNCTION("""COMPUTED_VALUE"""),"")</f>
        <v/>
      </c>
      <c r="J3947" s="2">
        <f>IFERROR(__xludf.DUMMYFUNCTION("""COMPUTED_VALUE"""),0.0)</f>
        <v>0</v>
      </c>
      <c r="K3947" s="5" t="str">
        <f>IFERROR(__xludf.DUMMYFUNCTION("""COMPUTED_VALUE"""),"")</f>
        <v/>
      </c>
      <c r="L3947" t="str">
        <f>IFERROR(__xludf.DUMMYFUNCTION("""COMPUTED_VALUE"""),"")</f>
        <v/>
      </c>
      <c r="M3947" t="str">
        <f>IFERROR(__xludf.DUMMYFUNCTION("""COMPUTED_VALUE"""),"")</f>
        <v/>
      </c>
      <c r="N3947" t="str">
        <f>IFERROR(__xludf.DUMMYFUNCTION("""COMPUTED_VALUE"""),"")</f>
        <v/>
      </c>
      <c r="O3947" t="str">
        <f>IFERROR(__xludf.DUMMYFUNCTION("""COMPUTED_VALUE"""),"")</f>
        <v/>
      </c>
      <c r="P3947" t="str">
        <f>IFERROR(__xludf.DUMMYFUNCTION("""COMPUTED_VALUE"""),"ID ")</f>
        <v>ID </v>
      </c>
    </row>
    <row r="3948">
      <c r="A3948" s="6" t="str">
        <f>IFERROR(__xludf.DUMMYFUNCTION("""COMPUTED_VALUE"""),"")</f>
        <v/>
      </c>
      <c r="C3948" t="str">
        <f>IFERROR(__xludf.DUMMYFUNCTION("""COMPUTED_VALUE"""),"")</f>
        <v/>
      </c>
      <c r="D3948" t="str">
        <f>IFERROR(__xludf.DUMMYFUNCTION("""COMPUTED_VALUE"""),"")</f>
        <v/>
      </c>
      <c r="E3948" t="str">
        <f>IFERROR(__xludf.DUMMYFUNCTION("""COMPUTED_VALUE"""),"")</f>
        <v/>
      </c>
      <c r="F3948" t="str">
        <f>IFERROR(__xludf.DUMMYFUNCTION("""COMPUTED_VALUE"""),"")</f>
        <v/>
      </c>
      <c r="G3948" t="str">
        <f>IFERROR(__xludf.DUMMYFUNCTION("""COMPUTED_VALUE"""),"")</f>
        <v/>
      </c>
      <c r="H3948" s="2" t="str">
        <f>IFERROR(__xludf.DUMMYFUNCTION("""COMPUTED_VALUE"""),"")</f>
        <v/>
      </c>
      <c r="I3948" s="2" t="str">
        <f>IFERROR(__xludf.DUMMYFUNCTION("""COMPUTED_VALUE"""),"")</f>
        <v/>
      </c>
      <c r="J3948" s="2">
        <f>IFERROR(__xludf.DUMMYFUNCTION("""COMPUTED_VALUE"""),0.0)</f>
        <v>0</v>
      </c>
      <c r="K3948" s="5" t="str">
        <f>IFERROR(__xludf.DUMMYFUNCTION("""COMPUTED_VALUE"""),"")</f>
        <v/>
      </c>
      <c r="L3948" t="str">
        <f>IFERROR(__xludf.DUMMYFUNCTION("""COMPUTED_VALUE"""),"")</f>
        <v/>
      </c>
      <c r="M3948" t="str">
        <f>IFERROR(__xludf.DUMMYFUNCTION("""COMPUTED_VALUE"""),"")</f>
        <v/>
      </c>
      <c r="N3948" t="str">
        <f>IFERROR(__xludf.DUMMYFUNCTION("""COMPUTED_VALUE"""),"")</f>
        <v/>
      </c>
      <c r="O3948" t="str">
        <f>IFERROR(__xludf.DUMMYFUNCTION("""COMPUTED_VALUE"""),"")</f>
        <v/>
      </c>
      <c r="P3948" t="str">
        <f>IFERROR(__xludf.DUMMYFUNCTION("""COMPUTED_VALUE"""),"ID ")</f>
        <v>ID </v>
      </c>
    </row>
    <row r="3949">
      <c r="A3949" s="6" t="str">
        <f>IFERROR(__xludf.DUMMYFUNCTION("""COMPUTED_VALUE"""),"")</f>
        <v/>
      </c>
      <c r="C3949" t="str">
        <f>IFERROR(__xludf.DUMMYFUNCTION("""COMPUTED_VALUE"""),"")</f>
        <v/>
      </c>
      <c r="D3949" t="str">
        <f>IFERROR(__xludf.DUMMYFUNCTION("""COMPUTED_VALUE"""),"")</f>
        <v/>
      </c>
      <c r="E3949" t="str">
        <f>IFERROR(__xludf.DUMMYFUNCTION("""COMPUTED_VALUE"""),"")</f>
        <v/>
      </c>
      <c r="F3949" t="str">
        <f>IFERROR(__xludf.DUMMYFUNCTION("""COMPUTED_VALUE"""),"")</f>
        <v/>
      </c>
      <c r="G3949" t="str">
        <f>IFERROR(__xludf.DUMMYFUNCTION("""COMPUTED_VALUE"""),"")</f>
        <v/>
      </c>
      <c r="H3949" s="2" t="str">
        <f>IFERROR(__xludf.DUMMYFUNCTION("""COMPUTED_VALUE"""),"")</f>
        <v/>
      </c>
      <c r="I3949" s="2" t="str">
        <f>IFERROR(__xludf.DUMMYFUNCTION("""COMPUTED_VALUE"""),"")</f>
        <v/>
      </c>
      <c r="J3949" s="2">
        <f>IFERROR(__xludf.DUMMYFUNCTION("""COMPUTED_VALUE"""),0.0)</f>
        <v>0</v>
      </c>
      <c r="K3949" s="5" t="str">
        <f>IFERROR(__xludf.DUMMYFUNCTION("""COMPUTED_VALUE"""),"")</f>
        <v/>
      </c>
      <c r="L3949" t="str">
        <f>IFERROR(__xludf.DUMMYFUNCTION("""COMPUTED_VALUE"""),"")</f>
        <v/>
      </c>
      <c r="M3949" t="str">
        <f>IFERROR(__xludf.DUMMYFUNCTION("""COMPUTED_VALUE"""),"")</f>
        <v/>
      </c>
      <c r="N3949" t="str">
        <f>IFERROR(__xludf.DUMMYFUNCTION("""COMPUTED_VALUE"""),"")</f>
        <v/>
      </c>
      <c r="O3949" t="str">
        <f>IFERROR(__xludf.DUMMYFUNCTION("""COMPUTED_VALUE"""),"")</f>
        <v/>
      </c>
      <c r="P3949" t="str">
        <f>IFERROR(__xludf.DUMMYFUNCTION("""COMPUTED_VALUE"""),"ID ")</f>
        <v>ID </v>
      </c>
    </row>
    <row r="3950">
      <c r="A3950" s="6" t="str">
        <f>IFERROR(__xludf.DUMMYFUNCTION("""COMPUTED_VALUE"""),"")</f>
        <v/>
      </c>
      <c r="C3950" t="str">
        <f>IFERROR(__xludf.DUMMYFUNCTION("""COMPUTED_VALUE"""),"")</f>
        <v/>
      </c>
      <c r="D3950" t="str">
        <f>IFERROR(__xludf.DUMMYFUNCTION("""COMPUTED_VALUE"""),"")</f>
        <v/>
      </c>
      <c r="E3950" t="str">
        <f>IFERROR(__xludf.DUMMYFUNCTION("""COMPUTED_VALUE"""),"")</f>
        <v/>
      </c>
      <c r="F3950" t="str">
        <f>IFERROR(__xludf.DUMMYFUNCTION("""COMPUTED_VALUE"""),"")</f>
        <v/>
      </c>
      <c r="G3950" t="str">
        <f>IFERROR(__xludf.DUMMYFUNCTION("""COMPUTED_VALUE"""),"")</f>
        <v/>
      </c>
      <c r="H3950" s="2" t="str">
        <f>IFERROR(__xludf.DUMMYFUNCTION("""COMPUTED_VALUE"""),"")</f>
        <v/>
      </c>
      <c r="I3950" s="2" t="str">
        <f>IFERROR(__xludf.DUMMYFUNCTION("""COMPUTED_VALUE"""),"")</f>
        <v/>
      </c>
      <c r="J3950" s="2">
        <f>IFERROR(__xludf.DUMMYFUNCTION("""COMPUTED_VALUE"""),0.0)</f>
        <v>0</v>
      </c>
      <c r="K3950" s="5" t="str">
        <f>IFERROR(__xludf.DUMMYFUNCTION("""COMPUTED_VALUE"""),"")</f>
        <v/>
      </c>
      <c r="L3950" t="str">
        <f>IFERROR(__xludf.DUMMYFUNCTION("""COMPUTED_VALUE"""),"")</f>
        <v/>
      </c>
      <c r="M3950" t="str">
        <f>IFERROR(__xludf.DUMMYFUNCTION("""COMPUTED_VALUE"""),"")</f>
        <v/>
      </c>
      <c r="N3950" t="str">
        <f>IFERROR(__xludf.DUMMYFUNCTION("""COMPUTED_VALUE"""),"")</f>
        <v/>
      </c>
      <c r="O3950" t="str">
        <f>IFERROR(__xludf.DUMMYFUNCTION("""COMPUTED_VALUE"""),"")</f>
        <v/>
      </c>
      <c r="P3950" t="str">
        <f>IFERROR(__xludf.DUMMYFUNCTION("""COMPUTED_VALUE"""),"ID ")</f>
        <v>ID </v>
      </c>
    </row>
    <row r="3951">
      <c r="A3951" s="6" t="str">
        <f>IFERROR(__xludf.DUMMYFUNCTION("""COMPUTED_VALUE"""),"")</f>
        <v/>
      </c>
      <c r="C3951" t="str">
        <f>IFERROR(__xludf.DUMMYFUNCTION("""COMPUTED_VALUE"""),"")</f>
        <v/>
      </c>
      <c r="D3951" t="str">
        <f>IFERROR(__xludf.DUMMYFUNCTION("""COMPUTED_VALUE"""),"")</f>
        <v/>
      </c>
      <c r="E3951" t="str">
        <f>IFERROR(__xludf.DUMMYFUNCTION("""COMPUTED_VALUE"""),"")</f>
        <v/>
      </c>
      <c r="F3951" t="str">
        <f>IFERROR(__xludf.DUMMYFUNCTION("""COMPUTED_VALUE"""),"")</f>
        <v/>
      </c>
      <c r="G3951" t="str">
        <f>IFERROR(__xludf.DUMMYFUNCTION("""COMPUTED_VALUE"""),"")</f>
        <v/>
      </c>
      <c r="H3951" s="2" t="str">
        <f>IFERROR(__xludf.DUMMYFUNCTION("""COMPUTED_VALUE"""),"")</f>
        <v/>
      </c>
      <c r="I3951" s="2" t="str">
        <f>IFERROR(__xludf.DUMMYFUNCTION("""COMPUTED_VALUE"""),"")</f>
        <v/>
      </c>
      <c r="J3951" s="2">
        <f>IFERROR(__xludf.DUMMYFUNCTION("""COMPUTED_VALUE"""),0.0)</f>
        <v>0</v>
      </c>
      <c r="K3951" s="5" t="str">
        <f>IFERROR(__xludf.DUMMYFUNCTION("""COMPUTED_VALUE"""),"")</f>
        <v/>
      </c>
      <c r="L3951" t="str">
        <f>IFERROR(__xludf.DUMMYFUNCTION("""COMPUTED_VALUE"""),"")</f>
        <v/>
      </c>
      <c r="M3951" t="str">
        <f>IFERROR(__xludf.DUMMYFUNCTION("""COMPUTED_VALUE"""),"")</f>
        <v/>
      </c>
      <c r="N3951" t="str">
        <f>IFERROR(__xludf.DUMMYFUNCTION("""COMPUTED_VALUE"""),"")</f>
        <v/>
      </c>
      <c r="O3951" t="str">
        <f>IFERROR(__xludf.DUMMYFUNCTION("""COMPUTED_VALUE"""),"")</f>
        <v/>
      </c>
      <c r="P3951" t="str">
        <f>IFERROR(__xludf.DUMMYFUNCTION("""COMPUTED_VALUE"""),"ID ")</f>
        <v>ID </v>
      </c>
    </row>
    <row r="3952">
      <c r="A3952" s="6" t="str">
        <f>IFERROR(__xludf.DUMMYFUNCTION("""COMPUTED_VALUE"""),"")</f>
        <v/>
      </c>
      <c r="C3952" t="str">
        <f>IFERROR(__xludf.DUMMYFUNCTION("""COMPUTED_VALUE"""),"")</f>
        <v/>
      </c>
      <c r="D3952" t="str">
        <f>IFERROR(__xludf.DUMMYFUNCTION("""COMPUTED_VALUE"""),"")</f>
        <v/>
      </c>
      <c r="E3952" t="str">
        <f>IFERROR(__xludf.DUMMYFUNCTION("""COMPUTED_VALUE"""),"")</f>
        <v/>
      </c>
      <c r="F3952" t="str">
        <f>IFERROR(__xludf.DUMMYFUNCTION("""COMPUTED_VALUE"""),"")</f>
        <v/>
      </c>
      <c r="G3952" t="str">
        <f>IFERROR(__xludf.DUMMYFUNCTION("""COMPUTED_VALUE"""),"")</f>
        <v/>
      </c>
      <c r="H3952" s="2" t="str">
        <f>IFERROR(__xludf.DUMMYFUNCTION("""COMPUTED_VALUE"""),"")</f>
        <v/>
      </c>
      <c r="I3952" s="2" t="str">
        <f>IFERROR(__xludf.DUMMYFUNCTION("""COMPUTED_VALUE"""),"")</f>
        <v/>
      </c>
      <c r="J3952" s="2">
        <f>IFERROR(__xludf.DUMMYFUNCTION("""COMPUTED_VALUE"""),0.0)</f>
        <v>0</v>
      </c>
      <c r="K3952" s="5" t="str">
        <f>IFERROR(__xludf.DUMMYFUNCTION("""COMPUTED_VALUE"""),"")</f>
        <v/>
      </c>
      <c r="L3952" t="str">
        <f>IFERROR(__xludf.DUMMYFUNCTION("""COMPUTED_VALUE"""),"")</f>
        <v/>
      </c>
      <c r="M3952" t="str">
        <f>IFERROR(__xludf.DUMMYFUNCTION("""COMPUTED_VALUE"""),"")</f>
        <v/>
      </c>
      <c r="N3952" t="str">
        <f>IFERROR(__xludf.DUMMYFUNCTION("""COMPUTED_VALUE"""),"")</f>
        <v/>
      </c>
      <c r="O3952" t="str">
        <f>IFERROR(__xludf.DUMMYFUNCTION("""COMPUTED_VALUE"""),"")</f>
        <v/>
      </c>
      <c r="P3952" t="str">
        <f>IFERROR(__xludf.DUMMYFUNCTION("""COMPUTED_VALUE"""),"ID ")</f>
        <v>ID </v>
      </c>
    </row>
    <row r="3953">
      <c r="A3953" s="6" t="str">
        <f>IFERROR(__xludf.DUMMYFUNCTION("""COMPUTED_VALUE"""),"")</f>
        <v/>
      </c>
      <c r="C3953" t="str">
        <f>IFERROR(__xludf.DUMMYFUNCTION("""COMPUTED_VALUE"""),"")</f>
        <v/>
      </c>
      <c r="D3953" t="str">
        <f>IFERROR(__xludf.DUMMYFUNCTION("""COMPUTED_VALUE"""),"")</f>
        <v/>
      </c>
      <c r="E3953" t="str">
        <f>IFERROR(__xludf.DUMMYFUNCTION("""COMPUTED_VALUE"""),"")</f>
        <v/>
      </c>
      <c r="F3953" t="str">
        <f>IFERROR(__xludf.DUMMYFUNCTION("""COMPUTED_VALUE"""),"")</f>
        <v/>
      </c>
      <c r="G3953" t="str">
        <f>IFERROR(__xludf.DUMMYFUNCTION("""COMPUTED_VALUE"""),"")</f>
        <v/>
      </c>
      <c r="H3953" s="2" t="str">
        <f>IFERROR(__xludf.DUMMYFUNCTION("""COMPUTED_VALUE"""),"")</f>
        <v/>
      </c>
      <c r="I3953" s="2" t="str">
        <f>IFERROR(__xludf.DUMMYFUNCTION("""COMPUTED_VALUE"""),"")</f>
        <v/>
      </c>
      <c r="J3953" s="2">
        <f>IFERROR(__xludf.DUMMYFUNCTION("""COMPUTED_VALUE"""),0.0)</f>
        <v>0</v>
      </c>
      <c r="K3953" s="5" t="str">
        <f>IFERROR(__xludf.DUMMYFUNCTION("""COMPUTED_VALUE"""),"")</f>
        <v/>
      </c>
      <c r="L3953" t="str">
        <f>IFERROR(__xludf.DUMMYFUNCTION("""COMPUTED_VALUE"""),"")</f>
        <v/>
      </c>
      <c r="M3953" t="str">
        <f>IFERROR(__xludf.DUMMYFUNCTION("""COMPUTED_VALUE"""),"")</f>
        <v/>
      </c>
      <c r="N3953" t="str">
        <f>IFERROR(__xludf.DUMMYFUNCTION("""COMPUTED_VALUE"""),"")</f>
        <v/>
      </c>
      <c r="O3953" t="str">
        <f>IFERROR(__xludf.DUMMYFUNCTION("""COMPUTED_VALUE"""),"")</f>
        <v/>
      </c>
      <c r="P3953" t="str">
        <f>IFERROR(__xludf.DUMMYFUNCTION("""COMPUTED_VALUE"""),"ID ")</f>
        <v>ID </v>
      </c>
    </row>
    <row r="3954">
      <c r="A3954" s="6" t="str">
        <f>IFERROR(__xludf.DUMMYFUNCTION("""COMPUTED_VALUE"""),"")</f>
        <v/>
      </c>
      <c r="C3954" t="str">
        <f>IFERROR(__xludf.DUMMYFUNCTION("""COMPUTED_VALUE"""),"")</f>
        <v/>
      </c>
      <c r="D3954" t="str">
        <f>IFERROR(__xludf.DUMMYFUNCTION("""COMPUTED_VALUE"""),"")</f>
        <v/>
      </c>
      <c r="E3954" t="str">
        <f>IFERROR(__xludf.DUMMYFUNCTION("""COMPUTED_VALUE"""),"")</f>
        <v/>
      </c>
      <c r="F3954" t="str">
        <f>IFERROR(__xludf.DUMMYFUNCTION("""COMPUTED_VALUE"""),"")</f>
        <v/>
      </c>
      <c r="G3954" t="str">
        <f>IFERROR(__xludf.DUMMYFUNCTION("""COMPUTED_VALUE"""),"")</f>
        <v/>
      </c>
      <c r="H3954" s="2" t="str">
        <f>IFERROR(__xludf.DUMMYFUNCTION("""COMPUTED_VALUE"""),"")</f>
        <v/>
      </c>
      <c r="I3954" s="2" t="str">
        <f>IFERROR(__xludf.DUMMYFUNCTION("""COMPUTED_VALUE"""),"")</f>
        <v/>
      </c>
      <c r="J3954" s="2">
        <f>IFERROR(__xludf.DUMMYFUNCTION("""COMPUTED_VALUE"""),0.0)</f>
        <v>0</v>
      </c>
      <c r="K3954" s="5" t="str">
        <f>IFERROR(__xludf.DUMMYFUNCTION("""COMPUTED_VALUE"""),"")</f>
        <v/>
      </c>
      <c r="L3954" t="str">
        <f>IFERROR(__xludf.DUMMYFUNCTION("""COMPUTED_VALUE"""),"")</f>
        <v/>
      </c>
      <c r="M3954" t="str">
        <f>IFERROR(__xludf.DUMMYFUNCTION("""COMPUTED_VALUE"""),"")</f>
        <v/>
      </c>
      <c r="N3954" t="str">
        <f>IFERROR(__xludf.DUMMYFUNCTION("""COMPUTED_VALUE"""),"")</f>
        <v/>
      </c>
      <c r="O3954" t="str">
        <f>IFERROR(__xludf.DUMMYFUNCTION("""COMPUTED_VALUE"""),"")</f>
        <v/>
      </c>
      <c r="P3954" t="str">
        <f>IFERROR(__xludf.DUMMYFUNCTION("""COMPUTED_VALUE"""),"ID ")</f>
        <v>ID </v>
      </c>
    </row>
    <row r="3955">
      <c r="A3955" s="6" t="str">
        <f>IFERROR(__xludf.DUMMYFUNCTION("""COMPUTED_VALUE"""),"")</f>
        <v/>
      </c>
      <c r="C3955" t="str">
        <f>IFERROR(__xludf.DUMMYFUNCTION("""COMPUTED_VALUE"""),"")</f>
        <v/>
      </c>
      <c r="D3955" t="str">
        <f>IFERROR(__xludf.DUMMYFUNCTION("""COMPUTED_VALUE"""),"")</f>
        <v/>
      </c>
      <c r="E3955" t="str">
        <f>IFERROR(__xludf.DUMMYFUNCTION("""COMPUTED_VALUE"""),"")</f>
        <v/>
      </c>
      <c r="F3955" t="str">
        <f>IFERROR(__xludf.DUMMYFUNCTION("""COMPUTED_VALUE"""),"")</f>
        <v/>
      </c>
      <c r="G3955" t="str">
        <f>IFERROR(__xludf.DUMMYFUNCTION("""COMPUTED_VALUE"""),"")</f>
        <v/>
      </c>
      <c r="H3955" s="2" t="str">
        <f>IFERROR(__xludf.DUMMYFUNCTION("""COMPUTED_VALUE"""),"")</f>
        <v/>
      </c>
      <c r="I3955" s="2" t="str">
        <f>IFERROR(__xludf.DUMMYFUNCTION("""COMPUTED_VALUE"""),"")</f>
        <v/>
      </c>
      <c r="J3955" s="2">
        <f>IFERROR(__xludf.DUMMYFUNCTION("""COMPUTED_VALUE"""),0.0)</f>
        <v>0</v>
      </c>
      <c r="K3955" s="5" t="str">
        <f>IFERROR(__xludf.DUMMYFUNCTION("""COMPUTED_VALUE"""),"")</f>
        <v/>
      </c>
      <c r="L3955" t="str">
        <f>IFERROR(__xludf.DUMMYFUNCTION("""COMPUTED_VALUE"""),"")</f>
        <v/>
      </c>
      <c r="M3955" t="str">
        <f>IFERROR(__xludf.DUMMYFUNCTION("""COMPUTED_VALUE"""),"")</f>
        <v/>
      </c>
      <c r="N3955" t="str">
        <f>IFERROR(__xludf.DUMMYFUNCTION("""COMPUTED_VALUE"""),"")</f>
        <v/>
      </c>
      <c r="O3955" t="str">
        <f>IFERROR(__xludf.DUMMYFUNCTION("""COMPUTED_VALUE"""),"")</f>
        <v/>
      </c>
      <c r="P3955" t="str">
        <f>IFERROR(__xludf.DUMMYFUNCTION("""COMPUTED_VALUE"""),"ID ")</f>
        <v>ID </v>
      </c>
    </row>
    <row r="3956">
      <c r="A3956" s="6" t="str">
        <f>IFERROR(__xludf.DUMMYFUNCTION("""COMPUTED_VALUE"""),"")</f>
        <v/>
      </c>
      <c r="C3956" t="str">
        <f>IFERROR(__xludf.DUMMYFUNCTION("""COMPUTED_VALUE"""),"")</f>
        <v/>
      </c>
      <c r="D3956" t="str">
        <f>IFERROR(__xludf.DUMMYFUNCTION("""COMPUTED_VALUE"""),"")</f>
        <v/>
      </c>
      <c r="E3956" t="str">
        <f>IFERROR(__xludf.DUMMYFUNCTION("""COMPUTED_VALUE"""),"")</f>
        <v/>
      </c>
      <c r="F3956" t="str">
        <f>IFERROR(__xludf.DUMMYFUNCTION("""COMPUTED_VALUE"""),"")</f>
        <v/>
      </c>
      <c r="G3956" t="str">
        <f>IFERROR(__xludf.DUMMYFUNCTION("""COMPUTED_VALUE"""),"")</f>
        <v/>
      </c>
      <c r="H3956" s="2" t="str">
        <f>IFERROR(__xludf.DUMMYFUNCTION("""COMPUTED_VALUE"""),"")</f>
        <v/>
      </c>
      <c r="I3956" s="2" t="str">
        <f>IFERROR(__xludf.DUMMYFUNCTION("""COMPUTED_VALUE"""),"")</f>
        <v/>
      </c>
      <c r="J3956" s="2">
        <f>IFERROR(__xludf.DUMMYFUNCTION("""COMPUTED_VALUE"""),0.0)</f>
        <v>0</v>
      </c>
      <c r="K3956" s="5" t="str">
        <f>IFERROR(__xludf.DUMMYFUNCTION("""COMPUTED_VALUE"""),"")</f>
        <v/>
      </c>
      <c r="L3956" t="str">
        <f>IFERROR(__xludf.DUMMYFUNCTION("""COMPUTED_VALUE"""),"")</f>
        <v/>
      </c>
      <c r="M3956" t="str">
        <f>IFERROR(__xludf.DUMMYFUNCTION("""COMPUTED_VALUE"""),"")</f>
        <v/>
      </c>
      <c r="N3956" t="str">
        <f>IFERROR(__xludf.DUMMYFUNCTION("""COMPUTED_VALUE"""),"")</f>
        <v/>
      </c>
      <c r="O3956" t="str">
        <f>IFERROR(__xludf.DUMMYFUNCTION("""COMPUTED_VALUE"""),"")</f>
        <v/>
      </c>
      <c r="P3956" t="str">
        <f>IFERROR(__xludf.DUMMYFUNCTION("""COMPUTED_VALUE"""),"ID ")</f>
        <v>ID </v>
      </c>
    </row>
    <row r="3957">
      <c r="A3957" s="6" t="str">
        <f>IFERROR(__xludf.DUMMYFUNCTION("""COMPUTED_VALUE"""),"")</f>
        <v/>
      </c>
      <c r="C3957" t="str">
        <f>IFERROR(__xludf.DUMMYFUNCTION("""COMPUTED_VALUE"""),"")</f>
        <v/>
      </c>
      <c r="D3957" t="str">
        <f>IFERROR(__xludf.DUMMYFUNCTION("""COMPUTED_VALUE"""),"")</f>
        <v/>
      </c>
      <c r="E3957" t="str">
        <f>IFERROR(__xludf.DUMMYFUNCTION("""COMPUTED_VALUE"""),"")</f>
        <v/>
      </c>
      <c r="F3957" t="str">
        <f>IFERROR(__xludf.DUMMYFUNCTION("""COMPUTED_VALUE"""),"")</f>
        <v/>
      </c>
      <c r="G3957" t="str">
        <f>IFERROR(__xludf.DUMMYFUNCTION("""COMPUTED_VALUE"""),"")</f>
        <v/>
      </c>
      <c r="H3957" s="2" t="str">
        <f>IFERROR(__xludf.DUMMYFUNCTION("""COMPUTED_VALUE"""),"")</f>
        <v/>
      </c>
      <c r="I3957" s="2" t="str">
        <f>IFERROR(__xludf.DUMMYFUNCTION("""COMPUTED_VALUE"""),"")</f>
        <v/>
      </c>
      <c r="J3957" s="2">
        <f>IFERROR(__xludf.DUMMYFUNCTION("""COMPUTED_VALUE"""),0.0)</f>
        <v>0</v>
      </c>
      <c r="K3957" s="5" t="str">
        <f>IFERROR(__xludf.DUMMYFUNCTION("""COMPUTED_VALUE"""),"")</f>
        <v/>
      </c>
      <c r="L3957" t="str">
        <f>IFERROR(__xludf.DUMMYFUNCTION("""COMPUTED_VALUE"""),"")</f>
        <v/>
      </c>
      <c r="M3957" t="str">
        <f>IFERROR(__xludf.DUMMYFUNCTION("""COMPUTED_VALUE"""),"")</f>
        <v/>
      </c>
      <c r="N3957" t="str">
        <f>IFERROR(__xludf.DUMMYFUNCTION("""COMPUTED_VALUE"""),"")</f>
        <v/>
      </c>
      <c r="O3957" t="str">
        <f>IFERROR(__xludf.DUMMYFUNCTION("""COMPUTED_VALUE"""),"")</f>
        <v/>
      </c>
      <c r="P3957" t="str">
        <f>IFERROR(__xludf.DUMMYFUNCTION("""COMPUTED_VALUE"""),"ID ")</f>
        <v>ID </v>
      </c>
    </row>
    <row r="3958">
      <c r="A3958" s="6" t="str">
        <f>IFERROR(__xludf.DUMMYFUNCTION("""COMPUTED_VALUE"""),"")</f>
        <v/>
      </c>
      <c r="C3958" t="str">
        <f>IFERROR(__xludf.DUMMYFUNCTION("""COMPUTED_VALUE"""),"")</f>
        <v/>
      </c>
      <c r="D3958" t="str">
        <f>IFERROR(__xludf.DUMMYFUNCTION("""COMPUTED_VALUE"""),"")</f>
        <v/>
      </c>
      <c r="E3958" t="str">
        <f>IFERROR(__xludf.DUMMYFUNCTION("""COMPUTED_VALUE"""),"")</f>
        <v/>
      </c>
      <c r="F3958" t="str">
        <f>IFERROR(__xludf.DUMMYFUNCTION("""COMPUTED_VALUE"""),"")</f>
        <v/>
      </c>
      <c r="G3958" t="str">
        <f>IFERROR(__xludf.DUMMYFUNCTION("""COMPUTED_VALUE"""),"")</f>
        <v/>
      </c>
      <c r="H3958" s="2" t="str">
        <f>IFERROR(__xludf.DUMMYFUNCTION("""COMPUTED_VALUE"""),"")</f>
        <v/>
      </c>
      <c r="I3958" s="2" t="str">
        <f>IFERROR(__xludf.DUMMYFUNCTION("""COMPUTED_VALUE"""),"")</f>
        <v/>
      </c>
      <c r="J3958" s="2">
        <f>IFERROR(__xludf.DUMMYFUNCTION("""COMPUTED_VALUE"""),0.0)</f>
        <v>0</v>
      </c>
      <c r="K3958" s="5" t="str">
        <f>IFERROR(__xludf.DUMMYFUNCTION("""COMPUTED_VALUE"""),"")</f>
        <v/>
      </c>
      <c r="L3958" t="str">
        <f>IFERROR(__xludf.DUMMYFUNCTION("""COMPUTED_VALUE"""),"")</f>
        <v/>
      </c>
      <c r="M3958" t="str">
        <f>IFERROR(__xludf.DUMMYFUNCTION("""COMPUTED_VALUE"""),"")</f>
        <v/>
      </c>
      <c r="N3958" t="str">
        <f>IFERROR(__xludf.DUMMYFUNCTION("""COMPUTED_VALUE"""),"")</f>
        <v/>
      </c>
      <c r="O3958" t="str">
        <f>IFERROR(__xludf.DUMMYFUNCTION("""COMPUTED_VALUE"""),"")</f>
        <v/>
      </c>
      <c r="P3958" t="str">
        <f>IFERROR(__xludf.DUMMYFUNCTION("""COMPUTED_VALUE"""),"ID ")</f>
        <v>ID </v>
      </c>
    </row>
    <row r="3959">
      <c r="A3959" s="6" t="str">
        <f>IFERROR(__xludf.DUMMYFUNCTION("""COMPUTED_VALUE"""),"")</f>
        <v/>
      </c>
      <c r="C3959" t="str">
        <f>IFERROR(__xludf.DUMMYFUNCTION("""COMPUTED_VALUE"""),"")</f>
        <v/>
      </c>
      <c r="D3959" t="str">
        <f>IFERROR(__xludf.DUMMYFUNCTION("""COMPUTED_VALUE"""),"")</f>
        <v/>
      </c>
      <c r="E3959" t="str">
        <f>IFERROR(__xludf.DUMMYFUNCTION("""COMPUTED_VALUE"""),"")</f>
        <v/>
      </c>
      <c r="F3959" t="str">
        <f>IFERROR(__xludf.DUMMYFUNCTION("""COMPUTED_VALUE"""),"")</f>
        <v/>
      </c>
      <c r="G3959" t="str">
        <f>IFERROR(__xludf.DUMMYFUNCTION("""COMPUTED_VALUE"""),"")</f>
        <v/>
      </c>
      <c r="H3959" s="2" t="str">
        <f>IFERROR(__xludf.DUMMYFUNCTION("""COMPUTED_VALUE"""),"")</f>
        <v/>
      </c>
      <c r="I3959" s="2" t="str">
        <f>IFERROR(__xludf.DUMMYFUNCTION("""COMPUTED_VALUE"""),"")</f>
        <v/>
      </c>
      <c r="J3959" s="2">
        <f>IFERROR(__xludf.DUMMYFUNCTION("""COMPUTED_VALUE"""),0.0)</f>
        <v>0</v>
      </c>
      <c r="K3959" s="5" t="str">
        <f>IFERROR(__xludf.DUMMYFUNCTION("""COMPUTED_VALUE"""),"")</f>
        <v/>
      </c>
      <c r="L3959" t="str">
        <f>IFERROR(__xludf.DUMMYFUNCTION("""COMPUTED_VALUE"""),"")</f>
        <v/>
      </c>
      <c r="M3959" t="str">
        <f>IFERROR(__xludf.DUMMYFUNCTION("""COMPUTED_VALUE"""),"")</f>
        <v/>
      </c>
      <c r="N3959" t="str">
        <f>IFERROR(__xludf.DUMMYFUNCTION("""COMPUTED_VALUE"""),"")</f>
        <v/>
      </c>
      <c r="O3959" t="str">
        <f>IFERROR(__xludf.DUMMYFUNCTION("""COMPUTED_VALUE"""),"")</f>
        <v/>
      </c>
      <c r="P3959" t="str">
        <f>IFERROR(__xludf.DUMMYFUNCTION("""COMPUTED_VALUE"""),"ID ")</f>
        <v>ID </v>
      </c>
    </row>
    <row r="3960">
      <c r="A3960" s="6" t="str">
        <f>IFERROR(__xludf.DUMMYFUNCTION("""COMPUTED_VALUE"""),"")</f>
        <v/>
      </c>
      <c r="C3960" t="str">
        <f>IFERROR(__xludf.DUMMYFUNCTION("""COMPUTED_VALUE"""),"")</f>
        <v/>
      </c>
      <c r="D3960" t="str">
        <f>IFERROR(__xludf.DUMMYFUNCTION("""COMPUTED_VALUE"""),"")</f>
        <v/>
      </c>
      <c r="E3960" t="str">
        <f>IFERROR(__xludf.DUMMYFUNCTION("""COMPUTED_VALUE"""),"")</f>
        <v/>
      </c>
      <c r="F3960" t="str">
        <f>IFERROR(__xludf.DUMMYFUNCTION("""COMPUTED_VALUE"""),"")</f>
        <v/>
      </c>
      <c r="G3960" t="str">
        <f>IFERROR(__xludf.DUMMYFUNCTION("""COMPUTED_VALUE"""),"")</f>
        <v/>
      </c>
      <c r="H3960" s="2" t="str">
        <f>IFERROR(__xludf.DUMMYFUNCTION("""COMPUTED_VALUE"""),"")</f>
        <v/>
      </c>
      <c r="I3960" s="2" t="str">
        <f>IFERROR(__xludf.DUMMYFUNCTION("""COMPUTED_VALUE"""),"")</f>
        <v/>
      </c>
      <c r="J3960" s="2">
        <f>IFERROR(__xludf.DUMMYFUNCTION("""COMPUTED_VALUE"""),0.0)</f>
        <v>0</v>
      </c>
      <c r="K3960" s="5" t="str">
        <f>IFERROR(__xludf.DUMMYFUNCTION("""COMPUTED_VALUE"""),"")</f>
        <v/>
      </c>
      <c r="L3960" t="str">
        <f>IFERROR(__xludf.DUMMYFUNCTION("""COMPUTED_VALUE"""),"")</f>
        <v/>
      </c>
      <c r="M3960" t="str">
        <f>IFERROR(__xludf.DUMMYFUNCTION("""COMPUTED_VALUE"""),"")</f>
        <v/>
      </c>
      <c r="N3960" t="str">
        <f>IFERROR(__xludf.DUMMYFUNCTION("""COMPUTED_VALUE"""),"")</f>
        <v/>
      </c>
      <c r="O3960" t="str">
        <f>IFERROR(__xludf.DUMMYFUNCTION("""COMPUTED_VALUE"""),"")</f>
        <v/>
      </c>
      <c r="P3960" t="str">
        <f>IFERROR(__xludf.DUMMYFUNCTION("""COMPUTED_VALUE"""),"ID ")</f>
        <v>ID </v>
      </c>
    </row>
    <row r="3961">
      <c r="A3961" s="6" t="str">
        <f>IFERROR(__xludf.DUMMYFUNCTION("""COMPUTED_VALUE"""),"")</f>
        <v/>
      </c>
      <c r="C3961" t="str">
        <f>IFERROR(__xludf.DUMMYFUNCTION("""COMPUTED_VALUE"""),"")</f>
        <v/>
      </c>
      <c r="D3961" t="str">
        <f>IFERROR(__xludf.DUMMYFUNCTION("""COMPUTED_VALUE"""),"")</f>
        <v/>
      </c>
      <c r="E3961" t="str">
        <f>IFERROR(__xludf.DUMMYFUNCTION("""COMPUTED_VALUE"""),"")</f>
        <v/>
      </c>
      <c r="F3961" t="str">
        <f>IFERROR(__xludf.DUMMYFUNCTION("""COMPUTED_VALUE"""),"")</f>
        <v/>
      </c>
      <c r="G3961" t="str">
        <f>IFERROR(__xludf.DUMMYFUNCTION("""COMPUTED_VALUE"""),"")</f>
        <v/>
      </c>
      <c r="H3961" s="2" t="str">
        <f>IFERROR(__xludf.DUMMYFUNCTION("""COMPUTED_VALUE"""),"")</f>
        <v/>
      </c>
      <c r="I3961" s="2" t="str">
        <f>IFERROR(__xludf.DUMMYFUNCTION("""COMPUTED_VALUE"""),"")</f>
        <v/>
      </c>
      <c r="J3961" s="2">
        <f>IFERROR(__xludf.DUMMYFUNCTION("""COMPUTED_VALUE"""),0.0)</f>
        <v>0</v>
      </c>
      <c r="K3961" s="5" t="str">
        <f>IFERROR(__xludf.DUMMYFUNCTION("""COMPUTED_VALUE"""),"")</f>
        <v/>
      </c>
      <c r="L3961" t="str">
        <f>IFERROR(__xludf.DUMMYFUNCTION("""COMPUTED_VALUE"""),"")</f>
        <v/>
      </c>
      <c r="M3961" t="str">
        <f>IFERROR(__xludf.DUMMYFUNCTION("""COMPUTED_VALUE"""),"")</f>
        <v/>
      </c>
      <c r="N3961" t="str">
        <f>IFERROR(__xludf.DUMMYFUNCTION("""COMPUTED_VALUE"""),"")</f>
        <v/>
      </c>
      <c r="O3961" t="str">
        <f>IFERROR(__xludf.DUMMYFUNCTION("""COMPUTED_VALUE"""),"")</f>
        <v/>
      </c>
      <c r="P3961" t="str">
        <f>IFERROR(__xludf.DUMMYFUNCTION("""COMPUTED_VALUE"""),"ID ")</f>
        <v>ID </v>
      </c>
    </row>
    <row r="3962">
      <c r="A3962" s="6" t="str">
        <f>IFERROR(__xludf.DUMMYFUNCTION("""COMPUTED_VALUE"""),"")</f>
        <v/>
      </c>
      <c r="C3962" t="str">
        <f>IFERROR(__xludf.DUMMYFUNCTION("""COMPUTED_VALUE"""),"")</f>
        <v/>
      </c>
      <c r="D3962" t="str">
        <f>IFERROR(__xludf.DUMMYFUNCTION("""COMPUTED_VALUE"""),"")</f>
        <v/>
      </c>
      <c r="E3962" t="str">
        <f>IFERROR(__xludf.DUMMYFUNCTION("""COMPUTED_VALUE"""),"")</f>
        <v/>
      </c>
      <c r="F3962" t="str">
        <f>IFERROR(__xludf.DUMMYFUNCTION("""COMPUTED_VALUE"""),"")</f>
        <v/>
      </c>
      <c r="G3962" t="str">
        <f>IFERROR(__xludf.DUMMYFUNCTION("""COMPUTED_VALUE"""),"")</f>
        <v/>
      </c>
      <c r="H3962" s="2" t="str">
        <f>IFERROR(__xludf.DUMMYFUNCTION("""COMPUTED_VALUE"""),"")</f>
        <v/>
      </c>
      <c r="I3962" s="2" t="str">
        <f>IFERROR(__xludf.DUMMYFUNCTION("""COMPUTED_VALUE"""),"")</f>
        <v/>
      </c>
      <c r="J3962" s="2">
        <f>IFERROR(__xludf.DUMMYFUNCTION("""COMPUTED_VALUE"""),0.0)</f>
        <v>0</v>
      </c>
      <c r="K3962" s="5" t="str">
        <f>IFERROR(__xludf.DUMMYFUNCTION("""COMPUTED_VALUE"""),"")</f>
        <v/>
      </c>
      <c r="L3962" t="str">
        <f>IFERROR(__xludf.DUMMYFUNCTION("""COMPUTED_VALUE"""),"")</f>
        <v/>
      </c>
      <c r="M3962" t="str">
        <f>IFERROR(__xludf.DUMMYFUNCTION("""COMPUTED_VALUE"""),"")</f>
        <v/>
      </c>
      <c r="N3962" t="str">
        <f>IFERROR(__xludf.DUMMYFUNCTION("""COMPUTED_VALUE"""),"")</f>
        <v/>
      </c>
      <c r="O3962" t="str">
        <f>IFERROR(__xludf.DUMMYFUNCTION("""COMPUTED_VALUE"""),"")</f>
        <v/>
      </c>
      <c r="P3962" t="str">
        <f>IFERROR(__xludf.DUMMYFUNCTION("""COMPUTED_VALUE"""),"ID ")</f>
        <v>ID </v>
      </c>
    </row>
    <row r="3963">
      <c r="A3963" s="6" t="str">
        <f>IFERROR(__xludf.DUMMYFUNCTION("""COMPUTED_VALUE"""),"")</f>
        <v/>
      </c>
      <c r="C3963" t="str">
        <f>IFERROR(__xludf.DUMMYFUNCTION("""COMPUTED_VALUE"""),"")</f>
        <v/>
      </c>
      <c r="D3963" t="str">
        <f>IFERROR(__xludf.DUMMYFUNCTION("""COMPUTED_VALUE"""),"")</f>
        <v/>
      </c>
      <c r="E3963" t="str">
        <f>IFERROR(__xludf.DUMMYFUNCTION("""COMPUTED_VALUE"""),"")</f>
        <v/>
      </c>
      <c r="F3963" t="str">
        <f>IFERROR(__xludf.DUMMYFUNCTION("""COMPUTED_VALUE"""),"")</f>
        <v/>
      </c>
      <c r="G3963" t="str">
        <f>IFERROR(__xludf.DUMMYFUNCTION("""COMPUTED_VALUE"""),"")</f>
        <v/>
      </c>
      <c r="H3963" s="2" t="str">
        <f>IFERROR(__xludf.DUMMYFUNCTION("""COMPUTED_VALUE"""),"")</f>
        <v/>
      </c>
      <c r="I3963" s="2" t="str">
        <f>IFERROR(__xludf.DUMMYFUNCTION("""COMPUTED_VALUE"""),"")</f>
        <v/>
      </c>
      <c r="J3963" s="2">
        <f>IFERROR(__xludf.DUMMYFUNCTION("""COMPUTED_VALUE"""),0.0)</f>
        <v>0</v>
      </c>
      <c r="K3963" s="5" t="str">
        <f>IFERROR(__xludf.DUMMYFUNCTION("""COMPUTED_VALUE"""),"")</f>
        <v/>
      </c>
      <c r="L3963" t="str">
        <f>IFERROR(__xludf.DUMMYFUNCTION("""COMPUTED_VALUE"""),"")</f>
        <v/>
      </c>
      <c r="M3963" t="str">
        <f>IFERROR(__xludf.DUMMYFUNCTION("""COMPUTED_VALUE"""),"")</f>
        <v/>
      </c>
      <c r="N3963" t="str">
        <f>IFERROR(__xludf.DUMMYFUNCTION("""COMPUTED_VALUE"""),"")</f>
        <v/>
      </c>
      <c r="O3963" t="str">
        <f>IFERROR(__xludf.DUMMYFUNCTION("""COMPUTED_VALUE"""),"")</f>
        <v/>
      </c>
      <c r="P3963" t="str">
        <f>IFERROR(__xludf.DUMMYFUNCTION("""COMPUTED_VALUE"""),"ID ")</f>
        <v>ID </v>
      </c>
    </row>
    <row r="3964">
      <c r="A3964" s="6" t="str">
        <f>IFERROR(__xludf.DUMMYFUNCTION("""COMPUTED_VALUE"""),"")</f>
        <v/>
      </c>
      <c r="C3964" t="str">
        <f>IFERROR(__xludf.DUMMYFUNCTION("""COMPUTED_VALUE"""),"")</f>
        <v/>
      </c>
      <c r="D3964" t="str">
        <f>IFERROR(__xludf.DUMMYFUNCTION("""COMPUTED_VALUE"""),"")</f>
        <v/>
      </c>
      <c r="E3964" t="str">
        <f>IFERROR(__xludf.DUMMYFUNCTION("""COMPUTED_VALUE"""),"")</f>
        <v/>
      </c>
      <c r="F3964" t="str">
        <f>IFERROR(__xludf.DUMMYFUNCTION("""COMPUTED_VALUE"""),"")</f>
        <v/>
      </c>
      <c r="G3964" t="str">
        <f>IFERROR(__xludf.DUMMYFUNCTION("""COMPUTED_VALUE"""),"")</f>
        <v/>
      </c>
      <c r="H3964" s="2" t="str">
        <f>IFERROR(__xludf.DUMMYFUNCTION("""COMPUTED_VALUE"""),"")</f>
        <v/>
      </c>
      <c r="I3964" s="2" t="str">
        <f>IFERROR(__xludf.DUMMYFUNCTION("""COMPUTED_VALUE"""),"")</f>
        <v/>
      </c>
      <c r="J3964" s="2">
        <f>IFERROR(__xludf.DUMMYFUNCTION("""COMPUTED_VALUE"""),0.0)</f>
        <v>0</v>
      </c>
      <c r="K3964" s="5" t="str">
        <f>IFERROR(__xludf.DUMMYFUNCTION("""COMPUTED_VALUE"""),"")</f>
        <v/>
      </c>
      <c r="L3964" t="str">
        <f>IFERROR(__xludf.DUMMYFUNCTION("""COMPUTED_VALUE"""),"")</f>
        <v/>
      </c>
      <c r="M3964" t="str">
        <f>IFERROR(__xludf.DUMMYFUNCTION("""COMPUTED_VALUE"""),"")</f>
        <v/>
      </c>
      <c r="N3964" t="str">
        <f>IFERROR(__xludf.DUMMYFUNCTION("""COMPUTED_VALUE"""),"")</f>
        <v/>
      </c>
      <c r="O3964" t="str">
        <f>IFERROR(__xludf.DUMMYFUNCTION("""COMPUTED_VALUE"""),"")</f>
        <v/>
      </c>
      <c r="P3964" t="str">
        <f>IFERROR(__xludf.DUMMYFUNCTION("""COMPUTED_VALUE"""),"ID ")</f>
        <v>ID </v>
      </c>
    </row>
    <row r="3965">
      <c r="A3965" s="6" t="str">
        <f>IFERROR(__xludf.DUMMYFUNCTION("""COMPUTED_VALUE"""),"")</f>
        <v/>
      </c>
      <c r="C3965" t="str">
        <f>IFERROR(__xludf.DUMMYFUNCTION("""COMPUTED_VALUE"""),"")</f>
        <v/>
      </c>
      <c r="D3965" t="str">
        <f>IFERROR(__xludf.DUMMYFUNCTION("""COMPUTED_VALUE"""),"")</f>
        <v/>
      </c>
      <c r="E3965" t="str">
        <f>IFERROR(__xludf.DUMMYFUNCTION("""COMPUTED_VALUE"""),"")</f>
        <v/>
      </c>
      <c r="F3965" t="str">
        <f>IFERROR(__xludf.DUMMYFUNCTION("""COMPUTED_VALUE"""),"")</f>
        <v/>
      </c>
      <c r="G3965" t="str">
        <f>IFERROR(__xludf.DUMMYFUNCTION("""COMPUTED_VALUE"""),"")</f>
        <v/>
      </c>
      <c r="H3965" s="2" t="str">
        <f>IFERROR(__xludf.DUMMYFUNCTION("""COMPUTED_VALUE"""),"")</f>
        <v/>
      </c>
      <c r="I3965" s="2" t="str">
        <f>IFERROR(__xludf.DUMMYFUNCTION("""COMPUTED_VALUE"""),"")</f>
        <v/>
      </c>
      <c r="J3965" s="2">
        <f>IFERROR(__xludf.DUMMYFUNCTION("""COMPUTED_VALUE"""),0.0)</f>
        <v>0</v>
      </c>
      <c r="K3965" s="5" t="str">
        <f>IFERROR(__xludf.DUMMYFUNCTION("""COMPUTED_VALUE"""),"")</f>
        <v/>
      </c>
      <c r="L3965" t="str">
        <f>IFERROR(__xludf.DUMMYFUNCTION("""COMPUTED_VALUE"""),"")</f>
        <v/>
      </c>
      <c r="M3965" t="str">
        <f>IFERROR(__xludf.DUMMYFUNCTION("""COMPUTED_VALUE"""),"")</f>
        <v/>
      </c>
      <c r="N3965" t="str">
        <f>IFERROR(__xludf.DUMMYFUNCTION("""COMPUTED_VALUE"""),"")</f>
        <v/>
      </c>
      <c r="O3965" t="str">
        <f>IFERROR(__xludf.DUMMYFUNCTION("""COMPUTED_VALUE"""),"")</f>
        <v/>
      </c>
      <c r="P3965" t="str">
        <f>IFERROR(__xludf.DUMMYFUNCTION("""COMPUTED_VALUE"""),"ID ")</f>
        <v>ID </v>
      </c>
    </row>
    <row r="3966">
      <c r="A3966" s="6" t="str">
        <f>IFERROR(__xludf.DUMMYFUNCTION("""COMPUTED_VALUE"""),"")</f>
        <v/>
      </c>
      <c r="C3966" t="str">
        <f>IFERROR(__xludf.DUMMYFUNCTION("""COMPUTED_VALUE"""),"")</f>
        <v/>
      </c>
      <c r="D3966" t="str">
        <f>IFERROR(__xludf.DUMMYFUNCTION("""COMPUTED_VALUE"""),"")</f>
        <v/>
      </c>
      <c r="E3966" t="str">
        <f>IFERROR(__xludf.DUMMYFUNCTION("""COMPUTED_VALUE"""),"")</f>
        <v/>
      </c>
      <c r="F3966" t="str">
        <f>IFERROR(__xludf.DUMMYFUNCTION("""COMPUTED_VALUE"""),"")</f>
        <v/>
      </c>
      <c r="G3966" t="str">
        <f>IFERROR(__xludf.DUMMYFUNCTION("""COMPUTED_VALUE"""),"")</f>
        <v/>
      </c>
      <c r="H3966" s="2" t="str">
        <f>IFERROR(__xludf.DUMMYFUNCTION("""COMPUTED_VALUE"""),"")</f>
        <v/>
      </c>
      <c r="I3966" s="2" t="str">
        <f>IFERROR(__xludf.DUMMYFUNCTION("""COMPUTED_VALUE"""),"")</f>
        <v/>
      </c>
      <c r="J3966" s="2">
        <f>IFERROR(__xludf.DUMMYFUNCTION("""COMPUTED_VALUE"""),0.0)</f>
        <v>0</v>
      </c>
      <c r="K3966" s="5" t="str">
        <f>IFERROR(__xludf.DUMMYFUNCTION("""COMPUTED_VALUE"""),"")</f>
        <v/>
      </c>
      <c r="L3966" t="str">
        <f>IFERROR(__xludf.DUMMYFUNCTION("""COMPUTED_VALUE"""),"")</f>
        <v/>
      </c>
      <c r="M3966" t="str">
        <f>IFERROR(__xludf.DUMMYFUNCTION("""COMPUTED_VALUE"""),"")</f>
        <v/>
      </c>
      <c r="N3966" t="str">
        <f>IFERROR(__xludf.DUMMYFUNCTION("""COMPUTED_VALUE"""),"")</f>
        <v/>
      </c>
      <c r="O3966" t="str">
        <f>IFERROR(__xludf.DUMMYFUNCTION("""COMPUTED_VALUE"""),"")</f>
        <v/>
      </c>
      <c r="P3966" t="str">
        <f>IFERROR(__xludf.DUMMYFUNCTION("""COMPUTED_VALUE"""),"ID ")</f>
        <v>ID </v>
      </c>
    </row>
    <row r="3967">
      <c r="A3967" s="6" t="str">
        <f>IFERROR(__xludf.DUMMYFUNCTION("""COMPUTED_VALUE"""),"")</f>
        <v/>
      </c>
      <c r="C3967" t="str">
        <f>IFERROR(__xludf.DUMMYFUNCTION("""COMPUTED_VALUE"""),"")</f>
        <v/>
      </c>
      <c r="D3967" t="str">
        <f>IFERROR(__xludf.DUMMYFUNCTION("""COMPUTED_VALUE"""),"")</f>
        <v/>
      </c>
      <c r="E3967" t="str">
        <f>IFERROR(__xludf.DUMMYFUNCTION("""COMPUTED_VALUE"""),"")</f>
        <v/>
      </c>
      <c r="F3967" t="str">
        <f>IFERROR(__xludf.DUMMYFUNCTION("""COMPUTED_VALUE"""),"")</f>
        <v/>
      </c>
      <c r="G3967" t="str">
        <f>IFERROR(__xludf.DUMMYFUNCTION("""COMPUTED_VALUE"""),"")</f>
        <v/>
      </c>
      <c r="H3967" s="2" t="str">
        <f>IFERROR(__xludf.DUMMYFUNCTION("""COMPUTED_VALUE"""),"")</f>
        <v/>
      </c>
      <c r="I3967" s="2" t="str">
        <f>IFERROR(__xludf.DUMMYFUNCTION("""COMPUTED_VALUE"""),"")</f>
        <v/>
      </c>
      <c r="J3967" s="2">
        <f>IFERROR(__xludf.DUMMYFUNCTION("""COMPUTED_VALUE"""),0.0)</f>
        <v>0</v>
      </c>
      <c r="K3967" s="5" t="str">
        <f>IFERROR(__xludf.DUMMYFUNCTION("""COMPUTED_VALUE"""),"")</f>
        <v/>
      </c>
      <c r="L3967" t="str">
        <f>IFERROR(__xludf.DUMMYFUNCTION("""COMPUTED_VALUE"""),"")</f>
        <v/>
      </c>
      <c r="M3967" t="str">
        <f>IFERROR(__xludf.DUMMYFUNCTION("""COMPUTED_VALUE"""),"")</f>
        <v/>
      </c>
      <c r="N3967" t="str">
        <f>IFERROR(__xludf.DUMMYFUNCTION("""COMPUTED_VALUE"""),"")</f>
        <v/>
      </c>
      <c r="O3967" t="str">
        <f>IFERROR(__xludf.DUMMYFUNCTION("""COMPUTED_VALUE"""),"")</f>
        <v/>
      </c>
      <c r="P3967" t="str">
        <f>IFERROR(__xludf.DUMMYFUNCTION("""COMPUTED_VALUE"""),"ID ")</f>
        <v>ID </v>
      </c>
    </row>
    <row r="3968">
      <c r="A3968" s="6" t="str">
        <f>IFERROR(__xludf.DUMMYFUNCTION("""COMPUTED_VALUE"""),"")</f>
        <v/>
      </c>
      <c r="C3968" t="str">
        <f>IFERROR(__xludf.DUMMYFUNCTION("""COMPUTED_VALUE"""),"")</f>
        <v/>
      </c>
      <c r="D3968" t="str">
        <f>IFERROR(__xludf.DUMMYFUNCTION("""COMPUTED_VALUE"""),"")</f>
        <v/>
      </c>
      <c r="E3968" t="str">
        <f>IFERROR(__xludf.DUMMYFUNCTION("""COMPUTED_VALUE"""),"")</f>
        <v/>
      </c>
      <c r="F3968" t="str">
        <f>IFERROR(__xludf.DUMMYFUNCTION("""COMPUTED_VALUE"""),"")</f>
        <v/>
      </c>
      <c r="G3968" t="str">
        <f>IFERROR(__xludf.DUMMYFUNCTION("""COMPUTED_VALUE"""),"")</f>
        <v/>
      </c>
      <c r="H3968" s="2" t="str">
        <f>IFERROR(__xludf.DUMMYFUNCTION("""COMPUTED_VALUE"""),"")</f>
        <v/>
      </c>
      <c r="I3968" s="2" t="str">
        <f>IFERROR(__xludf.DUMMYFUNCTION("""COMPUTED_VALUE"""),"")</f>
        <v/>
      </c>
      <c r="J3968" s="2">
        <f>IFERROR(__xludf.DUMMYFUNCTION("""COMPUTED_VALUE"""),0.0)</f>
        <v>0</v>
      </c>
      <c r="K3968" s="5" t="str">
        <f>IFERROR(__xludf.DUMMYFUNCTION("""COMPUTED_VALUE"""),"")</f>
        <v/>
      </c>
      <c r="L3968" t="str">
        <f>IFERROR(__xludf.DUMMYFUNCTION("""COMPUTED_VALUE"""),"")</f>
        <v/>
      </c>
      <c r="M3968" t="str">
        <f>IFERROR(__xludf.DUMMYFUNCTION("""COMPUTED_VALUE"""),"")</f>
        <v/>
      </c>
      <c r="N3968" t="str">
        <f>IFERROR(__xludf.DUMMYFUNCTION("""COMPUTED_VALUE"""),"")</f>
        <v/>
      </c>
      <c r="O3968" t="str">
        <f>IFERROR(__xludf.DUMMYFUNCTION("""COMPUTED_VALUE"""),"")</f>
        <v/>
      </c>
      <c r="P3968" t="str">
        <f>IFERROR(__xludf.DUMMYFUNCTION("""COMPUTED_VALUE"""),"ID ")</f>
        <v>ID </v>
      </c>
    </row>
    <row r="3969">
      <c r="A3969" s="6" t="str">
        <f>IFERROR(__xludf.DUMMYFUNCTION("""COMPUTED_VALUE"""),"")</f>
        <v/>
      </c>
      <c r="C3969" t="str">
        <f>IFERROR(__xludf.DUMMYFUNCTION("""COMPUTED_VALUE"""),"")</f>
        <v/>
      </c>
      <c r="D3969" t="str">
        <f>IFERROR(__xludf.DUMMYFUNCTION("""COMPUTED_VALUE"""),"")</f>
        <v/>
      </c>
      <c r="E3969" t="str">
        <f>IFERROR(__xludf.DUMMYFUNCTION("""COMPUTED_VALUE"""),"")</f>
        <v/>
      </c>
      <c r="F3969" t="str">
        <f>IFERROR(__xludf.DUMMYFUNCTION("""COMPUTED_VALUE"""),"")</f>
        <v/>
      </c>
      <c r="G3969" t="str">
        <f>IFERROR(__xludf.DUMMYFUNCTION("""COMPUTED_VALUE"""),"")</f>
        <v/>
      </c>
      <c r="H3969" s="2" t="str">
        <f>IFERROR(__xludf.DUMMYFUNCTION("""COMPUTED_VALUE"""),"")</f>
        <v/>
      </c>
      <c r="I3969" s="2" t="str">
        <f>IFERROR(__xludf.DUMMYFUNCTION("""COMPUTED_VALUE"""),"")</f>
        <v/>
      </c>
      <c r="J3969" s="2">
        <f>IFERROR(__xludf.DUMMYFUNCTION("""COMPUTED_VALUE"""),0.0)</f>
        <v>0</v>
      </c>
      <c r="K3969" s="5" t="str">
        <f>IFERROR(__xludf.DUMMYFUNCTION("""COMPUTED_VALUE"""),"")</f>
        <v/>
      </c>
      <c r="L3969" t="str">
        <f>IFERROR(__xludf.DUMMYFUNCTION("""COMPUTED_VALUE"""),"")</f>
        <v/>
      </c>
      <c r="M3969" t="str">
        <f>IFERROR(__xludf.DUMMYFUNCTION("""COMPUTED_VALUE"""),"")</f>
        <v/>
      </c>
      <c r="N3969" t="str">
        <f>IFERROR(__xludf.DUMMYFUNCTION("""COMPUTED_VALUE"""),"")</f>
        <v/>
      </c>
      <c r="O3969" t="str">
        <f>IFERROR(__xludf.DUMMYFUNCTION("""COMPUTED_VALUE"""),"")</f>
        <v/>
      </c>
      <c r="P3969" t="str">
        <f>IFERROR(__xludf.DUMMYFUNCTION("""COMPUTED_VALUE"""),"ID ")</f>
        <v>ID </v>
      </c>
    </row>
    <row r="3970">
      <c r="A3970" s="6" t="str">
        <f>IFERROR(__xludf.DUMMYFUNCTION("""COMPUTED_VALUE"""),"")</f>
        <v/>
      </c>
      <c r="C3970" t="str">
        <f>IFERROR(__xludf.DUMMYFUNCTION("""COMPUTED_VALUE"""),"")</f>
        <v/>
      </c>
      <c r="D3970" t="str">
        <f>IFERROR(__xludf.DUMMYFUNCTION("""COMPUTED_VALUE"""),"")</f>
        <v/>
      </c>
      <c r="E3970" t="str">
        <f>IFERROR(__xludf.DUMMYFUNCTION("""COMPUTED_VALUE"""),"")</f>
        <v/>
      </c>
      <c r="F3970" t="str">
        <f>IFERROR(__xludf.DUMMYFUNCTION("""COMPUTED_VALUE"""),"")</f>
        <v/>
      </c>
      <c r="G3970" t="str">
        <f>IFERROR(__xludf.DUMMYFUNCTION("""COMPUTED_VALUE"""),"")</f>
        <v/>
      </c>
      <c r="H3970" s="2" t="str">
        <f>IFERROR(__xludf.DUMMYFUNCTION("""COMPUTED_VALUE"""),"")</f>
        <v/>
      </c>
      <c r="I3970" s="2" t="str">
        <f>IFERROR(__xludf.DUMMYFUNCTION("""COMPUTED_VALUE"""),"")</f>
        <v/>
      </c>
      <c r="J3970" s="2">
        <f>IFERROR(__xludf.DUMMYFUNCTION("""COMPUTED_VALUE"""),0.0)</f>
        <v>0</v>
      </c>
      <c r="K3970" s="5" t="str">
        <f>IFERROR(__xludf.DUMMYFUNCTION("""COMPUTED_VALUE"""),"")</f>
        <v/>
      </c>
      <c r="L3970" t="str">
        <f>IFERROR(__xludf.DUMMYFUNCTION("""COMPUTED_VALUE"""),"")</f>
        <v/>
      </c>
      <c r="M3970" t="str">
        <f>IFERROR(__xludf.DUMMYFUNCTION("""COMPUTED_VALUE"""),"")</f>
        <v/>
      </c>
      <c r="N3970" t="str">
        <f>IFERROR(__xludf.DUMMYFUNCTION("""COMPUTED_VALUE"""),"")</f>
        <v/>
      </c>
      <c r="O3970" t="str">
        <f>IFERROR(__xludf.DUMMYFUNCTION("""COMPUTED_VALUE"""),"")</f>
        <v/>
      </c>
      <c r="P3970" t="str">
        <f>IFERROR(__xludf.DUMMYFUNCTION("""COMPUTED_VALUE"""),"ID ")</f>
        <v>ID </v>
      </c>
    </row>
    <row r="3971">
      <c r="A3971" s="6" t="str">
        <f>IFERROR(__xludf.DUMMYFUNCTION("""COMPUTED_VALUE"""),"")</f>
        <v/>
      </c>
      <c r="C3971" t="str">
        <f>IFERROR(__xludf.DUMMYFUNCTION("""COMPUTED_VALUE"""),"")</f>
        <v/>
      </c>
      <c r="D3971" t="str">
        <f>IFERROR(__xludf.DUMMYFUNCTION("""COMPUTED_VALUE"""),"")</f>
        <v/>
      </c>
      <c r="E3971" t="str">
        <f>IFERROR(__xludf.DUMMYFUNCTION("""COMPUTED_VALUE"""),"")</f>
        <v/>
      </c>
      <c r="F3971" t="str">
        <f>IFERROR(__xludf.DUMMYFUNCTION("""COMPUTED_VALUE"""),"")</f>
        <v/>
      </c>
      <c r="G3971" t="str">
        <f>IFERROR(__xludf.DUMMYFUNCTION("""COMPUTED_VALUE"""),"")</f>
        <v/>
      </c>
      <c r="H3971" s="2" t="str">
        <f>IFERROR(__xludf.DUMMYFUNCTION("""COMPUTED_VALUE"""),"")</f>
        <v/>
      </c>
      <c r="I3971" s="2" t="str">
        <f>IFERROR(__xludf.DUMMYFUNCTION("""COMPUTED_VALUE"""),"")</f>
        <v/>
      </c>
      <c r="J3971" s="2">
        <f>IFERROR(__xludf.DUMMYFUNCTION("""COMPUTED_VALUE"""),0.0)</f>
        <v>0</v>
      </c>
      <c r="K3971" s="5" t="str">
        <f>IFERROR(__xludf.DUMMYFUNCTION("""COMPUTED_VALUE"""),"")</f>
        <v/>
      </c>
      <c r="L3971" t="str">
        <f>IFERROR(__xludf.DUMMYFUNCTION("""COMPUTED_VALUE"""),"")</f>
        <v/>
      </c>
      <c r="M3971" t="str">
        <f>IFERROR(__xludf.DUMMYFUNCTION("""COMPUTED_VALUE"""),"")</f>
        <v/>
      </c>
      <c r="N3971" t="str">
        <f>IFERROR(__xludf.DUMMYFUNCTION("""COMPUTED_VALUE"""),"")</f>
        <v/>
      </c>
      <c r="O3971" t="str">
        <f>IFERROR(__xludf.DUMMYFUNCTION("""COMPUTED_VALUE"""),"")</f>
        <v/>
      </c>
      <c r="P3971" t="str">
        <f>IFERROR(__xludf.DUMMYFUNCTION("""COMPUTED_VALUE"""),"ID ")</f>
        <v>ID </v>
      </c>
    </row>
    <row r="3972">
      <c r="A3972" s="6" t="str">
        <f>IFERROR(__xludf.DUMMYFUNCTION("""COMPUTED_VALUE"""),"")</f>
        <v/>
      </c>
      <c r="C3972" t="str">
        <f>IFERROR(__xludf.DUMMYFUNCTION("""COMPUTED_VALUE"""),"")</f>
        <v/>
      </c>
      <c r="D3972" t="str">
        <f>IFERROR(__xludf.DUMMYFUNCTION("""COMPUTED_VALUE"""),"")</f>
        <v/>
      </c>
      <c r="E3972" t="str">
        <f>IFERROR(__xludf.DUMMYFUNCTION("""COMPUTED_VALUE"""),"")</f>
        <v/>
      </c>
      <c r="F3972" t="str">
        <f>IFERROR(__xludf.DUMMYFUNCTION("""COMPUTED_VALUE"""),"")</f>
        <v/>
      </c>
      <c r="G3972" t="str">
        <f>IFERROR(__xludf.DUMMYFUNCTION("""COMPUTED_VALUE"""),"")</f>
        <v/>
      </c>
      <c r="H3972" s="2" t="str">
        <f>IFERROR(__xludf.DUMMYFUNCTION("""COMPUTED_VALUE"""),"")</f>
        <v/>
      </c>
      <c r="I3972" s="2" t="str">
        <f>IFERROR(__xludf.DUMMYFUNCTION("""COMPUTED_VALUE"""),"")</f>
        <v/>
      </c>
      <c r="J3972" s="2">
        <f>IFERROR(__xludf.DUMMYFUNCTION("""COMPUTED_VALUE"""),0.0)</f>
        <v>0</v>
      </c>
      <c r="K3972" s="5" t="str">
        <f>IFERROR(__xludf.DUMMYFUNCTION("""COMPUTED_VALUE"""),"")</f>
        <v/>
      </c>
      <c r="L3972" t="str">
        <f>IFERROR(__xludf.DUMMYFUNCTION("""COMPUTED_VALUE"""),"")</f>
        <v/>
      </c>
      <c r="M3972" t="str">
        <f>IFERROR(__xludf.DUMMYFUNCTION("""COMPUTED_VALUE"""),"")</f>
        <v/>
      </c>
      <c r="N3972" t="str">
        <f>IFERROR(__xludf.DUMMYFUNCTION("""COMPUTED_VALUE"""),"")</f>
        <v/>
      </c>
      <c r="O3972" t="str">
        <f>IFERROR(__xludf.DUMMYFUNCTION("""COMPUTED_VALUE"""),"")</f>
        <v/>
      </c>
      <c r="P3972" t="str">
        <f>IFERROR(__xludf.DUMMYFUNCTION("""COMPUTED_VALUE"""),"ID ")</f>
        <v>ID </v>
      </c>
    </row>
    <row r="3973">
      <c r="A3973" s="6" t="str">
        <f>IFERROR(__xludf.DUMMYFUNCTION("""COMPUTED_VALUE"""),"")</f>
        <v/>
      </c>
      <c r="C3973" t="str">
        <f>IFERROR(__xludf.DUMMYFUNCTION("""COMPUTED_VALUE"""),"")</f>
        <v/>
      </c>
      <c r="D3973" t="str">
        <f>IFERROR(__xludf.DUMMYFUNCTION("""COMPUTED_VALUE"""),"")</f>
        <v/>
      </c>
      <c r="E3973" t="str">
        <f>IFERROR(__xludf.DUMMYFUNCTION("""COMPUTED_VALUE"""),"")</f>
        <v/>
      </c>
      <c r="F3973" t="str">
        <f>IFERROR(__xludf.DUMMYFUNCTION("""COMPUTED_VALUE"""),"")</f>
        <v/>
      </c>
      <c r="G3973" t="str">
        <f>IFERROR(__xludf.DUMMYFUNCTION("""COMPUTED_VALUE"""),"")</f>
        <v/>
      </c>
      <c r="H3973" s="2" t="str">
        <f>IFERROR(__xludf.DUMMYFUNCTION("""COMPUTED_VALUE"""),"")</f>
        <v/>
      </c>
      <c r="I3973" s="2" t="str">
        <f>IFERROR(__xludf.DUMMYFUNCTION("""COMPUTED_VALUE"""),"")</f>
        <v/>
      </c>
      <c r="J3973" s="2">
        <f>IFERROR(__xludf.DUMMYFUNCTION("""COMPUTED_VALUE"""),0.0)</f>
        <v>0</v>
      </c>
      <c r="K3973" s="5" t="str">
        <f>IFERROR(__xludf.DUMMYFUNCTION("""COMPUTED_VALUE"""),"")</f>
        <v/>
      </c>
      <c r="L3973" t="str">
        <f>IFERROR(__xludf.DUMMYFUNCTION("""COMPUTED_VALUE"""),"")</f>
        <v/>
      </c>
      <c r="M3973" t="str">
        <f>IFERROR(__xludf.DUMMYFUNCTION("""COMPUTED_VALUE"""),"")</f>
        <v/>
      </c>
      <c r="N3973" t="str">
        <f>IFERROR(__xludf.DUMMYFUNCTION("""COMPUTED_VALUE"""),"")</f>
        <v/>
      </c>
      <c r="O3973" t="str">
        <f>IFERROR(__xludf.DUMMYFUNCTION("""COMPUTED_VALUE"""),"")</f>
        <v/>
      </c>
      <c r="P3973" t="str">
        <f>IFERROR(__xludf.DUMMYFUNCTION("""COMPUTED_VALUE"""),"ID ")</f>
        <v>ID </v>
      </c>
    </row>
    <row r="3974">
      <c r="A3974" s="6" t="str">
        <f>IFERROR(__xludf.DUMMYFUNCTION("""COMPUTED_VALUE"""),"")</f>
        <v/>
      </c>
      <c r="C3974" t="str">
        <f>IFERROR(__xludf.DUMMYFUNCTION("""COMPUTED_VALUE"""),"")</f>
        <v/>
      </c>
      <c r="D3974" t="str">
        <f>IFERROR(__xludf.DUMMYFUNCTION("""COMPUTED_VALUE"""),"")</f>
        <v/>
      </c>
      <c r="E3974" t="str">
        <f>IFERROR(__xludf.DUMMYFUNCTION("""COMPUTED_VALUE"""),"")</f>
        <v/>
      </c>
      <c r="F3974" t="str">
        <f>IFERROR(__xludf.DUMMYFUNCTION("""COMPUTED_VALUE"""),"")</f>
        <v/>
      </c>
      <c r="G3974" t="str">
        <f>IFERROR(__xludf.DUMMYFUNCTION("""COMPUTED_VALUE"""),"")</f>
        <v/>
      </c>
      <c r="H3974" s="2" t="str">
        <f>IFERROR(__xludf.DUMMYFUNCTION("""COMPUTED_VALUE"""),"")</f>
        <v/>
      </c>
      <c r="I3974" s="2" t="str">
        <f>IFERROR(__xludf.DUMMYFUNCTION("""COMPUTED_VALUE"""),"")</f>
        <v/>
      </c>
      <c r="J3974" s="2">
        <f>IFERROR(__xludf.DUMMYFUNCTION("""COMPUTED_VALUE"""),0.0)</f>
        <v>0</v>
      </c>
      <c r="K3974" s="5" t="str">
        <f>IFERROR(__xludf.DUMMYFUNCTION("""COMPUTED_VALUE"""),"")</f>
        <v/>
      </c>
      <c r="L3974" t="str">
        <f>IFERROR(__xludf.DUMMYFUNCTION("""COMPUTED_VALUE"""),"")</f>
        <v/>
      </c>
      <c r="M3974" t="str">
        <f>IFERROR(__xludf.DUMMYFUNCTION("""COMPUTED_VALUE"""),"")</f>
        <v/>
      </c>
      <c r="N3974" t="str">
        <f>IFERROR(__xludf.DUMMYFUNCTION("""COMPUTED_VALUE"""),"")</f>
        <v/>
      </c>
      <c r="O3974" t="str">
        <f>IFERROR(__xludf.DUMMYFUNCTION("""COMPUTED_VALUE"""),"")</f>
        <v/>
      </c>
      <c r="P3974" t="str">
        <f>IFERROR(__xludf.DUMMYFUNCTION("""COMPUTED_VALUE"""),"ID ")</f>
        <v>ID </v>
      </c>
    </row>
    <row r="3975">
      <c r="A3975" s="6" t="str">
        <f>IFERROR(__xludf.DUMMYFUNCTION("""COMPUTED_VALUE"""),"")</f>
        <v/>
      </c>
      <c r="C3975" t="str">
        <f>IFERROR(__xludf.DUMMYFUNCTION("""COMPUTED_VALUE"""),"")</f>
        <v/>
      </c>
      <c r="D3975" t="str">
        <f>IFERROR(__xludf.DUMMYFUNCTION("""COMPUTED_VALUE"""),"")</f>
        <v/>
      </c>
      <c r="E3975" t="str">
        <f>IFERROR(__xludf.DUMMYFUNCTION("""COMPUTED_VALUE"""),"")</f>
        <v/>
      </c>
      <c r="F3975" t="str">
        <f>IFERROR(__xludf.DUMMYFUNCTION("""COMPUTED_VALUE"""),"")</f>
        <v/>
      </c>
      <c r="G3975" t="str">
        <f>IFERROR(__xludf.DUMMYFUNCTION("""COMPUTED_VALUE"""),"")</f>
        <v/>
      </c>
      <c r="H3975" s="2" t="str">
        <f>IFERROR(__xludf.DUMMYFUNCTION("""COMPUTED_VALUE"""),"")</f>
        <v/>
      </c>
      <c r="I3975" s="2" t="str">
        <f>IFERROR(__xludf.DUMMYFUNCTION("""COMPUTED_VALUE"""),"")</f>
        <v/>
      </c>
      <c r="J3975" s="2">
        <f>IFERROR(__xludf.DUMMYFUNCTION("""COMPUTED_VALUE"""),0.0)</f>
        <v>0</v>
      </c>
      <c r="K3975" s="5" t="str">
        <f>IFERROR(__xludf.DUMMYFUNCTION("""COMPUTED_VALUE"""),"")</f>
        <v/>
      </c>
      <c r="L3975" t="str">
        <f>IFERROR(__xludf.DUMMYFUNCTION("""COMPUTED_VALUE"""),"")</f>
        <v/>
      </c>
      <c r="M3975" t="str">
        <f>IFERROR(__xludf.DUMMYFUNCTION("""COMPUTED_VALUE"""),"")</f>
        <v/>
      </c>
      <c r="N3975" t="str">
        <f>IFERROR(__xludf.DUMMYFUNCTION("""COMPUTED_VALUE"""),"")</f>
        <v/>
      </c>
      <c r="O3975" t="str">
        <f>IFERROR(__xludf.DUMMYFUNCTION("""COMPUTED_VALUE"""),"")</f>
        <v/>
      </c>
      <c r="P3975" t="str">
        <f>IFERROR(__xludf.DUMMYFUNCTION("""COMPUTED_VALUE"""),"ID ")</f>
        <v>ID </v>
      </c>
    </row>
    <row r="3976">
      <c r="A3976" s="6" t="str">
        <f>IFERROR(__xludf.DUMMYFUNCTION("""COMPUTED_VALUE"""),"")</f>
        <v/>
      </c>
      <c r="C3976" t="str">
        <f>IFERROR(__xludf.DUMMYFUNCTION("""COMPUTED_VALUE"""),"")</f>
        <v/>
      </c>
      <c r="D3976" t="str">
        <f>IFERROR(__xludf.DUMMYFUNCTION("""COMPUTED_VALUE"""),"")</f>
        <v/>
      </c>
      <c r="E3976" t="str">
        <f>IFERROR(__xludf.DUMMYFUNCTION("""COMPUTED_VALUE"""),"")</f>
        <v/>
      </c>
      <c r="F3976" t="str">
        <f>IFERROR(__xludf.DUMMYFUNCTION("""COMPUTED_VALUE"""),"")</f>
        <v/>
      </c>
      <c r="G3976" t="str">
        <f>IFERROR(__xludf.DUMMYFUNCTION("""COMPUTED_VALUE"""),"")</f>
        <v/>
      </c>
      <c r="H3976" s="2" t="str">
        <f>IFERROR(__xludf.DUMMYFUNCTION("""COMPUTED_VALUE"""),"")</f>
        <v/>
      </c>
      <c r="I3976" s="2" t="str">
        <f>IFERROR(__xludf.DUMMYFUNCTION("""COMPUTED_VALUE"""),"")</f>
        <v/>
      </c>
      <c r="J3976" s="2">
        <f>IFERROR(__xludf.DUMMYFUNCTION("""COMPUTED_VALUE"""),0.0)</f>
        <v>0</v>
      </c>
      <c r="K3976" s="5" t="str">
        <f>IFERROR(__xludf.DUMMYFUNCTION("""COMPUTED_VALUE"""),"")</f>
        <v/>
      </c>
      <c r="L3976" t="str">
        <f>IFERROR(__xludf.DUMMYFUNCTION("""COMPUTED_VALUE"""),"")</f>
        <v/>
      </c>
      <c r="M3976" t="str">
        <f>IFERROR(__xludf.DUMMYFUNCTION("""COMPUTED_VALUE"""),"")</f>
        <v/>
      </c>
      <c r="N3976" t="str">
        <f>IFERROR(__xludf.DUMMYFUNCTION("""COMPUTED_VALUE"""),"")</f>
        <v/>
      </c>
      <c r="O3976" t="str">
        <f>IFERROR(__xludf.DUMMYFUNCTION("""COMPUTED_VALUE"""),"")</f>
        <v/>
      </c>
      <c r="P3976" t="str">
        <f>IFERROR(__xludf.DUMMYFUNCTION("""COMPUTED_VALUE"""),"ID ")</f>
        <v>ID </v>
      </c>
    </row>
    <row r="3977">
      <c r="A3977" s="6" t="str">
        <f>IFERROR(__xludf.DUMMYFUNCTION("""COMPUTED_VALUE"""),"")</f>
        <v/>
      </c>
      <c r="C3977" t="str">
        <f>IFERROR(__xludf.DUMMYFUNCTION("""COMPUTED_VALUE"""),"")</f>
        <v/>
      </c>
      <c r="D3977" t="str">
        <f>IFERROR(__xludf.DUMMYFUNCTION("""COMPUTED_VALUE"""),"")</f>
        <v/>
      </c>
      <c r="E3977" t="str">
        <f>IFERROR(__xludf.DUMMYFUNCTION("""COMPUTED_VALUE"""),"")</f>
        <v/>
      </c>
      <c r="F3977" t="str">
        <f>IFERROR(__xludf.DUMMYFUNCTION("""COMPUTED_VALUE"""),"")</f>
        <v/>
      </c>
      <c r="G3977" t="str">
        <f>IFERROR(__xludf.DUMMYFUNCTION("""COMPUTED_VALUE"""),"")</f>
        <v/>
      </c>
      <c r="H3977" s="2" t="str">
        <f>IFERROR(__xludf.DUMMYFUNCTION("""COMPUTED_VALUE"""),"")</f>
        <v/>
      </c>
      <c r="I3977" s="2" t="str">
        <f>IFERROR(__xludf.DUMMYFUNCTION("""COMPUTED_VALUE"""),"")</f>
        <v/>
      </c>
      <c r="J3977" s="2">
        <f>IFERROR(__xludf.DUMMYFUNCTION("""COMPUTED_VALUE"""),0.0)</f>
        <v>0</v>
      </c>
      <c r="K3977" s="5" t="str">
        <f>IFERROR(__xludf.DUMMYFUNCTION("""COMPUTED_VALUE"""),"")</f>
        <v/>
      </c>
      <c r="L3977" t="str">
        <f>IFERROR(__xludf.DUMMYFUNCTION("""COMPUTED_VALUE"""),"")</f>
        <v/>
      </c>
      <c r="M3977" t="str">
        <f>IFERROR(__xludf.DUMMYFUNCTION("""COMPUTED_VALUE"""),"")</f>
        <v/>
      </c>
      <c r="N3977" t="str">
        <f>IFERROR(__xludf.DUMMYFUNCTION("""COMPUTED_VALUE"""),"")</f>
        <v/>
      </c>
      <c r="O3977" t="str">
        <f>IFERROR(__xludf.DUMMYFUNCTION("""COMPUTED_VALUE"""),"")</f>
        <v/>
      </c>
      <c r="P3977" t="str">
        <f>IFERROR(__xludf.DUMMYFUNCTION("""COMPUTED_VALUE"""),"ID ")</f>
        <v>ID </v>
      </c>
    </row>
    <row r="3978">
      <c r="A3978" s="6" t="str">
        <f>IFERROR(__xludf.DUMMYFUNCTION("""COMPUTED_VALUE"""),"")</f>
        <v/>
      </c>
      <c r="C3978" t="str">
        <f>IFERROR(__xludf.DUMMYFUNCTION("""COMPUTED_VALUE"""),"")</f>
        <v/>
      </c>
      <c r="D3978" t="str">
        <f>IFERROR(__xludf.DUMMYFUNCTION("""COMPUTED_VALUE"""),"")</f>
        <v/>
      </c>
      <c r="E3978" t="str">
        <f>IFERROR(__xludf.DUMMYFUNCTION("""COMPUTED_VALUE"""),"")</f>
        <v/>
      </c>
      <c r="F3978" t="str">
        <f>IFERROR(__xludf.DUMMYFUNCTION("""COMPUTED_VALUE"""),"")</f>
        <v/>
      </c>
      <c r="G3978" t="str">
        <f>IFERROR(__xludf.DUMMYFUNCTION("""COMPUTED_VALUE"""),"")</f>
        <v/>
      </c>
      <c r="H3978" s="2" t="str">
        <f>IFERROR(__xludf.DUMMYFUNCTION("""COMPUTED_VALUE"""),"")</f>
        <v/>
      </c>
      <c r="I3978" s="2" t="str">
        <f>IFERROR(__xludf.DUMMYFUNCTION("""COMPUTED_VALUE"""),"")</f>
        <v/>
      </c>
      <c r="J3978" s="2">
        <f>IFERROR(__xludf.DUMMYFUNCTION("""COMPUTED_VALUE"""),0.0)</f>
        <v>0</v>
      </c>
      <c r="K3978" s="5" t="str">
        <f>IFERROR(__xludf.DUMMYFUNCTION("""COMPUTED_VALUE"""),"")</f>
        <v/>
      </c>
      <c r="L3978" t="str">
        <f>IFERROR(__xludf.DUMMYFUNCTION("""COMPUTED_VALUE"""),"")</f>
        <v/>
      </c>
      <c r="M3978" t="str">
        <f>IFERROR(__xludf.DUMMYFUNCTION("""COMPUTED_VALUE"""),"")</f>
        <v/>
      </c>
      <c r="N3978" t="str">
        <f>IFERROR(__xludf.DUMMYFUNCTION("""COMPUTED_VALUE"""),"")</f>
        <v/>
      </c>
      <c r="O3978" t="str">
        <f>IFERROR(__xludf.DUMMYFUNCTION("""COMPUTED_VALUE"""),"")</f>
        <v/>
      </c>
      <c r="P3978" t="str">
        <f>IFERROR(__xludf.DUMMYFUNCTION("""COMPUTED_VALUE"""),"ID ")</f>
        <v>ID </v>
      </c>
    </row>
    <row r="3979">
      <c r="A3979" s="6" t="str">
        <f>IFERROR(__xludf.DUMMYFUNCTION("""COMPUTED_VALUE"""),"")</f>
        <v/>
      </c>
      <c r="C3979" t="str">
        <f>IFERROR(__xludf.DUMMYFUNCTION("""COMPUTED_VALUE"""),"")</f>
        <v/>
      </c>
      <c r="D3979" t="str">
        <f>IFERROR(__xludf.DUMMYFUNCTION("""COMPUTED_VALUE"""),"")</f>
        <v/>
      </c>
      <c r="E3979" t="str">
        <f>IFERROR(__xludf.DUMMYFUNCTION("""COMPUTED_VALUE"""),"")</f>
        <v/>
      </c>
      <c r="F3979" t="str">
        <f>IFERROR(__xludf.DUMMYFUNCTION("""COMPUTED_VALUE"""),"")</f>
        <v/>
      </c>
      <c r="G3979" t="str">
        <f>IFERROR(__xludf.DUMMYFUNCTION("""COMPUTED_VALUE"""),"")</f>
        <v/>
      </c>
      <c r="H3979" s="2" t="str">
        <f>IFERROR(__xludf.DUMMYFUNCTION("""COMPUTED_VALUE"""),"")</f>
        <v/>
      </c>
      <c r="I3979" s="2" t="str">
        <f>IFERROR(__xludf.DUMMYFUNCTION("""COMPUTED_VALUE"""),"")</f>
        <v/>
      </c>
      <c r="J3979" s="2">
        <f>IFERROR(__xludf.DUMMYFUNCTION("""COMPUTED_VALUE"""),0.0)</f>
        <v>0</v>
      </c>
      <c r="K3979" s="5" t="str">
        <f>IFERROR(__xludf.DUMMYFUNCTION("""COMPUTED_VALUE"""),"")</f>
        <v/>
      </c>
      <c r="L3979" t="str">
        <f>IFERROR(__xludf.DUMMYFUNCTION("""COMPUTED_VALUE"""),"")</f>
        <v/>
      </c>
      <c r="M3979" t="str">
        <f>IFERROR(__xludf.DUMMYFUNCTION("""COMPUTED_VALUE"""),"")</f>
        <v/>
      </c>
      <c r="N3979" t="str">
        <f>IFERROR(__xludf.DUMMYFUNCTION("""COMPUTED_VALUE"""),"")</f>
        <v/>
      </c>
      <c r="O3979" t="str">
        <f>IFERROR(__xludf.DUMMYFUNCTION("""COMPUTED_VALUE"""),"")</f>
        <v/>
      </c>
      <c r="P3979" t="str">
        <f>IFERROR(__xludf.DUMMYFUNCTION("""COMPUTED_VALUE"""),"ID ")</f>
        <v>ID </v>
      </c>
    </row>
    <row r="3980">
      <c r="A3980" s="6" t="str">
        <f>IFERROR(__xludf.DUMMYFUNCTION("""COMPUTED_VALUE"""),"")</f>
        <v/>
      </c>
      <c r="C3980" t="str">
        <f>IFERROR(__xludf.DUMMYFUNCTION("""COMPUTED_VALUE"""),"")</f>
        <v/>
      </c>
      <c r="D3980" t="str">
        <f>IFERROR(__xludf.DUMMYFUNCTION("""COMPUTED_VALUE"""),"")</f>
        <v/>
      </c>
      <c r="E3980" t="str">
        <f>IFERROR(__xludf.DUMMYFUNCTION("""COMPUTED_VALUE"""),"")</f>
        <v/>
      </c>
      <c r="F3980" t="str">
        <f>IFERROR(__xludf.DUMMYFUNCTION("""COMPUTED_VALUE"""),"")</f>
        <v/>
      </c>
      <c r="G3980" t="str">
        <f>IFERROR(__xludf.DUMMYFUNCTION("""COMPUTED_VALUE"""),"")</f>
        <v/>
      </c>
      <c r="H3980" s="2" t="str">
        <f>IFERROR(__xludf.DUMMYFUNCTION("""COMPUTED_VALUE"""),"")</f>
        <v/>
      </c>
      <c r="I3980" s="2" t="str">
        <f>IFERROR(__xludf.DUMMYFUNCTION("""COMPUTED_VALUE"""),"")</f>
        <v/>
      </c>
      <c r="J3980" s="2">
        <f>IFERROR(__xludf.DUMMYFUNCTION("""COMPUTED_VALUE"""),0.0)</f>
        <v>0</v>
      </c>
      <c r="K3980" s="5" t="str">
        <f>IFERROR(__xludf.DUMMYFUNCTION("""COMPUTED_VALUE"""),"")</f>
        <v/>
      </c>
      <c r="L3980" t="str">
        <f>IFERROR(__xludf.DUMMYFUNCTION("""COMPUTED_VALUE"""),"")</f>
        <v/>
      </c>
      <c r="M3980" t="str">
        <f>IFERROR(__xludf.DUMMYFUNCTION("""COMPUTED_VALUE"""),"")</f>
        <v/>
      </c>
      <c r="N3980" t="str">
        <f>IFERROR(__xludf.DUMMYFUNCTION("""COMPUTED_VALUE"""),"")</f>
        <v/>
      </c>
      <c r="O3980" t="str">
        <f>IFERROR(__xludf.DUMMYFUNCTION("""COMPUTED_VALUE"""),"")</f>
        <v/>
      </c>
      <c r="P3980" t="str">
        <f>IFERROR(__xludf.DUMMYFUNCTION("""COMPUTED_VALUE"""),"ID ")</f>
        <v>ID </v>
      </c>
    </row>
    <row r="3981">
      <c r="A3981" s="6" t="str">
        <f>IFERROR(__xludf.DUMMYFUNCTION("""COMPUTED_VALUE"""),"")</f>
        <v/>
      </c>
      <c r="C3981" t="str">
        <f>IFERROR(__xludf.DUMMYFUNCTION("""COMPUTED_VALUE"""),"")</f>
        <v/>
      </c>
      <c r="D3981" t="str">
        <f>IFERROR(__xludf.DUMMYFUNCTION("""COMPUTED_VALUE"""),"")</f>
        <v/>
      </c>
      <c r="E3981" t="str">
        <f>IFERROR(__xludf.DUMMYFUNCTION("""COMPUTED_VALUE"""),"")</f>
        <v/>
      </c>
      <c r="F3981" t="str">
        <f>IFERROR(__xludf.DUMMYFUNCTION("""COMPUTED_VALUE"""),"")</f>
        <v/>
      </c>
      <c r="G3981" t="str">
        <f>IFERROR(__xludf.DUMMYFUNCTION("""COMPUTED_VALUE"""),"")</f>
        <v/>
      </c>
      <c r="H3981" s="2" t="str">
        <f>IFERROR(__xludf.DUMMYFUNCTION("""COMPUTED_VALUE"""),"")</f>
        <v/>
      </c>
      <c r="I3981" s="2" t="str">
        <f>IFERROR(__xludf.DUMMYFUNCTION("""COMPUTED_VALUE"""),"")</f>
        <v/>
      </c>
      <c r="J3981" s="2">
        <f>IFERROR(__xludf.DUMMYFUNCTION("""COMPUTED_VALUE"""),0.0)</f>
        <v>0</v>
      </c>
      <c r="K3981" s="5" t="str">
        <f>IFERROR(__xludf.DUMMYFUNCTION("""COMPUTED_VALUE"""),"")</f>
        <v/>
      </c>
      <c r="L3981" t="str">
        <f>IFERROR(__xludf.DUMMYFUNCTION("""COMPUTED_VALUE"""),"")</f>
        <v/>
      </c>
      <c r="M3981" t="str">
        <f>IFERROR(__xludf.DUMMYFUNCTION("""COMPUTED_VALUE"""),"")</f>
        <v/>
      </c>
      <c r="N3981" t="str">
        <f>IFERROR(__xludf.DUMMYFUNCTION("""COMPUTED_VALUE"""),"")</f>
        <v/>
      </c>
      <c r="O3981" t="str">
        <f>IFERROR(__xludf.DUMMYFUNCTION("""COMPUTED_VALUE"""),"")</f>
        <v/>
      </c>
      <c r="P3981" t="str">
        <f>IFERROR(__xludf.DUMMYFUNCTION("""COMPUTED_VALUE"""),"ID ")</f>
        <v>ID </v>
      </c>
    </row>
    <row r="3982">
      <c r="A3982" s="6" t="str">
        <f>IFERROR(__xludf.DUMMYFUNCTION("""COMPUTED_VALUE"""),"")</f>
        <v/>
      </c>
      <c r="C3982" t="str">
        <f>IFERROR(__xludf.DUMMYFUNCTION("""COMPUTED_VALUE"""),"")</f>
        <v/>
      </c>
      <c r="D3982" t="str">
        <f>IFERROR(__xludf.DUMMYFUNCTION("""COMPUTED_VALUE"""),"")</f>
        <v/>
      </c>
      <c r="E3982" t="str">
        <f>IFERROR(__xludf.DUMMYFUNCTION("""COMPUTED_VALUE"""),"")</f>
        <v/>
      </c>
      <c r="F3982" t="str">
        <f>IFERROR(__xludf.DUMMYFUNCTION("""COMPUTED_VALUE"""),"")</f>
        <v/>
      </c>
      <c r="G3982" t="str">
        <f>IFERROR(__xludf.DUMMYFUNCTION("""COMPUTED_VALUE"""),"")</f>
        <v/>
      </c>
      <c r="H3982" s="2" t="str">
        <f>IFERROR(__xludf.DUMMYFUNCTION("""COMPUTED_VALUE"""),"")</f>
        <v/>
      </c>
      <c r="I3982" s="2" t="str">
        <f>IFERROR(__xludf.DUMMYFUNCTION("""COMPUTED_VALUE"""),"")</f>
        <v/>
      </c>
      <c r="J3982" s="2">
        <f>IFERROR(__xludf.DUMMYFUNCTION("""COMPUTED_VALUE"""),0.0)</f>
        <v>0</v>
      </c>
      <c r="K3982" s="5" t="str">
        <f>IFERROR(__xludf.DUMMYFUNCTION("""COMPUTED_VALUE"""),"")</f>
        <v/>
      </c>
      <c r="L3982" t="str">
        <f>IFERROR(__xludf.DUMMYFUNCTION("""COMPUTED_VALUE"""),"")</f>
        <v/>
      </c>
      <c r="M3982" t="str">
        <f>IFERROR(__xludf.DUMMYFUNCTION("""COMPUTED_VALUE"""),"")</f>
        <v/>
      </c>
      <c r="N3982" t="str">
        <f>IFERROR(__xludf.DUMMYFUNCTION("""COMPUTED_VALUE"""),"")</f>
        <v/>
      </c>
      <c r="O3982" t="str">
        <f>IFERROR(__xludf.DUMMYFUNCTION("""COMPUTED_VALUE"""),"")</f>
        <v/>
      </c>
      <c r="P3982" t="str">
        <f>IFERROR(__xludf.DUMMYFUNCTION("""COMPUTED_VALUE"""),"ID ")</f>
        <v>ID </v>
      </c>
    </row>
    <row r="3983">
      <c r="A3983" s="6" t="str">
        <f>IFERROR(__xludf.DUMMYFUNCTION("""COMPUTED_VALUE"""),"")</f>
        <v/>
      </c>
      <c r="C3983" t="str">
        <f>IFERROR(__xludf.DUMMYFUNCTION("""COMPUTED_VALUE"""),"")</f>
        <v/>
      </c>
      <c r="D3983" t="str">
        <f>IFERROR(__xludf.DUMMYFUNCTION("""COMPUTED_VALUE"""),"")</f>
        <v/>
      </c>
      <c r="E3983" t="str">
        <f>IFERROR(__xludf.DUMMYFUNCTION("""COMPUTED_VALUE"""),"")</f>
        <v/>
      </c>
      <c r="F3983" t="str">
        <f>IFERROR(__xludf.DUMMYFUNCTION("""COMPUTED_VALUE"""),"")</f>
        <v/>
      </c>
      <c r="G3983" t="str">
        <f>IFERROR(__xludf.DUMMYFUNCTION("""COMPUTED_VALUE"""),"")</f>
        <v/>
      </c>
      <c r="H3983" s="2" t="str">
        <f>IFERROR(__xludf.DUMMYFUNCTION("""COMPUTED_VALUE"""),"")</f>
        <v/>
      </c>
      <c r="I3983" s="2" t="str">
        <f>IFERROR(__xludf.DUMMYFUNCTION("""COMPUTED_VALUE"""),"")</f>
        <v/>
      </c>
      <c r="J3983" s="2">
        <f>IFERROR(__xludf.DUMMYFUNCTION("""COMPUTED_VALUE"""),0.0)</f>
        <v>0</v>
      </c>
      <c r="K3983" s="5" t="str">
        <f>IFERROR(__xludf.DUMMYFUNCTION("""COMPUTED_VALUE"""),"")</f>
        <v/>
      </c>
      <c r="L3983" t="str">
        <f>IFERROR(__xludf.DUMMYFUNCTION("""COMPUTED_VALUE"""),"")</f>
        <v/>
      </c>
      <c r="M3983" t="str">
        <f>IFERROR(__xludf.DUMMYFUNCTION("""COMPUTED_VALUE"""),"")</f>
        <v/>
      </c>
      <c r="N3983" t="str">
        <f>IFERROR(__xludf.DUMMYFUNCTION("""COMPUTED_VALUE"""),"")</f>
        <v/>
      </c>
      <c r="O3983" t="str">
        <f>IFERROR(__xludf.DUMMYFUNCTION("""COMPUTED_VALUE"""),"")</f>
        <v/>
      </c>
      <c r="P3983" t="str">
        <f>IFERROR(__xludf.DUMMYFUNCTION("""COMPUTED_VALUE"""),"ID ")</f>
        <v>ID </v>
      </c>
    </row>
    <row r="3984">
      <c r="A3984" s="6" t="str">
        <f>IFERROR(__xludf.DUMMYFUNCTION("""COMPUTED_VALUE"""),"")</f>
        <v/>
      </c>
      <c r="C3984" t="str">
        <f>IFERROR(__xludf.DUMMYFUNCTION("""COMPUTED_VALUE"""),"")</f>
        <v/>
      </c>
      <c r="D3984" t="str">
        <f>IFERROR(__xludf.DUMMYFUNCTION("""COMPUTED_VALUE"""),"")</f>
        <v/>
      </c>
      <c r="E3984" t="str">
        <f>IFERROR(__xludf.DUMMYFUNCTION("""COMPUTED_VALUE"""),"")</f>
        <v/>
      </c>
      <c r="F3984" t="str">
        <f>IFERROR(__xludf.DUMMYFUNCTION("""COMPUTED_VALUE"""),"")</f>
        <v/>
      </c>
      <c r="G3984" t="str">
        <f>IFERROR(__xludf.DUMMYFUNCTION("""COMPUTED_VALUE"""),"")</f>
        <v/>
      </c>
      <c r="H3984" s="2" t="str">
        <f>IFERROR(__xludf.DUMMYFUNCTION("""COMPUTED_VALUE"""),"")</f>
        <v/>
      </c>
      <c r="I3984" s="2" t="str">
        <f>IFERROR(__xludf.DUMMYFUNCTION("""COMPUTED_VALUE"""),"")</f>
        <v/>
      </c>
      <c r="J3984" s="2">
        <f>IFERROR(__xludf.DUMMYFUNCTION("""COMPUTED_VALUE"""),0.0)</f>
        <v>0</v>
      </c>
      <c r="K3984" s="5" t="str">
        <f>IFERROR(__xludf.DUMMYFUNCTION("""COMPUTED_VALUE"""),"")</f>
        <v/>
      </c>
      <c r="L3984" t="str">
        <f>IFERROR(__xludf.DUMMYFUNCTION("""COMPUTED_VALUE"""),"")</f>
        <v/>
      </c>
      <c r="M3984" t="str">
        <f>IFERROR(__xludf.DUMMYFUNCTION("""COMPUTED_VALUE"""),"")</f>
        <v/>
      </c>
      <c r="N3984" t="str">
        <f>IFERROR(__xludf.DUMMYFUNCTION("""COMPUTED_VALUE"""),"")</f>
        <v/>
      </c>
      <c r="O3984" t="str">
        <f>IFERROR(__xludf.DUMMYFUNCTION("""COMPUTED_VALUE"""),"")</f>
        <v/>
      </c>
      <c r="P3984" t="str">
        <f>IFERROR(__xludf.DUMMYFUNCTION("""COMPUTED_VALUE"""),"ID ")</f>
        <v>ID </v>
      </c>
    </row>
    <row r="3985">
      <c r="A3985" s="6" t="str">
        <f>IFERROR(__xludf.DUMMYFUNCTION("""COMPUTED_VALUE"""),"")</f>
        <v/>
      </c>
      <c r="C3985" t="str">
        <f>IFERROR(__xludf.DUMMYFUNCTION("""COMPUTED_VALUE"""),"")</f>
        <v/>
      </c>
      <c r="D3985" t="str">
        <f>IFERROR(__xludf.DUMMYFUNCTION("""COMPUTED_VALUE"""),"")</f>
        <v/>
      </c>
      <c r="E3985" t="str">
        <f>IFERROR(__xludf.DUMMYFUNCTION("""COMPUTED_VALUE"""),"")</f>
        <v/>
      </c>
      <c r="F3985" t="str">
        <f>IFERROR(__xludf.DUMMYFUNCTION("""COMPUTED_VALUE"""),"")</f>
        <v/>
      </c>
      <c r="G3985" t="str">
        <f>IFERROR(__xludf.DUMMYFUNCTION("""COMPUTED_VALUE"""),"")</f>
        <v/>
      </c>
      <c r="H3985" s="2" t="str">
        <f>IFERROR(__xludf.DUMMYFUNCTION("""COMPUTED_VALUE"""),"")</f>
        <v/>
      </c>
      <c r="I3985" s="2" t="str">
        <f>IFERROR(__xludf.DUMMYFUNCTION("""COMPUTED_VALUE"""),"")</f>
        <v/>
      </c>
      <c r="J3985" s="2">
        <f>IFERROR(__xludf.DUMMYFUNCTION("""COMPUTED_VALUE"""),0.0)</f>
        <v>0</v>
      </c>
      <c r="K3985" s="5" t="str">
        <f>IFERROR(__xludf.DUMMYFUNCTION("""COMPUTED_VALUE"""),"")</f>
        <v/>
      </c>
      <c r="L3985" t="str">
        <f>IFERROR(__xludf.DUMMYFUNCTION("""COMPUTED_VALUE"""),"")</f>
        <v/>
      </c>
      <c r="M3985" t="str">
        <f>IFERROR(__xludf.DUMMYFUNCTION("""COMPUTED_VALUE"""),"")</f>
        <v/>
      </c>
      <c r="N3985" t="str">
        <f>IFERROR(__xludf.DUMMYFUNCTION("""COMPUTED_VALUE"""),"")</f>
        <v/>
      </c>
      <c r="O3985" t="str">
        <f>IFERROR(__xludf.DUMMYFUNCTION("""COMPUTED_VALUE"""),"")</f>
        <v/>
      </c>
      <c r="P3985" t="str">
        <f>IFERROR(__xludf.DUMMYFUNCTION("""COMPUTED_VALUE"""),"ID ")</f>
        <v>ID </v>
      </c>
    </row>
    <row r="3986">
      <c r="A3986" s="6" t="str">
        <f>IFERROR(__xludf.DUMMYFUNCTION("""COMPUTED_VALUE"""),"")</f>
        <v/>
      </c>
      <c r="C3986" t="str">
        <f>IFERROR(__xludf.DUMMYFUNCTION("""COMPUTED_VALUE"""),"")</f>
        <v/>
      </c>
      <c r="D3986" t="str">
        <f>IFERROR(__xludf.DUMMYFUNCTION("""COMPUTED_VALUE"""),"")</f>
        <v/>
      </c>
      <c r="E3986" t="str">
        <f>IFERROR(__xludf.DUMMYFUNCTION("""COMPUTED_VALUE"""),"")</f>
        <v/>
      </c>
      <c r="F3986" t="str">
        <f>IFERROR(__xludf.DUMMYFUNCTION("""COMPUTED_VALUE"""),"")</f>
        <v/>
      </c>
      <c r="G3986" t="str">
        <f>IFERROR(__xludf.DUMMYFUNCTION("""COMPUTED_VALUE"""),"")</f>
        <v/>
      </c>
      <c r="H3986" s="2" t="str">
        <f>IFERROR(__xludf.DUMMYFUNCTION("""COMPUTED_VALUE"""),"")</f>
        <v/>
      </c>
      <c r="I3986" s="2" t="str">
        <f>IFERROR(__xludf.DUMMYFUNCTION("""COMPUTED_VALUE"""),"")</f>
        <v/>
      </c>
      <c r="J3986" s="2">
        <f>IFERROR(__xludf.DUMMYFUNCTION("""COMPUTED_VALUE"""),0.0)</f>
        <v>0</v>
      </c>
      <c r="K3986" s="5" t="str">
        <f>IFERROR(__xludf.DUMMYFUNCTION("""COMPUTED_VALUE"""),"")</f>
        <v/>
      </c>
      <c r="L3986" t="str">
        <f>IFERROR(__xludf.DUMMYFUNCTION("""COMPUTED_VALUE"""),"")</f>
        <v/>
      </c>
      <c r="M3986" t="str">
        <f>IFERROR(__xludf.DUMMYFUNCTION("""COMPUTED_VALUE"""),"")</f>
        <v/>
      </c>
      <c r="N3986" t="str">
        <f>IFERROR(__xludf.DUMMYFUNCTION("""COMPUTED_VALUE"""),"")</f>
        <v/>
      </c>
      <c r="O3986" t="str">
        <f>IFERROR(__xludf.DUMMYFUNCTION("""COMPUTED_VALUE"""),"")</f>
        <v/>
      </c>
      <c r="P3986" t="str">
        <f>IFERROR(__xludf.DUMMYFUNCTION("""COMPUTED_VALUE"""),"ID ")</f>
        <v>ID </v>
      </c>
    </row>
    <row r="3987">
      <c r="A3987" s="6" t="str">
        <f>IFERROR(__xludf.DUMMYFUNCTION("""COMPUTED_VALUE"""),"")</f>
        <v/>
      </c>
      <c r="C3987" t="str">
        <f>IFERROR(__xludf.DUMMYFUNCTION("""COMPUTED_VALUE"""),"")</f>
        <v/>
      </c>
      <c r="D3987" t="str">
        <f>IFERROR(__xludf.DUMMYFUNCTION("""COMPUTED_VALUE"""),"")</f>
        <v/>
      </c>
      <c r="E3987" t="str">
        <f>IFERROR(__xludf.DUMMYFUNCTION("""COMPUTED_VALUE"""),"")</f>
        <v/>
      </c>
      <c r="F3987" t="str">
        <f>IFERROR(__xludf.DUMMYFUNCTION("""COMPUTED_VALUE"""),"")</f>
        <v/>
      </c>
      <c r="G3987" t="str">
        <f>IFERROR(__xludf.DUMMYFUNCTION("""COMPUTED_VALUE"""),"")</f>
        <v/>
      </c>
      <c r="H3987" s="2" t="str">
        <f>IFERROR(__xludf.DUMMYFUNCTION("""COMPUTED_VALUE"""),"")</f>
        <v/>
      </c>
      <c r="I3987" s="2" t="str">
        <f>IFERROR(__xludf.DUMMYFUNCTION("""COMPUTED_VALUE"""),"")</f>
        <v/>
      </c>
      <c r="J3987" s="2">
        <f>IFERROR(__xludf.DUMMYFUNCTION("""COMPUTED_VALUE"""),0.0)</f>
        <v>0</v>
      </c>
      <c r="K3987" s="5" t="str">
        <f>IFERROR(__xludf.DUMMYFUNCTION("""COMPUTED_VALUE"""),"")</f>
        <v/>
      </c>
      <c r="L3987" t="str">
        <f>IFERROR(__xludf.DUMMYFUNCTION("""COMPUTED_VALUE"""),"")</f>
        <v/>
      </c>
      <c r="M3987" t="str">
        <f>IFERROR(__xludf.DUMMYFUNCTION("""COMPUTED_VALUE"""),"")</f>
        <v/>
      </c>
      <c r="N3987" t="str">
        <f>IFERROR(__xludf.DUMMYFUNCTION("""COMPUTED_VALUE"""),"")</f>
        <v/>
      </c>
      <c r="O3987" t="str">
        <f>IFERROR(__xludf.DUMMYFUNCTION("""COMPUTED_VALUE"""),"")</f>
        <v/>
      </c>
      <c r="P3987" t="str">
        <f>IFERROR(__xludf.DUMMYFUNCTION("""COMPUTED_VALUE"""),"ID ")</f>
        <v>ID </v>
      </c>
    </row>
    <row r="3988">
      <c r="A3988" s="6" t="str">
        <f>IFERROR(__xludf.DUMMYFUNCTION("""COMPUTED_VALUE"""),"")</f>
        <v/>
      </c>
      <c r="C3988" t="str">
        <f>IFERROR(__xludf.DUMMYFUNCTION("""COMPUTED_VALUE"""),"")</f>
        <v/>
      </c>
      <c r="D3988" t="str">
        <f>IFERROR(__xludf.DUMMYFUNCTION("""COMPUTED_VALUE"""),"")</f>
        <v/>
      </c>
      <c r="E3988" t="str">
        <f>IFERROR(__xludf.DUMMYFUNCTION("""COMPUTED_VALUE"""),"")</f>
        <v/>
      </c>
      <c r="F3988" t="str">
        <f>IFERROR(__xludf.DUMMYFUNCTION("""COMPUTED_VALUE"""),"")</f>
        <v/>
      </c>
      <c r="G3988" t="str">
        <f>IFERROR(__xludf.DUMMYFUNCTION("""COMPUTED_VALUE"""),"")</f>
        <v/>
      </c>
      <c r="H3988" s="2" t="str">
        <f>IFERROR(__xludf.DUMMYFUNCTION("""COMPUTED_VALUE"""),"")</f>
        <v/>
      </c>
      <c r="I3988" s="2" t="str">
        <f>IFERROR(__xludf.DUMMYFUNCTION("""COMPUTED_VALUE"""),"")</f>
        <v/>
      </c>
      <c r="J3988" s="2">
        <f>IFERROR(__xludf.DUMMYFUNCTION("""COMPUTED_VALUE"""),0.0)</f>
        <v>0</v>
      </c>
      <c r="K3988" s="5" t="str">
        <f>IFERROR(__xludf.DUMMYFUNCTION("""COMPUTED_VALUE"""),"")</f>
        <v/>
      </c>
      <c r="L3988" t="str">
        <f>IFERROR(__xludf.DUMMYFUNCTION("""COMPUTED_VALUE"""),"")</f>
        <v/>
      </c>
      <c r="M3988" t="str">
        <f>IFERROR(__xludf.DUMMYFUNCTION("""COMPUTED_VALUE"""),"")</f>
        <v/>
      </c>
      <c r="N3988" t="str">
        <f>IFERROR(__xludf.DUMMYFUNCTION("""COMPUTED_VALUE"""),"")</f>
        <v/>
      </c>
      <c r="O3988" t="str">
        <f>IFERROR(__xludf.DUMMYFUNCTION("""COMPUTED_VALUE"""),"")</f>
        <v/>
      </c>
      <c r="P3988" t="str">
        <f>IFERROR(__xludf.DUMMYFUNCTION("""COMPUTED_VALUE"""),"ID ")</f>
        <v>ID </v>
      </c>
    </row>
    <row r="3989">
      <c r="A3989" s="6" t="str">
        <f>IFERROR(__xludf.DUMMYFUNCTION("""COMPUTED_VALUE"""),"")</f>
        <v/>
      </c>
      <c r="C3989" t="str">
        <f>IFERROR(__xludf.DUMMYFUNCTION("""COMPUTED_VALUE"""),"")</f>
        <v/>
      </c>
      <c r="D3989" t="str">
        <f>IFERROR(__xludf.DUMMYFUNCTION("""COMPUTED_VALUE"""),"")</f>
        <v/>
      </c>
      <c r="E3989" t="str">
        <f>IFERROR(__xludf.DUMMYFUNCTION("""COMPUTED_VALUE"""),"")</f>
        <v/>
      </c>
      <c r="F3989" t="str">
        <f>IFERROR(__xludf.DUMMYFUNCTION("""COMPUTED_VALUE"""),"")</f>
        <v/>
      </c>
      <c r="G3989" t="str">
        <f>IFERROR(__xludf.DUMMYFUNCTION("""COMPUTED_VALUE"""),"")</f>
        <v/>
      </c>
      <c r="H3989" s="2" t="str">
        <f>IFERROR(__xludf.DUMMYFUNCTION("""COMPUTED_VALUE"""),"")</f>
        <v/>
      </c>
      <c r="I3989" s="2" t="str">
        <f>IFERROR(__xludf.DUMMYFUNCTION("""COMPUTED_VALUE"""),"")</f>
        <v/>
      </c>
      <c r="J3989" s="2">
        <f>IFERROR(__xludf.DUMMYFUNCTION("""COMPUTED_VALUE"""),0.0)</f>
        <v>0</v>
      </c>
      <c r="K3989" s="5" t="str">
        <f>IFERROR(__xludf.DUMMYFUNCTION("""COMPUTED_VALUE"""),"")</f>
        <v/>
      </c>
      <c r="L3989" t="str">
        <f>IFERROR(__xludf.DUMMYFUNCTION("""COMPUTED_VALUE"""),"")</f>
        <v/>
      </c>
      <c r="M3989" t="str">
        <f>IFERROR(__xludf.DUMMYFUNCTION("""COMPUTED_VALUE"""),"")</f>
        <v/>
      </c>
      <c r="N3989" t="str">
        <f>IFERROR(__xludf.DUMMYFUNCTION("""COMPUTED_VALUE"""),"")</f>
        <v/>
      </c>
      <c r="O3989" t="str">
        <f>IFERROR(__xludf.DUMMYFUNCTION("""COMPUTED_VALUE"""),"")</f>
        <v/>
      </c>
      <c r="P3989" t="str">
        <f>IFERROR(__xludf.DUMMYFUNCTION("""COMPUTED_VALUE"""),"ID ")</f>
        <v>ID </v>
      </c>
    </row>
    <row r="3990">
      <c r="A3990" s="6" t="str">
        <f>IFERROR(__xludf.DUMMYFUNCTION("""COMPUTED_VALUE"""),"")</f>
        <v/>
      </c>
      <c r="C3990" t="str">
        <f>IFERROR(__xludf.DUMMYFUNCTION("""COMPUTED_VALUE"""),"")</f>
        <v/>
      </c>
      <c r="D3990" t="str">
        <f>IFERROR(__xludf.DUMMYFUNCTION("""COMPUTED_VALUE"""),"")</f>
        <v/>
      </c>
      <c r="E3990" t="str">
        <f>IFERROR(__xludf.DUMMYFUNCTION("""COMPUTED_VALUE"""),"")</f>
        <v/>
      </c>
      <c r="F3990" t="str">
        <f>IFERROR(__xludf.DUMMYFUNCTION("""COMPUTED_VALUE"""),"")</f>
        <v/>
      </c>
      <c r="G3990" t="str">
        <f>IFERROR(__xludf.DUMMYFUNCTION("""COMPUTED_VALUE"""),"")</f>
        <v/>
      </c>
      <c r="H3990" s="2" t="str">
        <f>IFERROR(__xludf.DUMMYFUNCTION("""COMPUTED_VALUE"""),"")</f>
        <v/>
      </c>
      <c r="I3990" s="2" t="str">
        <f>IFERROR(__xludf.DUMMYFUNCTION("""COMPUTED_VALUE"""),"")</f>
        <v/>
      </c>
      <c r="J3990" s="2">
        <f>IFERROR(__xludf.DUMMYFUNCTION("""COMPUTED_VALUE"""),0.0)</f>
        <v>0</v>
      </c>
      <c r="K3990" s="5" t="str">
        <f>IFERROR(__xludf.DUMMYFUNCTION("""COMPUTED_VALUE"""),"")</f>
        <v/>
      </c>
      <c r="L3990" t="str">
        <f>IFERROR(__xludf.DUMMYFUNCTION("""COMPUTED_VALUE"""),"")</f>
        <v/>
      </c>
      <c r="M3990" t="str">
        <f>IFERROR(__xludf.DUMMYFUNCTION("""COMPUTED_VALUE"""),"")</f>
        <v/>
      </c>
      <c r="N3990" t="str">
        <f>IFERROR(__xludf.DUMMYFUNCTION("""COMPUTED_VALUE"""),"")</f>
        <v/>
      </c>
      <c r="O3990" t="str">
        <f>IFERROR(__xludf.DUMMYFUNCTION("""COMPUTED_VALUE"""),"")</f>
        <v/>
      </c>
      <c r="P3990" t="str">
        <f>IFERROR(__xludf.DUMMYFUNCTION("""COMPUTED_VALUE"""),"ID ")</f>
        <v>ID </v>
      </c>
    </row>
    <row r="3991">
      <c r="A3991" s="6" t="str">
        <f>IFERROR(__xludf.DUMMYFUNCTION("""COMPUTED_VALUE"""),"")</f>
        <v/>
      </c>
      <c r="C3991" t="str">
        <f>IFERROR(__xludf.DUMMYFUNCTION("""COMPUTED_VALUE"""),"")</f>
        <v/>
      </c>
      <c r="D3991" t="str">
        <f>IFERROR(__xludf.DUMMYFUNCTION("""COMPUTED_VALUE"""),"")</f>
        <v/>
      </c>
      <c r="E3991" t="str">
        <f>IFERROR(__xludf.DUMMYFUNCTION("""COMPUTED_VALUE"""),"")</f>
        <v/>
      </c>
      <c r="F3991" t="str">
        <f>IFERROR(__xludf.DUMMYFUNCTION("""COMPUTED_VALUE"""),"")</f>
        <v/>
      </c>
      <c r="G3991" t="str">
        <f>IFERROR(__xludf.DUMMYFUNCTION("""COMPUTED_VALUE"""),"")</f>
        <v/>
      </c>
      <c r="H3991" s="2" t="str">
        <f>IFERROR(__xludf.DUMMYFUNCTION("""COMPUTED_VALUE"""),"")</f>
        <v/>
      </c>
      <c r="I3991" s="2" t="str">
        <f>IFERROR(__xludf.DUMMYFUNCTION("""COMPUTED_VALUE"""),"")</f>
        <v/>
      </c>
      <c r="J3991" s="2">
        <f>IFERROR(__xludf.DUMMYFUNCTION("""COMPUTED_VALUE"""),0.0)</f>
        <v>0</v>
      </c>
      <c r="K3991" s="5" t="str">
        <f>IFERROR(__xludf.DUMMYFUNCTION("""COMPUTED_VALUE"""),"")</f>
        <v/>
      </c>
      <c r="L3991" t="str">
        <f>IFERROR(__xludf.DUMMYFUNCTION("""COMPUTED_VALUE"""),"")</f>
        <v/>
      </c>
      <c r="M3991" t="str">
        <f>IFERROR(__xludf.DUMMYFUNCTION("""COMPUTED_VALUE"""),"")</f>
        <v/>
      </c>
      <c r="N3991" t="str">
        <f>IFERROR(__xludf.DUMMYFUNCTION("""COMPUTED_VALUE"""),"")</f>
        <v/>
      </c>
      <c r="O3991" t="str">
        <f>IFERROR(__xludf.DUMMYFUNCTION("""COMPUTED_VALUE"""),"")</f>
        <v/>
      </c>
      <c r="P3991" t="str">
        <f>IFERROR(__xludf.DUMMYFUNCTION("""COMPUTED_VALUE"""),"ID ")</f>
        <v>ID </v>
      </c>
    </row>
    <row r="3992">
      <c r="A3992" s="6" t="str">
        <f>IFERROR(__xludf.DUMMYFUNCTION("""COMPUTED_VALUE"""),"")</f>
        <v/>
      </c>
      <c r="C3992" t="str">
        <f>IFERROR(__xludf.DUMMYFUNCTION("""COMPUTED_VALUE"""),"")</f>
        <v/>
      </c>
      <c r="D3992" t="str">
        <f>IFERROR(__xludf.DUMMYFUNCTION("""COMPUTED_VALUE"""),"")</f>
        <v/>
      </c>
      <c r="E3992" t="str">
        <f>IFERROR(__xludf.DUMMYFUNCTION("""COMPUTED_VALUE"""),"")</f>
        <v/>
      </c>
      <c r="F3992" t="str">
        <f>IFERROR(__xludf.DUMMYFUNCTION("""COMPUTED_VALUE"""),"")</f>
        <v/>
      </c>
      <c r="G3992" t="str">
        <f>IFERROR(__xludf.DUMMYFUNCTION("""COMPUTED_VALUE"""),"")</f>
        <v/>
      </c>
      <c r="H3992" s="2" t="str">
        <f>IFERROR(__xludf.DUMMYFUNCTION("""COMPUTED_VALUE"""),"")</f>
        <v/>
      </c>
      <c r="I3992" s="2" t="str">
        <f>IFERROR(__xludf.DUMMYFUNCTION("""COMPUTED_VALUE"""),"")</f>
        <v/>
      </c>
      <c r="J3992" s="2">
        <f>IFERROR(__xludf.DUMMYFUNCTION("""COMPUTED_VALUE"""),0.0)</f>
        <v>0</v>
      </c>
      <c r="K3992" s="5" t="str">
        <f>IFERROR(__xludf.DUMMYFUNCTION("""COMPUTED_VALUE"""),"")</f>
        <v/>
      </c>
      <c r="L3992" t="str">
        <f>IFERROR(__xludf.DUMMYFUNCTION("""COMPUTED_VALUE"""),"")</f>
        <v/>
      </c>
      <c r="M3992" t="str">
        <f>IFERROR(__xludf.DUMMYFUNCTION("""COMPUTED_VALUE"""),"")</f>
        <v/>
      </c>
      <c r="N3992" t="str">
        <f>IFERROR(__xludf.DUMMYFUNCTION("""COMPUTED_VALUE"""),"")</f>
        <v/>
      </c>
      <c r="O3992" t="str">
        <f>IFERROR(__xludf.DUMMYFUNCTION("""COMPUTED_VALUE"""),"")</f>
        <v/>
      </c>
      <c r="P3992" t="str">
        <f>IFERROR(__xludf.DUMMYFUNCTION("""COMPUTED_VALUE"""),"ID ")</f>
        <v>ID </v>
      </c>
    </row>
    <row r="3993">
      <c r="A3993" s="6" t="str">
        <f>IFERROR(__xludf.DUMMYFUNCTION("""COMPUTED_VALUE"""),"")</f>
        <v/>
      </c>
      <c r="C3993" t="str">
        <f>IFERROR(__xludf.DUMMYFUNCTION("""COMPUTED_VALUE"""),"")</f>
        <v/>
      </c>
      <c r="D3993" t="str">
        <f>IFERROR(__xludf.DUMMYFUNCTION("""COMPUTED_VALUE"""),"")</f>
        <v/>
      </c>
      <c r="E3993" t="str">
        <f>IFERROR(__xludf.DUMMYFUNCTION("""COMPUTED_VALUE"""),"")</f>
        <v/>
      </c>
      <c r="F3993" t="str">
        <f>IFERROR(__xludf.DUMMYFUNCTION("""COMPUTED_VALUE"""),"")</f>
        <v/>
      </c>
      <c r="G3993" t="str">
        <f>IFERROR(__xludf.DUMMYFUNCTION("""COMPUTED_VALUE"""),"")</f>
        <v/>
      </c>
      <c r="H3993" s="2" t="str">
        <f>IFERROR(__xludf.DUMMYFUNCTION("""COMPUTED_VALUE"""),"")</f>
        <v/>
      </c>
      <c r="I3993" s="2" t="str">
        <f>IFERROR(__xludf.DUMMYFUNCTION("""COMPUTED_VALUE"""),"")</f>
        <v/>
      </c>
      <c r="J3993" s="2">
        <f>IFERROR(__xludf.DUMMYFUNCTION("""COMPUTED_VALUE"""),0.0)</f>
        <v>0</v>
      </c>
      <c r="K3993" s="5" t="str">
        <f>IFERROR(__xludf.DUMMYFUNCTION("""COMPUTED_VALUE"""),"")</f>
        <v/>
      </c>
      <c r="L3993" t="str">
        <f>IFERROR(__xludf.DUMMYFUNCTION("""COMPUTED_VALUE"""),"")</f>
        <v/>
      </c>
      <c r="M3993" t="str">
        <f>IFERROR(__xludf.DUMMYFUNCTION("""COMPUTED_VALUE"""),"")</f>
        <v/>
      </c>
      <c r="N3993" t="str">
        <f>IFERROR(__xludf.DUMMYFUNCTION("""COMPUTED_VALUE"""),"")</f>
        <v/>
      </c>
      <c r="O3993" t="str">
        <f>IFERROR(__xludf.DUMMYFUNCTION("""COMPUTED_VALUE"""),"")</f>
        <v/>
      </c>
      <c r="P3993" t="str">
        <f>IFERROR(__xludf.DUMMYFUNCTION("""COMPUTED_VALUE"""),"ID ")</f>
        <v>ID </v>
      </c>
    </row>
    <row r="3994">
      <c r="A3994" s="6" t="str">
        <f>IFERROR(__xludf.DUMMYFUNCTION("""COMPUTED_VALUE"""),"")</f>
        <v/>
      </c>
      <c r="C3994" t="str">
        <f>IFERROR(__xludf.DUMMYFUNCTION("""COMPUTED_VALUE"""),"")</f>
        <v/>
      </c>
      <c r="D3994" t="str">
        <f>IFERROR(__xludf.DUMMYFUNCTION("""COMPUTED_VALUE"""),"")</f>
        <v/>
      </c>
      <c r="E3994" t="str">
        <f>IFERROR(__xludf.DUMMYFUNCTION("""COMPUTED_VALUE"""),"")</f>
        <v/>
      </c>
      <c r="F3994" t="str">
        <f>IFERROR(__xludf.DUMMYFUNCTION("""COMPUTED_VALUE"""),"")</f>
        <v/>
      </c>
      <c r="G3994" t="str">
        <f>IFERROR(__xludf.DUMMYFUNCTION("""COMPUTED_VALUE"""),"")</f>
        <v/>
      </c>
      <c r="H3994" s="2" t="str">
        <f>IFERROR(__xludf.DUMMYFUNCTION("""COMPUTED_VALUE"""),"")</f>
        <v/>
      </c>
      <c r="I3994" s="2" t="str">
        <f>IFERROR(__xludf.DUMMYFUNCTION("""COMPUTED_VALUE"""),"")</f>
        <v/>
      </c>
      <c r="J3994" s="2">
        <f>IFERROR(__xludf.DUMMYFUNCTION("""COMPUTED_VALUE"""),0.0)</f>
        <v>0</v>
      </c>
      <c r="K3994" s="5" t="str">
        <f>IFERROR(__xludf.DUMMYFUNCTION("""COMPUTED_VALUE"""),"")</f>
        <v/>
      </c>
      <c r="L3994" t="str">
        <f>IFERROR(__xludf.DUMMYFUNCTION("""COMPUTED_VALUE"""),"")</f>
        <v/>
      </c>
      <c r="M3994" t="str">
        <f>IFERROR(__xludf.DUMMYFUNCTION("""COMPUTED_VALUE"""),"")</f>
        <v/>
      </c>
      <c r="N3994" t="str">
        <f>IFERROR(__xludf.DUMMYFUNCTION("""COMPUTED_VALUE"""),"")</f>
        <v/>
      </c>
      <c r="O3994" t="str">
        <f>IFERROR(__xludf.DUMMYFUNCTION("""COMPUTED_VALUE"""),"")</f>
        <v/>
      </c>
      <c r="P3994" t="str">
        <f>IFERROR(__xludf.DUMMYFUNCTION("""COMPUTED_VALUE"""),"ID ")</f>
        <v>ID </v>
      </c>
    </row>
    <row r="3995">
      <c r="A3995" s="6" t="str">
        <f>IFERROR(__xludf.DUMMYFUNCTION("""COMPUTED_VALUE"""),"")</f>
        <v/>
      </c>
      <c r="C3995" t="str">
        <f>IFERROR(__xludf.DUMMYFUNCTION("""COMPUTED_VALUE"""),"")</f>
        <v/>
      </c>
      <c r="D3995" t="str">
        <f>IFERROR(__xludf.DUMMYFUNCTION("""COMPUTED_VALUE"""),"")</f>
        <v/>
      </c>
      <c r="E3995" t="str">
        <f>IFERROR(__xludf.DUMMYFUNCTION("""COMPUTED_VALUE"""),"")</f>
        <v/>
      </c>
      <c r="F3995" t="str">
        <f>IFERROR(__xludf.DUMMYFUNCTION("""COMPUTED_VALUE"""),"")</f>
        <v/>
      </c>
      <c r="G3995" t="str">
        <f>IFERROR(__xludf.DUMMYFUNCTION("""COMPUTED_VALUE"""),"")</f>
        <v/>
      </c>
      <c r="H3995" s="2" t="str">
        <f>IFERROR(__xludf.DUMMYFUNCTION("""COMPUTED_VALUE"""),"")</f>
        <v/>
      </c>
      <c r="I3995" s="2" t="str">
        <f>IFERROR(__xludf.DUMMYFUNCTION("""COMPUTED_VALUE"""),"")</f>
        <v/>
      </c>
      <c r="J3995" s="2">
        <f>IFERROR(__xludf.DUMMYFUNCTION("""COMPUTED_VALUE"""),0.0)</f>
        <v>0</v>
      </c>
      <c r="K3995" s="5" t="str">
        <f>IFERROR(__xludf.DUMMYFUNCTION("""COMPUTED_VALUE"""),"")</f>
        <v/>
      </c>
      <c r="L3995" t="str">
        <f>IFERROR(__xludf.DUMMYFUNCTION("""COMPUTED_VALUE"""),"")</f>
        <v/>
      </c>
      <c r="M3995" t="str">
        <f>IFERROR(__xludf.DUMMYFUNCTION("""COMPUTED_VALUE"""),"")</f>
        <v/>
      </c>
      <c r="N3995" t="str">
        <f>IFERROR(__xludf.DUMMYFUNCTION("""COMPUTED_VALUE"""),"")</f>
        <v/>
      </c>
      <c r="O3995" t="str">
        <f>IFERROR(__xludf.DUMMYFUNCTION("""COMPUTED_VALUE"""),"")</f>
        <v/>
      </c>
      <c r="P3995" t="str">
        <f>IFERROR(__xludf.DUMMYFUNCTION("""COMPUTED_VALUE"""),"ID ")</f>
        <v>ID </v>
      </c>
    </row>
    <row r="3996">
      <c r="A3996" s="6" t="str">
        <f>IFERROR(__xludf.DUMMYFUNCTION("""COMPUTED_VALUE"""),"")</f>
        <v/>
      </c>
      <c r="C3996" t="str">
        <f>IFERROR(__xludf.DUMMYFUNCTION("""COMPUTED_VALUE"""),"")</f>
        <v/>
      </c>
      <c r="D3996" t="str">
        <f>IFERROR(__xludf.DUMMYFUNCTION("""COMPUTED_VALUE"""),"")</f>
        <v/>
      </c>
      <c r="E3996" t="str">
        <f>IFERROR(__xludf.DUMMYFUNCTION("""COMPUTED_VALUE"""),"")</f>
        <v/>
      </c>
      <c r="F3996" t="str">
        <f>IFERROR(__xludf.DUMMYFUNCTION("""COMPUTED_VALUE"""),"")</f>
        <v/>
      </c>
      <c r="G3996" t="str">
        <f>IFERROR(__xludf.DUMMYFUNCTION("""COMPUTED_VALUE"""),"")</f>
        <v/>
      </c>
      <c r="H3996" s="2" t="str">
        <f>IFERROR(__xludf.DUMMYFUNCTION("""COMPUTED_VALUE"""),"")</f>
        <v/>
      </c>
      <c r="I3996" s="2" t="str">
        <f>IFERROR(__xludf.DUMMYFUNCTION("""COMPUTED_VALUE"""),"")</f>
        <v/>
      </c>
      <c r="J3996" s="2">
        <f>IFERROR(__xludf.DUMMYFUNCTION("""COMPUTED_VALUE"""),0.0)</f>
        <v>0</v>
      </c>
      <c r="K3996" s="5" t="str">
        <f>IFERROR(__xludf.DUMMYFUNCTION("""COMPUTED_VALUE"""),"")</f>
        <v/>
      </c>
      <c r="L3996" t="str">
        <f>IFERROR(__xludf.DUMMYFUNCTION("""COMPUTED_VALUE"""),"")</f>
        <v/>
      </c>
      <c r="M3996" t="str">
        <f>IFERROR(__xludf.DUMMYFUNCTION("""COMPUTED_VALUE"""),"")</f>
        <v/>
      </c>
      <c r="N3996" t="str">
        <f>IFERROR(__xludf.DUMMYFUNCTION("""COMPUTED_VALUE"""),"")</f>
        <v/>
      </c>
      <c r="O3996" t="str">
        <f>IFERROR(__xludf.DUMMYFUNCTION("""COMPUTED_VALUE"""),"")</f>
        <v/>
      </c>
      <c r="P3996" t="str">
        <f>IFERROR(__xludf.DUMMYFUNCTION("""COMPUTED_VALUE"""),"ID ")</f>
        <v>ID </v>
      </c>
    </row>
    <row r="3997">
      <c r="A3997" s="6" t="str">
        <f>IFERROR(__xludf.DUMMYFUNCTION("""COMPUTED_VALUE"""),"")</f>
        <v/>
      </c>
      <c r="C3997" t="str">
        <f>IFERROR(__xludf.DUMMYFUNCTION("""COMPUTED_VALUE"""),"")</f>
        <v/>
      </c>
      <c r="D3997" t="str">
        <f>IFERROR(__xludf.DUMMYFUNCTION("""COMPUTED_VALUE"""),"")</f>
        <v/>
      </c>
      <c r="E3997" t="str">
        <f>IFERROR(__xludf.DUMMYFUNCTION("""COMPUTED_VALUE"""),"")</f>
        <v/>
      </c>
      <c r="F3997" t="str">
        <f>IFERROR(__xludf.DUMMYFUNCTION("""COMPUTED_VALUE"""),"")</f>
        <v/>
      </c>
      <c r="G3997" t="str">
        <f>IFERROR(__xludf.DUMMYFUNCTION("""COMPUTED_VALUE"""),"")</f>
        <v/>
      </c>
      <c r="H3997" s="2" t="str">
        <f>IFERROR(__xludf.DUMMYFUNCTION("""COMPUTED_VALUE"""),"")</f>
        <v/>
      </c>
      <c r="I3997" s="2" t="str">
        <f>IFERROR(__xludf.DUMMYFUNCTION("""COMPUTED_VALUE"""),"")</f>
        <v/>
      </c>
      <c r="J3997" s="2">
        <f>IFERROR(__xludf.DUMMYFUNCTION("""COMPUTED_VALUE"""),0.0)</f>
        <v>0</v>
      </c>
      <c r="K3997" s="5" t="str">
        <f>IFERROR(__xludf.DUMMYFUNCTION("""COMPUTED_VALUE"""),"")</f>
        <v/>
      </c>
      <c r="L3997" t="str">
        <f>IFERROR(__xludf.DUMMYFUNCTION("""COMPUTED_VALUE"""),"")</f>
        <v/>
      </c>
      <c r="M3997" t="str">
        <f>IFERROR(__xludf.DUMMYFUNCTION("""COMPUTED_VALUE"""),"")</f>
        <v/>
      </c>
      <c r="N3997" t="str">
        <f>IFERROR(__xludf.DUMMYFUNCTION("""COMPUTED_VALUE"""),"")</f>
        <v/>
      </c>
      <c r="O3997" t="str">
        <f>IFERROR(__xludf.DUMMYFUNCTION("""COMPUTED_VALUE"""),"")</f>
        <v/>
      </c>
      <c r="P3997" t="str">
        <f>IFERROR(__xludf.DUMMYFUNCTION("""COMPUTED_VALUE"""),"ID ")</f>
        <v>ID </v>
      </c>
    </row>
    <row r="3998">
      <c r="A3998" s="6" t="str">
        <f>IFERROR(__xludf.DUMMYFUNCTION("""COMPUTED_VALUE"""),"")</f>
        <v/>
      </c>
      <c r="C3998" t="str">
        <f>IFERROR(__xludf.DUMMYFUNCTION("""COMPUTED_VALUE"""),"")</f>
        <v/>
      </c>
      <c r="D3998" t="str">
        <f>IFERROR(__xludf.DUMMYFUNCTION("""COMPUTED_VALUE"""),"")</f>
        <v/>
      </c>
      <c r="E3998" t="str">
        <f>IFERROR(__xludf.DUMMYFUNCTION("""COMPUTED_VALUE"""),"")</f>
        <v/>
      </c>
      <c r="F3998" t="str">
        <f>IFERROR(__xludf.DUMMYFUNCTION("""COMPUTED_VALUE"""),"")</f>
        <v/>
      </c>
      <c r="G3998" t="str">
        <f>IFERROR(__xludf.DUMMYFUNCTION("""COMPUTED_VALUE"""),"")</f>
        <v/>
      </c>
      <c r="H3998" s="2" t="str">
        <f>IFERROR(__xludf.DUMMYFUNCTION("""COMPUTED_VALUE"""),"")</f>
        <v/>
      </c>
      <c r="I3998" s="2" t="str">
        <f>IFERROR(__xludf.DUMMYFUNCTION("""COMPUTED_VALUE"""),"")</f>
        <v/>
      </c>
      <c r="J3998" s="2">
        <f>IFERROR(__xludf.DUMMYFUNCTION("""COMPUTED_VALUE"""),0.0)</f>
        <v>0</v>
      </c>
      <c r="K3998" s="5" t="str">
        <f>IFERROR(__xludf.DUMMYFUNCTION("""COMPUTED_VALUE"""),"")</f>
        <v/>
      </c>
      <c r="L3998" t="str">
        <f>IFERROR(__xludf.DUMMYFUNCTION("""COMPUTED_VALUE"""),"")</f>
        <v/>
      </c>
      <c r="M3998" t="str">
        <f>IFERROR(__xludf.DUMMYFUNCTION("""COMPUTED_VALUE"""),"")</f>
        <v/>
      </c>
      <c r="N3998" t="str">
        <f>IFERROR(__xludf.DUMMYFUNCTION("""COMPUTED_VALUE"""),"")</f>
        <v/>
      </c>
      <c r="O3998" t="str">
        <f>IFERROR(__xludf.DUMMYFUNCTION("""COMPUTED_VALUE"""),"")</f>
        <v/>
      </c>
      <c r="P3998" t="str">
        <f>IFERROR(__xludf.DUMMYFUNCTION("""COMPUTED_VALUE"""),"ID ")</f>
        <v>ID </v>
      </c>
    </row>
    <row r="3999">
      <c r="A3999" s="6" t="str">
        <f>IFERROR(__xludf.DUMMYFUNCTION("""COMPUTED_VALUE"""),"")</f>
        <v/>
      </c>
      <c r="C3999" t="str">
        <f>IFERROR(__xludf.DUMMYFUNCTION("""COMPUTED_VALUE"""),"")</f>
        <v/>
      </c>
      <c r="D3999" t="str">
        <f>IFERROR(__xludf.DUMMYFUNCTION("""COMPUTED_VALUE"""),"")</f>
        <v/>
      </c>
      <c r="E3999" t="str">
        <f>IFERROR(__xludf.DUMMYFUNCTION("""COMPUTED_VALUE"""),"")</f>
        <v/>
      </c>
      <c r="F3999" t="str">
        <f>IFERROR(__xludf.DUMMYFUNCTION("""COMPUTED_VALUE"""),"")</f>
        <v/>
      </c>
      <c r="G3999" t="str">
        <f>IFERROR(__xludf.DUMMYFUNCTION("""COMPUTED_VALUE"""),"")</f>
        <v/>
      </c>
      <c r="H3999" s="2" t="str">
        <f>IFERROR(__xludf.DUMMYFUNCTION("""COMPUTED_VALUE"""),"")</f>
        <v/>
      </c>
      <c r="I3999" s="2" t="str">
        <f>IFERROR(__xludf.DUMMYFUNCTION("""COMPUTED_VALUE"""),"")</f>
        <v/>
      </c>
      <c r="J3999" s="2">
        <f>IFERROR(__xludf.DUMMYFUNCTION("""COMPUTED_VALUE"""),0.0)</f>
        <v>0</v>
      </c>
      <c r="K3999" s="5" t="str">
        <f>IFERROR(__xludf.DUMMYFUNCTION("""COMPUTED_VALUE"""),"")</f>
        <v/>
      </c>
      <c r="L3999" t="str">
        <f>IFERROR(__xludf.DUMMYFUNCTION("""COMPUTED_VALUE"""),"")</f>
        <v/>
      </c>
      <c r="M3999" t="str">
        <f>IFERROR(__xludf.DUMMYFUNCTION("""COMPUTED_VALUE"""),"")</f>
        <v/>
      </c>
      <c r="N3999" t="str">
        <f>IFERROR(__xludf.DUMMYFUNCTION("""COMPUTED_VALUE"""),"")</f>
        <v/>
      </c>
      <c r="O3999" t="str">
        <f>IFERROR(__xludf.DUMMYFUNCTION("""COMPUTED_VALUE"""),"")</f>
        <v/>
      </c>
      <c r="P3999" t="str">
        <f>IFERROR(__xludf.DUMMYFUNCTION("""COMPUTED_VALUE"""),"ID ")</f>
        <v>ID </v>
      </c>
    </row>
    <row r="4000">
      <c r="A4000" s="6" t="str">
        <f>IFERROR(__xludf.DUMMYFUNCTION("""COMPUTED_VALUE"""),"")</f>
        <v/>
      </c>
      <c r="C4000" t="str">
        <f>IFERROR(__xludf.DUMMYFUNCTION("""COMPUTED_VALUE"""),"")</f>
        <v/>
      </c>
      <c r="D4000" t="str">
        <f>IFERROR(__xludf.DUMMYFUNCTION("""COMPUTED_VALUE"""),"")</f>
        <v/>
      </c>
      <c r="E4000" t="str">
        <f>IFERROR(__xludf.DUMMYFUNCTION("""COMPUTED_VALUE"""),"")</f>
        <v/>
      </c>
      <c r="F4000" t="str">
        <f>IFERROR(__xludf.DUMMYFUNCTION("""COMPUTED_VALUE"""),"")</f>
        <v/>
      </c>
      <c r="G4000" t="str">
        <f>IFERROR(__xludf.DUMMYFUNCTION("""COMPUTED_VALUE"""),"")</f>
        <v/>
      </c>
      <c r="H4000" s="2" t="str">
        <f>IFERROR(__xludf.DUMMYFUNCTION("""COMPUTED_VALUE"""),"")</f>
        <v/>
      </c>
      <c r="I4000" s="2" t="str">
        <f>IFERROR(__xludf.DUMMYFUNCTION("""COMPUTED_VALUE"""),"")</f>
        <v/>
      </c>
      <c r="J4000" s="2">
        <f>IFERROR(__xludf.DUMMYFUNCTION("""COMPUTED_VALUE"""),0.0)</f>
        <v>0</v>
      </c>
      <c r="K4000" s="5" t="str">
        <f>IFERROR(__xludf.DUMMYFUNCTION("""COMPUTED_VALUE"""),"")</f>
        <v/>
      </c>
      <c r="L4000" t="str">
        <f>IFERROR(__xludf.DUMMYFUNCTION("""COMPUTED_VALUE"""),"")</f>
        <v/>
      </c>
      <c r="M4000" t="str">
        <f>IFERROR(__xludf.DUMMYFUNCTION("""COMPUTED_VALUE"""),"")</f>
        <v/>
      </c>
      <c r="N4000" t="str">
        <f>IFERROR(__xludf.DUMMYFUNCTION("""COMPUTED_VALUE"""),"")</f>
        <v/>
      </c>
      <c r="O4000" t="str">
        <f>IFERROR(__xludf.DUMMYFUNCTION("""COMPUTED_VALUE"""),"")</f>
        <v/>
      </c>
      <c r="P4000" t="str">
        <f>IFERROR(__xludf.DUMMYFUNCTION("""COMPUTED_VALUE"""),"ID ")</f>
        <v>ID </v>
      </c>
    </row>
    <row r="4001">
      <c r="A4001" s="6" t="str">
        <f>IFERROR(__xludf.DUMMYFUNCTION("""COMPUTED_VALUE"""),"")</f>
        <v/>
      </c>
      <c r="C4001" t="str">
        <f>IFERROR(__xludf.DUMMYFUNCTION("""COMPUTED_VALUE"""),"")</f>
        <v/>
      </c>
      <c r="D4001" t="str">
        <f>IFERROR(__xludf.DUMMYFUNCTION("""COMPUTED_VALUE"""),"")</f>
        <v/>
      </c>
      <c r="E4001" t="str">
        <f>IFERROR(__xludf.DUMMYFUNCTION("""COMPUTED_VALUE"""),"")</f>
        <v/>
      </c>
      <c r="F4001" t="str">
        <f>IFERROR(__xludf.DUMMYFUNCTION("""COMPUTED_VALUE"""),"")</f>
        <v/>
      </c>
      <c r="G4001" t="str">
        <f>IFERROR(__xludf.DUMMYFUNCTION("""COMPUTED_VALUE"""),"")</f>
        <v/>
      </c>
      <c r="H4001" s="2" t="str">
        <f>IFERROR(__xludf.DUMMYFUNCTION("""COMPUTED_VALUE"""),"")</f>
        <v/>
      </c>
      <c r="I4001" s="2" t="str">
        <f>IFERROR(__xludf.DUMMYFUNCTION("""COMPUTED_VALUE"""),"")</f>
        <v/>
      </c>
      <c r="J4001" s="2">
        <f>IFERROR(__xludf.DUMMYFUNCTION("""COMPUTED_VALUE"""),0.0)</f>
        <v>0</v>
      </c>
      <c r="K4001" s="5" t="str">
        <f>IFERROR(__xludf.DUMMYFUNCTION("""COMPUTED_VALUE"""),"")</f>
        <v/>
      </c>
      <c r="L4001" t="str">
        <f>IFERROR(__xludf.DUMMYFUNCTION("""COMPUTED_VALUE"""),"")</f>
        <v/>
      </c>
      <c r="M4001" t="str">
        <f>IFERROR(__xludf.DUMMYFUNCTION("""COMPUTED_VALUE"""),"")</f>
        <v/>
      </c>
      <c r="N4001" t="str">
        <f>IFERROR(__xludf.DUMMYFUNCTION("""COMPUTED_VALUE"""),"")</f>
        <v/>
      </c>
      <c r="O4001" t="str">
        <f>IFERROR(__xludf.DUMMYFUNCTION("""COMPUTED_VALUE"""),"")</f>
        <v/>
      </c>
      <c r="P4001" t="str">
        <f>IFERROR(__xludf.DUMMYFUNCTION("""COMPUTED_VALUE"""),"ID ")</f>
        <v>ID </v>
      </c>
    </row>
    <row r="4002">
      <c r="A4002" s="6" t="str">
        <f>IFERROR(__xludf.DUMMYFUNCTION("""COMPUTED_VALUE"""),"")</f>
        <v/>
      </c>
      <c r="C4002" t="str">
        <f>IFERROR(__xludf.DUMMYFUNCTION("""COMPUTED_VALUE"""),"")</f>
        <v/>
      </c>
      <c r="D4002" t="str">
        <f>IFERROR(__xludf.DUMMYFUNCTION("""COMPUTED_VALUE"""),"")</f>
        <v/>
      </c>
      <c r="E4002" t="str">
        <f>IFERROR(__xludf.DUMMYFUNCTION("""COMPUTED_VALUE"""),"")</f>
        <v/>
      </c>
      <c r="F4002" t="str">
        <f>IFERROR(__xludf.DUMMYFUNCTION("""COMPUTED_VALUE"""),"")</f>
        <v/>
      </c>
      <c r="G4002" t="str">
        <f>IFERROR(__xludf.DUMMYFUNCTION("""COMPUTED_VALUE"""),"")</f>
        <v/>
      </c>
      <c r="H4002" s="2" t="str">
        <f>IFERROR(__xludf.DUMMYFUNCTION("""COMPUTED_VALUE"""),"")</f>
        <v/>
      </c>
      <c r="I4002" s="2" t="str">
        <f>IFERROR(__xludf.DUMMYFUNCTION("""COMPUTED_VALUE"""),"")</f>
        <v/>
      </c>
      <c r="J4002" s="2">
        <f>IFERROR(__xludf.DUMMYFUNCTION("""COMPUTED_VALUE"""),0.0)</f>
        <v>0</v>
      </c>
      <c r="K4002" s="5" t="str">
        <f>IFERROR(__xludf.DUMMYFUNCTION("""COMPUTED_VALUE"""),"")</f>
        <v/>
      </c>
      <c r="L4002" t="str">
        <f>IFERROR(__xludf.DUMMYFUNCTION("""COMPUTED_VALUE"""),"")</f>
        <v/>
      </c>
      <c r="M4002" t="str">
        <f>IFERROR(__xludf.DUMMYFUNCTION("""COMPUTED_VALUE"""),"")</f>
        <v/>
      </c>
      <c r="N4002" t="str">
        <f>IFERROR(__xludf.DUMMYFUNCTION("""COMPUTED_VALUE"""),"")</f>
        <v/>
      </c>
      <c r="O4002" t="str">
        <f>IFERROR(__xludf.DUMMYFUNCTION("""COMPUTED_VALUE"""),"")</f>
        <v/>
      </c>
      <c r="P4002" t="str">
        <f>IFERROR(__xludf.DUMMYFUNCTION("""COMPUTED_VALUE"""),"ID ")</f>
        <v>ID </v>
      </c>
    </row>
    <row r="4003">
      <c r="A4003" s="6" t="str">
        <f>IFERROR(__xludf.DUMMYFUNCTION("""COMPUTED_VALUE"""),"")</f>
        <v/>
      </c>
      <c r="C4003" t="str">
        <f>IFERROR(__xludf.DUMMYFUNCTION("""COMPUTED_VALUE"""),"")</f>
        <v/>
      </c>
      <c r="D4003" t="str">
        <f>IFERROR(__xludf.DUMMYFUNCTION("""COMPUTED_VALUE"""),"")</f>
        <v/>
      </c>
      <c r="E4003" t="str">
        <f>IFERROR(__xludf.DUMMYFUNCTION("""COMPUTED_VALUE"""),"")</f>
        <v/>
      </c>
      <c r="F4003" t="str">
        <f>IFERROR(__xludf.DUMMYFUNCTION("""COMPUTED_VALUE"""),"")</f>
        <v/>
      </c>
      <c r="G4003" t="str">
        <f>IFERROR(__xludf.DUMMYFUNCTION("""COMPUTED_VALUE"""),"")</f>
        <v/>
      </c>
      <c r="H4003" s="2" t="str">
        <f>IFERROR(__xludf.DUMMYFUNCTION("""COMPUTED_VALUE"""),"")</f>
        <v/>
      </c>
      <c r="I4003" s="2" t="str">
        <f>IFERROR(__xludf.DUMMYFUNCTION("""COMPUTED_VALUE"""),"")</f>
        <v/>
      </c>
      <c r="J4003" s="2">
        <f>IFERROR(__xludf.DUMMYFUNCTION("""COMPUTED_VALUE"""),0.0)</f>
        <v>0</v>
      </c>
      <c r="K4003" s="5" t="str">
        <f>IFERROR(__xludf.DUMMYFUNCTION("""COMPUTED_VALUE"""),"")</f>
        <v/>
      </c>
      <c r="L4003" t="str">
        <f>IFERROR(__xludf.DUMMYFUNCTION("""COMPUTED_VALUE"""),"")</f>
        <v/>
      </c>
      <c r="M4003" t="str">
        <f>IFERROR(__xludf.DUMMYFUNCTION("""COMPUTED_VALUE"""),"")</f>
        <v/>
      </c>
      <c r="N4003" t="str">
        <f>IFERROR(__xludf.DUMMYFUNCTION("""COMPUTED_VALUE"""),"")</f>
        <v/>
      </c>
      <c r="O4003" t="str">
        <f>IFERROR(__xludf.DUMMYFUNCTION("""COMPUTED_VALUE"""),"")</f>
        <v/>
      </c>
      <c r="P4003" t="str">
        <f>IFERROR(__xludf.DUMMYFUNCTION("""COMPUTED_VALUE"""),"ID ")</f>
        <v>ID </v>
      </c>
    </row>
    <row r="4004">
      <c r="A4004" s="6" t="str">
        <f>IFERROR(__xludf.DUMMYFUNCTION("""COMPUTED_VALUE"""),"")</f>
        <v/>
      </c>
      <c r="C4004" t="str">
        <f>IFERROR(__xludf.DUMMYFUNCTION("""COMPUTED_VALUE"""),"")</f>
        <v/>
      </c>
      <c r="D4004" t="str">
        <f>IFERROR(__xludf.DUMMYFUNCTION("""COMPUTED_VALUE"""),"")</f>
        <v/>
      </c>
      <c r="E4004" t="str">
        <f>IFERROR(__xludf.DUMMYFUNCTION("""COMPUTED_VALUE"""),"")</f>
        <v/>
      </c>
      <c r="F4004" t="str">
        <f>IFERROR(__xludf.DUMMYFUNCTION("""COMPUTED_VALUE"""),"")</f>
        <v/>
      </c>
      <c r="G4004" t="str">
        <f>IFERROR(__xludf.DUMMYFUNCTION("""COMPUTED_VALUE"""),"")</f>
        <v/>
      </c>
      <c r="H4004" s="2" t="str">
        <f>IFERROR(__xludf.DUMMYFUNCTION("""COMPUTED_VALUE"""),"")</f>
        <v/>
      </c>
      <c r="I4004" s="2" t="str">
        <f>IFERROR(__xludf.DUMMYFUNCTION("""COMPUTED_VALUE"""),"")</f>
        <v/>
      </c>
      <c r="J4004" s="2">
        <f>IFERROR(__xludf.DUMMYFUNCTION("""COMPUTED_VALUE"""),0.0)</f>
        <v>0</v>
      </c>
      <c r="K4004" s="5" t="str">
        <f>IFERROR(__xludf.DUMMYFUNCTION("""COMPUTED_VALUE"""),"")</f>
        <v/>
      </c>
      <c r="L4004" t="str">
        <f>IFERROR(__xludf.DUMMYFUNCTION("""COMPUTED_VALUE"""),"")</f>
        <v/>
      </c>
      <c r="M4004" t="str">
        <f>IFERROR(__xludf.DUMMYFUNCTION("""COMPUTED_VALUE"""),"")</f>
        <v/>
      </c>
      <c r="N4004" t="str">
        <f>IFERROR(__xludf.DUMMYFUNCTION("""COMPUTED_VALUE"""),"")</f>
        <v/>
      </c>
      <c r="O4004" t="str">
        <f>IFERROR(__xludf.DUMMYFUNCTION("""COMPUTED_VALUE"""),"")</f>
        <v/>
      </c>
      <c r="P4004" t="str">
        <f>IFERROR(__xludf.DUMMYFUNCTION("""COMPUTED_VALUE"""),"ID ")</f>
        <v>ID </v>
      </c>
    </row>
    <row r="4005">
      <c r="A4005" s="6" t="str">
        <f>IFERROR(__xludf.DUMMYFUNCTION("""COMPUTED_VALUE"""),"")</f>
        <v/>
      </c>
      <c r="C4005" t="str">
        <f>IFERROR(__xludf.DUMMYFUNCTION("""COMPUTED_VALUE"""),"")</f>
        <v/>
      </c>
      <c r="D4005" t="str">
        <f>IFERROR(__xludf.DUMMYFUNCTION("""COMPUTED_VALUE"""),"")</f>
        <v/>
      </c>
      <c r="E4005" t="str">
        <f>IFERROR(__xludf.DUMMYFUNCTION("""COMPUTED_VALUE"""),"")</f>
        <v/>
      </c>
      <c r="F4005" t="str">
        <f>IFERROR(__xludf.DUMMYFUNCTION("""COMPUTED_VALUE"""),"")</f>
        <v/>
      </c>
      <c r="G4005" t="str">
        <f>IFERROR(__xludf.DUMMYFUNCTION("""COMPUTED_VALUE"""),"")</f>
        <v/>
      </c>
      <c r="H4005" s="2" t="str">
        <f>IFERROR(__xludf.DUMMYFUNCTION("""COMPUTED_VALUE"""),"")</f>
        <v/>
      </c>
      <c r="I4005" s="2" t="str">
        <f>IFERROR(__xludf.DUMMYFUNCTION("""COMPUTED_VALUE"""),"")</f>
        <v/>
      </c>
      <c r="J4005" s="2">
        <f>IFERROR(__xludf.DUMMYFUNCTION("""COMPUTED_VALUE"""),0.0)</f>
        <v>0</v>
      </c>
      <c r="K4005" s="5" t="str">
        <f>IFERROR(__xludf.DUMMYFUNCTION("""COMPUTED_VALUE"""),"")</f>
        <v/>
      </c>
      <c r="L4005" t="str">
        <f>IFERROR(__xludf.DUMMYFUNCTION("""COMPUTED_VALUE"""),"")</f>
        <v/>
      </c>
      <c r="M4005" t="str">
        <f>IFERROR(__xludf.DUMMYFUNCTION("""COMPUTED_VALUE"""),"")</f>
        <v/>
      </c>
      <c r="N4005" t="str">
        <f>IFERROR(__xludf.DUMMYFUNCTION("""COMPUTED_VALUE"""),"")</f>
        <v/>
      </c>
      <c r="O4005" t="str">
        <f>IFERROR(__xludf.DUMMYFUNCTION("""COMPUTED_VALUE"""),"")</f>
        <v/>
      </c>
      <c r="P4005" t="str">
        <f>IFERROR(__xludf.DUMMYFUNCTION("""COMPUTED_VALUE"""),"ID ")</f>
        <v>ID </v>
      </c>
    </row>
    <row r="4006">
      <c r="A4006" s="6" t="str">
        <f>IFERROR(__xludf.DUMMYFUNCTION("""COMPUTED_VALUE"""),"")</f>
        <v/>
      </c>
      <c r="C4006" t="str">
        <f>IFERROR(__xludf.DUMMYFUNCTION("""COMPUTED_VALUE"""),"")</f>
        <v/>
      </c>
      <c r="D4006" t="str">
        <f>IFERROR(__xludf.DUMMYFUNCTION("""COMPUTED_VALUE"""),"")</f>
        <v/>
      </c>
      <c r="E4006" t="str">
        <f>IFERROR(__xludf.DUMMYFUNCTION("""COMPUTED_VALUE"""),"")</f>
        <v/>
      </c>
      <c r="F4006" t="str">
        <f>IFERROR(__xludf.DUMMYFUNCTION("""COMPUTED_VALUE"""),"")</f>
        <v/>
      </c>
      <c r="G4006" t="str">
        <f>IFERROR(__xludf.DUMMYFUNCTION("""COMPUTED_VALUE"""),"")</f>
        <v/>
      </c>
      <c r="H4006" s="2" t="str">
        <f>IFERROR(__xludf.DUMMYFUNCTION("""COMPUTED_VALUE"""),"")</f>
        <v/>
      </c>
      <c r="I4006" s="2" t="str">
        <f>IFERROR(__xludf.DUMMYFUNCTION("""COMPUTED_VALUE"""),"")</f>
        <v/>
      </c>
      <c r="J4006" s="2">
        <f>IFERROR(__xludf.DUMMYFUNCTION("""COMPUTED_VALUE"""),0.0)</f>
        <v>0</v>
      </c>
      <c r="K4006" s="5" t="str">
        <f>IFERROR(__xludf.DUMMYFUNCTION("""COMPUTED_VALUE"""),"")</f>
        <v/>
      </c>
      <c r="L4006" t="str">
        <f>IFERROR(__xludf.DUMMYFUNCTION("""COMPUTED_VALUE"""),"")</f>
        <v/>
      </c>
      <c r="M4006" t="str">
        <f>IFERROR(__xludf.DUMMYFUNCTION("""COMPUTED_VALUE"""),"")</f>
        <v/>
      </c>
      <c r="N4006" t="str">
        <f>IFERROR(__xludf.DUMMYFUNCTION("""COMPUTED_VALUE"""),"")</f>
        <v/>
      </c>
      <c r="O4006" t="str">
        <f>IFERROR(__xludf.DUMMYFUNCTION("""COMPUTED_VALUE"""),"")</f>
        <v/>
      </c>
      <c r="P4006" t="str">
        <f>IFERROR(__xludf.DUMMYFUNCTION("""COMPUTED_VALUE"""),"ID ")</f>
        <v>ID </v>
      </c>
    </row>
    <row r="4007">
      <c r="A4007" s="6" t="str">
        <f>IFERROR(__xludf.DUMMYFUNCTION("""COMPUTED_VALUE"""),"")</f>
        <v/>
      </c>
      <c r="C4007" t="str">
        <f>IFERROR(__xludf.DUMMYFUNCTION("""COMPUTED_VALUE"""),"")</f>
        <v/>
      </c>
      <c r="D4007" t="str">
        <f>IFERROR(__xludf.DUMMYFUNCTION("""COMPUTED_VALUE"""),"")</f>
        <v/>
      </c>
      <c r="E4007" t="str">
        <f>IFERROR(__xludf.DUMMYFUNCTION("""COMPUTED_VALUE"""),"")</f>
        <v/>
      </c>
      <c r="F4007" t="str">
        <f>IFERROR(__xludf.DUMMYFUNCTION("""COMPUTED_VALUE"""),"")</f>
        <v/>
      </c>
      <c r="G4007" t="str">
        <f>IFERROR(__xludf.DUMMYFUNCTION("""COMPUTED_VALUE"""),"")</f>
        <v/>
      </c>
      <c r="H4007" s="2" t="str">
        <f>IFERROR(__xludf.DUMMYFUNCTION("""COMPUTED_VALUE"""),"")</f>
        <v/>
      </c>
      <c r="I4007" s="2" t="str">
        <f>IFERROR(__xludf.DUMMYFUNCTION("""COMPUTED_VALUE"""),"")</f>
        <v/>
      </c>
      <c r="J4007" s="2">
        <f>IFERROR(__xludf.DUMMYFUNCTION("""COMPUTED_VALUE"""),0.0)</f>
        <v>0</v>
      </c>
      <c r="K4007" s="5" t="str">
        <f>IFERROR(__xludf.DUMMYFUNCTION("""COMPUTED_VALUE"""),"")</f>
        <v/>
      </c>
      <c r="L4007" t="str">
        <f>IFERROR(__xludf.DUMMYFUNCTION("""COMPUTED_VALUE"""),"")</f>
        <v/>
      </c>
      <c r="M4007" t="str">
        <f>IFERROR(__xludf.DUMMYFUNCTION("""COMPUTED_VALUE"""),"")</f>
        <v/>
      </c>
      <c r="N4007" t="str">
        <f>IFERROR(__xludf.DUMMYFUNCTION("""COMPUTED_VALUE"""),"")</f>
        <v/>
      </c>
      <c r="O4007" t="str">
        <f>IFERROR(__xludf.DUMMYFUNCTION("""COMPUTED_VALUE"""),"")</f>
        <v/>
      </c>
      <c r="P4007" t="str">
        <f>IFERROR(__xludf.DUMMYFUNCTION("""COMPUTED_VALUE"""),"ID ")</f>
        <v>ID </v>
      </c>
    </row>
    <row r="4008">
      <c r="A4008" s="6" t="str">
        <f>IFERROR(__xludf.DUMMYFUNCTION("""COMPUTED_VALUE"""),"")</f>
        <v/>
      </c>
      <c r="C4008" t="str">
        <f>IFERROR(__xludf.DUMMYFUNCTION("""COMPUTED_VALUE"""),"")</f>
        <v/>
      </c>
      <c r="D4008" t="str">
        <f>IFERROR(__xludf.DUMMYFUNCTION("""COMPUTED_VALUE"""),"")</f>
        <v/>
      </c>
      <c r="E4008" t="str">
        <f>IFERROR(__xludf.DUMMYFUNCTION("""COMPUTED_VALUE"""),"")</f>
        <v/>
      </c>
      <c r="F4008" t="str">
        <f>IFERROR(__xludf.DUMMYFUNCTION("""COMPUTED_VALUE"""),"")</f>
        <v/>
      </c>
      <c r="G4008" t="str">
        <f>IFERROR(__xludf.DUMMYFUNCTION("""COMPUTED_VALUE"""),"")</f>
        <v/>
      </c>
      <c r="H4008" s="2" t="str">
        <f>IFERROR(__xludf.DUMMYFUNCTION("""COMPUTED_VALUE"""),"")</f>
        <v/>
      </c>
      <c r="I4008" s="2" t="str">
        <f>IFERROR(__xludf.DUMMYFUNCTION("""COMPUTED_VALUE"""),"")</f>
        <v/>
      </c>
      <c r="J4008" s="2">
        <f>IFERROR(__xludf.DUMMYFUNCTION("""COMPUTED_VALUE"""),0.0)</f>
        <v>0</v>
      </c>
      <c r="K4008" s="5" t="str">
        <f>IFERROR(__xludf.DUMMYFUNCTION("""COMPUTED_VALUE"""),"")</f>
        <v/>
      </c>
      <c r="L4008" t="str">
        <f>IFERROR(__xludf.DUMMYFUNCTION("""COMPUTED_VALUE"""),"")</f>
        <v/>
      </c>
      <c r="M4008" t="str">
        <f>IFERROR(__xludf.DUMMYFUNCTION("""COMPUTED_VALUE"""),"")</f>
        <v/>
      </c>
      <c r="N4008" t="str">
        <f>IFERROR(__xludf.DUMMYFUNCTION("""COMPUTED_VALUE"""),"")</f>
        <v/>
      </c>
      <c r="O4008" t="str">
        <f>IFERROR(__xludf.DUMMYFUNCTION("""COMPUTED_VALUE"""),"")</f>
        <v/>
      </c>
      <c r="P4008" t="str">
        <f>IFERROR(__xludf.DUMMYFUNCTION("""COMPUTED_VALUE"""),"ID ")</f>
        <v>ID </v>
      </c>
    </row>
    <row r="4009">
      <c r="A4009" s="6" t="str">
        <f>IFERROR(__xludf.DUMMYFUNCTION("""COMPUTED_VALUE"""),"")</f>
        <v/>
      </c>
      <c r="C4009" t="str">
        <f>IFERROR(__xludf.DUMMYFUNCTION("""COMPUTED_VALUE"""),"")</f>
        <v/>
      </c>
      <c r="D4009" t="str">
        <f>IFERROR(__xludf.DUMMYFUNCTION("""COMPUTED_VALUE"""),"")</f>
        <v/>
      </c>
      <c r="E4009" t="str">
        <f>IFERROR(__xludf.DUMMYFUNCTION("""COMPUTED_VALUE"""),"")</f>
        <v/>
      </c>
      <c r="F4009" t="str">
        <f>IFERROR(__xludf.DUMMYFUNCTION("""COMPUTED_VALUE"""),"")</f>
        <v/>
      </c>
      <c r="G4009" t="str">
        <f>IFERROR(__xludf.DUMMYFUNCTION("""COMPUTED_VALUE"""),"")</f>
        <v/>
      </c>
      <c r="H4009" s="2" t="str">
        <f>IFERROR(__xludf.DUMMYFUNCTION("""COMPUTED_VALUE"""),"")</f>
        <v/>
      </c>
      <c r="I4009" s="2" t="str">
        <f>IFERROR(__xludf.DUMMYFUNCTION("""COMPUTED_VALUE"""),"")</f>
        <v/>
      </c>
      <c r="J4009" s="2">
        <f>IFERROR(__xludf.DUMMYFUNCTION("""COMPUTED_VALUE"""),0.0)</f>
        <v>0</v>
      </c>
      <c r="K4009" s="5" t="str">
        <f>IFERROR(__xludf.DUMMYFUNCTION("""COMPUTED_VALUE"""),"")</f>
        <v/>
      </c>
      <c r="L4009" t="str">
        <f>IFERROR(__xludf.DUMMYFUNCTION("""COMPUTED_VALUE"""),"")</f>
        <v/>
      </c>
      <c r="M4009" t="str">
        <f>IFERROR(__xludf.DUMMYFUNCTION("""COMPUTED_VALUE"""),"")</f>
        <v/>
      </c>
      <c r="N4009" t="str">
        <f>IFERROR(__xludf.DUMMYFUNCTION("""COMPUTED_VALUE"""),"")</f>
        <v/>
      </c>
      <c r="O4009" t="str">
        <f>IFERROR(__xludf.DUMMYFUNCTION("""COMPUTED_VALUE"""),"")</f>
        <v/>
      </c>
      <c r="P4009" t="str">
        <f>IFERROR(__xludf.DUMMYFUNCTION("""COMPUTED_VALUE"""),"ID ")</f>
        <v>ID </v>
      </c>
    </row>
    <row r="4010">
      <c r="A4010" s="6" t="str">
        <f>IFERROR(__xludf.DUMMYFUNCTION("""COMPUTED_VALUE"""),"")</f>
        <v/>
      </c>
      <c r="C4010" t="str">
        <f>IFERROR(__xludf.DUMMYFUNCTION("""COMPUTED_VALUE"""),"")</f>
        <v/>
      </c>
      <c r="D4010" t="str">
        <f>IFERROR(__xludf.DUMMYFUNCTION("""COMPUTED_VALUE"""),"")</f>
        <v/>
      </c>
      <c r="E4010" t="str">
        <f>IFERROR(__xludf.DUMMYFUNCTION("""COMPUTED_VALUE"""),"")</f>
        <v/>
      </c>
      <c r="F4010" t="str">
        <f>IFERROR(__xludf.DUMMYFUNCTION("""COMPUTED_VALUE"""),"")</f>
        <v/>
      </c>
      <c r="G4010" t="str">
        <f>IFERROR(__xludf.DUMMYFUNCTION("""COMPUTED_VALUE"""),"")</f>
        <v/>
      </c>
      <c r="H4010" s="2" t="str">
        <f>IFERROR(__xludf.DUMMYFUNCTION("""COMPUTED_VALUE"""),"")</f>
        <v/>
      </c>
      <c r="I4010" s="2" t="str">
        <f>IFERROR(__xludf.DUMMYFUNCTION("""COMPUTED_VALUE"""),"")</f>
        <v/>
      </c>
      <c r="J4010" s="2">
        <f>IFERROR(__xludf.DUMMYFUNCTION("""COMPUTED_VALUE"""),0.0)</f>
        <v>0</v>
      </c>
      <c r="K4010" s="5" t="str">
        <f>IFERROR(__xludf.DUMMYFUNCTION("""COMPUTED_VALUE"""),"")</f>
        <v/>
      </c>
      <c r="L4010" t="str">
        <f>IFERROR(__xludf.DUMMYFUNCTION("""COMPUTED_VALUE"""),"")</f>
        <v/>
      </c>
      <c r="M4010" t="str">
        <f>IFERROR(__xludf.DUMMYFUNCTION("""COMPUTED_VALUE"""),"")</f>
        <v/>
      </c>
      <c r="N4010" t="str">
        <f>IFERROR(__xludf.DUMMYFUNCTION("""COMPUTED_VALUE"""),"")</f>
        <v/>
      </c>
      <c r="O4010" t="str">
        <f>IFERROR(__xludf.DUMMYFUNCTION("""COMPUTED_VALUE"""),"")</f>
        <v/>
      </c>
      <c r="P4010" t="str">
        <f>IFERROR(__xludf.DUMMYFUNCTION("""COMPUTED_VALUE"""),"ID ")</f>
        <v>ID </v>
      </c>
    </row>
    <row r="4011">
      <c r="A4011" s="6" t="str">
        <f>IFERROR(__xludf.DUMMYFUNCTION("""COMPUTED_VALUE"""),"")</f>
        <v/>
      </c>
      <c r="C4011" t="str">
        <f>IFERROR(__xludf.DUMMYFUNCTION("""COMPUTED_VALUE"""),"")</f>
        <v/>
      </c>
      <c r="D4011" t="str">
        <f>IFERROR(__xludf.DUMMYFUNCTION("""COMPUTED_VALUE"""),"")</f>
        <v/>
      </c>
      <c r="E4011" t="str">
        <f>IFERROR(__xludf.DUMMYFUNCTION("""COMPUTED_VALUE"""),"")</f>
        <v/>
      </c>
      <c r="F4011" t="str">
        <f>IFERROR(__xludf.DUMMYFUNCTION("""COMPUTED_VALUE"""),"")</f>
        <v/>
      </c>
      <c r="G4011" t="str">
        <f>IFERROR(__xludf.DUMMYFUNCTION("""COMPUTED_VALUE"""),"")</f>
        <v/>
      </c>
      <c r="H4011" s="2" t="str">
        <f>IFERROR(__xludf.DUMMYFUNCTION("""COMPUTED_VALUE"""),"")</f>
        <v/>
      </c>
      <c r="I4011" s="2" t="str">
        <f>IFERROR(__xludf.DUMMYFUNCTION("""COMPUTED_VALUE"""),"")</f>
        <v/>
      </c>
      <c r="J4011" s="2">
        <f>IFERROR(__xludf.DUMMYFUNCTION("""COMPUTED_VALUE"""),0.0)</f>
        <v>0</v>
      </c>
      <c r="K4011" s="5" t="str">
        <f>IFERROR(__xludf.DUMMYFUNCTION("""COMPUTED_VALUE"""),"")</f>
        <v/>
      </c>
      <c r="L4011" t="str">
        <f>IFERROR(__xludf.DUMMYFUNCTION("""COMPUTED_VALUE"""),"")</f>
        <v/>
      </c>
      <c r="M4011" t="str">
        <f>IFERROR(__xludf.DUMMYFUNCTION("""COMPUTED_VALUE"""),"")</f>
        <v/>
      </c>
      <c r="N4011" t="str">
        <f>IFERROR(__xludf.DUMMYFUNCTION("""COMPUTED_VALUE"""),"")</f>
        <v/>
      </c>
      <c r="O4011" t="str">
        <f>IFERROR(__xludf.DUMMYFUNCTION("""COMPUTED_VALUE"""),"")</f>
        <v/>
      </c>
      <c r="P4011" t="str">
        <f>IFERROR(__xludf.DUMMYFUNCTION("""COMPUTED_VALUE"""),"ID ")</f>
        <v>ID </v>
      </c>
    </row>
    <row r="4012">
      <c r="A4012" s="6" t="str">
        <f>IFERROR(__xludf.DUMMYFUNCTION("""COMPUTED_VALUE"""),"")</f>
        <v/>
      </c>
      <c r="C4012" t="str">
        <f>IFERROR(__xludf.DUMMYFUNCTION("""COMPUTED_VALUE"""),"")</f>
        <v/>
      </c>
      <c r="D4012" t="str">
        <f>IFERROR(__xludf.DUMMYFUNCTION("""COMPUTED_VALUE"""),"")</f>
        <v/>
      </c>
      <c r="E4012" t="str">
        <f>IFERROR(__xludf.DUMMYFUNCTION("""COMPUTED_VALUE"""),"")</f>
        <v/>
      </c>
      <c r="F4012" t="str">
        <f>IFERROR(__xludf.DUMMYFUNCTION("""COMPUTED_VALUE"""),"")</f>
        <v/>
      </c>
      <c r="G4012" t="str">
        <f>IFERROR(__xludf.DUMMYFUNCTION("""COMPUTED_VALUE"""),"")</f>
        <v/>
      </c>
      <c r="H4012" s="2" t="str">
        <f>IFERROR(__xludf.DUMMYFUNCTION("""COMPUTED_VALUE"""),"")</f>
        <v/>
      </c>
      <c r="I4012" s="2" t="str">
        <f>IFERROR(__xludf.DUMMYFUNCTION("""COMPUTED_VALUE"""),"")</f>
        <v/>
      </c>
      <c r="J4012" s="2">
        <f>IFERROR(__xludf.DUMMYFUNCTION("""COMPUTED_VALUE"""),0.0)</f>
        <v>0</v>
      </c>
      <c r="K4012" s="5" t="str">
        <f>IFERROR(__xludf.DUMMYFUNCTION("""COMPUTED_VALUE"""),"")</f>
        <v/>
      </c>
      <c r="L4012" t="str">
        <f>IFERROR(__xludf.DUMMYFUNCTION("""COMPUTED_VALUE"""),"")</f>
        <v/>
      </c>
      <c r="M4012" t="str">
        <f>IFERROR(__xludf.DUMMYFUNCTION("""COMPUTED_VALUE"""),"")</f>
        <v/>
      </c>
      <c r="N4012" t="str">
        <f>IFERROR(__xludf.DUMMYFUNCTION("""COMPUTED_VALUE"""),"")</f>
        <v/>
      </c>
      <c r="O4012" t="str">
        <f>IFERROR(__xludf.DUMMYFUNCTION("""COMPUTED_VALUE"""),"")</f>
        <v/>
      </c>
      <c r="P4012" t="str">
        <f>IFERROR(__xludf.DUMMYFUNCTION("""COMPUTED_VALUE"""),"ID ")</f>
        <v>ID </v>
      </c>
    </row>
    <row r="4013">
      <c r="A4013" s="6" t="str">
        <f>IFERROR(__xludf.DUMMYFUNCTION("""COMPUTED_VALUE"""),"")</f>
        <v/>
      </c>
      <c r="C4013" t="str">
        <f>IFERROR(__xludf.DUMMYFUNCTION("""COMPUTED_VALUE"""),"")</f>
        <v/>
      </c>
      <c r="D4013" t="str">
        <f>IFERROR(__xludf.DUMMYFUNCTION("""COMPUTED_VALUE"""),"")</f>
        <v/>
      </c>
      <c r="E4013" t="str">
        <f>IFERROR(__xludf.DUMMYFUNCTION("""COMPUTED_VALUE"""),"")</f>
        <v/>
      </c>
      <c r="F4013" t="str">
        <f>IFERROR(__xludf.DUMMYFUNCTION("""COMPUTED_VALUE"""),"")</f>
        <v/>
      </c>
      <c r="G4013" t="str">
        <f>IFERROR(__xludf.DUMMYFUNCTION("""COMPUTED_VALUE"""),"")</f>
        <v/>
      </c>
      <c r="H4013" s="2" t="str">
        <f>IFERROR(__xludf.DUMMYFUNCTION("""COMPUTED_VALUE"""),"")</f>
        <v/>
      </c>
      <c r="I4013" s="2" t="str">
        <f>IFERROR(__xludf.DUMMYFUNCTION("""COMPUTED_VALUE"""),"")</f>
        <v/>
      </c>
      <c r="J4013" s="2">
        <f>IFERROR(__xludf.DUMMYFUNCTION("""COMPUTED_VALUE"""),0.0)</f>
        <v>0</v>
      </c>
      <c r="K4013" s="5" t="str">
        <f>IFERROR(__xludf.DUMMYFUNCTION("""COMPUTED_VALUE"""),"")</f>
        <v/>
      </c>
      <c r="L4013" t="str">
        <f>IFERROR(__xludf.DUMMYFUNCTION("""COMPUTED_VALUE"""),"")</f>
        <v/>
      </c>
      <c r="M4013" t="str">
        <f>IFERROR(__xludf.DUMMYFUNCTION("""COMPUTED_VALUE"""),"")</f>
        <v/>
      </c>
      <c r="N4013" t="str">
        <f>IFERROR(__xludf.DUMMYFUNCTION("""COMPUTED_VALUE"""),"")</f>
        <v/>
      </c>
      <c r="O4013" t="str">
        <f>IFERROR(__xludf.DUMMYFUNCTION("""COMPUTED_VALUE"""),"")</f>
        <v/>
      </c>
      <c r="P4013" t="str">
        <f>IFERROR(__xludf.DUMMYFUNCTION("""COMPUTED_VALUE"""),"ID ")</f>
        <v>ID </v>
      </c>
    </row>
    <row r="4014">
      <c r="A4014" s="6" t="str">
        <f>IFERROR(__xludf.DUMMYFUNCTION("""COMPUTED_VALUE"""),"")</f>
        <v/>
      </c>
      <c r="C4014" t="str">
        <f>IFERROR(__xludf.DUMMYFUNCTION("""COMPUTED_VALUE"""),"")</f>
        <v/>
      </c>
      <c r="D4014" t="str">
        <f>IFERROR(__xludf.DUMMYFUNCTION("""COMPUTED_VALUE"""),"")</f>
        <v/>
      </c>
      <c r="E4014" t="str">
        <f>IFERROR(__xludf.DUMMYFUNCTION("""COMPUTED_VALUE"""),"")</f>
        <v/>
      </c>
      <c r="F4014" t="str">
        <f>IFERROR(__xludf.DUMMYFUNCTION("""COMPUTED_VALUE"""),"")</f>
        <v/>
      </c>
      <c r="G4014" t="str">
        <f>IFERROR(__xludf.DUMMYFUNCTION("""COMPUTED_VALUE"""),"")</f>
        <v/>
      </c>
      <c r="H4014" s="2" t="str">
        <f>IFERROR(__xludf.DUMMYFUNCTION("""COMPUTED_VALUE"""),"")</f>
        <v/>
      </c>
      <c r="I4014" s="2" t="str">
        <f>IFERROR(__xludf.DUMMYFUNCTION("""COMPUTED_VALUE"""),"")</f>
        <v/>
      </c>
      <c r="J4014" s="2">
        <f>IFERROR(__xludf.DUMMYFUNCTION("""COMPUTED_VALUE"""),0.0)</f>
        <v>0</v>
      </c>
      <c r="K4014" s="5" t="str">
        <f>IFERROR(__xludf.DUMMYFUNCTION("""COMPUTED_VALUE"""),"")</f>
        <v/>
      </c>
      <c r="L4014" t="str">
        <f>IFERROR(__xludf.DUMMYFUNCTION("""COMPUTED_VALUE"""),"")</f>
        <v/>
      </c>
      <c r="M4014" t="str">
        <f>IFERROR(__xludf.DUMMYFUNCTION("""COMPUTED_VALUE"""),"")</f>
        <v/>
      </c>
      <c r="N4014" t="str">
        <f>IFERROR(__xludf.DUMMYFUNCTION("""COMPUTED_VALUE"""),"")</f>
        <v/>
      </c>
      <c r="O4014" t="str">
        <f>IFERROR(__xludf.DUMMYFUNCTION("""COMPUTED_VALUE"""),"")</f>
        <v/>
      </c>
      <c r="P4014" t="str">
        <f>IFERROR(__xludf.DUMMYFUNCTION("""COMPUTED_VALUE"""),"ID ")</f>
        <v>ID </v>
      </c>
    </row>
    <row r="4015">
      <c r="A4015" s="6" t="str">
        <f>IFERROR(__xludf.DUMMYFUNCTION("""COMPUTED_VALUE"""),"")</f>
        <v/>
      </c>
      <c r="C4015" t="str">
        <f>IFERROR(__xludf.DUMMYFUNCTION("""COMPUTED_VALUE"""),"")</f>
        <v/>
      </c>
      <c r="D4015" t="str">
        <f>IFERROR(__xludf.DUMMYFUNCTION("""COMPUTED_VALUE"""),"")</f>
        <v/>
      </c>
      <c r="E4015" t="str">
        <f>IFERROR(__xludf.DUMMYFUNCTION("""COMPUTED_VALUE"""),"")</f>
        <v/>
      </c>
      <c r="F4015" t="str">
        <f>IFERROR(__xludf.DUMMYFUNCTION("""COMPUTED_VALUE"""),"")</f>
        <v/>
      </c>
      <c r="G4015" t="str">
        <f>IFERROR(__xludf.DUMMYFUNCTION("""COMPUTED_VALUE"""),"")</f>
        <v/>
      </c>
      <c r="H4015" s="2" t="str">
        <f>IFERROR(__xludf.DUMMYFUNCTION("""COMPUTED_VALUE"""),"")</f>
        <v/>
      </c>
      <c r="I4015" s="2" t="str">
        <f>IFERROR(__xludf.DUMMYFUNCTION("""COMPUTED_VALUE"""),"")</f>
        <v/>
      </c>
      <c r="J4015" s="2">
        <f>IFERROR(__xludf.DUMMYFUNCTION("""COMPUTED_VALUE"""),0.0)</f>
        <v>0</v>
      </c>
      <c r="K4015" s="5" t="str">
        <f>IFERROR(__xludf.DUMMYFUNCTION("""COMPUTED_VALUE"""),"")</f>
        <v/>
      </c>
      <c r="L4015" t="str">
        <f>IFERROR(__xludf.DUMMYFUNCTION("""COMPUTED_VALUE"""),"")</f>
        <v/>
      </c>
      <c r="M4015" t="str">
        <f>IFERROR(__xludf.DUMMYFUNCTION("""COMPUTED_VALUE"""),"")</f>
        <v/>
      </c>
      <c r="N4015" t="str">
        <f>IFERROR(__xludf.DUMMYFUNCTION("""COMPUTED_VALUE"""),"")</f>
        <v/>
      </c>
      <c r="O4015" t="str">
        <f>IFERROR(__xludf.DUMMYFUNCTION("""COMPUTED_VALUE"""),"")</f>
        <v/>
      </c>
      <c r="P4015" t="str">
        <f>IFERROR(__xludf.DUMMYFUNCTION("""COMPUTED_VALUE"""),"ID ")</f>
        <v>ID </v>
      </c>
    </row>
    <row r="4016">
      <c r="A4016" s="6" t="str">
        <f>IFERROR(__xludf.DUMMYFUNCTION("""COMPUTED_VALUE"""),"")</f>
        <v/>
      </c>
      <c r="C4016" t="str">
        <f>IFERROR(__xludf.DUMMYFUNCTION("""COMPUTED_VALUE"""),"")</f>
        <v/>
      </c>
      <c r="D4016" t="str">
        <f>IFERROR(__xludf.DUMMYFUNCTION("""COMPUTED_VALUE"""),"")</f>
        <v/>
      </c>
      <c r="E4016" t="str">
        <f>IFERROR(__xludf.DUMMYFUNCTION("""COMPUTED_VALUE"""),"")</f>
        <v/>
      </c>
      <c r="F4016" t="str">
        <f>IFERROR(__xludf.DUMMYFUNCTION("""COMPUTED_VALUE"""),"")</f>
        <v/>
      </c>
      <c r="G4016" t="str">
        <f>IFERROR(__xludf.DUMMYFUNCTION("""COMPUTED_VALUE"""),"")</f>
        <v/>
      </c>
      <c r="H4016" s="2" t="str">
        <f>IFERROR(__xludf.DUMMYFUNCTION("""COMPUTED_VALUE"""),"")</f>
        <v/>
      </c>
      <c r="I4016" s="2" t="str">
        <f>IFERROR(__xludf.DUMMYFUNCTION("""COMPUTED_VALUE"""),"")</f>
        <v/>
      </c>
      <c r="J4016" s="2">
        <f>IFERROR(__xludf.DUMMYFUNCTION("""COMPUTED_VALUE"""),0.0)</f>
        <v>0</v>
      </c>
      <c r="K4016" s="5" t="str">
        <f>IFERROR(__xludf.DUMMYFUNCTION("""COMPUTED_VALUE"""),"")</f>
        <v/>
      </c>
      <c r="L4016" t="str">
        <f>IFERROR(__xludf.DUMMYFUNCTION("""COMPUTED_VALUE"""),"")</f>
        <v/>
      </c>
      <c r="M4016" t="str">
        <f>IFERROR(__xludf.DUMMYFUNCTION("""COMPUTED_VALUE"""),"")</f>
        <v/>
      </c>
      <c r="N4016" t="str">
        <f>IFERROR(__xludf.DUMMYFUNCTION("""COMPUTED_VALUE"""),"")</f>
        <v/>
      </c>
      <c r="O4016" t="str">
        <f>IFERROR(__xludf.DUMMYFUNCTION("""COMPUTED_VALUE"""),"")</f>
        <v/>
      </c>
      <c r="P4016" t="str">
        <f>IFERROR(__xludf.DUMMYFUNCTION("""COMPUTED_VALUE"""),"ID ")</f>
        <v>ID </v>
      </c>
    </row>
    <row r="4017">
      <c r="A4017" s="6" t="str">
        <f>IFERROR(__xludf.DUMMYFUNCTION("""COMPUTED_VALUE"""),"")</f>
        <v/>
      </c>
      <c r="C4017" t="str">
        <f>IFERROR(__xludf.DUMMYFUNCTION("""COMPUTED_VALUE"""),"")</f>
        <v/>
      </c>
      <c r="D4017" t="str">
        <f>IFERROR(__xludf.DUMMYFUNCTION("""COMPUTED_VALUE"""),"")</f>
        <v/>
      </c>
      <c r="E4017" t="str">
        <f>IFERROR(__xludf.DUMMYFUNCTION("""COMPUTED_VALUE"""),"")</f>
        <v/>
      </c>
      <c r="F4017" t="str">
        <f>IFERROR(__xludf.DUMMYFUNCTION("""COMPUTED_VALUE"""),"")</f>
        <v/>
      </c>
      <c r="G4017" t="str">
        <f>IFERROR(__xludf.DUMMYFUNCTION("""COMPUTED_VALUE"""),"")</f>
        <v/>
      </c>
      <c r="H4017" s="2" t="str">
        <f>IFERROR(__xludf.DUMMYFUNCTION("""COMPUTED_VALUE"""),"")</f>
        <v/>
      </c>
      <c r="I4017" s="2" t="str">
        <f>IFERROR(__xludf.DUMMYFUNCTION("""COMPUTED_VALUE"""),"")</f>
        <v/>
      </c>
      <c r="J4017" s="2">
        <f>IFERROR(__xludf.DUMMYFUNCTION("""COMPUTED_VALUE"""),0.0)</f>
        <v>0</v>
      </c>
      <c r="K4017" s="5" t="str">
        <f>IFERROR(__xludf.DUMMYFUNCTION("""COMPUTED_VALUE"""),"")</f>
        <v/>
      </c>
      <c r="L4017" t="str">
        <f>IFERROR(__xludf.DUMMYFUNCTION("""COMPUTED_VALUE"""),"")</f>
        <v/>
      </c>
      <c r="M4017" t="str">
        <f>IFERROR(__xludf.DUMMYFUNCTION("""COMPUTED_VALUE"""),"")</f>
        <v/>
      </c>
      <c r="N4017" t="str">
        <f>IFERROR(__xludf.DUMMYFUNCTION("""COMPUTED_VALUE"""),"")</f>
        <v/>
      </c>
      <c r="O4017" t="str">
        <f>IFERROR(__xludf.DUMMYFUNCTION("""COMPUTED_VALUE"""),"")</f>
        <v/>
      </c>
      <c r="P4017" t="str">
        <f>IFERROR(__xludf.DUMMYFUNCTION("""COMPUTED_VALUE"""),"ID ")</f>
        <v>ID </v>
      </c>
    </row>
    <row r="4018">
      <c r="A4018" s="6" t="str">
        <f>IFERROR(__xludf.DUMMYFUNCTION("""COMPUTED_VALUE"""),"")</f>
        <v/>
      </c>
      <c r="C4018" t="str">
        <f>IFERROR(__xludf.DUMMYFUNCTION("""COMPUTED_VALUE"""),"")</f>
        <v/>
      </c>
      <c r="D4018" t="str">
        <f>IFERROR(__xludf.DUMMYFUNCTION("""COMPUTED_VALUE"""),"")</f>
        <v/>
      </c>
      <c r="E4018" t="str">
        <f>IFERROR(__xludf.DUMMYFUNCTION("""COMPUTED_VALUE"""),"")</f>
        <v/>
      </c>
      <c r="F4018" t="str">
        <f>IFERROR(__xludf.DUMMYFUNCTION("""COMPUTED_VALUE"""),"")</f>
        <v/>
      </c>
      <c r="G4018" t="str">
        <f>IFERROR(__xludf.DUMMYFUNCTION("""COMPUTED_VALUE"""),"")</f>
        <v/>
      </c>
      <c r="H4018" s="2" t="str">
        <f>IFERROR(__xludf.DUMMYFUNCTION("""COMPUTED_VALUE"""),"")</f>
        <v/>
      </c>
      <c r="I4018" s="2" t="str">
        <f>IFERROR(__xludf.DUMMYFUNCTION("""COMPUTED_VALUE"""),"")</f>
        <v/>
      </c>
      <c r="J4018" s="2">
        <f>IFERROR(__xludf.DUMMYFUNCTION("""COMPUTED_VALUE"""),0.0)</f>
        <v>0</v>
      </c>
      <c r="K4018" s="5" t="str">
        <f>IFERROR(__xludf.DUMMYFUNCTION("""COMPUTED_VALUE"""),"")</f>
        <v/>
      </c>
      <c r="L4018" t="str">
        <f>IFERROR(__xludf.DUMMYFUNCTION("""COMPUTED_VALUE"""),"")</f>
        <v/>
      </c>
      <c r="M4018" t="str">
        <f>IFERROR(__xludf.DUMMYFUNCTION("""COMPUTED_VALUE"""),"")</f>
        <v/>
      </c>
      <c r="N4018" t="str">
        <f>IFERROR(__xludf.DUMMYFUNCTION("""COMPUTED_VALUE"""),"")</f>
        <v/>
      </c>
      <c r="O4018" t="str">
        <f>IFERROR(__xludf.DUMMYFUNCTION("""COMPUTED_VALUE"""),"")</f>
        <v/>
      </c>
      <c r="P4018" t="str">
        <f>IFERROR(__xludf.DUMMYFUNCTION("""COMPUTED_VALUE"""),"ID ")</f>
        <v>ID </v>
      </c>
    </row>
    <row r="4019">
      <c r="A4019" s="6" t="str">
        <f>IFERROR(__xludf.DUMMYFUNCTION("""COMPUTED_VALUE"""),"")</f>
        <v/>
      </c>
      <c r="C4019" t="str">
        <f>IFERROR(__xludf.DUMMYFUNCTION("""COMPUTED_VALUE"""),"")</f>
        <v/>
      </c>
      <c r="D4019" t="str">
        <f>IFERROR(__xludf.DUMMYFUNCTION("""COMPUTED_VALUE"""),"")</f>
        <v/>
      </c>
      <c r="E4019" t="str">
        <f>IFERROR(__xludf.DUMMYFUNCTION("""COMPUTED_VALUE"""),"")</f>
        <v/>
      </c>
      <c r="F4019" t="str">
        <f>IFERROR(__xludf.DUMMYFUNCTION("""COMPUTED_VALUE"""),"")</f>
        <v/>
      </c>
      <c r="G4019" t="str">
        <f>IFERROR(__xludf.DUMMYFUNCTION("""COMPUTED_VALUE"""),"")</f>
        <v/>
      </c>
      <c r="H4019" s="2" t="str">
        <f>IFERROR(__xludf.DUMMYFUNCTION("""COMPUTED_VALUE"""),"")</f>
        <v/>
      </c>
      <c r="I4019" s="2" t="str">
        <f>IFERROR(__xludf.DUMMYFUNCTION("""COMPUTED_VALUE"""),"")</f>
        <v/>
      </c>
      <c r="J4019" s="2">
        <f>IFERROR(__xludf.DUMMYFUNCTION("""COMPUTED_VALUE"""),0.0)</f>
        <v>0</v>
      </c>
      <c r="K4019" s="5" t="str">
        <f>IFERROR(__xludf.DUMMYFUNCTION("""COMPUTED_VALUE"""),"")</f>
        <v/>
      </c>
      <c r="L4019" t="str">
        <f>IFERROR(__xludf.DUMMYFUNCTION("""COMPUTED_VALUE"""),"")</f>
        <v/>
      </c>
      <c r="M4019" t="str">
        <f>IFERROR(__xludf.DUMMYFUNCTION("""COMPUTED_VALUE"""),"")</f>
        <v/>
      </c>
      <c r="N4019" t="str">
        <f>IFERROR(__xludf.DUMMYFUNCTION("""COMPUTED_VALUE"""),"")</f>
        <v/>
      </c>
      <c r="O4019" t="str">
        <f>IFERROR(__xludf.DUMMYFUNCTION("""COMPUTED_VALUE"""),"")</f>
        <v/>
      </c>
      <c r="P4019" t="str">
        <f>IFERROR(__xludf.DUMMYFUNCTION("""COMPUTED_VALUE"""),"ID ")</f>
        <v>ID </v>
      </c>
    </row>
    <row r="4020">
      <c r="A4020" s="6" t="str">
        <f>IFERROR(__xludf.DUMMYFUNCTION("""COMPUTED_VALUE"""),"")</f>
        <v/>
      </c>
      <c r="C4020" t="str">
        <f>IFERROR(__xludf.DUMMYFUNCTION("""COMPUTED_VALUE"""),"")</f>
        <v/>
      </c>
      <c r="D4020" t="str">
        <f>IFERROR(__xludf.DUMMYFUNCTION("""COMPUTED_VALUE"""),"")</f>
        <v/>
      </c>
      <c r="E4020" t="str">
        <f>IFERROR(__xludf.DUMMYFUNCTION("""COMPUTED_VALUE"""),"")</f>
        <v/>
      </c>
      <c r="F4020" t="str">
        <f>IFERROR(__xludf.DUMMYFUNCTION("""COMPUTED_VALUE"""),"")</f>
        <v/>
      </c>
      <c r="G4020" t="str">
        <f>IFERROR(__xludf.DUMMYFUNCTION("""COMPUTED_VALUE"""),"")</f>
        <v/>
      </c>
      <c r="H4020" s="2" t="str">
        <f>IFERROR(__xludf.DUMMYFUNCTION("""COMPUTED_VALUE"""),"")</f>
        <v/>
      </c>
      <c r="I4020" s="2" t="str">
        <f>IFERROR(__xludf.DUMMYFUNCTION("""COMPUTED_VALUE"""),"")</f>
        <v/>
      </c>
      <c r="J4020" s="2">
        <f>IFERROR(__xludf.DUMMYFUNCTION("""COMPUTED_VALUE"""),0.0)</f>
        <v>0</v>
      </c>
      <c r="K4020" s="5" t="str">
        <f>IFERROR(__xludf.DUMMYFUNCTION("""COMPUTED_VALUE"""),"")</f>
        <v/>
      </c>
      <c r="L4020" t="str">
        <f>IFERROR(__xludf.DUMMYFUNCTION("""COMPUTED_VALUE"""),"")</f>
        <v/>
      </c>
      <c r="M4020" t="str">
        <f>IFERROR(__xludf.DUMMYFUNCTION("""COMPUTED_VALUE"""),"")</f>
        <v/>
      </c>
      <c r="N4020" t="str">
        <f>IFERROR(__xludf.DUMMYFUNCTION("""COMPUTED_VALUE"""),"")</f>
        <v/>
      </c>
      <c r="O4020" t="str">
        <f>IFERROR(__xludf.DUMMYFUNCTION("""COMPUTED_VALUE"""),"")</f>
        <v/>
      </c>
      <c r="P4020" t="str">
        <f>IFERROR(__xludf.DUMMYFUNCTION("""COMPUTED_VALUE"""),"ID ")</f>
        <v>ID </v>
      </c>
    </row>
    <row r="4021">
      <c r="A4021" s="6" t="str">
        <f>IFERROR(__xludf.DUMMYFUNCTION("""COMPUTED_VALUE"""),"")</f>
        <v/>
      </c>
      <c r="C4021" t="str">
        <f>IFERROR(__xludf.DUMMYFUNCTION("""COMPUTED_VALUE"""),"")</f>
        <v/>
      </c>
      <c r="D4021" t="str">
        <f>IFERROR(__xludf.DUMMYFUNCTION("""COMPUTED_VALUE"""),"")</f>
        <v/>
      </c>
      <c r="E4021" t="str">
        <f>IFERROR(__xludf.DUMMYFUNCTION("""COMPUTED_VALUE"""),"")</f>
        <v/>
      </c>
      <c r="F4021" t="str">
        <f>IFERROR(__xludf.DUMMYFUNCTION("""COMPUTED_VALUE"""),"")</f>
        <v/>
      </c>
      <c r="G4021" t="str">
        <f>IFERROR(__xludf.DUMMYFUNCTION("""COMPUTED_VALUE"""),"")</f>
        <v/>
      </c>
      <c r="H4021" s="2" t="str">
        <f>IFERROR(__xludf.DUMMYFUNCTION("""COMPUTED_VALUE"""),"")</f>
        <v/>
      </c>
      <c r="I4021" s="2" t="str">
        <f>IFERROR(__xludf.DUMMYFUNCTION("""COMPUTED_VALUE"""),"")</f>
        <v/>
      </c>
      <c r="J4021" s="2">
        <f>IFERROR(__xludf.DUMMYFUNCTION("""COMPUTED_VALUE"""),0.0)</f>
        <v>0</v>
      </c>
      <c r="K4021" s="5" t="str">
        <f>IFERROR(__xludf.DUMMYFUNCTION("""COMPUTED_VALUE"""),"")</f>
        <v/>
      </c>
      <c r="L4021" t="str">
        <f>IFERROR(__xludf.DUMMYFUNCTION("""COMPUTED_VALUE"""),"")</f>
        <v/>
      </c>
      <c r="M4021" t="str">
        <f>IFERROR(__xludf.DUMMYFUNCTION("""COMPUTED_VALUE"""),"")</f>
        <v/>
      </c>
      <c r="N4021" t="str">
        <f>IFERROR(__xludf.DUMMYFUNCTION("""COMPUTED_VALUE"""),"")</f>
        <v/>
      </c>
      <c r="O4021" t="str">
        <f>IFERROR(__xludf.DUMMYFUNCTION("""COMPUTED_VALUE"""),"")</f>
        <v/>
      </c>
      <c r="P4021" t="str">
        <f>IFERROR(__xludf.DUMMYFUNCTION("""COMPUTED_VALUE"""),"ID ")</f>
        <v>ID </v>
      </c>
    </row>
    <row r="4022">
      <c r="A4022" s="6" t="str">
        <f>IFERROR(__xludf.DUMMYFUNCTION("""COMPUTED_VALUE"""),"")</f>
        <v/>
      </c>
      <c r="C4022" t="str">
        <f>IFERROR(__xludf.DUMMYFUNCTION("""COMPUTED_VALUE"""),"")</f>
        <v/>
      </c>
      <c r="D4022" t="str">
        <f>IFERROR(__xludf.DUMMYFUNCTION("""COMPUTED_VALUE"""),"")</f>
        <v/>
      </c>
      <c r="E4022" t="str">
        <f>IFERROR(__xludf.DUMMYFUNCTION("""COMPUTED_VALUE"""),"")</f>
        <v/>
      </c>
      <c r="F4022" t="str">
        <f>IFERROR(__xludf.DUMMYFUNCTION("""COMPUTED_VALUE"""),"")</f>
        <v/>
      </c>
      <c r="G4022" t="str">
        <f>IFERROR(__xludf.DUMMYFUNCTION("""COMPUTED_VALUE"""),"")</f>
        <v/>
      </c>
      <c r="H4022" s="2" t="str">
        <f>IFERROR(__xludf.DUMMYFUNCTION("""COMPUTED_VALUE"""),"")</f>
        <v/>
      </c>
      <c r="I4022" s="2" t="str">
        <f>IFERROR(__xludf.DUMMYFUNCTION("""COMPUTED_VALUE"""),"")</f>
        <v/>
      </c>
      <c r="J4022" s="2">
        <f>IFERROR(__xludf.DUMMYFUNCTION("""COMPUTED_VALUE"""),0.0)</f>
        <v>0</v>
      </c>
      <c r="K4022" s="5" t="str">
        <f>IFERROR(__xludf.DUMMYFUNCTION("""COMPUTED_VALUE"""),"")</f>
        <v/>
      </c>
      <c r="L4022" t="str">
        <f>IFERROR(__xludf.DUMMYFUNCTION("""COMPUTED_VALUE"""),"")</f>
        <v/>
      </c>
      <c r="M4022" t="str">
        <f>IFERROR(__xludf.DUMMYFUNCTION("""COMPUTED_VALUE"""),"")</f>
        <v/>
      </c>
      <c r="N4022" t="str">
        <f>IFERROR(__xludf.DUMMYFUNCTION("""COMPUTED_VALUE"""),"")</f>
        <v/>
      </c>
      <c r="O4022" t="str">
        <f>IFERROR(__xludf.DUMMYFUNCTION("""COMPUTED_VALUE"""),"")</f>
        <v/>
      </c>
      <c r="P4022" t="str">
        <f>IFERROR(__xludf.DUMMYFUNCTION("""COMPUTED_VALUE"""),"ID ")</f>
        <v>ID </v>
      </c>
    </row>
    <row r="4023">
      <c r="A4023" s="6" t="str">
        <f>IFERROR(__xludf.DUMMYFUNCTION("""COMPUTED_VALUE"""),"")</f>
        <v/>
      </c>
      <c r="C4023" t="str">
        <f>IFERROR(__xludf.DUMMYFUNCTION("""COMPUTED_VALUE"""),"")</f>
        <v/>
      </c>
      <c r="D4023" t="str">
        <f>IFERROR(__xludf.DUMMYFUNCTION("""COMPUTED_VALUE"""),"")</f>
        <v/>
      </c>
      <c r="E4023" t="str">
        <f>IFERROR(__xludf.DUMMYFUNCTION("""COMPUTED_VALUE"""),"")</f>
        <v/>
      </c>
      <c r="F4023" t="str">
        <f>IFERROR(__xludf.DUMMYFUNCTION("""COMPUTED_VALUE"""),"")</f>
        <v/>
      </c>
      <c r="G4023" t="str">
        <f>IFERROR(__xludf.DUMMYFUNCTION("""COMPUTED_VALUE"""),"")</f>
        <v/>
      </c>
      <c r="H4023" s="2" t="str">
        <f>IFERROR(__xludf.DUMMYFUNCTION("""COMPUTED_VALUE"""),"")</f>
        <v/>
      </c>
      <c r="I4023" s="2" t="str">
        <f>IFERROR(__xludf.DUMMYFUNCTION("""COMPUTED_VALUE"""),"")</f>
        <v/>
      </c>
      <c r="J4023" s="2">
        <f>IFERROR(__xludf.DUMMYFUNCTION("""COMPUTED_VALUE"""),0.0)</f>
        <v>0</v>
      </c>
      <c r="K4023" s="5" t="str">
        <f>IFERROR(__xludf.DUMMYFUNCTION("""COMPUTED_VALUE"""),"")</f>
        <v/>
      </c>
      <c r="L4023" t="str">
        <f>IFERROR(__xludf.DUMMYFUNCTION("""COMPUTED_VALUE"""),"")</f>
        <v/>
      </c>
      <c r="M4023" t="str">
        <f>IFERROR(__xludf.DUMMYFUNCTION("""COMPUTED_VALUE"""),"")</f>
        <v/>
      </c>
      <c r="N4023" t="str">
        <f>IFERROR(__xludf.DUMMYFUNCTION("""COMPUTED_VALUE"""),"")</f>
        <v/>
      </c>
      <c r="O4023" t="str">
        <f>IFERROR(__xludf.DUMMYFUNCTION("""COMPUTED_VALUE"""),"")</f>
        <v/>
      </c>
      <c r="P4023" t="str">
        <f>IFERROR(__xludf.DUMMYFUNCTION("""COMPUTED_VALUE"""),"ID ")</f>
        <v>ID </v>
      </c>
    </row>
    <row r="4024">
      <c r="A4024" s="6" t="str">
        <f>IFERROR(__xludf.DUMMYFUNCTION("""COMPUTED_VALUE"""),"")</f>
        <v/>
      </c>
      <c r="C4024" t="str">
        <f>IFERROR(__xludf.DUMMYFUNCTION("""COMPUTED_VALUE"""),"")</f>
        <v/>
      </c>
      <c r="D4024" t="str">
        <f>IFERROR(__xludf.DUMMYFUNCTION("""COMPUTED_VALUE"""),"")</f>
        <v/>
      </c>
      <c r="E4024" t="str">
        <f>IFERROR(__xludf.DUMMYFUNCTION("""COMPUTED_VALUE"""),"")</f>
        <v/>
      </c>
      <c r="F4024" t="str">
        <f>IFERROR(__xludf.DUMMYFUNCTION("""COMPUTED_VALUE"""),"")</f>
        <v/>
      </c>
      <c r="G4024" t="str">
        <f>IFERROR(__xludf.DUMMYFUNCTION("""COMPUTED_VALUE"""),"")</f>
        <v/>
      </c>
      <c r="H4024" s="2" t="str">
        <f>IFERROR(__xludf.DUMMYFUNCTION("""COMPUTED_VALUE"""),"")</f>
        <v/>
      </c>
      <c r="I4024" s="2" t="str">
        <f>IFERROR(__xludf.DUMMYFUNCTION("""COMPUTED_VALUE"""),"")</f>
        <v/>
      </c>
      <c r="J4024" s="2">
        <f>IFERROR(__xludf.DUMMYFUNCTION("""COMPUTED_VALUE"""),0.0)</f>
        <v>0</v>
      </c>
      <c r="K4024" s="5" t="str">
        <f>IFERROR(__xludf.DUMMYFUNCTION("""COMPUTED_VALUE"""),"")</f>
        <v/>
      </c>
      <c r="L4024" t="str">
        <f>IFERROR(__xludf.DUMMYFUNCTION("""COMPUTED_VALUE"""),"")</f>
        <v/>
      </c>
      <c r="M4024" t="str">
        <f>IFERROR(__xludf.DUMMYFUNCTION("""COMPUTED_VALUE"""),"")</f>
        <v/>
      </c>
      <c r="N4024" t="str">
        <f>IFERROR(__xludf.DUMMYFUNCTION("""COMPUTED_VALUE"""),"")</f>
        <v/>
      </c>
      <c r="O4024" t="str">
        <f>IFERROR(__xludf.DUMMYFUNCTION("""COMPUTED_VALUE"""),"")</f>
        <v/>
      </c>
      <c r="P4024" t="str">
        <f>IFERROR(__xludf.DUMMYFUNCTION("""COMPUTED_VALUE"""),"ID ")</f>
        <v>ID </v>
      </c>
    </row>
    <row r="4025">
      <c r="A4025" s="6" t="str">
        <f>IFERROR(__xludf.DUMMYFUNCTION("""COMPUTED_VALUE"""),"")</f>
        <v/>
      </c>
      <c r="C4025" t="str">
        <f>IFERROR(__xludf.DUMMYFUNCTION("""COMPUTED_VALUE"""),"")</f>
        <v/>
      </c>
      <c r="D4025" t="str">
        <f>IFERROR(__xludf.DUMMYFUNCTION("""COMPUTED_VALUE"""),"")</f>
        <v/>
      </c>
      <c r="E4025" t="str">
        <f>IFERROR(__xludf.DUMMYFUNCTION("""COMPUTED_VALUE"""),"")</f>
        <v/>
      </c>
      <c r="F4025" t="str">
        <f>IFERROR(__xludf.DUMMYFUNCTION("""COMPUTED_VALUE"""),"")</f>
        <v/>
      </c>
      <c r="G4025" t="str">
        <f>IFERROR(__xludf.DUMMYFUNCTION("""COMPUTED_VALUE"""),"")</f>
        <v/>
      </c>
      <c r="H4025" s="2" t="str">
        <f>IFERROR(__xludf.DUMMYFUNCTION("""COMPUTED_VALUE"""),"")</f>
        <v/>
      </c>
      <c r="I4025" s="2" t="str">
        <f>IFERROR(__xludf.DUMMYFUNCTION("""COMPUTED_VALUE"""),"")</f>
        <v/>
      </c>
      <c r="J4025" s="2">
        <f>IFERROR(__xludf.DUMMYFUNCTION("""COMPUTED_VALUE"""),0.0)</f>
        <v>0</v>
      </c>
      <c r="K4025" s="5" t="str">
        <f>IFERROR(__xludf.DUMMYFUNCTION("""COMPUTED_VALUE"""),"")</f>
        <v/>
      </c>
      <c r="L4025" t="str">
        <f>IFERROR(__xludf.DUMMYFUNCTION("""COMPUTED_VALUE"""),"")</f>
        <v/>
      </c>
      <c r="M4025" t="str">
        <f>IFERROR(__xludf.DUMMYFUNCTION("""COMPUTED_VALUE"""),"")</f>
        <v/>
      </c>
      <c r="N4025" t="str">
        <f>IFERROR(__xludf.DUMMYFUNCTION("""COMPUTED_VALUE"""),"")</f>
        <v/>
      </c>
      <c r="O4025" t="str">
        <f>IFERROR(__xludf.DUMMYFUNCTION("""COMPUTED_VALUE"""),"")</f>
        <v/>
      </c>
      <c r="P4025" t="str">
        <f>IFERROR(__xludf.DUMMYFUNCTION("""COMPUTED_VALUE"""),"ID ")</f>
        <v>ID </v>
      </c>
    </row>
    <row r="4026">
      <c r="A4026" s="6" t="str">
        <f>IFERROR(__xludf.DUMMYFUNCTION("""COMPUTED_VALUE"""),"")</f>
        <v/>
      </c>
      <c r="C4026" t="str">
        <f>IFERROR(__xludf.DUMMYFUNCTION("""COMPUTED_VALUE"""),"")</f>
        <v/>
      </c>
      <c r="D4026" t="str">
        <f>IFERROR(__xludf.DUMMYFUNCTION("""COMPUTED_VALUE"""),"")</f>
        <v/>
      </c>
      <c r="E4026" t="str">
        <f>IFERROR(__xludf.DUMMYFUNCTION("""COMPUTED_VALUE"""),"")</f>
        <v/>
      </c>
      <c r="F4026" t="str">
        <f>IFERROR(__xludf.DUMMYFUNCTION("""COMPUTED_VALUE"""),"")</f>
        <v/>
      </c>
      <c r="G4026" t="str">
        <f>IFERROR(__xludf.DUMMYFUNCTION("""COMPUTED_VALUE"""),"")</f>
        <v/>
      </c>
      <c r="H4026" s="2" t="str">
        <f>IFERROR(__xludf.DUMMYFUNCTION("""COMPUTED_VALUE"""),"")</f>
        <v/>
      </c>
      <c r="I4026" s="2" t="str">
        <f>IFERROR(__xludf.DUMMYFUNCTION("""COMPUTED_VALUE"""),"")</f>
        <v/>
      </c>
      <c r="J4026" s="2">
        <f>IFERROR(__xludf.DUMMYFUNCTION("""COMPUTED_VALUE"""),0.0)</f>
        <v>0</v>
      </c>
      <c r="K4026" s="5" t="str">
        <f>IFERROR(__xludf.DUMMYFUNCTION("""COMPUTED_VALUE"""),"")</f>
        <v/>
      </c>
      <c r="L4026" t="str">
        <f>IFERROR(__xludf.DUMMYFUNCTION("""COMPUTED_VALUE"""),"")</f>
        <v/>
      </c>
      <c r="M4026" t="str">
        <f>IFERROR(__xludf.DUMMYFUNCTION("""COMPUTED_VALUE"""),"")</f>
        <v/>
      </c>
      <c r="N4026" t="str">
        <f>IFERROR(__xludf.DUMMYFUNCTION("""COMPUTED_VALUE"""),"")</f>
        <v/>
      </c>
      <c r="O4026" t="str">
        <f>IFERROR(__xludf.DUMMYFUNCTION("""COMPUTED_VALUE"""),"")</f>
        <v/>
      </c>
      <c r="P4026" t="str">
        <f>IFERROR(__xludf.DUMMYFUNCTION("""COMPUTED_VALUE"""),"ID ")</f>
        <v>ID </v>
      </c>
    </row>
    <row r="4027">
      <c r="A4027" s="6" t="str">
        <f>IFERROR(__xludf.DUMMYFUNCTION("""COMPUTED_VALUE"""),"")</f>
        <v/>
      </c>
      <c r="C4027" t="str">
        <f>IFERROR(__xludf.DUMMYFUNCTION("""COMPUTED_VALUE"""),"")</f>
        <v/>
      </c>
      <c r="D4027" t="str">
        <f>IFERROR(__xludf.DUMMYFUNCTION("""COMPUTED_VALUE"""),"")</f>
        <v/>
      </c>
      <c r="E4027" t="str">
        <f>IFERROR(__xludf.DUMMYFUNCTION("""COMPUTED_VALUE"""),"")</f>
        <v/>
      </c>
      <c r="F4027" t="str">
        <f>IFERROR(__xludf.DUMMYFUNCTION("""COMPUTED_VALUE"""),"")</f>
        <v/>
      </c>
      <c r="G4027" t="str">
        <f>IFERROR(__xludf.DUMMYFUNCTION("""COMPUTED_VALUE"""),"")</f>
        <v/>
      </c>
      <c r="H4027" s="2" t="str">
        <f>IFERROR(__xludf.DUMMYFUNCTION("""COMPUTED_VALUE"""),"")</f>
        <v/>
      </c>
      <c r="I4027" s="2" t="str">
        <f>IFERROR(__xludf.DUMMYFUNCTION("""COMPUTED_VALUE"""),"")</f>
        <v/>
      </c>
      <c r="J4027" s="2">
        <f>IFERROR(__xludf.DUMMYFUNCTION("""COMPUTED_VALUE"""),0.0)</f>
        <v>0</v>
      </c>
      <c r="K4027" s="5" t="str">
        <f>IFERROR(__xludf.DUMMYFUNCTION("""COMPUTED_VALUE"""),"")</f>
        <v/>
      </c>
      <c r="L4027" t="str">
        <f>IFERROR(__xludf.DUMMYFUNCTION("""COMPUTED_VALUE"""),"")</f>
        <v/>
      </c>
      <c r="M4027" t="str">
        <f>IFERROR(__xludf.DUMMYFUNCTION("""COMPUTED_VALUE"""),"")</f>
        <v/>
      </c>
      <c r="N4027" t="str">
        <f>IFERROR(__xludf.DUMMYFUNCTION("""COMPUTED_VALUE"""),"")</f>
        <v/>
      </c>
      <c r="O4027" t="str">
        <f>IFERROR(__xludf.DUMMYFUNCTION("""COMPUTED_VALUE"""),"")</f>
        <v/>
      </c>
      <c r="P4027" t="str">
        <f>IFERROR(__xludf.DUMMYFUNCTION("""COMPUTED_VALUE"""),"ID ")</f>
        <v>ID </v>
      </c>
    </row>
    <row r="4028">
      <c r="A4028" s="6" t="str">
        <f>IFERROR(__xludf.DUMMYFUNCTION("""COMPUTED_VALUE"""),"")</f>
        <v/>
      </c>
      <c r="C4028" t="str">
        <f>IFERROR(__xludf.DUMMYFUNCTION("""COMPUTED_VALUE"""),"")</f>
        <v/>
      </c>
      <c r="D4028" t="str">
        <f>IFERROR(__xludf.DUMMYFUNCTION("""COMPUTED_VALUE"""),"")</f>
        <v/>
      </c>
      <c r="E4028" t="str">
        <f>IFERROR(__xludf.DUMMYFUNCTION("""COMPUTED_VALUE"""),"")</f>
        <v/>
      </c>
      <c r="F4028" t="str">
        <f>IFERROR(__xludf.DUMMYFUNCTION("""COMPUTED_VALUE"""),"")</f>
        <v/>
      </c>
      <c r="G4028" t="str">
        <f>IFERROR(__xludf.DUMMYFUNCTION("""COMPUTED_VALUE"""),"")</f>
        <v/>
      </c>
      <c r="H4028" s="2" t="str">
        <f>IFERROR(__xludf.DUMMYFUNCTION("""COMPUTED_VALUE"""),"")</f>
        <v/>
      </c>
      <c r="I4028" s="2" t="str">
        <f>IFERROR(__xludf.DUMMYFUNCTION("""COMPUTED_VALUE"""),"")</f>
        <v/>
      </c>
      <c r="J4028" s="2">
        <f>IFERROR(__xludf.DUMMYFUNCTION("""COMPUTED_VALUE"""),0.0)</f>
        <v>0</v>
      </c>
      <c r="K4028" s="5" t="str">
        <f>IFERROR(__xludf.DUMMYFUNCTION("""COMPUTED_VALUE"""),"")</f>
        <v/>
      </c>
      <c r="L4028" t="str">
        <f>IFERROR(__xludf.DUMMYFUNCTION("""COMPUTED_VALUE"""),"")</f>
        <v/>
      </c>
      <c r="M4028" t="str">
        <f>IFERROR(__xludf.DUMMYFUNCTION("""COMPUTED_VALUE"""),"")</f>
        <v/>
      </c>
      <c r="N4028" t="str">
        <f>IFERROR(__xludf.DUMMYFUNCTION("""COMPUTED_VALUE"""),"")</f>
        <v/>
      </c>
      <c r="O4028" t="str">
        <f>IFERROR(__xludf.DUMMYFUNCTION("""COMPUTED_VALUE"""),"")</f>
        <v/>
      </c>
      <c r="P4028" t="str">
        <f>IFERROR(__xludf.DUMMYFUNCTION("""COMPUTED_VALUE"""),"ID ")</f>
        <v>ID </v>
      </c>
    </row>
    <row r="4029">
      <c r="A4029" s="6" t="str">
        <f>IFERROR(__xludf.DUMMYFUNCTION("""COMPUTED_VALUE"""),"")</f>
        <v/>
      </c>
      <c r="C4029" t="str">
        <f>IFERROR(__xludf.DUMMYFUNCTION("""COMPUTED_VALUE"""),"")</f>
        <v/>
      </c>
      <c r="D4029" t="str">
        <f>IFERROR(__xludf.DUMMYFUNCTION("""COMPUTED_VALUE"""),"")</f>
        <v/>
      </c>
      <c r="E4029" t="str">
        <f>IFERROR(__xludf.DUMMYFUNCTION("""COMPUTED_VALUE"""),"")</f>
        <v/>
      </c>
      <c r="F4029" t="str">
        <f>IFERROR(__xludf.DUMMYFUNCTION("""COMPUTED_VALUE"""),"")</f>
        <v/>
      </c>
      <c r="G4029" t="str">
        <f>IFERROR(__xludf.DUMMYFUNCTION("""COMPUTED_VALUE"""),"")</f>
        <v/>
      </c>
      <c r="H4029" s="2" t="str">
        <f>IFERROR(__xludf.DUMMYFUNCTION("""COMPUTED_VALUE"""),"")</f>
        <v/>
      </c>
      <c r="I4029" s="2" t="str">
        <f>IFERROR(__xludf.DUMMYFUNCTION("""COMPUTED_VALUE"""),"")</f>
        <v/>
      </c>
      <c r="J4029" s="2">
        <f>IFERROR(__xludf.DUMMYFUNCTION("""COMPUTED_VALUE"""),0.0)</f>
        <v>0</v>
      </c>
      <c r="K4029" s="5" t="str">
        <f>IFERROR(__xludf.DUMMYFUNCTION("""COMPUTED_VALUE"""),"")</f>
        <v/>
      </c>
      <c r="L4029" t="str">
        <f>IFERROR(__xludf.DUMMYFUNCTION("""COMPUTED_VALUE"""),"")</f>
        <v/>
      </c>
      <c r="M4029" t="str">
        <f>IFERROR(__xludf.DUMMYFUNCTION("""COMPUTED_VALUE"""),"")</f>
        <v/>
      </c>
      <c r="N4029" t="str">
        <f>IFERROR(__xludf.DUMMYFUNCTION("""COMPUTED_VALUE"""),"")</f>
        <v/>
      </c>
      <c r="O4029" t="str">
        <f>IFERROR(__xludf.DUMMYFUNCTION("""COMPUTED_VALUE"""),"")</f>
        <v/>
      </c>
      <c r="P4029" t="str">
        <f>IFERROR(__xludf.DUMMYFUNCTION("""COMPUTED_VALUE"""),"ID ")</f>
        <v>ID </v>
      </c>
    </row>
    <row r="4030">
      <c r="A4030" s="6" t="str">
        <f>IFERROR(__xludf.DUMMYFUNCTION("""COMPUTED_VALUE"""),"")</f>
        <v/>
      </c>
      <c r="C4030" t="str">
        <f>IFERROR(__xludf.DUMMYFUNCTION("""COMPUTED_VALUE"""),"")</f>
        <v/>
      </c>
      <c r="D4030" t="str">
        <f>IFERROR(__xludf.DUMMYFUNCTION("""COMPUTED_VALUE"""),"")</f>
        <v/>
      </c>
      <c r="E4030" t="str">
        <f>IFERROR(__xludf.DUMMYFUNCTION("""COMPUTED_VALUE"""),"")</f>
        <v/>
      </c>
      <c r="F4030" t="str">
        <f>IFERROR(__xludf.DUMMYFUNCTION("""COMPUTED_VALUE"""),"")</f>
        <v/>
      </c>
      <c r="G4030" t="str">
        <f>IFERROR(__xludf.DUMMYFUNCTION("""COMPUTED_VALUE"""),"")</f>
        <v/>
      </c>
      <c r="H4030" s="2" t="str">
        <f>IFERROR(__xludf.DUMMYFUNCTION("""COMPUTED_VALUE"""),"")</f>
        <v/>
      </c>
      <c r="I4030" s="2" t="str">
        <f>IFERROR(__xludf.DUMMYFUNCTION("""COMPUTED_VALUE"""),"")</f>
        <v/>
      </c>
      <c r="J4030" s="2">
        <f>IFERROR(__xludf.DUMMYFUNCTION("""COMPUTED_VALUE"""),0.0)</f>
        <v>0</v>
      </c>
      <c r="K4030" s="5" t="str">
        <f>IFERROR(__xludf.DUMMYFUNCTION("""COMPUTED_VALUE"""),"")</f>
        <v/>
      </c>
      <c r="L4030" t="str">
        <f>IFERROR(__xludf.DUMMYFUNCTION("""COMPUTED_VALUE"""),"")</f>
        <v/>
      </c>
      <c r="M4030" t="str">
        <f>IFERROR(__xludf.DUMMYFUNCTION("""COMPUTED_VALUE"""),"")</f>
        <v/>
      </c>
      <c r="N4030" t="str">
        <f>IFERROR(__xludf.DUMMYFUNCTION("""COMPUTED_VALUE"""),"")</f>
        <v/>
      </c>
      <c r="O4030" t="str">
        <f>IFERROR(__xludf.DUMMYFUNCTION("""COMPUTED_VALUE"""),"")</f>
        <v/>
      </c>
      <c r="P4030" t="str">
        <f>IFERROR(__xludf.DUMMYFUNCTION("""COMPUTED_VALUE"""),"ID ")</f>
        <v>ID </v>
      </c>
    </row>
    <row r="4031">
      <c r="A4031" s="6" t="str">
        <f>IFERROR(__xludf.DUMMYFUNCTION("""COMPUTED_VALUE"""),"")</f>
        <v/>
      </c>
      <c r="C4031" t="str">
        <f>IFERROR(__xludf.DUMMYFUNCTION("""COMPUTED_VALUE"""),"")</f>
        <v/>
      </c>
      <c r="D4031" t="str">
        <f>IFERROR(__xludf.DUMMYFUNCTION("""COMPUTED_VALUE"""),"")</f>
        <v/>
      </c>
      <c r="E4031" t="str">
        <f>IFERROR(__xludf.DUMMYFUNCTION("""COMPUTED_VALUE"""),"")</f>
        <v/>
      </c>
      <c r="F4031" t="str">
        <f>IFERROR(__xludf.DUMMYFUNCTION("""COMPUTED_VALUE"""),"")</f>
        <v/>
      </c>
      <c r="G4031" t="str">
        <f>IFERROR(__xludf.DUMMYFUNCTION("""COMPUTED_VALUE"""),"")</f>
        <v/>
      </c>
      <c r="H4031" s="2" t="str">
        <f>IFERROR(__xludf.DUMMYFUNCTION("""COMPUTED_VALUE"""),"")</f>
        <v/>
      </c>
      <c r="I4031" s="2" t="str">
        <f>IFERROR(__xludf.DUMMYFUNCTION("""COMPUTED_VALUE"""),"")</f>
        <v/>
      </c>
      <c r="J4031" s="2">
        <f>IFERROR(__xludf.DUMMYFUNCTION("""COMPUTED_VALUE"""),0.0)</f>
        <v>0</v>
      </c>
      <c r="K4031" s="5" t="str">
        <f>IFERROR(__xludf.DUMMYFUNCTION("""COMPUTED_VALUE"""),"")</f>
        <v/>
      </c>
      <c r="L4031" t="str">
        <f>IFERROR(__xludf.DUMMYFUNCTION("""COMPUTED_VALUE"""),"")</f>
        <v/>
      </c>
      <c r="M4031" t="str">
        <f>IFERROR(__xludf.DUMMYFUNCTION("""COMPUTED_VALUE"""),"")</f>
        <v/>
      </c>
      <c r="N4031" t="str">
        <f>IFERROR(__xludf.DUMMYFUNCTION("""COMPUTED_VALUE"""),"")</f>
        <v/>
      </c>
      <c r="O4031" t="str">
        <f>IFERROR(__xludf.DUMMYFUNCTION("""COMPUTED_VALUE"""),"")</f>
        <v/>
      </c>
      <c r="P4031" t="str">
        <f>IFERROR(__xludf.DUMMYFUNCTION("""COMPUTED_VALUE"""),"ID ")</f>
        <v>ID </v>
      </c>
    </row>
    <row r="4032">
      <c r="A4032" s="6" t="str">
        <f>IFERROR(__xludf.DUMMYFUNCTION("""COMPUTED_VALUE"""),"")</f>
        <v/>
      </c>
      <c r="C4032" t="str">
        <f>IFERROR(__xludf.DUMMYFUNCTION("""COMPUTED_VALUE"""),"")</f>
        <v/>
      </c>
      <c r="D4032" t="str">
        <f>IFERROR(__xludf.DUMMYFUNCTION("""COMPUTED_VALUE"""),"")</f>
        <v/>
      </c>
      <c r="E4032" t="str">
        <f>IFERROR(__xludf.DUMMYFUNCTION("""COMPUTED_VALUE"""),"")</f>
        <v/>
      </c>
      <c r="F4032" t="str">
        <f>IFERROR(__xludf.DUMMYFUNCTION("""COMPUTED_VALUE"""),"")</f>
        <v/>
      </c>
      <c r="G4032" t="str">
        <f>IFERROR(__xludf.DUMMYFUNCTION("""COMPUTED_VALUE"""),"")</f>
        <v/>
      </c>
      <c r="H4032" s="2" t="str">
        <f>IFERROR(__xludf.DUMMYFUNCTION("""COMPUTED_VALUE"""),"")</f>
        <v/>
      </c>
      <c r="I4032" s="2" t="str">
        <f>IFERROR(__xludf.DUMMYFUNCTION("""COMPUTED_VALUE"""),"")</f>
        <v/>
      </c>
      <c r="J4032" s="2">
        <f>IFERROR(__xludf.DUMMYFUNCTION("""COMPUTED_VALUE"""),0.0)</f>
        <v>0</v>
      </c>
      <c r="K4032" s="5" t="str">
        <f>IFERROR(__xludf.DUMMYFUNCTION("""COMPUTED_VALUE"""),"")</f>
        <v/>
      </c>
      <c r="L4032" t="str">
        <f>IFERROR(__xludf.DUMMYFUNCTION("""COMPUTED_VALUE"""),"")</f>
        <v/>
      </c>
      <c r="M4032" t="str">
        <f>IFERROR(__xludf.DUMMYFUNCTION("""COMPUTED_VALUE"""),"")</f>
        <v/>
      </c>
      <c r="N4032" t="str">
        <f>IFERROR(__xludf.DUMMYFUNCTION("""COMPUTED_VALUE"""),"")</f>
        <v/>
      </c>
      <c r="O4032" t="str">
        <f>IFERROR(__xludf.DUMMYFUNCTION("""COMPUTED_VALUE"""),"")</f>
        <v/>
      </c>
      <c r="P4032" t="str">
        <f>IFERROR(__xludf.DUMMYFUNCTION("""COMPUTED_VALUE"""),"ID ")</f>
        <v>ID </v>
      </c>
    </row>
    <row r="4033">
      <c r="A4033" s="6" t="str">
        <f>IFERROR(__xludf.DUMMYFUNCTION("""COMPUTED_VALUE"""),"")</f>
        <v/>
      </c>
      <c r="C4033" t="str">
        <f>IFERROR(__xludf.DUMMYFUNCTION("""COMPUTED_VALUE"""),"")</f>
        <v/>
      </c>
      <c r="D4033" t="str">
        <f>IFERROR(__xludf.DUMMYFUNCTION("""COMPUTED_VALUE"""),"")</f>
        <v/>
      </c>
      <c r="E4033" t="str">
        <f>IFERROR(__xludf.DUMMYFUNCTION("""COMPUTED_VALUE"""),"")</f>
        <v/>
      </c>
      <c r="F4033" t="str">
        <f>IFERROR(__xludf.DUMMYFUNCTION("""COMPUTED_VALUE"""),"")</f>
        <v/>
      </c>
      <c r="G4033" t="str">
        <f>IFERROR(__xludf.DUMMYFUNCTION("""COMPUTED_VALUE"""),"")</f>
        <v/>
      </c>
      <c r="H4033" s="2" t="str">
        <f>IFERROR(__xludf.DUMMYFUNCTION("""COMPUTED_VALUE"""),"")</f>
        <v/>
      </c>
      <c r="I4033" s="2" t="str">
        <f>IFERROR(__xludf.DUMMYFUNCTION("""COMPUTED_VALUE"""),"")</f>
        <v/>
      </c>
      <c r="J4033" s="2">
        <f>IFERROR(__xludf.DUMMYFUNCTION("""COMPUTED_VALUE"""),0.0)</f>
        <v>0</v>
      </c>
      <c r="K4033" s="5" t="str">
        <f>IFERROR(__xludf.DUMMYFUNCTION("""COMPUTED_VALUE"""),"")</f>
        <v/>
      </c>
      <c r="L4033" t="str">
        <f>IFERROR(__xludf.DUMMYFUNCTION("""COMPUTED_VALUE"""),"")</f>
        <v/>
      </c>
      <c r="M4033" t="str">
        <f>IFERROR(__xludf.DUMMYFUNCTION("""COMPUTED_VALUE"""),"")</f>
        <v/>
      </c>
      <c r="N4033" t="str">
        <f>IFERROR(__xludf.DUMMYFUNCTION("""COMPUTED_VALUE"""),"")</f>
        <v/>
      </c>
      <c r="O4033" t="str">
        <f>IFERROR(__xludf.DUMMYFUNCTION("""COMPUTED_VALUE"""),"")</f>
        <v/>
      </c>
      <c r="P4033" t="str">
        <f>IFERROR(__xludf.DUMMYFUNCTION("""COMPUTED_VALUE"""),"ID ")</f>
        <v>ID </v>
      </c>
    </row>
    <row r="4034">
      <c r="A4034" s="6" t="str">
        <f>IFERROR(__xludf.DUMMYFUNCTION("""COMPUTED_VALUE"""),"")</f>
        <v/>
      </c>
      <c r="C4034" t="str">
        <f>IFERROR(__xludf.DUMMYFUNCTION("""COMPUTED_VALUE"""),"")</f>
        <v/>
      </c>
      <c r="D4034" t="str">
        <f>IFERROR(__xludf.DUMMYFUNCTION("""COMPUTED_VALUE"""),"")</f>
        <v/>
      </c>
      <c r="E4034" t="str">
        <f>IFERROR(__xludf.DUMMYFUNCTION("""COMPUTED_VALUE"""),"")</f>
        <v/>
      </c>
      <c r="F4034" t="str">
        <f>IFERROR(__xludf.DUMMYFUNCTION("""COMPUTED_VALUE"""),"")</f>
        <v/>
      </c>
      <c r="G4034" t="str">
        <f>IFERROR(__xludf.DUMMYFUNCTION("""COMPUTED_VALUE"""),"")</f>
        <v/>
      </c>
      <c r="H4034" s="2" t="str">
        <f>IFERROR(__xludf.DUMMYFUNCTION("""COMPUTED_VALUE"""),"")</f>
        <v/>
      </c>
      <c r="I4034" s="2" t="str">
        <f>IFERROR(__xludf.DUMMYFUNCTION("""COMPUTED_VALUE"""),"")</f>
        <v/>
      </c>
      <c r="J4034" s="2">
        <f>IFERROR(__xludf.DUMMYFUNCTION("""COMPUTED_VALUE"""),0.0)</f>
        <v>0</v>
      </c>
      <c r="K4034" s="5" t="str">
        <f>IFERROR(__xludf.DUMMYFUNCTION("""COMPUTED_VALUE"""),"")</f>
        <v/>
      </c>
      <c r="L4034" t="str">
        <f>IFERROR(__xludf.DUMMYFUNCTION("""COMPUTED_VALUE"""),"")</f>
        <v/>
      </c>
      <c r="M4034" t="str">
        <f>IFERROR(__xludf.DUMMYFUNCTION("""COMPUTED_VALUE"""),"")</f>
        <v/>
      </c>
      <c r="N4034" t="str">
        <f>IFERROR(__xludf.DUMMYFUNCTION("""COMPUTED_VALUE"""),"")</f>
        <v/>
      </c>
      <c r="O4034" t="str">
        <f>IFERROR(__xludf.DUMMYFUNCTION("""COMPUTED_VALUE"""),"")</f>
        <v/>
      </c>
      <c r="P4034" t="str">
        <f>IFERROR(__xludf.DUMMYFUNCTION("""COMPUTED_VALUE"""),"ID ")</f>
        <v>ID </v>
      </c>
    </row>
    <row r="4035">
      <c r="A4035" s="6" t="str">
        <f>IFERROR(__xludf.DUMMYFUNCTION("""COMPUTED_VALUE"""),"")</f>
        <v/>
      </c>
      <c r="C4035" t="str">
        <f>IFERROR(__xludf.DUMMYFUNCTION("""COMPUTED_VALUE"""),"")</f>
        <v/>
      </c>
      <c r="D4035" t="str">
        <f>IFERROR(__xludf.DUMMYFUNCTION("""COMPUTED_VALUE"""),"")</f>
        <v/>
      </c>
      <c r="E4035" t="str">
        <f>IFERROR(__xludf.DUMMYFUNCTION("""COMPUTED_VALUE"""),"")</f>
        <v/>
      </c>
      <c r="F4035" t="str">
        <f>IFERROR(__xludf.DUMMYFUNCTION("""COMPUTED_VALUE"""),"")</f>
        <v/>
      </c>
      <c r="G4035" t="str">
        <f>IFERROR(__xludf.DUMMYFUNCTION("""COMPUTED_VALUE"""),"")</f>
        <v/>
      </c>
      <c r="H4035" s="2" t="str">
        <f>IFERROR(__xludf.DUMMYFUNCTION("""COMPUTED_VALUE"""),"")</f>
        <v/>
      </c>
      <c r="I4035" s="2" t="str">
        <f>IFERROR(__xludf.DUMMYFUNCTION("""COMPUTED_VALUE"""),"")</f>
        <v/>
      </c>
      <c r="J4035" s="2">
        <f>IFERROR(__xludf.DUMMYFUNCTION("""COMPUTED_VALUE"""),0.0)</f>
        <v>0</v>
      </c>
      <c r="K4035" s="5" t="str">
        <f>IFERROR(__xludf.DUMMYFUNCTION("""COMPUTED_VALUE"""),"")</f>
        <v/>
      </c>
      <c r="L4035" t="str">
        <f>IFERROR(__xludf.DUMMYFUNCTION("""COMPUTED_VALUE"""),"")</f>
        <v/>
      </c>
      <c r="M4035" t="str">
        <f>IFERROR(__xludf.DUMMYFUNCTION("""COMPUTED_VALUE"""),"")</f>
        <v/>
      </c>
      <c r="N4035" t="str">
        <f>IFERROR(__xludf.DUMMYFUNCTION("""COMPUTED_VALUE"""),"")</f>
        <v/>
      </c>
      <c r="O4035" t="str">
        <f>IFERROR(__xludf.DUMMYFUNCTION("""COMPUTED_VALUE"""),"")</f>
        <v/>
      </c>
      <c r="P4035" t="str">
        <f>IFERROR(__xludf.DUMMYFUNCTION("""COMPUTED_VALUE"""),"ID ")</f>
        <v>ID </v>
      </c>
    </row>
    <row r="4036">
      <c r="A4036" s="6" t="str">
        <f>IFERROR(__xludf.DUMMYFUNCTION("""COMPUTED_VALUE"""),"")</f>
        <v/>
      </c>
      <c r="C4036" t="str">
        <f>IFERROR(__xludf.DUMMYFUNCTION("""COMPUTED_VALUE"""),"")</f>
        <v/>
      </c>
      <c r="D4036" t="str">
        <f>IFERROR(__xludf.DUMMYFUNCTION("""COMPUTED_VALUE"""),"")</f>
        <v/>
      </c>
      <c r="E4036" t="str">
        <f>IFERROR(__xludf.DUMMYFUNCTION("""COMPUTED_VALUE"""),"")</f>
        <v/>
      </c>
      <c r="F4036" t="str">
        <f>IFERROR(__xludf.DUMMYFUNCTION("""COMPUTED_VALUE"""),"")</f>
        <v/>
      </c>
      <c r="G4036" t="str">
        <f>IFERROR(__xludf.DUMMYFUNCTION("""COMPUTED_VALUE"""),"")</f>
        <v/>
      </c>
      <c r="H4036" s="2" t="str">
        <f>IFERROR(__xludf.DUMMYFUNCTION("""COMPUTED_VALUE"""),"")</f>
        <v/>
      </c>
      <c r="I4036" s="2" t="str">
        <f>IFERROR(__xludf.DUMMYFUNCTION("""COMPUTED_VALUE"""),"")</f>
        <v/>
      </c>
      <c r="J4036" s="2">
        <f>IFERROR(__xludf.DUMMYFUNCTION("""COMPUTED_VALUE"""),0.0)</f>
        <v>0</v>
      </c>
      <c r="K4036" s="5" t="str">
        <f>IFERROR(__xludf.DUMMYFUNCTION("""COMPUTED_VALUE"""),"")</f>
        <v/>
      </c>
      <c r="L4036" t="str">
        <f>IFERROR(__xludf.DUMMYFUNCTION("""COMPUTED_VALUE"""),"")</f>
        <v/>
      </c>
      <c r="M4036" t="str">
        <f>IFERROR(__xludf.DUMMYFUNCTION("""COMPUTED_VALUE"""),"")</f>
        <v/>
      </c>
      <c r="N4036" t="str">
        <f>IFERROR(__xludf.DUMMYFUNCTION("""COMPUTED_VALUE"""),"")</f>
        <v/>
      </c>
      <c r="O4036" t="str">
        <f>IFERROR(__xludf.DUMMYFUNCTION("""COMPUTED_VALUE"""),"")</f>
        <v/>
      </c>
      <c r="P4036" t="str">
        <f>IFERROR(__xludf.DUMMYFUNCTION("""COMPUTED_VALUE"""),"ID ")</f>
        <v>ID </v>
      </c>
    </row>
    <row r="4037">
      <c r="A4037" s="6" t="str">
        <f>IFERROR(__xludf.DUMMYFUNCTION("""COMPUTED_VALUE"""),"")</f>
        <v/>
      </c>
      <c r="C4037" t="str">
        <f>IFERROR(__xludf.DUMMYFUNCTION("""COMPUTED_VALUE"""),"")</f>
        <v/>
      </c>
      <c r="D4037" t="str">
        <f>IFERROR(__xludf.DUMMYFUNCTION("""COMPUTED_VALUE"""),"")</f>
        <v/>
      </c>
      <c r="E4037" t="str">
        <f>IFERROR(__xludf.DUMMYFUNCTION("""COMPUTED_VALUE"""),"")</f>
        <v/>
      </c>
      <c r="F4037" t="str">
        <f>IFERROR(__xludf.DUMMYFUNCTION("""COMPUTED_VALUE"""),"")</f>
        <v/>
      </c>
      <c r="G4037" t="str">
        <f>IFERROR(__xludf.DUMMYFUNCTION("""COMPUTED_VALUE"""),"")</f>
        <v/>
      </c>
      <c r="H4037" s="2" t="str">
        <f>IFERROR(__xludf.DUMMYFUNCTION("""COMPUTED_VALUE"""),"")</f>
        <v/>
      </c>
      <c r="I4037" s="2" t="str">
        <f>IFERROR(__xludf.DUMMYFUNCTION("""COMPUTED_VALUE"""),"")</f>
        <v/>
      </c>
      <c r="J4037" s="2">
        <f>IFERROR(__xludf.DUMMYFUNCTION("""COMPUTED_VALUE"""),0.0)</f>
        <v>0</v>
      </c>
      <c r="K4037" s="5" t="str">
        <f>IFERROR(__xludf.DUMMYFUNCTION("""COMPUTED_VALUE"""),"")</f>
        <v/>
      </c>
      <c r="L4037" t="str">
        <f>IFERROR(__xludf.DUMMYFUNCTION("""COMPUTED_VALUE"""),"")</f>
        <v/>
      </c>
      <c r="M4037" t="str">
        <f>IFERROR(__xludf.DUMMYFUNCTION("""COMPUTED_VALUE"""),"")</f>
        <v/>
      </c>
      <c r="N4037" t="str">
        <f>IFERROR(__xludf.DUMMYFUNCTION("""COMPUTED_VALUE"""),"")</f>
        <v/>
      </c>
      <c r="O4037" t="str">
        <f>IFERROR(__xludf.DUMMYFUNCTION("""COMPUTED_VALUE"""),"")</f>
        <v/>
      </c>
      <c r="P4037" t="str">
        <f>IFERROR(__xludf.DUMMYFUNCTION("""COMPUTED_VALUE"""),"ID ")</f>
        <v>ID </v>
      </c>
    </row>
    <row r="4038">
      <c r="A4038" s="6" t="str">
        <f>IFERROR(__xludf.DUMMYFUNCTION("""COMPUTED_VALUE"""),"")</f>
        <v/>
      </c>
      <c r="C4038" t="str">
        <f>IFERROR(__xludf.DUMMYFUNCTION("""COMPUTED_VALUE"""),"")</f>
        <v/>
      </c>
      <c r="D4038" t="str">
        <f>IFERROR(__xludf.DUMMYFUNCTION("""COMPUTED_VALUE"""),"")</f>
        <v/>
      </c>
      <c r="E4038" t="str">
        <f>IFERROR(__xludf.DUMMYFUNCTION("""COMPUTED_VALUE"""),"")</f>
        <v/>
      </c>
      <c r="F4038" t="str">
        <f>IFERROR(__xludf.DUMMYFUNCTION("""COMPUTED_VALUE"""),"")</f>
        <v/>
      </c>
      <c r="G4038" t="str">
        <f>IFERROR(__xludf.DUMMYFUNCTION("""COMPUTED_VALUE"""),"")</f>
        <v/>
      </c>
      <c r="H4038" s="2" t="str">
        <f>IFERROR(__xludf.DUMMYFUNCTION("""COMPUTED_VALUE"""),"")</f>
        <v/>
      </c>
      <c r="I4038" s="2" t="str">
        <f>IFERROR(__xludf.DUMMYFUNCTION("""COMPUTED_VALUE"""),"")</f>
        <v/>
      </c>
      <c r="J4038" s="2">
        <f>IFERROR(__xludf.DUMMYFUNCTION("""COMPUTED_VALUE"""),0.0)</f>
        <v>0</v>
      </c>
      <c r="K4038" s="5" t="str">
        <f>IFERROR(__xludf.DUMMYFUNCTION("""COMPUTED_VALUE"""),"")</f>
        <v/>
      </c>
      <c r="L4038" t="str">
        <f>IFERROR(__xludf.DUMMYFUNCTION("""COMPUTED_VALUE"""),"")</f>
        <v/>
      </c>
      <c r="M4038" t="str">
        <f>IFERROR(__xludf.DUMMYFUNCTION("""COMPUTED_VALUE"""),"")</f>
        <v/>
      </c>
      <c r="N4038" t="str">
        <f>IFERROR(__xludf.DUMMYFUNCTION("""COMPUTED_VALUE"""),"")</f>
        <v/>
      </c>
      <c r="O4038" t="str">
        <f>IFERROR(__xludf.DUMMYFUNCTION("""COMPUTED_VALUE"""),"")</f>
        <v/>
      </c>
      <c r="P4038" t="str">
        <f>IFERROR(__xludf.DUMMYFUNCTION("""COMPUTED_VALUE"""),"ID ")</f>
        <v>ID </v>
      </c>
    </row>
    <row r="4039">
      <c r="A4039" s="6" t="str">
        <f>IFERROR(__xludf.DUMMYFUNCTION("""COMPUTED_VALUE"""),"")</f>
        <v/>
      </c>
      <c r="C4039" t="str">
        <f>IFERROR(__xludf.DUMMYFUNCTION("""COMPUTED_VALUE"""),"")</f>
        <v/>
      </c>
      <c r="D4039" t="str">
        <f>IFERROR(__xludf.DUMMYFUNCTION("""COMPUTED_VALUE"""),"")</f>
        <v/>
      </c>
      <c r="E4039" t="str">
        <f>IFERROR(__xludf.DUMMYFUNCTION("""COMPUTED_VALUE"""),"")</f>
        <v/>
      </c>
      <c r="F4039" t="str">
        <f>IFERROR(__xludf.DUMMYFUNCTION("""COMPUTED_VALUE"""),"")</f>
        <v/>
      </c>
      <c r="G4039" t="str">
        <f>IFERROR(__xludf.DUMMYFUNCTION("""COMPUTED_VALUE"""),"")</f>
        <v/>
      </c>
      <c r="H4039" s="2" t="str">
        <f>IFERROR(__xludf.DUMMYFUNCTION("""COMPUTED_VALUE"""),"")</f>
        <v/>
      </c>
      <c r="I4039" s="2" t="str">
        <f>IFERROR(__xludf.DUMMYFUNCTION("""COMPUTED_VALUE"""),"")</f>
        <v/>
      </c>
      <c r="J4039" s="2">
        <f>IFERROR(__xludf.DUMMYFUNCTION("""COMPUTED_VALUE"""),0.0)</f>
        <v>0</v>
      </c>
      <c r="K4039" s="5" t="str">
        <f>IFERROR(__xludf.DUMMYFUNCTION("""COMPUTED_VALUE"""),"")</f>
        <v/>
      </c>
      <c r="L4039" t="str">
        <f>IFERROR(__xludf.DUMMYFUNCTION("""COMPUTED_VALUE"""),"")</f>
        <v/>
      </c>
      <c r="M4039" t="str">
        <f>IFERROR(__xludf.DUMMYFUNCTION("""COMPUTED_VALUE"""),"")</f>
        <v/>
      </c>
      <c r="N4039" t="str">
        <f>IFERROR(__xludf.DUMMYFUNCTION("""COMPUTED_VALUE"""),"")</f>
        <v/>
      </c>
      <c r="O4039" t="str">
        <f>IFERROR(__xludf.DUMMYFUNCTION("""COMPUTED_VALUE"""),"")</f>
        <v/>
      </c>
      <c r="P4039" t="str">
        <f>IFERROR(__xludf.DUMMYFUNCTION("""COMPUTED_VALUE"""),"ID ")</f>
        <v>ID </v>
      </c>
    </row>
    <row r="4040">
      <c r="A4040" s="6" t="str">
        <f>IFERROR(__xludf.DUMMYFUNCTION("""COMPUTED_VALUE"""),"")</f>
        <v/>
      </c>
      <c r="C4040" t="str">
        <f>IFERROR(__xludf.DUMMYFUNCTION("""COMPUTED_VALUE"""),"")</f>
        <v/>
      </c>
      <c r="D4040" t="str">
        <f>IFERROR(__xludf.DUMMYFUNCTION("""COMPUTED_VALUE"""),"")</f>
        <v/>
      </c>
      <c r="E4040" t="str">
        <f>IFERROR(__xludf.DUMMYFUNCTION("""COMPUTED_VALUE"""),"")</f>
        <v/>
      </c>
      <c r="F4040" t="str">
        <f>IFERROR(__xludf.DUMMYFUNCTION("""COMPUTED_VALUE"""),"")</f>
        <v/>
      </c>
      <c r="G4040" t="str">
        <f>IFERROR(__xludf.DUMMYFUNCTION("""COMPUTED_VALUE"""),"")</f>
        <v/>
      </c>
      <c r="H4040" s="2" t="str">
        <f>IFERROR(__xludf.DUMMYFUNCTION("""COMPUTED_VALUE"""),"")</f>
        <v/>
      </c>
      <c r="I4040" s="2" t="str">
        <f>IFERROR(__xludf.DUMMYFUNCTION("""COMPUTED_VALUE"""),"")</f>
        <v/>
      </c>
      <c r="J4040" s="2">
        <f>IFERROR(__xludf.DUMMYFUNCTION("""COMPUTED_VALUE"""),0.0)</f>
        <v>0</v>
      </c>
      <c r="K4040" s="5" t="str">
        <f>IFERROR(__xludf.DUMMYFUNCTION("""COMPUTED_VALUE"""),"")</f>
        <v/>
      </c>
      <c r="L4040" t="str">
        <f>IFERROR(__xludf.DUMMYFUNCTION("""COMPUTED_VALUE"""),"")</f>
        <v/>
      </c>
      <c r="M4040" t="str">
        <f>IFERROR(__xludf.DUMMYFUNCTION("""COMPUTED_VALUE"""),"")</f>
        <v/>
      </c>
      <c r="N4040" t="str">
        <f>IFERROR(__xludf.DUMMYFUNCTION("""COMPUTED_VALUE"""),"")</f>
        <v/>
      </c>
      <c r="O4040" t="str">
        <f>IFERROR(__xludf.DUMMYFUNCTION("""COMPUTED_VALUE"""),"")</f>
        <v/>
      </c>
      <c r="P4040" t="str">
        <f>IFERROR(__xludf.DUMMYFUNCTION("""COMPUTED_VALUE"""),"ID ")</f>
        <v>ID </v>
      </c>
    </row>
    <row r="4041">
      <c r="A4041" s="6" t="str">
        <f>IFERROR(__xludf.DUMMYFUNCTION("""COMPUTED_VALUE"""),"")</f>
        <v/>
      </c>
      <c r="C4041" t="str">
        <f>IFERROR(__xludf.DUMMYFUNCTION("""COMPUTED_VALUE"""),"")</f>
        <v/>
      </c>
      <c r="D4041" t="str">
        <f>IFERROR(__xludf.DUMMYFUNCTION("""COMPUTED_VALUE"""),"")</f>
        <v/>
      </c>
      <c r="E4041" t="str">
        <f>IFERROR(__xludf.DUMMYFUNCTION("""COMPUTED_VALUE"""),"")</f>
        <v/>
      </c>
      <c r="F4041" t="str">
        <f>IFERROR(__xludf.DUMMYFUNCTION("""COMPUTED_VALUE"""),"")</f>
        <v/>
      </c>
      <c r="G4041" t="str">
        <f>IFERROR(__xludf.DUMMYFUNCTION("""COMPUTED_VALUE"""),"")</f>
        <v/>
      </c>
      <c r="H4041" s="2" t="str">
        <f>IFERROR(__xludf.DUMMYFUNCTION("""COMPUTED_VALUE"""),"")</f>
        <v/>
      </c>
      <c r="I4041" s="2" t="str">
        <f>IFERROR(__xludf.DUMMYFUNCTION("""COMPUTED_VALUE"""),"")</f>
        <v/>
      </c>
      <c r="J4041" s="2">
        <f>IFERROR(__xludf.DUMMYFUNCTION("""COMPUTED_VALUE"""),0.0)</f>
        <v>0</v>
      </c>
      <c r="K4041" s="5" t="str">
        <f>IFERROR(__xludf.DUMMYFUNCTION("""COMPUTED_VALUE"""),"")</f>
        <v/>
      </c>
      <c r="L4041" t="str">
        <f>IFERROR(__xludf.DUMMYFUNCTION("""COMPUTED_VALUE"""),"")</f>
        <v/>
      </c>
      <c r="M4041" t="str">
        <f>IFERROR(__xludf.DUMMYFUNCTION("""COMPUTED_VALUE"""),"")</f>
        <v/>
      </c>
      <c r="N4041" t="str">
        <f>IFERROR(__xludf.DUMMYFUNCTION("""COMPUTED_VALUE"""),"")</f>
        <v/>
      </c>
      <c r="O4041" t="str">
        <f>IFERROR(__xludf.DUMMYFUNCTION("""COMPUTED_VALUE"""),"")</f>
        <v/>
      </c>
      <c r="P4041" t="str">
        <f>IFERROR(__xludf.DUMMYFUNCTION("""COMPUTED_VALUE"""),"ID ")</f>
        <v>ID </v>
      </c>
    </row>
    <row r="4042">
      <c r="A4042" s="6" t="str">
        <f>IFERROR(__xludf.DUMMYFUNCTION("""COMPUTED_VALUE"""),"")</f>
        <v/>
      </c>
      <c r="C4042" t="str">
        <f>IFERROR(__xludf.DUMMYFUNCTION("""COMPUTED_VALUE"""),"")</f>
        <v/>
      </c>
      <c r="D4042" t="str">
        <f>IFERROR(__xludf.DUMMYFUNCTION("""COMPUTED_VALUE"""),"")</f>
        <v/>
      </c>
      <c r="E4042" t="str">
        <f>IFERROR(__xludf.DUMMYFUNCTION("""COMPUTED_VALUE"""),"")</f>
        <v/>
      </c>
      <c r="F4042" t="str">
        <f>IFERROR(__xludf.DUMMYFUNCTION("""COMPUTED_VALUE"""),"")</f>
        <v/>
      </c>
      <c r="G4042" t="str">
        <f>IFERROR(__xludf.DUMMYFUNCTION("""COMPUTED_VALUE"""),"")</f>
        <v/>
      </c>
      <c r="H4042" s="2" t="str">
        <f>IFERROR(__xludf.DUMMYFUNCTION("""COMPUTED_VALUE"""),"")</f>
        <v/>
      </c>
      <c r="I4042" s="2" t="str">
        <f>IFERROR(__xludf.DUMMYFUNCTION("""COMPUTED_VALUE"""),"")</f>
        <v/>
      </c>
      <c r="J4042" s="2">
        <f>IFERROR(__xludf.DUMMYFUNCTION("""COMPUTED_VALUE"""),0.0)</f>
        <v>0</v>
      </c>
      <c r="K4042" s="5" t="str">
        <f>IFERROR(__xludf.DUMMYFUNCTION("""COMPUTED_VALUE"""),"")</f>
        <v/>
      </c>
      <c r="L4042" t="str">
        <f>IFERROR(__xludf.DUMMYFUNCTION("""COMPUTED_VALUE"""),"")</f>
        <v/>
      </c>
      <c r="M4042" t="str">
        <f>IFERROR(__xludf.DUMMYFUNCTION("""COMPUTED_VALUE"""),"")</f>
        <v/>
      </c>
      <c r="N4042" t="str">
        <f>IFERROR(__xludf.DUMMYFUNCTION("""COMPUTED_VALUE"""),"")</f>
        <v/>
      </c>
      <c r="O4042" t="str">
        <f>IFERROR(__xludf.DUMMYFUNCTION("""COMPUTED_VALUE"""),"")</f>
        <v/>
      </c>
      <c r="P4042" t="str">
        <f>IFERROR(__xludf.DUMMYFUNCTION("""COMPUTED_VALUE"""),"ID ")</f>
        <v>ID </v>
      </c>
    </row>
    <row r="4043">
      <c r="A4043" s="6" t="str">
        <f>IFERROR(__xludf.DUMMYFUNCTION("""COMPUTED_VALUE"""),"")</f>
        <v/>
      </c>
      <c r="C4043" t="str">
        <f>IFERROR(__xludf.DUMMYFUNCTION("""COMPUTED_VALUE"""),"")</f>
        <v/>
      </c>
      <c r="D4043" t="str">
        <f>IFERROR(__xludf.DUMMYFUNCTION("""COMPUTED_VALUE"""),"")</f>
        <v/>
      </c>
      <c r="E4043" t="str">
        <f>IFERROR(__xludf.DUMMYFUNCTION("""COMPUTED_VALUE"""),"")</f>
        <v/>
      </c>
      <c r="F4043" t="str">
        <f>IFERROR(__xludf.DUMMYFUNCTION("""COMPUTED_VALUE"""),"")</f>
        <v/>
      </c>
      <c r="G4043" t="str">
        <f>IFERROR(__xludf.DUMMYFUNCTION("""COMPUTED_VALUE"""),"")</f>
        <v/>
      </c>
      <c r="H4043" s="2" t="str">
        <f>IFERROR(__xludf.DUMMYFUNCTION("""COMPUTED_VALUE"""),"")</f>
        <v/>
      </c>
      <c r="I4043" s="2" t="str">
        <f>IFERROR(__xludf.DUMMYFUNCTION("""COMPUTED_VALUE"""),"")</f>
        <v/>
      </c>
      <c r="J4043" s="2">
        <f>IFERROR(__xludf.DUMMYFUNCTION("""COMPUTED_VALUE"""),0.0)</f>
        <v>0</v>
      </c>
      <c r="K4043" s="5" t="str">
        <f>IFERROR(__xludf.DUMMYFUNCTION("""COMPUTED_VALUE"""),"")</f>
        <v/>
      </c>
      <c r="L4043" t="str">
        <f>IFERROR(__xludf.DUMMYFUNCTION("""COMPUTED_VALUE"""),"")</f>
        <v/>
      </c>
      <c r="M4043" t="str">
        <f>IFERROR(__xludf.DUMMYFUNCTION("""COMPUTED_VALUE"""),"")</f>
        <v/>
      </c>
      <c r="N4043" t="str">
        <f>IFERROR(__xludf.DUMMYFUNCTION("""COMPUTED_VALUE"""),"")</f>
        <v/>
      </c>
      <c r="O4043" t="str">
        <f>IFERROR(__xludf.DUMMYFUNCTION("""COMPUTED_VALUE"""),"")</f>
        <v/>
      </c>
      <c r="P4043" t="str">
        <f>IFERROR(__xludf.DUMMYFUNCTION("""COMPUTED_VALUE"""),"ID ")</f>
        <v>ID </v>
      </c>
    </row>
    <row r="4044">
      <c r="A4044" s="6" t="str">
        <f>IFERROR(__xludf.DUMMYFUNCTION("""COMPUTED_VALUE"""),"")</f>
        <v/>
      </c>
      <c r="C4044" t="str">
        <f>IFERROR(__xludf.DUMMYFUNCTION("""COMPUTED_VALUE"""),"")</f>
        <v/>
      </c>
      <c r="D4044" t="str">
        <f>IFERROR(__xludf.DUMMYFUNCTION("""COMPUTED_VALUE"""),"")</f>
        <v/>
      </c>
      <c r="E4044" t="str">
        <f>IFERROR(__xludf.DUMMYFUNCTION("""COMPUTED_VALUE"""),"")</f>
        <v/>
      </c>
      <c r="F4044" t="str">
        <f>IFERROR(__xludf.DUMMYFUNCTION("""COMPUTED_VALUE"""),"")</f>
        <v/>
      </c>
      <c r="G4044" t="str">
        <f>IFERROR(__xludf.DUMMYFUNCTION("""COMPUTED_VALUE"""),"")</f>
        <v/>
      </c>
      <c r="H4044" s="2" t="str">
        <f>IFERROR(__xludf.DUMMYFUNCTION("""COMPUTED_VALUE"""),"")</f>
        <v/>
      </c>
      <c r="I4044" s="2" t="str">
        <f>IFERROR(__xludf.DUMMYFUNCTION("""COMPUTED_VALUE"""),"")</f>
        <v/>
      </c>
      <c r="J4044" s="2">
        <f>IFERROR(__xludf.DUMMYFUNCTION("""COMPUTED_VALUE"""),0.0)</f>
        <v>0</v>
      </c>
      <c r="K4044" s="5" t="str">
        <f>IFERROR(__xludf.DUMMYFUNCTION("""COMPUTED_VALUE"""),"")</f>
        <v/>
      </c>
      <c r="L4044" t="str">
        <f>IFERROR(__xludf.DUMMYFUNCTION("""COMPUTED_VALUE"""),"")</f>
        <v/>
      </c>
      <c r="M4044" t="str">
        <f>IFERROR(__xludf.DUMMYFUNCTION("""COMPUTED_VALUE"""),"")</f>
        <v/>
      </c>
      <c r="N4044" t="str">
        <f>IFERROR(__xludf.DUMMYFUNCTION("""COMPUTED_VALUE"""),"")</f>
        <v/>
      </c>
      <c r="O4044" t="str">
        <f>IFERROR(__xludf.DUMMYFUNCTION("""COMPUTED_VALUE"""),"")</f>
        <v/>
      </c>
      <c r="P4044" t="str">
        <f>IFERROR(__xludf.DUMMYFUNCTION("""COMPUTED_VALUE"""),"ID ")</f>
        <v>ID </v>
      </c>
    </row>
    <row r="4045">
      <c r="A4045" s="6" t="str">
        <f>IFERROR(__xludf.DUMMYFUNCTION("""COMPUTED_VALUE"""),"")</f>
        <v/>
      </c>
      <c r="C4045" t="str">
        <f>IFERROR(__xludf.DUMMYFUNCTION("""COMPUTED_VALUE"""),"")</f>
        <v/>
      </c>
      <c r="D4045" t="str">
        <f>IFERROR(__xludf.DUMMYFUNCTION("""COMPUTED_VALUE"""),"")</f>
        <v/>
      </c>
      <c r="E4045" t="str">
        <f>IFERROR(__xludf.DUMMYFUNCTION("""COMPUTED_VALUE"""),"")</f>
        <v/>
      </c>
      <c r="F4045" t="str">
        <f>IFERROR(__xludf.DUMMYFUNCTION("""COMPUTED_VALUE"""),"")</f>
        <v/>
      </c>
      <c r="G4045" t="str">
        <f>IFERROR(__xludf.DUMMYFUNCTION("""COMPUTED_VALUE"""),"")</f>
        <v/>
      </c>
      <c r="H4045" s="2" t="str">
        <f>IFERROR(__xludf.DUMMYFUNCTION("""COMPUTED_VALUE"""),"")</f>
        <v/>
      </c>
      <c r="I4045" s="2" t="str">
        <f>IFERROR(__xludf.DUMMYFUNCTION("""COMPUTED_VALUE"""),"")</f>
        <v/>
      </c>
      <c r="J4045" s="2">
        <f>IFERROR(__xludf.DUMMYFUNCTION("""COMPUTED_VALUE"""),0.0)</f>
        <v>0</v>
      </c>
      <c r="K4045" s="5" t="str">
        <f>IFERROR(__xludf.DUMMYFUNCTION("""COMPUTED_VALUE"""),"")</f>
        <v/>
      </c>
      <c r="L4045" t="str">
        <f>IFERROR(__xludf.DUMMYFUNCTION("""COMPUTED_VALUE"""),"")</f>
        <v/>
      </c>
      <c r="M4045" t="str">
        <f>IFERROR(__xludf.DUMMYFUNCTION("""COMPUTED_VALUE"""),"")</f>
        <v/>
      </c>
      <c r="N4045" t="str">
        <f>IFERROR(__xludf.DUMMYFUNCTION("""COMPUTED_VALUE"""),"")</f>
        <v/>
      </c>
      <c r="O4045" t="str">
        <f>IFERROR(__xludf.DUMMYFUNCTION("""COMPUTED_VALUE"""),"")</f>
        <v/>
      </c>
      <c r="P4045" t="str">
        <f>IFERROR(__xludf.DUMMYFUNCTION("""COMPUTED_VALUE"""),"ID ")</f>
        <v>ID </v>
      </c>
    </row>
    <row r="4046">
      <c r="A4046" s="6" t="str">
        <f>IFERROR(__xludf.DUMMYFUNCTION("""COMPUTED_VALUE"""),"")</f>
        <v/>
      </c>
      <c r="C4046" t="str">
        <f>IFERROR(__xludf.DUMMYFUNCTION("""COMPUTED_VALUE"""),"")</f>
        <v/>
      </c>
      <c r="D4046" t="str">
        <f>IFERROR(__xludf.DUMMYFUNCTION("""COMPUTED_VALUE"""),"")</f>
        <v/>
      </c>
      <c r="E4046" t="str">
        <f>IFERROR(__xludf.DUMMYFUNCTION("""COMPUTED_VALUE"""),"")</f>
        <v/>
      </c>
      <c r="F4046" t="str">
        <f>IFERROR(__xludf.DUMMYFUNCTION("""COMPUTED_VALUE"""),"")</f>
        <v/>
      </c>
      <c r="G4046" t="str">
        <f>IFERROR(__xludf.DUMMYFUNCTION("""COMPUTED_VALUE"""),"")</f>
        <v/>
      </c>
      <c r="H4046" s="2" t="str">
        <f>IFERROR(__xludf.DUMMYFUNCTION("""COMPUTED_VALUE"""),"")</f>
        <v/>
      </c>
      <c r="I4046" s="2" t="str">
        <f>IFERROR(__xludf.DUMMYFUNCTION("""COMPUTED_VALUE"""),"")</f>
        <v/>
      </c>
      <c r="J4046" s="2">
        <f>IFERROR(__xludf.DUMMYFUNCTION("""COMPUTED_VALUE"""),0.0)</f>
        <v>0</v>
      </c>
      <c r="K4046" s="5" t="str">
        <f>IFERROR(__xludf.DUMMYFUNCTION("""COMPUTED_VALUE"""),"")</f>
        <v/>
      </c>
      <c r="L4046" t="str">
        <f>IFERROR(__xludf.DUMMYFUNCTION("""COMPUTED_VALUE"""),"")</f>
        <v/>
      </c>
      <c r="M4046" t="str">
        <f>IFERROR(__xludf.DUMMYFUNCTION("""COMPUTED_VALUE"""),"")</f>
        <v/>
      </c>
      <c r="N4046" t="str">
        <f>IFERROR(__xludf.DUMMYFUNCTION("""COMPUTED_VALUE"""),"")</f>
        <v/>
      </c>
      <c r="O4046" t="str">
        <f>IFERROR(__xludf.DUMMYFUNCTION("""COMPUTED_VALUE"""),"")</f>
        <v/>
      </c>
      <c r="P4046" t="str">
        <f>IFERROR(__xludf.DUMMYFUNCTION("""COMPUTED_VALUE"""),"ID ")</f>
        <v>ID </v>
      </c>
    </row>
    <row r="4047">
      <c r="A4047" s="6" t="str">
        <f>IFERROR(__xludf.DUMMYFUNCTION("""COMPUTED_VALUE"""),"")</f>
        <v/>
      </c>
      <c r="C4047" t="str">
        <f>IFERROR(__xludf.DUMMYFUNCTION("""COMPUTED_VALUE"""),"")</f>
        <v/>
      </c>
      <c r="D4047" t="str">
        <f>IFERROR(__xludf.DUMMYFUNCTION("""COMPUTED_VALUE"""),"")</f>
        <v/>
      </c>
      <c r="E4047" t="str">
        <f>IFERROR(__xludf.DUMMYFUNCTION("""COMPUTED_VALUE"""),"")</f>
        <v/>
      </c>
      <c r="F4047" t="str">
        <f>IFERROR(__xludf.DUMMYFUNCTION("""COMPUTED_VALUE"""),"")</f>
        <v/>
      </c>
      <c r="G4047" t="str">
        <f>IFERROR(__xludf.DUMMYFUNCTION("""COMPUTED_VALUE"""),"")</f>
        <v/>
      </c>
      <c r="H4047" s="2" t="str">
        <f>IFERROR(__xludf.DUMMYFUNCTION("""COMPUTED_VALUE"""),"")</f>
        <v/>
      </c>
      <c r="I4047" s="2" t="str">
        <f>IFERROR(__xludf.DUMMYFUNCTION("""COMPUTED_VALUE"""),"")</f>
        <v/>
      </c>
      <c r="J4047" s="2">
        <f>IFERROR(__xludf.DUMMYFUNCTION("""COMPUTED_VALUE"""),0.0)</f>
        <v>0</v>
      </c>
      <c r="K4047" s="5" t="str">
        <f>IFERROR(__xludf.DUMMYFUNCTION("""COMPUTED_VALUE"""),"")</f>
        <v/>
      </c>
      <c r="L4047" t="str">
        <f>IFERROR(__xludf.DUMMYFUNCTION("""COMPUTED_VALUE"""),"")</f>
        <v/>
      </c>
      <c r="M4047" t="str">
        <f>IFERROR(__xludf.DUMMYFUNCTION("""COMPUTED_VALUE"""),"")</f>
        <v/>
      </c>
      <c r="N4047" t="str">
        <f>IFERROR(__xludf.DUMMYFUNCTION("""COMPUTED_VALUE"""),"")</f>
        <v/>
      </c>
      <c r="O4047" t="str">
        <f>IFERROR(__xludf.DUMMYFUNCTION("""COMPUTED_VALUE"""),"")</f>
        <v/>
      </c>
      <c r="P4047" t="str">
        <f>IFERROR(__xludf.DUMMYFUNCTION("""COMPUTED_VALUE"""),"ID ")</f>
        <v>ID </v>
      </c>
    </row>
    <row r="4048">
      <c r="A4048" s="6" t="str">
        <f>IFERROR(__xludf.DUMMYFUNCTION("""COMPUTED_VALUE"""),"")</f>
        <v/>
      </c>
      <c r="C4048" t="str">
        <f>IFERROR(__xludf.DUMMYFUNCTION("""COMPUTED_VALUE"""),"")</f>
        <v/>
      </c>
      <c r="D4048" t="str">
        <f>IFERROR(__xludf.DUMMYFUNCTION("""COMPUTED_VALUE"""),"")</f>
        <v/>
      </c>
      <c r="E4048" t="str">
        <f>IFERROR(__xludf.DUMMYFUNCTION("""COMPUTED_VALUE"""),"")</f>
        <v/>
      </c>
      <c r="F4048" t="str">
        <f>IFERROR(__xludf.DUMMYFUNCTION("""COMPUTED_VALUE"""),"")</f>
        <v/>
      </c>
      <c r="G4048" t="str">
        <f>IFERROR(__xludf.DUMMYFUNCTION("""COMPUTED_VALUE"""),"")</f>
        <v/>
      </c>
      <c r="H4048" s="2" t="str">
        <f>IFERROR(__xludf.DUMMYFUNCTION("""COMPUTED_VALUE"""),"")</f>
        <v/>
      </c>
      <c r="I4048" s="2" t="str">
        <f>IFERROR(__xludf.DUMMYFUNCTION("""COMPUTED_VALUE"""),"")</f>
        <v/>
      </c>
      <c r="J4048" s="2">
        <f>IFERROR(__xludf.DUMMYFUNCTION("""COMPUTED_VALUE"""),0.0)</f>
        <v>0</v>
      </c>
      <c r="K4048" s="5" t="str">
        <f>IFERROR(__xludf.DUMMYFUNCTION("""COMPUTED_VALUE"""),"")</f>
        <v/>
      </c>
      <c r="L4048" t="str">
        <f>IFERROR(__xludf.DUMMYFUNCTION("""COMPUTED_VALUE"""),"")</f>
        <v/>
      </c>
      <c r="M4048" t="str">
        <f>IFERROR(__xludf.DUMMYFUNCTION("""COMPUTED_VALUE"""),"")</f>
        <v/>
      </c>
      <c r="N4048" t="str">
        <f>IFERROR(__xludf.DUMMYFUNCTION("""COMPUTED_VALUE"""),"")</f>
        <v/>
      </c>
      <c r="O4048" t="str">
        <f>IFERROR(__xludf.DUMMYFUNCTION("""COMPUTED_VALUE"""),"")</f>
        <v/>
      </c>
      <c r="P4048" t="str">
        <f>IFERROR(__xludf.DUMMYFUNCTION("""COMPUTED_VALUE"""),"ID ")</f>
        <v>ID </v>
      </c>
    </row>
    <row r="4049">
      <c r="A4049" s="6" t="str">
        <f>IFERROR(__xludf.DUMMYFUNCTION("""COMPUTED_VALUE"""),"")</f>
        <v/>
      </c>
      <c r="C4049" t="str">
        <f>IFERROR(__xludf.DUMMYFUNCTION("""COMPUTED_VALUE"""),"")</f>
        <v/>
      </c>
      <c r="D4049" t="str">
        <f>IFERROR(__xludf.DUMMYFUNCTION("""COMPUTED_VALUE"""),"")</f>
        <v/>
      </c>
      <c r="E4049" t="str">
        <f>IFERROR(__xludf.DUMMYFUNCTION("""COMPUTED_VALUE"""),"")</f>
        <v/>
      </c>
      <c r="F4049" t="str">
        <f>IFERROR(__xludf.DUMMYFUNCTION("""COMPUTED_VALUE"""),"")</f>
        <v/>
      </c>
      <c r="G4049" t="str">
        <f>IFERROR(__xludf.DUMMYFUNCTION("""COMPUTED_VALUE"""),"")</f>
        <v/>
      </c>
      <c r="H4049" s="2" t="str">
        <f>IFERROR(__xludf.DUMMYFUNCTION("""COMPUTED_VALUE"""),"")</f>
        <v/>
      </c>
      <c r="I4049" s="2" t="str">
        <f>IFERROR(__xludf.DUMMYFUNCTION("""COMPUTED_VALUE"""),"")</f>
        <v/>
      </c>
      <c r="J4049" s="2">
        <f>IFERROR(__xludf.DUMMYFUNCTION("""COMPUTED_VALUE"""),0.0)</f>
        <v>0</v>
      </c>
      <c r="K4049" s="5" t="str">
        <f>IFERROR(__xludf.DUMMYFUNCTION("""COMPUTED_VALUE"""),"")</f>
        <v/>
      </c>
      <c r="L4049" t="str">
        <f>IFERROR(__xludf.DUMMYFUNCTION("""COMPUTED_VALUE"""),"")</f>
        <v/>
      </c>
      <c r="M4049" t="str">
        <f>IFERROR(__xludf.DUMMYFUNCTION("""COMPUTED_VALUE"""),"")</f>
        <v/>
      </c>
      <c r="N4049" t="str">
        <f>IFERROR(__xludf.DUMMYFUNCTION("""COMPUTED_VALUE"""),"")</f>
        <v/>
      </c>
      <c r="O4049" t="str">
        <f>IFERROR(__xludf.DUMMYFUNCTION("""COMPUTED_VALUE"""),"")</f>
        <v/>
      </c>
      <c r="P4049" t="str">
        <f>IFERROR(__xludf.DUMMYFUNCTION("""COMPUTED_VALUE"""),"ID ")</f>
        <v>ID </v>
      </c>
    </row>
    <row r="4050">
      <c r="A4050" s="6" t="str">
        <f>IFERROR(__xludf.DUMMYFUNCTION("""COMPUTED_VALUE"""),"")</f>
        <v/>
      </c>
      <c r="C4050" t="str">
        <f>IFERROR(__xludf.DUMMYFUNCTION("""COMPUTED_VALUE"""),"")</f>
        <v/>
      </c>
      <c r="D4050" t="str">
        <f>IFERROR(__xludf.DUMMYFUNCTION("""COMPUTED_VALUE"""),"")</f>
        <v/>
      </c>
      <c r="E4050" t="str">
        <f>IFERROR(__xludf.DUMMYFUNCTION("""COMPUTED_VALUE"""),"")</f>
        <v/>
      </c>
      <c r="F4050" t="str">
        <f>IFERROR(__xludf.DUMMYFUNCTION("""COMPUTED_VALUE"""),"")</f>
        <v/>
      </c>
      <c r="G4050" t="str">
        <f>IFERROR(__xludf.DUMMYFUNCTION("""COMPUTED_VALUE"""),"")</f>
        <v/>
      </c>
      <c r="H4050" s="2" t="str">
        <f>IFERROR(__xludf.DUMMYFUNCTION("""COMPUTED_VALUE"""),"")</f>
        <v/>
      </c>
      <c r="I4050" s="2" t="str">
        <f>IFERROR(__xludf.DUMMYFUNCTION("""COMPUTED_VALUE"""),"")</f>
        <v/>
      </c>
      <c r="J4050" s="2">
        <f>IFERROR(__xludf.DUMMYFUNCTION("""COMPUTED_VALUE"""),0.0)</f>
        <v>0</v>
      </c>
      <c r="K4050" s="5" t="str">
        <f>IFERROR(__xludf.DUMMYFUNCTION("""COMPUTED_VALUE"""),"")</f>
        <v/>
      </c>
      <c r="L4050" t="str">
        <f>IFERROR(__xludf.DUMMYFUNCTION("""COMPUTED_VALUE"""),"")</f>
        <v/>
      </c>
      <c r="M4050" t="str">
        <f>IFERROR(__xludf.DUMMYFUNCTION("""COMPUTED_VALUE"""),"")</f>
        <v/>
      </c>
      <c r="N4050" t="str">
        <f>IFERROR(__xludf.DUMMYFUNCTION("""COMPUTED_VALUE"""),"")</f>
        <v/>
      </c>
      <c r="O4050" t="str">
        <f>IFERROR(__xludf.DUMMYFUNCTION("""COMPUTED_VALUE"""),"")</f>
        <v/>
      </c>
      <c r="P4050" t="str">
        <f>IFERROR(__xludf.DUMMYFUNCTION("""COMPUTED_VALUE"""),"ID ")</f>
        <v>ID </v>
      </c>
    </row>
    <row r="4051">
      <c r="A4051" s="6" t="str">
        <f>IFERROR(__xludf.DUMMYFUNCTION("""COMPUTED_VALUE"""),"")</f>
        <v/>
      </c>
      <c r="C4051" t="str">
        <f>IFERROR(__xludf.DUMMYFUNCTION("""COMPUTED_VALUE"""),"")</f>
        <v/>
      </c>
      <c r="D4051" t="str">
        <f>IFERROR(__xludf.DUMMYFUNCTION("""COMPUTED_VALUE"""),"")</f>
        <v/>
      </c>
      <c r="E4051" t="str">
        <f>IFERROR(__xludf.DUMMYFUNCTION("""COMPUTED_VALUE"""),"")</f>
        <v/>
      </c>
      <c r="F4051" t="str">
        <f>IFERROR(__xludf.DUMMYFUNCTION("""COMPUTED_VALUE"""),"")</f>
        <v/>
      </c>
      <c r="G4051" t="str">
        <f>IFERROR(__xludf.DUMMYFUNCTION("""COMPUTED_VALUE"""),"")</f>
        <v/>
      </c>
      <c r="H4051" s="2" t="str">
        <f>IFERROR(__xludf.DUMMYFUNCTION("""COMPUTED_VALUE"""),"")</f>
        <v/>
      </c>
      <c r="I4051" s="2" t="str">
        <f>IFERROR(__xludf.DUMMYFUNCTION("""COMPUTED_VALUE"""),"")</f>
        <v/>
      </c>
      <c r="J4051" s="2">
        <f>IFERROR(__xludf.DUMMYFUNCTION("""COMPUTED_VALUE"""),0.0)</f>
        <v>0</v>
      </c>
      <c r="K4051" s="5" t="str">
        <f>IFERROR(__xludf.DUMMYFUNCTION("""COMPUTED_VALUE"""),"")</f>
        <v/>
      </c>
      <c r="L4051" t="str">
        <f>IFERROR(__xludf.DUMMYFUNCTION("""COMPUTED_VALUE"""),"")</f>
        <v/>
      </c>
      <c r="M4051" t="str">
        <f>IFERROR(__xludf.DUMMYFUNCTION("""COMPUTED_VALUE"""),"")</f>
        <v/>
      </c>
      <c r="N4051" t="str">
        <f>IFERROR(__xludf.DUMMYFUNCTION("""COMPUTED_VALUE"""),"")</f>
        <v/>
      </c>
      <c r="O4051" t="str">
        <f>IFERROR(__xludf.DUMMYFUNCTION("""COMPUTED_VALUE"""),"")</f>
        <v/>
      </c>
      <c r="P4051" t="str">
        <f>IFERROR(__xludf.DUMMYFUNCTION("""COMPUTED_VALUE"""),"ID ")</f>
        <v>ID </v>
      </c>
    </row>
    <row r="4052">
      <c r="A4052" s="6" t="str">
        <f>IFERROR(__xludf.DUMMYFUNCTION("""COMPUTED_VALUE"""),"")</f>
        <v/>
      </c>
      <c r="C4052" t="str">
        <f>IFERROR(__xludf.DUMMYFUNCTION("""COMPUTED_VALUE"""),"")</f>
        <v/>
      </c>
      <c r="D4052" t="str">
        <f>IFERROR(__xludf.DUMMYFUNCTION("""COMPUTED_VALUE"""),"")</f>
        <v/>
      </c>
      <c r="E4052" t="str">
        <f>IFERROR(__xludf.DUMMYFUNCTION("""COMPUTED_VALUE"""),"")</f>
        <v/>
      </c>
      <c r="F4052" t="str">
        <f>IFERROR(__xludf.DUMMYFUNCTION("""COMPUTED_VALUE"""),"")</f>
        <v/>
      </c>
      <c r="G4052" t="str">
        <f>IFERROR(__xludf.DUMMYFUNCTION("""COMPUTED_VALUE"""),"")</f>
        <v/>
      </c>
      <c r="H4052" s="2" t="str">
        <f>IFERROR(__xludf.DUMMYFUNCTION("""COMPUTED_VALUE"""),"")</f>
        <v/>
      </c>
      <c r="I4052" s="2" t="str">
        <f>IFERROR(__xludf.DUMMYFUNCTION("""COMPUTED_VALUE"""),"")</f>
        <v/>
      </c>
      <c r="J4052" s="2">
        <f>IFERROR(__xludf.DUMMYFUNCTION("""COMPUTED_VALUE"""),0.0)</f>
        <v>0</v>
      </c>
      <c r="K4052" s="5" t="str">
        <f>IFERROR(__xludf.DUMMYFUNCTION("""COMPUTED_VALUE"""),"")</f>
        <v/>
      </c>
      <c r="L4052" t="str">
        <f>IFERROR(__xludf.DUMMYFUNCTION("""COMPUTED_VALUE"""),"")</f>
        <v/>
      </c>
      <c r="M4052" t="str">
        <f>IFERROR(__xludf.DUMMYFUNCTION("""COMPUTED_VALUE"""),"")</f>
        <v/>
      </c>
      <c r="N4052" t="str">
        <f>IFERROR(__xludf.DUMMYFUNCTION("""COMPUTED_VALUE"""),"")</f>
        <v/>
      </c>
      <c r="O4052" t="str">
        <f>IFERROR(__xludf.DUMMYFUNCTION("""COMPUTED_VALUE"""),"")</f>
        <v/>
      </c>
      <c r="P4052" t="str">
        <f>IFERROR(__xludf.DUMMYFUNCTION("""COMPUTED_VALUE"""),"ID ")</f>
        <v>ID </v>
      </c>
    </row>
    <row r="4053">
      <c r="A4053" s="6" t="str">
        <f>IFERROR(__xludf.DUMMYFUNCTION("""COMPUTED_VALUE"""),"")</f>
        <v/>
      </c>
      <c r="C4053" t="str">
        <f>IFERROR(__xludf.DUMMYFUNCTION("""COMPUTED_VALUE"""),"")</f>
        <v/>
      </c>
      <c r="D4053" t="str">
        <f>IFERROR(__xludf.DUMMYFUNCTION("""COMPUTED_VALUE"""),"")</f>
        <v/>
      </c>
      <c r="E4053" t="str">
        <f>IFERROR(__xludf.DUMMYFUNCTION("""COMPUTED_VALUE"""),"")</f>
        <v/>
      </c>
      <c r="F4053" t="str">
        <f>IFERROR(__xludf.DUMMYFUNCTION("""COMPUTED_VALUE"""),"")</f>
        <v/>
      </c>
      <c r="G4053" t="str">
        <f>IFERROR(__xludf.DUMMYFUNCTION("""COMPUTED_VALUE"""),"")</f>
        <v/>
      </c>
      <c r="H4053" s="2" t="str">
        <f>IFERROR(__xludf.DUMMYFUNCTION("""COMPUTED_VALUE"""),"")</f>
        <v/>
      </c>
      <c r="I4053" s="2" t="str">
        <f>IFERROR(__xludf.DUMMYFUNCTION("""COMPUTED_VALUE"""),"")</f>
        <v/>
      </c>
      <c r="J4053" s="2">
        <f>IFERROR(__xludf.DUMMYFUNCTION("""COMPUTED_VALUE"""),0.0)</f>
        <v>0</v>
      </c>
      <c r="K4053" s="5" t="str">
        <f>IFERROR(__xludf.DUMMYFUNCTION("""COMPUTED_VALUE"""),"")</f>
        <v/>
      </c>
      <c r="L4053" t="str">
        <f>IFERROR(__xludf.DUMMYFUNCTION("""COMPUTED_VALUE"""),"")</f>
        <v/>
      </c>
      <c r="M4053" t="str">
        <f>IFERROR(__xludf.DUMMYFUNCTION("""COMPUTED_VALUE"""),"")</f>
        <v/>
      </c>
      <c r="N4053" t="str">
        <f>IFERROR(__xludf.DUMMYFUNCTION("""COMPUTED_VALUE"""),"")</f>
        <v/>
      </c>
      <c r="O4053" t="str">
        <f>IFERROR(__xludf.DUMMYFUNCTION("""COMPUTED_VALUE"""),"")</f>
        <v/>
      </c>
      <c r="P4053" t="str">
        <f>IFERROR(__xludf.DUMMYFUNCTION("""COMPUTED_VALUE"""),"ID ")</f>
        <v>ID </v>
      </c>
    </row>
    <row r="4054">
      <c r="A4054" s="6" t="str">
        <f>IFERROR(__xludf.DUMMYFUNCTION("""COMPUTED_VALUE"""),"")</f>
        <v/>
      </c>
      <c r="C4054" t="str">
        <f>IFERROR(__xludf.DUMMYFUNCTION("""COMPUTED_VALUE"""),"")</f>
        <v/>
      </c>
      <c r="D4054" t="str">
        <f>IFERROR(__xludf.DUMMYFUNCTION("""COMPUTED_VALUE"""),"")</f>
        <v/>
      </c>
      <c r="E4054" t="str">
        <f>IFERROR(__xludf.DUMMYFUNCTION("""COMPUTED_VALUE"""),"")</f>
        <v/>
      </c>
      <c r="F4054" t="str">
        <f>IFERROR(__xludf.DUMMYFUNCTION("""COMPUTED_VALUE"""),"")</f>
        <v/>
      </c>
      <c r="G4054" t="str">
        <f>IFERROR(__xludf.DUMMYFUNCTION("""COMPUTED_VALUE"""),"")</f>
        <v/>
      </c>
      <c r="H4054" s="2" t="str">
        <f>IFERROR(__xludf.DUMMYFUNCTION("""COMPUTED_VALUE"""),"")</f>
        <v/>
      </c>
      <c r="I4054" s="2" t="str">
        <f>IFERROR(__xludf.DUMMYFUNCTION("""COMPUTED_VALUE"""),"")</f>
        <v/>
      </c>
      <c r="J4054" s="2">
        <f>IFERROR(__xludf.DUMMYFUNCTION("""COMPUTED_VALUE"""),0.0)</f>
        <v>0</v>
      </c>
      <c r="K4054" s="5" t="str">
        <f>IFERROR(__xludf.DUMMYFUNCTION("""COMPUTED_VALUE"""),"")</f>
        <v/>
      </c>
      <c r="L4054" t="str">
        <f>IFERROR(__xludf.DUMMYFUNCTION("""COMPUTED_VALUE"""),"")</f>
        <v/>
      </c>
      <c r="M4054" t="str">
        <f>IFERROR(__xludf.DUMMYFUNCTION("""COMPUTED_VALUE"""),"")</f>
        <v/>
      </c>
      <c r="N4054" t="str">
        <f>IFERROR(__xludf.DUMMYFUNCTION("""COMPUTED_VALUE"""),"")</f>
        <v/>
      </c>
      <c r="O4054" t="str">
        <f>IFERROR(__xludf.DUMMYFUNCTION("""COMPUTED_VALUE"""),"")</f>
        <v/>
      </c>
      <c r="P4054" t="str">
        <f>IFERROR(__xludf.DUMMYFUNCTION("""COMPUTED_VALUE"""),"ID ")</f>
        <v>ID </v>
      </c>
    </row>
    <row r="4055">
      <c r="A4055" s="6" t="str">
        <f>IFERROR(__xludf.DUMMYFUNCTION("""COMPUTED_VALUE"""),"")</f>
        <v/>
      </c>
      <c r="C4055" t="str">
        <f>IFERROR(__xludf.DUMMYFUNCTION("""COMPUTED_VALUE"""),"")</f>
        <v/>
      </c>
      <c r="D4055" t="str">
        <f>IFERROR(__xludf.DUMMYFUNCTION("""COMPUTED_VALUE"""),"")</f>
        <v/>
      </c>
      <c r="E4055" t="str">
        <f>IFERROR(__xludf.DUMMYFUNCTION("""COMPUTED_VALUE"""),"")</f>
        <v/>
      </c>
      <c r="F4055" t="str">
        <f>IFERROR(__xludf.DUMMYFUNCTION("""COMPUTED_VALUE"""),"")</f>
        <v/>
      </c>
      <c r="G4055" t="str">
        <f>IFERROR(__xludf.DUMMYFUNCTION("""COMPUTED_VALUE"""),"")</f>
        <v/>
      </c>
      <c r="H4055" s="2" t="str">
        <f>IFERROR(__xludf.DUMMYFUNCTION("""COMPUTED_VALUE"""),"")</f>
        <v/>
      </c>
      <c r="I4055" s="2" t="str">
        <f>IFERROR(__xludf.DUMMYFUNCTION("""COMPUTED_VALUE"""),"")</f>
        <v/>
      </c>
      <c r="J4055" s="2">
        <f>IFERROR(__xludf.DUMMYFUNCTION("""COMPUTED_VALUE"""),0.0)</f>
        <v>0</v>
      </c>
      <c r="K4055" s="5" t="str">
        <f>IFERROR(__xludf.DUMMYFUNCTION("""COMPUTED_VALUE"""),"")</f>
        <v/>
      </c>
      <c r="L4055" t="str">
        <f>IFERROR(__xludf.DUMMYFUNCTION("""COMPUTED_VALUE"""),"")</f>
        <v/>
      </c>
      <c r="M4055" t="str">
        <f>IFERROR(__xludf.DUMMYFUNCTION("""COMPUTED_VALUE"""),"")</f>
        <v/>
      </c>
      <c r="N4055" t="str">
        <f>IFERROR(__xludf.DUMMYFUNCTION("""COMPUTED_VALUE"""),"")</f>
        <v/>
      </c>
      <c r="O4055" t="str">
        <f>IFERROR(__xludf.DUMMYFUNCTION("""COMPUTED_VALUE"""),"")</f>
        <v/>
      </c>
      <c r="P4055" t="str">
        <f>IFERROR(__xludf.DUMMYFUNCTION("""COMPUTED_VALUE"""),"ID ")</f>
        <v>ID </v>
      </c>
    </row>
    <row r="4056">
      <c r="A4056" s="6" t="str">
        <f>IFERROR(__xludf.DUMMYFUNCTION("""COMPUTED_VALUE"""),"")</f>
        <v/>
      </c>
      <c r="C4056" t="str">
        <f>IFERROR(__xludf.DUMMYFUNCTION("""COMPUTED_VALUE"""),"")</f>
        <v/>
      </c>
      <c r="D4056" t="str">
        <f>IFERROR(__xludf.DUMMYFUNCTION("""COMPUTED_VALUE"""),"")</f>
        <v/>
      </c>
      <c r="E4056" t="str">
        <f>IFERROR(__xludf.DUMMYFUNCTION("""COMPUTED_VALUE"""),"")</f>
        <v/>
      </c>
      <c r="F4056" t="str">
        <f>IFERROR(__xludf.DUMMYFUNCTION("""COMPUTED_VALUE"""),"")</f>
        <v/>
      </c>
      <c r="G4056" t="str">
        <f>IFERROR(__xludf.DUMMYFUNCTION("""COMPUTED_VALUE"""),"")</f>
        <v/>
      </c>
      <c r="H4056" s="2" t="str">
        <f>IFERROR(__xludf.DUMMYFUNCTION("""COMPUTED_VALUE"""),"")</f>
        <v/>
      </c>
      <c r="I4056" s="2" t="str">
        <f>IFERROR(__xludf.DUMMYFUNCTION("""COMPUTED_VALUE"""),"")</f>
        <v/>
      </c>
      <c r="J4056" s="2">
        <f>IFERROR(__xludf.DUMMYFUNCTION("""COMPUTED_VALUE"""),0.0)</f>
        <v>0</v>
      </c>
      <c r="K4056" s="5" t="str">
        <f>IFERROR(__xludf.DUMMYFUNCTION("""COMPUTED_VALUE"""),"")</f>
        <v/>
      </c>
      <c r="L4056" t="str">
        <f>IFERROR(__xludf.DUMMYFUNCTION("""COMPUTED_VALUE"""),"")</f>
        <v/>
      </c>
      <c r="M4056" t="str">
        <f>IFERROR(__xludf.DUMMYFUNCTION("""COMPUTED_VALUE"""),"")</f>
        <v/>
      </c>
      <c r="N4056" t="str">
        <f>IFERROR(__xludf.DUMMYFUNCTION("""COMPUTED_VALUE"""),"")</f>
        <v/>
      </c>
      <c r="O4056" t="str">
        <f>IFERROR(__xludf.DUMMYFUNCTION("""COMPUTED_VALUE"""),"")</f>
        <v/>
      </c>
      <c r="P4056" t="str">
        <f>IFERROR(__xludf.DUMMYFUNCTION("""COMPUTED_VALUE"""),"ID ")</f>
        <v>ID </v>
      </c>
    </row>
    <row r="4057">
      <c r="A4057" s="6" t="str">
        <f>IFERROR(__xludf.DUMMYFUNCTION("""COMPUTED_VALUE"""),"")</f>
        <v/>
      </c>
      <c r="C4057" t="str">
        <f>IFERROR(__xludf.DUMMYFUNCTION("""COMPUTED_VALUE"""),"")</f>
        <v/>
      </c>
      <c r="D4057" t="str">
        <f>IFERROR(__xludf.DUMMYFUNCTION("""COMPUTED_VALUE"""),"")</f>
        <v/>
      </c>
      <c r="E4057" t="str">
        <f>IFERROR(__xludf.DUMMYFUNCTION("""COMPUTED_VALUE"""),"")</f>
        <v/>
      </c>
      <c r="F4057" t="str">
        <f>IFERROR(__xludf.DUMMYFUNCTION("""COMPUTED_VALUE"""),"")</f>
        <v/>
      </c>
      <c r="G4057" t="str">
        <f>IFERROR(__xludf.DUMMYFUNCTION("""COMPUTED_VALUE"""),"")</f>
        <v/>
      </c>
      <c r="H4057" s="2" t="str">
        <f>IFERROR(__xludf.DUMMYFUNCTION("""COMPUTED_VALUE"""),"")</f>
        <v/>
      </c>
      <c r="I4057" s="2" t="str">
        <f>IFERROR(__xludf.DUMMYFUNCTION("""COMPUTED_VALUE"""),"")</f>
        <v/>
      </c>
      <c r="J4057" s="2">
        <f>IFERROR(__xludf.DUMMYFUNCTION("""COMPUTED_VALUE"""),0.0)</f>
        <v>0</v>
      </c>
      <c r="K4057" s="5" t="str">
        <f>IFERROR(__xludf.DUMMYFUNCTION("""COMPUTED_VALUE"""),"")</f>
        <v/>
      </c>
      <c r="L4057" t="str">
        <f>IFERROR(__xludf.DUMMYFUNCTION("""COMPUTED_VALUE"""),"")</f>
        <v/>
      </c>
      <c r="M4057" t="str">
        <f>IFERROR(__xludf.DUMMYFUNCTION("""COMPUTED_VALUE"""),"")</f>
        <v/>
      </c>
      <c r="N4057" t="str">
        <f>IFERROR(__xludf.DUMMYFUNCTION("""COMPUTED_VALUE"""),"")</f>
        <v/>
      </c>
      <c r="O4057" t="str">
        <f>IFERROR(__xludf.DUMMYFUNCTION("""COMPUTED_VALUE"""),"")</f>
        <v/>
      </c>
      <c r="P4057" t="str">
        <f>IFERROR(__xludf.DUMMYFUNCTION("""COMPUTED_VALUE"""),"ID ")</f>
        <v>ID </v>
      </c>
    </row>
    <row r="4058">
      <c r="A4058" s="6" t="str">
        <f>IFERROR(__xludf.DUMMYFUNCTION("""COMPUTED_VALUE"""),"")</f>
        <v/>
      </c>
      <c r="C4058" t="str">
        <f>IFERROR(__xludf.DUMMYFUNCTION("""COMPUTED_VALUE"""),"")</f>
        <v/>
      </c>
      <c r="D4058" t="str">
        <f>IFERROR(__xludf.DUMMYFUNCTION("""COMPUTED_VALUE"""),"")</f>
        <v/>
      </c>
      <c r="E4058" t="str">
        <f>IFERROR(__xludf.DUMMYFUNCTION("""COMPUTED_VALUE"""),"")</f>
        <v/>
      </c>
      <c r="F4058" t="str">
        <f>IFERROR(__xludf.DUMMYFUNCTION("""COMPUTED_VALUE"""),"")</f>
        <v/>
      </c>
      <c r="G4058" t="str">
        <f>IFERROR(__xludf.DUMMYFUNCTION("""COMPUTED_VALUE"""),"")</f>
        <v/>
      </c>
      <c r="H4058" s="2" t="str">
        <f>IFERROR(__xludf.DUMMYFUNCTION("""COMPUTED_VALUE"""),"")</f>
        <v/>
      </c>
      <c r="I4058" s="2" t="str">
        <f>IFERROR(__xludf.DUMMYFUNCTION("""COMPUTED_VALUE"""),"")</f>
        <v/>
      </c>
      <c r="J4058" s="2">
        <f>IFERROR(__xludf.DUMMYFUNCTION("""COMPUTED_VALUE"""),0.0)</f>
        <v>0</v>
      </c>
      <c r="K4058" s="5" t="str">
        <f>IFERROR(__xludf.DUMMYFUNCTION("""COMPUTED_VALUE"""),"")</f>
        <v/>
      </c>
      <c r="L4058" t="str">
        <f>IFERROR(__xludf.DUMMYFUNCTION("""COMPUTED_VALUE"""),"")</f>
        <v/>
      </c>
      <c r="M4058" t="str">
        <f>IFERROR(__xludf.DUMMYFUNCTION("""COMPUTED_VALUE"""),"")</f>
        <v/>
      </c>
      <c r="N4058" t="str">
        <f>IFERROR(__xludf.DUMMYFUNCTION("""COMPUTED_VALUE"""),"")</f>
        <v/>
      </c>
      <c r="O4058" t="str">
        <f>IFERROR(__xludf.DUMMYFUNCTION("""COMPUTED_VALUE"""),"")</f>
        <v/>
      </c>
      <c r="P4058" t="str">
        <f>IFERROR(__xludf.DUMMYFUNCTION("""COMPUTED_VALUE"""),"ID ")</f>
        <v>ID </v>
      </c>
    </row>
    <row r="4059">
      <c r="A4059" s="6" t="str">
        <f>IFERROR(__xludf.DUMMYFUNCTION("""COMPUTED_VALUE"""),"")</f>
        <v/>
      </c>
      <c r="C4059" t="str">
        <f>IFERROR(__xludf.DUMMYFUNCTION("""COMPUTED_VALUE"""),"")</f>
        <v/>
      </c>
      <c r="D4059" t="str">
        <f>IFERROR(__xludf.DUMMYFUNCTION("""COMPUTED_VALUE"""),"")</f>
        <v/>
      </c>
      <c r="E4059" t="str">
        <f>IFERROR(__xludf.DUMMYFUNCTION("""COMPUTED_VALUE"""),"")</f>
        <v/>
      </c>
      <c r="F4059" t="str">
        <f>IFERROR(__xludf.DUMMYFUNCTION("""COMPUTED_VALUE"""),"")</f>
        <v/>
      </c>
      <c r="G4059" t="str">
        <f>IFERROR(__xludf.DUMMYFUNCTION("""COMPUTED_VALUE"""),"")</f>
        <v/>
      </c>
      <c r="H4059" s="2" t="str">
        <f>IFERROR(__xludf.DUMMYFUNCTION("""COMPUTED_VALUE"""),"")</f>
        <v/>
      </c>
      <c r="I4059" s="2" t="str">
        <f>IFERROR(__xludf.DUMMYFUNCTION("""COMPUTED_VALUE"""),"")</f>
        <v/>
      </c>
      <c r="J4059" s="2">
        <f>IFERROR(__xludf.DUMMYFUNCTION("""COMPUTED_VALUE"""),0.0)</f>
        <v>0</v>
      </c>
      <c r="K4059" s="5" t="str">
        <f>IFERROR(__xludf.DUMMYFUNCTION("""COMPUTED_VALUE"""),"")</f>
        <v/>
      </c>
      <c r="L4059" t="str">
        <f>IFERROR(__xludf.DUMMYFUNCTION("""COMPUTED_VALUE"""),"")</f>
        <v/>
      </c>
      <c r="M4059" t="str">
        <f>IFERROR(__xludf.DUMMYFUNCTION("""COMPUTED_VALUE"""),"")</f>
        <v/>
      </c>
      <c r="N4059" t="str">
        <f>IFERROR(__xludf.DUMMYFUNCTION("""COMPUTED_VALUE"""),"")</f>
        <v/>
      </c>
      <c r="O4059" t="str">
        <f>IFERROR(__xludf.DUMMYFUNCTION("""COMPUTED_VALUE"""),"")</f>
        <v/>
      </c>
      <c r="P4059" t="str">
        <f>IFERROR(__xludf.DUMMYFUNCTION("""COMPUTED_VALUE"""),"ID ")</f>
        <v>ID </v>
      </c>
    </row>
    <row r="4060">
      <c r="A4060" s="6" t="str">
        <f>IFERROR(__xludf.DUMMYFUNCTION("""COMPUTED_VALUE"""),"")</f>
        <v/>
      </c>
      <c r="C4060" t="str">
        <f>IFERROR(__xludf.DUMMYFUNCTION("""COMPUTED_VALUE"""),"")</f>
        <v/>
      </c>
      <c r="D4060" t="str">
        <f>IFERROR(__xludf.DUMMYFUNCTION("""COMPUTED_VALUE"""),"")</f>
        <v/>
      </c>
      <c r="E4060" t="str">
        <f>IFERROR(__xludf.DUMMYFUNCTION("""COMPUTED_VALUE"""),"")</f>
        <v/>
      </c>
      <c r="F4060" t="str">
        <f>IFERROR(__xludf.DUMMYFUNCTION("""COMPUTED_VALUE"""),"")</f>
        <v/>
      </c>
      <c r="G4060" t="str">
        <f>IFERROR(__xludf.DUMMYFUNCTION("""COMPUTED_VALUE"""),"")</f>
        <v/>
      </c>
      <c r="H4060" s="2" t="str">
        <f>IFERROR(__xludf.DUMMYFUNCTION("""COMPUTED_VALUE"""),"")</f>
        <v/>
      </c>
      <c r="I4060" s="2" t="str">
        <f>IFERROR(__xludf.DUMMYFUNCTION("""COMPUTED_VALUE"""),"")</f>
        <v/>
      </c>
      <c r="J4060" s="2">
        <f>IFERROR(__xludf.DUMMYFUNCTION("""COMPUTED_VALUE"""),0.0)</f>
        <v>0</v>
      </c>
      <c r="K4060" s="5" t="str">
        <f>IFERROR(__xludf.DUMMYFUNCTION("""COMPUTED_VALUE"""),"")</f>
        <v/>
      </c>
      <c r="L4060" t="str">
        <f>IFERROR(__xludf.DUMMYFUNCTION("""COMPUTED_VALUE"""),"")</f>
        <v/>
      </c>
      <c r="M4060" t="str">
        <f>IFERROR(__xludf.DUMMYFUNCTION("""COMPUTED_VALUE"""),"")</f>
        <v/>
      </c>
      <c r="N4060" t="str">
        <f>IFERROR(__xludf.DUMMYFUNCTION("""COMPUTED_VALUE"""),"")</f>
        <v/>
      </c>
      <c r="O4060" t="str">
        <f>IFERROR(__xludf.DUMMYFUNCTION("""COMPUTED_VALUE"""),"")</f>
        <v/>
      </c>
      <c r="P4060" t="str">
        <f>IFERROR(__xludf.DUMMYFUNCTION("""COMPUTED_VALUE"""),"ID ")</f>
        <v>ID </v>
      </c>
    </row>
    <row r="4061">
      <c r="A4061" s="6" t="str">
        <f>IFERROR(__xludf.DUMMYFUNCTION("""COMPUTED_VALUE"""),"")</f>
        <v/>
      </c>
      <c r="C4061" t="str">
        <f>IFERROR(__xludf.DUMMYFUNCTION("""COMPUTED_VALUE"""),"")</f>
        <v/>
      </c>
      <c r="D4061" t="str">
        <f>IFERROR(__xludf.DUMMYFUNCTION("""COMPUTED_VALUE"""),"")</f>
        <v/>
      </c>
      <c r="E4061" t="str">
        <f>IFERROR(__xludf.DUMMYFUNCTION("""COMPUTED_VALUE"""),"")</f>
        <v/>
      </c>
      <c r="F4061" t="str">
        <f>IFERROR(__xludf.DUMMYFUNCTION("""COMPUTED_VALUE"""),"")</f>
        <v/>
      </c>
      <c r="G4061" t="str">
        <f>IFERROR(__xludf.DUMMYFUNCTION("""COMPUTED_VALUE"""),"")</f>
        <v/>
      </c>
      <c r="H4061" s="2" t="str">
        <f>IFERROR(__xludf.DUMMYFUNCTION("""COMPUTED_VALUE"""),"")</f>
        <v/>
      </c>
      <c r="I4061" s="2" t="str">
        <f>IFERROR(__xludf.DUMMYFUNCTION("""COMPUTED_VALUE"""),"")</f>
        <v/>
      </c>
      <c r="J4061" s="2">
        <f>IFERROR(__xludf.DUMMYFUNCTION("""COMPUTED_VALUE"""),0.0)</f>
        <v>0</v>
      </c>
      <c r="K4061" s="5" t="str">
        <f>IFERROR(__xludf.DUMMYFUNCTION("""COMPUTED_VALUE"""),"")</f>
        <v/>
      </c>
      <c r="L4061" t="str">
        <f>IFERROR(__xludf.DUMMYFUNCTION("""COMPUTED_VALUE"""),"")</f>
        <v/>
      </c>
      <c r="M4061" t="str">
        <f>IFERROR(__xludf.DUMMYFUNCTION("""COMPUTED_VALUE"""),"")</f>
        <v/>
      </c>
      <c r="N4061" t="str">
        <f>IFERROR(__xludf.DUMMYFUNCTION("""COMPUTED_VALUE"""),"")</f>
        <v/>
      </c>
      <c r="O4061" t="str">
        <f>IFERROR(__xludf.DUMMYFUNCTION("""COMPUTED_VALUE"""),"")</f>
        <v/>
      </c>
      <c r="P4061" t="str">
        <f>IFERROR(__xludf.DUMMYFUNCTION("""COMPUTED_VALUE"""),"ID ")</f>
        <v>ID </v>
      </c>
    </row>
    <row r="4062">
      <c r="A4062" s="6" t="str">
        <f>IFERROR(__xludf.DUMMYFUNCTION("""COMPUTED_VALUE"""),"")</f>
        <v/>
      </c>
      <c r="C4062" t="str">
        <f>IFERROR(__xludf.DUMMYFUNCTION("""COMPUTED_VALUE"""),"")</f>
        <v/>
      </c>
      <c r="D4062" t="str">
        <f>IFERROR(__xludf.DUMMYFUNCTION("""COMPUTED_VALUE"""),"")</f>
        <v/>
      </c>
      <c r="E4062" t="str">
        <f>IFERROR(__xludf.DUMMYFUNCTION("""COMPUTED_VALUE"""),"")</f>
        <v/>
      </c>
      <c r="F4062" t="str">
        <f>IFERROR(__xludf.DUMMYFUNCTION("""COMPUTED_VALUE"""),"")</f>
        <v/>
      </c>
      <c r="G4062" t="str">
        <f>IFERROR(__xludf.DUMMYFUNCTION("""COMPUTED_VALUE"""),"")</f>
        <v/>
      </c>
      <c r="H4062" s="2" t="str">
        <f>IFERROR(__xludf.DUMMYFUNCTION("""COMPUTED_VALUE"""),"")</f>
        <v/>
      </c>
      <c r="I4062" s="2" t="str">
        <f>IFERROR(__xludf.DUMMYFUNCTION("""COMPUTED_VALUE"""),"")</f>
        <v/>
      </c>
      <c r="J4062" s="2">
        <f>IFERROR(__xludf.DUMMYFUNCTION("""COMPUTED_VALUE"""),0.0)</f>
        <v>0</v>
      </c>
      <c r="K4062" s="5" t="str">
        <f>IFERROR(__xludf.DUMMYFUNCTION("""COMPUTED_VALUE"""),"")</f>
        <v/>
      </c>
      <c r="L4062" t="str">
        <f>IFERROR(__xludf.DUMMYFUNCTION("""COMPUTED_VALUE"""),"")</f>
        <v/>
      </c>
      <c r="M4062" t="str">
        <f>IFERROR(__xludf.DUMMYFUNCTION("""COMPUTED_VALUE"""),"")</f>
        <v/>
      </c>
      <c r="N4062" t="str">
        <f>IFERROR(__xludf.DUMMYFUNCTION("""COMPUTED_VALUE"""),"")</f>
        <v/>
      </c>
      <c r="O4062" t="str">
        <f>IFERROR(__xludf.DUMMYFUNCTION("""COMPUTED_VALUE"""),"")</f>
        <v/>
      </c>
      <c r="P4062" t="str">
        <f>IFERROR(__xludf.DUMMYFUNCTION("""COMPUTED_VALUE"""),"ID ")</f>
        <v>ID </v>
      </c>
    </row>
    <row r="4063">
      <c r="A4063" s="6" t="str">
        <f>IFERROR(__xludf.DUMMYFUNCTION("""COMPUTED_VALUE"""),"")</f>
        <v/>
      </c>
      <c r="C4063" t="str">
        <f>IFERROR(__xludf.DUMMYFUNCTION("""COMPUTED_VALUE"""),"")</f>
        <v/>
      </c>
      <c r="D4063" t="str">
        <f>IFERROR(__xludf.DUMMYFUNCTION("""COMPUTED_VALUE"""),"")</f>
        <v/>
      </c>
      <c r="E4063" t="str">
        <f>IFERROR(__xludf.DUMMYFUNCTION("""COMPUTED_VALUE"""),"")</f>
        <v/>
      </c>
      <c r="F4063" t="str">
        <f>IFERROR(__xludf.DUMMYFUNCTION("""COMPUTED_VALUE"""),"")</f>
        <v/>
      </c>
      <c r="G4063" t="str">
        <f>IFERROR(__xludf.DUMMYFUNCTION("""COMPUTED_VALUE"""),"")</f>
        <v/>
      </c>
      <c r="H4063" s="2" t="str">
        <f>IFERROR(__xludf.DUMMYFUNCTION("""COMPUTED_VALUE"""),"")</f>
        <v/>
      </c>
      <c r="I4063" s="2" t="str">
        <f>IFERROR(__xludf.DUMMYFUNCTION("""COMPUTED_VALUE"""),"")</f>
        <v/>
      </c>
      <c r="J4063" s="2">
        <f>IFERROR(__xludf.DUMMYFUNCTION("""COMPUTED_VALUE"""),0.0)</f>
        <v>0</v>
      </c>
      <c r="K4063" s="5" t="str">
        <f>IFERROR(__xludf.DUMMYFUNCTION("""COMPUTED_VALUE"""),"")</f>
        <v/>
      </c>
      <c r="L4063" t="str">
        <f>IFERROR(__xludf.DUMMYFUNCTION("""COMPUTED_VALUE"""),"")</f>
        <v/>
      </c>
      <c r="M4063" t="str">
        <f>IFERROR(__xludf.DUMMYFUNCTION("""COMPUTED_VALUE"""),"")</f>
        <v/>
      </c>
      <c r="N4063" t="str">
        <f>IFERROR(__xludf.DUMMYFUNCTION("""COMPUTED_VALUE"""),"")</f>
        <v/>
      </c>
      <c r="O4063" t="str">
        <f>IFERROR(__xludf.DUMMYFUNCTION("""COMPUTED_VALUE"""),"")</f>
        <v/>
      </c>
      <c r="P4063" t="str">
        <f>IFERROR(__xludf.DUMMYFUNCTION("""COMPUTED_VALUE"""),"ID ")</f>
        <v>ID </v>
      </c>
    </row>
    <row r="4064">
      <c r="A4064" s="6" t="str">
        <f>IFERROR(__xludf.DUMMYFUNCTION("""COMPUTED_VALUE"""),"")</f>
        <v/>
      </c>
      <c r="C4064" t="str">
        <f>IFERROR(__xludf.DUMMYFUNCTION("""COMPUTED_VALUE"""),"")</f>
        <v/>
      </c>
      <c r="D4064" t="str">
        <f>IFERROR(__xludf.DUMMYFUNCTION("""COMPUTED_VALUE"""),"")</f>
        <v/>
      </c>
      <c r="E4064" t="str">
        <f>IFERROR(__xludf.DUMMYFUNCTION("""COMPUTED_VALUE"""),"")</f>
        <v/>
      </c>
      <c r="F4064" t="str">
        <f>IFERROR(__xludf.DUMMYFUNCTION("""COMPUTED_VALUE"""),"")</f>
        <v/>
      </c>
      <c r="G4064" t="str">
        <f>IFERROR(__xludf.DUMMYFUNCTION("""COMPUTED_VALUE"""),"")</f>
        <v/>
      </c>
      <c r="H4064" s="2" t="str">
        <f>IFERROR(__xludf.DUMMYFUNCTION("""COMPUTED_VALUE"""),"")</f>
        <v/>
      </c>
      <c r="I4064" s="2" t="str">
        <f>IFERROR(__xludf.DUMMYFUNCTION("""COMPUTED_VALUE"""),"")</f>
        <v/>
      </c>
      <c r="J4064" s="2">
        <f>IFERROR(__xludf.DUMMYFUNCTION("""COMPUTED_VALUE"""),0.0)</f>
        <v>0</v>
      </c>
      <c r="K4064" s="5" t="str">
        <f>IFERROR(__xludf.DUMMYFUNCTION("""COMPUTED_VALUE"""),"")</f>
        <v/>
      </c>
      <c r="L4064" t="str">
        <f>IFERROR(__xludf.DUMMYFUNCTION("""COMPUTED_VALUE"""),"")</f>
        <v/>
      </c>
      <c r="M4064" t="str">
        <f>IFERROR(__xludf.DUMMYFUNCTION("""COMPUTED_VALUE"""),"")</f>
        <v/>
      </c>
      <c r="N4064" t="str">
        <f>IFERROR(__xludf.DUMMYFUNCTION("""COMPUTED_VALUE"""),"")</f>
        <v/>
      </c>
      <c r="O4064" t="str">
        <f>IFERROR(__xludf.DUMMYFUNCTION("""COMPUTED_VALUE"""),"")</f>
        <v/>
      </c>
      <c r="P4064" t="str">
        <f>IFERROR(__xludf.DUMMYFUNCTION("""COMPUTED_VALUE"""),"ID ")</f>
        <v>ID </v>
      </c>
    </row>
    <row r="4065">
      <c r="A4065" s="6" t="str">
        <f>IFERROR(__xludf.DUMMYFUNCTION("""COMPUTED_VALUE"""),"")</f>
        <v/>
      </c>
      <c r="C4065" t="str">
        <f>IFERROR(__xludf.DUMMYFUNCTION("""COMPUTED_VALUE"""),"")</f>
        <v/>
      </c>
      <c r="D4065" t="str">
        <f>IFERROR(__xludf.DUMMYFUNCTION("""COMPUTED_VALUE"""),"")</f>
        <v/>
      </c>
      <c r="E4065" t="str">
        <f>IFERROR(__xludf.DUMMYFUNCTION("""COMPUTED_VALUE"""),"")</f>
        <v/>
      </c>
      <c r="F4065" t="str">
        <f>IFERROR(__xludf.DUMMYFUNCTION("""COMPUTED_VALUE"""),"")</f>
        <v/>
      </c>
      <c r="G4065" t="str">
        <f>IFERROR(__xludf.DUMMYFUNCTION("""COMPUTED_VALUE"""),"")</f>
        <v/>
      </c>
      <c r="H4065" s="2" t="str">
        <f>IFERROR(__xludf.DUMMYFUNCTION("""COMPUTED_VALUE"""),"")</f>
        <v/>
      </c>
      <c r="I4065" s="2" t="str">
        <f>IFERROR(__xludf.DUMMYFUNCTION("""COMPUTED_VALUE"""),"")</f>
        <v/>
      </c>
      <c r="J4065" s="2">
        <f>IFERROR(__xludf.DUMMYFUNCTION("""COMPUTED_VALUE"""),0.0)</f>
        <v>0</v>
      </c>
      <c r="K4065" s="5" t="str">
        <f>IFERROR(__xludf.DUMMYFUNCTION("""COMPUTED_VALUE"""),"")</f>
        <v/>
      </c>
      <c r="L4065" t="str">
        <f>IFERROR(__xludf.DUMMYFUNCTION("""COMPUTED_VALUE"""),"")</f>
        <v/>
      </c>
      <c r="M4065" t="str">
        <f>IFERROR(__xludf.DUMMYFUNCTION("""COMPUTED_VALUE"""),"")</f>
        <v/>
      </c>
      <c r="N4065" t="str">
        <f>IFERROR(__xludf.DUMMYFUNCTION("""COMPUTED_VALUE"""),"")</f>
        <v/>
      </c>
      <c r="O4065" t="str">
        <f>IFERROR(__xludf.DUMMYFUNCTION("""COMPUTED_VALUE"""),"")</f>
        <v/>
      </c>
      <c r="P4065" t="str">
        <f>IFERROR(__xludf.DUMMYFUNCTION("""COMPUTED_VALUE"""),"ID ")</f>
        <v>ID </v>
      </c>
    </row>
    <row r="4066">
      <c r="A4066" s="6" t="str">
        <f>IFERROR(__xludf.DUMMYFUNCTION("""COMPUTED_VALUE"""),"")</f>
        <v/>
      </c>
      <c r="C4066" t="str">
        <f>IFERROR(__xludf.DUMMYFUNCTION("""COMPUTED_VALUE"""),"")</f>
        <v/>
      </c>
      <c r="D4066" t="str">
        <f>IFERROR(__xludf.DUMMYFUNCTION("""COMPUTED_VALUE"""),"")</f>
        <v/>
      </c>
      <c r="E4066" t="str">
        <f>IFERROR(__xludf.DUMMYFUNCTION("""COMPUTED_VALUE"""),"")</f>
        <v/>
      </c>
      <c r="F4066" t="str">
        <f>IFERROR(__xludf.DUMMYFUNCTION("""COMPUTED_VALUE"""),"")</f>
        <v/>
      </c>
      <c r="G4066" t="str">
        <f>IFERROR(__xludf.DUMMYFUNCTION("""COMPUTED_VALUE"""),"")</f>
        <v/>
      </c>
      <c r="H4066" s="2" t="str">
        <f>IFERROR(__xludf.DUMMYFUNCTION("""COMPUTED_VALUE"""),"")</f>
        <v/>
      </c>
      <c r="I4066" s="2" t="str">
        <f>IFERROR(__xludf.DUMMYFUNCTION("""COMPUTED_VALUE"""),"")</f>
        <v/>
      </c>
      <c r="J4066" s="2">
        <f>IFERROR(__xludf.DUMMYFUNCTION("""COMPUTED_VALUE"""),0.0)</f>
        <v>0</v>
      </c>
      <c r="K4066" s="5" t="str">
        <f>IFERROR(__xludf.DUMMYFUNCTION("""COMPUTED_VALUE"""),"")</f>
        <v/>
      </c>
      <c r="L4066" t="str">
        <f>IFERROR(__xludf.DUMMYFUNCTION("""COMPUTED_VALUE"""),"")</f>
        <v/>
      </c>
      <c r="M4066" t="str">
        <f>IFERROR(__xludf.DUMMYFUNCTION("""COMPUTED_VALUE"""),"")</f>
        <v/>
      </c>
      <c r="N4066" t="str">
        <f>IFERROR(__xludf.DUMMYFUNCTION("""COMPUTED_VALUE"""),"")</f>
        <v/>
      </c>
      <c r="O4066" t="str">
        <f>IFERROR(__xludf.DUMMYFUNCTION("""COMPUTED_VALUE"""),"")</f>
        <v/>
      </c>
      <c r="P4066" t="str">
        <f>IFERROR(__xludf.DUMMYFUNCTION("""COMPUTED_VALUE"""),"ID ")</f>
        <v>ID </v>
      </c>
    </row>
    <row r="4067">
      <c r="A4067" s="6" t="str">
        <f>IFERROR(__xludf.DUMMYFUNCTION("""COMPUTED_VALUE"""),"")</f>
        <v/>
      </c>
      <c r="C4067" t="str">
        <f>IFERROR(__xludf.DUMMYFUNCTION("""COMPUTED_VALUE"""),"")</f>
        <v/>
      </c>
      <c r="D4067" t="str">
        <f>IFERROR(__xludf.DUMMYFUNCTION("""COMPUTED_VALUE"""),"")</f>
        <v/>
      </c>
      <c r="E4067" t="str">
        <f>IFERROR(__xludf.DUMMYFUNCTION("""COMPUTED_VALUE"""),"")</f>
        <v/>
      </c>
      <c r="F4067" t="str">
        <f>IFERROR(__xludf.DUMMYFUNCTION("""COMPUTED_VALUE"""),"")</f>
        <v/>
      </c>
      <c r="G4067" t="str">
        <f>IFERROR(__xludf.DUMMYFUNCTION("""COMPUTED_VALUE"""),"")</f>
        <v/>
      </c>
      <c r="H4067" s="2" t="str">
        <f>IFERROR(__xludf.DUMMYFUNCTION("""COMPUTED_VALUE"""),"")</f>
        <v/>
      </c>
      <c r="I4067" s="2" t="str">
        <f>IFERROR(__xludf.DUMMYFUNCTION("""COMPUTED_VALUE"""),"")</f>
        <v/>
      </c>
      <c r="J4067" s="2">
        <f>IFERROR(__xludf.DUMMYFUNCTION("""COMPUTED_VALUE"""),0.0)</f>
        <v>0</v>
      </c>
      <c r="K4067" s="5" t="str">
        <f>IFERROR(__xludf.DUMMYFUNCTION("""COMPUTED_VALUE"""),"")</f>
        <v/>
      </c>
      <c r="L4067" t="str">
        <f>IFERROR(__xludf.DUMMYFUNCTION("""COMPUTED_VALUE"""),"")</f>
        <v/>
      </c>
      <c r="M4067" t="str">
        <f>IFERROR(__xludf.DUMMYFUNCTION("""COMPUTED_VALUE"""),"")</f>
        <v/>
      </c>
      <c r="N4067" t="str">
        <f>IFERROR(__xludf.DUMMYFUNCTION("""COMPUTED_VALUE"""),"")</f>
        <v/>
      </c>
      <c r="O4067" t="str">
        <f>IFERROR(__xludf.DUMMYFUNCTION("""COMPUTED_VALUE"""),"")</f>
        <v/>
      </c>
      <c r="P4067" t="str">
        <f>IFERROR(__xludf.DUMMYFUNCTION("""COMPUTED_VALUE"""),"ID ")</f>
        <v>ID </v>
      </c>
    </row>
    <row r="4068">
      <c r="A4068" s="6" t="str">
        <f>IFERROR(__xludf.DUMMYFUNCTION("""COMPUTED_VALUE"""),"")</f>
        <v/>
      </c>
      <c r="C4068" t="str">
        <f>IFERROR(__xludf.DUMMYFUNCTION("""COMPUTED_VALUE"""),"")</f>
        <v/>
      </c>
      <c r="D4068" t="str">
        <f>IFERROR(__xludf.DUMMYFUNCTION("""COMPUTED_VALUE"""),"")</f>
        <v/>
      </c>
      <c r="E4068" t="str">
        <f>IFERROR(__xludf.DUMMYFUNCTION("""COMPUTED_VALUE"""),"")</f>
        <v/>
      </c>
      <c r="F4068" t="str">
        <f>IFERROR(__xludf.DUMMYFUNCTION("""COMPUTED_VALUE"""),"")</f>
        <v/>
      </c>
      <c r="G4068" t="str">
        <f>IFERROR(__xludf.DUMMYFUNCTION("""COMPUTED_VALUE"""),"")</f>
        <v/>
      </c>
      <c r="H4068" s="2" t="str">
        <f>IFERROR(__xludf.DUMMYFUNCTION("""COMPUTED_VALUE"""),"")</f>
        <v/>
      </c>
      <c r="I4068" s="2" t="str">
        <f>IFERROR(__xludf.DUMMYFUNCTION("""COMPUTED_VALUE"""),"")</f>
        <v/>
      </c>
      <c r="J4068" s="2">
        <f>IFERROR(__xludf.DUMMYFUNCTION("""COMPUTED_VALUE"""),0.0)</f>
        <v>0</v>
      </c>
      <c r="K4068" s="5" t="str">
        <f>IFERROR(__xludf.DUMMYFUNCTION("""COMPUTED_VALUE"""),"")</f>
        <v/>
      </c>
      <c r="L4068" t="str">
        <f>IFERROR(__xludf.DUMMYFUNCTION("""COMPUTED_VALUE"""),"")</f>
        <v/>
      </c>
      <c r="M4068" t="str">
        <f>IFERROR(__xludf.DUMMYFUNCTION("""COMPUTED_VALUE"""),"")</f>
        <v/>
      </c>
      <c r="N4068" t="str">
        <f>IFERROR(__xludf.DUMMYFUNCTION("""COMPUTED_VALUE"""),"")</f>
        <v/>
      </c>
      <c r="O4068" t="str">
        <f>IFERROR(__xludf.DUMMYFUNCTION("""COMPUTED_VALUE"""),"")</f>
        <v/>
      </c>
      <c r="P4068" t="str">
        <f>IFERROR(__xludf.DUMMYFUNCTION("""COMPUTED_VALUE"""),"ID ")</f>
        <v>ID </v>
      </c>
    </row>
    <row r="4069">
      <c r="A4069" s="6" t="str">
        <f>IFERROR(__xludf.DUMMYFUNCTION("""COMPUTED_VALUE"""),"")</f>
        <v/>
      </c>
      <c r="C4069" t="str">
        <f>IFERROR(__xludf.DUMMYFUNCTION("""COMPUTED_VALUE"""),"")</f>
        <v/>
      </c>
      <c r="D4069" t="str">
        <f>IFERROR(__xludf.DUMMYFUNCTION("""COMPUTED_VALUE"""),"")</f>
        <v/>
      </c>
      <c r="E4069" t="str">
        <f>IFERROR(__xludf.DUMMYFUNCTION("""COMPUTED_VALUE"""),"")</f>
        <v/>
      </c>
      <c r="F4069" t="str">
        <f>IFERROR(__xludf.DUMMYFUNCTION("""COMPUTED_VALUE"""),"")</f>
        <v/>
      </c>
      <c r="G4069" t="str">
        <f>IFERROR(__xludf.DUMMYFUNCTION("""COMPUTED_VALUE"""),"")</f>
        <v/>
      </c>
      <c r="H4069" s="2" t="str">
        <f>IFERROR(__xludf.DUMMYFUNCTION("""COMPUTED_VALUE"""),"")</f>
        <v/>
      </c>
      <c r="I4069" s="2" t="str">
        <f>IFERROR(__xludf.DUMMYFUNCTION("""COMPUTED_VALUE"""),"")</f>
        <v/>
      </c>
      <c r="J4069" s="2">
        <f>IFERROR(__xludf.DUMMYFUNCTION("""COMPUTED_VALUE"""),0.0)</f>
        <v>0</v>
      </c>
      <c r="K4069" s="5" t="str">
        <f>IFERROR(__xludf.DUMMYFUNCTION("""COMPUTED_VALUE"""),"")</f>
        <v/>
      </c>
      <c r="L4069" t="str">
        <f>IFERROR(__xludf.DUMMYFUNCTION("""COMPUTED_VALUE"""),"")</f>
        <v/>
      </c>
      <c r="M4069" t="str">
        <f>IFERROR(__xludf.DUMMYFUNCTION("""COMPUTED_VALUE"""),"")</f>
        <v/>
      </c>
      <c r="N4069" t="str">
        <f>IFERROR(__xludf.DUMMYFUNCTION("""COMPUTED_VALUE"""),"")</f>
        <v/>
      </c>
      <c r="O4069" t="str">
        <f>IFERROR(__xludf.DUMMYFUNCTION("""COMPUTED_VALUE"""),"")</f>
        <v/>
      </c>
      <c r="P4069" t="str">
        <f>IFERROR(__xludf.DUMMYFUNCTION("""COMPUTED_VALUE"""),"ID ")</f>
        <v>ID </v>
      </c>
    </row>
    <row r="4070">
      <c r="A4070" s="6" t="str">
        <f>IFERROR(__xludf.DUMMYFUNCTION("""COMPUTED_VALUE"""),"")</f>
        <v/>
      </c>
      <c r="C4070" t="str">
        <f>IFERROR(__xludf.DUMMYFUNCTION("""COMPUTED_VALUE"""),"")</f>
        <v/>
      </c>
      <c r="D4070" t="str">
        <f>IFERROR(__xludf.DUMMYFUNCTION("""COMPUTED_VALUE"""),"")</f>
        <v/>
      </c>
      <c r="E4070" t="str">
        <f>IFERROR(__xludf.DUMMYFUNCTION("""COMPUTED_VALUE"""),"")</f>
        <v/>
      </c>
      <c r="F4070" t="str">
        <f>IFERROR(__xludf.DUMMYFUNCTION("""COMPUTED_VALUE"""),"")</f>
        <v/>
      </c>
      <c r="G4070" t="str">
        <f>IFERROR(__xludf.DUMMYFUNCTION("""COMPUTED_VALUE"""),"")</f>
        <v/>
      </c>
      <c r="H4070" s="2" t="str">
        <f>IFERROR(__xludf.DUMMYFUNCTION("""COMPUTED_VALUE"""),"")</f>
        <v/>
      </c>
      <c r="I4070" s="2" t="str">
        <f>IFERROR(__xludf.DUMMYFUNCTION("""COMPUTED_VALUE"""),"")</f>
        <v/>
      </c>
      <c r="J4070" s="2">
        <f>IFERROR(__xludf.DUMMYFUNCTION("""COMPUTED_VALUE"""),0.0)</f>
        <v>0</v>
      </c>
      <c r="K4070" s="5" t="str">
        <f>IFERROR(__xludf.DUMMYFUNCTION("""COMPUTED_VALUE"""),"")</f>
        <v/>
      </c>
      <c r="L4070" t="str">
        <f>IFERROR(__xludf.DUMMYFUNCTION("""COMPUTED_VALUE"""),"")</f>
        <v/>
      </c>
      <c r="M4070" t="str">
        <f>IFERROR(__xludf.DUMMYFUNCTION("""COMPUTED_VALUE"""),"")</f>
        <v/>
      </c>
      <c r="N4070" t="str">
        <f>IFERROR(__xludf.DUMMYFUNCTION("""COMPUTED_VALUE"""),"")</f>
        <v/>
      </c>
      <c r="O4070" t="str">
        <f>IFERROR(__xludf.DUMMYFUNCTION("""COMPUTED_VALUE"""),"")</f>
        <v/>
      </c>
      <c r="P4070" t="str">
        <f>IFERROR(__xludf.DUMMYFUNCTION("""COMPUTED_VALUE"""),"ID ")</f>
        <v>ID </v>
      </c>
    </row>
    <row r="4071">
      <c r="A4071" s="6" t="str">
        <f>IFERROR(__xludf.DUMMYFUNCTION("""COMPUTED_VALUE"""),"")</f>
        <v/>
      </c>
      <c r="C4071" t="str">
        <f>IFERROR(__xludf.DUMMYFUNCTION("""COMPUTED_VALUE"""),"")</f>
        <v/>
      </c>
      <c r="D4071" t="str">
        <f>IFERROR(__xludf.DUMMYFUNCTION("""COMPUTED_VALUE"""),"")</f>
        <v/>
      </c>
      <c r="E4071" t="str">
        <f>IFERROR(__xludf.DUMMYFUNCTION("""COMPUTED_VALUE"""),"")</f>
        <v/>
      </c>
      <c r="F4071" t="str">
        <f>IFERROR(__xludf.DUMMYFUNCTION("""COMPUTED_VALUE"""),"")</f>
        <v/>
      </c>
      <c r="G4071" t="str">
        <f>IFERROR(__xludf.DUMMYFUNCTION("""COMPUTED_VALUE"""),"")</f>
        <v/>
      </c>
      <c r="H4071" s="2" t="str">
        <f>IFERROR(__xludf.DUMMYFUNCTION("""COMPUTED_VALUE"""),"")</f>
        <v/>
      </c>
      <c r="I4071" s="2" t="str">
        <f>IFERROR(__xludf.DUMMYFUNCTION("""COMPUTED_VALUE"""),"")</f>
        <v/>
      </c>
      <c r="J4071" s="2">
        <f>IFERROR(__xludf.DUMMYFUNCTION("""COMPUTED_VALUE"""),0.0)</f>
        <v>0</v>
      </c>
      <c r="K4071" s="5" t="str">
        <f>IFERROR(__xludf.DUMMYFUNCTION("""COMPUTED_VALUE"""),"")</f>
        <v/>
      </c>
      <c r="L4071" t="str">
        <f>IFERROR(__xludf.DUMMYFUNCTION("""COMPUTED_VALUE"""),"")</f>
        <v/>
      </c>
      <c r="M4071" t="str">
        <f>IFERROR(__xludf.DUMMYFUNCTION("""COMPUTED_VALUE"""),"")</f>
        <v/>
      </c>
      <c r="N4071" t="str">
        <f>IFERROR(__xludf.DUMMYFUNCTION("""COMPUTED_VALUE"""),"")</f>
        <v/>
      </c>
      <c r="O4071" t="str">
        <f>IFERROR(__xludf.DUMMYFUNCTION("""COMPUTED_VALUE"""),"")</f>
        <v/>
      </c>
      <c r="P4071" t="str">
        <f>IFERROR(__xludf.DUMMYFUNCTION("""COMPUTED_VALUE"""),"ID ")</f>
        <v>ID </v>
      </c>
    </row>
    <row r="4072">
      <c r="A4072" s="6" t="str">
        <f>IFERROR(__xludf.DUMMYFUNCTION("""COMPUTED_VALUE"""),"")</f>
        <v/>
      </c>
      <c r="C4072" t="str">
        <f>IFERROR(__xludf.DUMMYFUNCTION("""COMPUTED_VALUE"""),"")</f>
        <v/>
      </c>
      <c r="D4072" t="str">
        <f>IFERROR(__xludf.DUMMYFUNCTION("""COMPUTED_VALUE"""),"")</f>
        <v/>
      </c>
      <c r="E4072" t="str">
        <f>IFERROR(__xludf.DUMMYFUNCTION("""COMPUTED_VALUE"""),"")</f>
        <v/>
      </c>
      <c r="F4072" t="str">
        <f>IFERROR(__xludf.DUMMYFUNCTION("""COMPUTED_VALUE"""),"")</f>
        <v/>
      </c>
      <c r="G4072" t="str">
        <f>IFERROR(__xludf.DUMMYFUNCTION("""COMPUTED_VALUE"""),"")</f>
        <v/>
      </c>
      <c r="H4072" s="2" t="str">
        <f>IFERROR(__xludf.DUMMYFUNCTION("""COMPUTED_VALUE"""),"")</f>
        <v/>
      </c>
      <c r="I4072" s="2" t="str">
        <f>IFERROR(__xludf.DUMMYFUNCTION("""COMPUTED_VALUE"""),"")</f>
        <v/>
      </c>
      <c r="J4072" s="2">
        <f>IFERROR(__xludf.DUMMYFUNCTION("""COMPUTED_VALUE"""),0.0)</f>
        <v>0</v>
      </c>
      <c r="K4072" s="5" t="str">
        <f>IFERROR(__xludf.DUMMYFUNCTION("""COMPUTED_VALUE"""),"")</f>
        <v/>
      </c>
      <c r="L4072" t="str">
        <f>IFERROR(__xludf.DUMMYFUNCTION("""COMPUTED_VALUE"""),"")</f>
        <v/>
      </c>
      <c r="M4072" t="str">
        <f>IFERROR(__xludf.DUMMYFUNCTION("""COMPUTED_VALUE"""),"")</f>
        <v/>
      </c>
      <c r="N4072" t="str">
        <f>IFERROR(__xludf.DUMMYFUNCTION("""COMPUTED_VALUE"""),"")</f>
        <v/>
      </c>
      <c r="O4072" t="str">
        <f>IFERROR(__xludf.DUMMYFUNCTION("""COMPUTED_VALUE"""),"")</f>
        <v/>
      </c>
      <c r="P4072" t="str">
        <f>IFERROR(__xludf.DUMMYFUNCTION("""COMPUTED_VALUE"""),"ID ")</f>
        <v>ID </v>
      </c>
    </row>
    <row r="4073">
      <c r="A4073" s="6" t="str">
        <f>IFERROR(__xludf.DUMMYFUNCTION("""COMPUTED_VALUE"""),"")</f>
        <v/>
      </c>
      <c r="C4073" t="str">
        <f>IFERROR(__xludf.DUMMYFUNCTION("""COMPUTED_VALUE"""),"")</f>
        <v/>
      </c>
      <c r="D4073" t="str">
        <f>IFERROR(__xludf.DUMMYFUNCTION("""COMPUTED_VALUE"""),"")</f>
        <v/>
      </c>
      <c r="E4073" t="str">
        <f>IFERROR(__xludf.DUMMYFUNCTION("""COMPUTED_VALUE"""),"")</f>
        <v/>
      </c>
      <c r="F4073" t="str">
        <f>IFERROR(__xludf.DUMMYFUNCTION("""COMPUTED_VALUE"""),"")</f>
        <v/>
      </c>
      <c r="G4073" t="str">
        <f>IFERROR(__xludf.DUMMYFUNCTION("""COMPUTED_VALUE"""),"")</f>
        <v/>
      </c>
      <c r="H4073" s="2" t="str">
        <f>IFERROR(__xludf.DUMMYFUNCTION("""COMPUTED_VALUE"""),"")</f>
        <v/>
      </c>
      <c r="I4073" s="2" t="str">
        <f>IFERROR(__xludf.DUMMYFUNCTION("""COMPUTED_VALUE"""),"")</f>
        <v/>
      </c>
      <c r="J4073" s="2">
        <f>IFERROR(__xludf.DUMMYFUNCTION("""COMPUTED_VALUE"""),0.0)</f>
        <v>0</v>
      </c>
      <c r="K4073" s="5" t="str">
        <f>IFERROR(__xludf.DUMMYFUNCTION("""COMPUTED_VALUE"""),"")</f>
        <v/>
      </c>
      <c r="L4073" t="str">
        <f>IFERROR(__xludf.DUMMYFUNCTION("""COMPUTED_VALUE"""),"")</f>
        <v/>
      </c>
      <c r="M4073" t="str">
        <f>IFERROR(__xludf.DUMMYFUNCTION("""COMPUTED_VALUE"""),"")</f>
        <v/>
      </c>
      <c r="N4073" t="str">
        <f>IFERROR(__xludf.DUMMYFUNCTION("""COMPUTED_VALUE"""),"")</f>
        <v/>
      </c>
      <c r="O4073" t="str">
        <f>IFERROR(__xludf.DUMMYFUNCTION("""COMPUTED_VALUE"""),"")</f>
        <v/>
      </c>
      <c r="P4073" t="str">
        <f>IFERROR(__xludf.DUMMYFUNCTION("""COMPUTED_VALUE"""),"ID ")</f>
        <v>ID </v>
      </c>
    </row>
    <row r="4074">
      <c r="A4074" s="6" t="str">
        <f>IFERROR(__xludf.DUMMYFUNCTION("""COMPUTED_VALUE"""),"")</f>
        <v/>
      </c>
      <c r="C4074" t="str">
        <f>IFERROR(__xludf.DUMMYFUNCTION("""COMPUTED_VALUE"""),"")</f>
        <v/>
      </c>
      <c r="D4074" t="str">
        <f>IFERROR(__xludf.DUMMYFUNCTION("""COMPUTED_VALUE"""),"")</f>
        <v/>
      </c>
      <c r="E4074" t="str">
        <f>IFERROR(__xludf.DUMMYFUNCTION("""COMPUTED_VALUE"""),"")</f>
        <v/>
      </c>
      <c r="F4074" t="str">
        <f>IFERROR(__xludf.DUMMYFUNCTION("""COMPUTED_VALUE"""),"")</f>
        <v/>
      </c>
      <c r="G4074" t="str">
        <f>IFERROR(__xludf.DUMMYFUNCTION("""COMPUTED_VALUE"""),"")</f>
        <v/>
      </c>
      <c r="H4074" s="2" t="str">
        <f>IFERROR(__xludf.DUMMYFUNCTION("""COMPUTED_VALUE"""),"")</f>
        <v/>
      </c>
      <c r="I4074" s="2" t="str">
        <f>IFERROR(__xludf.DUMMYFUNCTION("""COMPUTED_VALUE"""),"")</f>
        <v/>
      </c>
      <c r="J4074" s="2">
        <f>IFERROR(__xludf.DUMMYFUNCTION("""COMPUTED_VALUE"""),0.0)</f>
        <v>0</v>
      </c>
      <c r="K4074" s="5" t="str">
        <f>IFERROR(__xludf.DUMMYFUNCTION("""COMPUTED_VALUE"""),"")</f>
        <v/>
      </c>
      <c r="L4074" t="str">
        <f>IFERROR(__xludf.DUMMYFUNCTION("""COMPUTED_VALUE"""),"")</f>
        <v/>
      </c>
      <c r="M4074" t="str">
        <f>IFERROR(__xludf.DUMMYFUNCTION("""COMPUTED_VALUE"""),"")</f>
        <v/>
      </c>
      <c r="N4074" t="str">
        <f>IFERROR(__xludf.DUMMYFUNCTION("""COMPUTED_VALUE"""),"")</f>
        <v/>
      </c>
      <c r="O4074" t="str">
        <f>IFERROR(__xludf.DUMMYFUNCTION("""COMPUTED_VALUE"""),"")</f>
        <v/>
      </c>
      <c r="P4074" t="str">
        <f>IFERROR(__xludf.DUMMYFUNCTION("""COMPUTED_VALUE"""),"ID ")</f>
        <v>ID </v>
      </c>
    </row>
    <row r="4075">
      <c r="A4075" s="6" t="str">
        <f>IFERROR(__xludf.DUMMYFUNCTION("""COMPUTED_VALUE"""),"")</f>
        <v/>
      </c>
      <c r="C4075" t="str">
        <f>IFERROR(__xludf.DUMMYFUNCTION("""COMPUTED_VALUE"""),"")</f>
        <v/>
      </c>
      <c r="D4075" t="str">
        <f>IFERROR(__xludf.DUMMYFUNCTION("""COMPUTED_VALUE"""),"")</f>
        <v/>
      </c>
      <c r="E4075" t="str">
        <f>IFERROR(__xludf.DUMMYFUNCTION("""COMPUTED_VALUE"""),"")</f>
        <v/>
      </c>
      <c r="F4075" t="str">
        <f>IFERROR(__xludf.DUMMYFUNCTION("""COMPUTED_VALUE"""),"")</f>
        <v/>
      </c>
      <c r="G4075" t="str">
        <f>IFERROR(__xludf.DUMMYFUNCTION("""COMPUTED_VALUE"""),"")</f>
        <v/>
      </c>
      <c r="H4075" s="2" t="str">
        <f>IFERROR(__xludf.DUMMYFUNCTION("""COMPUTED_VALUE"""),"")</f>
        <v/>
      </c>
      <c r="I4075" s="2" t="str">
        <f>IFERROR(__xludf.DUMMYFUNCTION("""COMPUTED_VALUE"""),"")</f>
        <v/>
      </c>
      <c r="J4075" s="2">
        <f>IFERROR(__xludf.DUMMYFUNCTION("""COMPUTED_VALUE"""),0.0)</f>
        <v>0</v>
      </c>
      <c r="K4075" s="5" t="str">
        <f>IFERROR(__xludf.DUMMYFUNCTION("""COMPUTED_VALUE"""),"")</f>
        <v/>
      </c>
      <c r="L4075" t="str">
        <f>IFERROR(__xludf.DUMMYFUNCTION("""COMPUTED_VALUE"""),"")</f>
        <v/>
      </c>
      <c r="M4075" t="str">
        <f>IFERROR(__xludf.DUMMYFUNCTION("""COMPUTED_VALUE"""),"")</f>
        <v/>
      </c>
      <c r="N4075" t="str">
        <f>IFERROR(__xludf.DUMMYFUNCTION("""COMPUTED_VALUE"""),"")</f>
        <v/>
      </c>
      <c r="O4075" t="str">
        <f>IFERROR(__xludf.DUMMYFUNCTION("""COMPUTED_VALUE"""),"")</f>
        <v/>
      </c>
      <c r="P4075" t="str">
        <f>IFERROR(__xludf.DUMMYFUNCTION("""COMPUTED_VALUE"""),"ID ")</f>
        <v>ID </v>
      </c>
    </row>
    <row r="4076">
      <c r="A4076" s="6" t="str">
        <f>IFERROR(__xludf.DUMMYFUNCTION("""COMPUTED_VALUE"""),"")</f>
        <v/>
      </c>
      <c r="C4076" t="str">
        <f>IFERROR(__xludf.DUMMYFUNCTION("""COMPUTED_VALUE"""),"")</f>
        <v/>
      </c>
      <c r="D4076" t="str">
        <f>IFERROR(__xludf.DUMMYFUNCTION("""COMPUTED_VALUE"""),"")</f>
        <v/>
      </c>
      <c r="E4076" t="str">
        <f>IFERROR(__xludf.DUMMYFUNCTION("""COMPUTED_VALUE"""),"")</f>
        <v/>
      </c>
      <c r="F4076" t="str">
        <f>IFERROR(__xludf.DUMMYFUNCTION("""COMPUTED_VALUE"""),"")</f>
        <v/>
      </c>
      <c r="G4076" t="str">
        <f>IFERROR(__xludf.DUMMYFUNCTION("""COMPUTED_VALUE"""),"")</f>
        <v/>
      </c>
      <c r="H4076" s="2" t="str">
        <f>IFERROR(__xludf.DUMMYFUNCTION("""COMPUTED_VALUE"""),"")</f>
        <v/>
      </c>
      <c r="I4076" s="2" t="str">
        <f>IFERROR(__xludf.DUMMYFUNCTION("""COMPUTED_VALUE"""),"")</f>
        <v/>
      </c>
      <c r="J4076" s="2">
        <f>IFERROR(__xludf.DUMMYFUNCTION("""COMPUTED_VALUE"""),0.0)</f>
        <v>0</v>
      </c>
      <c r="K4076" s="5" t="str">
        <f>IFERROR(__xludf.DUMMYFUNCTION("""COMPUTED_VALUE"""),"")</f>
        <v/>
      </c>
      <c r="L4076" t="str">
        <f>IFERROR(__xludf.DUMMYFUNCTION("""COMPUTED_VALUE"""),"")</f>
        <v/>
      </c>
      <c r="M4076" t="str">
        <f>IFERROR(__xludf.DUMMYFUNCTION("""COMPUTED_VALUE"""),"")</f>
        <v/>
      </c>
      <c r="N4076" t="str">
        <f>IFERROR(__xludf.DUMMYFUNCTION("""COMPUTED_VALUE"""),"")</f>
        <v/>
      </c>
      <c r="O4076" t="str">
        <f>IFERROR(__xludf.DUMMYFUNCTION("""COMPUTED_VALUE"""),"")</f>
        <v/>
      </c>
      <c r="P4076" t="str">
        <f>IFERROR(__xludf.DUMMYFUNCTION("""COMPUTED_VALUE"""),"ID ")</f>
        <v>ID </v>
      </c>
    </row>
    <row r="4077">
      <c r="A4077" s="6" t="str">
        <f>IFERROR(__xludf.DUMMYFUNCTION("""COMPUTED_VALUE"""),"")</f>
        <v/>
      </c>
      <c r="C4077" t="str">
        <f>IFERROR(__xludf.DUMMYFUNCTION("""COMPUTED_VALUE"""),"")</f>
        <v/>
      </c>
      <c r="D4077" t="str">
        <f>IFERROR(__xludf.DUMMYFUNCTION("""COMPUTED_VALUE"""),"")</f>
        <v/>
      </c>
      <c r="E4077" t="str">
        <f>IFERROR(__xludf.DUMMYFUNCTION("""COMPUTED_VALUE"""),"")</f>
        <v/>
      </c>
      <c r="F4077" t="str">
        <f>IFERROR(__xludf.DUMMYFUNCTION("""COMPUTED_VALUE"""),"")</f>
        <v/>
      </c>
      <c r="G4077" t="str">
        <f>IFERROR(__xludf.DUMMYFUNCTION("""COMPUTED_VALUE"""),"")</f>
        <v/>
      </c>
      <c r="H4077" s="2" t="str">
        <f>IFERROR(__xludf.DUMMYFUNCTION("""COMPUTED_VALUE"""),"")</f>
        <v/>
      </c>
      <c r="I4077" s="2" t="str">
        <f>IFERROR(__xludf.DUMMYFUNCTION("""COMPUTED_VALUE"""),"")</f>
        <v/>
      </c>
      <c r="J4077" s="2">
        <f>IFERROR(__xludf.DUMMYFUNCTION("""COMPUTED_VALUE"""),0.0)</f>
        <v>0</v>
      </c>
      <c r="K4077" s="5" t="str">
        <f>IFERROR(__xludf.DUMMYFUNCTION("""COMPUTED_VALUE"""),"")</f>
        <v/>
      </c>
      <c r="L4077" t="str">
        <f>IFERROR(__xludf.DUMMYFUNCTION("""COMPUTED_VALUE"""),"")</f>
        <v/>
      </c>
      <c r="M4077" t="str">
        <f>IFERROR(__xludf.DUMMYFUNCTION("""COMPUTED_VALUE"""),"")</f>
        <v/>
      </c>
      <c r="N4077" t="str">
        <f>IFERROR(__xludf.DUMMYFUNCTION("""COMPUTED_VALUE"""),"")</f>
        <v/>
      </c>
      <c r="O4077" t="str">
        <f>IFERROR(__xludf.DUMMYFUNCTION("""COMPUTED_VALUE"""),"")</f>
        <v/>
      </c>
      <c r="P4077" t="str">
        <f>IFERROR(__xludf.DUMMYFUNCTION("""COMPUTED_VALUE"""),"ID ")</f>
        <v>ID </v>
      </c>
    </row>
    <row r="4078">
      <c r="A4078" s="6" t="str">
        <f>IFERROR(__xludf.DUMMYFUNCTION("""COMPUTED_VALUE"""),"")</f>
        <v/>
      </c>
      <c r="C4078" t="str">
        <f>IFERROR(__xludf.DUMMYFUNCTION("""COMPUTED_VALUE"""),"")</f>
        <v/>
      </c>
      <c r="D4078" t="str">
        <f>IFERROR(__xludf.DUMMYFUNCTION("""COMPUTED_VALUE"""),"")</f>
        <v/>
      </c>
      <c r="E4078" t="str">
        <f>IFERROR(__xludf.DUMMYFUNCTION("""COMPUTED_VALUE"""),"")</f>
        <v/>
      </c>
      <c r="F4078" t="str">
        <f>IFERROR(__xludf.DUMMYFUNCTION("""COMPUTED_VALUE"""),"")</f>
        <v/>
      </c>
      <c r="G4078" t="str">
        <f>IFERROR(__xludf.DUMMYFUNCTION("""COMPUTED_VALUE"""),"")</f>
        <v/>
      </c>
      <c r="H4078" s="2" t="str">
        <f>IFERROR(__xludf.DUMMYFUNCTION("""COMPUTED_VALUE"""),"")</f>
        <v/>
      </c>
      <c r="I4078" s="2" t="str">
        <f>IFERROR(__xludf.DUMMYFUNCTION("""COMPUTED_VALUE"""),"")</f>
        <v/>
      </c>
      <c r="J4078" s="2">
        <f>IFERROR(__xludf.DUMMYFUNCTION("""COMPUTED_VALUE"""),0.0)</f>
        <v>0</v>
      </c>
      <c r="K4078" s="5" t="str">
        <f>IFERROR(__xludf.DUMMYFUNCTION("""COMPUTED_VALUE"""),"")</f>
        <v/>
      </c>
      <c r="L4078" t="str">
        <f>IFERROR(__xludf.DUMMYFUNCTION("""COMPUTED_VALUE"""),"")</f>
        <v/>
      </c>
      <c r="M4078" t="str">
        <f>IFERROR(__xludf.DUMMYFUNCTION("""COMPUTED_VALUE"""),"")</f>
        <v/>
      </c>
      <c r="N4078" t="str">
        <f>IFERROR(__xludf.DUMMYFUNCTION("""COMPUTED_VALUE"""),"")</f>
        <v/>
      </c>
      <c r="O4078" t="str">
        <f>IFERROR(__xludf.DUMMYFUNCTION("""COMPUTED_VALUE"""),"")</f>
        <v/>
      </c>
      <c r="P4078" t="str">
        <f>IFERROR(__xludf.DUMMYFUNCTION("""COMPUTED_VALUE"""),"ID ")</f>
        <v>ID </v>
      </c>
    </row>
    <row r="4079">
      <c r="A4079" s="6" t="str">
        <f>IFERROR(__xludf.DUMMYFUNCTION("""COMPUTED_VALUE"""),"")</f>
        <v/>
      </c>
      <c r="C4079" t="str">
        <f>IFERROR(__xludf.DUMMYFUNCTION("""COMPUTED_VALUE"""),"")</f>
        <v/>
      </c>
      <c r="D4079" t="str">
        <f>IFERROR(__xludf.DUMMYFUNCTION("""COMPUTED_VALUE"""),"")</f>
        <v/>
      </c>
      <c r="E4079" t="str">
        <f>IFERROR(__xludf.DUMMYFUNCTION("""COMPUTED_VALUE"""),"")</f>
        <v/>
      </c>
      <c r="F4079" t="str">
        <f>IFERROR(__xludf.DUMMYFUNCTION("""COMPUTED_VALUE"""),"")</f>
        <v/>
      </c>
      <c r="G4079" t="str">
        <f>IFERROR(__xludf.DUMMYFUNCTION("""COMPUTED_VALUE"""),"")</f>
        <v/>
      </c>
      <c r="H4079" s="2" t="str">
        <f>IFERROR(__xludf.DUMMYFUNCTION("""COMPUTED_VALUE"""),"")</f>
        <v/>
      </c>
      <c r="I4079" s="2" t="str">
        <f>IFERROR(__xludf.DUMMYFUNCTION("""COMPUTED_VALUE"""),"")</f>
        <v/>
      </c>
      <c r="J4079" s="2">
        <f>IFERROR(__xludf.DUMMYFUNCTION("""COMPUTED_VALUE"""),0.0)</f>
        <v>0</v>
      </c>
      <c r="K4079" s="5" t="str">
        <f>IFERROR(__xludf.DUMMYFUNCTION("""COMPUTED_VALUE"""),"")</f>
        <v/>
      </c>
      <c r="L4079" t="str">
        <f>IFERROR(__xludf.DUMMYFUNCTION("""COMPUTED_VALUE"""),"")</f>
        <v/>
      </c>
      <c r="M4079" t="str">
        <f>IFERROR(__xludf.DUMMYFUNCTION("""COMPUTED_VALUE"""),"")</f>
        <v/>
      </c>
      <c r="N4079" t="str">
        <f>IFERROR(__xludf.DUMMYFUNCTION("""COMPUTED_VALUE"""),"")</f>
        <v/>
      </c>
      <c r="O4079" t="str">
        <f>IFERROR(__xludf.DUMMYFUNCTION("""COMPUTED_VALUE"""),"")</f>
        <v/>
      </c>
      <c r="P4079" t="str">
        <f>IFERROR(__xludf.DUMMYFUNCTION("""COMPUTED_VALUE"""),"ID ")</f>
        <v>ID </v>
      </c>
    </row>
    <row r="4080">
      <c r="A4080" s="6" t="str">
        <f>IFERROR(__xludf.DUMMYFUNCTION("""COMPUTED_VALUE"""),"")</f>
        <v/>
      </c>
      <c r="C4080" t="str">
        <f>IFERROR(__xludf.DUMMYFUNCTION("""COMPUTED_VALUE"""),"")</f>
        <v/>
      </c>
      <c r="D4080" t="str">
        <f>IFERROR(__xludf.DUMMYFUNCTION("""COMPUTED_VALUE"""),"")</f>
        <v/>
      </c>
      <c r="E4080" t="str">
        <f>IFERROR(__xludf.DUMMYFUNCTION("""COMPUTED_VALUE"""),"")</f>
        <v/>
      </c>
      <c r="F4080" t="str">
        <f>IFERROR(__xludf.DUMMYFUNCTION("""COMPUTED_VALUE"""),"")</f>
        <v/>
      </c>
      <c r="G4080" t="str">
        <f>IFERROR(__xludf.DUMMYFUNCTION("""COMPUTED_VALUE"""),"")</f>
        <v/>
      </c>
      <c r="H4080" s="2" t="str">
        <f>IFERROR(__xludf.DUMMYFUNCTION("""COMPUTED_VALUE"""),"")</f>
        <v/>
      </c>
      <c r="I4080" s="2" t="str">
        <f>IFERROR(__xludf.DUMMYFUNCTION("""COMPUTED_VALUE"""),"")</f>
        <v/>
      </c>
      <c r="J4080" s="2">
        <f>IFERROR(__xludf.DUMMYFUNCTION("""COMPUTED_VALUE"""),0.0)</f>
        <v>0</v>
      </c>
      <c r="K4080" s="5" t="str">
        <f>IFERROR(__xludf.DUMMYFUNCTION("""COMPUTED_VALUE"""),"")</f>
        <v/>
      </c>
      <c r="L4080" t="str">
        <f>IFERROR(__xludf.DUMMYFUNCTION("""COMPUTED_VALUE"""),"")</f>
        <v/>
      </c>
      <c r="M4080" t="str">
        <f>IFERROR(__xludf.DUMMYFUNCTION("""COMPUTED_VALUE"""),"")</f>
        <v/>
      </c>
      <c r="N4080" t="str">
        <f>IFERROR(__xludf.DUMMYFUNCTION("""COMPUTED_VALUE"""),"")</f>
        <v/>
      </c>
      <c r="O4080" t="str">
        <f>IFERROR(__xludf.DUMMYFUNCTION("""COMPUTED_VALUE"""),"")</f>
        <v/>
      </c>
      <c r="P4080" t="str">
        <f>IFERROR(__xludf.DUMMYFUNCTION("""COMPUTED_VALUE"""),"ID ")</f>
        <v>ID </v>
      </c>
    </row>
    <row r="4081">
      <c r="A4081" s="6" t="str">
        <f>IFERROR(__xludf.DUMMYFUNCTION("""COMPUTED_VALUE"""),"")</f>
        <v/>
      </c>
      <c r="C4081" t="str">
        <f>IFERROR(__xludf.DUMMYFUNCTION("""COMPUTED_VALUE"""),"")</f>
        <v/>
      </c>
      <c r="D4081" t="str">
        <f>IFERROR(__xludf.DUMMYFUNCTION("""COMPUTED_VALUE"""),"")</f>
        <v/>
      </c>
      <c r="E4081" t="str">
        <f>IFERROR(__xludf.DUMMYFUNCTION("""COMPUTED_VALUE"""),"")</f>
        <v/>
      </c>
      <c r="F4081" t="str">
        <f>IFERROR(__xludf.DUMMYFUNCTION("""COMPUTED_VALUE"""),"")</f>
        <v/>
      </c>
      <c r="G4081" t="str">
        <f>IFERROR(__xludf.DUMMYFUNCTION("""COMPUTED_VALUE"""),"")</f>
        <v/>
      </c>
      <c r="H4081" s="2" t="str">
        <f>IFERROR(__xludf.DUMMYFUNCTION("""COMPUTED_VALUE"""),"")</f>
        <v/>
      </c>
      <c r="I4081" s="2" t="str">
        <f>IFERROR(__xludf.DUMMYFUNCTION("""COMPUTED_VALUE"""),"")</f>
        <v/>
      </c>
      <c r="J4081" s="2">
        <f>IFERROR(__xludf.DUMMYFUNCTION("""COMPUTED_VALUE"""),0.0)</f>
        <v>0</v>
      </c>
      <c r="K4081" s="5" t="str">
        <f>IFERROR(__xludf.DUMMYFUNCTION("""COMPUTED_VALUE"""),"")</f>
        <v/>
      </c>
      <c r="L4081" t="str">
        <f>IFERROR(__xludf.DUMMYFUNCTION("""COMPUTED_VALUE"""),"")</f>
        <v/>
      </c>
      <c r="M4081" t="str">
        <f>IFERROR(__xludf.DUMMYFUNCTION("""COMPUTED_VALUE"""),"")</f>
        <v/>
      </c>
      <c r="N4081" t="str">
        <f>IFERROR(__xludf.DUMMYFUNCTION("""COMPUTED_VALUE"""),"")</f>
        <v/>
      </c>
      <c r="O4081" t="str">
        <f>IFERROR(__xludf.DUMMYFUNCTION("""COMPUTED_VALUE"""),"")</f>
        <v/>
      </c>
      <c r="P4081" t="str">
        <f>IFERROR(__xludf.DUMMYFUNCTION("""COMPUTED_VALUE"""),"ID ")</f>
        <v>ID </v>
      </c>
    </row>
    <row r="4082">
      <c r="A4082" s="6" t="str">
        <f>IFERROR(__xludf.DUMMYFUNCTION("""COMPUTED_VALUE"""),"")</f>
        <v/>
      </c>
      <c r="C4082" t="str">
        <f>IFERROR(__xludf.DUMMYFUNCTION("""COMPUTED_VALUE"""),"")</f>
        <v/>
      </c>
      <c r="D4082" t="str">
        <f>IFERROR(__xludf.DUMMYFUNCTION("""COMPUTED_VALUE"""),"")</f>
        <v/>
      </c>
      <c r="E4082" t="str">
        <f>IFERROR(__xludf.DUMMYFUNCTION("""COMPUTED_VALUE"""),"")</f>
        <v/>
      </c>
      <c r="F4082" t="str">
        <f>IFERROR(__xludf.DUMMYFUNCTION("""COMPUTED_VALUE"""),"")</f>
        <v/>
      </c>
      <c r="G4082" t="str">
        <f>IFERROR(__xludf.DUMMYFUNCTION("""COMPUTED_VALUE"""),"")</f>
        <v/>
      </c>
      <c r="H4082" s="2" t="str">
        <f>IFERROR(__xludf.DUMMYFUNCTION("""COMPUTED_VALUE"""),"")</f>
        <v/>
      </c>
      <c r="I4082" s="2" t="str">
        <f>IFERROR(__xludf.DUMMYFUNCTION("""COMPUTED_VALUE"""),"")</f>
        <v/>
      </c>
      <c r="J4082" s="2">
        <f>IFERROR(__xludf.DUMMYFUNCTION("""COMPUTED_VALUE"""),0.0)</f>
        <v>0</v>
      </c>
      <c r="K4082" s="5" t="str">
        <f>IFERROR(__xludf.DUMMYFUNCTION("""COMPUTED_VALUE"""),"")</f>
        <v/>
      </c>
      <c r="L4082" t="str">
        <f>IFERROR(__xludf.DUMMYFUNCTION("""COMPUTED_VALUE"""),"")</f>
        <v/>
      </c>
      <c r="M4082" t="str">
        <f>IFERROR(__xludf.DUMMYFUNCTION("""COMPUTED_VALUE"""),"")</f>
        <v/>
      </c>
      <c r="N4082" t="str">
        <f>IFERROR(__xludf.DUMMYFUNCTION("""COMPUTED_VALUE"""),"")</f>
        <v/>
      </c>
      <c r="O4082" t="str">
        <f>IFERROR(__xludf.DUMMYFUNCTION("""COMPUTED_VALUE"""),"")</f>
        <v/>
      </c>
      <c r="P4082" t="str">
        <f>IFERROR(__xludf.DUMMYFUNCTION("""COMPUTED_VALUE"""),"ID ")</f>
        <v>ID </v>
      </c>
    </row>
    <row r="4083">
      <c r="A4083" s="6" t="str">
        <f>IFERROR(__xludf.DUMMYFUNCTION("""COMPUTED_VALUE"""),"")</f>
        <v/>
      </c>
      <c r="C4083" t="str">
        <f>IFERROR(__xludf.DUMMYFUNCTION("""COMPUTED_VALUE"""),"")</f>
        <v/>
      </c>
      <c r="D4083" t="str">
        <f>IFERROR(__xludf.DUMMYFUNCTION("""COMPUTED_VALUE"""),"")</f>
        <v/>
      </c>
      <c r="E4083" t="str">
        <f>IFERROR(__xludf.DUMMYFUNCTION("""COMPUTED_VALUE"""),"")</f>
        <v/>
      </c>
      <c r="F4083" t="str">
        <f>IFERROR(__xludf.DUMMYFUNCTION("""COMPUTED_VALUE"""),"")</f>
        <v/>
      </c>
      <c r="G4083" t="str">
        <f>IFERROR(__xludf.DUMMYFUNCTION("""COMPUTED_VALUE"""),"")</f>
        <v/>
      </c>
      <c r="H4083" s="2" t="str">
        <f>IFERROR(__xludf.DUMMYFUNCTION("""COMPUTED_VALUE"""),"")</f>
        <v/>
      </c>
      <c r="I4083" s="2" t="str">
        <f>IFERROR(__xludf.DUMMYFUNCTION("""COMPUTED_VALUE"""),"")</f>
        <v/>
      </c>
      <c r="J4083" s="2">
        <f>IFERROR(__xludf.DUMMYFUNCTION("""COMPUTED_VALUE"""),0.0)</f>
        <v>0</v>
      </c>
      <c r="K4083" s="5" t="str">
        <f>IFERROR(__xludf.DUMMYFUNCTION("""COMPUTED_VALUE"""),"")</f>
        <v/>
      </c>
      <c r="L4083" t="str">
        <f>IFERROR(__xludf.DUMMYFUNCTION("""COMPUTED_VALUE"""),"")</f>
        <v/>
      </c>
      <c r="M4083" t="str">
        <f>IFERROR(__xludf.DUMMYFUNCTION("""COMPUTED_VALUE"""),"")</f>
        <v/>
      </c>
      <c r="N4083" t="str">
        <f>IFERROR(__xludf.DUMMYFUNCTION("""COMPUTED_VALUE"""),"")</f>
        <v/>
      </c>
      <c r="O4083" t="str">
        <f>IFERROR(__xludf.DUMMYFUNCTION("""COMPUTED_VALUE"""),"")</f>
        <v/>
      </c>
      <c r="P4083" t="str">
        <f>IFERROR(__xludf.DUMMYFUNCTION("""COMPUTED_VALUE"""),"ID ")</f>
        <v>ID </v>
      </c>
    </row>
    <row r="4084">
      <c r="A4084" s="6" t="str">
        <f>IFERROR(__xludf.DUMMYFUNCTION("""COMPUTED_VALUE"""),"")</f>
        <v/>
      </c>
      <c r="C4084" t="str">
        <f>IFERROR(__xludf.DUMMYFUNCTION("""COMPUTED_VALUE"""),"")</f>
        <v/>
      </c>
      <c r="D4084" t="str">
        <f>IFERROR(__xludf.DUMMYFUNCTION("""COMPUTED_VALUE"""),"")</f>
        <v/>
      </c>
      <c r="E4084" t="str">
        <f>IFERROR(__xludf.DUMMYFUNCTION("""COMPUTED_VALUE"""),"")</f>
        <v/>
      </c>
      <c r="F4084" t="str">
        <f>IFERROR(__xludf.DUMMYFUNCTION("""COMPUTED_VALUE"""),"")</f>
        <v/>
      </c>
      <c r="G4084" t="str">
        <f>IFERROR(__xludf.DUMMYFUNCTION("""COMPUTED_VALUE"""),"")</f>
        <v/>
      </c>
      <c r="H4084" s="2" t="str">
        <f>IFERROR(__xludf.DUMMYFUNCTION("""COMPUTED_VALUE"""),"")</f>
        <v/>
      </c>
      <c r="I4084" s="2" t="str">
        <f>IFERROR(__xludf.DUMMYFUNCTION("""COMPUTED_VALUE"""),"")</f>
        <v/>
      </c>
      <c r="J4084" s="2">
        <f>IFERROR(__xludf.DUMMYFUNCTION("""COMPUTED_VALUE"""),0.0)</f>
        <v>0</v>
      </c>
      <c r="K4084" s="5" t="str">
        <f>IFERROR(__xludf.DUMMYFUNCTION("""COMPUTED_VALUE"""),"")</f>
        <v/>
      </c>
      <c r="L4084" t="str">
        <f>IFERROR(__xludf.DUMMYFUNCTION("""COMPUTED_VALUE"""),"")</f>
        <v/>
      </c>
      <c r="M4084" t="str">
        <f>IFERROR(__xludf.DUMMYFUNCTION("""COMPUTED_VALUE"""),"")</f>
        <v/>
      </c>
      <c r="N4084" t="str">
        <f>IFERROR(__xludf.DUMMYFUNCTION("""COMPUTED_VALUE"""),"")</f>
        <v/>
      </c>
      <c r="O4084" t="str">
        <f>IFERROR(__xludf.DUMMYFUNCTION("""COMPUTED_VALUE"""),"")</f>
        <v/>
      </c>
      <c r="P4084" t="str">
        <f>IFERROR(__xludf.DUMMYFUNCTION("""COMPUTED_VALUE"""),"ID ")</f>
        <v>ID </v>
      </c>
    </row>
    <row r="4085">
      <c r="A4085" s="6" t="str">
        <f>IFERROR(__xludf.DUMMYFUNCTION("""COMPUTED_VALUE"""),"")</f>
        <v/>
      </c>
      <c r="C4085" t="str">
        <f>IFERROR(__xludf.DUMMYFUNCTION("""COMPUTED_VALUE"""),"")</f>
        <v/>
      </c>
      <c r="D4085" t="str">
        <f>IFERROR(__xludf.DUMMYFUNCTION("""COMPUTED_VALUE"""),"")</f>
        <v/>
      </c>
      <c r="E4085" t="str">
        <f>IFERROR(__xludf.DUMMYFUNCTION("""COMPUTED_VALUE"""),"")</f>
        <v/>
      </c>
      <c r="F4085" t="str">
        <f>IFERROR(__xludf.DUMMYFUNCTION("""COMPUTED_VALUE"""),"")</f>
        <v/>
      </c>
      <c r="G4085" t="str">
        <f>IFERROR(__xludf.DUMMYFUNCTION("""COMPUTED_VALUE"""),"")</f>
        <v/>
      </c>
      <c r="H4085" s="2" t="str">
        <f>IFERROR(__xludf.DUMMYFUNCTION("""COMPUTED_VALUE"""),"")</f>
        <v/>
      </c>
      <c r="I4085" s="2" t="str">
        <f>IFERROR(__xludf.DUMMYFUNCTION("""COMPUTED_VALUE"""),"")</f>
        <v/>
      </c>
      <c r="J4085" s="2">
        <f>IFERROR(__xludf.DUMMYFUNCTION("""COMPUTED_VALUE"""),0.0)</f>
        <v>0</v>
      </c>
      <c r="K4085" s="5" t="str">
        <f>IFERROR(__xludf.DUMMYFUNCTION("""COMPUTED_VALUE"""),"")</f>
        <v/>
      </c>
      <c r="L4085" t="str">
        <f>IFERROR(__xludf.DUMMYFUNCTION("""COMPUTED_VALUE"""),"")</f>
        <v/>
      </c>
      <c r="M4085" t="str">
        <f>IFERROR(__xludf.DUMMYFUNCTION("""COMPUTED_VALUE"""),"")</f>
        <v/>
      </c>
      <c r="N4085" t="str">
        <f>IFERROR(__xludf.DUMMYFUNCTION("""COMPUTED_VALUE"""),"")</f>
        <v/>
      </c>
      <c r="O4085" t="str">
        <f>IFERROR(__xludf.DUMMYFUNCTION("""COMPUTED_VALUE"""),"")</f>
        <v/>
      </c>
      <c r="P4085" t="str">
        <f>IFERROR(__xludf.DUMMYFUNCTION("""COMPUTED_VALUE"""),"ID ")</f>
        <v>ID </v>
      </c>
    </row>
    <row r="4086">
      <c r="A4086" s="6" t="str">
        <f>IFERROR(__xludf.DUMMYFUNCTION("""COMPUTED_VALUE"""),"")</f>
        <v/>
      </c>
      <c r="C4086" t="str">
        <f>IFERROR(__xludf.DUMMYFUNCTION("""COMPUTED_VALUE"""),"")</f>
        <v/>
      </c>
      <c r="D4086" t="str">
        <f>IFERROR(__xludf.DUMMYFUNCTION("""COMPUTED_VALUE"""),"")</f>
        <v/>
      </c>
      <c r="E4086" t="str">
        <f>IFERROR(__xludf.DUMMYFUNCTION("""COMPUTED_VALUE"""),"")</f>
        <v/>
      </c>
      <c r="F4086" t="str">
        <f>IFERROR(__xludf.DUMMYFUNCTION("""COMPUTED_VALUE"""),"")</f>
        <v/>
      </c>
      <c r="G4086" t="str">
        <f>IFERROR(__xludf.DUMMYFUNCTION("""COMPUTED_VALUE"""),"")</f>
        <v/>
      </c>
      <c r="H4086" s="2" t="str">
        <f>IFERROR(__xludf.DUMMYFUNCTION("""COMPUTED_VALUE"""),"")</f>
        <v/>
      </c>
      <c r="I4086" s="2" t="str">
        <f>IFERROR(__xludf.DUMMYFUNCTION("""COMPUTED_VALUE"""),"")</f>
        <v/>
      </c>
      <c r="J4086" s="2">
        <f>IFERROR(__xludf.DUMMYFUNCTION("""COMPUTED_VALUE"""),0.0)</f>
        <v>0</v>
      </c>
      <c r="K4086" s="5" t="str">
        <f>IFERROR(__xludf.DUMMYFUNCTION("""COMPUTED_VALUE"""),"")</f>
        <v/>
      </c>
      <c r="L4086" t="str">
        <f>IFERROR(__xludf.DUMMYFUNCTION("""COMPUTED_VALUE"""),"")</f>
        <v/>
      </c>
      <c r="M4086" t="str">
        <f>IFERROR(__xludf.DUMMYFUNCTION("""COMPUTED_VALUE"""),"")</f>
        <v/>
      </c>
      <c r="N4086" t="str">
        <f>IFERROR(__xludf.DUMMYFUNCTION("""COMPUTED_VALUE"""),"")</f>
        <v/>
      </c>
      <c r="O4086" t="str">
        <f>IFERROR(__xludf.DUMMYFUNCTION("""COMPUTED_VALUE"""),"")</f>
        <v/>
      </c>
      <c r="P4086" t="str">
        <f>IFERROR(__xludf.DUMMYFUNCTION("""COMPUTED_VALUE"""),"ID ")</f>
        <v>ID </v>
      </c>
    </row>
    <row r="4087">
      <c r="A4087" s="6" t="str">
        <f>IFERROR(__xludf.DUMMYFUNCTION("""COMPUTED_VALUE"""),"")</f>
        <v/>
      </c>
      <c r="C4087" t="str">
        <f>IFERROR(__xludf.DUMMYFUNCTION("""COMPUTED_VALUE"""),"")</f>
        <v/>
      </c>
      <c r="D4087" t="str">
        <f>IFERROR(__xludf.DUMMYFUNCTION("""COMPUTED_VALUE"""),"")</f>
        <v/>
      </c>
      <c r="E4087" t="str">
        <f>IFERROR(__xludf.DUMMYFUNCTION("""COMPUTED_VALUE"""),"")</f>
        <v/>
      </c>
      <c r="F4087" t="str">
        <f>IFERROR(__xludf.DUMMYFUNCTION("""COMPUTED_VALUE"""),"")</f>
        <v/>
      </c>
      <c r="G4087" t="str">
        <f>IFERROR(__xludf.DUMMYFUNCTION("""COMPUTED_VALUE"""),"")</f>
        <v/>
      </c>
      <c r="H4087" s="2" t="str">
        <f>IFERROR(__xludf.DUMMYFUNCTION("""COMPUTED_VALUE"""),"")</f>
        <v/>
      </c>
      <c r="I4087" s="2" t="str">
        <f>IFERROR(__xludf.DUMMYFUNCTION("""COMPUTED_VALUE"""),"")</f>
        <v/>
      </c>
      <c r="J4087" s="2">
        <f>IFERROR(__xludf.DUMMYFUNCTION("""COMPUTED_VALUE"""),0.0)</f>
        <v>0</v>
      </c>
      <c r="K4087" s="5" t="str">
        <f>IFERROR(__xludf.DUMMYFUNCTION("""COMPUTED_VALUE"""),"")</f>
        <v/>
      </c>
      <c r="L4087" t="str">
        <f>IFERROR(__xludf.DUMMYFUNCTION("""COMPUTED_VALUE"""),"")</f>
        <v/>
      </c>
      <c r="M4087" t="str">
        <f>IFERROR(__xludf.DUMMYFUNCTION("""COMPUTED_VALUE"""),"")</f>
        <v/>
      </c>
      <c r="N4087" t="str">
        <f>IFERROR(__xludf.DUMMYFUNCTION("""COMPUTED_VALUE"""),"")</f>
        <v/>
      </c>
      <c r="O4087" t="str">
        <f>IFERROR(__xludf.DUMMYFUNCTION("""COMPUTED_VALUE"""),"")</f>
        <v/>
      </c>
      <c r="P4087" t="str">
        <f>IFERROR(__xludf.DUMMYFUNCTION("""COMPUTED_VALUE"""),"ID ")</f>
        <v>ID </v>
      </c>
    </row>
    <row r="4088">
      <c r="A4088" s="6" t="str">
        <f>IFERROR(__xludf.DUMMYFUNCTION("""COMPUTED_VALUE"""),"")</f>
        <v/>
      </c>
      <c r="C4088" t="str">
        <f>IFERROR(__xludf.DUMMYFUNCTION("""COMPUTED_VALUE"""),"")</f>
        <v/>
      </c>
      <c r="D4088" t="str">
        <f>IFERROR(__xludf.DUMMYFUNCTION("""COMPUTED_VALUE"""),"")</f>
        <v/>
      </c>
      <c r="E4088" t="str">
        <f>IFERROR(__xludf.DUMMYFUNCTION("""COMPUTED_VALUE"""),"")</f>
        <v/>
      </c>
      <c r="F4088" t="str">
        <f>IFERROR(__xludf.DUMMYFUNCTION("""COMPUTED_VALUE"""),"")</f>
        <v/>
      </c>
      <c r="G4088" t="str">
        <f>IFERROR(__xludf.DUMMYFUNCTION("""COMPUTED_VALUE"""),"")</f>
        <v/>
      </c>
      <c r="H4088" s="2" t="str">
        <f>IFERROR(__xludf.DUMMYFUNCTION("""COMPUTED_VALUE"""),"")</f>
        <v/>
      </c>
      <c r="I4088" s="2" t="str">
        <f>IFERROR(__xludf.DUMMYFUNCTION("""COMPUTED_VALUE"""),"")</f>
        <v/>
      </c>
      <c r="J4088" s="2">
        <f>IFERROR(__xludf.DUMMYFUNCTION("""COMPUTED_VALUE"""),0.0)</f>
        <v>0</v>
      </c>
      <c r="K4088" s="5" t="str">
        <f>IFERROR(__xludf.DUMMYFUNCTION("""COMPUTED_VALUE"""),"")</f>
        <v/>
      </c>
      <c r="L4088" t="str">
        <f>IFERROR(__xludf.DUMMYFUNCTION("""COMPUTED_VALUE"""),"")</f>
        <v/>
      </c>
      <c r="M4088" t="str">
        <f>IFERROR(__xludf.DUMMYFUNCTION("""COMPUTED_VALUE"""),"")</f>
        <v/>
      </c>
      <c r="N4088" t="str">
        <f>IFERROR(__xludf.DUMMYFUNCTION("""COMPUTED_VALUE"""),"")</f>
        <v/>
      </c>
      <c r="O4088" t="str">
        <f>IFERROR(__xludf.DUMMYFUNCTION("""COMPUTED_VALUE"""),"")</f>
        <v/>
      </c>
      <c r="P4088" t="str">
        <f>IFERROR(__xludf.DUMMYFUNCTION("""COMPUTED_VALUE"""),"ID ")</f>
        <v>ID </v>
      </c>
    </row>
    <row r="4089">
      <c r="A4089" s="6" t="str">
        <f>IFERROR(__xludf.DUMMYFUNCTION("""COMPUTED_VALUE"""),"")</f>
        <v/>
      </c>
      <c r="C4089" t="str">
        <f>IFERROR(__xludf.DUMMYFUNCTION("""COMPUTED_VALUE"""),"")</f>
        <v/>
      </c>
      <c r="D4089" t="str">
        <f>IFERROR(__xludf.DUMMYFUNCTION("""COMPUTED_VALUE"""),"")</f>
        <v/>
      </c>
      <c r="E4089" t="str">
        <f>IFERROR(__xludf.DUMMYFUNCTION("""COMPUTED_VALUE"""),"")</f>
        <v/>
      </c>
      <c r="F4089" t="str">
        <f>IFERROR(__xludf.DUMMYFUNCTION("""COMPUTED_VALUE"""),"")</f>
        <v/>
      </c>
      <c r="G4089" t="str">
        <f>IFERROR(__xludf.DUMMYFUNCTION("""COMPUTED_VALUE"""),"")</f>
        <v/>
      </c>
      <c r="H4089" s="2" t="str">
        <f>IFERROR(__xludf.DUMMYFUNCTION("""COMPUTED_VALUE"""),"")</f>
        <v/>
      </c>
      <c r="I4089" s="2" t="str">
        <f>IFERROR(__xludf.DUMMYFUNCTION("""COMPUTED_VALUE"""),"")</f>
        <v/>
      </c>
      <c r="J4089" s="2">
        <f>IFERROR(__xludf.DUMMYFUNCTION("""COMPUTED_VALUE"""),0.0)</f>
        <v>0</v>
      </c>
      <c r="K4089" s="5" t="str">
        <f>IFERROR(__xludf.DUMMYFUNCTION("""COMPUTED_VALUE"""),"")</f>
        <v/>
      </c>
      <c r="L4089" t="str">
        <f>IFERROR(__xludf.DUMMYFUNCTION("""COMPUTED_VALUE"""),"")</f>
        <v/>
      </c>
      <c r="M4089" t="str">
        <f>IFERROR(__xludf.DUMMYFUNCTION("""COMPUTED_VALUE"""),"")</f>
        <v/>
      </c>
      <c r="N4089" t="str">
        <f>IFERROR(__xludf.DUMMYFUNCTION("""COMPUTED_VALUE"""),"")</f>
        <v/>
      </c>
      <c r="O4089" t="str">
        <f>IFERROR(__xludf.DUMMYFUNCTION("""COMPUTED_VALUE"""),"")</f>
        <v/>
      </c>
      <c r="P4089" t="str">
        <f>IFERROR(__xludf.DUMMYFUNCTION("""COMPUTED_VALUE"""),"ID ")</f>
        <v>ID </v>
      </c>
    </row>
    <row r="4090">
      <c r="A4090" s="6" t="str">
        <f>IFERROR(__xludf.DUMMYFUNCTION("""COMPUTED_VALUE"""),"")</f>
        <v/>
      </c>
      <c r="C4090" t="str">
        <f>IFERROR(__xludf.DUMMYFUNCTION("""COMPUTED_VALUE"""),"")</f>
        <v/>
      </c>
      <c r="D4090" t="str">
        <f>IFERROR(__xludf.DUMMYFUNCTION("""COMPUTED_VALUE"""),"")</f>
        <v/>
      </c>
      <c r="E4090" t="str">
        <f>IFERROR(__xludf.DUMMYFUNCTION("""COMPUTED_VALUE"""),"")</f>
        <v/>
      </c>
      <c r="F4090" t="str">
        <f>IFERROR(__xludf.DUMMYFUNCTION("""COMPUTED_VALUE"""),"")</f>
        <v/>
      </c>
      <c r="G4090" t="str">
        <f>IFERROR(__xludf.DUMMYFUNCTION("""COMPUTED_VALUE"""),"")</f>
        <v/>
      </c>
      <c r="H4090" s="2" t="str">
        <f>IFERROR(__xludf.DUMMYFUNCTION("""COMPUTED_VALUE"""),"")</f>
        <v/>
      </c>
      <c r="I4090" s="2" t="str">
        <f>IFERROR(__xludf.DUMMYFUNCTION("""COMPUTED_VALUE"""),"")</f>
        <v/>
      </c>
      <c r="J4090" s="2">
        <f>IFERROR(__xludf.DUMMYFUNCTION("""COMPUTED_VALUE"""),0.0)</f>
        <v>0</v>
      </c>
      <c r="K4090" s="5" t="str">
        <f>IFERROR(__xludf.DUMMYFUNCTION("""COMPUTED_VALUE"""),"")</f>
        <v/>
      </c>
      <c r="L4090" t="str">
        <f>IFERROR(__xludf.DUMMYFUNCTION("""COMPUTED_VALUE"""),"")</f>
        <v/>
      </c>
      <c r="M4090" t="str">
        <f>IFERROR(__xludf.DUMMYFUNCTION("""COMPUTED_VALUE"""),"")</f>
        <v/>
      </c>
      <c r="N4090" t="str">
        <f>IFERROR(__xludf.DUMMYFUNCTION("""COMPUTED_VALUE"""),"")</f>
        <v/>
      </c>
      <c r="O4090" t="str">
        <f>IFERROR(__xludf.DUMMYFUNCTION("""COMPUTED_VALUE"""),"")</f>
        <v/>
      </c>
      <c r="P4090" t="str">
        <f>IFERROR(__xludf.DUMMYFUNCTION("""COMPUTED_VALUE"""),"ID ")</f>
        <v>ID </v>
      </c>
    </row>
    <row r="4091">
      <c r="A4091" s="6" t="str">
        <f>IFERROR(__xludf.DUMMYFUNCTION("""COMPUTED_VALUE"""),"")</f>
        <v/>
      </c>
      <c r="C4091" t="str">
        <f>IFERROR(__xludf.DUMMYFUNCTION("""COMPUTED_VALUE"""),"")</f>
        <v/>
      </c>
      <c r="D4091" t="str">
        <f>IFERROR(__xludf.DUMMYFUNCTION("""COMPUTED_VALUE"""),"")</f>
        <v/>
      </c>
      <c r="E4091" t="str">
        <f>IFERROR(__xludf.DUMMYFUNCTION("""COMPUTED_VALUE"""),"")</f>
        <v/>
      </c>
      <c r="F4091" t="str">
        <f>IFERROR(__xludf.DUMMYFUNCTION("""COMPUTED_VALUE"""),"")</f>
        <v/>
      </c>
      <c r="G4091" t="str">
        <f>IFERROR(__xludf.DUMMYFUNCTION("""COMPUTED_VALUE"""),"")</f>
        <v/>
      </c>
      <c r="H4091" s="2" t="str">
        <f>IFERROR(__xludf.DUMMYFUNCTION("""COMPUTED_VALUE"""),"")</f>
        <v/>
      </c>
      <c r="I4091" s="2" t="str">
        <f>IFERROR(__xludf.DUMMYFUNCTION("""COMPUTED_VALUE"""),"")</f>
        <v/>
      </c>
      <c r="J4091" s="2">
        <f>IFERROR(__xludf.DUMMYFUNCTION("""COMPUTED_VALUE"""),0.0)</f>
        <v>0</v>
      </c>
      <c r="K4091" s="5" t="str">
        <f>IFERROR(__xludf.DUMMYFUNCTION("""COMPUTED_VALUE"""),"")</f>
        <v/>
      </c>
      <c r="L4091" t="str">
        <f>IFERROR(__xludf.DUMMYFUNCTION("""COMPUTED_VALUE"""),"")</f>
        <v/>
      </c>
      <c r="M4091" t="str">
        <f>IFERROR(__xludf.DUMMYFUNCTION("""COMPUTED_VALUE"""),"")</f>
        <v/>
      </c>
      <c r="N4091" t="str">
        <f>IFERROR(__xludf.DUMMYFUNCTION("""COMPUTED_VALUE"""),"")</f>
        <v/>
      </c>
      <c r="O4091" t="str">
        <f>IFERROR(__xludf.DUMMYFUNCTION("""COMPUTED_VALUE"""),"")</f>
        <v/>
      </c>
      <c r="P4091" t="str">
        <f>IFERROR(__xludf.DUMMYFUNCTION("""COMPUTED_VALUE"""),"ID ")</f>
        <v>ID </v>
      </c>
    </row>
    <row r="4092">
      <c r="A4092" s="6" t="str">
        <f>IFERROR(__xludf.DUMMYFUNCTION("""COMPUTED_VALUE"""),"")</f>
        <v/>
      </c>
      <c r="C4092" t="str">
        <f>IFERROR(__xludf.DUMMYFUNCTION("""COMPUTED_VALUE"""),"")</f>
        <v/>
      </c>
      <c r="D4092" t="str">
        <f>IFERROR(__xludf.DUMMYFUNCTION("""COMPUTED_VALUE"""),"")</f>
        <v/>
      </c>
      <c r="E4092" t="str">
        <f>IFERROR(__xludf.DUMMYFUNCTION("""COMPUTED_VALUE"""),"")</f>
        <v/>
      </c>
      <c r="F4092" t="str">
        <f>IFERROR(__xludf.DUMMYFUNCTION("""COMPUTED_VALUE"""),"")</f>
        <v/>
      </c>
      <c r="G4092" t="str">
        <f>IFERROR(__xludf.DUMMYFUNCTION("""COMPUTED_VALUE"""),"")</f>
        <v/>
      </c>
      <c r="H4092" s="2" t="str">
        <f>IFERROR(__xludf.DUMMYFUNCTION("""COMPUTED_VALUE"""),"")</f>
        <v/>
      </c>
      <c r="I4092" s="2" t="str">
        <f>IFERROR(__xludf.DUMMYFUNCTION("""COMPUTED_VALUE"""),"")</f>
        <v/>
      </c>
      <c r="J4092" s="2">
        <f>IFERROR(__xludf.DUMMYFUNCTION("""COMPUTED_VALUE"""),0.0)</f>
        <v>0</v>
      </c>
      <c r="K4092" s="5" t="str">
        <f>IFERROR(__xludf.DUMMYFUNCTION("""COMPUTED_VALUE"""),"")</f>
        <v/>
      </c>
      <c r="L4092" t="str">
        <f>IFERROR(__xludf.DUMMYFUNCTION("""COMPUTED_VALUE"""),"")</f>
        <v/>
      </c>
      <c r="M4092" t="str">
        <f>IFERROR(__xludf.DUMMYFUNCTION("""COMPUTED_VALUE"""),"")</f>
        <v/>
      </c>
      <c r="N4092" t="str">
        <f>IFERROR(__xludf.DUMMYFUNCTION("""COMPUTED_VALUE"""),"")</f>
        <v/>
      </c>
      <c r="O4092" t="str">
        <f>IFERROR(__xludf.DUMMYFUNCTION("""COMPUTED_VALUE"""),"")</f>
        <v/>
      </c>
      <c r="P4092" t="str">
        <f>IFERROR(__xludf.DUMMYFUNCTION("""COMPUTED_VALUE"""),"ID ")</f>
        <v>ID </v>
      </c>
    </row>
    <row r="4093">
      <c r="A4093" s="6" t="str">
        <f>IFERROR(__xludf.DUMMYFUNCTION("""COMPUTED_VALUE"""),"")</f>
        <v/>
      </c>
      <c r="C4093" t="str">
        <f>IFERROR(__xludf.DUMMYFUNCTION("""COMPUTED_VALUE"""),"")</f>
        <v/>
      </c>
      <c r="D4093" t="str">
        <f>IFERROR(__xludf.DUMMYFUNCTION("""COMPUTED_VALUE"""),"")</f>
        <v/>
      </c>
      <c r="E4093" t="str">
        <f>IFERROR(__xludf.DUMMYFUNCTION("""COMPUTED_VALUE"""),"")</f>
        <v/>
      </c>
      <c r="F4093" t="str">
        <f>IFERROR(__xludf.DUMMYFUNCTION("""COMPUTED_VALUE"""),"")</f>
        <v/>
      </c>
      <c r="G4093" t="str">
        <f>IFERROR(__xludf.DUMMYFUNCTION("""COMPUTED_VALUE"""),"")</f>
        <v/>
      </c>
      <c r="H4093" s="2" t="str">
        <f>IFERROR(__xludf.DUMMYFUNCTION("""COMPUTED_VALUE"""),"")</f>
        <v/>
      </c>
      <c r="I4093" s="2" t="str">
        <f>IFERROR(__xludf.DUMMYFUNCTION("""COMPUTED_VALUE"""),"")</f>
        <v/>
      </c>
      <c r="J4093" s="2">
        <f>IFERROR(__xludf.DUMMYFUNCTION("""COMPUTED_VALUE"""),0.0)</f>
        <v>0</v>
      </c>
      <c r="K4093" s="5" t="str">
        <f>IFERROR(__xludf.DUMMYFUNCTION("""COMPUTED_VALUE"""),"")</f>
        <v/>
      </c>
      <c r="L4093" t="str">
        <f>IFERROR(__xludf.DUMMYFUNCTION("""COMPUTED_VALUE"""),"")</f>
        <v/>
      </c>
      <c r="M4093" t="str">
        <f>IFERROR(__xludf.DUMMYFUNCTION("""COMPUTED_VALUE"""),"")</f>
        <v/>
      </c>
      <c r="N4093" t="str">
        <f>IFERROR(__xludf.DUMMYFUNCTION("""COMPUTED_VALUE"""),"")</f>
        <v/>
      </c>
      <c r="O4093" t="str">
        <f>IFERROR(__xludf.DUMMYFUNCTION("""COMPUTED_VALUE"""),"")</f>
        <v/>
      </c>
      <c r="P4093" t="str">
        <f>IFERROR(__xludf.DUMMYFUNCTION("""COMPUTED_VALUE"""),"ID ")</f>
        <v>ID </v>
      </c>
    </row>
    <row r="4094">
      <c r="A4094" s="6" t="str">
        <f>IFERROR(__xludf.DUMMYFUNCTION("""COMPUTED_VALUE"""),"")</f>
        <v/>
      </c>
      <c r="C4094" t="str">
        <f>IFERROR(__xludf.DUMMYFUNCTION("""COMPUTED_VALUE"""),"")</f>
        <v/>
      </c>
      <c r="D4094" t="str">
        <f>IFERROR(__xludf.DUMMYFUNCTION("""COMPUTED_VALUE"""),"")</f>
        <v/>
      </c>
      <c r="E4094" t="str">
        <f>IFERROR(__xludf.DUMMYFUNCTION("""COMPUTED_VALUE"""),"")</f>
        <v/>
      </c>
      <c r="F4094" t="str">
        <f>IFERROR(__xludf.DUMMYFUNCTION("""COMPUTED_VALUE"""),"")</f>
        <v/>
      </c>
      <c r="G4094" t="str">
        <f>IFERROR(__xludf.DUMMYFUNCTION("""COMPUTED_VALUE"""),"")</f>
        <v/>
      </c>
      <c r="H4094" s="2" t="str">
        <f>IFERROR(__xludf.DUMMYFUNCTION("""COMPUTED_VALUE"""),"")</f>
        <v/>
      </c>
      <c r="I4094" s="2" t="str">
        <f>IFERROR(__xludf.DUMMYFUNCTION("""COMPUTED_VALUE"""),"")</f>
        <v/>
      </c>
      <c r="J4094" s="2">
        <f>IFERROR(__xludf.DUMMYFUNCTION("""COMPUTED_VALUE"""),0.0)</f>
        <v>0</v>
      </c>
      <c r="K4094" s="5" t="str">
        <f>IFERROR(__xludf.DUMMYFUNCTION("""COMPUTED_VALUE"""),"")</f>
        <v/>
      </c>
      <c r="L4094" t="str">
        <f>IFERROR(__xludf.DUMMYFUNCTION("""COMPUTED_VALUE"""),"")</f>
        <v/>
      </c>
      <c r="M4094" t="str">
        <f>IFERROR(__xludf.DUMMYFUNCTION("""COMPUTED_VALUE"""),"")</f>
        <v/>
      </c>
      <c r="N4094" t="str">
        <f>IFERROR(__xludf.DUMMYFUNCTION("""COMPUTED_VALUE"""),"")</f>
        <v/>
      </c>
      <c r="O4094" t="str">
        <f>IFERROR(__xludf.DUMMYFUNCTION("""COMPUTED_VALUE"""),"")</f>
        <v/>
      </c>
      <c r="P4094" t="str">
        <f>IFERROR(__xludf.DUMMYFUNCTION("""COMPUTED_VALUE"""),"ID ")</f>
        <v>ID </v>
      </c>
    </row>
    <row r="4095">
      <c r="A4095" s="6" t="str">
        <f>IFERROR(__xludf.DUMMYFUNCTION("""COMPUTED_VALUE"""),"")</f>
        <v/>
      </c>
      <c r="C4095" t="str">
        <f>IFERROR(__xludf.DUMMYFUNCTION("""COMPUTED_VALUE"""),"")</f>
        <v/>
      </c>
      <c r="D4095" t="str">
        <f>IFERROR(__xludf.DUMMYFUNCTION("""COMPUTED_VALUE"""),"")</f>
        <v/>
      </c>
      <c r="E4095" t="str">
        <f>IFERROR(__xludf.DUMMYFUNCTION("""COMPUTED_VALUE"""),"")</f>
        <v/>
      </c>
      <c r="F4095" t="str">
        <f>IFERROR(__xludf.DUMMYFUNCTION("""COMPUTED_VALUE"""),"")</f>
        <v/>
      </c>
      <c r="G4095" t="str">
        <f>IFERROR(__xludf.DUMMYFUNCTION("""COMPUTED_VALUE"""),"")</f>
        <v/>
      </c>
      <c r="H4095" s="2" t="str">
        <f>IFERROR(__xludf.DUMMYFUNCTION("""COMPUTED_VALUE"""),"")</f>
        <v/>
      </c>
      <c r="I4095" s="2" t="str">
        <f>IFERROR(__xludf.DUMMYFUNCTION("""COMPUTED_VALUE"""),"")</f>
        <v/>
      </c>
      <c r="J4095" s="2">
        <f>IFERROR(__xludf.DUMMYFUNCTION("""COMPUTED_VALUE"""),0.0)</f>
        <v>0</v>
      </c>
      <c r="K4095" s="5" t="str">
        <f>IFERROR(__xludf.DUMMYFUNCTION("""COMPUTED_VALUE"""),"")</f>
        <v/>
      </c>
      <c r="L4095" t="str">
        <f>IFERROR(__xludf.DUMMYFUNCTION("""COMPUTED_VALUE"""),"")</f>
        <v/>
      </c>
      <c r="M4095" t="str">
        <f>IFERROR(__xludf.DUMMYFUNCTION("""COMPUTED_VALUE"""),"")</f>
        <v/>
      </c>
      <c r="N4095" t="str">
        <f>IFERROR(__xludf.DUMMYFUNCTION("""COMPUTED_VALUE"""),"")</f>
        <v/>
      </c>
      <c r="O4095" t="str">
        <f>IFERROR(__xludf.DUMMYFUNCTION("""COMPUTED_VALUE"""),"")</f>
        <v/>
      </c>
      <c r="P4095" t="str">
        <f>IFERROR(__xludf.DUMMYFUNCTION("""COMPUTED_VALUE"""),"ID ")</f>
        <v>ID </v>
      </c>
    </row>
    <row r="4096">
      <c r="A4096" s="6" t="str">
        <f>IFERROR(__xludf.DUMMYFUNCTION("""COMPUTED_VALUE"""),"")</f>
        <v/>
      </c>
      <c r="C4096" t="str">
        <f>IFERROR(__xludf.DUMMYFUNCTION("""COMPUTED_VALUE"""),"")</f>
        <v/>
      </c>
      <c r="D4096" t="str">
        <f>IFERROR(__xludf.DUMMYFUNCTION("""COMPUTED_VALUE"""),"")</f>
        <v/>
      </c>
      <c r="E4096" t="str">
        <f>IFERROR(__xludf.DUMMYFUNCTION("""COMPUTED_VALUE"""),"")</f>
        <v/>
      </c>
      <c r="F4096" t="str">
        <f>IFERROR(__xludf.DUMMYFUNCTION("""COMPUTED_VALUE"""),"")</f>
        <v/>
      </c>
      <c r="G4096" t="str">
        <f>IFERROR(__xludf.DUMMYFUNCTION("""COMPUTED_VALUE"""),"")</f>
        <v/>
      </c>
      <c r="H4096" s="2" t="str">
        <f>IFERROR(__xludf.DUMMYFUNCTION("""COMPUTED_VALUE"""),"")</f>
        <v/>
      </c>
      <c r="I4096" s="2" t="str">
        <f>IFERROR(__xludf.DUMMYFUNCTION("""COMPUTED_VALUE"""),"")</f>
        <v/>
      </c>
      <c r="J4096" s="2">
        <f>IFERROR(__xludf.DUMMYFUNCTION("""COMPUTED_VALUE"""),0.0)</f>
        <v>0</v>
      </c>
      <c r="K4096" s="5" t="str">
        <f>IFERROR(__xludf.DUMMYFUNCTION("""COMPUTED_VALUE"""),"")</f>
        <v/>
      </c>
      <c r="L4096" t="str">
        <f>IFERROR(__xludf.DUMMYFUNCTION("""COMPUTED_VALUE"""),"")</f>
        <v/>
      </c>
      <c r="M4096" t="str">
        <f>IFERROR(__xludf.DUMMYFUNCTION("""COMPUTED_VALUE"""),"")</f>
        <v/>
      </c>
      <c r="N4096" t="str">
        <f>IFERROR(__xludf.DUMMYFUNCTION("""COMPUTED_VALUE"""),"")</f>
        <v/>
      </c>
      <c r="O4096" t="str">
        <f>IFERROR(__xludf.DUMMYFUNCTION("""COMPUTED_VALUE"""),"")</f>
        <v/>
      </c>
      <c r="P4096" t="str">
        <f>IFERROR(__xludf.DUMMYFUNCTION("""COMPUTED_VALUE"""),"ID ")</f>
        <v>ID </v>
      </c>
    </row>
    <row r="4097">
      <c r="A4097" s="6" t="str">
        <f>IFERROR(__xludf.DUMMYFUNCTION("""COMPUTED_VALUE"""),"")</f>
        <v/>
      </c>
      <c r="C4097" t="str">
        <f>IFERROR(__xludf.DUMMYFUNCTION("""COMPUTED_VALUE"""),"")</f>
        <v/>
      </c>
      <c r="D4097" t="str">
        <f>IFERROR(__xludf.DUMMYFUNCTION("""COMPUTED_VALUE"""),"")</f>
        <v/>
      </c>
      <c r="E4097" t="str">
        <f>IFERROR(__xludf.DUMMYFUNCTION("""COMPUTED_VALUE"""),"")</f>
        <v/>
      </c>
      <c r="F4097" t="str">
        <f>IFERROR(__xludf.DUMMYFUNCTION("""COMPUTED_VALUE"""),"")</f>
        <v/>
      </c>
      <c r="G4097" t="str">
        <f>IFERROR(__xludf.DUMMYFUNCTION("""COMPUTED_VALUE"""),"")</f>
        <v/>
      </c>
      <c r="H4097" s="2" t="str">
        <f>IFERROR(__xludf.DUMMYFUNCTION("""COMPUTED_VALUE"""),"")</f>
        <v/>
      </c>
      <c r="I4097" s="2" t="str">
        <f>IFERROR(__xludf.DUMMYFUNCTION("""COMPUTED_VALUE"""),"")</f>
        <v/>
      </c>
      <c r="J4097" s="2">
        <f>IFERROR(__xludf.DUMMYFUNCTION("""COMPUTED_VALUE"""),0.0)</f>
        <v>0</v>
      </c>
      <c r="K4097" s="5" t="str">
        <f>IFERROR(__xludf.DUMMYFUNCTION("""COMPUTED_VALUE"""),"")</f>
        <v/>
      </c>
      <c r="L4097" t="str">
        <f>IFERROR(__xludf.DUMMYFUNCTION("""COMPUTED_VALUE"""),"")</f>
        <v/>
      </c>
      <c r="M4097" t="str">
        <f>IFERROR(__xludf.DUMMYFUNCTION("""COMPUTED_VALUE"""),"")</f>
        <v/>
      </c>
      <c r="N4097" t="str">
        <f>IFERROR(__xludf.DUMMYFUNCTION("""COMPUTED_VALUE"""),"")</f>
        <v/>
      </c>
      <c r="O4097" t="str">
        <f>IFERROR(__xludf.DUMMYFUNCTION("""COMPUTED_VALUE"""),"")</f>
        <v/>
      </c>
      <c r="P4097" t="str">
        <f>IFERROR(__xludf.DUMMYFUNCTION("""COMPUTED_VALUE"""),"ID ")</f>
        <v>ID </v>
      </c>
    </row>
    <row r="4098">
      <c r="A4098" s="6" t="str">
        <f>IFERROR(__xludf.DUMMYFUNCTION("""COMPUTED_VALUE"""),"")</f>
        <v/>
      </c>
      <c r="C4098" t="str">
        <f>IFERROR(__xludf.DUMMYFUNCTION("""COMPUTED_VALUE"""),"")</f>
        <v/>
      </c>
      <c r="D4098" t="str">
        <f>IFERROR(__xludf.DUMMYFUNCTION("""COMPUTED_VALUE"""),"")</f>
        <v/>
      </c>
      <c r="E4098" t="str">
        <f>IFERROR(__xludf.DUMMYFUNCTION("""COMPUTED_VALUE"""),"")</f>
        <v/>
      </c>
      <c r="F4098" t="str">
        <f>IFERROR(__xludf.DUMMYFUNCTION("""COMPUTED_VALUE"""),"")</f>
        <v/>
      </c>
      <c r="G4098" t="str">
        <f>IFERROR(__xludf.DUMMYFUNCTION("""COMPUTED_VALUE"""),"")</f>
        <v/>
      </c>
      <c r="H4098" s="2" t="str">
        <f>IFERROR(__xludf.DUMMYFUNCTION("""COMPUTED_VALUE"""),"")</f>
        <v/>
      </c>
      <c r="I4098" s="2" t="str">
        <f>IFERROR(__xludf.DUMMYFUNCTION("""COMPUTED_VALUE"""),"")</f>
        <v/>
      </c>
      <c r="J4098" s="2">
        <f>IFERROR(__xludf.DUMMYFUNCTION("""COMPUTED_VALUE"""),0.0)</f>
        <v>0</v>
      </c>
      <c r="K4098" s="5" t="str">
        <f>IFERROR(__xludf.DUMMYFUNCTION("""COMPUTED_VALUE"""),"")</f>
        <v/>
      </c>
      <c r="L4098" t="str">
        <f>IFERROR(__xludf.DUMMYFUNCTION("""COMPUTED_VALUE"""),"")</f>
        <v/>
      </c>
      <c r="M4098" t="str">
        <f>IFERROR(__xludf.DUMMYFUNCTION("""COMPUTED_VALUE"""),"")</f>
        <v/>
      </c>
      <c r="N4098" t="str">
        <f>IFERROR(__xludf.DUMMYFUNCTION("""COMPUTED_VALUE"""),"")</f>
        <v/>
      </c>
      <c r="O4098" t="str">
        <f>IFERROR(__xludf.DUMMYFUNCTION("""COMPUTED_VALUE"""),"")</f>
        <v/>
      </c>
      <c r="P4098" t="str">
        <f>IFERROR(__xludf.DUMMYFUNCTION("""COMPUTED_VALUE"""),"ID ")</f>
        <v>ID </v>
      </c>
    </row>
    <row r="4099">
      <c r="A4099" s="6" t="str">
        <f>IFERROR(__xludf.DUMMYFUNCTION("""COMPUTED_VALUE"""),"")</f>
        <v/>
      </c>
      <c r="C4099" t="str">
        <f>IFERROR(__xludf.DUMMYFUNCTION("""COMPUTED_VALUE"""),"")</f>
        <v/>
      </c>
      <c r="D4099" t="str">
        <f>IFERROR(__xludf.DUMMYFUNCTION("""COMPUTED_VALUE"""),"")</f>
        <v/>
      </c>
      <c r="E4099" t="str">
        <f>IFERROR(__xludf.DUMMYFUNCTION("""COMPUTED_VALUE"""),"")</f>
        <v/>
      </c>
      <c r="F4099" t="str">
        <f>IFERROR(__xludf.DUMMYFUNCTION("""COMPUTED_VALUE"""),"")</f>
        <v/>
      </c>
      <c r="G4099" t="str">
        <f>IFERROR(__xludf.DUMMYFUNCTION("""COMPUTED_VALUE"""),"")</f>
        <v/>
      </c>
      <c r="H4099" s="2" t="str">
        <f>IFERROR(__xludf.DUMMYFUNCTION("""COMPUTED_VALUE"""),"")</f>
        <v/>
      </c>
      <c r="I4099" s="2" t="str">
        <f>IFERROR(__xludf.DUMMYFUNCTION("""COMPUTED_VALUE"""),"")</f>
        <v/>
      </c>
      <c r="J4099" s="2">
        <f>IFERROR(__xludf.DUMMYFUNCTION("""COMPUTED_VALUE"""),0.0)</f>
        <v>0</v>
      </c>
      <c r="K4099" s="5" t="str">
        <f>IFERROR(__xludf.DUMMYFUNCTION("""COMPUTED_VALUE"""),"")</f>
        <v/>
      </c>
      <c r="L4099" t="str">
        <f>IFERROR(__xludf.DUMMYFUNCTION("""COMPUTED_VALUE"""),"")</f>
        <v/>
      </c>
      <c r="M4099" t="str">
        <f>IFERROR(__xludf.DUMMYFUNCTION("""COMPUTED_VALUE"""),"")</f>
        <v/>
      </c>
      <c r="N4099" t="str">
        <f>IFERROR(__xludf.DUMMYFUNCTION("""COMPUTED_VALUE"""),"")</f>
        <v/>
      </c>
      <c r="O4099" t="str">
        <f>IFERROR(__xludf.DUMMYFUNCTION("""COMPUTED_VALUE"""),"")</f>
        <v/>
      </c>
      <c r="P4099" t="str">
        <f>IFERROR(__xludf.DUMMYFUNCTION("""COMPUTED_VALUE"""),"ID ")</f>
        <v>ID </v>
      </c>
    </row>
    <row r="4100">
      <c r="A4100" s="6" t="str">
        <f>IFERROR(__xludf.DUMMYFUNCTION("""COMPUTED_VALUE"""),"")</f>
        <v/>
      </c>
      <c r="C4100" t="str">
        <f>IFERROR(__xludf.DUMMYFUNCTION("""COMPUTED_VALUE"""),"")</f>
        <v/>
      </c>
      <c r="D4100" t="str">
        <f>IFERROR(__xludf.DUMMYFUNCTION("""COMPUTED_VALUE"""),"")</f>
        <v/>
      </c>
      <c r="E4100" t="str">
        <f>IFERROR(__xludf.DUMMYFUNCTION("""COMPUTED_VALUE"""),"")</f>
        <v/>
      </c>
      <c r="F4100" t="str">
        <f>IFERROR(__xludf.DUMMYFUNCTION("""COMPUTED_VALUE"""),"")</f>
        <v/>
      </c>
      <c r="G4100" t="str">
        <f>IFERROR(__xludf.DUMMYFUNCTION("""COMPUTED_VALUE"""),"")</f>
        <v/>
      </c>
      <c r="H4100" s="2" t="str">
        <f>IFERROR(__xludf.DUMMYFUNCTION("""COMPUTED_VALUE"""),"")</f>
        <v/>
      </c>
      <c r="I4100" s="2" t="str">
        <f>IFERROR(__xludf.DUMMYFUNCTION("""COMPUTED_VALUE"""),"")</f>
        <v/>
      </c>
      <c r="J4100" s="2">
        <f>IFERROR(__xludf.DUMMYFUNCTION("""COMPUTED_VALUE"""),0.0)</f>
        <v>0</v>
      </c>
      <c r="K4100" s="5" t="str">
        <f>IFERROR(__xludf.DUMMYFUNCTION("""COMPUTED_VALUE"""),"")</f>
        <v/>
      </c>
      <c r="L4100" t="str">
        <f>IFERROR(__xludf.DUMMYFUNCTION("""COMPUTED_VALUE"""),"")</f>
        <v/>
      </c>
      <c r="M4100" t="str">
        <f>IFERROR(__xludf.DUMMYFUNCTION("""COMPUTED_VALUE"""),"")</f>
        <v/>
      </c>
      <c r="N4100" t="str">
        <f>IFERROR(__xludf.DUMMYFUNCTION("""COMPUTED_VALUE"""),"")</f>
        <v/>
      </c>
      <c r="O4100" t="str">
        <f>IFERROR(__xludf.DUMMYFUNCTION("""COMPUTED_VALUE"""),"")</f>
        <v/>
      </c>
      <c r="P4100" t="str">
        <f>IFERROR(__xludf.DUMMYFUNCTION("""COMPUTED_VALUE"""),"ID ")</f>
        <v>ID </v>
      </c>
    </row>
    <row r="4101">
      <c r="A4101" s="6" t="str">
        <f>IFERROR(__xludf.DUMMYFUNCTION("""COMPUTED_VALUE"""),"")</f>
        <v/>
      </c>
      <c r="C4101" t="str">
        <f>IFERROR(__xludf.DUMMYFUNCTION("""COMPUTED_VALUE"""),"")</f>
        <v/>
      </c>
      <c r="D4101" t="str">
        <f>IFERROR(__xludf.DUMMYFUNCTION("""COMPUTED_VALUE"""),"")</f>
        <v/>
      </c>
      <c r="E4101" t="str">
        <f>IFERROR(__xludf.DUMMYFUNCTION("""COMPUTED_VALUE"""),"")</f>
        <v/>
      </c>
      <c r="F4101" t="str">
        <f>IFERROR(__xludf.DUMMYFUNCTION("""COMPUTED_VALUE"""),"")</f>
        <v/>
      </c>
      <c r="G4101" t="str">
        <f>IFERROR(__xludf.DUMMYFUNCTION("""COMPUTED_VALUE"""),"")</f>
        <v/>
      </c>
      <c r="H4101" s="2" t="str">
        <f>IFERROR(__xludf.DUMMYFUNCTION("""COMPUTED_VALUE"""),"")</f>
        <v/>
      </c>
      <c r="I4101" s="2" t="str">
        <f>IFERROR(__xludf.DUMMYFUNCTION("""COMPUTED_VALUE"""),"")</f>
        <v/>
      </c>
      <c r="J4101" s="2">
        <f>IFERROR(__xludf.DUMMYFUNCTION("""COMPUTED_VALUE"""),0.0)</f>
        <v>0</v>
      </c>
      <c r="K4101" s="5" t="str">
        <f>IFERROR(__xludf.DUMMYFUNCTION("""COMPUTED_VALUE"""),"")</f>
        <v/>
      </c>
      <c r="L4101" t="str">
        <f>IFERROR(__xludf.DUMMYFUNCTION("""COMPUTED_VALUE"""),"")</f>
        <v/>
      </c>
      <c r="M4101" t="str">
        <f>IFERROR(__xludf.DUMMYFUNCTION("""COMPUTED_VALUE"""),"")</f>
        <v/>
      </c>
      <c r="N4101" t="str">
        <f>IFERROR(__xludf.DUMMYFUNCTION("""COMPUTED_VALUE"""),"")</f>
        <v/>
      </c>
      <c r="O4101" t="str">
        <f>IFERROR(__xludf.DUMMYFUNCTION("""COMPUTED_VALUE"""),"")</f>
        <v/>
      </c>
      <c r="P4101" t="str">
        <f>IFERROR(__xludf.DUMMYFUNCTION("""COMPUTED_VALUE"""),"ID ")</f>
        <v>ID </v>
      </c>
    </row>
    <row r="4102">
      <c r="A4102" s="6" t="str">
        <f>IFERROR(__xludf.DUMMYFUNCTION("""COMPUTED_VALUE"""),"")</f>
        <v/>
      </c>
      <c r="C4102" t="str">
        <f>IFERROR(__xludf.DUMMYFUNCTION("""COMPUTED_VALUE"""),"")</f>
        <v/>
      </c>
      <c r="D4102" t="str">
        <f>IFERROR(__xludf.DUMMYFUNCTION("""COMPUTED_VALUE"""),"")</f>
        <v/>
      </c>
      <c r="E4102" t="str">
        <f>IFERROR(__xludf.DUMMYFUNCTION("""COMPUTED_VALUE"""),"")</f>
        <v/>
      </c>
      <c r="F4102" t="str">
        <f>IFERROR(__xludf.DUMMYFUNCTION("""COMPUTED_VALUE"""),"")</f>
        <v/>
      </c>
      <c r="G4102" t="str">
        <f>IFERROR(__xludf.DUMMYFUNCTION("""COMPUTED_VALUE"""),"")</f>
        <v/>
      </c>
      <c r="H4102" s="2" t="str">
        <f>IFERROR(__xludf.DUMMYFUNCTION("""COMPUTED_VALUE"""),"")</f>
        <v/>
      </c>
      <c r="I4102" s="2" t="str">
        <f>IFERROR(__xludf.DUMMYFUNCTION("""COMPUTED_VALUE"""),"")</f>
        <v/>
      </c>
      <c r="J4102" s="2">
        <f>IFERROR(__xludf.DUMMYFUNCTION("""COMPUTED_VALUE"""),0.0)</f>
        <v>0</v>
      </c>
      <c r="K4102" s="5" t="str">
        <f>IFERROR(__xludf.DUMMYFUNCTION("""COMPUTED_VALUE"""),"")</f>
        <v/>
      </c>
      <c r="L4102" t="str">
        <f>IFERROR(__xludf.DUMMYFUNCTION("""COMPUTED_VALUE"""),"")</f>
        <v/>
      </c>
      <c r="M4102" t="str">
        <f>IFERROR(__xludf.DUMMYFUNCTION("""COMPUTED_VALUE"""),"")</f>
        <v/>
      </c>
      <c r="N4102" t="str">
        <f>IFERROR(__xludf.DUMMYFUNCTION("""COMPUTED_VALUE"""),"")</f>
        <v/>
      </c>
      <c r="O4102" t="str">
        <f>IFERROR(__xludf.DUMMYFUNCTION("""COMPUTED_VALUE"""),"")</f>
        <v/>
      </c>
      <c r="P4102" t="str">
        <f>IFERROR(__xludf.DUMMYFUNCTION("""COMPUTED_VALUE"""),"ID ")</f>
        <v>ID </v>
      </c>
    </row>
    <row r="4103">
      <c r="A4103" s="6" t="str">
        <f>IFERROR(__xludf.DUMMYFUNCTION("""COMPUTED_VALUE"""),"")</f>
        <v/>
      </c>
      <c r="C4103" t="str">
        <f>IFERROR(__xludf.DUMMYFUNCTION("""COMPUTED_VALUE"""),"")</f>
        <v/>
      </c>
      <c r="D4103" t="str">
        <f>IFERROR(__xludf.DUMMYFUNCTION("""COMPUTED_VALUE"""),"")</f>
        <v/>
      </c>
      <c r="E4103" t="str">
        <f>IFERROR(__xludf.DUMMYFUNCTION("""COMPUTED_VALUE"""),"")</f>
        <v/>
      </c>
      <c r="F4103" t="str">
        <f>IFERROR(__xludf.DUMMYFUNCTION("""COMPUTED_VALUE"""),"")</f>
        <v/>
      </c>
      <c r="G4103" t="str">
        <f>IFERROR(__xludf.DUMMYFUNCTION("""COMPUTED_VALUE"""),"")</f>
        <v/>
      </c>
      <c r="H4103" s="2" t="str">
        <f>IFERROR(__xludf.DUMMYFUNCTION("""COMPUTED_VALUE"""),"")</f>
        <v/>
      </c>
      <c r="I4103" s="2" t="str">
        <f>IFERROR(__xludf.DUMMYFUNCTION("""COMPUTED_VALUE"""),"")</f>
        <v/>
      </c>
      <c r="J4103" s="2">
        <f>IFERROR(__xludf.DUMMYFUNCTION("""COMPUTED_VALUE"""),0.0)</f>
        <v>0</v>
      </c>
      <c r="K4103" s="5" t="str">
        <f>IFERROR(__xludf.DUMMYFUNCTION("""COMPUTED_VALUE"""),"")</f>
        <v/>
      </c>
      <c r="L4103" t="str">
        <f>IFERROR(__xludf.DUMMYFUNCTION("""COMPUTED_VALUE"""),"")</f>
        <v/>
      </c>
      <c r="M4103" t="str">
        <f>IFERROR(__xludf.DUMMYFUNCTION("""COMPUTED_VALUE"""),"")</f>
        <v/>
      </c>
      <c r="N4103" t="str">
        <f>IFERROR(__xludf.DUMMYFUNCTION("""COMPUTED_VALUE"""),"")</f>
        <v/>
      </c>
      <c r="O4103" t="str">
        <f>IFERROR(__xludf.DUMMYFUNCTION("""COMPUTED_VALUE"""),"")</f>
        <v/>
      </c>
      <c r="P4103" t="str">
        <f>IFERROR(__xludf.DUMMYFUNCTION("""COMPUTED_VALUE"""),"ID ")</f>
        <v>ID </v>
      </c>
    </row>
    <row r="4104">
      <c r="A4104" s="6" t="str">
        <f>IFERROR(__xludf.DUMMYFUNCTION("""COMPUTED_VALUE"""),"")</f>
        <v/>
      </c>
      <c r="C4104" t="str">
        <f>IFERROR(__xludf.DUMMYFUNCTION("""COMPUTED_VALUE"""),"")</f>
        <v/>
      </c>
      <c r="D4104" t="str">
        <f>IFERROR(__xludf.DUMMYFUNCTION("""COMPUTED_VALUE"""),"")</f>
        <v/>
      </c>
      <c r="E4104" t="str">
        <f>IFERROR(__xludf.DUMMYFUNCTION("""COMPUTED_VALUE"""),"")</f>
        <v/>
      </c>
      <c r="F4104" t="str">
        <f>IFERROR(__xludf.DUMMYFUNCTION("""COMPUTED_VALUE"""),"")</f>
        <v/>
      </c>
      <c r="G4104" t="str">
        <f>IFERROR(__xludf.DUMMYFUNCTION("""COMPUTED_VALUE"""),"")</f>
        <v/>
      </c>
      <c r="H4104" s="2" t="str">
        <f>IFERROR(__xludf.DUMMYFUNCTION("""COMPUTED_VALUE"""),"")</f>
        <v/>
      </c>
      <c r="I4104" s="2" t="str">
        <f>IFERROR(__xludf.DUMMYFUNCTION("""COMPUTED_VALUE"""),"")</f>
        <v/>
      </c>
      <c r="J4104" s="2">
        <f>IFERROR(__xludf.DUMMYFUNCTION("""COMPUTED_VALUE"""),0.0)</f>
        <v>0</v>
      </c>
      <c r="K4104" s="5" t="str">
        <f>IFERROR(__xludf.DUMMYFUNCTION("""COMPUTED_VALUE"""),"")</f>
        <v/>
      </c>
      <c r="L4104" t="str">
        <f>IFERROR(__xludf.DUMMYFUNCTION("""COMPUTED_VALUE"""),"")</f>
        <v/>
      </c>
      <c r="M4104" t="str">
        <f>IFERROR(__xludf.DUMMYFUNCTION("""COMPUTED_VALUE"""),"")</f>
        <v/>
      </c>
      <c r="N4104" t="str">
        <f>IFERROR(__xludf.DUMMYFUNCTION("""COMPUTED_VALUE"""),"")</f>
        <v/>
      </c>
      <c r="O4104" t="str">
        <f>IFERROR(__xludf.DUMMYFUNCTION("""COMPUTED_VALUE"""),"")</f>
        <v/>
      </c>
      <c r="P4104" t="str">
        <f>IFERROR(__xludf.DUMMYFUNCTION("""COMPUTED_VALUE"""),"ID ")</f>
        <v>ID </v>
      </c>
    </row>
    <row r="4105">
      <c r="A4105" s="6" t="str">
        <f>IFERROR(__xludf.DUMMYFUNCTION("""COMPUTED_VALUE"""),"")</f>
        <v/>
      </c>
      <c r="C4105" t="str">
        <f>IFERROR(__xludf.DUMMYFUNCTION("""COMPUTED_VALUE"""),"")</f>
        <v/>
      </c>
      <c r="D4105" t="str">
        <f>IFERROR(__xludf.DUMMYFUNCTION("""COMPUTED_VALUE"""),"")</f>
        <v/>
      </c>
      <c r="E4105" t="str">
        <f>IFERROR(__xludf.DUMMYFUNCTION("""COMPUTED_VALUE"""),"")</f>
        <v/>
      </c>
      <c r="F4105" t="str">
        <f>IFERROR(__xludf.DUMMYFUNCTION("""COMPUTED_VALUE"""),"")</f>
        <v/>
      </c>
      <c r="G4105" t="str">
        <f>IFERROR(__xludf.DUMMYFUNCTION("""COMPUTED_VALUE"""),"")</f>
        <v/>
      </c>
      <c r="H4105" s="2" t="str">
        <f>IFERROR(__xludf.DUMMYFUNCTION("""COMPUTED_VALUE"""),"")</f>
        <v/>
      </c>
      <c r="I4105" s="2" t="str">
        <f>IFERROR(__xludf.DUMMYFUNCTION("""COMPUTED_VALUE"""),"")</f>
        <v/>
      </c>
      <c r="J4105" s="2">
        <f>IFERROR(__xludf.DUMMYFUNCTION("""COMPUTED_VALUE"""),0.0)</f>
        <v>0</v>
      </c>
      <c r="K4105" s="5" t="str">
        <f>IFERROR(__xludf.DUMMYFUNCTION("""COMPUTED_VALUE"""),"")</f>
        <v/>
      </c>
      <c r="L4105" t="str">
        <f>IFERROR(__xludf.DUMMYFUNCTION("""COMPUTED_VALUE"""),"")</f>
        <v/>
      </c>
      <c r="M4105" t="str">
        <f>IFERROR(__xludf.DUMMYFUNCTION("""COMPUTED_VALUE"""),"")</f>
        <v/>
      </c>
      <c r="N4105" t="str">
        <f>IFERROR(__xludf.DUMMYFUNCTION("""COMPUTED_VALUE"""),"")</f>
        <v/>
      </c>
      <c r="O4105" t="str">
        <f>IFERROR(__xludf.DUMMYFUNCTION("""COMPUTED_VALUE"""),"")</f>
        <v/>
      </c>
      <c r="P4105" t="str">
        <f>IFERROR(__xludf.DUMMYFUNCTION("""COMPUTED_VALUE"""),"ID ")</f>
        <v>ID </v>
      </c>
    </row>
    <row r="4106">
      <c r="A4106" s="6" t="str">
        <f>IFERROR(__xludf.DUMMYFUNCTION("""COMPUTED_VALUE"""),"")</f>
        <v/>
      </c>
      <c r="C4106" t="str">
        <f>IFERROR(__xludf.DUMMYFUNCTION("""COMPUTED_VALUE"""),"")</f>
        <v/>
      </c>
      <c r="D4106" t="str">
        <f>IFERROR(__xludf.DUMMYFUNCTION("""COMPUTED_VALUE"""),"")</f>
        <v/>
      </c>
      <c r="E4106" t="str">
        <f>IFERROR(__xludf.DUMMYFUNCTION("""COMPUTED_VALUE"""),"")</f>
        <v/>
      </c>
      <c r="F4106" t="str">
        <f>IFERROR(__xludf.DUMMYFUNCTION("""COMPUTED_VALUE"""),"")</f>
        <v/>
      </c>
      <c r="G4106" t="str">
        <f>IFERROR(__xludf.DUMMYFUNCTION("""COMPUTED_VALUE"""),"")</f>
        <v/>
      </c>
      <c r="H4106" s="2" t="str">
        <f>IFERROR(__xludf.DUMMYFUNCTION("""COMPUTED_VALUE"""),"")</f>
        <v/>
      </c>
      <c r="I4106" s="2" t="str">
        <f>IFERROR(__xludf.DUMMYFUNCTION("""COMPUTED_VALUE"""),"")</f>
        <v/>
      </c>
      <c r="J4106" s="2">
        <f>IFERROR(__xludf.DUMMYFUNCTION("""COMPUTED_VALUE"""),0.0)</f>
        <v>0</v>
      </c>
      <c r="K4106" s="5" t="str">
        <f>IFERROR(__xludf.DUMMYFUNCTION("""COMPUTED_VALUE"""),"")</f>
        <v/>
      </c>
      <c r="L4106" t="str">
        <f>IFERROR(__xludf.DUMMYFUNCTION("""COMPUTED_VALUE"""),"")</f>
        <v/>
      </c>
      <c r="M4106" t="str">
        <f>IFERROR(__xludf.DUMMYFUNCTION("""COMPUTED_VALUE"""),"")</f>
        <v/>
      </c>
      <c r="N4106" t="str">
        <f>IFERROR(__xludf.DUMMYFUNCTION("""COMPUTED_VALUE"""),"")</f>
        <v/>
      </c>
      <c r="O4106" t="str">
        <f>IFERROR(__xludf.DUMMYFUNCTION("""COMPUTED_VALUE"""),"")</f>
        <v/>
      </c>
      <c r="P4106" t="str">
        <f>IFERROR(__xludf.DUMMYFUNCTION("""COMPUTED_VALUE"""),"ID ")</f>
        <v>ID </v>
      </c>
    </row>
    <row r="4107">
      <c r="A4107" s="6" t="str">
        <f>IFERROR(__xludf.DUMMYFUNCTION("""COMPUTED_VALUE"""),"")</f>
        <v/>
      </c>
      <c r="C4107" t="str">
        <f>IFERROR(__xludf.DUMMYFUNCTION("""COMPUTED_VALUE"""),"")</f>
        <v/>
      </c>
      <c r="D4107" t="str">
        <f>IFERROR(__xludf.DUMMYFUNCTION("""COMPUTED_VALUE"""),"")</f>
        <v/>
      </c>
      <c r="E4107" t="str">
        <f>IFERROR(__xludf.DUMMYFUNCTION("""COMPUTED_VALUE"""),"")</f>
        <v/>
      </c>
      <c r="F4107" t="str">
        <f>IFERROR(__xludf.DUMMYFUNCTION("""COMPUTED_VALUE"""),"")</f>
        <v/>
      </c>
      <c r="G4107" t="str">
        <f>IFERROR(__xludf.DUMMYFUNCTION("""COMPUTED_VALUE"""),"")</f>
        <v/>
      </c>
      <c r="H4107" s="2" t="str">
        <f>IFERROR(__xludf.DUMMYFUNCTION("""COMPUTED_VALUE"""),"")</f>
        <v/>
      </c>
      <c r="I4107" s="2" t="str">
        <f>IFERROR(__xludf.DUMMYFUNCTION("""COMPUTED_VALUE"""),"")</f>
        <v/>
      </c>
      <c r="J4107" s="2">
        <f>IFERROR(__xludf.DUMMYFUNCTION("""COMPUTED_VALUE"""),0.0)</f>
        <v>0</v>
      </c>
      <c r="K4107" s="5" t="str">
        <f>IFERROR(__xludf.DUMMYFUNCTION("""COMPUTED_VALUE"""),"")</f>
        <v/>
      </c>
      <c r="L4107" t="str">
        <f>IFERROR(__xludf.DUMMYFUNCTION("""COMPUTED_VALUE"""),"")</f>
        <v/>
      </c>
      <c r="M4107" t="str">
        <f>IFERROR(__xludf.DUMMYFUNCTION("""COMPUTED_VALUE"""),"")</f>
        <v/>
      </c>
      <c r="N4107" t="str">
        <f>IFERROR(__xludf.DUMMYFUNCTION("""COMPUTED_VALUE"""),"")</f>
        <v/>
      </c>
      <c r="O4107" t="str">
        <f>IFERROR(__xludf.DUMMYFUNCTION("""COMPUTED_VALUE"""),"")</f>
        <v/>
      </c>
      <c r="P4107" t="str">
        <f>IFERROR(__xludf.DUMMYFUNCTION("""COMPUTED_VALUE"""),"ID ")</f>
        <v>ID </v>
      </c>
    </row>
    <row r="4108">
      <c r="A4108" s="6" t="str">
        <f>IFERROR(__xludf.DUMMYFUNCTION("""COMPUTED_VALUE"""),"")</f>
        <v/>
      </c>
      <c r="C4108" t="str">
        <f>IFERROR(__xludf.DUMMYFUNCTION("""COMPUTED_VALUE"""),"")</f>
        <v/>
      </c>
      <c r="D4108" t="str">
        <f>IFERROR(__xludf.DUMMYFUNCTION("""COMPUTED_VALUE"""),"")</f>
        <v/>
      </c>
      <c r="E4108" t="str">
        <f>IFERROR(__xludf.DUMMYFUNCTION("""COMPUTED_VALUE"""),"")</f>
        <v/>
      </c>
      <c r="F4108" t="str">
        <f>IFERROR(__xludf.DUMMYFUNCTION("""COMPUTED_VALUE"""),"")</f>
        <v/>
      </c>
      <c r="G4108" t="str">
        <f>IFERROR(__xludf.DUMMYFUNCTION("""COMPUTED_VALUE"""),"")</f>
        <v/>
      </c>
      <c r="H4108" s="2" t="str">
        <f>IFERROR(__xludf.DUMMYFUNCTION("""COMPUTED_VALUE"""),"")</f>
        <v/>
      </c>
      <c r="I4108" s="2" t="str">
        <f>IFERROR(__xludf.DUMMYFUNCTION("""COMPUTED_VALUE"""),"")</f>
        <v/>
      </c>
      <c r="J4108" s="2">
        <f>IFERROR(__xludf.DUMMYFUNCTION("""COMPUTED_VALUE"""),0.0)</f>
        <v>0</v>
      </c>
      <c r="K4108" s="5" t="str">
        <f>IFERROR(__xludf.DUMMYFUNCTION("""COMPUTED_VALUE"""),"")</f>
        <v/>
      </c>
      <c r="L4108" t="str">
        <f>IFERROR(__xludf.DUMMYFUNCTION("""COMPUTED_VALUE"""),"")</f>
        <v/>
      </c>
      <c r="M4108" t="str">
        <f>IFERROR(__xludf.DUMMYFUNCTION("""COMPUTED_VALUE"""),"")</f>
        <v/>
      </c>
      <c r="N4108" t="str">
        <f>IFERROR(__xludf.DUMMYFUNCTION("""COMPUTED_VALUE"""),"")</f>
        <v/>
      </c>
      <c r="O4108" t="str">
        <f>IFERROR(__xludf.DUMMYFUNCTION("""COMPUTED_VALUE"""),"")</f>
        <v/>
      </c>
      <c r="P4108" t="str">
        <f>IFERROR(__xludf.DUMMYFUNCTION("""COMPUTED_VALUE"""),"ID ")</f>
        <v>ID </v>
      </c>
    </row>
    <row r="4109">
      <c r="A4109" s="6" t="str">
        <f>IFERROR(__xludf.DUMMYFUNCTION("""COMPUTED_VALUE"""),"")</f>
        <v/>
      </c>
      <c r="C4109" t="str">
        <f>IFERROR(__xludf.DUMMYFUNCTION("""COMPUTED_VALUE"""),"")</f>
        <v/>
      </c>
      <c r="D4109" t="str">
        <f>IFERROR(__xludf.DUMMYFUNCTION("""COMPUTED_VALUE"""),"")</f>
        <v/>
      </c>
      <c r="E4109" t="str">
        <f>IFERROR(__xludf.DUMMYFUNCTION("""COMPUTED_VALUE"""),"")</f>
        <v/>
      </c>
      <c r="F4109" t="str">
        <f>IFERROR(__xludf.DUMMYFUNCTION("""COMPUTED_VALUE"""),"")</f>
        <v/>
      </c>
      <c r="G4109" t="str">
        <f>IFERROR(__xludf.DUMMYFUNCTION("""COMPUTED_VALUE"""),"")</f>
        <v/>
      </c>
      <c r="H4109" s="2" t="str">
        <f>IFERROR(__xludf.DUMMYFUNCTION("""COMPUTED_VALUE"""),"")</f>
        <v/>
      </c>
      <c r="I4109" s="2" t="str">
        <f>IFERROR(__xludf.DUMMYFUNCTION("""COMPUTED_VALUE"""),"")</f>
        <v/>
      </c>
      <c r="J4109" s="2">
        <f>IFERROR(__xludf.DUMMYFUNCTION("""COMPUTED_VALUE"""),0.0)</f>
        <v>0</v>
      </c>
      <c r="K4109" s="5" t="str">
        <f>IFERROR(__xludf.DUMMYFUNCTION("""COMPUTED_VALUE"""),"")</f>
        <v/>
      </c>
      <c r="L4109" t="str">
        <f>IFERROR(__xludf.DUMMYFUNCTION("""COMPUTED_VALUE"""),"")</f>
        <v/>
      </c>
      <c r="M4109" t="str">
        <f>IFERROR(__xludf.DUMMYFUNCTION("""COMPUTED_VALUE"""),"")</f>
        <v/>
      </c>
      <c r="N4109" t="str">
        <f>IFERROR(__xludf.DUMMYFUNCTION("""COMPUTED_VALUE"""),"")</f>
        <v/>
      </c>
      <c r="O4109" t="str">
        <f>IFERROR(__xludf.DUMMYFUNCTION("""COMPUTED_VALUE"""),"")</f>
        <v/>
      </c>
      <c r="P4109" t="str">
        <f>IFERROR(__xludf.DUMMYFUNCTION("""COMPUTED_VALUE"""),"ID ")</f>
        <v>ID </v>
      </c>
    </row>
    <row r="4110">
      <c r="A4110" s="6" t="str">
        <f>IFERROR(__xludf.DUMMYFUNCTION("""COMPUTED_VALUE"""),"")</f>
        <v/>
      </c>
      <c r="C4110" t="str">
        <f>IFERROR(__xludf.DUMMYFUNCTION("""COMPUTED_VALUE"""),"")</f>
        <v/>
      </c>
      <c r="D4110" t="str">
        <f>IFERROR(__xludf.DUMMYFUNCTION("""COMPUTED_VALUE"""),"")</f>
        <v/>
      </c>
      <c r="E4110" t="str">
        <f>IFERROR(__xludf.DUMMYFUNCTION("""COMPUTED_VALUE"""),"")</f>
        <v/>
      </c>
      <c r="F4110" t="str">
        <f>IFERROR(__xludf.DUMMYFUNCTION("""COMPUTED_VALUE"""),"")</f>
        <v/>
      </c>
      <c r="G4110" t="str">
        <f>IFERROR(__xludf.DUMMYFUNCTION("""COMPUTED_VALUE"""),"")</f>
        <v/>
      </c>
      <c r="H4110" s="2" t="str">
        <f>IFERROR(__xludf.DUMMYFUNCTION("""COMPUTED_VALUE"""),"")</f>
        <v/>
      </c>
      <c r="I4110" s="2" t="str">
        <f>IFERROR(__xludf.DUMMYFUNCTION("""COMPUTED_VALUE"""),"")</f>
        <v/>
      </c>
      <c r="J4110" s="2">
        <f>IFERROR(__xludf.DUMMYFUNCTION("""COMPUTED_VALUE"""),0.0)</f>
        <v>0</v>
      </c>
      <c r="K4110" s="5" t="str">
        <f>IFERROR(__xludf.DUMMYFUNCTION("""COMPUTED_VALUE"""),"")</f>
        <v/>
      </c>
      <c r="L4110" t="str">
        <f>IFERROR(__xludf.DUMMYFUNCTION("""COMPUTED_VALUE"""),"")</f>
        <v/>
      </c>
      <c r="M4110" t="str">
        <f>IFERROR(__xludf.DUMMYFUNCTION("""COMPUTED_VALUE"""),"")</f>
        <v/>
      </c>
      <c r="N4110" t="str">
        <f>IFERROR(__xludf.DUMMYFUNCTION("""COMPUTED_VALUE"""),"")</f>
        <v/>
      </c>
      <c r="O4110" t="str">
        <f>IFERROR(__xludf.DUMMYFUNCTION("""COMPUTED_VALUE"""),"")</f>
        <v/>
      </c>
      <c r="P4110" t="str">
        <f>IFERROR(__xludf.DUMMYFUNCTION("""COMPUTED_VALUE"""),"ID ")</f>
        <v>ID </v>
      </c>
    </row>
    <row r="4111">
      <c r="A4111" s="6" t="str">
        <f>IFERROR(__xludf.DUMMYFUNCTION("""COMPUTED_VALUE"""),"")</f>
        <v/>
      </c>
      <c r="C4111" t="str">
        <f>IFERROR(__xludf.DUMMYFUNCTION("""COMPUTED_VALUE"""),"")</f>
        <v/>
      </c>
      <c r="D4111" t="str">
        <f>IFERROR(__xludf.DUMMYFUNCTION("""COMPUTED_VALUE"""),"")</f>
        <v/>
      </c>
      <c r="E4111" t="str">
        <f>IFERROR(__xludf.DUMMYFUNCTION("""COMPUTED_VALUE"""),"")</f>
        <v/>
      </c>
      <c r="F4111" t="str">
        <f>IFERROR(__xludf.DUMMYFUNCTION("""COMPUTED_VALUE"""),"")</f>
        <v/>
      </c>
      <c r="G4111" t="str">
        <f>IFERROR(__xludf.DUMMYFUNCTION("""COMPUTED_VALUE"""),"")</f>
        <v/>
      </c>
      <c r="H4111" s="2" t="str">
        <f>IFERROR(__xludf.DUMMYFUNCTION("""COMPUTED_VALUE"""),"")</f>
        <v/>
      </c>
      <c r="I4111" s="2" t="str">
        <f>IFERROR(__xludf.DUMMYFUNCTION("""COMPUTED_VALUE"""),"")</f>
        <v/>
      </c>
      <c r="J4111" s="2">
        <f>IFERROR(__xludf.DUMMYFUNCTION("""COMPUTED_VALUE"""),0.0)</f>
        <v>0</v>
      </c>
      <c r="K4111" s="5" t="str">
        <f>IFERROR(__xludf.DUMMYFUNCTION("""COMPUTED_VALUE"""),"")</f>
        <v/>
      </c>
      <c r="L4111" t="str">
        <f>IFERROR(__xludf.DUMMYFUNCTION("""COMPUTED_VALUE"""),"")</f>
        <v/>
      </c>
      <c r="M4111" t="str">
        <f>IFERROR(__xludf.DUMMYFUNCTION("""COMPUTED_VALUE"""),"")</f>
        <v/>
      </c>
      <c r="N4111" t="str">
        <f>IFERROR(__xludf.DUMMYFUNCTION("""COMPUTED_VALUE"""),"")</f>
        <v/>
      </c>
      <c r="O4111" t="str">
        <f>IFERROR(__xludf.DUMMYFUNCTION("""COMPUTED_VALUE"""),"")</f>
        <v/>
      </c>
      <c r="P4111" t="str">
        <f>IFERROR(__xludf.DUMMYFUNCTION("""COMPUTED_VALUE"""),"ID ")</f>
        <v>ID </v>
      </c>
    </row>
    <row r="4112">
      <c r="A4112" s="6" t="str">
        <f>IFERROR(__xludf.DUMMYFUNCTION("""COMPUTED_VALUE"""),"")</f>
        <v/>
      </c>
      <c r="C4112" t="str">
        <f>IFERROR(__xludf.DUMMYFUNCTION("""COMPUTED_VALUE"""),"")</f>
        <v/>
      </c>
      <c r="D4112" t="str">
        <f>IFERROR(__xludf.DUMMYFUNCTION("""COMPUTED_VALUE"""),"")</f>
        <v/>
      </c>
      <c r="E4112" t="str">
        <f>IFERROR(__xludf.DUMMYFUNCTION("""COMPUTED_VALUE"""),"")</f>
        <v/>
      </c>
      <c r="F4112" t="str">
        <f>IFERROR(__xludf.DUMMYFUNCTION("""COMPUTED_VALUE"""),"")</f>
        <v/>
      </c>
      <c r="G4112" t="str">
        <f>IFERROR(__xludf.DUMMYFUNCTION("""COMPUTED_VALUE"""),"")</f>
        <v/>
      </c>
      <c r="H4112" s="2" t="str">
        <f>IFERROR(__xludf.DUMMYFUNCTION("""COMPUTED_VALUE"""),"")</f>
        <v/>
      </c>
      <c r="I4112" s="2" t="str">
        <f>IFERROR(__xludf.DUMMYFUNCTION("""COMPUTED_VALUE"""),"")</f>
        <v/>
      </c>
      <c r="J4112" s="2">
        <f>IFERROR(__xludf.DUMMYFUNCTION("""COMPUTED_VALUE"""),0.0)</f>
        <v>0</v>
      </c>
      <c r="K4112" s="5" t="str">
        <f>IFERROR(__xludf.DUMMYFUNCTION("""COMPUTED_VALUE"""),"")</f>
        <v/>
      </c>
      <c r="L4112" t="str">
        <f>IFERROR(__xludf.DUMMYFUNCTION("""COMPUTED_VALUE"""),"")</f>
        <v/>
      </c>
      <c r="M4112" t="str">
        <f>IFERROR(__xludf.DUMMYFUNCTION("""COMPUTED_VALUE"""),"")</f>
        <v/>
      </c>
      <c r="N4112" t="str">
        <f>IFERROR(__xludf.DUMMYFUNCTION("""COMPUTED_VALUE"""),"")</f>
        <v/>
      </c>
      <c r="O4112" t="str">
        <f>IFERROR(__xludf.DUMMYFUNCTION("""COMPUTED_VALUE"""),"")</f>
        <v/>
      </c>
      <c r="P4112" t="str">
        <f>IFERROR(__xludf.DUMMYFUNCTION("""COMPUTED_VALUE"""),"ID ")</f>
        <v>ID </v>
      </c>
    </row>
    <row r="4113">
      <c r="A4113" s="6" t="str">
        <f>IFERROR(__xludf.DUMMYFUNCTION("""COMPUTED_VALUE"""),"")</f>
        <v/>
      </c>
      <c r="C4113" t="str">
        <f>IFERROR(__xludf.DUMMYFUNCTION("""COMPUTED_VALUE"""),"")</f>
        <v/>
      </c>
      <c r="D4113" t="str">
        <f>IFERROR(__xludf.DUMMYFUNCTION("""COMPUTED_VALUE"""),"")</f>
        <v/>
      </c>
      <c r="E4113" t="str">
        <f>IFERROR(__xludf.DUMMYFUNCTION("""COMPUTED_VALUE"""),"")</f>
        <v/>
      </c>
      <c r="F4113" t="str">
        <f>IFERROR(__xludf.DUMMYFUNCTION("""COMPUTED_VALUE"""),"")</f>
        <v/>
      </c>
      <c r="G4113" t="str">
        <f>IFERROR(__xludf.DUMMYFUNCTION("""COMPUTED_VALUE"""),"")</f>
        <v/>
      </c>
      <c r="H4113" s="2" t="str">
        <f>IFERROR(__xludf.DUMMYFUNCTION("""COMPUTED_VALUE"""),"")</f>
        <v/>
      </c>
      <c r="I4113" s="2" t="str">
        <f>IFERROR(__xludf.DUMMYFUNCTION("""COMPUTED_VALUE"""),"")</f>
        <v/>
      </c>
      <c r="J4113" s="2">
        <f>IFERROR(__xludf.DUMMYFUNCTION("""COMPUTED_VALUE"""),0.0)</f>
        <v>0</v>
      </c>
      <c r="K4113" s="5" t="str">
        <f>IFERROR(__xludf.DUMMYFUNCTION("""COMPUTED_VALUE"""),"")</f>
        <v/>
      </c>
      <c r="L4113" t="str">
        <f>IFERROR(__xludf.DUMMYFUNCTION("""COMPUTED_VALUE"""),"")</f>
        <v/>
      </c>
      <c r="M4113" t="str">
        <f>IFERROR(__xludf.DUMMYFUNCTION("""COMPUTED_VALUE"""),"")</f>
        <v/>
      </c>
      <c r="N4113" t="str">
        <f>IFERROR(__xludf.DUMMYFUNCTION("""COMPUTED_VALUE"""),"")</f>
        <v/>
      </c>
      <c r="O4113" t="str">
        <f>IFERROR(__xludf.DUMMYFUNCTION("""COMPUTED_VALUE"""),"")</f>
        <v/>
      </c>
      <c r="P4113" t="str">
        <f>IFERROR(__xludf.DUMMYFUNCTION("""COMPUTED_VALUE"""),"ID ")</f>
        <v>ID </v>
      </c>
    </row>
    <row r="4114">
      <c r="A4114" s="6" t="str">
        <f>IFERROR(__xludf.DUMMYFUNCTION("""COMPUTED_VALUE"""),"")</f>
        <v/>
      </c>
      <c r="C4114" t="str">
        <f>IFERROR(__xludf.DUMMYFUNCTION("""COMPUTED_VALUE"""),"")</f>
        <v/>
      </c>
      <c r="D4114" t="str">
        <f>IFERROR(__xludf.DUMMYFUNCTION("""COMPUTED_VALUE"""),"")</f>
        <v/>
      </c>
      <c r="E4114" t="str">
        <f>IFERROR(__xludf.DUMMYFUNCTION("""COMPUTED_VALUE"""),"")</f>
        <v/>
      </c>
      <c r="F4114" t="str">
        <f>IFERROR(__xludf.DUMMYFUNCTION("""COMPUTED_VALUE"""),"")</f>
        <v/>
      </c>
      <c r="G4114" t="str">
        <f>IFERROR(__xludf.DUMMYFUNCTION("""COMPUTED_VALUE"""),"")</f>
        <v/>
      </c>
      <c r="H4114" s="2" t="str">
        <f>IFERROR(__xludf.DUMMYFUNCTION("""COMPUTED_VALUE"""),"")</f>
        <v/>
      </c>
      <c r="I4114" s="2" t="str">
        <f>IFERROR(__xludf.DUMMYFUNCTION("""COMPUTED_VALUE"""),"")</f>
        <v/>
      </c>
      <c r="J4114" s="2">
        <f>IFERROR(__xludf.DUMMYFUNCTION("""COMPUTED_VALUE"""),0.0)</f>
        <v>0</v>
      </c>
      <c r="K4114" s="5" t="str">
        <f>IFERROR(__xludf.DUMMYFUNCTION("""COMPUTED_VALUE"""),"")</f>
        <v/>
      </c>
      <c r="L4114" t="str">
        <f>IFERROR(__xludf.DUMMYFUNCTION("""COMPUTED_VALUE"""),"")</f>
        <v/>
      </c>
      <c r="M4114" t="str">
        <f>IFERROR(__xludf.DUMMYFUNCTION("""COMPUTED_VALUE"""),"")</f>
        <v/>
      </c>
      <c r="N4114" t="str">
        <f>IFERROR(__xludf.DUMMYFUNCTION("""COMPUTED_VALUE"""),"")</f>
        <v/>
      </c>
      <c r="O4114" t="str">
        <f>IFERROR(__xludf.DUMMYFUNCTION("""COMPUTED_VALUE"""),"")</f>
        <v/>
      </c>
      <c r="P4114" t="str">
        <f>IFERROR(__xludf.DUMMYFUNCTION("""COMPUTED_VALUE"""),"ID ")</f>
        <v>ID </v>
      </c>
    </row>
    <row r="4115">
      <c r="A4115" s="6" t="str">
        <f>IFERROR(__xludf.DUMMYFUNCTION("""COMPUTED_VALUE"""),"")</f>
        <v/>
      </c>
      <c r="C4115" t="str">
        <f>IFERROR(__xludf.DUMMYFUNCTION("""COMPUTED_VALUE"""),"")</f>
        <v/>
      </c>
      <c r="D4115" t="str">
        <f>IFERROR(__xludf.DUMMYFUNCTION("""COMPUTED_VALUE"""),"")</f>
        <v/>
      </c>
      <c r="E4115" t="str">
        <f>IFERROR(__xludf.DUMMYFUNCTION("""COMPUTED_VALUE"""),"")</f>
        <v/>
      </c>
      <c r="F4115" t="str">
        <f>IFERROR(__xludf.DUMMYFUNCTION("""COMPUTED_VALUE"""),"")</f>
        <v/>
      </c>
      <c r="G4115" t="str">
        <f>IFERROR(__xludf.DUMMYFUNCTION("""COMPUTED_VALUE"""),"")</f>
        <v/>
      </c>
      <c r="H4115" s="2" t="str">
        <f>IFERROR(__xludf.DUMMYFUNCTION("""COMPUTED_VALUE"""),"")</f>
        <v/>
      </c>
      <c r="I4115" s="2" t="str">
        <f>IFERROR(__xludf.DUMMYFUNCTION("""COMPUTED_VALUE"""),"")</f>
        <v/>
      </c>
      <c r="J4115" s="2">
        <f>IFERROR(__xludf.DUMMYFUNCTION("""COMPUTED_VALUE"""),0.0)</f>
        <v>0</v>
      </c>
      <c r="K4115" s="5" t="str">
        <f>IFERROR(__xludf.DUMMYFUNCTION("""COMPUTED_VALUE"""),"")</f>
        <v/>
      </c>
      <c r="L4115" t="str">
        <f>IFERROR(__xludf.DUMMYFUNCTION("""COMPUTED_VALUE"""),"")</f>
        <v/>
      </c>
      <c r="M4115" t="str">
        <f>IFERROR(__xludf.DUMMYFUNCTION("""COMPUTED_VALUE"""),"")</f>
        <v/>
      </c>
      <c r="N4115" t="str">
        <f>IFERROR(__xludf.DUMMYFUNCTION("""COMPUTED_VALUE"""),"")</f>
        <v/>
      </c>
      <c r="O4115" t="str">
        <f>IFERROR(__xludf.DUMMYFUNCTION("""COMPUTED_VALUE"""),"")</f>
        <v/>
      </c>
      <c r="P4115" t="str">
        <f>IFERROR(__xludf.DUMMYFUNCTION("""COMPUTED_VALUE"""),"ID ")</f>
        <v>ID </v>
      </c>
    </row>
    <row r="4116">
      <c r="A4116" s="6" t="str">
        <f>IFERROR(__xludf.DUMMYFUNCTION("""COMPUTED_VALUE"""),"")</f>
        <v/>
      </c>
      <c r="C4116" t="str">
        <f>IFERROR(__xludf.DUMMYFUNCTION("""COMPUTED_VALUE"""),"")</f>
        <v/>
      </c>
      <c r="D4116" t="str">
        <f>IFERROR(__xludf.DUMMYFUNCTION("""COMPUTED_VALUE"""),"")</f>
        <v/>
      </c>
      <c r="E4116" t="str">
        <f>IFERROR(__xludf.DUMMYFUNCTION("""COMPUTED_VALUE"""),"")</f>
        <v/>
      </c>
      <c r="F4116" t="str">
        <f>IFERROR(__xludf.DUMMYFUNCTION("""COMPUTED_VALUE"""),"")</f>
        <v/>
      </c>
      <c r="G4116" t="str">
        <f>IFERROR(__xludf.DUMMYFUNCTION("""COMPUTED_VALUE"""),"")</f>
        <v/>
      </c>
      <c r="H4116" s="2" t="str">
        <f>IFERROR(__xludf.DUMMYFUNCTION("""COMPUTED_VALUE"""),"")</f>
        <v/>
      </c>
      <c r="I4116" s="2" t="str">
        <f>IFERROR(__xludf.DUMMYFUNCTION("""COMPUTED_VALUE"""),"")</f>
        <v/>
      </c>
      <c r="J4116" s="2">
        <f>IFERROR(__xludf.DUMMYFUNCTION("""COMPUTED_VALUE"""),0.0)</f>
        <v>0</v>
      </c>
      <c r="K4116" s="5" t="str">
        <f>IFERROR(__xludf.DUMMYFUNCTION("""COMPUTED_VALUE"""),"")</f>
        <v/>
      </c>
      <c r="L4116" t="str">
        <f>IFERROR(__xludf.DUMMYFUNCTION("""COMPUTED_VALUE"""),"")</f>
        <v/>
      </c>
      <c r="M4116" t="str">
        <f>IFERROR(__xludf.DUMMYFUNCTION("""COMPUTED_VALUE"""),"")</f>
        <v/>
      </c>
      <c r="N4116" t="str">
        <f>IFERROR(__xludf.DUMMYFUNCTION("""COMPUTED_VALUE"""),"")</f>
        <v/>
      </c>
      <c r="O4116" t="str">
        <f>IFERROR(__xludf.DUMMYFUNCTION("""COMPUTED_VALUE"""),"")</f>
        <v/>
      </c>
      <c r="P4116" t="str">
        <f>IFERROR(__xludf.DUMMYFUNCTION("""COMPUTED_VALUE"""),"ID ")</f>
        <v>ID </v>
      </c>
    </row>
    <row r="4117">
      <c r="A4117" s="6" t="str">
        <f>IFERROR(__xludf.DUMMYFUNCTION("""COMPUTED_VALUE"""),"")</f>
        <v/>
      </c>
      <c r="C4117" t="str">
        <f>IFERROR(__xludf.DUMMYFUNCTION("""COMPUTED_VALUE"""),"")</f>
        <v/>
      </c>
      <c r="D4117" t="str">
        <f>IFERROR(__xludf.DUMMYFUNCTION("""COMPUTED_VALUE"""),"")</f>
        <v/>
      </c>
      <c r="E4117" t="str">
        <f>IFERROR(__xludf.DUMMYFUNCTION("""COMPUTED_VALUE"""),"")</f>
        <v/>
      </c>
      <c r="F4117" t="str">
        <f>IFERROR(__xludf.DUMMYFUNCTION("""COMPUTED_VALUE"""),"")</f>
        <v/>
      </c>
      <c r="G4117" t="str">
        <f>IFERROR(__xludf.DUMMYFUNCTION("""COMPUTED_VALUE"""),"")</f>
        <v/>
      </c>
      <c r="H4117" s="2" t="str">
        <f>IFERROR(__xludf.DUMMYFUNCTION("""COMPUTED_VALUE"""),"")</f>
        <v/>
      </c>
      <c r="I4117" s="2" t="str">
        <f>IFERROR(__xludf.DUMMYFUNCTION("""COMPUTED_VALUE"""),"")</f>
        <v/>
      </c>
      <c r="J4117" s="2">
        <f>IFERROR(__xludf.DUMMYFUNCTION("""COMPUTED_VALUE"""),0.0)</f>
        <v>0</v>
      </c>
      <c r="K4117" s="5" t="str">
        <f>IFERROR(__xludf.DUMMYFUNCTION("""COMPUTED_VALUE"""),"")</f>
        <v/>
      </c>
      <c r="L4117" t="str">
        <f>IFERROR(__xludf.DUMMYFUNCTION("""COMPUTED_VALUE"""),"")</f>
        <v/>
      </c>
      <c r="M4117" t="str">
        <f>IFERROR(__xludf.DUMMYFUNCTION("""COMPUTED_VALUE"""),"")</f>
        <v/>
      </c>
      <c r="N4117" t="str">
        <f>IFERROR(__xludf.DUMMYFUNCTION("""COMPUTED_VALUE"""),"")</f>
        <v/>
      </c>
      <c r="O4117" t="str">
        <f>IFERROR(__xludf.DUMMYFUNCTION("""COMPUTED_VALUE"""),"")</f>
        <v/>
      </c>
      <c r="P4117" t="str">
        <f>IFERROR(__xludf.DUMMYFUNCTION("""COMPUTED_VALUE"""),"ID ")</f>
        <v>ID </v>
      </c>
    </row>
    <row r="4118">
      <c r="A4118" s="6" t="str">
        <f>IFERROR(__xludf.DUMMYFUNCTION("""COMPUTED_VALUE"""),"")</f>
        <v/>
      </c>
      <c r="C4118" t="str">
        <f>IFERROR(__xludf.DUMMYFUNCTION("""COMPUTED_VALUE"""),"")</f>
        <v/>
      </c>
      <c r="D4118" t="str">
        <f>IFERROR(__xludf.DUMMYFUNCTION("""COMPUTED_VALUE"""),"")</f>
        <v/>
      </c>
      <c r="E4118" t="str">
        <f>IFERROR(__xludf.DUMMYFUNCTION("""COMPUTED_VALUE"""),"")</f>
        <v/>
      </c>
      <c r="F4118" t="str">
        <f>IFERROR(__xludf.DUMMYFUNCTION("""COMPUTED_VALUE"""),"")</f>
        <v/>
      </c>
      <c r="G4118" t="str">
        <f>IFERROR(__xludf.DUMMYFUNCTION("""COMPUTED_VALUE"""),"")</f>
        <v/>
      </c>
      <c r="H4118" s="2" t="str">
        <f>IFERROR(__xludf.DUMMYFUNCTION("""COMPUTED_VALUE"""),"")</f>
        <v/>
      </c>
      <c r="I4118" s="2" t="str">
        <f>IFERROR(__xludf.DUMMYFUNCTION("""COMPUTED_VALUE"""),"")</f>
        <v/>
      </c>
      <c r="J4118" s="2">
        <f>IFERROR(__xludf.DUMMYFUNCTION("""COMPUTED_VALUE"""),0.0)</f>
        <v>0</v>
      </c>
      <c r="K4118" s="5" t="str">
        <f>IFERROR(__xludf.DUMMYFUNCTION("""COMPUTED_VALUE"""),"")</f>
        <v/>
      </c>
      <c r="L4118" t="str">
        <f>IFERROR(__xludf.DUMMYFUNCTION("""COMPUTED_VALUE"""),"")</f>
        <v/>
      </c>
      <c r="M4118" t="str">
        <f>IFERROR(__xludf.DUMMYFUNCTION("""COMPUTED_VALUE"""),"")</f>
        <v/>
      </c>
      <c r="N4118" t="str">
        <f>IFERROR(__xludf.DUMMYFUNCTION("""COMPUTED_VALUE"""),"")</f>
        <v/>
      </c>
      <c r="O4118" t="str">
        <f>IFERROR(__xludf.DUMMYFUNCTION("""COMPUTED_VALUE"""),"")</f>
        <v/>
      </c>
      <c r="P4118" t="str">
        <f>IFERROR(__xludf.DUMMYFUNCTION("""COMPUTED_VALUE"""),"ID ")</f>
        <v>ID </v>
      </c>
    </row>
    <row r="4119">
      <c r="A4119" s="6" t="str">
        <f>IFERROR(__xludf.DUMMYFUNCTION("""COMPUTED_VALUE"""),"")</f>
        <v/>
      </c>
      <c r="C4119" t="str">
        <f>IFERROR(__xludf.DUMMYFUNCTION("""COMPUTED_VALUE"""),"")</f>
        <v/>
      </c>
      <c r="D4119" t="str">
        <f>IFERROR(__xludf.DUMMYFUNCTION("""COMPUTED_VALUE"""),"")</f>
        <v/>
      </c>
      <c r="E4119" t="str">
        <f>IFERROR(__xludf.DUMMYFUNCTION("""COMPUTED_VALUE"""),"")</f>
        <v/>
      </c>
      <c r="F4119" t="str">
        <f>IFERROR(__xludf.DUMMYFUNCTION("""COMPUTED_VALUE"""),"")</f>
        <v/>
      </c>
      <c r="G4119" t="str">
        <f>IFERROR(__xludf.DUMMYFUNCTION("""COMPUTED_VALUE"""),"")</f>
        <v/>
      </c>
      <c r="H4119" s="2" t="str">
        <f>IFERROR(__xludf.DUMMYFUNCTION("""COMPUTED_VALUE"""),"")</f>
        <v/>
      </c>
      <c r="I4119" s="2" t="str">
        <f>IFERROR(__xludf.DUMMYFUNCTION("""COMPUTED_VALUE"""),"")</f>
        <v/>
      </c>
      <c r="J4119" s="2">
        <f>IFERROR(__xludf.DUMMYFUNCTION("""COMPUTED_VALUE"""),0.0)</f>
        <v>0</v>
      </c>
      <c r="K4119" s="5" t="str">
        <f>IFERROR(__xludf.DUMMYFUNCTION("""COMPUTED_VALUE"""),"")</f>
        <v/>
      </c>
      <c r="L4119" t="str">
        <f>IFERROR(__xludf.DUMMYFUNCTION("""COMPUTED_VALUE"""),"")</f>
        <v/>
      </c>
      <c r="M4119" t="str">
        <f>IFERROR(__xludf.DUMMYFUNCTION("""COMPUTED_VALUE"""),"")</f>
        <v/>
      </c>
      <c r="N4119" t="str">
        <f>IFERROR(__xludf.DUMMYFUNCTION("""COMPUTED_VALUE"""),"")</f>
        <v/>
      </c>
      <c r="O4119" t="str">
        <f>IFERROR(__xludf.DUMMYFUNCTION("""COMPUTED_VALUE"""),"")</f>
        <v/>
      </c>
      <c r="P4119" t="str">
        <f>IFERROR(__xludf.DUMMYFUNCTION("""COMPUTED_VALUE"""),"ID ")</f>
        <v>ID </v>
      </c>
    </row>
    <row r="4120">
      <c r="A4120" s="6" t="str">
        <f>IFERROR(__xludf.DUMMYFUNCTION("""COMPUTED_VALUE"""),"")</f>
        <v/>
      </c>
      <c r="C4120" t="str">
        <f>IFERROR(__xludf.DUMMYFUNCTION("""COMPUTED_VALUE"""),"")</f>
        <v/>
      </c>
      <c r="D4120" t="str">
        <f>IFERROR(__xludf.DUMMYFUNCTION("""COMPUTED_VALUE"""),"")</f>
        <v/>
      </c>
      <c r="E4120" t="str">
        <f>IFERROR(__xludf.DUMMYFUNCTION("""COMPUTED_VALUE"""),"")</f>
        <v/>
      </c>
      <c r="F4120" t="str">
        <f>IFERROR(__xludf.DUMMYFUNCTION("""COMPUTED_VALUE"""),"")</f>
        <v/>
      </c>
      <c r="G4120" t="str">
        <f>IFERROR(__xludf.DUMMYFUNCTION("""COMPUTED_VALUE"""),"")</f>
        <v/>
      </c>
      <c r="H4120" s="2" t="str">
        <f>IFERROR(__xludf.DUMMYFUNCTION("""COMPUTED_VALUE"""),"")</f>
        <v/>
      </c>
      <c r="I4120" s="2" t="str">
        <f>IFERROR(__xludf.DUMMYFUNCTION("""COMPUTED_VALUE"""),"")</f>
        <v/>
      </c>
      <c r="J4120" s="2">
        <f>IFERROR(__xludf.DUMMYFUNCTION("""COMPUTED_VALUE"""),0.0)</f>
        <v>0</v>
      </c>
      <c r="K4120" s="5" t="str">
        <f>IFERROR(__xludf.DUMMYFUNCTION("""COMPUTED_VALUE"""),"")</f>
        <v/>
      </c>
      <c r="L4120" t="str">
        <f>IFERROR(__xludf.DUMMYFUNCTION("""COMPUTED_VALUE"""),"")</f>
        <v/>
      </c>
      <c r="M4120" t="str">
        <f>IFERROR(__xludf.DUMMYFUNCTION("""COMPUTED_VALUE"""),"")</f>
        <v/>
      </c>
      <c r="N4120" t="str">
        <f>IFERROR(__xludf.DUMMYFUNCTION("""COMPUTED_VALUE"""),"")</f>
        <v/>
      </c>
      <c r="O4120" t="str">
        <f>IFERROR(__xludf.DUMMYFUNCTION("""COMPUTED_VALUE"""),"")</f>
        <v/>
      </c>
      <c r="P4120" t="str">
        <f>IFERROR(__xludf.DUMMYFUNCTION("""COMPUTED_VALUE"""),"ID ")</f>
        <v>ID </v>
      </c>
    </row>
    <row r="4121">
      <c r="A4121" s="6" t="str">
        <f>IFERROR(__xludf.DUMMYFUNCTION("""COMPUTED_VALUE"""),"")</f>
        <v/>
      </c>
      <c r="C4121" t="str">
        <f>IFERROR(__xludf.DUMMYFUNCTION("""COMPUTED_VALUE"""),"")</f>
        <v/>
      </c>
      <c r="D4121" t="str">
        <f>IFERROR(__xludf.DUMMYFUNCTION("""COMPUTED_VALUE"""),"")</f>
        <v/>
      </c>
      <c r="E4121" t="str">
        <f>IFERROR(__xludf.DUMMYFUNCTION("""COMPUTED_VALUE"""),"")</f>
        <v/>
      </c>
      <c r="F4121" t="str">
        <f>IFERROR(__xludf.DUMMYFUNCTION("""COMPUTED_VALUE"""),"")</f>
        <v/>
      </c>
      <c r="G4121" t="str">
        <f>IFERROR(__xludf.DUMMYFUNCTION("""COMPUTED_VALUE"""),"")</f>
        <v/>
      </c>
      <c r="H4121" s="2" t="str">
        <f>IFERROR(__xludf.DUMMYFUNCTION("""COMPUTED_VALUE"""),"")</f>
        <v/>
      </c>
      <c r="I4121" s="2" t="str">
        <f>IFERROR(__xludf.DUMMYFUNCTION("""COMPUTED_VALUE"""),"")</f>
        <v/>
      </c>
      <c r="J4121" s="2">
        <f>IFERROR(__xludf.DUMMYFUNCTION("""COMPUTED_VALUE"""),0.0)</f>
        <v>0</v>
      </c>
      <c r="K4121" s="5" t="str">
        <f>IFERROR(__xludf.DUMMYFUNCTION("""COMPUTED_VALUE"""),"")</f>
        <v/>
      </c>
      <c r="L4121" t="str">
        <f>IFERROR(__xludf.DUMMYFUNCTION("""COMPUTED_VALUE"""),"")</f>
        <v/>
      </c>
      <c r="M4121" t="str">
        <f>IFERROR(__xludf.DUMMYFUNCTION("""COMPUTED_VALUE"""),"")</f>
        <v/>
      </c>
      <c r="N4121" t="str">
        <f>IFERROR(__xludf.DUMMYFUNCTION("""COMPUTED_VALUE"""),"")</f>
        <v/>
      </c>
      <c r="O4121" t="str">
        <f>IFERROR(__xludf.DUMMYFUNCTION("""COMPUTED_VALUE"""),"")</f>
        <v/>
      </c>
      <c r="P4121" t="str">
        <f>IFERROR(__xludf.DUMMYFUNCTION("""COMPUTED_VALUE"""),"ID ")</f>
        <v>ID </v>
      </c>
    </row>
    <row r="4122">
      <c r="A4122" s="6" t="str">
        <f>IFERROR(__xludf.DUMMYFUNCTION("""COMPUTED_VALUE"""),"")</f>
        <v/>
      </c>
      <c r="C4122" t="str">
        <f>IFERROR(__xludf.DUMMYFUNCTION("""COMPUTED_VALUE"""),"")</f>
        <v/>
      </c>
      <c r="D4122" t="str">
        <f>IFERROR(__xludf.DUMMYFUNCTION("""COMPUTED_VALUE"""),"")</f>
        <v/>
      </c>
      <c r="E4122" t="str">
        <f>IFERROR(__xludf.DUMMYFUNCTION("""COMPUTED_VALUE"""),"")</f>
        <v/>
      </c>
      <c r="F4122" t="str">
        <f>IFERROR(__xludf.DUMMYFUNCTION("""COMPUTED_VALUE"""),"")</f>
        <v/>
      </c>
      <c r="G4122" t="str">
        <f>IFERROR(__xludf.DUMMYFUNCTION("""COMPUTED_VALUE"""),"")</f>
        <v/>
      </c>
      <c r="H4122" s="2" t="str">
        <f>IFERROR(__xludf.DUMMYFUNCTION("""COMPUTED_VALUE"""),"")</f>
        <v/>
      </c>
      <c r="I4122" s="2" t="str">
        <f>IFERROR(__xludf.DUMMYFUNCTION("""COMPUTED_VALUE"""),"")</f>
        <v/>
      </c>
      <c r="J4122" s="2">
        <f>IFERROR(__xludf.DUMMYFUNCTION("""COMPUTED_VALUE"""),0.0)</f>
        <v>0</v>
      </c>
      <c r="K4122" s="5" t="str">
        <f>IFERROR(__xludf.DUMMYFUNCTION("""COMPUTED_VALUE"""),"")</f>
        <v/>
      </c>
      <c r="L4122" t="str">
        <f>IFERROR(__xludf.DUMMYFUNCTION("""COMPUTED_VALUE"""),"")</f>
        <v/>
      </c>
      <c r="M4122" t="str">
        <f>IFERROR(__xludf.DUMMYFUNCTION("""COMPUTED_VALUE"""),"")</f>
        <v/>
      </c>
      <c r="N4122" t="str">
        <f>IFERROR(__xludf.DUMMYFUNCTION("""COMPUTED_VALUE"""),"")</f>
        <v/>
      </c>
      <c r="O4122" t="str">
        <f>IFERROR(__xludf.DUMMYFUNCTION("""COMPUTED_VALUE"""),"")</f>
        <v/>
      </c>
      <c r="P4122" t="str">
        <f>IFERROR(__xludf.DUMMYFUNCTION("""COMPUTED_VALUE"""),"ID ")</f>
        <v>ID </v>
      </c>
    </row>
    <row r="4123">
      <c r="A4123" s="6" t="str">
        <f>IFERROR(__xludf.DUMMYFUNCTION("""COMPUTED_VALUE"""),"")</f>
        <v/>
      </c>
      <c r="C4123" t="str">
        <f>IFERROR(__xludf.DUMMYFUNCTION("""COMPUTED_VALUE"""),"")</f>
        <v/>
      </c>
      <c r="D4123" t="str">
        <f>IFERROR(__xludf.DUMMYFUNCTION("""COMPUTED_VALUE"""),"")</f>
        <v/>
      </c>
      <c r="E4123" t="str">
        <f>IFERROR(__xludf.DUMMYFUNCTION("""COMPUTED_VALUE"""),"")</f>
        <v/>
      </c>
      <c r="F4123" t="str">
        <f>IFERROR(__xludf.DUMMYFUNCTION("""COMPUTED_VALUE"""),"")</f>
        <v/>
      </c>
      <c r="G4123" t="str">
        <f>IFERROR(__xludf.DUMMYFUNCTION("""COMPUTED_VALUE"""),"")</f>
        <v/>
      </c>
      <c r="H4123" s="2" t="str">
        <f>IFERROR(__xludf.DUMMYFUNCTION("""COMPUTED_VALUE"""),"")</f>
        <v/>
      </c>
      <c r="I4123" s="2" t="str">
        <f>IFERROR(__xludf.DUMMYFUNCTION("""COMPUTED_VALUE"""),"")</f>
        <v/>
      </c>
      <c r="J4123" s="2">
        <f>IFERROR(__xludf.DUMMYFUNCTION("""COMPUTED_VALUE"""),0.0)</f>
        <v>0</v>
      </c>
      <c r="K4123" s="5" t="str">
        <f>IFERROR(__xludf.DUMMYFUNCTION("""COMPUTED_VALUE"""),"")</f>
        <v/>
      </c>
      <c r="L4123" t="str">
        <f>IFERROR(__xludf.DUMMYFUNCTION("""COMPUTED_VALUE"""),"")</f>
        <v/>
      </c>
      <c r="M4123" t="str">
        <f>IFERROR(__xludf.DUMMYFUNCTION("""COMPUTED_VALUE"""),"")</f>
        <v/>
      </c>
      <c r="N4123" t="str">
        <f>IFERROR(__xludf.DUMMYFUNCTION("""COMPUTED_VALUE"""),"")</f>
        <v/>
      </c>
      <c r="O4123" t="str">
        <f>IFERROR(__xludf.DUMMYFUNCTION("""COMPUTED_VALUE"""),"")</f>
        <v/>
      </c>
      <c r="P4123" t="str">
        <f>IFERROR(__xludf.DUMMYFUNCTION("""COMPUTED_VALUE"""),"ID ")</f>
        <v>ID </v>
      </c>
    </row>
    <row r="4124">
      <c r="A4124" s="6" t="str">
        <f>IFERROR(__xludf.DUMMYFUNCTION("""COMPUTED_VALUE"""),"")</f>
        <v/>
      </c>
      <c r="C4124" t="str">
        <f>IFERROR(__xludf.DUMMYFUNCTION("""COMPUTED_VALUE"""),"")</f>
        <v/>
      </c>
      <c r="D4124" t="str">
        <f>IFERROR(__xludf.DUMMYFUNCTION("""COMPUTED_VALUE"""),"")</f>
        <v/>
      </c>
      <c r="E4124" t="str">
        <f>IFERROR(__xludf.DUMMYFUNCTION("""COMPUTED_VALUE"""),"")</f>
        <v/>
      </c>
      <c r="F4124" t="str">
        <f>IFERROR(__xludf.DUMMYFUNCTION("""COMPUTED_VALUE"""),"")</f>
        <v/>
      </c>
      <c r="G4124" t="str">
        <f>IFERROR(__xludf.DUMMYFUNCTION("""COMPUTED_VALUE"""),"")</f>
        <v/>
      </c>
      <c r="H4124" s="2" t="str">
        <f>IFERROR(__xludf.DUMMYFUNCTION("""COMPUTED_VALUE"""),"")</f>
        <v/>
      </c>
      <c r="I4124" s="2" t="str">
        <f>IFERROR(__xludf.DUMMYFUNCTION("""COMPUTED_VALUE"""),"")</f>
        <v/>
      </c>
      <c r="J4124" s="2">
        <f>IFERROR(__xludf.DUMMYFUNCTION("""COMPUTED_VALUE"""),0.0)</f>
        <v>0</v>
      </c>
      <c r="K4124" s="5" t="str">
        <f>IFERROR(__xludf.DUMMYFUNCTION("""COMPUTED_VALUE"""),"")</f>
        <v/>
      </c>
      <c r="L4124" t="str">
        <f>IFERROR(__xludf.DUMMYFUNCTION("""COMPUTED_VALUE"""),"")</f>
        <v/>
      </c>
      <c r="M4124" t="str">
        <f>IFERROR(__xludf.DUMMYFUNCTION("""COMPUTED_VALUE"""),"")</f>
        <v/>
      </c>
      <c r="N4124" t="str">
        <f>IFERROR(__xludf.DUMMYFUNCTION("""COMPUTED_VALUE"""),"")</f>
        <v/>
      </c>
      <c r="O4124" t="str">
        <f>IFERROR(__xludf.DUMMYFUNCTION("""COMPUTED_VALUE"""),"")</f>
        <v/>
      </c>
      <c r="P4124" t="str">
        <f>IFERROR(__xludf.DUMMYFUNCTION("""COMPUTED_VALUE"""),"ID ")</f>
        <v>ID </v>
      </c>
    </row>
    <row r="4125">
      <c r="A4125" s="6" t="str">
        <f>IFERROR(__xludf.DUMMYFUNCTION("""COMPUTED_VALUE"""),"")</f>
        <v/>
      </c>
      <c r="C4125" t="str">
        <f>IFERROR(__xludf.DUMMYFUNCTION("""COMPUTED_VALUE"""),"")</f>
        <v/>
      </c>
      <c r="D4125" t="str">
        <f>IFERROR(__xludf.DUMMYFUNCTION("""COMPUTED_VALUE"""),"")</f>
        <v/>
      </c>
      <c r="E4125" t="str">
        <f>IFERROR(__xludf.DUMMYFUNCTION("""COMPUTED_VALUE"""),"")</f>
        <v/>
      </c>
      <c r="F4125" t="str">
        <f>IFERROR(__xludf.DUMMYFUNCTION("""COMPUTED_VALUE"""),"")</f>
        <v/>
      </c>
      <c r="G4125" t="str">
        <f>IFERROR(__xludf.DUMMYFUNCTION("""COMPUTED_VALUE"""),"")</f>
        <v/>
      </c>
      <c r="H4125" s="2" t="str">
        <f>IFERROR(__xludf.DUMMYFUNCTION("""COMPUTED_VALUE"""),"")</f>
        <v/>
      </c>
      <c r="I4125" s="2" t="str">
        <f>IFERROR(__xludf.DUMMYFUNCTION("""COMPUTED_VALUE"""),"")</f>
        <v/>
      </c>
      <c r="J4125" s="2">
        <f>IFERROR(__xludf.DUMMYFUNCTION("""COMPUTED_VALUE"""),0.0)</f>
        <v>0</v>
      </c>
      <c r="K4125" s="5" t="str">
        <f>IFERROR(__xludf.DUMMYFUNCTION("""COMPUTED_VALUE"""),"")</f>
        <v/>
      </c>
      <c r="L4125" t="str">
        <f>IFERROR(__xludf.DUMMYFUNCTION("""COMPUTED_VALUE"""),"")</f>
        <v/>
      </c>
      <c r="M4125" t="str">
        <f>IFERROR(__xludf.DUMMYFUNCTION("""COMPUTED_VALUE"""),"")</f>
        <v/>
      </c>
      <c r="N4125" t="str">
        <f>IFERROR(__xludf.DUMMYFUNCTION("""COMPUTED_VALUE"""),"")</f>
        <v/>
      </c>
      <c r="O4125" t="str">
        <f>IFERROR(__xludf.DUMMYFUNCTION("""COMPUTED_VALUE"""),"")</f>
        <v/>
      </c>
      <c r="P4125" t="str">
        <f>IFERROR(__xludf.DUMMYFUNCTION("""COMPUTED_VALUE"""),"ID ")</f>
        <v>ID </v>
      </c>
    </row>
    <row r="4126">
      <c r="A4126" s="6" t="str">
        <f>IFERROR(__xludf.DUMMYFUNCTION("""COMPUTED_VALUE"""),"")</f>
        <v/>
      </c>
      <c r="C4126" t="str">
        <f>IFERROR(__xludf.DUMMYFUNCTION("""COMPUTED_VALUE"""),"")</f>
        <v/>
      </c>
      <c r="D4126" t="str">
        <f>IFERROR(__xludf.DUMMYFUNCTION("""COMPUTED_VALUE"""),"")</f>
        <v/>
      </c>
      <c r="E4126" t="str">
        <f>IFERROR(__xludf.DUMMYFUNCTION("""COMPUTED_VALUE"""),"")</f>
        <v/>
      </c>
      <c r="F4126" t="str">
        <f>IFERROR(__xludf.DUMMYFUNCTION("""COMPUTED_VALUE"""),"")</f>
        <v/>
      </c>
      <c r="G4126" t="str">
        <f>IFERROR(__xludf.DUMMYFUNCTION("""COMPUTED_VALUE"""),"")</f>
        <v/>
      </c>
      <c r="H4126" s="2" t="str">
        <f>IFERROR(__xludf.DUMMYFUNCTION("""COMPUTED_VALUE"""),"")</f>
        <v/>
      </c>
      <c r="I4126" s="2" t="str">
        <f>IFERROR(__xludf.DUMMYFUNCTION("""COMPUTED_VALUE"""),"")</f>
        <v/>
      </c>
      <c r="J4126" s="2">
        <f>IFERROR(__xludf.DUMMYFUNCTION("""COMPUTED_VALUE"""),0.0)</f>
        <v>0</v>
      </c>
      <c r="K4126" s="5" t="str">
        <f>IFERROR(__xludf.DUMMYFUNCTION("""COMPUTED_VALUE"""),"")</f>
        <v/>
      </c>
      <c r="L4126" t="str">
        <f>IFERROR(__xludf.DUMMYFUNCTION("""COMPUTED_VALUE"""),"")</f>
        <v/>
      </c>
      <c r="M4126" t="str">
        <f>IFERROR(__xludf.DUMMYFUNCTION("""COMPUTED_VALUE"""),"")</f>
        <v/>
      </c>
      <c r="N4126" t="str">
        <f>IFERROR(__xludf.DUMMYFUNCTION("""COMPUTED_VALUE"""),"")</f>
        <v/>
      </c>
      <c r="O4126" t="str">
        <f>IFERROR(__xludf.DUMMYFUNCTION("""COMPUTED_VALUE"""),"")</f>
        <v/>
      </c>
      <c r="P4126" t="str">
        <f>IFERROR(__xludf.DUMMYFUNCTION("""COMPUTED_VALUE"""),"ID ")</f>
        <v>ID </v>
      </c>
    </row>
    <row r="4127">
      <c r="A4127" s="6" t="str">
        <f>IFERROR(__xludf.DUMMYFUNCTION("""COMPUTED_VALUE"""),"")</f>
        <v/>
      </c>
      <c r="C4127" t="str">
        <f>IFERROR(__xludf.DUMMYFUNCTION("""COMPUTED_VALUE"""),"")</f>
        <v/>
      </c>
      <c r="D4127" t="str">
        <f>IFERROR(__xludf.DUMMYFUNCTION("""COMPUTED_VALUE"""),"")</f>
        <v/>
      </c>
      <c r="E4127" t="str">
        <f>IFERROR(__xludf.DUMMYFUNCTION("""COMPUTED_VALUE"""),"")</f>
        <v/>
      </c>
      <c r="F4127" t="str">
        <f>IFERROR(__xludf.DUMMYFUNCTION("""COMPUTED_VALUE"""),"")</f>
        <v/>
      </c>
      <c r="G4127" t="str">
        <f>IFERROR(__xludf.DUMMYFUNCTION("""COMPUTED_VALUE"""),"")</f>
        <v/>
      </c>
      <c r="H4127" s="2" t="str">
        <f>IFERROR(__xludf.DUMMYFUNCTION("""COMPUTED_VALUE"""),"")</f>
        <v/>
      </c>
      <c r="I4127" s="2" t="str">
        <f>IFERROR(__xludf.DUMMYFUNCTION("""COMPUTED_VALUE"""),"")</f>
        <v/>
      </c>
      <c r="J4127" s="2">
        <f>IFERROR(__xludf.DUMMYFUNCTION("""COMPUTED_VALUE"""),0.0)</f>
        <v>0</v>
      </c>
      <c r="K4127" s="5" t="str">
        <f>IFERROR(__xludf.DUMMYFUNCTION("""COMPUTED_VALUE"""),"")</f>
        <v/>
      </c>
      <c r="L4127" t="str">
        <f>IFERROR(__xludf.DUMMYFUNCTION("""COMPUTED_VALUE"""),"")</f>
        <v/>
      </c>
      <c r="M4127" t="str">
        <f>IFERROR(__xludf.DUMMYFUNCTION("""COMPUTED_VALUE"""),"")</f>
        <v/>
      </c>
      <c r="N4127" t="str">
        <f>IFERROR(__xludf.DUMMYFUNCTION("""COMPUTED_VALUE"""),"")</f>
        <v/>
      </c>
      <c r="O4127" t="str">
        <f>IFERROR(__xludf.DUMMYFUNCTION("""COMPUTED_VALUE"""),"")</f>
        <v/>
      </c>
      <c r="P4127" t="str">
        <f>IFERROR(__xludf.DUMMYFUNCTION("""COMPUTED_VALUE"""),"ID ")</f>
        <v>ID </v>
      </c>
    </row>
    <row r="4128">
      <c r="A4128" s="6" t="str">
        <f>IFERROR(__xludf.DUMMYFUNCTION("""COMPUTED_VALUE"""),"")</f>
        <v/>
      </c>
      <c r="C4128" t="str">
        <f>IFERROR(__xludf.DUMMYFUNCTION("""COMPUTED_VALUE"""),"")</f>
        <v/>
      </c>
      <c r="D4128" t="str">
        <f>IFERROR(__xludf.DUMMYFUNCTION("""COMPUTED_VALUE"""),"")</f>
        <v/>
      </c>
      <c r="E4128" t="str">
        <f>IFERROR(__xludf.DUMMYFUNCTION("""COMPUTED_VALUE"""),"")</f>
        <v/>
      </c>
      <c r="F4128" t="str">
        <f>IFERROR(__xludf.DUMMYFUNCTION("""COMPUTED_VALUE"""),"")</f>
        <v/>
      </c>
      <c r="G4128" t="str">
        <f>IFERROR(__xludf.DUMMYFUNCTION("""COMPUTED_VALUE"""),"")</f>
        <v/>
      </c>
      <c r="H4128" s="2" t="str">
        <f>IFERROR(__xludf.DUMMYFUNCTION("""COMPUTED_VALUE"""),"")</f>
        <v/>
      </c>
      <c r="I4128" s="2" t="str">
        <f>IFERROR(__xludf.DUMMYFUNCTION("""COMPUTED_VALUE"""),"")</f>
        <v/>
      </c>
      <c r="J4128" s="2">
        <f>IFERROR(__xludf.DUMMYFUNCTION("""COMPUTED_VALUE"""),0.0)</f>
        <v>0</v>
      </c>
      <c r="K4128" s="5" t="str">
        <f>IFERROR(__xludf.DUMMYFUNCTION("""COMPUTED_VALUE"""),"")</f>
        <v/>
      </c>
      <c r="L4128" t="str">
        <f>IFERROR(__xludf.DUMMYFUNCTION("""COMPUTED_VALUE"""),"")</f>
        <v/>
      </c>
      <c r="M4128" t="str">
        <f>IFERROR(__xludf.DUMMYFUNCTION("""COMPUTED_VALUE"""),"")</f>
        <v/>
      </c>
      <c r="N4128" t="str">
        <f>IFERROR(__xludf.DUMMYFUNCTION("""COMPUTED_VALUE"""),"")</f>
        <v/>
      </c>
      <c r="O4128" t="str">
        <f>IFERROR(__xludf.DUMMYFUNCTION("""COMPUTED_VALUE"""),"")</f>
        <v/>
      </c>
      <c r="P4128" t="str">
        <f>IFERROR(__xludf.DUMMYFUNCTION("""COMPUTED_VALUE"""),"ID ")</f>
        <v>ID </v>
      </c>
    </row>
    <row r="4129">
      <c r="A4129" s="6" t="str">
        <f>IFERROR(__xludf.DUMMYFUNCTION("""COMPUTED_VALUE"""),"")</f>
        <v/>
      </c>
      <c r="C4129" t="str">
        <f>IFERROR(__xludf.DUMMYFUNCTION("""COMPUTED_VALUE"""),"")</f>
        <v/>
      </c>
      <c r="D4129" t="str">
        <f>IFERROR(__xludf.DUMMYFUNCTION("""COMPUTED_VALUE"""),"")</f>
        <v/>
      </c>
      <c r="E4129" t="str">
        <f>IFERROR(__xludf.DUMMYFUNCTION("""COMPUTED_VALUE"""),"")</f>
        <v/>
      </c>
      <c r="F4129" t="str">
        <f>IFERROR(__xludf.DUMMYFUNCTION("""COMPUTED_VALUE"""),"")</f>
        <v/>
      </c>
      <c r="G4129" t="str">
        <f>IFERROR(__xludf.DUMMYFUNCTION("""COMPUTED_VALUE"""),"")</f>
        <v/>
      </c>
      <c r="H4129" s="2" t="str">
        <f>IFERROR(__xludf.DUMMYFUNCTION("""COMPUTED_VALUE"""),"")</f>
        <v/>
      </c>
      <c r="I4129" s="2" t="str">
        <f>IFERROR(__xludf.DUMMYFUNCTION("""COMPUTED_VALUE"""),"")</f>
        <v/>
      </c>
      <c r="J4129" s="2">
        <f>IFERROR(__xludf.DUMMYFUNCTION("""COMPUTED_VALUE"""),0.0)</f>
        <v>0</v>
      </c>
      <c r="K4129" s="5" t="str">
        <f>IFERROR(__xludf.DUMMYFUNCTION("""COMPUTED_VALUE"""),"")</f>
        <v/>
      </c>
      <c r="L4129" t="str">
        <f>IFERROR(__xludf.DUMMYFUNCTION("""COMPUTED_VALUE"""),"")</f>
        <v/>
      </c>
      <c r="M4129" t="str">
        <f>IFERROR(__xludf.DUMMYFUNCTION("""COMPUTED_VALUE"""),"")</f>
        <v/>
      </c>
      <c r="N4129" t="str">
        <f>IFERROR(__xludf.DUMMYFUNCTION("""COMPUTED_VALUE"""),"")</f>
        <v/>
      </c>
      <c r="O4129" t="str">
        <f>IFERROR(__xludf.DUMMYFUNCTION("""COMPUTED_VALUE"""),"")</f>
        <v/>
      </c>
      <c r="P4129" t="str">
        <f>IFERROR(__xludf.DUMMYFUNCTION("""COMPUTED_VALUE"""),"ID ")</f>
        <v>ID </v>
      </c>
    </row>
    <row r="4130">
      <c r="A4130" s="6" t="str">
        <f>IFERROR(__xludf.DUMMYFUNCTION("""COMPUTED_VALUE"""),"")</f>
        <v/>
      </c>
      <c r="C4130" t="str">
        <f>IFERROR(__xludf.DUMMYFUNCTION("""COMPUTED_VALUE"""),"")</f>
        <v/>
      </c>
      <c r="D4130" t="str">
        <f>IFERROR(__xludf.DUMMYFUNCTION("""COMPUTED_VALUE"""),"")</f>
        <v/>
      </c>
      <c r="E4130" t="str">
        <f>IFERROR(__xludf.DUMMYFUNCTION("""COMPUTED_VALUE"""),"")</f>
        <v/>
      </c>
      <c r="F4130" t="str">
        <f>IFERROR(__xludf.DUMMYFUNCTION("""COMPUTED_VALUE"""),"")</f>
        <v/>
      </c>
      <c r="G4130" t="str">
        <f>IFERROR(__xludf.DUMMYFUNCTION("""COMPUTED_VALUE"""),"")</f>
        <v/>
      </c>
      <c r="H4130" s="2" t="str">
        <f>IFERROR(__xludf.DUMMYFUNCTION("""COMPUTED_VALUE"""),"")</f>
        <v/>
      </c>
      <c r="I4130" s="2" t="str">
        <f>IFERROR(__xludf.DUMMYFUNCTION("""COMPUTED_VALUE"""),"")</f>
        <v/>
      </c>
      <c r="J4130" s="2">
        <f>IFERROR(__xludf.DUMMYFUNCTION("""COMPUTED_VALUE"""),0.0)</f>
        <v>0</v>
      </c>
      <c r="K4130" s="5" t="str">
        <f>IFERROR(__xludf.DUMMYFUNCTION("""COMPUTED_VALUE"""),"")</f>
        <v/>
      </c>
      <c r="L4130" t="str">
        <f>IFERROR(__xludf.DUMMYFUNCTION("""COMPUTED_VALUE"""),"")</f>
        <v/>
      </c>
      <c r="M4130" t="str">
        <f>IFERROR(__xludf.DUMMYFUNCTION("""COMPUTED_VALUE"""),"")</f>
        <v/>
      </c>
      <c r="N4130" t="str">
        <f>IFERROR(__xludf.DUMMYFUNCTION("""COMPUTED_VALUE"""),"")</f>
        <v/>
      </c>
      <c r="O4130" t="str">
        <f>IFERROR(__xludf.DUMMYFUNCTION("""COMPUTED_VALUE"""),"")</f>
        <v/>
      </c>
      <c r="P4130" t="str">
        <f>IFERROR(__xludf.DUMMYFUNCTION("""COMPUTED_VALUE"""),"ID ")</f>
        <v>ID </v>
      </c>
    </row>
    <row r="4131">
      <c r="A4131" s="6" t="str">
        <f>IFERROR(__xludf.DUMMYFUNCTION("""COMPUTED_VALUE"""),"")</f>
        <v/>
      </c>
      <c r="C4131" t="str">
        <f>IFERROR(__xludf.DUMMYFUNCTION("""COMPUTED_VALUE"""),"")</f>
        <v/>
      </c>
      <c r="D4131" t="str">
        <f>IFERROR(__xludf.DUMMYFUNCTION("""COMPUTED_VALUE"""),"")</f>
        <v/>
      </c>
      <c r="E4131" t="str">
        <f>IFERROR(__xludf.DUMMYFUNCTION("""COMPUTED_VALUE"""),"")</f>
        <v/>
      </c>
      <c r="F4131" t="str">
        <f>IFERROR(__xludf.DUMMYFUNCTION("""COMPUTED_VALUE"""),"")</f>
        <v/>
      </c>
      <c r="G4131" t="str">
        <f>IFERROR(__xludf.DUMMYFUNCTION("""COMPUTED_VALUE"""),"")</f>
        <v/>
      </c>
      <c r="H4131" s="2" t="str">
        <f>IFERROR(__xludf.DUMMYFUNCTION("""COMPUTED_VALUE"""),"")</f>
        <v/>
      </c>
      <c r="I4131" s="2" t="str">
        <f>IFERROR(__xludf.DUMMYFUNCTION("""COMPUTED_VALUE"""),"")</f>
        <v/>
      </c>
      <c r="J4131" s="2">
        <f>IFERROR(__xludf.DUMMYFUNCTION("""COMPUTED_VALUE"""),0.0)</f>
        <v>0</v>
      </c>
      <c r="K4131" s="5" t="str">
        <f>IFERROR(__xludf.DUMMYFUNCTION("""COMPUTED_VALUE"""),"")</f>
        <v/>
      </c>
      <c r="L4131" t="str">
        <f>IFERROR(__xludf.DUMMYFUNCTION("""COMPUTED_VALUE"""),"")</f>
        <v/>
      </c>
      <c r="M4131" t="str">
        <f>IFERROR(__xludf.DUMMYFUNCTION("""COMPUTED_VALUE"""),"")</f>
        <v/>
      </c>
      <c r="N4131" t="str">
        <f>IFERROR(__xludf.DUMMYFUNCTION("""COMPUTED_VALUE"""),"")</f>
        <v/>
      </c>
      <c r="O4131" t="str">
        <f>IFERROR(__xludf.DUMMYFUNCTION("""COMPUTED_VALUE"""),"")</f>
        <v/>
      </c>
      <c r="P4131" t="str">
        <f>IFERROR(__xludf.DUMMYFUNCTION("""COMPUTED_VALUE"""),"ID ")</f>
        <v>ID </v>
      </c>
    </row>
    <row r="4132">
      <c r="A4132" s="6" t="str">
        <f>IFERROR(__xludf.DUMMYFUNCTION("""COMPUTED_VALUE"""),"")</f>
        <v/>
      </c>
      <c r="C4132" t="str">
        <f>IFERROR(__xludf.DUMMYFUNCTION("""COMPUTED_VALUE"""),"")</f>
        <v/>
      </c>
      <c r="D4132" t="str">
        <f>IFERROR(__xludf.DUMMYFUNCTION("""COMPUTED_VALUE"""),"")</f>
        <v/>
      </c>
      <c r="E4132" t="str">
        <f>IFERROR(__xludf.DUMMYFUNCTION("""COMPUTED_VALUE"""),"")</f>
        <v/>
      </c>
      <c r="F4132" t="str">
        <f>IFERROR(__xludf.DUMMYFUNCTION("""COMPUTED_VALUE"""),"")</f>
        <v/>
      </c>
      <c r="G4132" t="str">
        <f>IFERROR(__xludf.DUMMYFUNCTION("""COMPUTED_VALUE"""),"")</f>
        <v/>
      </c>
      <c r="H4132" s="2" t="str">
        <f>IFERROR(__xludf.DUMMYFUNCTION("""COMPUTED_VALUE"""),"")</f>
        <v/>
      </c>
      <c r="I4132" s="2" t="str">
        <f>IFERROR(__xludf.DUMMYFUNCTION("""COMPUTED_VALUE"""),"")</f>
        <v/>
      </c>
      <c r="J4132" s="2">
        <f>IFERROR(__xludf.DUMMYFUNCTION("""COMPUTED_VALUE"""),0.0)</f>
        <v>0</v>
      </c>
      <c r="K4132" s="5" t="str">
        <f>IFERROR(__xludf.DUMMYFUNCTION("""COMPUTED_VALUE"""),"")</f>
        <v/>
      </c>
      <c r="L4132" t="str">
        <f>IFERROR(__xludf.DUMMYFUNCTION("""COMPUTED_VALUE"""),"")</f>
        <v/>
      </c>
      <c r="M4132" t="str">
        <f>IFERROR(__xludf.DUMMYFUNCTION("""COMPUTED_VALUE"""),"")</f>
        <v/>
      </c>
      <c r="N4132" t="str">
        <f>IFERROR(__xludf.DUMMYFUNCTION("""COMPUTED_VALUE"""),"")</f>
        <v/>
      </c>
      <c r="O4132" t="str">
        <f>IFERROR(__xludf.DUMMYFUNCTION("""COMPUTED_VALUE"""),"")</f>
        <v/>
      </c>
      <c r="P4132" t="str">
        <f>IFERROR(__xludf.DUMMYFUNCTION("""COMPUTED_VALUE"""),"ID ")</f>
        <v>ID </v>
      </c>
    </row>
    <row r="4133">
      <c r="A4133" s="6" t="str">
        <f>IFERROR(__xludf.DUMMYFUNCTION("""COMPUTED_VALUE"""),"")</f>
        <v/>
      </c>
      <c r="C4133" t="str">
        <f>IFERROR(__xludf.DUMMYFUNCTION("""COMPUTED_VALUE"""),"")</f>
        <v/>
      </c>
      <c r="D4133" t="str">
        <f>IFERROR(__xludf.DUMMYFUNCTION("""COMPUTED_VALUE"""),"")</f>
        <v/>
      </c>
      <c r="E4133" t="str">
        <f>IFERROR(__xludf.DUMMYFUNCTION("""COMPUTED_VALUE"""),"")</f>
        <v/>
      </c>
      <c r="F4133" t="str">
        <f>IFERROR(__xludf.DUMMYFUNCTION("""COMPUTED_VALUE"""),"")</f>
        <v/>
      </c>
      <c r="G4133" t="str">
        <f>IFERROR(__xludf.DUMMYFUNCTION("""COMPUTED_VALUE"""),"")</f>
        <v/>
      </c>
      <c r="H4133" s="2" t="str">
        <f>IFERROR(__xludf.DUMMYFUNCTION("""COMPUTED_VALUE"""),"")</f>
        <v/>
      </c>
      <c r="I4133" s="2" t="str">
        <f>IFERROR(__xludf.DUMMYFUNCTION("""COMPUTED_VALUE"""),"")</f>
        <v/>
      </c>
      <c r="J4133" s="2">
        <f>IFERROR(__xludf.DUMMYFUNCTION("""COMPUTED_VALUE"""),0.0)</f>
        <v>0</v>
      </c>
      <c r="K4133" s="5" t="str">
        <f>IFERROR(__xludf.DUMMYFUNCTION("""COMPUTED_VALUE"""),"")</f>
        <v/>
      </c>
      <c r="L4133" t="str">
        <f>IFERROR(__xludf.DUMMYFUNCTION("""COMPUTED_VALUE"""),"")</f>
        <v/>
      </c>
      <c r="M4133" t="str">
        <f>IFERROR(__xludf.DUMMYFUNCTION("""COMPUTED_VALUE"""),"")</f>
        <v/>
      </c>
      <c r="N4133" t="str">
        <f>IFERROR(__xludf.DUMMYFUNCTION("""COMPUTED_VALUE"""),"")</f>
        <v/>
      </c>
      <c r="O4133" t="str">
        <f>IFERROR(__xludf.DUMMYFUNCTION("""COMPUTED_VALUE"""),"")</f>
        <v/>
      </c>
      <c r="P4133" t="str">
        <f>IFERROR(__xludf.DUMMYFUNCTION("""COMPUTED_VALUE"""),"ID ")</f>
        <v>ID </v>
      </c>
    </row>
    <row r="4134">
      <c r="A4134" s="6" t="str">
        <f>IFERROR(__xludf.DUMMYFUNCTION("""COMPUTED_VALUE"""),"")</f>
        <v/>
      </c>
      <c r="C4134" t="str">
        <f>IFERROR(__xludf.DUMMYFUNCTION("""COMPUTED_VALUE"""),"")</f>
        <v/>
      </c>
      <c r="D4134" t="str">
        <f>IFERROR(__xludf.DUMMYFUNCTION("""COMPUTED_VALUE"""),"")</f>
        <v/>
      </c>
      <c r="E4134" t="str">
        <f>IFERROR(__xludf.DUMMYFUNCTION("""COMPUTED_VALUE"""),"")</f>
        <v/>
      </c>
      <c r="F4134" t="str">
        <f>IFERROR(__xludf.DUMMYFUNCTION("""COMPUTED_VALUE"""),"")</f>
        <v/>
      </c>
      <c r="G4134" t="str">
        <f>IFERROR(__xludf.DUMMYFUNCTION("""COMPUTED_VALUE"""),"")</f>
        <v/>
      </c>
      <c r="H4134" s="2" t="str">
        <f>IFERROR(__xludf.DUMMYFUNCTION("""COMPUTED_VALUE"""),"")</f>
        <v/>
      </c>
      <c r="I4134" s="2" t="str">
        <f>IFERROR(__xludf.DUMMYFUNCTION("""COMPUTED_VALUE"""),"")</f>
        <v/>
      </c>
      <c r="J4134" s="2">
        <f>IFERROR(__xludf.DUMMYFUNCTION("""COMPUTED_VALUE"""),0.0)</f>
        <v>0</v>
      </c>
      <c r="K4134" s="5" t="str">
        <f>IFERROR(__xludf.DUMMYFUNCTION("""COMPUTED_VALUE"""),"")</f>
        <v/>
      </c>
      <c r="L4134" t="str">
        <f>IFERROR(__xludf.DUMMYFUNCTION("""COMPUTED_VALUE"""),"")</f>
        <v/>
      </c>
      <c r="M4134" t="str">
        <f>IFERROR(__xludf.DUMMYFUNCTION("""COMPUTED_VALUE"""),"")</f>
        <v/>
      </c>
      <c r="N4134" t="str">
        <f>IFERROR(__xludf.DUMMYFUNCTION("""COMPUTED_VALUE"""),"")</f>
        <v/>
      </c>
      <c r="O4134" t="str">
        <f>IFERROR(__xludf.DUMMYFUNCTION("""COMPUTED_VALUE"""),"")</f>
        <v/>
      </c>
      <c r="P4134" t="str">
        <f>IFERROR(__xludf.DUMMYFUNCTION("""COMPUTED_VALUE"""),"ID ")</f>
        <v>ID </v>
      </c>
    </row>
    <row r="4135">
      <c r="A4135" s="6" t="str">
        <f>IFERROR(__xludf.DUMMYFUNCTION("""COMPUTED_VALUE"""),"")</f>
        <v/>
      </c>
      <c r="C4135" t="str">
        <f>IFERROR(__xludf.DUMMYFUNCTION("""COMPUTED_VALUE"""),"")</f>
        <v/>
      </c>
      <c r="D4135" t="str">
        <f>IFERROR(__xludf.DUMMYFUNCTION("""COMPUTED_VALUE"""),"")</f>
        <v/>
      </c>
      <c r="E4135" t="str">
        <f>IFERROR(__xludf.DUMMYFUNCTION("""COMPUTED_VALUE"""),"")</f>
        <v/>
      </c>
      <c r="F4135" t="str">
        <f>IFERROR(__xludf.DUMMYFUNCTION("""COMPUTED_VALUE"""),"")</f>
        <v/>
      </c>
      <c r="G4135" t="str">
        <f>IFERROR(__xludf.DUMMYFUNCTION("""COMPUTED_VALUE"""),"")</f>
        <v/>
      </c>
      <c r="H4135" s="2" t="str">
        <f>IFERROR(__xludf.DUMMYFUNCTION("""COMPUTED_VALUE"""),"")</f>
        <v/>
      </c>
      <c r="I4135" s="2" t="str">
        <f>IFERROR(__xludf.DUMMYFUNCTION("""COMPUTED_VALUE"""),"")</f>
        <v/>
      </c>
      <c r="J4135" s="2">
        <f>IFERROR(__xludf.DUMMYFUNCTION("""COMPUTED_VALUE"""),0.0)</f>
        <v>0</v>
      </c>
      <c r="K4135" s="5" t="str">
        <f>IFERROR(__xludf.DUMMYFUNCTION("""COMPUTED_VALUE"""),"")</f>
        <v/>
      </c>
      <c r="L4135" t="str">
        <f>IFERROR(__xludf.DUMMYFUNCTION("""COMPUTED_VALUE"""),"")</f>
        <v/>
      </c>
      <c r="M4135" t="str">
        <f>IFERROR(__xludf.DUMMYFUNCTION("""COMPUTED_VALUE"""),"")</f>
        <v/>
      </c>
      <c r="N4135" t="str">
        <f>IFERROR(__xludf.DUMMYFUNCTION("""COMPUTED_VALUE"""),"")</f>
        <v/>
      </c>
      <c r="O4135" t="str">
        <f>IFERROR(__xludf.DUMMYFUNCTION("""COMPUTED_VALUE"""),"")</f>
        <v/>
      </c>
      <c r="P4135" t="str">
        <f>IFERROR(__xludf.DUMMYFUNCTION("""COMPUTED_VALUE"""),"ID ")</f>
        <v>ID </v>
      </c>
    </row>
    <row r="4136">
      <c r="A4136" s="6" t="str">
        <f>IFERROR(__xludf.DUMMYFUNCTION("""COMPUTED_VALUE"""),"")</f>
        <v/>
      </c>
      <c r="C4136" t="str">
        <f>IFERROR(__xludf.DUMMYFUNCTION("""COMPUTED_VALUE"""),"")</f>
        <v/>
      </c>
      <c r="D4136" t="str">
        <f>IFERROR(__xludf.DUMMYFUNCTION("""COMPUTED_VALUE"""),"")</f>
        <v/>
      </c>
      <c r="E4136" t="str">
        <f>IFERROR(__xludf.DUMMYFUNCTION("""COMPUTED_VALUE"""),"")</f>
        <v/>
      </c>
      <c r="F4136" t="str">
        <f>IFERROR(__xludf.DUMMYFUNCTION("""COMPUTED_VALUE"""),"")</f>
        <v/>
      </c>
      <c r="G4136" t="str">
        <f>IFERROR(__xludf.DUMMYFUNCTION("""COMPUTED_VALUE"""),"")</f>
        <v/>
      </c>
      <c r="H4136" s="2" t="str">
        <f>IFERROR(__xludf.DUMMYFUNCTION("""COMPUTED_VALUE"""),"")</f>
        <v/>
      </c>
      <c r="I4136" s="2" t="str">
        <f>IFERROR(__xludf.DUMMYFUNCTION("""COMPUTED_VALUE"""),"")</f>
        <v/>
      </c>
      <c r="J4136" s="2">
        <f>IFERROR(__xludf.DUMMYFUNCTION("""COMPUTED_VALUE"""),0.0)</f>
        <v>0</v>
      </c>
      <c r="K4136" s="5" t="str">
        <f>IFERROR(__xludf.DUMMYFUNCTION("""COMPUTED_VALUE"""),"")</f>
        <v/>
      </c>
      <c r="L4136" t="str">
        <f>IFERROR(__xludf.DUMMYFUNCTION("""COMPUTED_VALUE"""),"")</f>
        <v/>
      </c>
      <c r="M4136" t="str">
        <f>IFERROR(__xludf.DUMMYFUNCTION("""COMPUTED_VALUE"""),"")</f>
        <v/>
      </c>
      <c r="N4136" t="str">
        <f>IFERROR(__xludf.DUMMYFUNCTION("""COMPUTED_VALUE"""),"")</f>
        <v/>
      </c>
      <c r="O4136" t="str">
        <f>IFERROR(__xludf.DUMMYFUNCTION("""COMPUTED_VALUE"""),"")</f>
        <v/>
      </c>
      <c r="P4136" t="str">
        <f>IFERROR(__xludf.DUMMYFUNCTION("""COMPUTED_VALUE"""),"ID ")</f>
        <v>ID </v>
      </c>
    </row>
    <row r="4137">
      <c r="A4137" s="6" t="str">
        <f>IFERROR(__xludf.DUMMYFUNCTION("""COMPUTED_VALUE"""),"")</f>
        <v/>
      </c>
      <c r="C4137" t="str">
        <f>IFERROR(__xludf.DUMMYFUNCTION("""COMPUTED_VALUE"""),"")</f>
        <v/>
      </c>
      <c r="D4137" t="str">
        <f>IFERROR(__xludf.DUMMYFUNCTION("""COMPUTED_VALUE"""),"")</f>
        <v/>
      </c>
      <c r="E4137" t="str">
        <f>IFERROR(__xludf.DUMMYFUNCTION("""COMPUTED_VALUE"""),"")</f>
        <v/>
      </c>
      <c r="F4137" t="str">
        <f>IFERROR(__xludf.DUMMYFUNCTION("""COMPUTED_VALUE"""),"")</f>
        <v/>
      </c>
      <c r="G4137" t="str">
        <f>IFERROR(__xludf.DUMMYFUNCTION("""COMPUTED_VALUE"""),"")</f>
        <v/>
      </c>
      <c r="H4137" s="2" t="str">
        <f>IFERROR(__xludf.DUMMYFUNCTION("""COMPUTED_VALUE"""),"")</f>
        <v/>
      </c>
      <c r="I4137" s="2" t="str">
        <f>IFERROR(__xludf.DUMMYFUNCTION("""COMPUTED_VALUE"""),"")</f>
        <v/>
      </c>
      <c r="J4137" s="2">
        <f>IFERROR(__xludf.DUMMYFUNCTION("""COMPUTED_VALUE"""),0.0)</f>
        <v>0</v>
      </c>
      <c r="K4137" s="5" t="str">
        <f>IFERROR(__xludf.DUMMYFUNCTION("""COMPUTED_VALUE"""),"")</f>
        <v/>
      </c>
      <c r="L4137" t="str">
        <f>IFERROR(__xludf.DUMMYFUNCTION("""COMPUTED_VALUE"""),"")</f>
        <v/>
      </c>
      <c r="M4137" t="str">
        <f>IFERROR(__xludf.DUMMYFUNCTION("""COMPUTED_VALUE"""),"")</f>
        <v/>
      </c>
      <c r="N4137" t="str">
        <f>IFERROR(__xludf.DUMMYFUNCTION("""COMPUTED_VALUE"""),"")</f>
        <v/>
      </c>
      <c r="O4137" t="str">
        <f>IFERROR(__xludf.DUMMYFUNCTION("""COMPUTED_VALUE"""),"")</f>
        <v/>
      </c>
      <c r="P4137" t="str">
        <f>IFERROR(__xludf.DUMMYFUNCTION("""COMPUTED_VALUE"""),"ID ")</f>
        <v>ID </v>
      </c>
    </row>
    <row r="4138">
      <c r="A4138" s="6" t="str">
        <f>IFERROR(__xludf.DUMMYFUNCTION("""COMPUTED_VALUE"""),"")</f>
        <v/>
      </c>
      <c r="C4138" t="str">
        <f>IFERROR(__xludf.DUMMYFUNCTION("""COMPUTED_VALUE"""),"")</f>
        <v/>
      </c>
      <c r="D4138" t="str">
        <f>IFERROR(__xludf.DUMMYFUNCTION("""COMPUTED_VALUE"""),"")</f>
        <v/>
      </c>
      <c r="E4138" t="str">
        <f>IFERROR(__xludf.DUMMYFUNCTION("""COMPUTED_VALUE"""),"")</f>
        <v/>
      </c>
      <c r="F4138" t="str">
        <f>IFERROR(__xludf.DUMMYFUNCTION("""COMPUTED_VALUE"""),"")</f>
        <v/>
      </c>
      <c r="G4138" t="str">
        <f>IFERROR(__xludf.DUMMYFUNCTION("""COMPUTED_VALUE"""),"")</f>
        <v/>
      </c>
      <c r="H4138" s="2" t="str">
        <f>IFERROR(__xludf.DUMMYFUNCTION("""COMPUTED_VALUE"""),"")</f>
        <v/>
      </c>
      <c r="I4138" s="2" t="str">
        <f>IFERROR(__xludf.DUMMYFUNCTION("""COMPUTED_VALUE"""),"")</f>
        <v/>
      </c>
      <c r="J4138" s="2">
        <f>IFERROR(__xludf.DUMMYFUNCTION("""COMPUTED_VALUE"""),0.0)</f>
        <v>0</v>
      </c>
      <c r="K4138" s="5" t="str">
        <f>IFERROR(__xludf.DUMMYFUNCTION("""COMPUTED_VALUE"""),"")</f>
        <v/>
      </c>
      <c r="L4138" t="str">
        <f>IFERROR(__xludf.DUMMYFUNCTION("""COMPUTED_VALUE"""),"")</f>
        <v/>
      </c>
      <c r="M4138" t="str">
        <f>IFERROR(__xludf.DUMMYFUNCTION("""COMPUTED_VALUE"""),"")</f>
        <v/>
      </c>
      <c r="N4138" t="str">
        <f>IFERROR(__xludf.DUMMYFUNCTION("""COMPUTED_VALUE"""),"")</f>
        <v/>
      </c>
      <c r="O4138" t="str">
        <f>IFERROR(__xludf.DUMMYFUNCTION("""COMPUTED_VALUE"""),"")</f>
        <v/>
      </c>
      <c r="P4138" t="str">
        <f>IFERROR(__xludf.DUMMYFUNCTION("""COMPUTED_VALUE"""),"ID ")</f>
        <v>ID </v>
      </c>
    </row>
    <row r="4139">
      <c r="A4139" s="6" t="str">
        <f>IFERROR(__xludf.DUMMYFUNCTION("""COMPUTED_VALUE"""),"")</f>
        <v/>
      </c>
      <c r="C4139" t="str">
        <f>IFERROR(__xludf.DUMMYFUNCTION("""COMPUTED_VALUE"""),"")</f>
        <v/>
      </c>
      <c r="D4139" t="str">
        <f>IFERROR(__xludf.DUMMYFUNCTION("""COMPUTED_VALUE"""),"")</f>
        <v/>
      </c>
      <c r="E4139" t="str">
        <f>IFERROR(__xludf.DUMMYFUNCTION("""COMPUTED_VALUE"""),"")</f>
        <v/>
      </c>
      <c r="F4139" t="str">
        <f>IFERROR(__xludf.DUMMYFUNCTION("""COMPUTED_VALUE"""),"")</f>
        <v/>
      </c>
      <c r="G4139" t="str">
        <f>IFERROR(__xludf.DUMMYFUNCTION("""COMPUTED_VALUE"""),"")</f>
        <v/>
      </c>
      <c r="H4139" s="2" t="str">
        <f>IFERROR(__xludf.DUMMYFUNCTION("""COMPUTED_VALUE"""),"")</f>
        <v/>
      </c>
      <c r="I4139" s="2" t="str">
        <f>IFERROR(__xludf.DUMMYFUNCTION("""COMPUTED_VALUE"""),"")</f>
        <v/>
      </c>
      <c r="J4139" s="2">
        <f>IFERROR(__xludf.DUMMYFUNCTION("""COMPUTED_VALUE"""),0.0)</f>
        <v>0</v>
      </c>
      <c r="K4139" s="5" t="str">
        <f>IFERROR(__xludf.DUMMYFUNCTION("""COMPUTED_VALUE"""),"")</f>
        <v/>
      </c>
      <c r="L4139" t="str">
        <f>IFERROR(__xludf.DUMMYFUNCTION("""COMPUTED_VALUE"""),"")</f>
        <v/>
      </c>
      <c r="M4139" t="str">
        <f>IFERROR(__xludf.DUMMYFUNCTION("""COMPUTED_VALUE"""),"")</f>
        <v/>
      </c>
      <c r="N4139" t="str">
        <f>IFERROR(__xludf.DUMMYFUNCTION("""COMPUTED_VALUE"""),"")</f>
        <v/>
      </c>
      <c r="O4139" t="str">
        <f>IFERROR(__xludf.DUMMYFUNCTION("""COMPUTED_VALUE"""),"")</f>
        <v/>
      </c>
      <c r="P4139" t="str">
        <f>IFERROR(__xludf.DUMMYFUNCTION("""COMPUTED_VALUE"""),"ID ")</f>
        <v>ID </v>
      </c>
    </row>
    <row r="4140">
      <c r="A4140" s="6" t="str">
        <f>IFERROR(__xludf.DUMMYFUNCTION("""COMPUTED_VALUE"""),"")</f>
        <v/>
      </c>
      <c r="C4140" t="str">
        <f>IFERROR(__xludf.DUMMYFUNCTION("""COMPUTED_VALUE"""),"")</f>
        <v/>
      </c>
      <c r="D4140" t="str">
        <f>IFERROR(__xludf.DUMMYFUNCTION("""COMPUTED_VALUE"""),"")</f>
        <v/>
      </c>
      <c r="E4140" t="str">
        <f>IFERROR(__xludf.DUMMYFUNCTION("""COMPUTED_VALUE"""),"")</f>
        <v/>
      </c>
      <c r="F4140" t="str">
        <f>IFERROR(__xludf.DUMMYFUNCTION("""COMPUTED_VALUE"""),"")</f>
        <v/>
      </c>
      <c r="G4140" t="str">
        <f>IFERROR(__xludf.DUMMYFUNCTION("""COMPUTED_VALUE"""),"")</f>
        <v/>
      </c>
      <c r="H4140" s="2" t="str">
        <f>IFERROR(__xludf.DUMMYFUNCTION("""COMPUTED_VALUE"""),"")</f>
        <v/>
      </c>
      <c r="I4140" s="2" t="str">
        <f>IFERROR(__xludf.DUMMYFUNCTION("""COMPUTED_VALUE"""),"")</f>
        <v/>
      </c>
      <c r="J4140" s="2">
        <f>IFERROR(__xludf.DUMMYFUNCTION("""COMPUTED_VALUE"""),0.0)</f>
        <v>0</v>
      </c>
      <c r="K4140" s="5" t="str">
        <f>IFERROR(__xludf.DUMMYFUNCTION("""COMPUTED_VALUE"""),"")</f>
        <v/>
      </c>
      <c r="L4140" t="str">
        <f>IFERROR(__xludf.DUMMYFUNCTION("""COMPUTED_VALUE"""),"")</f>
        <v/>
      </c>
      <c r="M4140" t="str">
        <f>IFERROR(__xludf.DUMMYFUNCTION("""COMPUTED_VALUE"""),"")</f>
        <v/>
      </c>
      <c r="N4140" t="str">
        <f>IFERROR(__xludf.DUMMYFUNCTION("""COMPUTED_VALUE"""),"")</f>
        <v/>
      </c>
      <c r="O4140" t="str">
        <f>IFERROR(__xludf.DUMMYFUNCTION("""COMPUTED_VALUE"""),"")</f>
        <v/>
      </c>
      <c r="P4140" t="str">
        <f>IFERROR(__xludf.DUMMYFUNCTION("""COMPUTED_VALUE"""),"ID ")</f>
        <v>ID </v>
      </c>
    </row>
    <row r="4141">
      <c r="A4141" s="6" t="str">
        <f>IFERROR(__xludf.DUMMYFUNCTION("""COMPUTED_VALUE"""),"")</f>
        <v/>
      </c>
      <c r="C4141" t="str">
        <f>IFERROR(__xludf.DUMMYFUNCTION("""COMPUTED_VALUE"""),"")</f>
        <v/>
      </c>
      <c r="D4141" t="str">
        <f>IFERROR(__xludf.DUMMYFUNCTION("""COMPUTED_VALUE"""),"")</f>
        <v/>
      </c>
      <c r="E4141" t="str">
        <f>IFERROR(__xludf.DUMMYFUNCTION("""COMPUTED_VALUE"""),"")</f>
        <v/>
      </c>
      <c r="F4141" t="str">
        <f>IFERROR(__xludf.DUMMYFUNCTION("""COMPUTED_VALUE"""),"")</f>
        <v/>
      </c>
      <c r="G4141" t="str">
        <f>IFERROR(__xludf.DUMMYFUNCTION("""COMPUTED_VALUE"""),"")</f>
        <v/>
      </c>
      <c r="H4141" s="2" t="str">
        <f>IFERROR(__xludf.DUMMYFUNCTION("""COMPUTED_VALUE"""),"")</f>
        <v/>
      </c>
      <c r="I4141" s="2" t="str">
        <f>IFERROR(__xludf.DUMMYFUNCTION("""COMPUTED_VALUE"""),"")</f>
        <v/>
      </c>
      <c r="J4141" s="2">
        <f>IFERROR(__xludf.DUMMYFUNCTION("""COMPUTED_VALUE"""),0.0)</f>
        <v>0</v>
      </c>
      <c r="K4141" s="5" t="str">
        <f>IFERROR(__xludf.DUMMYFUNCTION("""COMPUTED_VALUE"""),"")</f>
        <v/>
      </c>
      <c r="L4141" t="str">
        <f>IFERROR(__xludf.DUMMYFUNCTION("""COMPUTED_VALUE"""),"")</f>
        <v/>
      </c>
      <c r="M4141" t="str">
        <f>IFERROR(__xludf.DUMMYFUNCTION("""COMPUTED_VALUE"""),"")</f>
        <v/>
      </c>
      <c r="N4141" t="str">
        <f>IFERROR(__xludf.DUMMYFUNCTION("""COMPUTED_VALUE"""),"")</f>
        <v/>
      </c>
      <c r="O4141" t="str">
        <f>IFERROR(__xludf.DUMMYFUNCTION("""COMPUTED_VALUE"""),"")</f>
        <v/>
      </c>
      <c r="P4141" t="str">
        <f>IFERROR(__xludf.DUMMYFUNCTION("""COMPUTED_VALUE"""),"ID ")</f>
        <v>ID </v>
      </c>
    </row>
    <row r="4142">
      <c r="A4142" s="6" t="str">
        <f>IFERROR(__xludf.DUMMYFUNCTION("""COMPUTED_VALUE"""),"")</f>
        <v/>
      </c>
      <c r="C4142" t="str">
        <f>IFERROR(__xludf.DUMMYFUNCTION("""COMPUTED_VALUE"""),"")</f>
        <v/>
      </c>
      <c r="D4142" t="str">
        <f>IFERROR(__xludf.DUMMYFUNCTION("""COMPUTED_VALUE"""),"")</f>
        <v/>
      </c>
      <c r="E4142" t="str">
        <f>IFERROR(__xludf.DUMMYFUNCTION("""COMPUTED_VALUE"""),"")</f>
        <v/>
      </c>
      <c r="F4142" t="str">
        <f>IFERROR(__xludf.DUMMYFUNCTION("""COMPUTED_VALUE"""),"")</f>
        <v/>
      </c>
      <c r="G4142" t="str">
        <f>IFERROR(__xludf.DUMMYFUNCTION("""COMPUTED_VALUE"""),"")</f>
        <v/>
      </c>
      <c r="H4142" s="2" t="str">
        <f>IFERROR(__xludf.DUMMYFUNCTION("""COMPUTED_VALUE"""),"")</f>
        <v/>
      </c>
      <c r="I4142" s="2" t="str">
        <f>IFERROR(__xludf.DUMMYFUNCTION("""COMPUTED_VALUE"""),"")</f>
        <v/>
      </c>
      <c r="J4142" s="2">
        <f>IFERROR(__xludf.DUMMYFUNCTION("""COMPUTED_VALUE"""),0.0)</f>
        <v>0</v>
      </c>
      <c r="K4142" s="5" t="str">
        <f>IFERROR(__xludf.DUMMYFUNCTION("""COMPUTED_VALUE"""),"")</f>
        <v/>
      </c>
      <c r="L4142" t="str">
        <f>IFERROR(__xludf.DUMMYFUNCTION("""COMPUTED_VALUE"""),"")</f>
        <v/>
      </c>
      <c r="M4142" t="str">
        <f>IFERROR(__xludf.DUMMYFUNCTION("""COMPUTED_VALUE"""),"")</f>
        <v/>
      </c>
      <c r="N4142" t="str">
        <f>IFERROR(__xludf.DUMMYFUNCTION("""COMPUTED_VALUE"""),"")</f>
        <v/>
      </c>
      <c r="O4142" t="str">
        <f>IFERROR(__xludf.DUMMYFUNCTION("""COMPUTED_VALUE"""),"")</f>
        <v/>
      </c>
      <c r="P4142" t="str">
        <f>IFERROR(__xludf.DUMMYFUNCTION("""COMPUTED_VALUE"""),"ID ")</f>
        <v>ID </v>
      </c>
    </row>
    <row r="4143">
      <c r="A4143" s="6" t="str">
        <f>IFERROR(__xludf.DUMMYFUNCTION("""COMPUTED_VALUE"""),"")</f>
        <v/>
      </c>
      <c r="C4143" t="str">
        <f>IFERROR(__xludf.DUMMYFUNCTION("""COMPUTED_VALUE"""),"")</f>
        <v/>
      </c>
      <c r="D4143" t="str">
        <f>IFERROR(__xludf.DUMMYFUNCTION("""COMPUTED_VALUE"""),"")</f>
        <v/>
      </c>
      <c r="E4143" t="str">
        <f>IFERROR(__xludf.DUMMYFUNCTION("""COMPUTED_VALUE"""),"")</f>
        <v/>
      </c>
      <c r="F4143" t="str">
        <f>IFERROR(__xludf.DUMMYFUNCTION("""COMPUTED_VALUE"""),"")</f>
        <v/>
      </c>
      <c r="G4143" t="str">
        <f>IFERROR(__xludf.DUMMYFUNCTION("""COMPUTED_VALUE"""),"")</f>
        <v/>
      </c>
      <c r="H4143" s="2" t="str">
        <f>IFERROR(__xludf.DUMMYFUNCTION("""COMPUTED_VALUE"""),"")</f>
        <v/>
      </c>
      <c r="I4143" s="2" t="str">
        <f>IFERROR(__xludf.DUMMYFUNCTION("""COMPUTED_VALUE"""),"")</f>
        <v/>
      </c>
      <c r="J4143" s="2">
        <f>IFERROR(__xludf.DUMMYFUNCTION("""COMPUTED_VALUE"""),0.0)</f>
        <v>0</v>
      </c>
      <c r="K4143" s="5" t="str">
        <f>IFERROR(__xludf.DUMMYFUNCTION("""COMPUTED_VALUE"""),"")</f>
        <v/>
      </c>
      <c r="L4143" t="str">
        <f>IFERROR(__xludf.DUMMYFUNCTION("""COMPUTED_VALUE"""),"")</f>
        <v/>
      </c>
      <c r="M4143" t="str">
        <f>IFERROR(__xludf.DUMMYFUNCTION("""COMPUTED_VALUE"""),"")</f>
        <v/>
      </c>
      <c r="N4143" t="str">
        <f>IFERROR(__xludf.DUMMYFUNCTION("""COMPUTED_VALUE"""),"")</f>
        <v/>
      </c>
      <c r="O4143" t="str">
        <f>IFERROR(__xludf.DUMMYFUNCTION("""COMPUTED_VALUE"""),"")</f>
        <v/>
      </c>
      <c r="P4143" t="str">
        <f>IFERROR(__xludf.DUMMYFUNCTION("""COMPUTED_VALUE"""),"ID ")</f>
        <v>ID </v>
      </c>
    </row>
    <row r="4144">
      <c r="A4144" s="6" t="str">
        <f>IFERROR(__xludf.DUMMYFUNCTION("""COMPUTED_VALUE"""),"")</f>
        <v/>
      </c>
      <c r="C4144" t="str">
        <f>IFERROR(__xludf.DUMMYFUNCTION("""COMPUTED_VALUE"""),"")</f>
        <v/>
      </c>
      <c r="D4144" t="str">
        <f>IFERROR(__xludf.DUMMYFUNCTION("""COMPUTED_VALUE"""),"")</f>
        <v/>
      </c>
      <c r="E4144" t="str">
        <f>IFERROR(__xludf.DUMMYFUNCTION("""COMPUTED_VALUE"""),"")</f>
        <v/>
      </c>
      <c r="F4144" t="str">
        <f>IFERROR(__xludf.DUMMYFUNCTION("""COMPUTED_VALUE"""),"")</f>
        <v/>
      </c>
      <c r="G4144" t="str">
        <f>IFERROR(__xludf.DUMMYFUNCTION("""COMPUTED_VALUE"""),"")</f>
        <v/>
      </c>
      <c r="H4144" s="2" t="str">
        <f>IFERROR(__xludf.DUMMYFUNCTION("""COMPUTED_VALUE"""),"")</f>
        <v/>
      </c>
      <c r="I4144" s="2" t="str">
        <f>IFERROR(__xludf.DUMMYFUNCTION("""COMPUTED_VALUE"""),"")</f>
        <v/>
      </c>
      <c r="J4144" s="2">
        <f>IFERROR(__xludf.DUMMYFUNCTION("""COMPUTED_VALUE"""),0.0)</f>
        <v>0</v>
      </c>
      <c r="K4144" s="5" t="str">
        <f>IFERROR(__xludf.DUMMYFUNCTION("""COMPUTED_VALUE"""),"")</f>
        <v/>
      </c>
      <c r="L4144" t="str">
        <f>IFERROR(__xludf.DUMMYFUNCTION("""COMPUTED_VALUE"""),"")</f>
        <v/>
      </c>
      <c r="M4144" t="str">
        <f>IFERROR(__xludf.DUMMYFUNCTION("""COMPUTED_VALUE"""),"")</f>
        <v/>
      </c>
      <c r="N4144" t="str">
        <f>IFERROR(__xludf.DUMMYFUNCTION("""COMPUTED_VALUE"""),"")</f>
        <v/>
      </c>
      <c r="O4144" t="str">
        <f>IFERROR(__xludf.DUMMYFUNCTION("""COMPUTED_VALUE"""),"")</f>
        <v/>
      </c>
      <c r="P4144" t="str">
        <f>IFERROR(__xludf.DUMMYFUNCTION("""COMPUTED_VALUE"""),"ID ")</f>
        <v>ID </v>
      </c>
    </row>
    <row r="4145">
      <c r="A4145" s="6" t="str">
        <f>IFERROR(__xludf.DUMMYFUNCTION("""COMPUTED_VALUE"""),"")</f>
        <v/>
      </c>
      <c r="C4145" t="str">
        <f>IFERROR(__xludf.DUMMYFUNCTION("""COMPUTED_VALUE"""),"")</f>
        <v/>
      </c>
      <c r="D4145" t="str">
        <f>IFERROR(__xludf.DUMMYFUNCTION("""COMPUTED_VALUE"""),"")</f>
        <v/>
      </c>
      <c r="E4145" t="str">
        <f>IFERROR(__xludf.DUMMYFUNCTION("""COMPUTED_VALUE"""),"")</f>
        <v/>
      </c>
      <c r="F4145" t="str">
        <f>IFERROR(__xludf.DUMMYFUNCTION("""COMPUTED_VALUE"""),"")</f>
        <v/>
      </c>
      <c r="G4145" t="str">
        <f>IFERROR(__xludf.DUMMYFUNCTION("""COMPUTED_VALUE"""),"")</f>
        <v/>
      </c>
      <c r="H4145" s="2" t="str">
        <f>IFERROR(__xludf.DUMMYFUNCTION("""COMPUTED_VALUE"""),"")</f>
        <v/>
      </c>
      <c r="I4145" s="2" t="str">
        <f>IFERROR(__xludf.DUMMYFUNCTION("""COMPUTED_VALUE"""),"")</f>
        <v/>
      </c>
      <c r="J4145" s="2">
        <f>IFERROR(__xludf.DUMMYFUNCTION("""COMPUTED_VALUE"""),0.0)</f>
        <v>0</v>
      </c>
      <c r="K4145" s="5" t="str">
        <f>IFERROR(__xludf.DUMMYFUNCTION("""COMPUTED_VALUE"""),"")</f>
        <v/>
      </c>
      <c r="L4145" t="str">
        <f>IFERROR(__xludf.DUMMYFUNCTION("""COMPUTED_VALUE"""),"")</f>
        <v/>
      </c>
      <c r="M4145" t="str">
        <f>IFERROR(__xludf.DUMMYFUNCTION("""COMPUTED_VALUE"""),"")</f>
        <v/>
      </c>
      <c r="N4145" t="str">
        <f>IFERROR(__xludf.DUMMYFUNCTION("""COMPUTED_VALUE"""),"")</f>
        <v/>
      </c>
      <c r="O4145" t="str">
        <f>IFERROR(__xludf.DUMMYFUNCTION("""COMPUTED_VALUE"""),"")</f>
        <v/>
      </c>
      <c r="P4145" t="str">
        <f>IFERROR(__xludf.DUMMYFUNCTION("""COMPUTED_VALUE"""),"ID ")</f>
        <v>ID </v>
      </c>
    </row>
    <row r="4146">
      <c r="A4146" s="6" t="str">
        <f>IFERROR(__xludf.DUMMYFUNCTION("""COMPUTED_VALUE"""),"")</f>
        <v/>
      </c>
      <c r="C4146" t="str">
        <f>IFERROR(__xludf.DUMMYFUNCTION("""COMPUTED_VALUE"""),"")</f>
        <v/>
      </c>
      <c r="D4146" t="str">
        <f>IFERROR(__xludf.DUMMYFUNCTION("""COMPUTED_VALUE"""),"")</f>
        <v/>
      </c>
      <c r="E4146" t="str">
        <f>IFERROR(__xludf.DUMMYFUNCTION("""COMPUTED_VALUE"""),"")</f>
        <v/>
      </c>
      <c r="F4146" t="str">
        <f>IFERROR(__xludf.DUMMYFUNCTION("""COMPUTED_VALUE"""),"")</f>
        <v/>
      </c>
      <c r="G4146" t="str">
        <f>IFERROR(__xludf.DUMMYFUNCTION("""COMPUTED_VALUE"""),"")</f>
        <v/>
      </c>
      <c r="H4146" s="2" t="str">
        <f>IFERROR(__xludf.DUMMYFUNCTION("""COMPUTED_VALUE"""),"")</f>
        <v/>
      </c>
      <c r="I4146" s="2" t="str">
        <f>IFERROR(__xludf.DUMMYFUNCTION("""COMPUTED_VALUE"""),"")</f>
        <v/>
      </c>
      <c r="J4146" s="2">
        <f>IFERROR(__xludf.DUMMYFUNCTION("""COMPUTED_VALUE"""),0.0)</f>
        <v>0</v>
      </c>
      <c r="K4146" s="5" t="str">
        <f>IFERROR(__xludf.DUMMYFUNCTION("""COMPUTED_VALUE"""),"")</f>
        <v/>
      </c>
      <c r="L4146" t="str">
        <f>IFERROR(__xludf.DUMMYFUNCTION("""COMPUTED_VALUE"""),"")</f>
        <v/>
      </c>
      <c r="M4146" t="str">
        <f>IFERROR(__xludf.DUMMYFUNCTION("""COMPUTED_VALUE"""),"")</f>
        <v/>
      </c>
      <c r="N4146" t="str">
        <f>IFERROR(__xludf.DUMMYFUNCTION("""COMPUTED_VALUE"""),"")</f>
        <v/>
      </c>
      <c r="O4146" t="str">
        <f>IFERROR(__xludf.DUMMYFUNCTION("""COMPUTED_VALUE"""),"")</f>
        <v/>
      </c>
      <c r="P4146" t="str">
        <f>IFERROR(__xludf.DUMMYFUNCTION("""COMPUTED_VALUE"""),"ID ")</f>
        <v>ID </v>
      </c>
    </row>
    <row r="4147">
      <c r="A4147" s="6" t="str">
        <f>IFERROR(__xludf.DUMMYFUNCTION("""COMPUTED_VALUE"""),"")</f>
        <v/>
      </c>
      <c r="C4147" t="str">
        <f>IFERROR(__xludf.DUMMYFUNCTION("""COMPUTED_VALUE"""),"")</f>
        <v/>
      </c>
      <c r="D4147" t="str">
        <f>IFERROR(__xludf.DUMMYFUNCTION("""COMPUTED_VALUE"""),"")</f>
        <v/>
      </c>
      <c r="E4147" t="str">
        <f>IFERROR(__xludf.DUMMYFUNCTION("""COMPUTED_VALUE"""),"")</f>
        <v/>
      </c>
      <c r="F4147" t="str">
        <f>IFERROR(__xludf.DUMMYFUNCTION("""COMPUTED_VALUE"""),"")</f>
        <v/>
      </c>
      <c r="G4147" t="str">
        <f>IFERROR(__xludf.DUMMYFUNCTION("""COMPUTED_VALUE"""),"")</f>
        <v/>
      </c>
      <c r="H4147" s="2" t="str">
        <f>IFERROR(__xludf.DUMMYFUNCTION("""COMPUTED_VALUE"""),"")</f>
        <v/>
      </c>
      <c r="I4147" s="2" t="str">
        <f>IFERROR(__xludf.DUMMYFUNCTION("""COMPUTED_VALUE"""),"")</f>
        <v/>
      </c>
      <c r="J4147" s="2">
        <f>IFERROR(__xludf.DUMMYFUNCTION("""COMPUTED_VALUE"""),0.0)</f>
        <v>0</v>
      </c>
      <c r="K4147" s="5" t="str">
        <f>IFERROR(__xludf.DUMMYFUNCTION("""COMPUTED_VALUE"""),"")</f>
        <v/>
      </c>
      <c r="L4147" t="str">
        <f>IFERROR(__xludf.DUMMYFUNCTION("""COMPUTED_VALUE"""),"")</f>
        <v/>
      </c>
      <c r="M4147" t="str">
        <f>IFERROR(__xludf.DUMMYFUNCTION("""COMPUTED_VALUE"""),"")</f>
        <v/>
      </c>
      <c r="N4147" t="str">
        <f>IFERROR(__xludf.DUMMYFUNCTION("""COMPUTED_VALUE"""),"")</f>
        <v/>
      </c>
      <c r="O4147" t="str">
        <f>IFERROR(__xludf.DUMMYFUNCTION("""COMPUTED_VALUE"""),"")</f>
        <v/>
      </c>
      <c r="P4147" t="str">
        <f>IFERROR(__xludf.DUMMYFUNCTION("""COMPUTED_VALUE"""),"ID ")</f>
        <v>ID </v>
      </c>
    </row>
    <row r="4148">
      <c r="A4148" s="6" t="str">
        <f>IFERROR(__xludf.DUMMYFUNCTION("""COMPUTED_VALUE"""),"")</f>
        <v/>
      </c>
      <c r="C4148" t="str">
        <f>IFERROR(__xludf.DUMMYFUNCTION("""COMPUTED_VALUE"""),"")</f>
        <v/>
      </c>
      <c r="D4148" t="str">
        <f>IFERROR(__xludf.DUMMYFUNCTION("""COMPUTED_VALUE"""),"")</f>
        <v/>
      </c>
      <c r="E4148" t="str">
        <f>IFERROR(__xludf.DUMMYFUNCTION("""COMPUTED_VALUE"""),"")</f>
        <v/>
      </c>
      <c r="F4148" t="str">
        <f>IFERROR(__xludf.DUMMYFUNCTION("""COMPUTED_VALUE"""),"")</f>
        <v/>
      </c>
      <c r="G4148" t="str">
        <f>IFERROR(__xludf.DUMMYFUNCTION("""COMPUTED_VALUE"""),"")</f>
        <v/>
      </c>
      <c r="H4148" s="2" t="str">
        <f>IFERROR(__xludf.DUMMYFUNCTION("""COMPUTED_VALUE"""),"")</f>
        <v/>
      </c>
      <c r="I4148" s="2" t="str">
        <f>IFERROR(__xludf.DUMMYFUNCTION("""COMPUTED_VALUE"""),"")</f>
        <v/>
      </c>
      <c r="J4148" s="2">
        <f>IFERROR(__xludf.DUMMYFUNCTION("""COMPUTED_VALUE"""),0.0)</f>
        <v>0</v>
      </c>
      <c r="K4148" s="5" t="str">
        <f>IFERROR(__xludf.DUMMYFUNCTION("""COMPUTED_VALUE"""),"")</f>
        <v/>
      </c>
      <c r="L4148" t="str">
        <f>IFERROR(__xludf.DUMMYFUNCTION("""COMPUTED_VALUE"""),"")</f>
        <v/>
      </c>
      <c r="M4148" t="str">
        <f>IFERROR(__xludf.DUMMYFUNCTION("""COMPUTED_VALUE"""),"")</f>
        <v/>
      </c>
      <c r="N4148" t="str">
        <f>IFERROR(__xludf.DUMMYFUNCTION("""COMPUTED_VALUE"""),"")</f>
        <v/>
      </c>
      <c r="O4148" t="str">
        <f>IFERROR(__xludf.DUMMYFUNCTION("""COMPUTED_VALUE"""),"")</f>
        <v/>
      </c>
      <c r="P4148" t="str">
        <f>IFERROR(__xludf.DUMMYFUNCTION("""COMPUTED_VALUE"""),"ID ")</f>
        <v>ID </v>
      </c>
    </row>
    <row r="4149">
      <c r="A4149" s="6" t="str">
        <f>IFERROR(__xludf.DUMMYFUNCTION("""COMPUTED_VALUE"""),"")</f>
        <v/>
      </c>
      <c r="C4149" t="str">
        <f>IFERROR(__xludf.DUMMYFUNCTION("""COMPUTED_VALUE"""),"")</f>
        <v/>
      </c>
      <c r="D4149" t="str">
        <f>IFERROR(__xludf.DUMMYFUNCTION("""COMPUTED_VALUE"""),"")</f>
        <v/>
      </c>
      <c r="E4149" t="str">
        <f>IFERROR(__xludf.DUMMYFUNCTION("""COMPUTED_VALUE"""),"")</f>
        <v/>
      </c>
      <c r="F4149" t="str">
        <f>IFERROR(__xludf.DUMMYFUNCTION("""COMPUTED_VALUE"""),"")</f>
        <v/>
      </c>
      <c r="G4149" t="str">
        <f>IFERROR(__xludf.DUMMYFUNCTION("""COMPUTED_VALUE"""),"")</f>
        <v/>
      </c>
      <c r="H4149" s="2" t="str">
        <f>IFERROR(__xludf.DUMMYFUNCTION("""COMPUTED_VALUE"""),"")</f>
        <v/>
      </c>
      <c r="I4149" s="2" t="str">
        <f>IFERROR(__xludf.DUMMYFUNCTION("""COMPUTED_VALUE"""),"")</f>
        <v/>
      </c>
      <c r="J4149" s="2">
        <f>IFERROR(__xludf.DUMMYFUNCTION("""COMPUTED_VALUE"""),0.0)</f>
        <v>0</v>
      </c>
      <c r="K4149" s="5" t="str">
        <f>IFERROR(__xludf.DUMMYFUNCTION("""COMPUTED_VALUE"""),"")</f>
        <v/>
      </c>
      <c r="L4149" t="str">
        <f>IFERROR(__xludf.DUMMYFUNCTION("""COMPUTED_VALUE"""),"")</f>
        <v/>
      </c>
      <c r="M4149" t="str">
        <f>IFERROR(__xludf.DUMMYFUNCTION("""COMPUTED_VALUE"""),"")</f>
        <v/>
      </c>
      <c r="N4149" t="str">
        <f>IFERROR(__xludf.DUMMYFUNCTION("""COMPUTED_VALUE"""),"")</f>
        <v/>
      </c>
      <c r="O4149" t="str">
        <f>IFERROR(__xludf.DUMMYFUNCTION("""COMPUTED_VALUE"""),"")</f>
        <v/>
      </c>
      <c r="P4149" t="str">
        <f>IFERROR(__xludf.DUMMYFUNCTION("""COMPUTED_VALUE"""),"ID ")</f>
        <v>ID </v>
      </c>
    </row>
    <row r="4150">
      <c r="A4150" s="6" t="str">
        <f>IFERROR(__xludf.DUMMYFUNCTION("""COMPUTED_VALUE"""),"")</f>
        <v/>
      </c>
      <c r="C4150" t="str">
        <f>IFERROR(__xludf.DUMMYFUNCTION("""COMPUTED_VALUE"""),"")</f>
        <v/>
      </c>
      <c r="D4150" t="str">
        <f>IFERROR(__xludf.DUMMYFUNCTION("""COMPUTED_VALUE"""),"")</f>
        <v/>
      </c>
      <c r="E4150" t="str">
        <f>IFERROR(__xludf.DUMMYFUNCTION("""COMPUTED_VALUE"""),"")</f>
        <v/>
      </c>
      <c r="F4150" t="str">
        <f>IFERROR(__xludf.DUMMYFUNCTION("""COMPUTED_VALUE"""),"")</f>
        <v/>
      </c>
      <c r="G4150" t="str">
        <f>IFERROR(__xludf.DUMMYFUNCTION("""COMPUTED_VALUE"""),"")</f>
        <v/>
      </c>
      <c r="H4150" s="2" t="str">
        <f>IFERROR(__xludf.DUMMYFUNCTION("""COMPUTED_VALUE"""),"")</f>
        <v/>
      </c>
      <c r="I4150" s="2" t="str">
        <f>IFERROR(__xludf.DUMMYFUNCTION("""COMPUTED_VALUE"""),"")</f>
        <v/>
      </c>
      <c r="J4150" s="2">
        <f>IFERROR(__xludf.DUMMYFUNCTION("""COMPUTED_VALUE"""),0.0)</f>
        <v>0</v>
      </c>
      <c r="K4150" s="5" t="str">
        <f>IFERROR(__xludf.DUMMYFUNCTION("""COMPUTED_VALUE"""),"")</f>
        <v/>
      </c>
      <c r="L4150" t="str">
        <f>IFERROR(__xludf.DUMMYFUNCTION("""COMPUTED_VALUE"""),"")</f>
        <v/>
      </c>
      <c r="M4150" t="str">
        <f>IFERROR(__xludf.DUMMYFUNCTION("""COMPUTED_VALUE"""),"")</f>
        <v/>
      </c>
      <c r="N4150" t="str">
        <f>IFERROR(__xludf.DUMMYFUNCTION("""COMPUTED_VALUE"""),"")</f>
        <v/>
      </c>
      <c r="O4150" t="str">
        <f>IFERROR(__xludf.DUMMYFUNCTION("""COMPUTED_VALUE"""),"")</f>
        <v/>
      </c>
      <c r="P4150" t="str">
        <f>IFERROR(__xludf.DUMMYFUNCTION("""COMPUTED_VALUE"""),"ID ")</f>
        <v>ID </v>
      </c>
    </row>
    <row r="4151">
      <c r="A4151" s="6" t="str">
        <f>IFERROR(__xludf.DUMMYFUNCTION("""COMPUTED_VALUE"""),"")</f>
        <v/>
      </c>
      <c r="C4151" t="str">
        <f>IFERROR(__xludf.DUMMYFUNCTION("""COMPUTED_VALUE"""),"")</f>
        <v/>
      </c>
      <c r="D4151" t="str">
        <f>IFERROR(__xludf.DUMMYFUNCTION("""COMPUTED_VALUE"""),"")</f>
        <v/>
      </c>
      <c r="E4151" t="str">
        <f>IFERROR(__xludf.DUMMYFUNCTION("""COMPUTED_VALUE"""),"")</f>
        <v/>
      </c>
      <c r="F4151" t="str">
        <f>IFERROR(__xludf.DUMMYFUNCTION("""COMPUTED_VALUE"""),"")</f>
        <v/>
      </c>
      <c r="G4151" t="str">
        <f>IFERROR(__xludf.DUMMYFUNCTION("""COMPUTED_VALUE"""),"")</f>
        <v/>
      </c>
      <c r="H4151" s="2" t="str">
        <f>IFERROR(__xludf.DUMMYFUNCTION("""COMPUTED_VALUE"""),"")</f>
        <v/>
      </c>
      <c r="I4151" s="2" t="str">
        <f>IFERROR(__xludf.DUMMYFUNCTION("""COMPUTED_VALUE"""),"")</f>
        <v/>
      </c>
      <c r="J4151" s="2">
        <f>IFERROR(__xludf.DUMMYFUNCTION("""COMPUTED_VALUE"""),0.0)</f>
        <v>0</v>
      </c>
      <c r="K4151" s="5" t="str">
        <f>IFERROR(__xludf.DUMMYFUNCTION("""COMPUTED_VALUE"""),"")</f>
        <v/>
      </c>
      <c r="L4151" t="str">
        <f>IFERROR(__xludf.DUMMYFUNCTION("""COMPUTED_VALUE"""),"")</f>
        <v/>
      </c>
      <c r="M4151" t="str">
        <f>IFERROR(__xludf.DUMMYFUNCTION("""COMPUTED_VALUE"""),"")</f>
        <v/>
      </c>
      <c r="N4151" t="str">
        <f>IFERROR(__xludf.DUMMYFUNCTION("""COMPUTED_VALUE"""),"")</f>
        <v/>
      </c>
      <c r="O4151" t="str">
        <f>IFERROR(__xludf.DUMMYFUNCTION("""COMPUTED_VALUE"""),"")</f>
        <v/>
      </c>
      <c r="P4151" t="str">
        <f>IFERROR(__xludf.DUMMYFUNCTION("""COMPUTED_VALUE"""),"ID ")</f>
        <v>ID </v>
      </c>
    </row>
    <row r="4152">
      <c r="A4152" s="6" t="str">
        <f>IFERROR(__xludf.DUMMYFUNCTION("""COMPUTED_VALUE"""),"")</f>
        <v/>
      </c>
      <c r="C4152" t="str">
        <f>IFERROR(__xludf.DUMMYFUNCTION("""COMPUTED_VALUE"""),"")</f>
        <v/>
      </c>
      <c r="D4152" t="str">
        <f>IFERROR(__xludf.DUMMYFUNCTION("""COMPUTED_VALUE"""),"")</f>
        <v/>
      </c>
      <c r="E4152" t="str">
        <f>IFERROR(__xludf.DUMMYFUNCTION("""COMPUTED_VALUE"""),"")</f>
        <v/>
      </c>
      <c r="F4152" t="str">
        <f>IFERROR(__xludf.DUMMYFUNCTION("""COMPUTED_VALUE"""),"")</f>
        <v/>
      </c>
      <c r="G4152" t="str">
        <f>IFERROR(__xludf.DUMMYFUNCTION("""COMPUTED_VALUE"""),"")</f>
        <v/>
      </c>
      <c r="H4152" s="2" t="str">
        <f>IFERROR(__xludf.DUMMYFUNCTION("""COMPUTED_VALUE"""),"")</f>
        <v/>
      </c>
      <c r="I4152" s="2" t="str">
        <f>IFERROR(__xludf.DUMMYFUNCTION("""COMPUTED_VALUE"""),"")</f>
        <v/>
      </c>
      <c r="J4152" s="2">
        <f>IFERROR(__xludf.DUMMYFUNCTION("""COMPUTED_VALUE"""),0.0)</f>
        <v>0</v>
      </c>
      <c r="K4152" s="5" t="str">
        <f>IFERROR(__xludf.DUMMYFUNCTION("""COMPUTED_VALUE"""),"")</f>
        <v/>
      </c>
      <c r="L4152" t="str">
        <f>IFERROR(__xludf.DUMMYFUNCTION("""COMPUTED_VALUE"""),"")</f>
        <v/>
      </c>
      <c r="M4152" t="str">
        <f>IFERROR(__xludf.DUMMYFUNCTION("""COMPUTED_VALUE"""),"")</f>
        <v/>
      </c>
      <c r="N4152" t="str">
        <f>IFERROR(__xludf.DUMMYFUNCTION("""COMPUTED_VALUE"""),"")</f>
        <v/>
      </c>
      <c r="O4152" t="str">
        <f>IFERROR(__xludf.DUMMYFUNCTION("""COMPUTED_VALUE"""),"")</f>
        <v/>
      </c>
      <c r="P4152" t="str">
        <f>IFERROR(__xludf.DUMMYFUNCTION("""COMPUTED_VALUE"""),"ID ")</f>
        <v>ID </v>
      </c>
    </row>
    <row r="4153">
      <c r="A4153" s="6" t="str">
        <f>IFERROR(__xludf.DUMMYFUNCTION("""COMPUTED_VALUE"""),"")</f>
        <v/>
      </c>
      <c r="C4153" t="str">
        <f>IFERROR(__xludf.DUMMYFUNCTION("""COMPUTED_VALUE"""),"")</f>
        <v/>
      </c>
      <c r="D4153" t="str">
        <f>IFERROR(__xludf.DUMMYFUNCTION("""COMPUTED_VALUE"""),"")</f>
        <v/>
      </c>
      <c r="E4153" t="str">
        <f>IFERROR(__xludf.DUMMYFUNCTION("""COMPUTED_VALUE"""),"")</f>
        <v/>
      </c>
      <c r="F4153" t="str">
        <f>IFERROR(__xludf.DUMMYFUNCTION("""COMPUTED_VALUE"""),"")</f>
        <v/>
      </c>
      <c r="G4153" t="str">
        <f>IFERROR(__xludf.DUMMYFUNCTION("""COMPUTED_VALUE"""),"")</f>
        <v/>
      </c>
      <c r="H4153" s="2" t="str">
        <f>IFERROR(__xludf.DUMMYFUNCTION("""COMPUTED_VALUE"""),"")</f>
        <v/>
      </c>
      <c r="I4153" s="2" t="str">
        <f>IFERROR(__xludf.DUMMYFUNCTION("""COMPUTED_VALUE"""),"")</f>
        <v/>
      </c>
      <c r="J4153" s="2">
        <f>IFERROR(__xludf.DUMMYFUNCTION("""COMPUTED_VALUE"""),0.0)</f>
        <v>0</v>
      </c>
      <c r="K4153" s="5" t="str">
        <f>IFERROR(__xludf.DUMMYFUNCTION("""COMPUTED_VALUE"""),"")</f>
        <v/>
      </c>
      <c r="L4153" t="str">
        <f>IFERROR(__xludf.DUMMYFUNCTION("""COMPUTED_VALUE"""),"")</f>
        <v/>
      </c>
      <c r="M4153" t="str">
        <f>IFERROR(__xludf.DUMMYFUNCTION("""COMPUTED_VALUE"""),"")</f>
        <v/>
      </c>
      <c r="N4153" t="str">
        <f>IFERROR(__xludf.DUMMYFUNCTION("""COMPUTED_VALUE"""),"")</f>
        <v/>
      </c>
      <c r="O4153" t="str">
        <f>IFERROR(__xludf.DUMMYFUNCTION("""COMPUTED_VALUE"""),"")</f>
        <v/>
      </c>
      <c r="P4153" t="str">
        <f>IFERROR(__xludf.DUMMYFUNCTION("""COMPUTED_VALUE"""),"ID ")</f>
        <v>ID </v>
      </c>
    </row>
    <row r="4154">
      <c r="A4154" s="6" t="str">
        <f>IFERROR(__xludf.DUMMYFUNCTION("""COMPUTED_VALUE"""),"")</f>
        <v/>
      </c>
      <c r="C4154" t="str">
        <f>IFERROR(__xludf.DUMMYFUNCTION("""COMPUTED_VALUE"""),"")</f>
        <v/>
      </c>
      <c r="D4154" t="str">
        <f>IFERROR(__xludf.DUMMYFUNCTION("""COMPUTED_VALUE"""),"")</f>
        <v/>
      </c>
      <c r="E4154" t="str">
        <f>IFERROR(__xludf.DUMMYFUNCTION("""COMPUTED_VALUE"""),"")</f>
        <v/>
      </c>
      <c r="F4154" t="str">
        <f>IFERROR(__xludf.DUMMYFUNCTION("""COMPUTED_VALUE"""),"")</f>
        <v/>
      </c>
      <c r="G4154" t="str">
        <f>IFERROR(__xludf.DUMMYFUNCTION("""COMPUTED_VALUE"""),"")</f>
        <v/>
      </c>
      <c r="H4154" s="2" t="str">
        <f>IFERROR(__xludf.DUMMYFUNCTION("""COMPUTED_VALUE"""),"")</f>
        <v/>
      </c>
      <c r="I4154" s="2" t="str">
        <f>IFERROR(__xludf.DUMMYFUNCTION("""COMPUTED_VALUE"""),"")</f>
        <v/>
      </c>
      <c r="J4154" s="2">
        <f>IFERROR(__xludf.DUMMYFUNCTION("""COMPUTED_VALUE"""),0.0)</f>
        <v>0</v>
      </c>
      <c r="K4154" s="5" t="str">
        <f>IFERROR(__xludf.DUMMYFUNCTION("""COMPUTED_VALUE"""),"")</f>
        <v/>
      </c>
      <c r="L4154" t="str">
        <f>IFERROR(__xludf.DUMMYFUNCTION("""COMPUTED_VALUE"""),"")</f>
        <v/>
      </c>
      <c r="M4154" t="str">
        <f>IFERROR(__xludf.DUMMYFUNCTION("""COMPUTED_VALUE"""),"")</f>
        <v/>
      </c>
      <c r="N4154" t="str">
        <f>IFERROR(__xludf.DUMMYFUNCTION("""COMPUTED_VALUE"""),"")</f>
        <v/>
      </c>
      <c r="O4154" t="str">
        <f>IFERROR(__xludf.DUMMYFUNCTION("""COMPUTED_VALUE"""),"")</f>
        <v/>
      </c>
      <c r="P4154" t="str">
        <f>IFERROR(__xludf.DUMMYFUNCTION("""COMPUTED_VALUE"""),"ID ")</f>
        <v>ID </v>
      </c>
    </row>
    <row r="4155">
      <c r="A4155" s="6" t="str">
        <f>IFERROR(__xludf.DUMMYFUNCTION("""COMPUTED_VALUE"""),"")</f>
        <v/>
      </c>
      <c r="C4155" t="str">
        <f>IFERROR(__xludf.DUMMYFUNCTION("""COMPUTED_VALUE"""),"")</f>
        <v/>
      </c>
      <c r="D4155" t="str">
        <f>IFERROR(__xludf.DUMMYFUNCTION("""COMPUTED_VALUE"""),"")</f>
        <v/>
      </c>
      <c r="E4155" t="str">
        <f>IFERROR(__xludf.DUMMYFUNCTION("""COMPUTED_VALUE"""),"")</f>
        <v/>
      </c>
      <c r="F4155" t="str">
        <f>IFERROR(__xludf.DUMMYFUNCTION("""COMPUTED_VALUE"""),"")</f>
        <v/>
      </c>
      <c r="G4155" t="str">
        <f>IFERROR(__xludf.DUMMYFUNCTION("""COMPUTED_VALUE"""),"")</f>
        <v/>
      </c>
      <c r="H4155" s="2" t="str">
        <f>IFERROR(__xludf.DUMMYFUNCTION("""COMPUTED_VALUE"""),"")</f>
        <v/>
      </c>
      <c r="I4155" s="2" t="str">
        <f>IFERROR(__xludf.DUMMYFUNCTION("""COMPUTED_VALUE"""),"")</f>
        <v/>
      </c>
      <c r="J4155" s="2">
        <f>IFERROR(__xludf.DUMMYFUNCTION("""COMPUTED_VALUE"""),0.0)</f>
        <v>0</v>
      </c>
      <c r="K4155" s="5" t="str">
        <f>IFERROR(__xludf.DUMMYFUNCTION("""COMPUTED_VALUE"""),"")</f>
        <v/>
      </c>
      <c r="L4155" t="str">
        <f>IFERROR(__xludf.DUMMYFUNCTION("""COMPUTED_VALUE"""),"")</f>
        <v/>
      </c>
      <c r="M4155" t="str">
        <f>IFERROR(__xludf.DUMMYFUNCTION("""COMPUTED_VALUE"""),"")</f>
        <v/>
      </c>
      <c r="N4155" t="str">
        <f>IFERROR(__xludf.DUMMYFUNCTION("""COMPUTED_VALUE"""),"")</f>
        <v/>
      </c>
      <c r="O4155" t="str">
        <f>IFERROR(__xludf.DUMMYFUNCTION("""COMPUTED_VALUE"""),"")</f>
        <v/>
      </c>
      <c r="P4155" t="str">
        <f>IFERROR(__xludf.DUMMYFUNCTION("""COMPUTED_VALUE"""),"ID ")</f>
        <v>ID </v>
      </c>
    </row>
    <row r="4156">
      <c r="A4156" s="6" t="str">
        <f>IFERROR(__xludf.DUMMYFUNCTION("""COMPUTED_VALUE"""),"")</f>
        <v/>
      </c>
      <c r="C4156" t="str">
        <f>IFERROR(__xludf.DUMMYFUNCTION("""COMPUTED_VALUE"""),"")</f>
        <v/>
      </c>
      <c r="D4156" t="str">
        <f>IFERROR(__xludf.DUMMYFUNCTION("""COMPUTED_VALUE"""),"")</f>
        <v/>
      </c>
      <c r="E4156" t="str">
        <f>IFERROR(__xludf.DUMMYFUNCTION("""COMPUTED_VALUE"""),"")</f>
        <v/>
      </c>
      <c r="F4156" t="str">
        <f>IFERROR(__xludf.DUMMYFUNCTION("""COMPUTED_VALUE"""),"")</f>
        <v/>
      </c>
      <c r="G4156" t="str">
        <f>IFERROR(__xludf.DUMMYFUNCTION("""COMPUTED_VALUE"""),"")</f>
        <v/>
      </c>
      <c r="H4156" s="2" t="str">
        <f>IFERROR(__xludf.DUMMYFUNCTION("""COMPUTED_VALUE"""),"")</f>
        <v/>
      </c>
      <c r="I4156" s="2" t="str">
        <f>IFERROR(__xludf.DUMMYFUNCTION("""COMPUTED_VALUE"""),"")</f>
        <v/>
      </c>
      <c r="J4156" s="2">
        <f>IFERROR(__xludf.DUMMYFUNCTION("""COMPUTED_VALUE"""),0.0)</f>
        <v>0</v>
      </c>
      <c r="K4156" s="5" t="str">
        <f>IFERROR(__xludf.DUMMYFUNCTION("""COMPUTED_VALUE"""),"")</f>
        <v/>
      </c>
      <c r="L4156" t="str">
        <f>IFERROR(__xludf.DUMMYFUNCTION("""COMPUTED_VALUE"""),"")</f>
        <v/>
      </c>
      <c r="M4156" t="str">
        <f>IFERROR(__xludf.DUMMYFUNCTION("""COMPUTED_VALUE"""),"")</f>
        <v/>
      </c>
      <c r="N4156" t="str">
        <f>IFERROR(__xludf.DUMMYFUNCTION("""COMPUTED_VALUE"""),"")</f>
        <v/>
      </c>
      <c r="O4156" t="str">
        <f>IFERROR(__xludf.DUMMYFUNCTION("""COMPUTED_VALUE"""),"")</f>
        <v/>
      </c>
      <c r="P4156" t="str">
        <f>IFERROR(__xludf.DUMMYFUNCTION("""COMPUTED_VALUE"""),"ID ")</f>
        <v>ID </v>
      </c>
    </row>
    <row r="4157">
      <c r="A4157" s="6" t="str">
        <f>IFERROR(__xludf.DUMMYFUNCTION("""COMPUTED_VALUE"""),"")</f>
        <v/>
      </c>
      <c r="C4157" t="str">
        <f>IFERROR(__xludf.DUMMYFUNCTION("""COMPUTED_VALUE"""),"")</f>
        <v/>
      </c>
      <c r="D4157" t="str">
        <f>IFERROR(__xludf.DUMMYFUNCTION("""COMPUTED_VALUE"""),"")</f>
        <v/>
      </c>
      <c r="E4157" t="str">
        <f>IFERROR(__xludf.DUMMYFUNCTION("""COMPUTED_VALUE"""),"")</f>
        <v/>
      </c>
      <c r="F4157" t="str">
        <f>IFERROR(__xludf.DUMMYFUNCTION("""COMPUTED_VALUE"""),"")</f>
        <v/>
      </c>
      <c r="G4157" t="str">
        <f>IFERROR(__xludf.DUMMYFUNCTION("""COMPUTED_VALUE"""),"")</f>
        <v/>
      </c>
      <c r="H4157" s="2" t="str">
        <f>IFERROR(__xludf.DUMMYFUNCTION("""COMPUTED_VALUE"""),"")</f>
        <v/>
      </c>
      <c r="I4157" s="2" t="str">
        <f>IFERROR(__xludf.DUMMYFUNCTION("""COMPUTED_VALUE"""),"")</f>
        <v/>
      </c>
      <c r="J4157" s="2">
        <f>IFERROR(__xludf.DUMMYFUNCTION("""COMPUTED_VALUE"""),0.0)</f>
        <v>0</v>
      </c>
      <c r="K4157" s="5" t="str">
        <f>IFERROR(__xludf.DUMMYFUNCTION("""COMPUTED_VALUE"""),"")</f>
        <v/>
      </c>
      <c r="L4157" t="str">
        <f>IFERROR(__xludf.DUMMYFUNCTION("""COMPUTED_VALUE"""),"")</f>
        <v/>
      </c>
      <c r="M4157" t="str">
        <f>IFERROR(__xludf.DUMMYFUNCTION("""COMPUTED_VALUE"""),"")</f>
        <v/>
      </c>
      <c r="N4157" t="str">
        <f>IFERROR(__xludf.DUMMYFUNCTION("""COMPUTED_VALUE"""),"")</f>
        <v/>
      </c>
      <c r="O4157" t="str">
        <f>IFERROR(__xludf.DUMMYFUNCTION("""COMPUTED_VALUE"""),"")</f>
        <v/>
      </c>
      <c r="P4157" t="str">
        <f>IFERROR(__xludf.DUMMYFUNCTION("""COMPUTED_VALUE"""),"ID ")</f>
        <v>ID </v>
      </c>
    </row>
    <row r="4158">
      <c r="A4158" s="6" t="str">
        <f>IFERROR(__xludf.DUMMYFUNCTION("""COMPUTED_VALUE"""),"")</f>
        <v/>
      </c>
      <c r="C4158" t="str">
        <f>IFERROR(__xludf.DUMMYFUNCTION("""COMPUTED_VALUE"""),"")</f>
        <v/>
      </c>
      <c r="D4158" t="str">
        <f>IFERROR(__xludf.DUMMYFUNCTION("""COMPUTED_VALUE"""),"")</f>
        <v/>
      </c>
      <c r="E4158" t="str">
        <f>IFERROR(__xludf.DUMMYFUNCTION("""COMPUTED_VALUE"""),"")</f>
        <v/>
      </c>
      <c r="F4158" t="str">
        <f>IFERROR(__xludf.DUMMYFUNCTION("""COMPUTED_VALUE"""),"")</f>
        <v/>
      </c>
      <c r="G4158" t="str">
        <f>IFERROR(__xludf.DUMMYFUNCTION("""COMPUTED_VALUE"""),"")</f>
        <v/>
      </c>
      <c r="H4158" s="2" t="str">
        <f>IFERROR(__xludf.DUMMYFUNCTION("""COMPUTED_VALUE"""),"")</f>
        <v/>
      </c>
      <c r="I4158" s="2" t="str">
        <f>IFERROR(__xludf.DUMMYFUNCTION("""COMPUTED_VALUE"""),"")</f>
        <v/>
      </c>
      <c r="J4158" s="2">
        <f>IFERROR(__xludf.DUMMYFUNCTION("""COMPUTED_VALUE"""),0.0)</f>
        <v>0</v>
      </c>
      <c r="K4158" s="5" t="str">
        <f>IFERROR(__xludf.DUMMYFUNCTION("""COMPUTED_VALUE"""),"")</f>
        <v/>
      </c>
      <c r="L4158" t="str">
        <f>IFERROR(__xludf.DUMMYFUNCTION("""COMPUTED_VALUE"""),"")</f>
        <v/>
      </c>
      <c r="M4158" t="str">
        <f>IFERROR(__xludf.DUMMYFUNCTION("""COMPUTED_VALUE"""),"")</f>
        <v/>
      </c>
      <c r="N4158" t="str">
        <f>IFERROR(__xludf.DUMMYFUNCTION("""COMPUTED_VALUE"""),"")</f>
        <v/>
      </c>
      <c r="O4158" t="str">
        <f>IFERROR(__xludf.DUMMYFUNCTION("""COMPUTED_VALUE"""),"")</f>
        <v/>
      </c>
      <c r="P4158" t="str">
        <f>IFERROR(__xludf.DUMMYFUNCTION("""COMPUTED_VALUE"""),"ID ")</f>
        <v>ID </v>
      </c>
    </row>
    <row r="4159">
      <c r="A4159" s="6" t="str">
        <f>IFERROR(__xludf.DUMMYFUNCTION("""COMPUTED_VALUE"""),"")</f>
        <v/>
      </c>
      <c r="C4159" t="str">
        <f>IFERROR(__xludf.DUMMYFUNCTION("""COMPUTED_VALUE"""),"")</f>
        <v/>
      </c>
      <c r="D4159" t="str">
        <f>IFERROR(__xludf.DUMMYFUNCTION("""COMPUTED_VALUE"""),"")</f>
        <v/>
      </c>
      <c r="E4159" t="str">
        <f>IFERROR(__xludf.DUMMYFUNCTION("""COMPUTED_VALUE"""),"")</f>
        <v/>
      </c>
      <c r="F4159" t="str">
        <f>IFERROR(__xludf.DUMMYFUNCTION("""COMPUTED_VALUE"""),"")</f>
        <v/>
      </c>
      <c r="G4159" t="str">
        <f>IFERROR(__xludf.DUMMYFUNCTION("""COMPUTED_VALUE"""),"")</f>
        <v/>
      </c>
      <c r="H4159" s="2" t="str">
        <f>IFERROR(__xludf.DUMMYFUNCTION("""COMPUTED_VALUE"""),"")</f>
        <v/>
      </c>
      <c r="I4159" s="2" t="str">
        <f>IFERROR(__xludf.DUMMYFUNCTION("""COMPUTED_VALUE"""),"")</f>
        <v/>
      </c>
      <c r="J4159" s="2">
        <f>IFERROR(__xludf.DUMMYFUNCTION("""COMPUTED_VALUE"""),0.0)</f>
        <v>0</v>
      </c>
      <c r="K4159" s="5" t="str">
        <f>IFERROR(__xludf.DUMMYFUNCTION("""COMPUTED_VALUE"""),"")</f>
        <v/>
      </c>
      <c r="L4159" t="str">
        <f>IFERROR(__xludf.DUMMYFUNCTION("""COMPUTED_VALUE"""),"")</f>
        <v/>
      </c>
      <c r="M4159" t="str">
        <f>IFERROR(__xludf.DUMMYFUNCTION("""COMPUTED_VALUE"""),"")</f>
        <v/>
      </c>
      <c r="N4159" t="str">
        <f>IFERROR(__xludf.DUMMYFUNCTION("""COMPUTED_VALUE"""),"")</f>
        <v/>
      </c>
      <c r="O4159" t="str">
        <f>IFERROR(__xludf.DUMMYFUNCTION("""COMPUTED_VALUE"""),"")</f>
        <v/>
      </c>
      <c r="P4159" t="str">
        <f>IFERROR(__xludf.DUMMYFUNCTION("""COMPUTED_VALUE"""),"ID ")</f>
        <v>ID </v>
      </c>
    </row>
    <row r="4160">
      <c r="A4160" s="6" t="str">
        <f>IFERROR(__xludf.DUMMYFUNCTION("""COMPUTED_VALUE"""),"")</f>
        <v/>
      </c>
      <c r="C4160" t="str">
        <f>IFERROR(__xludf.DUMMYFUNCTION("""COMPUTED_VALUE"""),"")</f>
        <v/>
      </c>
      <c r="D4160" t="str">
        <f>IFERROR(__xludf.DUMMYFUNCTION("""COMPUTED_VALUE"""),"")</f>
        <v/>
      </c>
      <c r="E4160" t="str">
        <f>IFERROR(__xludf.DUMMYFUNCTION("""COMPUTED_VALUE"""),"")</f>
        <v/>
      </c>
      <c r="F4160" t="str">
        <f>IFERROR(__xludf.DUMMYFUNCTION("""COMPUTED_VALUE"""),"")</f>
        <v/>
      </c>
      <c r="G4160" t="str">
        <f>IFERROR(__xludf.DUMMYFUNCTION("""COMPUTED_VALUE"""),"")</f>
        <v/>
      </c>
      <c r="H4160" s="2" t="str">
        <f>IFERROR(__xludf.DUMMYFUNCTION("""COMPUTED_VALUE"""),"")</f>
        <v/>
      </c>
      <c r="I4160" s="2" t="str">
        <f>IFERROR(__xludf.DUMMYFUNCTION("""COMPUTED_VALUE"""),"")</f>
        <v/>
      </c>
      <c r="J4160" s="2">
        <f>IFERROR(__xludf.DUMMYFUNCTION("""COMPUTED_VALUE"""),0.0)</f>
        <v>0</v>
      </c>
      <c r="K4160" s="5" t="str">
        <f>IFERROR(__xludf.DUMMYFUNCTION("""COMPUTED_VALUE"""),"")</f>
        <v/>
      </c>
      <c r="L4160" t="str">
        <f>IFERROR(__xludf.DUMMYFUNCTION("""COMPUTED_VALUE"""),"")</f>
        <v/>
      </c>
      <c r="M4160" t="str">
        <f>IFERROR(__xludf.DUMMYFUNCTION("""COMPUTED_VALUE"""),"")</f>
        <v/>
      </c>
      <c r="N4160" t="str">
        <f>IFERROR(__xludf.DUMMYFUNCTION("""COMPUTED_VALUE"""),"")</f>
        <v/>
      </c>
      <c r="O4160" t="str">
        <f>IFERROR(__xludf.DUMMYFUNCTION("""COMPUTED_VALUE"""),"")</f>
        <v/>
      </c>
      <c r="P4160" t="str">
        <f>IFERROR(__xludf.DUMMYFUNCTION("""COMPUTED_VALUE"""),"ID ")</f>
        <v>ID </v>
      </c>
    </row>
    <row r="4161">
      <c r="A4161" s="6" t="str">
        <f>IFERROR(__xludf.DUMMYFUNCTION("""COMPUTED_VALUE"""),"")</f>
        <v/>
      </c>
      <c r="C4161" t="str">
        <f>IFERROR(__xludf.DUMMYFUNCTION("""COMPUTED_VALUE"""),"")</f>
        <v/>
      </c>
      <c r="D4161" t="str">
        <f>IFERROR(__xludf.DUMMYFUNCTION("""COMPUTED_VALUE"""),"")</f>
        <v/>
      </c>
      <c r="E4161" t="str">
        <f>IFERROR(__xludf.DUMMYFUNCTION("""COMPUTED_VALUE"""),"")</f>
        <v/>
      </c>
      <c r="F4161" t="str">
        <f>IFERROR(__xludf.DUMMYFUNCTION("""COMPUTED_VALUE"""),"")</f>
        <v/>
      </c>
      <c r="G4161" t="str">
        <f>IFERROR(__xludf.DUMMYFUNCTION("""COMPUTED_VALUE"""),"")</f>
        <v/>
      </c>
      <c r="H4161" s="2" t="str">
        <f>IFERROR(__xludf.DUMMYFUNCTION("""COMPUTED_VALUE"""),"")</f>
        <v/>
      </c>
      <c r="I4161" s="2" t="str">
        <f>IFERROR(__xludf.DUMMYFUNCTION("""COMPUTED_VALUE"""),"")</f>
        <v/>
      </c>
      <c r="J4161" s="2">
        <f>IFERROR(__xludf.DUMMYFUNCTION("""COMPUTED_VALUE"""),0.0)</f>
        <v>0</v>
      </c>
      <c r="K4161" s="5" t="str">
        <f>IFERROR(__xludf.DUMMYFUNCTION("""COMPUTED_VALUE"""),"")</f>
        <v/>
      </c>
      <c r="L4161" t="str">
        <f>IFERROR(__xludf.DUMMYFUNCTION("""COMPUTED_VALUE"""),"")</f>
        <v/>
      </c>
      <c r="M4161" t="str">
        <f>IFERROR(__xludf.DUMMYFUNCTION("""COMPUTED_VALUE"""),"")</f>
        <v/>
      </c>
      <c r="N4161" t="str">
        <f>IFERROR(__xludf.DUMMYFUNCTION("""COMPUTED_VALUE"""),"")</f>
        <v/>
      </c>
      <c r="O4161" t="str">
        <f>IFERROR(__xludf.DUMMYFUNCTION("""COMPUTED_VALUE"""),"")</f>
        <v/>
      </c>
      <c r="P4161" t="str">
        <f>IFERROR(__xludf.DUMMYFUNCTION("""COMPUTED_VALUE"""),"ID ")</f>
        <v>ID </v>
      </c>
    </row>
    <row r="4162">
      <c r="A4162" s="6" t="str">
        <f>IFERROR(__xludf.DUMMYFUNCTION("""COMPUTED_VALUE"""),"")</f>
        <v/>
      </c>
      <c r="C4162" t="str">
        <f>IFERROR(__xludf.DUMMYFUNCTION("""COMPUTED_VALUE"""),"")</f>
        <v/>
      </c>
      <c r="D4162" t="str">
        <f>IFERROR(__xludf.DUMMYFUNCTION("""COMPUTED_VALUE"""),"")</f>
        <v/>
      </c>
      <c r="E4162" t="str">
        <f>IFERROR(__xludf.DUMMYFUNCTION("""COMPUTED_VALUE"""),"")</f>
        <v/>
      </c>
      <c r="F4162" t="str">
        <f>IFERROR(__xludf.DUMMYFUNCTION("""COMPUTED_VALUE"""),"")</f>
        <v/>
      </c>
      <c r="G4162" t="str">
        <f>IFERROR(__xludf.DUMMYFUNCTION("""COMPUTED_VALUE"""),"")</f>
        <v/>
      </c>
      <c r="H4162" s="2" t="str">
        <f>IFERROR(__xludf.DUMMYFUNCTION("""COMPUTED_VALUE"""),"")</f>
        <v/>
      </c>
      <c r="I4162" s="2" t="str">
        <f>IFERROR(__xludf.DUMMYFUNCTION("""COMPUTED_VALUE"""),"")</f>
        <v/>
      </c>
      <c r="J4162" s="2">
        <f>IFERROR(__xludf.DUMMYFUNCTION("""COMPUTED_VALUE"""),0.0)</f>
        <v>0</v>
      </c>
      <c r="K4162" s="5" t="str">
        <f>IFERROR(__xludf.DUMMYFUNCTION("""COMPUTED_VALUE"""),"")</f>
        <v/>
      </c>
      <c r="L4162" t="str">
        <f>IFERROR(__xludf.DUMMYFUNCTION("""COMPUTED_VALUE"""),"")</f>
        <v/>
      </c>
      <c r="M4162" t="str">
        <f>IFERROR(__xludf.DUMMYFUNCTION("""COMPUTED_VALUE"""),"")</f>
        <v/>
      </c>
      <c r="N4162" t="str">
        <f>IFERROR(__xludf.DUMMYFUNCTION("""COMPUTED_VALUE"""),"")</f>
        <v/>
      </c>
      <c r="O4162" t="str">
        <f>IFERROR(__xludf.DUMMYFUNCTION("""COMPUTED_VALUE"""),"")</f>
        <v/>
      </c>
      <c r="P4162" t="str">
        <f>IFERROR(__xludf.DUMMYFUNCTION("""COMPUTED_VALUE"""),"ID ")</f>
        <v>ID </v>
      </c>
    </row>
    <row r="4163">
      <c r="A4163" s="6" t="str">
        <f>IFERROR(__xludf.DUMMYFUNCTION("""COMPUTED_VALUE"""),"")</f>
        <v/>
      </c>
      <c r="C4163" t="str">
        <f>IFERROR(__xludf.DUMMYFUNCTION("""COMPUTED_VALUE"""),"")</f>
        <v/>
      </c>
      <c r="D4163" t="str">
        <f>IFERROR(__xludf.DUMMYFUNCTION("""COMPUTED_VALUE"""),"")</f>
        <v/>
      </c>
      <c r="E4163" t="str">
        <f>IFERROR(__xludf.DUMMYFUNCTION("""COMPUTED_VALUE"""),"")</f>
        <v/>
      </c>
      <c r="F4163" t="str">
        <f>IFERROR(__xludf.DUMMYFUNCTION("""COMPUTED_VALUE"""),"")</f>
        <v/>
      </c>
      <c r="G4163" t="str">
        <f>IFERROR(__xludf.DUMMYFUNCTION("""COMPUTED_VALUE"""),"")</f>
        <v/>
      </c>
      <c r="H4163" s="2" t="str">
        <f>IFERROR(__xludf.DUMMYFUNCTION("""COMPUTED_VALUE"""),"")</f>
        <v/>
      </c>
      <c r="I4163" s="2" t="str">
        <f>IFERROR(__xludf.DUMMYFUNCTION("""COMPUTED_VALUE"""),"")</f>
        <v/>
      </c>
      <c r="J4163" s="2">
        <f>IFERROR(__xludf.DUMMYFUNCTION("""COMPUTED_VALUE"""),0.0)</f>
        <v>0</v>
      </c>
      <c r="K4163" s="5" t="str">
        <f>IFERROR(__xludf.DUMMYFUNCTION("""COMPUTED_VALUE"""),"")</f>
        <v/>
      </c>
      <c r="L4163" t="str">
        <f>IFERROR(__xludf.DUMMYFUNCTION("""COMPUTED_VALUE"""),"")</f>
        <v/>
      </c>
      <c r="M4163" t="str">
        <f>IFERROR(__xludf.DUMMYFUNCTION("""COMPUTED_VALUE"""),"")</f>
        <v/>
      </c>
      <c r="N4163" t="str">
        <f>IFERROR(__xludf.DUMMYFUNCTION("""COMPUTED_VALUE"""),"")</f>
        <v/>
      </c>
      <c r="O4163" t="str">
        <f>IFERROR(__xludf.DUMMYFUNCTION("""COMPUTED_VALUE"""),"")</f>
        <v/>
      </c>
      <c r="P4163" t="str">
        <f>IFERROR(__xludf.DUMMYFUNCTION("""COMPUTED_VALUE"""),"ID ")</f>
        <v>ID </v>
      </c>
    </row>
    <row r="4164">
      <c r="A4164" s="6" t="str">
        <f>IFERROR(__xludf.DUMMYFUNCTION("""COMPUTED_VALUE"""),"")</f>
        <v/>
      </c>
      <c r="C4164" t="str">
        <f>IFERROR(__xludf.DUMMYFUNCTION("""COMPUTED_VALUE"""),"")</f>
        <v/>
      </c>
      <c r="D4164" t="str">
        <f>IFERROR(__xludf.DUMMYFUNCTION("""COMPUTED_VALUE"""),"")</f>
        <v/>
      </c>
      <c r="E4164" t="str">
        <f>IFERROR(__xludf.DUMMYFUNCTION("""COMPUTED_VALUE"""),"")</f>
        <v/>
      </c>
      <c r="F4164" t="str">
        <f>IFERROR(__xludf.DUMMYFUNCTION("""COMPUTED_VALUE"""),"")</f>
        <v/>
      </c>
      <c r="G4164" t="str">
        <f>IFERROR(__xludf.DUMMYFUNCTION("""COMPUTED_VALUE"""),"")</f>
        <v/>
      </c>
      <c r="H4164" s="2" t="str">
        <f>IFERROR(__xludf.DUMMYFUNCTION("""COMPUTED_VALUE"""),"")</f>
        <v/>
      </c>
      <c r="I4164" s="2" t="str">
        <f>IFERROR(__xludf.DUMMYFUNCTION("""COMPUTED_VALUE"""),"")</f>
        <v/>
      </c>
      <c r="J4164" s="2">
        <f>IFERROR(__xludf.DUMMYFUNCTION("""COMPUTED_VALUE"""),0.0)</f>
        <v>0</v>
      </c>
      <c r="K4164" s="5" t="str">
        <f>IFERROR(__xludf.DUMMYFUNCTION("""COMPUTED_VALUE"""),"")</f>
        <v/>
      </c>
      <c r="L4164" t="str">
        <f>IFERROR(__xludf.DUMMYFUNCTION("""COMPUTED_VALUE"""),"")</f>
        <v/>
      </c>
      <c r="M4164" t="str">
        <f>IFERROR(__xludf.DUMMYFUNCTION("""COMPUTED_VALUE"""),"")</f>
        <v/>
      </c>
      <c r="N4164" t="str">
        <f>IFERROR(__xludf.DUMMYFUNCTION("""COMPUTED_VALUE"""),"")</f>
        <v/>
      </c>
      <c r="O4164" t="str">
        <f>IFERROR(__xludf.DUMMYFUNCTION("""COMPUTED_VALUE"""),"")</f>
        <v/>
      </c>
      <c r="P4164" t="str">
        <f>IFERROR(__xludf.DUMMYFUNCTION("""COMPUTED_VALUE"""),"ID ")</f>
        <v>ID </v>
      </c>
    </row>
    <row r="4165">
      <c r="A4165" s="6" t="str">
        <f>IFERROR(__xludf.DUMMYFUNCTION("""COMPUTED_VALUE"""),"")</f>
        <v/>
      </c>
      <c r="C4165" t="str">
        <f>IFERROR(__xludf.DUMMYFUNCTION("""COMPUTED_VALUE"""),"")</f>
        <v/>
      </c>
      <c r="D4165" t="str">
        <f>IFERROR(__xludf.DUMMYFUNCTION("""COMPUTED_VALUE"""),"")</f>
        <v/>
      </c>
      <c r="E4165" t="str">
        <f>IFERROR(__xludf.DUMMYFUNCTION("""COMPUTED_VALUE"""),"")</f>
        <v/>
      </c>
      <c r="F4165" t="str">
        <f>IFERROR(__xludf.DUMMYFUNCTION("""COMPUTED_VALUE"""),"")</f>
        <v/>
      </c>
      <c r="G4165" t="str">
        <f>IFERROR(__xludf.DUMMYFUNCTION("""COMPUTED_VALUE"""),"")</f>
        <v/>
      </c>
      <c r="H4165" s="2" t="str">
        <f>IFERROR(__xludf.DUMMYFUNCTION("""COMPUTED_VALUE"""),"")</f>
        <v/>
      </c>
      <c r="I4165" s="2" t="str">
        <f>IFERROR(__xludf.DUMMYFUNCTION("""COMPUTED_VALUE"""),"")</f>
        <v/>
      </c>
      <c r="J4165" s="2">
        <f>IFERROR(__xludf.DUMMYFUNCTION("""COMPUTED_VALUE"""),0.0)</f>
        <v>0</v>
      </c>
      <c r="K4165" s="5" t="str">
        <f>IFERROR(__xludf.DUMMYFUNCTION("""COMPUTED_VALUE"""),"")</f>
        <v/>
      </c>
      <c r="L4165" t="str">
        <f>IFERROR(__xludf.DUMMYFUNCTION("""COMPUTED_VALUE"""),"")</f>
        <v/>
      </c>
      <c r="M4165" t="str">
        <f>IFERROR(__xludf.DUMMYFUNCTION("""COMPUTED_VALUE"""),"")</f>
        <v/>
      </c>
      <c r="N4165" t="str">
        <f>IFERROR(__xludf.DUMMYFUNCTION("""COMPUTED_VALUE"""),"")</f>
        <v/>
      </c>
      <c r="O4165" t="str">
        <f>IFERROR(__xludf.DUMMYFUNCTION("""COMPUTED_VALUE"""),"")</f>
        <v/>
      </c>
      <c r="P4165" t="str">
        <f>IFERROR(__xludf.DUMMYFUNCTION("""COMPUTED_VALUE"""),"ID ")</f>
        <v>ID </v>
      </c>
    </row>
    <row r="4166">
      <c r="A4166" s="6" t="str">
        <f>IFERROR(__xludf.DUMMYFUNCTION("""COMPUTED_VALUE"""),"")</f>
        <v/>
      </c>
      <c r="C4166" t="str">
        <f>IFERROR(__xludf.DUMMYFUNCTION("""COMPUTED_VALUE"""),"")</f>
        <v/>
      </c>
      <c r="D4166" t="str">
        <f>IFERROR(__xludf.DUMMYFUNCTION("""COMPUTED_VALUE"""),"")</f>
        <v/>
      </c>
      <c r="E4166" t="str">
        <f>IFERROR(__xludf.DUMMYFUNCTION("""COMPUTED_VALUE"""),"")</f>
        <v/>
      </c>
      <c r="F4166" t="str">
        <f>IFERROR(__xludf.DUMMYFUNCTION("""COMPUTED_VALUE"""),"")</f>
        <v/>
      </c>
      <c r="G4166" t="str">
        <f>IFERROR(__xludf.DUMMYFUNCTION("""COMPUTED_VALUE"""),"")</f>
        <v/>
      </c>
      <c r="H4166" s="2" t="str">
        <f>IFERROR(__xludf.DUMMYFUNCTION("""COMPUTED_VALUE"""),"")</f>
        <v/>
      </c>
      <c r="I4166" s="2" t="str">
        <f>IFERROR(__xludf.DUMMYFUNCTION("""COMPUTED_VALUE"""),"")</f>
        <v/>
      </c>
      <c r="J4166" s="2">
        <f>IFERROR(__xludf.DUMMYFUNCTION("""COMPUTED_VALUE"""),0.0)</f>
        <v>0</v>
      </c>
      <c r="K4166" s="5" t="str">
        <f>IFERROR(__xludf.DUMMYFUNCTION("""COMPUTED_VALUE"""),"")</f>
        <v/>
      </c>
      <c r="L4166" t="str">
        <f>IFERROR(__xludf.DUMMYFUNCTION("""COMPUTED_VALUE"""),"")</f>
        <v/>
      </c>
      <c r="M4166" t="str">
        <f>IFERROR(__xludf.DUMMYFUNCTION("""COMPUTED_VALUE"""),"")</f>
        <v/>
      </c>
      <c r="N4166" t="str">
        <f>IFERROR(__xludf.DUMMYFUNCTION("""COMPUTED_VALUE"""),"")</f>
        <v/>
      </c>
      <c r="O4166" t="str">
        <f>IFERROR(__xludf.DUMMYFUNCTION("""COMPUTED_VALUE"""),"")</f>
        <v/>
      </c>
      <c r="P4166" t="str">
        <f>IFERROR(__xludf.DUMMYFUNCTION("""COMPUTED_VALUE"""),"ID ")</f>
        <v>ID </v>
      </c>
    </row>
    <row r="4167">
      <c r="A4167" s="6" t="str">
        <f>IFERROR(__xludf.DUMMYFUNCTION("""COMPUTED_VALUE"""),"")</f>
        <v/>
      </c>
      <c r="C4167" t="str">
        <f>IFERROR(__xludf.DUMMYFUNCTION("""COMPUTED_VALUE"""),"")</f>
        <v/>
      </c>
      <c r="D4167" t="str">
        <f>IFERROR(__xludf.DUMMYFUNCTION("""COMPUTED_VALUE"""),"")</f>
        <v/>
      </c>
      <c r="E4167" t="str">
        <f>IFERROR(__xludf.DUMMYFUNCTION("""COMPUTED_VALUE"""),"")</f>
        <v/>
      </c>
      <c r="F4167" t="str">
        <f>IFERROR(__xludf.DUMMYFUNCTION("""COMPUTED_VALUE"""),"")</f>
        <v/>
      </c>
      <c r="G4167" t="str">
        <f>IFERROR(__xludf.DUMMYFUNCTION("""COMPUTED_VALUE"""),"")</f>
        <v/>
      </c>
      <c r="H4167" s="2" t="str">
        <f>IFERROR(__xludf.DUMMYFUNCTION("""COMPUTED_VALUE"""),"")</f>
        <v/>
      </c>
      <c r="I4167" s="2" t="str">
        <f>IFERROR(__xludf.DUMMYFUNCTION("""COMPUTED_VALUE"""),"")</f>
        <v/>
      </c>
      <c r="J4167" s="2">
        <f>IFERROR(__xludf.DUMMYFUNCTION("""COMPUTED_VALUE"""),0.0)</f>
        <v>0</v>
      </c>
      <c r="K4167" s="5" t="str">
        <f>IFERROR(__xludf.DUMMYFUNCTION("""COMPUTED_VALUE"""),"")</f>
        <v/>
      </c>
      <c r="L4167" t="str">
        <f>IFERROR(__xludf.DUMMYFUNCTION("""COMPUTED_VALUE"""),"")</f>
        <v/>
      </c>
      <c r="M4167" t="str">
        <f>IFERROR(__xludf.DUMMYFUNCTION("""COMPUTED_VALUE"""),"")</f>
        <v/>
      </c>
      <c r="N4167" t="str">
        <f>IFERROR(__xludf.DUMMYFUNCTION("""COMPUTED_VALUE"""),"")</f>
        <v/>
      </c>
      <c r="O4167" t="str">
        <f>IFERROR(__xludf.DUMMYFUNCTION("""COMPUTED_VALUE"""),"")</f>
        <v/>
      </c>
      <c r="P4167" t="str">
        <f>IFERROR(__xludf.DUMMYFUNCTION("""COMPUTED_VALUE"""),"ID ")</f>
        <v>ID </v>
      </c>
    </row>
    <row r="4168">
      <c r="A4168" s="6" t="str">
        <f>IFERROR(__xludf.DUMMYFUNCTION("""COMPUTED_VALUE"""),"")</f>
        <v/>
      </c>
      <c r="C4168" t="str">
        <f>IFERROR(__xludf.DUMMYFUNCTION("""COMPUTED_VALUE"""),"")</f>
        <v/>
      </c>
      <c r="D4168" t="str">
        <f>IFERROR(__xludf.DUMMYFUNCTION("""COMPUTED_VALUE"""),"")</f>
        <v/>
      </c>
      <c r="E4168" t="str">
        <f>IFERROR(__xludf.DUMMYFUNCTION("""COMPUTED_VALUE"""),"")</f>
        <v/>
      </c>
      <c r="F4168" t="str">
        <f>IFERROR(__xludf.DUMMYFUNCTION("""COMPUTED_VALUE"""),"")</f>
        <v/>
      </c>
      <c r="G4168" t="str">
        <f>IFERROR(__xludf.DUMMYFUNCTION("""COMPUTED_VALUE"""),"")</f>
        <v/>
      </c>
      <c r="H4168" s="2" t="str">
        <f>IFERROR(__xludf.DUMMYFUNCTION("""COMPUTED_VALUE"""),"")</f>
        <v/>
      </c>
      <c r="I4168" s="2" t="str">
        <f>IFERROR(__xludf.DUMMYFUNCTION("""COMPUTED_VALUE"""),"")</f>
        <v/>
      </c>
      <c r="J4168" s="2">
        <f>IFERROR(__xludf.DUMMYFUNCTION("""COMPUTED_VALUE"""),0.0)</f>
        <v>0</v>
      </c>
      <c r="K4168" s="5" t="str">
        <f>IFERROR(__xludf.DUMMYFUNCTION("""COMPUTED_VALUE"""),"")</f>
        <v/>
      </c>
      <c r="L4168" t="str">
        <f>IFERROR(__xludf.DUMMYFUNCTION("""COMPUTED_VALUE"""),"")</f>
        <v/>
      </c>
      <c r="M4168" t="str">
        <f>IFERROR(__xludf.DUMMYFUNCTION("""COMPUTED_VALUE"""),"")</f>
        <v/>
      </c>
      <c r="N4168" t="str">
        <f>IFERROR(__xludf.DUMMYFUNCTION("""COMPUTED_VALUE"""),"")</f>
        <v/>
      </c>
      <c r="O4168" t="str">
        <f>IFERROR(__xludf.DUMMYFUNCTION("""COMPUTED_VALUE"""),"")</f>
        <v/>
      </c>
      <c r="P4168" t="str">
        <f>IFERROR(__xludf.DUMMYFUNCTION("""COMPUTED_VALUE"""),"ID ")</f>
        <v>ID </v>
      </c>
    </row>
    <row r="4169">
      <c r="A4169" s="6" t="str">
        <f>IFERROR(__xludf.DUMMYFUNCTION("""COMPUTED_VALUE"""),"")</f>
        <v/>
      </c>
      <c r="C4169" t="str">
        <f>IFERROR(__xludf.DUMMYFUNCTION("""COMPUTED_VALUE"""),"")</f>
        <v/>
      </c>
      <c r="D4169" t="str">
        <f>IFERROR(__xludf.DUMMYFUNCTION("""COMPUTED_VALUE"""),"")</f>
        <v/>
      </c>
      <c r="E4169" t="str">
        <f>IFERROR(__xludf.DUMMYFUNCTION("""COMPUTED_VALUE"""),"")</f>
        <v/>
      </c>
      <c r="F4169" t="str">
        <f>IFERROR(__xludf.DUMMYFUNCTION("""COMPUTED_VALUE"""),"")</f>
        <v/>
      </c>
      <c r="G4169" t="str">
        <f>IFERROR(__xludf.DUMMYFUNCTION("""COMPUTED_VALUE"""),"")</f>
        <v/>
      </c>
      <c r="H4169" s="2" t="str">
        <f>IFERROR(__xludf.DUMMYFUNCTION("""COMPUTED_VALUE"""),"")</f>
        <v/>
      </c>
      <c r="I4169" s="2" t="str">
        <f>IFERROR(__xludf.DUMMYFUNCTION("""COMPUTED_VALUE"""),"")</f>
        <v/>
      </c>
      <c r="J4169" s="2">
        <f>IFERROR(__xludf.DUMMYFUNCTION("""COMPUTED_VALUE"""),0.0)</f>
        <v>0</v>
      </c>
      <c r="K4169" s="5" t="str">
        <f>IFERROR(__xludf.DUMMYFUNCTION("""COMPUTED_VALUE"""),"")</f>
        <v/>
      </c>
      <c r="L4169" t="str">
        <f>IFERROR(__xludf.DUMMYFUNCTION("""COMPUTED_VALUE"""),"")</f>
        <v/>
      </c>
      <c r="M4169" t="str">
        <f>IFERROR(__xludf.DUMMYFUNCTION("""COMPUTED_VALUE"""),"")</f>
        <v/>
      </c>
      <c r="N4169" t="str">
        <f>IFERROR(__xludf.DUMMYFUNCTION("""COMPUTED_VALUE"""),"")</f>
        <v/>
      </c>
      <c r="O4169" t="str">
        <f>IFERROR(__xludf.DUMMYFUNCTION("""COMPUTED_VALUE"""),"")</f>
        <v/>
      </c>
      <c r="P4169" t="str">
        <f>IFERROR(__xludf.DUMMYFUNCTION("""COMPUTED_VALUE"""),"ID ")</f>
        <v>ID </v>
      </c>
    </row>
    <row r="4170">
      <c r="A4170" s="6" t="str">
        <f>IFERROR(__xludf.DUMMYFUNCTION("""COMPUTED_VALUE"""),"")</f>
        <v/>
      </c>
      <c r="C4170" t="str">
        <f>IFERROR(__xludf.DUMMYFUNCTION("""COMPUTED_VALUE"""),"")</f>
        <v/>
      </c>
      <c r="D4170" t="str">
        <f>IFERROR(__xludf.DUMMYFUNCTION("""COMPUTED_VALUE"""),"")</f>
        <v/>
      </c>
      <c r="E4170" t="str">
        <f>IFERROR(__xludf.DUMMYFUNCTION("""COMPUTED_VALUE"""),"")</f>
        <v/>
      </c>
      <c r="F4170" t="str">
        <f>IFERROR(__xludf.DUMMYFUNCTION("""COMPUTED_VALUE"""),"")</f>
        <v/>
      </c>
      <c r="G4170" t="str">
        <f>IFERROR(__xludf.DUMMYFUNCTION("""COMPUTED_VALUE"""),"")</f>
        <v/>
      </c>
      <c r="H4170" s="2" t="str">
        <f>IFERROR(__xludf.DUMMYFUNCTION("""COMPUTED_VALUE"""),"")</f>
        <v/>
      </c>
      <c r="I4170" s="2" t="str">
        <f>IFERROR(__xludf.DUMMYFUNCTION("""COMPUTED_VALUE"""),"")</f>
        <v/>
      </c>
      <c r="J4170" s="2">
        <f>IFERROR(__xludf.DUMMYFUNCTION("""COMPUTED_VALUE"""),0.0)</f>
        <v>0</v>
      </c>
      <c r="K4170" s="5" t="str">
        <f>IFERROR(__xludf.DUMMYFUNCTION("""COMPUTED_VALUE"""),"")</f>
        <v/>
      </c>
      <c r="L4170" t="str">
        <f>IFERROR(__xludf.DUMMYFUNCTION("""COMPUTED_VALUE"""),"")</f>
        <v/>
      </c>
      <c r="M4170" t="str">
        <f>IFERROR(__xludf.DUMMYFUNCTION("""COMPUTED_VALUE"""),"")</f>
        <v/>
      </c>
      <c r="N4170" t="str">
        <f>IFERROR(__xludf.DUMMYFUNCTION("""COMPUTED_VALUE"""),"")</f>
        <v/>
      </c>
      <c r="O4170" t="str">
        <f>IFERROR(__xludf.DUMMYFUNCTION("""COMPUTED_VALUE"""),"")</f>
        <v/>
      </c>
      <c r="P4170" t="str">
        <f>IFERROR(__xludf.DUMMYFUNCTION("""COMPUTED_VALUE"""),"ID ")</f>
        <v>ID </v>
      </c>
    </row>
    <row r="4171">
      <c r="A4171" s="6" t="str">
        <f>IFERROR(__xludf.DUMMYFUNCTION("""COMPUTED_VALUE"""),"")</f>
        <v/>
      </c>
      <c r="C4171" t="str">
        <f>IFERROR(__xludf.DUMMYFUNCTION("""COMPUTED_VALUE"""),"")</f>
        <v/>
      </c>
      <c r="D4171" t="str">
        <f>IFERROR(__xludf.DUMMYFUNCTION("""COMPUTED_VALUE"""),"")</f>
        <v/>
      </c>
      <c r="E4171" t="str">
        <f>IFERROR(__xludf.DUMMYFUNCTION("""COMPUTED_VALUE"""),"")</f>
        <v/>
      </c>
      <c r="F4171" t="str">
        <f>IFERROR(__xludf.DUMMYFUNCTION("""COMPUTED_VALUE"""),"")</f>
        <v/>
      </c>
      <c r="G4171" t="str">
        <f>IFERROR(__xludf.DUMMYFUNCTION("""COMPUTED_VALUE"""),"")</f>
        <v/>
      </c>
      <c r="H4171" s="2" t="str">
        <f>IFERROR(__xludf.DUMMYFUNCTION("""COMPUTED_VALUE"""),"")</f>
        <v/>
      </c>
      <c r="I4171" s="2" t="str">
        <f>IFERROR(__xludf.DUMMYFUNCTION("""COMPUTED_VALUE"""),"")</f>
        <v/>
      </c>
      <c r="J4171" s="2">
        <f>IFERROR(__xludf.DUMMYFUNCTION("""COMPUTED_VALUE"""),0.0)</f>
        <v>0</v>
      </c>
      <c r="K4171" s="5" t="str">
        <f>IFERROR(__xludf.DUMMYFUNCTION("""COMPUTED_VALUE"""),"")</f>
        <v/>
      </c>
      <c r="L4171" t="str">
        <f>IFERROR(__xludf.DUMMYFUNCTION("""COMPUTED_VALUE"""),"")</f>
        <v/>
      </c>
      <c r="M4171" t="str">
        <f>IFERROR(__xludf.DUMMYFUNCTION("""COMPUTED_VALUE"""),"")</f>
        <v/>
      </c>
      <c r="N4171" t="str">
        <f>IFERROR(__xludf.DUMMYFUNCTION("""COMPUTED_VALUE"""),"")</f>
        <v/>
      </c>
      <c r="O4171" t="str">
        <f>IFERROR(__xludf.DUMMYFUNCTION("""COMPUTED_VALUE"""),"")</f>
        <v/>
      </c>
      <c r="P4171" t="str">
        <f>IFERROR(__xludf.DUMMYFUNCTION("""COMPUTED_VALUE"""),"ID ")</f>
        <v>ID </v>
      </c>
    </row>
    <row r="4172">
      <c r="A4172" s="6" t="str">
        <f>IFERROR(__xludf.DUMMYFUNCTION("""COMPUTED_VALUE"""),"")</f>
        <v/>
      </c>
      <c r="C4172" t="str">
        <f>IFERROR(__xludf.DUMMYFUNCTION("""COMPUTED_VALUE"""),"")</f>
        <v/>
      </c>
      <c r="D4172" t="str">
        <f>IFERROR(__xludf.DUMMYFUNCTION("""COMPUTED_VALUE"""),"")</f>
        <v/>
      </c>
      <c r="E4172" t="str">
        <f>IFERROR(__xludf.DUMMYFUNCTION("""COMPUTED_VALUE"""),"")</f>
        <v/>
      </c>
      <c r="F4172" t="str">
        <f>IFERROR(__xludf.DUMMYFUNCTION("""COMPUTED_VALUE"""),"")</f>
        <v/>
      </c>
      <c r="G4172" t="str">
        <f>IFERROR(__xludf.DUMMYFUNCTION("""COMPUTED_VALUE"""),"")</f>
        <v/>
      </c>
      <c r="H4172" s="2" t="str">
        <f>IFERROR(__xludf.DUMMYFUNCTION("""COMPUTED_VALUE"""),"")</f>
        <v/>
      </c>
      <c r="I4172" s="2" t="str">
        <f>IFERROR(__xludf.DUMMYFUNCTION("""COMPUTED_VALUE"""),"")</f>
        <v/>
      </c>
      <c r="J4172" s="2">
        <f>IFERROR(__xludf.DUMMYFUNCTION("""COMPUTED_VALUE"""),0.0)</f>
        <v>0</v>
      </c>
      <c r="K4172" s="5" t="str">
        <f>IFERROR(__xludf.DUMMYFUNCTION("""COMPUTED_VALUE"""),"")</f>
        <v/>
      </c>
      <c r="L4172" t="str">
        <f>IFERROR(__xludf.DUMMYFUNCTION("""COMPUTED_VALUE"""),"")</f>
        <v/>
      </c>
      <c r="M4172" t="str">
        <f>IFERROR(__xludf.DUMMYFUNCTION("""COMPUTED_VALUE"""),"")</f>
        <v/>
      </c>
      <c r="N4172" t="str">
        <f>IFERROR(__xludf.DUMMYFUNCTION("""COMPUTED_VALUE"""),"")</f>
        <v/>
      </c>
      <c r="O4172" t="str">
        <f>IFERROR(__xludf.DUMMYFUNCTION("""COMPUTED_VALUE"""),"")</f>
        <v/>
      </c>
      <c r="P4172" t="str">
        <f>IFERROR(__xludf.DUMMYFUNCTION("""COMPUTED_VALUE"""),"ID ")</f>
        <v>ID </v>
      </c>
    </row>
    <row r="4173">
      <c r="A4173" s="6" t="str">
        <f>IFERROR(__xludf.DUMMYFUNCTION("""COMPUTED_VALUE"""),"")</f>
        <v/>
      </c>
      <c r="C4173" t="str">
        <f>IFERROR(__xludf.DUMMYFUNCTION("""COMPUTED_VALUE"""),"")</f>
        <v/>
      </c>
      <c r="D4173" t="str">
        <f>IFERROR(__xludf.DUMMYFUNCTION("""COMPUTED_VALUE"""),"")</f>
        <v/>
      </c>
      <c r="E4173" t="str">
        <f>IFERROR(__xludf.DUMMYFUNCTION("""COMPUTED_VALUE"""),"")</f>
        <v/>
      </c>
      <c r="F4173" t="str">
        <f>IFERROR(__xludf.DUMMYFUNCTION("""COMPUTED_VALUE"""),"")</f>
        <v/>
      </c>
      <c r="G4173" t="str">
        <f>IFERROR(__xludf.DUMMYFUNCTION("""COMPUTED_VALUE"""),"")</f>
        <v/>
      </c>
      <c r="H4173" s="2" t="str">
        <f>IFERROR(__xludf.DUMMYFUNCTION("""COMPUTED_VALUE"""),"")</f>
        <v/>
      </c>
      <c r="I4173" s="2" t="str">
        <f>IFERROR(__xludf.DUMMYFUNCTION("""COMPUTED_VALUE"""),"")</f>
        <v/>
      </c>
      <c r="J4173" s="2">
        <f>IFERROR(__xludf.DUMMYFUNCTION("""COMPUTED_VALUE"""),0.0)</f>
        <v>0</v>
      </c>
      <c r="K4173" s="5" t="str">
        <f>IFERROR(__xludf.DUMMYFUNCTION("""COMPUTED_VALUE"""),"")</f>
        <v/>
      </c>
      <c r="L4173" t="str">
        <f>IFERROR(__xludf.DUMMYFUNCTION("""COMPUTED_VALUE"""),"")</f>
        <v/>
      </c>
      <c r="M4173" t="str">
        <f>IFERROR(__xludf.DUMMYFUNCTION("""COMPUTED_VALUE"""),"")</f>
        <v/>
      </c>
      <c r="N4173" t="str">
        <f>IFERROR(__xludf.DUMMYFUNCTION("""COMPUTED_VALUE"""),"")</f>
        <v/>
      </c>
      <c r="O4173" t="str">
        <f>IFERROR(__xludf.DUMMYFUNCTION("""COMPUTED_VALUE"""),"")</f>
        <v/>
      </c>
      <c r="P4173" t="str">
        <f>IFERROR(__xludf.DUMMYFUNCTION("""COMPUTED_VALUE"""),"ID ")</f>
        <v>ID </v>
      </c>
    </row>
    <row r="4174">
      <c r="A4174" s="6" t="str">
        <f>IFERROR(__xludf.DUMMYFUNCTION("""COMPUTED_VALUE"""),"")</f>
        <v/>
      </c>
      <c r="C4174" t="str">
        <f>IFERROR(__xludf.DUMMYFUNCTION("""COMPUTED_VALUE"""),"")</f>
        <v/>
      </c>
      <c r="D4174" t="str">
        <f>IFERROR(__xludf.DUMMYFUNCTION("""COMPUTED_VALUE"""),"")</f>
        <v/>
      </c>
      <c r="E4174" t="str">
        <f>IFERROR(__xludf.DUMMYFUNCTION("""COMPUTED_VALUE"""),"")</f>
        <v/>
      </c>
      <c r="F4174" t="str">
        <f>IFERROR(__xludf.DUMMYFUNCTION("""COMPUTED_VALUE"""),"")</f>
        <v/>
      </c>
      <c r="G4174" t="str">
        <f>IFERROR(__xludf.DUMMYFUNCTION("""COMPUTED_VALUE"""),"")</f>
        <v/>
      </c>
      <c r="H4174" s="2" t="str">
        <f>IFERROR(__xludf.DUMMYFUNCTION("""COMPUTED_VALUE"""),"")</f>
        <v/>
      </c>
      <c r="I4174" s="2" t="str">
        <f>IFERROR(__xludf.DUMMYFUNCTION("""COMPUTED_VALUE"""),"")</f>
        <v/>
      </c>
      <c r="J4174" s="2">
        <f>IFERROR(__xludf.DUMMYFUNCTION("""COMPUTED_VALUE"""),0.0)</f>
        <v>0</v>
      </c>
      <c r="K4174" s="5" t="str">
        <f>IFERROR(__xludf.DUMMYFUNCTION("""COMPUTED_VALUE"""),"")</f>
        <v/>
      </c>
      <c r="L4174" t="str">
        <f>IFERROR(__xludf.DUMMYFUNCTION("""COMPUTED_VALUE"""),"")</f>
        <v/>
      </c>
      <c r="M4174" t="str">
        <f>IFERROR(__xludf.DUMMYFUNCTION("""COMPUTED_VALUE"""),"")</f>
        <v/>
      </c>
      <c r="N4174" t="str">
        <f>IFERROR(__xludf.DUMMYFUNCTION("""COMPUTED_VALUE"""),"")</f>
        <v/>
      </c>
      <c r="O4174" t="str">
        <f>IFERROR(__xludf.DUMMYFUNCTION("""COMPUTED_VALUE"""),"")</f>
        <v/>
      </c>
      <c r="P4174" t="str">
        <f>IFERROR(__xludf.DUMMYFUNCTION("""COMPUTED_VALUE"""),"ID ")</f>
        <v>ID </v>
      </c>
    </row>
    <row r="4175">
      <c r="A4175" s="6" t="str">
        <f>IFERROR(__xludf.DUMMYFUNCTION("""COMPUTED_VALUE"""),"")</f>
        <v/>
      </c>
      <c r="C4175" t="str">
        <f>IFERROR(__xludf.DUMMYFUNCTION("""COMPUTED_VALUE"""),"")</f>
        <v/>
      </c>
      <c r="D4175" t="str">
        <f>IFERROR(__xludf.DUMMYFUNCTION("""COMPUTED_VALUE"""),"")</f>
        <v/>
      </c>
      <c r="E4175" t="str">
        <f>IFERROR(__xludf.DUMMYFUNCTION("""COMPUTED_VALUE"""),"")</f>
        <v/>
      </c>
      <c r="F4175" t="str">
        <f>IFERROR(__xludf.DUMMYFUNCTION("""COMPUTED_VALUE"""),"")</f>
        <v/>
      </c>
      <c r="G4175" t="str">
        <f>IFERROR(__xludf.DUMMYFUNCTION("""COMPUTED_VALUE"""),"")</f>
        <v/>
      </c>
      <c r="H4175" s="2" t="str">
        <f>IFERROR(__xludf.DUMMYFUNCTION("""COMPUTED_VALUE"""),"")</f>
        <v/>
      </c>
      <c r="I4175" s="2" t="str">
        <f>IFERROR(__xludf.DUMMYFUNCTION("""COMPUTED_VALUE"""),"")</f>
        <v/>
      </c>
      <c r="J4175" s="2">
        <f>IFERROR(__xludf.DUMMYFUNCTION("""COMPUTED_VALUE"""),0.0)</f>
        <v>0</v>
      </c>
      <c r="K4175" s="5" t="str">
        <f>IFERROR(__xludf.DUMMYFUNCTION("""COMPUTED_VALUE"""),"")</f>
        <v/>
      </c>
      <c r="L4175" t="str">
        <f>IFERROR(__xludf.DUMMYFUNCTION("""COMPUTED_VALUE"""),"")</f>
        <v/>
      </c>
      <c r="M4175" t="str">
        <f>IFERROR(__xludf.DUMMYFUNCTION("""COMPUTED_VALUE"""),"")</f>
        <v/>
      </c>
      <c r="N4175" t="str">
        <f>IFERROR(__xludf.DUMMYFUNCTION("""COMPUTED_VALUE"""),"")</f>
        <v/>
      </c>
      <c r="O4175" t="str">
        <f>IFERROR(__xludf.DUMMYFUNCTION("""COMPUTED_VALUE"""),"")</f>
        <v/>
      </c>
      <c r="P4175" t="str">
        <f>IFERROR(__xludf.DUMMYFUNCTION("""COMPUTED_VALUE"""),"ID ")</f>
        <v>ID </v>
      </c>
    </row>
    <row r="4176">
      <c r="A4176" s="6" t="str">
        <f>IFERROR(__xludf.DUMMYFUNCTION("""COMPUTED_VALUE"""),"")</f>
        <v/>
      </c>
      <c r="C4176" t="str">
        <f>IFERROR(__xludf.DUMMYFUNCTION("""COMPUTED_VALUE"""),"")</f>
        <v/>
      </c>
      <c r="D4176" t="str">
        <f>IFERROR(__xludf.DUMMYFUNCTION("""COMPUTED_VALUE"""),"")</f>
        <v/>
      </c>
      <c r="E4176" t="str">
        <f>IFERROR(__xludf.DUMMYFUNCTION("""COMPUTED_VALUE"""),"")</f>
        <v/>
      </c>
      <c r="F4176" t="str">
        <f>IFERROR(__xludf.DUMMYFUNCTION("""COMPUTED_VALUE"""),"")</f>
        <v/>
      </c>
      <c r="G4176" t="str">
        <f>IFERROR(__xludf.DUMMYFUNCTION("""COMPUTED_VALUE"""),"")</f>
        <v/>
      </c>
      <c r="H4176" s="2" t="str">
        <f>IFERROR(__xludf.DUMMYFUNCTION("""COMPUTED_VALUE"""),"")</f>
        <v/>
      </c>
      <c r="I4176" s="2" t="str">
        <f>IFERROR(__xludf.DUMMYFUNCTION("""COMPUTED_VALUE"""),"")</f>
        <v/>
      </c>
      <c r="J4176" s="2">
        <f>IFERROR(__xludf.DUMMYFUNCTION("""COMPUTED_VALUE"""),0.0)</f>
        <v>0</v>
      </c>
      <c r="K4176" s="5" t="str">
        <f>IFERROR(__xludf.DUMMYFUNCTION("""COMPUTED_VALUE"""),"")</f>
        <v/>
      </c>
      <c r="L4176" t="str">
        <f>IFERROR(__xludf.DUMMYFUNCTION("""COMPUTED_VALUE"""),"")</f>
        <v/>
      </c>
      <c r="M4176" t="str">
        <f>IFERROR(__xludf.DUMMYFUNCTION("""COMPUTED_VALUE"""),"")</f>
        <v/>
      </c>
      <c r="N4176" t="str">
        <f>IFERROR(__xludf.DUMMYFUNCTION("""COMPUTED_VALUE"""),"")</f>
        <v/>
      </c>
      <c r="O4176" t="str">
        <f>IFERROR(__xludf.DUMMYFUNCTION("""COMPUTED_VALUE"""),"")</f>
        <v/>
      </c>
      <c r="P4176" t="str">
        <f>IFERROR(__xludf.DUMMYFUNCTION("""COMPUTED_VALUE"""),"ID ")</f>
        <v>ID </v>
      </c>
    </row>
    <row r="4177">
      <c r="A4177" s="6" t="str">
        <f>IFERROR(__xludf.DUMMYFUNCTION("""COMPUTED_VALUE"""),"")</f>
        <v/>
      </c>
      <c r="C4177" t="str">
        <f>IFERROR(__xludf.DUMMYFUNCTION("""COMPUTED_VALUE"""),"")</f>
        <v/>
      </c>
      <c r="D4177" t="str">
        <f>IFERROR(__xludf.DUMMYFUNCTION("""COMPUTED_VALUE"""),"")</f>
        <v/>
      </c>
      <c r="E4177" t="str">
        <f>IFERROR(__xludf.DUMMYFUNCTION("""COMPUTED_VALUE"""),"")</f>
        <v/>
      </c>
      <c r="F4177" t="str">
        <f>IFERROR(__xludf.DUMMYFUNCTION("""COMPUTED_VALUE"""),"")</f>
        <v/>
      </c>
      <c r="G4177" t="str">
        <f>IFERROR(__xludf.DUMMYFUNCTION("""COMPUTED_VALUE"""),"")</f>
        <v/>
      </c>
      <c r="H4177" s="2" t="str">
        <f>IFERROR(__xludf.DUMMYFUNCTION("""COMPUTED_VALUE"""),"")</f>
        <v/>
      </c>
      <c r="I4177" s="2" t="str">
        <f>IFERROR(__xludf.DUMMYFUNCTION("""COMPUTED_VALUE"""),"")</f>
        <v/>
      </c>
      <c r="J4177" s="2">
        <f>IFERROR(__xludf.DUMMYFUNCTION("""COMPUTED_VALUE"""),0.0)</f>
        <v>0</v>
      </c>
      <c r="K4177" s="5" t="str">
        <f>IFERROR(__xludf.DUMMYFUNCTION("""COMPUTED_VALUE"""),"")</f>
        <v/>
      </c>
      <c r="L4177" t="str">
        <f>IFERROR(__xludf.DUMMYFUNCTION("""COMPUTED_VALUE"""),"")</f>
        <v/>
      </c>
      <c r="M4177" t="str">
        <f>IFERROR(__xludf.DUMMYFUNCTION("""COMPUTED_VALUE"""),"")</f>
        <v/>
      </c>
      <c r="N4177" t="str">
        <f>IFERROR(__xludf.DUMMYFUNCTION("""COMPUTED_VALUE"""),"")</f>
        <v/>
      </c>
      <c r="O4177" t="str">
        <f>IFERROR(__xludf.DUMMYFUNCTION("""COMPUTED_VALUE"""),"")</f>
        <v/>
      </c>
      <c r="P4177" t="str">
        <f>IFERROR(__xludf.DUMMYFUNCTION("""COMPUTED_VALUE"""),"ID ")</f>
        <v>ID </v>
      </c>
    </row>
    <row r="4178">
      <c r="A4178" s="6" t="str">
        <f>IFERROR(__xludf.DUMMYFUNCTION("""COMPUTED_VALUE"""),"")</f>
        <v/>
      </c>
      <c r="C4178" t="str">
        <f>IFERROR(__xludf.DUMMYFUNCTION("""COMPUTED_VALUE"""),"")</f>
        <v/>
      </c>
      <c r="D4178" t="str">
        <f>IFERROR(__xludf.DUMMYFUNCTION("""COMPUTED_VALUE"""),"")</f>
        <v/>
      </c>
      <c r="E4178" t="str">
        <f>IFERROR(__xludf.DUMMYFUNCTION("""COMPUTED_VALUE"""),"")</f>
        <v/>
      </c>
      <c r="F4178" t="str">
        <f>IFERROR(__xludf.DUMMYFUNCTION("""COMPUTED_VALUE"""),"")</f>
        <v/>
      </c>
      <c r="G4178" t="str">
        <f>IFERROR(__xludf.DUMMYFUNCTION("""COMPUTED_VALUE"""),"")</f>
        <v/>
      </c>
      <c r="H4178" s="2" t="str">
        <f>IFERROR(__xludf.DUMMYFUNCTION("""COMPUTED_VALUE"""),"")</f>
        <v/>
      </c>
      <c r="I4178" s="2" t="str">
        <f>IFERROR(__xludf.DUMMYFUNCTION("""COMPUTED_VALUE"""),"")</f>
        <v/>
      </c>
      <c r="J4178" s="2">
        <f>IFERROR(__xludf.DUMMYFUNCTION("""COMPUTED_VALUE"""),0.0)</f>
        <v>0</v>
      </c>
      <c r="K4178" s="5" t="str">
        <f>IFERROR(__xludf.DUMMYFUNCTION("""COMPUTED_VALUE"""),"")</f>
        <v/>
      </c>
      <c r="L4178" t="str">
        <f>IFERROR(__xludf.DUMMYFUNCTION("""COMPUTED_VALUE"""),"")</f>
        <v/>
      </c>
      <c r="M4178" t="str">
        <f>IFERROR(__xludf.DUMMYFUNCTION("""COMPUTED_VALUE"""),"")</f>
        <v/>
      </c>
      <c r="N4178" t="str">
        <f>IFERROR(__xludf.DUMMYFUNCTION("""COMPUTED_VALUE"""),"")</f>
        <v/>
      </c>
      <c r="O4178" t="str">
        <f>IFERROR(__xludf.DUMMYFUNCTION("""COMPUTED_VALUE"""),"")</f>
        <v/>
      </c>
      <c r="P4178" t="str">
        <f>IFERROR(__xludf.DUMMYFUNCTION("""COMPUTED_VALUE"""),"ID ")</f>
        <v>ID </v>
      </c>
    </row>
    <row r="4179">
      <c r="A4179" s="6" t="str">
        <f>IFERROR(__xludf.DUMMYFUNCTION("""COMPUTED_VALUE"""),"")</f>
        <v/>
      </c>
      <c r="C4179" t="str">
        <f>IFERROR(__xludf.DUMMYFUNCTION("""COMPUTED_VALUE"""),"")</f>
        <v/>
      </c>
      <c r="D4179" t="str">
        <f>IFERROR(__xludf.DUMMYFUNCTION("""COMPUTED_VALUE"""),"")</f>
        <v/>
      </c>
      <c r="E4179" t="str">
        <f>IFERROR(__xludf.DUMMYFUNCTION("""COMPUTED_VALUE"""),"")</f>
        <v/>
      </c>
      <c r="F4179" t="str">
        <f>IFERROR(__xludf.DUMMYFUNCTION("""COMPUTED_VALUE"""),"")</f>
        <v/>
      </c>
      <c r="G4179" t="str">
        <f>IFERROR(__xludf.DUMMYFUNCTION("""COMPUTED_VALUE"""),"")</f>
        <v/>
      </c>
      <c r="H4179" s="2" t="str">
        <f>IFERROR(__xludf.DUMMYFUNCTION("""COMPUTED_VALUE"""),"")</f>
        <v/>
      </c>
      <c r="I4179" s="2" t="str">
        <f>IFERROR(__xludf.DUMMYFUNCTION("""COMPUTED_VALUE"""),"")</f>
        <v/>
      </c>
      <c r="J4179" s="2">
        <f>IFERROR(__xludf.DUMMYFUNCTION("""COMPUTED_VALUE"""),0.0)</f>
        <v>0</v>
      </c>
      <c r="K4179" s="5" t="str">
        <f>IFERROR(__xludf.DUMMYFUNCTION("""COMPUTED_VALUE"""),"")</f>
        <v/>
      </c>
      <c r="L4179" t="str">
        <f>IFERROR(__xludf.DUMMYFUNCTION("""COMPUTED_VALUE"""),"")</f>
        <v/>
      </c>
      <c r="M4179" t="str">
        <f>IFERROR(__xludf.DUMMYFUNCTION("""COMPUTED_VALUE"""),"")</f>
        <v/>
      </c>
      <c r="N4179" t="str">
        <f>IFERROR(__xludf.DUMMYFUNCTION("""COMPUTED_VALUE"""),"")</f>
        <v/>
      </c>
      <c r="O4179" t="str">
        <f>IFERROR(__xludf.DUMMYFUNCTION("""COMPUTED_VALUE"""),"")</f>
        <v/>
      </c>
      <c r="P4179" t="str">
        <f>IFERROR(__xludf.DUMMYFUNCTION("""COMPUTED_VALUE"""),"ID ")</f>
        <v>ID </v>
      </c>
    </row>
    <row r="4180">
      <c r="A4180" s="6" t="str">
        <f>IFERROR(__xludf.DUMMYFUNCTION("""COMPUTED_VALUE"""),"")</f>
        <v/>
      </c>
      <c r="C4180" t="str">
        <f>IFERROR(__xludf.DUMMYFUNCTION("""COMPUTED_VALUE"""),"")</f>
        <v/>
      </c>
      <c r="D4180" t="str">
        <f>IFERROR(__xludf.DUMMYFUNCTION("""COMPUTED_VALUE"""),"")</f>
        <v/>
      </c>
      <c r="E4180" t="str">
        <f>IFERROR(__xludf.DUMMYFUNCTION("""COMPUTED_VALUE"""),"")</f>
        <v/>
      </c>
      <c r="F4180" t="str">
        <f>IFERROR(__xludf.DUMMYFUNCTION("""COMPUTED_VALUE"""),"")</f>
        <v/>
      </c>
      <c r="G4180" t="str">
        <f>IFERROR(__xludf.DUMMYFUNCTION("""COMPUTED_VALUE"""),"")</f>
        <v/>
      </c>
      <c r="H4180" s="2" t="str">
        <f>IFERROR(__xludf.DUMMYFUNCTION("""COMPUTED_VALUE"""),"")</f>
        <v/>
      </c>
      <c r="I4180" s="2" t="str">
        <f>IFERROR(__xludf.DUMMYFUNCTION("""COMPUTED_VALUE"""),"")</f>
        <v/>
      </c>
      <c r="J4180" s="2">
        <f>IFERROR(__xludf.DUMMYFUNCTION("""COMPUTED_VALUE"""),0.0)</f>
        <v>0</v>
      </c>
      <c r="K4180" s="5" t="str">
        <f>IFERROR(__xludf.DUMMYFUNCTION("""COMPUTED_VALUE"""),"")</f>
        <v/>
      </c>
      <c r="L4180" t="str">
        <f>IFERROR(__xludf.DUMMYFUNCTION("""COMPUTED_VALUE"""),"")</f>
        <v/>
      </c>
      <c r="M4180" t="str">
        <f>IFERROR(__xludf.DUMMYFUNCTION("""COMPUTED_VALUE"""),"")</f>
        <v/>
      </c>
      <c r="N4180" t="str">
        <f>IFERROR(__xludf.DUMMYFUNCTION("""COMPUTED_VALUE"""),"")</f>
        <v/>
      </c>
      <c r="O4180" t="str">
        <f>IFERROR(__xludf.DUMMYFUNCTION("""COMPUTED_VALUE"""),"")</f>
        <v/>
      </c>
      <c r="P4180" t="str">
        <f>IFERROR(__xludf.DUMMYFUNCTION("""COMPUTED_VALUE"""),"ID ")</f>
        <v>ID </v>
      </c>
    </row>
    <row r="4181">
      <c r="A4181" s="6" t="str">
        <f>IFERROR(__xludf.DUMMYFUNCTION("""COMPUTED_VALUE"""),"")</f>
        <v/>
      </c>
      <c r="C4181" t="str">
        <f>IFERROR(__xludf.DUMMYFUNCTION("""COMPUTED_VALUE"""),"")</f>
        <v/>
      </c>
      <c r="D4181" t="str">
        <f>IFERROR(__xludf.DUMMYFUNCTION("""COMPUTED_VALUE"""),"")</f>
        <v/>
      </c>
      <c r="E4181" t="str">
        <f>IFERROR(__xludf.DUMMYFUNCTION("""COMPUTED_VALUE"""),"")</f>
        <v/>
      </c>
      <c r="F4181" t="str">
        <f>IFERROR(__xludf.DUMMYFUNCTION("""COMPUTED_VALUE"""),"")</f>
        <v/>
      </c>
      <c r="G4181" t="str">
        <f>IFERROR(__xludf.DUMMYFUNCTION("""COMPUTED_VALUE"""),"")</f>
        <v/>
      </c>
      <c r="H4181" s="2" t="str">
        <f>IFERROR(__xludf.DUMMYFUNCTION("""COMPUTED_VALUE"""),"")</f>
        <v/>
      </c>
      <c r="I4181" s="2" t="str">
        <f>IFERROR(__xludf.DUMMYFUNCTION("""COMPUTED_VALUE"""),"")</f>
        <v/>
      </c>
      <c r="J4181" s="2">
        <f>IFERROR(__xludf.DUMMYFUNCTION("""COMPUTED_VALUE"""),0.0)</f>
        <v>0</v>
      </c>
      <c r="K4181" s="5" t="str">
        <f>IFERROR(__xludf.DUMMYFUNCTION("""COMPUTED_VALUE"""),"")</f>
        <v/>
      </c>
      <c r="L4181" t="str">
        <f>IFERROR(__xludf.DUMMYFUNCTION("""COMPUTED_VALUE"""),"")</f>
        <v/>
      </c>
      <c r="M4181" t="str">
        <f>IFERROR(__xludf.DUMMYFUNCTION("""COMPUTED_VALUE"""),"")</f>
        <v/>
      </c>
      <c r="N4181" t="str">
        <f>IFERROR(__xludf.DUMMYFUNCTION("""COMPUTED_VALUE"""),"")</f>
        <v/>
      </c>
      <c r="O4181" t="str">
        <f>IFERROR(__xludf.DUMMYFUNCTION("""COMPUTED_VALUE"""),"")</f>
        <v/>
      </c>
      <c r="P4181" t="str">
        <f>IFERROR(__xludf.DUMMYFUNCTION("""COMPUTED_VALUE"""),"ID ")</f>
        <v>ID </v>
      </c>
    </row>
    <row r="4182">
      <c r="A4182" s="6" t="str">
        <f>IFERROR(__xludf.DUMMYFUNCTION("""COMPUTED_VALUE"""),"")</f>
        <v/>
      </c>
      <c r="C4182" t="str">
        <f>IFERROR(__xludf.DUMMYFUNCTION("""COMPUTED_VALUE"""),"")</f>
        <v/>
      </c>
      <c r="D4182" t="str">
        <f>IFERROR(__xludf.DUMMYFUNCTION("""COMPUTED_VALUE"""),"")</f>
        <v/>
      </c>
      <c r="E4182" t="str">
        <f>IFERROR(__xludf.DUMMYFUNCTION("""COMPUTED_VALUE"""),"")</f>
        <v/>
      </c>
      <c r="F4182" t="str">
        <f>IFERROR(__xludf.DUMMYFUNCTION("""COMPUTED_VALUE"""),"")</f>
        <v/>
      </c>
      <c r="G4182" t="str">
        <f>IFERROR(__xludf.DUMMYFUNCTION("""COMPUTED_VALUE"""),"")</f>
        <v/>
      </c>
      <c r="H4182" s="2" t="str">
        <f>IFERROR(__xludf.DUMMYFUNCTION("""COMPUTED_VALUE"""),"")</f>
        <v/>
      </c>
      <c r="I4182" s="2" t="str">
        <f>IFERROR(__xludf.DUMMYFUNCTION("""COMPUTED_VALUE"""),"")</f>
        <v/>
      </c>
      <c r="J4182" s="2">
        <f>IFERROR(__xludf.DUMMYFUNCTION("""COMPUTED_VALUE"""),0.0)</f>
        <v>0</v>
      </c>
      <c r="K4182" s="5" t="str">
        <f>IFERROR(__xludf.DUMMYFUNCTION("""COMPUTED_VALUE"""),"")</f>
        <v/>
      </c>
      <c r="L4182" t="str">
        <f>IFERROR(__xludf.DUMMYFUNCTION("""COMPUTED_VALUE"""),"")</f>
        <v/>
      </c>
      <c r="M4182" t="str">
        <f>IFERROR(__xludf.DUMMYFUNCTION("""COMPUTED_VALUE"""),"")</f>
        <v/>
      </c>
      <c r="N4182" t="str">
        <f>IFERROR(__xludf.DUMMYFUNCTION("""COMPUTED_VALUE"""),"")</f>
        <v/>
      </c>
      <c r="O4182" t="str">
        <f>IFERROR(__xludf.DUMMYFUNCTION("""COMPUTED_VALUE"""),"")</f>
        <v/>
      </c>
      <c r="P4182" t="str">
        <f>IFERROR(__xludf.DUMMYFUNCTION("""COMPUTED_VALUE"""),"ID ")</f>
        <v>ID </v>
      </c>
    </row>
    <row r="4183">
      <c r="A4183" s="6" t="str">
        <f>IFERROR(__xludf.DUMMYFUNCTION("""COMPUTED_VALUE"""),"")</f>
        <v/>
      </c>
      <c r="C4183" t="str">
        <f>IFERROR(__xludf.DUMMYFUNCTION("""COMPUTED_VALUE"""),"")</f>
        <v/>
      </c>
      <c r="D4183" t="str">
        <f>IFERROR(__xludf.DUMMYFUNCTION("""COMPUTED_VALUE"""),"")</f>
        <v/>
      </c>
      <c r="E4183" t="str">
        <f>IFERROR(__xludf.DUMMYFUNCTION("""COMPUTED_VALUE"""),"")</f>
        <v/>
      </c>
      <c r="F4183" t="str">
        <f>IFERROR(__xludf.DUMMYFUNCTION("""COMPUTED_VALUE"""),"")</f>
        <v/>
      </c>
      <c r="G4183" t="str">
        <f>IFERROR(__xludf.DUMMYFUNCTION("""COMPUTED_VALUE"""),"")</f>
        <v/>
      </c>
      <c r="H4183" s="2" t="str">
        <f>IFERROR(__xludf.DUMMYFUNCTION("""COMPUTED_VALUE"""),"")</f>
        <v/>
      </c>
      <c r="I4183" s="2" t="str">
        <f>IFERROR(__xludf.DUMMYFUNCTION("""COMPUTED_VALUE"""),"")</f>
        <v/>
      </c>
      <c r="J4183" s="2">
        <f>IFERROR(__xludf.DUMMYFUNCTION("""COMPUTED_VALUE"""),0.0)</f>
        <v>0</v>
      </c>
      <c r="K4183" s="5" t="str">
        <f>IFERROR(__xludf.DUMMYFUNCTION("""COMPUTED_VALUE"""),"")</f>
        <v/>
      </c>
      <c r="L4183" t="str">
        <f>IFERROR(__xludf.DUMMYFUNCTION("""COMPUTED_VALUE"""),"")</f>
        <v/>
      </c>
      <c r="M4183" t="str">
        <f>IFERROR(__xludf.DUMMYFUNCTION("""COMPUTED_VALUE"""),"")</f>
        <v/>
      </c>
      <c r="N4183" t="str">
        <f>IFERROR(__xludf.DUMMYFUNCTION("""COMPUTED_VALUE"""),"")</f>
        <v/>
      </c>
      <c r="O4183" t="str">
        <f>IFERROR(__xludf.DUMMYFUNCTION("""COMPUTED_VALUE"""),"")</f>
        <v/>
      </c>
      <c r="P4183" t="str">
        <f>IFERROR(__xludf.DUMMYFUNCTION("""COMPUTED_VALUE"""),"ID ")</f>
        <v>ID </v>
      </c>
    </row>
    <row r="4184">
      <c r="A4184" s="6" t="str">
        <f>IFERROR(__xludf.DUMMYFUNCTION("""COMPUTED_VALUE"""),"")</f>
        <v/>
      </c>
      <c r="C4184" t="str">
        <f>IFERROR(__xludf.DUMMYFUNCTION("""COMPUTED_VALUE"""),"")</f>
        <v/>
      </c>
      <c r="D4184" t="str">
        <f>IFERROR(__xludf.DUMMYFUNCTION("""COMPUTED_VALUE"""),"")</f>
        <v/>
      </c>
      <c r="E4184" t="str">
        <f>IFERROR(__xludf.DUMMYFUNCTION("""COMPUTED_VALUE"""),"")</f>
        <v/>
      </c>
      <c r="F4184" t="str">
        <f>IFERROR(__xludf.DUMMYFUNCTION("""COMPUTED_VALUE"""),"")</f>
        <v/>
      </c>
      <c r="G4184" t="str">
        <f>IFERROR(__xludf.DUMMYFUNCTION("""COMPUTED_VALUE"""),"")</f>
        <v/>
      </c>
      <c r="H4184" s="2" t="str">
        <f>IFERROR(__xludf.DUMMYFUNCTION("""COMPUTED_VALUE"""),"")</f>
        <v/>
      </c>
      <c r="I4184" s="2" t="str">
        <f>IFERROR(__xludf.DUMMYFUNCTION("""COMPUTED_VALUE"""),"")</f>
        <v/>
      </c>
      <c r="J4184" s="2">
        <f>IFERROR(__xludf.DUMMYFUNCTION("""COMPUTED_VALUE"""),0.0)</f>
        <v>0</v>
      </c>
      <c r="K4184" s="5" t="str">
        <f>IFERROR(__xludf.DUMMYFUNCTION("""COMPUTED_VALUE"""),"")</f>
        <v/>
      </c>
      <c r="L4184" t="str">
        <f>IFERROR(__xludf.DUMMYFUNCTION("""COMPUTED_VALUE"""),"")</f>
        <v/>
      </c>
      <c r="M4184" t="str">
        <f>IFERROR(__xludf.DUMMYFUNCTION("""COMPUTED_VALUE"""),"")</f>
        <v/>
      </c>
      <c r="N4184" t="str">
        <f>IFERROR(__xludf.DUMMYFUNCTION("""COMPUTED_VALUE"""),"")</f>
        <v/>
      </c>
      <c r="O4184" t="str">
        <f>IFERROR(__xludf.DUMMYFUNCTION("""COMPUTED_VALUE"""),"")</f>
        <v/>
      </c>
      <c r="P4184" t="str">
        <f>IFERROR(__xludf.DUMMYFUNCTION("""COMPUTED_VALUE"""),"ID ")</f>
        <v>ID </v>
      </c>
    </row>
    <row r="4185">
      <c r="A4185" s="6" t="str">
        <f>IFERROR(__xludf.DUMMYFUNCTION("""COMPUTED_VALUE"""),"")</f>
        <v/>
      </c>
      <c r="C4185" t="str">
        <f>IFERROR(__xludf.DUMMYFUNCTION("""COMPUTED_VALUE"""),"")</f>
        <v/>
      </c>
      <c r="D4185" t="str">
        <f>IFERROR(__xludf.DUMMYFUNCTION("""COMPUTED_VALUE"""),"")</f>
        <v/>
      </c>
      <c r="E4185" t="str">
        <f>IFERROR(__xludf.DUMMYFUNCTION("""COMPUTED_VALUE"""),"")</f>
        <v/>
      </c>
      <c r="F4185" t="str">
        <f>IFERROR(__xludf.DUMMYFUNCTION("""COMPUTED_VALUE"""),"")</f>
        <v/>
      </c>
      <c r="G4185" t="str">
        <f>IFERROR(__xludf.DUMMYFUNCTION("""COMPUTED_VALUE"""),"")</f>
        <v/>
      </c>
      <c r="H4185" s="2" t="str">
        <f>IFERROR(__xludf.DUMMYFUNCTION("""COMPUTED_VALUE"""),"")</f>
        <v/>
      </c>
      <c r="I4185" s="2" t="str">
        <f>IFERROR(__xludf.DUMMYFUNCTION("""COMPUTED_VALUE"""),"")</f>
        <v/>
      </c>
      <c r="J4185" s="2">
        <f>IFERROR(__xludf.DUMMYFUNCTION("""COMPUTED_VALUE"""),0.0)</f>
        <v>0</v>
      </c>
      <c r="K4185" s="5" t="str">
        <f>IFERROR(__xludf.DUMMYFUNCTION("""COMPUTED_VALUE"""),"")</f>
        <v/>
      </c>
      <c r="L4185" t="str">
        <f>IFERROR(__xludf.DUMMYFUNCTION("""COMPUTED_VALUE"""),"")</f>
        <v/>
      </c>
      <c r="M4185" t="str">
        <f>IFERROR(__xludf.DUMMYFUNCTION("""COMPUTED_VALUE"""),"")</f>
        <v/>
      </c>
      <c r="N4185" t="str">
        <f>IFERROR(__xludf.DUMMYFUNCTION("""COMPUTED_VALUE"""),"")</f>
        <v/>
      </c>
      <c r="O4185" t="str">
        <f>IFERROR(__xludf.DUMMYFUNCTION("""COMPUTED_VALUE"""),"")</f>
        <v/>
      </c>
      <c r="P4185" t="str">
        <f>IFERROR(__xludf.DUMMYFUNCTION("""COMPUTED_VALUE"""),"ID ")</f>
        <v>ID </v>
      </c>
    </row>
    <row r="4186">
      <c r="A4186" s="6" t="str">
        <f>IFERROR(__xludf.DUMMYFUNCTION("""COMPUTED_VALUE"""),"")</f>
        <v/>
      </c>
      <c r="C4186" t="str">
        <f>IFERROR(__xludf.DUMMYFUNCTION("""COMPUTED_VALUE"""),"")</f>
        <v/>
      </c>
      <c r="D4186" t="str">
        <f>IFERROR(__xludf.DUMMYFUNCTION("""COMPUTED_VALUE"""),"")</f>
        <v/>
      </c>
      <c r="E4186" t="str">
        <f>IFERROR(__xludf.DUMMYFUNCTION("""COMPUTED_VALUE"""),"")</f>
        <v/>
      </c>
      <c r="F4186" t="str">
        <f>IFERROR(__xludf.DUMMYFUNCTION("""COMPUTED_VALUE"""),"")</f>
        <v/>
      </c>
      <c r="G4186" t="str">
        <f>IFERROR(__xludf.DUMMYFUNCTION("""COMPUTED_VALUE"""),"")</f>
        <v/>
      </c>
      <c r="H4186" s="2" t="str">
        <f>IFERROR(__xludf.DUMMYFUNCTION("""COMPUTED_VALUE"""),"")</f>
        <v/>
      </c>
      <c r="I4186" s="2" t="str">
        <f>IFERROR(__xludf.DUMMYFUNCTION("""COMPUTED_VALUE"""),"")</f>
        <v/>
      </c>
      <c r="J4186" s="2">
        <f>IFERROR(__xludf.DUMMYFUNCTION("""COMPUTED_VALUE"""),0.0)</f>
        <v>0</v>
      </c>
      <c r="K4186" s="5" t="str">
        <f>IFERROR(__xludf.DUMMYFUNCTION("""COMPUTED_VALUE"""),"")</f>
        <v/>
      </c>
      <c r="L4186" t="str">
        <f>IFERROR(__xludf.DUMMYFUNCTION("""COMPUTED_VALUE"""),"")</f>
        <v/>
      </c>
      <c r="M4186" t="str">
        <f>IFERROR(__xludf.DUMMYFUNCTION("""COMPUTED_VALUE"""),"")</f>
        <v/>
      </c>
      <c r="N4186" t="str">
        <f>IFERROR(__xludf.DUMMYFUNCTION("""COMPUTED_VALUE"""),"")</f>
        <v/>
      </c>
      <c r="O4186" t="str">
        <f>IFERROR(__xludf.DUMMYFUNCTION("""COMPUTED_VALUE"""),"")</f>
        <v/>
      </c>
      <c r="P4186" t="str">
        <f>IFERROR(__xludf.DUMMYFUNCTION("""COMPUTED_VALUE"""),"ID ")</f>
        <v>ID </v>
      </c>
    </row>
    <row r="4187">
      <c r="A4187" s="6" t="str">
        <f>IFERROR(__xludf.DUMMYFUNCTION("""COMPUTED_VALUE"""),"")</f>
        <v/>
      </c>
      <c r="C4187" t="str">
        <f>IFERROR(__xludf.DUMMYFUNCTION("""COMPUTED_VALUE"""),"")</f>
        <v/>
      </c>
      <c r="D4187" t="str">
        <f>IFERROR(__xludf.DUMMYFUNCTION("""COMPUTED_VALUE"""),"")</f>
        <v/>
      </c>
      <c r="E4187" t="str">
        <f>IFERROR(__xludf.DUMMYFUNCTION("""COMPUTED_VALUE"""),"")</f>
        <v/>
      </c>
      <c r="F4187" t="str">
        <f>IFERROR(__xludf.DUMMYFUNCTION("""COMPUTED_VALUE"""),"")</f>
        <v/>
      </c>
      <c r="G4187" t="str">
        <f>IFERROR(__xludf.DUMMYFUNCTION("""COMPUTED_VALUE"""),"")</f>
        <v/>
      </c>
      <c r="H4187" s="2" t="str">
        <f>IFERROR(__xludf.DUMMYFUNCTION("""COMPUTED_VALUE"""),"")</f>
        <v/>
      </c>
      <c r="I4187" s="2" t="str">
        <f>IFERROR(__xludf.DUMMYFUNCTION("""COMPUTED_VALUE"""),"")</f>
        <v/>
      </c>
      <c r="J4187" s="2">
        <f>IFERROR(__xludf.DUMMYFUNCTION("""COMPUTED_VALUE"""),0.0)</f>
        <v>0</v>
      </c>
      <c r="K4187" s="5" t="str">
        <f>IFERROR(__xludf.DUMMYFUNCTION("""COMPUTED_VALUE"""),"")</f>
        <v/>
      </c>
      <c r="L4187" t="str">
        <f>IFERROR(__xludf.DUMMYFUNCTION("""COMPUTED_VALUE"""),"")</f>
        <v/>
      </c>
      <c r="M4187" t="str">
        <f>IFERROR(__xludf.DUMMYFUNCTION("""COMPUTED_VALUE"""),"")</f>
        <v/>
      </c>
      <c r="N4187" t="str">
        <f>IFERROR(__xludf.DUMMYFUNCTION("""COMPUTED_VALUE"""),"")</f>
        <v/>
      </c>
      <c r="O4187" t="str">
        <f>IFERROR(__xludf.DUMMYFUNCTION("""COMPUTED_VALUE"""),"")</f>
        <v/>
      </c>
      <c r="P4187" t="str">
        <f>IFERROR(__xludf.DUMMYFUNCTION("""COMPUTED_VALUE"""),"ID ")</f>
        <v>ID </v>
      </c>
    </row>
    <row r="4188">
      <c r="A4188" s="6" t="str">
        <f>IFERROR(__xludf.DUMMYFUNCTION("""COMPUTED_VALUE"""),"")</f>
        <v/>
      </c>
      <c r="C4188" t="str">
        <f>IFERROR(__xludf.DUMMYFUNCTION("""COMPUTED_VALUE"""),"")</f>
        <v/>
      </c>
      <c r="D4188" t="str">
        <f>IFERROR(__xludf.DUMMYFUNCTION("""COMPUTED_VALUE"""),"")</f>
        <v/>
      </c>
      <c r="E4188" t="str">
        <f>IFERROR(__xludf.DUMMYFUNCTION("""COMPUTED_VALUE"""),"")</f>
        <v/>
      </c>
      <c r="F4188" t="str">
        <f>IFERROR(__xludf.DUMMYFUNCTION("""COMPUTED_VALUE"""),"")</f>
        <v/>
      </c>
      <c r="G4188" t="str">
        <f>IFERROR(__xludf.DUMMYFUNCTION("""COMPUTED_VALUE"""),"")</f>
        <v/>
      </c>
      <c r="H4188" s="2" t="str">
        <f>IFERROR(__xludf.DUMMYFUNCTION("""COMPUTED_VALUE"""),"")</f>
        <v/>
      </c>
      <c r="I4188" s="2" t="str">
        <f>IFERROR(__xludf.DUMMYFUNCTION("""COMPUTED_VALUE"""),"")</f>
        <v/>
      </c>
      <c r="J4188" s="2">
        <f>IFERROR(__xludf.DUMMYFUNCTION("""COMPUTED_VALUE"""),0.0)</f>
        <v>0</v>
      </c>
      <c r="K4188" s="5" t="str">
        <f>IFERROR(__xludf.DUMMYFUNCTION("""COMPUTED_VALUE"""),"")</f>
        <v/>
      </c>
      <c r="L4188" t="str">
        <f>IFERROR(__xludf.DUMMYFUNCTION("""COMPUTED_VALUE"""),"")</f>
        <v/>
      </c>
      <c r="M4188" t="str">
        <f>IFERROR(__xludf.DUMMYFUNCTION("""COMPUTED_VALUE"""),"")</f>
        <v/>
      </c>
      <c r="N4188" t="str">
        <f>IFERROR(__xludf.DUMMYFUNCTION("""COMPUTED_VALUE"""),"")</f>
        <v/>
      </c>
      <c r="O4188" t="str">
        <f>IFERROR(__xludf.DUMMYFUNCTION("""COMPUTED_VALUE"""),"")</f>
        <v/>
      </c>
      <c r="P4188" t="str">
        <f>IFERROR(__xludf.DUMMYFUNCTION("""COMPUTED_VALUE"""),"ID ")</f>
        <v>ID </v>
      </c>
    </row>
    <row r="4189">
      <c r="A4189" s="6" t="str">
        <f>IFERROR(__xludf.DUMMYFUNCTION("""COMPUTED_VALUE"""),"")</f>
        <v/>
      </c>
      <c r="C4189" t="str">
        <f>IFERROR(__xludf.DUMMYFUNCTION("""COMPUTED_VALUE"""),"")</f>
        <v/>
      </c>
      <c r="D4189" t="str">
        <f>IFERROR(__xludf.DUMMYFUNCTION("""COMPUTED_VALUE"""),"")</f>
        <v/>
      </c>
      <c r="E4189" t="str">
        <f>IFERROR(__xludf.DUMMYFUNCTION("""COMPUTED_VALUE"""),"")</f>
        <v/>
      </c>
      <c r="F4189" t="str">
        <f>IFERROR(__xludf.DUMMYFUNCTION("""COMPUTED_VALUE"""),"")</f>
        <v/>
      </c>
      <c r="G4189" t="str">
        <f>IFERROR(__xludf.DUMMYFUNCTION("""COMPUTED_VALUE"""),"")</f>
        <v/>
      </c>
      <c r="H4189" s="2" t="str">
        <f>IFERROR(__xludf.DUMMYFUNCTION("""COMPUTED_VALUE"""),"")</f>
        <v/>
      </c>
      <c r="I4189" s="2" t="str">
        <f>IFERROR(__xludf.DUMMYFUNCTION("""COMPUTED_VALUE"""),"")</f>
        <v/>
      </c>
      <c r="J4189" s="2">
        <f>IFERROR(__xludf.DUMMYFUNCTION("""COMPUTED_VALUE"""),0.0)</f>
        <v>0</v>
      </c>
      <c r="K4189" s="5" t="str">
        <f>IFERROR(__xludf.DUMMYFUNCTION("""COMPUTED_VALUE"""),"")</f>
        <v/>
      </c>
      <c r="L4189" t="str">
        <f>IFERROR(__xludf.DUMMYFUNCTION("""COMPUTED_VALUE"""),"")</f>
        <v/>
      </c>
      <c r="M4189" t="str">
        <f>IFERROR(__xludf.DUMMYFUNCTION("""COMPUTED_VALUE"""),"")</f>
        <v/>
      </c>
      <c r="N4189" t="str">
        <f>IFERROR(__xludf.DUMMYFUNCTION("""COMPUTED_VALUE"""),"")</f>
        <v/>
      </c>
      <c r="O4189" t="str">
        <f>IFERROR(__xludf.DUMMYFUNCTION("""COMPUTED_VALUE"""),"")</f>
        <v/>
      </c>
      <c r="P4189" t="str">
        <f>IFERROR(__xludf.DUMMYFUNCTION("""COMPUTED_VALUE"""),"ID ")</f>
        <v>ID </v>
      </c>
    </row>
    <row r="4190">
      <c r="A4190" s="6" t="str">
        <f>IFERROR(__xludf.DUMMYFUNCTION("""COMPUTED_VALUE"""),"")</f>
        <v/>
      </c>
      <c r="C4190" t="str">
        <f>IFERROR(__xludf.DUMMYFUNCTION("""COMPUTED_VALUE"""),"")</f>
        <v/>
      </c>
      <c r="D4190" t="str">
        <f>IFERROR(__xludf.DUMMYFUNCTION("""COMPUTED_VALUE"""),"")</f>
        <v/>
      </c>
      <c r="E4190" t="str">
        <f>IFERROR(__xludf.DUMMYFUNCTION("""COMPUTED_VALUE"""),"")</f>
        <v/>
      </c>
      <c r="F4190" t="str">
        <f>IFERROR(__xludf.DUMMYFUNCTION("""COMPUTED_VALUE"""),"")</f>
        <v/>
      </c>
      <c r="G4190" t="str">
        <f>IFERROR(__xludf.DUMMYFUNCTION("""COMPUTED_VALUE"""),"")</f>
        <v/>
      </c>
      <c r="H4190" s="2" t="str">
        <f>IFERROR(__xludf.DUMMYFUNCTION("""COMPUTED_VALUE"""),"")</f>
        <v/>
      </c>
      <c r="I4190" s="2" t="str">
        <f>IFERROR(__xludf.DUMMYFUNCTION("""COMPUTED_VALUE"""),"")</f>
        <v/>
      </c>
      <c r="J4190" s="2">
        <f>IFERROR(__xludf.DUMMYFUNCTION("""COMPUTED_VALUE"""),0.0)</f>
        <v>0</v>
      </c>
      <c r="K4190" s="5" t="str">
        <f>IFERROR(__xludf.DUMMYFUNCTION("""COMPUTED_VALUE"""),"")</f>
        <v/>
      </c>
      <c r="L4190" t="str">
        <f>IFERROR(__xludf.DUMMYFUNCTION("""COMPUTED_VALUE"""),"")</f>
        <v/>
      </c>
      <c r="M4190" t="str">
        <f>IFERROR(__xludf.DUMMYFUNCTION("""COMPUTED_VALUE"""),"")</f>
        <v/>
      </c>
      <c r="N4190" t="str">
        <f>IFERROR(__xludf.DUMMYFUNCTION("""COMPUTED_VALUE"""),"")</f>
        <v/>
      </c>
      <c r="O4190" t="str">
        <f>IFERROR(__xludf.DUMMYFUNCTION("""COMPUTED_VALUE"""),"")</f>
        <v/>
      </c>
      <c r="P4190" t="str">
        <f>IFERROR(__xludf.DUMMYFUNCTION("""COMPUTED_VALUE"""),"ID ")</f>
        <v>ID </v>
      </c>
    </row>
    <row r="4191">
      <c r="A4191" s="6" t="str">
        <f>IFERROR(__xludf.DUMMYFUNCTION("""COMPUTED_VALUE"""),"")</f>
        <v/>
      </c>
      <c r="C4191" t="str">
        <f>IFERROR(__xludf.DUMMYFUNCTION("""COMPUTED_VALUE"""),"")</f>
        <v/>
      </c>
      <c r="D4191" t="str">
        <f>IFERROR(__xludf.DUMMYFUNCTION("""COMPUTED_VALUE"""),"")</f>
        <v/>
      </c>
      <c r="E4191" t="str">
        <f>IFERROR(__xludf.DUMMYFUNCTION("""COMPUTED_VALUE"""),"")</f>
        <v/>
      </c>
      <c r="F4191" t="str">
        <f>IFERROR(__xludf.DUMMYFUNCTION("""COMPUTED_VALUE"""),"")</f>
        <v/>
      </c>
      <c r="G4191" t="str">
        <f>IFERROR(__xludf.DUMMYFUNCTION("""COMPUTED_VALUE"""),"")</f>
        <v/>
      </c>
      <c r="H4191" s="2" t="str">
        <f>IFERROR(__xludf.DUMMYFUNCTION("""COMPUTED_VALUE"""),"")</f>
        <v/>
      </c>
      <c r="I4191" s="2" t="str">
        <f>IFERROR(__xludf.DUMMYFUNCTION("""COMPUTED_VALUE"""),"")</f>
        <v/>
      </c>
      <c r="J4191" s="2">
        <f>IFERROR(__xludf.DUMMYFUNCTION("""COMPUTED_VALUE"""),0.0)</f>
        <v>0</v>
      </c>
      <c r="K4191" s="5" t="str">
        <f>IFERROR(__xludf.DUMMYFUNCTION("""COMPUTED_VALUE"""),"")</f>
        <v/>
      </c>
      <c r="L4191" t="str">
        <f>IFERROR(__xludf.DUMMYFUNCTION("""COMPUTED_VALUE"""),"")</f>
        <v/>
      </c>
      <c r="M4191" t="str">
        <f>IFERROR(__xludf.DUMMYFUNCTION("""COMPUTED_VALUE"""),"")</f>
        <v/>
      </c>
      <c r="N4191" t="str">
        <f>IFERROR(__xludf.DUMMYFUNCTION("""COMPUTED_VALUE"""),"")</f>
        <v/>
      </c>
      <c r="O4191" t="str">
        <f>IFERROR(__xludf.DUMMYFUNCTION("""COMPUTED_VALUE"""),"")</f>
        <v/>
      </c>
      <c r="P4191" t="str">
        <f>IFERROR(__xludf.DUMMYFUNCTION("""COMPUTED_VALUE"""),"ID ")</f>
        <v>ID </v>
      </c>
    </row>
    <row r="4192">
      <c r="A4192" s="6" t="str">
        <f>IFERROR(__xludf.DUMMYFUNCTION("""COMPUTED_VALUE"""),"")</f>
        <v/>
      </c>
      <c r="C4192" t="str">
        <f>IFERROR(__xludf.DUMMYFUNCTION("""COMPUTED_VALUE"""),"")</f>
        <v/>
      </c>
      <c r="D4192" t="str">
        <f>IFERROR(__xludf.DUMMYFUNCTION("""COMPUTED_VALUE"""),"")</f>
        <v/>
      </c>
      <c r="E4192" t="str">
        <f>IFERROR(__xludf.DUMMYFUNCTION("""COMPUTED_VALUE"""),"")</f>
        <v/>
      </c>
      <c r="F4192" t="str">
        <f>IFERROR(__xludf.DUMMYFUNCTION("""COMPUTED_VALUE"""),"")</f>
        <v/>
      </c>
      <c r="G4192" t="str">
        <f>IFERROR(__xludf.DUMMYFUNCTION("""COMPUTED_VALUE"""),"")</f>
        <v/>
      </c>
      <c r="H4192" s="2" t="str">
        <f>IFERROR(__xludf.DUMMYFUNCTION("""COMPUTED_VALUE"""),"")</f>
        <v/>
      </c>
      <c r="I4192" s="2" t="str">
        <f>IFERROR(__xludf.DUMMYFUNCTION("""COMPUTED_VALUE"""),"")</f>
        <v/>
      </c>
      <c r="J4192" s="2">
        <f>IFERROR(__xludf.DUMMYFUNCTION("""COMPUTED_VALUE"""),0.0)</f>
        <v>0</v>
      </c>
      <c r="K4192" s="5" t="str">
        <f>IFERROR(__xludf.DUMMYFUNCTION("""COMPUTED_VALUE"""),"")</f>
        <v/>
      </c>
      <c r="L4192" t="str">
        <f>IFERROR(__xludf.DUMMYFUNCTION("""COMPUTED_VALUE"""),"")</f>
        <v/>
      </c>
      <c r="M4192" t="str">
        <f>IFERROR(__xludf.DUMMYFUNCTION("""COMPUTED_VALUE"""),"")</f>
        <v/>
      </c>
      <c r="N4192" t="str">
        <f>IFERROR(__xludf.DUMMYFUNCTION("""COMPUTED_VALUE"""),"")</f>
        <v/>
      </c>
      <c r="O4192" t="str">
        <f>IFERROR(__xludf.DUMMYFUNCTION("""COMPUTED_VALUE"""),"")</f>
        <v/>
      </c>
      <c r="P4192" t="str">
        <f>IFERROR(__xludf.DUMMYFUNCTION("""COMPUTED_VALUE"""),"ID ")</f>
        <v>ID </v>
      </c>
    </row>
    <row r="4193">
      <c r="A4193" s="6" t="str">
        <f>IFERROR(__xludf.DUMMYFUNCTION("""COMPUTED_VALUE"""),"")</f>
        <v/>
      </c>
      <c r="C4193" t="str">
        <f>IFERROR(__xludf.DUMMYFUNCTION("""COMPUTED_VALUE"""),"")</f>
        <v/>
      </c>
      <c r="D4193" t="str">
        <f>IFERROR(__xludf.DUMMYFUNCTION("""COMPUTED_VALUE"""),"")</f>
        <v/>
      </c>
      <c r="E4193" t="str">
        <f>IFERROR(__xludf.DUMMYFUNCTION("""COMPUTED_VALUE"""),"")</f>
        <v/>
      </c>
      <c r="F4193" t="str">
        <f>IFERROR(__xludf.DUMMYFUNCTION("""COMPUTED_VALUE"""),"")</f>
        <v/>
      </c>
      <c r="G4193" t="str">
        <f>IFERROR(__xludf.DUMMYFUNCTION("""COMPUTED_VALUE"""),"")</f>
        <v/>
      </c>
      <c r="H4193" s="2" t="str">
        <f>IFERROR(__xludf.DUMMYFUNCTION("""COMPUTED_VALUE"""),"")</f>
        <v/>
      </c>
      <c r="I4193" s="2" t="str">
        <f>IFERROR(__xludf.DUMMYFUNCTION("""COMPUTED_VALUE"""),"")</f>
        <v/>
      </c>
      <c r="J4193" s="2">
        <f>IFERROR(__xludf.DUMMYFUNCTION("""COMPUTED_VALUE"""),0.0)</f>
        <v>0</v>
      </c>
      <c r="K4193" s="5" t="str">
        <f>IFERROR(__xludf.DUMMYFUNCTION("""COMPUTED_VALUE"""),"")</f>
        <v/>
      </c>
      <c r="L4193" t="str">
        <f>IFERROR(__xludf.DUMMYFUNCTION("""COMPUTED_VALUE"""),"")</f>
        <v/>
      </c>
      <c r="M4193" t="str">
        <f>IFERROR(__xludf.DUMMYFUNCTION("""COMPUTED_VALUE"""),"")</f>
        <v/>
      </c>
      <c r="N4193" t="str">
        <f>IFERROR(__xludf.DUMMYFUNCTION("""COMPUTED_VALUE"""),"")</f>
        <v/>
      </c>
      <c r="O4193" t="str">
        <f>IFERROR(__xludf.DUMMYFUNCTION("""COMPUTED_VALUE"""),"")</f>
        <v/>
      </c>
      <c r="P4193" t="str">
        <f>IFERROR(__xludf.DUMMYFUNCTION("""COMPUTED_VALUE"""),"ID ")</f>
        <v>ID </v>
      </c>
    </row>
    <row r="4194">
      <c r="A4194" s="6" t="str">
        <f>IFERROR(__xludf.DUMMYFUNCTION("""COMPUTED_VALUE"""),"")</f>
        <v/>
      </c>
      <c r="C4194" t="str">
        <f>IFERROR(__xludf.DUMMYFUNCTION("""COMPUTED_VALUE"""),"")</f>
        <v/>
      </c>
      <c r="D4194" t="str">
        <f>IFERROR(__xludf.DUMMYFUNCTION("""COMPUTED_VALUE"""),"")</f>
        <v/>
      </c>
      <c r="E4194" t="str">
        <f>IFERROR(__xludf.DUMMYFUNCTION("""COMPUTED_VALUE"""),"")</f>
        <v/>
      </c>
      <c r="F4194" t="str">
        <f>IFERROR(__xludf.DUMMYFUNCTION("""COMPUTED_VALUE"""),"")</f>
        <v/>
      </c>
      <c r="G4194" t="str">
        <f>IFERROR(__xludf.DUMMYFUNCTION("""COMPUTED_VALUE"""),"")</f>
        <v/>
      </c>
      <c r="H4194" s="2" t="str">
        <f>IFERROR(__xludf.DUMMYFUNCTION("""COMPUTED_VALUE"""),"")</f>
        <v/>
      </c>
      <c r="I4194" s="2" t="str">
        <f>IFERROR(__xludf.DUMMYFUNCTION("""COMPUTED_VALUE"""),"")</f>
        <v/>
      </c>
      <c r="J4194" s="2">
        <f>IFERROR(__xludf.DUMMYFUNCTION("""COMPUTED_VALUE"""),0.0)</f>
        <v>0</v>
      </c>
      <c r="K4194" s="5" t="str">
        <f>IFERROR(__xludf.DUMMYFUNCTION("""COMPUTED_VALUE"""),"")</f>
        <v/>
      </c>
      <c r="L4194" t="str">
        <f>IFERROR(__xludf.DUMMYFUNCTION("""COMPUTED_VALUE"""),"")</f>
        <v/>
      </c>
      <c r="M4194" t="str">
        <f>IFERROR(__xludf.DUMMYFUNCTION("""COMPUTED_VALUE"""),"")</f>
        <v/>
      </c>
      <c r="N4194" t="str">
        <f>IFERROR(__xludf.DUMMYFUNCTION("""COMPUTED_VALUE"""),"")</f>
        <v/>
      </c>
      <c r="O4194" t="str">
        <f>IFERROR(__xludf.DUMMYFUNCTION("""COMPUTED_VALUE"""),"")</f>
        <v/>
      </c>
      <c r="P4194" t="str">
        <f>IFERROR(__xludf.DUMMYFUNCTION("""COMPUTED_VALUE"""),"ID ")</f>
        <v>ID </v>
      </c>
    </row>
    <row r="4195">
      <c r="A4195" s="6" t="str">
        <f>IFERROR(__xludf.DUMMYFUNCTION("""COMPUTED_VALUE"""),"")</f>
        <v/>
      </c>
      <c r="C4195" t="str">
        <f>IFERROR(__xludf.DUMMYFUNCTION("""COMPUTED_VALUE"""),"")</f>
        <v/>
      </c>
      <c r="D4195" t="str">
        <f>IFERROR(__xludf.DUMMYFUNCTION("""COMPUTED_VALUE"""),"")</f>
        <v/>
      </c>
      <c r="E4195" t="str">
        <f>IFERROR(__xludf.DUMMYFUNCTION("""COMPUTED_VALUE"""),"")</f>
        <v/>
      </c>
      <c r="F4195" t="str">
        <f>IFERROR(__xludf.DUMMYFUNCTION("""COMPUTED_VALUE"""),"")</f>
        <v/>
      </c>
      <c r="G4195" t="str">
        <f>IFERROR(__xludf.DUMMYFUNCTION("""COMPUTED_VALUE"""),"")</f>
        <v/>
      </c>
      <c r="H4195" s="2" t="str">
        <f>IFERROR(__xludf.DUMMYFUNCTION("""COMPUTED_VALUE"""),"")</f>
        <v/>
      </c>
      <c r="I4195" s="2" t="str">
        <f>IFERROR(__xludf.DUMMYFUNCTION("""COMPUTED_VALUE"""),"")</f>
        <v/>
      </c>
      <c r="J4195" s="2">
        <f>IFERROR(__xludf.DUMMYFUNCTION("""COMPUTED_VALUE"""),0.0)</f>
        <v>0</v>
      </c>
      <c r="K4195" s="5" t="str">
        <f>IFERROR(__xludf.DUMMYFUNCTION("""COMPUTED_VALUE"""),"")</f>
        <v/>
      </c>
      <c r="L4195" t="str">
        <f>IFERROR(__xludf.DUMMYFUNCTION("""COMPUTED_VALUE"""),"")</f>
        <v/>
      </c>
      <c r="M4195" t="str">
        <f>IFERROR(__xludf.DUMMYFUNCTION("""COMPUTED_VALUE"""),"")</f>
        <v/>
      </c>
      <c r="N4195" t="str">
        <f>IFERROR(__xludf.DUMMYFUNCTION("""COMPUTED_VALUE"""),"")</f>
        <v/>
      </c>
      <c r="O4195" t="str">
        <f>IFERROR(__xludf.DUMMYFUNCTION("""COMPUTED_VALUE"""),"")</f>
        <v/>
      </c>
      <c r="P4195" t="str">
        <f>IFERROR(__xludf.DUMMYFUNCTION("""COMPUTED_VALUE"""),"ID ")</f>
        <v>ID </v>
      </c>
    </row>
    <row r="4196">
      <c r="A4196" s="6" t="str">
        <f>IFERROR(__xludf.DUMMYFUNCTION("""COMPUTED_VALUE"""),"")</f>
        <v/>
      </c>
      <c r="C4196" t="str">
        <f>IFERROR(__xludf.DUMMYFUNCTION("""COMPUTED_VALUE"""),"")</f>
        <v/>
      </c>
      <c r="D4196" t="str">
        <f>IFERROR(__xludf.DUMMYFUNCTION("""COMPUTED_VALUE"""),"")</f>
        <v/>
      </c>
      <c r="E4196" t="str">
        <f>IFERROR(__xludf.DUMMYFUNCTION("""COMPUTED_VALUE"""),"")</f>
        <v/>
      </c>
      <c r="F4196" t="str">
        <f>IFERROR(__xludf.DUMMYFUNCTION("""COMPUTED_VALUE"""),"")</f>
        <v/>
      </c>
      <c r="G4196" t="str">
        <f>IFERROR(__xludf.DUMMYFUNCTION("""COMPUTED_VALUE"""),"")</f>
        <v/>
      </c>
      <c r="H4196" s="2" t="str">
        <f>IFERROR(__xludf.DUMMYFUNCTION("""COMPUTED_VALUE"""),"")</f>
        <v/>
      </c>
      <c r="I4196" s="2" t="str">
        <f>IFERROR(__xludf.DUMMYFUNCTION("""COMPUTED_VALUE"""),"")</f>
        <v/>
      </c>
      <c r="J4196" s="2">
        <f>IFERROR(__xludf.DUMMYFUNCTION("""COMPUTED_VALUE"""),0.0)</f>
        <v>0</v>
      </c>
      <c r="K4196" s="5" t="str">
        <f>IFERROR(__xludf.DUMMYFUNCTION("""COMPUTED_VALUE"""),"")</f>
        <v/>
      </c>
      <c r="L4196" t="str">
        <f>IFERROR(__xludf.DUMMYFUNCTION("""COMPUTED_VALUE"""),"")</f>
        <v/>
      </c>
      <c r="M4196" t="str">
        <f>IFERROR(__xludf.DUMMYFUNCTION("""COMPUTED_VALUE"""),"")</f>
        <v/>
      </c>
      <c r="N4196" t="str">
        <f>IFERROR(__xludf.DUMMYFUNCTION("""COMPUTED_VALUE"""),"")</f>
        <v/>
      </c>
      <c r="O4196" t="str">
        <f>IFERROR(__xludf.DUMMYFUNCTION("""COMPUTED_VALUE"""),"")</f>
        <v/>
      </c>
      <c r="P4196" t="str">
        <f>IFERROR(__xludf.DUMMYFUNCTION("""COMPUTED_VALUE"""),"ID ")</f>
        <v>ID </v>
      </c>
    </row>
    <row r="4197">
      <c r="A4197" s="6" t="str">
        <f>IFERROR(__xludf.DUMMYFUNCTION("""COMPUTED_VALUE"""),"")</f>
        <v/>
      </c>
      <c r="C4197" t="str">
        <f>IFERROR(__xludf.DUMMYFUNCTION("""COMPUTED_VALUE"""),"")</f>
        <v/>
      </c>
      <c r="D4197" t="str">
        <f>IFERROR(__xludf.DUMMYFUNCTION("""COMPUTED_VALUE"""),"")</f>
        <v/>
      </c>
      <c r="E4197" t="str">
        <f>IFERROR(__xludf.DUMMYFUNCTION("""COMPUTED_VALUE"""),"")</f>
        <v/>
      </c>
      <c r="F4197" t="str">
        <f>IFERROR(__xludf.DUMMYFUNCTION("""COMPUTED_VALUE"""),"")</f>
        <v/>
      </c>
      <c r="G4197" t="str">
        <f>IFERROR(__xludf.DUMMYFUNCTION("""COMPUTED_VALUE"""),"")</f>
        <v/>
      </c>
      <c r="H4197" s="2" t="str">
        <f>IFERROR(__xludf.DUMMYFUNCTION("""COMPUTED_VALUE"""),"")</f>
        <v/>
      </c>
      <c r="I4197" s="2" t="str">
        <f>IFERROR(__xludf.DUMMYFUNCTION("""COMPUTED_VALUE"""),"")</f>
        <v/>
      </c>
      <c r="J4197" s="2">
        <f>IFERROR(__xludf.DUMMYFUNCTION("""COMPUTED_VALUE"""),0.0)</f>
        <v>0</v>
      </c>
      <c r="K4197" s="5" t="str">
        <f>IFERROR(__xludf.DUMMYFUNCTION("""COMPUTED_VALUE"""),"")</f>
        <v/>
      </c>
      <c r="L4197" t="str">
        <f>IFERROR(__xludf.DUMMYFUNCTION("""COMPUTED_VALUE"""),"")</f>
        <v/>
      </c>
      <c r="M4197" t="str">
        <f>IFERROR(__xludf.DUMMYFUNCTION("""COMPUTED_VALUE"""),"")</f>
        <v/>
      </c>
      <c r="N4197" t="str">
        <f>IFERROR(__xludf.DUMMYFUNCTION("""COMPUTED_VALUE"""),"")</f>
        <v/>
      </c>
      <c r="O4197" t="str">
        <f>IFERROR(__xludf.DUMMYFUNCTION("""COMPUTED_VALUE"""),"")</f>
        <v/>
      </c>
      <c r="P4197" t="str">
        <f>IFERROR(__xludf.DUMMYFUNCTION("""COMPUTED_VALUE"""),"ID ")</f>
        <v>ID </v>
      </c>
    </row>
    <row r="4198">
      <c r="A4198" s="6" t="str">
        <f>IFERROR(__xludf.DUMMYFUNCTION("""COMPUTED_VALUE"""),"")</f>
        <v/>
      </c>
      <c r="C4198" t="str">
        <f>IFERROR(__xludf.DUMMYFUNCTION("""COMPUTED_VALUE"""),"")</f>
        <v/>
      </c>
      <c r="D4198" t="str">
        <f>IFERROR(__xludf.DUMMYFUNCTION("""COMPUTED_VALUE"""),"")</f>
        <v/>
      </c>
      <c r="E4198" t="str">
        <f>IFERROR(__xludf.DUMMYFUNCTION("""COMPUTED_VALUE"""),"")</f>
        <v/>
      </c>
      <c r="F4198" t="str">
        <f>IFERROR(__xludf.DUMMYFUNCTION("""COMPUTED_VALUE"""),"")</f>
        <v/>
      </c>
      <c r="G4198" t="str">
        <f>IFERROR(__xludf.DUMMYFUNCTION("""COMPUTED_VALUE"""),"")</f>
        <v/>
      </c>
      <c r="H4198" s="2" t="str">
        <f>IFERROR(__xludf.DUMMYFUNCTION("""COMPUTED_VALUE"""),"")</f>
        <v/>
      </c>
      <c r="I4198" s="2" t="str">
        <f>IFERROR(__xludf.DUMMYFUNCTION("""COMPUTED_VALUE"""),"")</f>
        <v/>
      </c>
      <c r="J4198" s="2">
        <f>IFERROR(__xludf.DUMMYFUNCTION("""COMPUTED_VALUE"""),0.0)</f>
        <v>0</v>
      </c>
      <c r="K4198" s="5" t="str">
        <f>IFERROR(__xludf.DUMMYFUNCTION("""COMPUTED_VALUE"""),"")</f>
        <v/>
      </c>
      <c r="L4198" t="str">
        <f>IFERROR(__xludf.DUMMYFUNCTION("""COMPUTED_VALUE"""),"")</f>
        <v/>
      </c>
      <c r="M4198" t="str">
        <f>IFERROR(__xludf.DUMMYFUNCTION("""COMPUTED_VALUE"""),"")</f>
        <v/>
      </c>
      <c r="N4198" t="str">
        <f>IFERROR(__xludf.DUMMYFUNCTION("""COMPUTED_VALUE"""),"")</f>
        <v/>
      </c>
      <c r="O4198" t="str">
        <f>IFERROR(__xludf.DUMMYFUNCTION("""COMPUTED_VALUE"""),"")</f>
        <v/>
      </c>
      <c r="P4198" t="str">
        <f>IFERROR(__xludf.DUMMYFUNCTION("""COMPUTED_VALUE"""),"ID ")</f>
        <v>ID </v>
      </c>
    </row>
    <row r="4199">
      <c r="A4199" s="6" t="str">
        <f>IFERROR(__xludf.DUMMYFUNCTION("""COMPUTED_VALUE"""),"")</f>
        <v/>
      </c>
      <c r="C4199" t="str">
        <f>IFERROR(__xludf.DUMMYFUNCTION("""COMPUTED_VALUE"""),"")</f>
        <v/>
      </c>
      <c r="D4199" t="str">
        <f>IFERROR(__xludf.DUMMYFUNCTION("""COMPUTED_VALUE"""),"")</f>
        <v/>
      </c>
      <c r="E4199" t="str">
        <f>IFERROR(__xludf.DUMMYFUNCTION("""COMPUTED_VALUE"""),"")</f>
        <v/>
      </c>
      <c r="F4199" t="str">
        <f>IFERROR(__xludf.DUMMYFUNCTION("""COMPUTED_VALUE"""),"")</f>
        <v/>
      </c>
      <c r="G4199" t="str">
        <f>IFERROR(__xludf.DUMMYFUNCTION("""COMPUTED_VALUE"""),"")</f>
        <v/>
      </c>
      <c r="H4199" s="2" t="str">
        <f>IFERROR(__xludf.DUMMYFUNCTION("""COMPUTED_VALUE"""),"")</f>
        <v/>
      </c>
      <c r="I4199" s="2" t="str">
        <f>IFERROR(__xludf.DUMMYFUNCTION("""COMPUTED_VALUE"""),"")</f>
        <v/>
      </c>
      <c r="J4199" s="2">
        <f>IFERROR(__xludf.DUMMYFUNCTION("""COMPUTED_VALUE"""),0.0)</f>
        <v>0</v>
      </c>
      <c r="K4199" s="5" t="str">
        <f>IFERROR(__xludf.DUMMYFUNCTION("""COMPUTED_VALUE"""),"")</f>
        <v/>
      </c>
      <c r="L4199" t="str">
        <f>IFERROR(__xludf.DUMMYFUNCTION("""COMPUTED_VALUE"""),"")</f>
        <v/>
      </c>
      <c r="M4199" t="str">
        <f>IFERROR(__xludf.DUMMYFUNCTION("""COMPUTED_VALUE"""),"")</f>
        <v/>
      </c>
      <c r="N4199" t="str">
        <f>IFERROR(__xludf.DUMMYFUNCTION("""COMPUTED_VALUE"""),"")</f>
        <v/>
      </c>
      <c r="O4199" t="str">
        <f>IFERROR(__xludf.DUMMYFUNCTION("""COMPUTED_VALUE"""),"")</f>
        <v/>
      </c>
      <c r="P4199" t="str">
        <f>IFERROR(__xludf.DUMMYFUNCTION("""COMPUTED_VALUE"""),"ID ")</f>
        <v>ID </v>
      </c>
    </row>
    <row r="4200">
      <c r="A4200" s="6" t="str">
        <f>IFERROR(__xludf.DUMMYFUNCTION("""COMPUTED_VALUE"""),"")</f>
        <v/>
      </c>
      <c r="C4200" t="str">
        <f>IFERROR(__xludf.DUMMYFUNCTION("""COMPUTED_VALUE"""),"")</f>
        <v/>
      </c>
      <c r="D4200" t="str">
        <f>IFERROR(__xludf.DUMMYFUNCTION("""COMPUTED_VALUE"""),"")</f>
        <v/>
      </c>
      <c r="E4200" t="str">
        <f>IFERROR(__xludf.DUMMYFUNCTION("""COMPUTED_VALUE"""),"")</f>
        <v/>
      </c>
      <c r="F4200" t="str">
        <f>IFERROR(__xludf.DUMMYFUNCTION("""COMPUTED_VALUE"""),"")</f>
        <v/>
      </c>
      <c r="G4200" t="str">
        <f>IFERROR(__xludf.DUMMYFUNCTION("""COMPUTED_VALUE"""),"")</f>
        <v/>
      </c>
      <c r="H4200" s="2" t="str">
        <f>IFERROR(__xludf.DUMMYFUNCTION("""COMPUTED_VALUE"""),"")</f>
        <v/>
      </c>
      <c r="I4200" s="2" t="str">
        <f>IFERROR(__xludf.DUMMYFUNCTION("""COMPUTED_VALUE"""),"")</f>
        <v/>
      </c>
      <c r="J4200" s="2">
        <f>IFERROR(__xludf.DUMMYFUNCTION("""COMPUTED_VALUE"""),0.0)</f>
        <v>0</v>
      </c>
      <c r="K4200" s="5" t="str">
        <f>IFERROR(__xludf.DUMMYFUNCTION("""COMPUTED_VALUE"""),"")</f>
        <v/>
      </c>
      <c r="L4200" t="str">
        <f>IFERROR(__xludf.DUMMYFUNCTION("""COMPUTED_VALUE"""),"")</f>
        <v/>
      </c>
      <c r="M4200" t="str">
        <f>IFERROR(__xludf.DUMMYFUNCTION("""COMPUTED_VALUE"""),"")</f>
        <v/>
      </c>
      <c r="N4200" t="str">
        <f>IFERROR(__xludf.DUMMYFUNCTION("""COMPUTED_VALUE"""),"")</f>
        <v/>
      </c>
      <c r="O4200" t="str">
        <f>IFERROR(__xludf.DUMMYFUNCTION("""COMPUTED_VALUE"""),"")</f>
        <v/>
      </c>
      <c r="P4200" t="str">
        <f>IFERROR(__xludf.DUMMYFUNCTION("""COMPUTED_VALUE"""),"ID ")</f>
        <v>ID </v>
      </c>
    </row>
    <row r="4201">
      <c r="A4201" s="6" t="str">
        <f>IFERROR(__xludf.DUMMYFUNCTION("""COMPUTED_VALUE"""),"")</f>
        <v/>
      </c>
      <c r="C4201" t="str">
        <f>IFERROR(__xludf.DUMMYFUNCTION("""COMPUTED_VALUE"""),"")</f>
        <v/>
      </c>
      <c r="D4201" t="str">
        <f>IFERROR(__xludf.DUMMYFUNCTION("""COMPUTED_VALUE"""),"")</f>
        <v/>
      </c>
      <c r="E4201" t="str">
        <f>IFERROR(__xludf.DUMMYFUNCTION("""COMPUTED_VALUE"""),"")</f>
        <v/>
      </c>
      <c r="F4201" t="str">
        <f>IFERROR(__xludf.DUMMYFUNCTION("""COMPUTED_VALUE"""),"")</f>
        <v/>
      </c>
      <c r="G4201" t="str">
        <f>IFERROR(__xludf.DUMMYFUNCTION("""COMPUTED_VALUE"""),"")</f>
        <v/>
      </c>
      <c r="H4201" s="2" t="str">
        <f>IFERROR(__xludf.DUMMYFUNCTION("""COMPUTED_VALUE"""),"")</f>
        <v/>
      </c>
      <c r="I4201" s="2" t="str">
        <f>IFERROR(__xludf.DUMMYFUNCTION("""COMPUTED_VALUE"""),"")</f>
        <v/>
      </c>
      <c r="J4201" s="2">
        <f>IFERROR(__xludf.DUMMYFUNCTION("""COMPUTED_VALUE"""),0.0)</f>
        <v>0</v>
      </c>
      <c r="K4201" s="5" t="str">
        <f>IFERROR(__xludf.DUMMYFUNCTION("""COMPUTED_VALUE"""),"")</f>
        <v/>
      </c>
      <c r="L4201" t="str">
        <f>IFERROR(__xludf.DUMMYFUNCTION("""COMPUTED_VALUE"""),"")</f>
        <v/>
      </c>
      <c r="M4201" t="str">
        <f>IFERROR(__xludf.DUMMYFUNCTION("""COMPUTED_VALUE"""),"")</f>
        <v/>
      </c>
      <c r="N4201" t="str">
        <f>IFERROR(__xludf.DUMMYFUNCTION("""COMPUTED_VALUE"""),"")</f>
        <v/>
      </c>
      <c r="O4201" t="str">
        <f>IFERROR(__xludf.DUMMYFUNCTION("""COMPUTED_VALUE"""),"")</f>
        <v/>
      </c>
      <c r="P4201" t="str">
        <f>IFERROR(__xludf.DUMMYFUNCTION("""COMPUTED_VALUE"""),"ID ")</f>
        <v>ID </v>
      </c>
    </row>
    <row r="4202">
      <c r="A4202" s="6" t="str">
        <f>IFERROR(__xludf.DUMMYFUNCTION("""COMPUTED_VALUE"""),"")</f>
        <v/>
      </c>
      <c r="C4202" t="str">
        <f>IFERROR(__xludf.DUMMYFUNCTION("""COMPUTED_VALUE"""),"")</f>
        <v/>
      </c>
      <c r="D4202" t="str">
        <f>IFERROR(__xludf.DUMMYFUNCTION("""COMPUTED_VALUE"""),"")</f>
        <v/>
      </c>
      <c r="E4202" t="str">
        <f>IFERROR(__xludf.DUMMYFUNCTION("""COMPUTED_VALUE"""),"")</f>
        <v/>
      </c>
      <c r="F4202" t="str">
        <f>IFERROR(__xludf.DUMMYFUNCTION("""COMPUTED_VALUE"""),"")</f>
        <v/>
      </c>
      <c r="G4202" t="str">
        <f>IFERROR(__xludf.DUMMYFUNCTION("""COMPUTED_VALUE"""),"")</f>
        <v/>
      </c>
      <c r="H4202" s="2" t="str">
        <f>IFERROR(__xludf.DUMMYFUNCTION("""COMPUTED_VALUE"""),"")</f>
        <v/>
      </c>
      <c r="I4202" s="2" t="str">
        <f>IFERROR(__xludf.DUMMYFUNCTION("""COMPUTED_VALUE"""),"")</f>
        <v/>
      </c>
      <c r="J4202" s="2">
        <f>IFERROR(__xludf.DUMMYFUNCTION("""COMPUTED_VALUE"""),0.0)</f>
        <v>0</v>
      </c>
      <c r="K4202" s="5" t="str">
        <f>IFERROR(__xludf.DUMMYFUNCTION("""COMPUTED_VALUE"""),"")</f>
        <v/>
      </c>
      <c r="L4202" t="str">
        <f>IFERROR(__xludf.DUMMYFUNCTION("""COMPUTED_VALUE"""),"")</f>
        <v/>
      </c>
      <c r="M4202" t="str">
        <f>IFERROR(__xludf.DUMMYFUNCTION("""COMPUTED_VALUE"""),"")</f>
        <v/>
      </c>
      <c r="N4202" t="str">
        <f>IFERROR(__xludf.DUMMYFUNCTION("""COMPUTED_VALUE"""),"")</f>
        <v/>
      </c>
      <c r="O4202" t="str">
        <f>IFERROR(__xludf.DUMMYFUNCTION("""COMPUTED_VALUE"""),"")</f>
        <v/>
      </c>
      <c r="P4202" t="str">
        <f>IFERROR(__xludf.DUMMYFUNCTION("""COMPUTED_VALUE"""),"ID ")</f>
        <v>ID </v>
      </c>
    </row>
    <row r="4203">
      <c r="A4203" s="6" t="str">
        <f>IFERROR(__xludf.DUMMYFUNCTION("""COMPUTED_VALUE"""),"")</f>
        <v/>
      </c>
      <c r="C4203" t="str">
        <f>IFERROR(__xludf.DUMMYFUNCTION("""COMPUTED_VALUE"""),"")</f>
        <v/>
      </c>
      <c r="D4203" t="str">
        <f>IFERROR(__xludf.DUMMYFUNCTION("""COMPUTED_VALUE"""),"")</f>
        <v/>
      </c>
      <c r="E4203" t="str">
        <f>IFERROR(__xludf.DUMMYFUNCTION("""COMPUTED_VALUE"""),"")</f>
        <v/>
      </c>
      <c r="F4203" t="str">
        <f>IFERROR(__xludf.DUMMYFUNCTION("""COMPUTED_VALUE"""),"")</f>
        <v/>
      </c>
      <c r="G4203" t="str">
        <f>IFERROR(__xludf.DUMMYFUNCTION("""COMPUTED_VALUE"""),"")</f>
        <v/>
      </c>
      <c r="H4203" s="2" t="str">
        <f>IFERROR(__xludf.DUMMYFUNCTION("""COMPUTED_VALUE"""),"")</f>
        <v/>
      </c>
      <c r="I4203" s="2" t="str">
        <f>IFERROR(__xludf.DUMMYFUNCTION("""COMPUTED_VALUE"""),"")</f>
        <v/>
      </c>
      <c r="J4203" s="2">
        <f>IFERROR(__xludf.DUMMYFUNCTION("""COMPUTED_VALUE"""),0.0)</f>
        <v>0</v>
      </c>
      <c r="K4203" s="5" t="str">
        <f>IFERROR(__xludf.DUMMYFUNCTION("""COMPUTED_VALUE"""),"")</f>
        <v/>
      </c>
      <c r="L4203" t="str">
        <f>IFERROR(__xludf.DUMMYFUNCTION("""COMPUTED_VALUE"""),"")</f>
        <v/>
      </c>
      <c r="M4203" t="str">
        <f>IFERROR(__xludf.DUMMYFUNCTION("""COMPUTED_VALUE"""),"")</f>
        <v/>
      </c>
      <c r="N4203" t="str">
        <f>IFERROR(__xludf.DUMMYFUNCTION("""COMPUTED_VALUE"""),"")</f>
        <v/>
      </c>
      <c r="O4203" t="str">
        <f>IFERROR(__xludf.DUMMYFUNCTION("""COMPUTED_VALUE"""),"")</f>
        <v/>
      </c>
      <c r="P4203" t="str">
        <f>IFERROR(__xludf.DUMMYFUNCTION("""COMPUTED_VALUE"""),"ID ")</f>
        <v>ID </v>
      </c>
    </row>
    <row r="4204">
      <c r="A4204" s="6" t="str">
        <f>IFERROR(__xludf.DUMMYFUNCTION("""COMPUTED_VALUE"""),"")</f>
        <v/>
      </c>
      <c r="C4204" t="str">
        <f>IFERROR(__xludf.DUMMYFUNCTION("""COMPUTED_VALUE"""),"")</f>
        <v/>
      </c>
      <c r="D4204" t="str">
        <f>IFERROR(__xludf.DUMMYFUNCTION("""COMPUTED_VALUE"""),"")</f>
        <v/>
      </c>
      <c r="E4204" t="str">
        <f>IFERROR(__xludf.DUMMYFUNCTION("""COMPUTED_VALUE"""),"")</f>
        <v/>
      </c>
      <c r="F4204" t="str">
        <f>IFERROR(__xludf.DUMMYFUNCTION("""COMPUTED_VALUE"""),"")</f>
        <v/>
      </c>
      <c r="G4204" t="str">
        <f>IFERROR(__xludf.DUMMYFUNCTION("""COMPUTED_VALUE"""),"")</f>
        <v/>
      </c>
      <c r="H4204" s="2" t="str">
        <f>IFERROR(__xludf.DUMMYFUNCTION("""COMPUTED_VALUE"""),"")</f>
        <v/>
      </c>
      <c r="I4204" s="2" t="str">
        <f>IFERROR(__xludf.DUMMYFUNCTION("""COMPUTED_VALUE"""),"")</f>
        <v/>
      </c>
      <c r="J4204" s="2">
        <f>IFERROR(__xludf.DUMMYFUNCTION("""COMPUTED_VALUE"""),0.0)</f>
        <v>0</v>
      </c>
      <c r="K4204" s="5" t="str">
        <f>IFERROR(__xludf.DUMMYFUNCTION("""COMPUTED_VALUE"""),"")</f>
        <v/>
      </c>
      <c r="L4204" t="str">
        <f>IFERROR(__xludf.DUMMYFUNCTION("""COMPUTED_VALUE"""),"")</f>
        <v/>
      </c>
      <c r="M4204" t="str">
        <f>IFERROR(__xludf.DUMMYFUNCTION("""COMPUTED_VALUE"""),"")</f>
        <v/>
      </c>
      <c r="N4204" t="str">
        <f>IFERROR(__xludf.DUMMYFUNCTION("""COMPUTED_VALUE"""),"")</f>
        <v/>
      </c>
      <c r="O4204" t="str">
        <f>IFERROR(__xludf.DUMMYFUNCTION("""COMPUTED_VALUE"""),"")</f>
        <v/>
      </c>
      <c r="P4204" t="str">
        <f>IFERROR(__xludf.DUMMYFUNCTION("""COMPUTED_VALUE"""),"ID ")</f>
        <v>ID </v>
      </c>
    </row>
    <row r="4205">
      <c r="A4205" s="6" t="str">
        <f>IFERROR(__xludf.DUMMYFUNCTION("""COMPUTED_VALUE"""),"")</f>
        <v/>
      </c>
      <c r="C4205" t="str">
        <f>IFERROR(__xludf.DUMMYFUNCTION("""COMPUTED_VALUE"""),"")</f>
        <v/>
      </c>
      <c r="D4205" t="str">
        <f>IFERROR(__xludf.DUMMYFUNCTION("""COMPUTED_VALUE"""),"")</f>
        <v/>
      </c>
      <c r="E4205" t="str">
        <f>IFERROR(__xludf.DUMMYFUNCTION("""COMPUTED_VALUE"""),"")</f>
        <v/>
      </c>
      <c r="F4205" t="str">
        <f>IFERROR(__xludf.DUMMYFUNCTION("""COMPUTED_VALUE"""),"")</f>
        <v/>
      </c>
      <c r="G4205" t="str">
        <f>IFERROR(__xludf.DUMMYFUNCTION("""COMPUTED_VALUE"""),"")</f>
        <v/>
      </c>
      <c r="H4205" s="2" t="str">
        <f>IFERROR(__xludf.DUMMYFUNCTION("""COMPUTED_VALUE"""),"")</f>
        <v/>
      </c>
      <c r="I4205" s="2" t="str">
        <f>IFERROR(__xludf.DUMMYFUNCTION("""COMPUTED_VALUE"""),"")</f>
        <v/>
      </c>
      <c r="J4205" s="2">
        <f>IFERROR(__xludf.DUMMYFUNCTION("""COMPUTED_VALUE"""),0.0)</f>
        <v>0</v>
      </c>
      <c r="K4205" s="5" t="str">
        <f>IFERROR(__xludf.DUMMYFUNCTION("""COMPUTED_VALUE"""),"")</f>
        <v/>
      </c>
      <c r="L4205" t="str">
        <f>IFERROR(__xludf.DUMMYFUNCTION("""COMPUTED_VALUE"""),"")</f>
        <v/>
      </c>
      <c r="M4205" t="str">
        <f>IFERROR(__xludf.DUMMYFUNCTION("""COMPUTED_VALUE"""),"")</f>
        <v/>
      </c>
      <c r="N4205" t="str">
        <f>IFERROR(__xludf.DUMMYFUNCTION("""COMPUTED_VALUE"""),"")</f>
        <v/>
      </c>
      <c r="O4205" t="str">
        <f>IFERROR(__xludf.DUMMYFUNCTION("""COMPUTED_VALUE"""),"")</f>
        <v/>
      </c>
      <c r="P4205" t="str">
        <f>IFERROR(__xludf.DUMMYFUNCTION("""COMPUTED_VALUE"""),"ID ")</f>
        <v>ID </v>
      </c>
    </row>
    <row r="4206">
      <c r="A4206" s="6" t="str">
        <f>IFERROR(__xludf.DUMMYFUNCTION("""COMPUTED_VALUE"""),"")</f>
        <v/>
      </c>
      <c r="C4206" t="str">
        <f>IFERROR(__xludf.DUMMYFUNCTION("""COMPUTED_VALUE"""),"")</f>
        <v/>
      </c>
      <c r="D4206" t="str">
        <f>IFERROR(__xludf.DUMMYFUNCTION("""COMPUTED_VALUE"""),"")</f>
        <v/>
      </c>
      <c r="E4206" t="str">
        <f>IFERROR(__xludf.DUMMYFUNCTION("""COMPUTED_VALUE"""),"")</f>
        <v/>
      </c>
      <c r="F4206" t="str">
        <f>IFERROR(__xludf.DUMMYFUNCTION("""COMPUTED_VALUE"""),"")</f>
        <v/>
      </c>
      <c r="G4206" t="str">
        <f>IFERROR(__xludf.DUMMYFUNCTION("""COMPUTED_VALUE"""),"")</f>
        <v/>
      </c>
      <c r="H4206" s="2" t="str">
        <f>IFERROR(__xludf.DUMMYFUNCTION("""COMPUTED_VALUE"""),"")</f>
        <v/>
      </c>
      <c r="I4206" s="2" t="str">
        <f>IFERROR(__xludf.DUMMYFUNCTION("""COMPUTED_VALUE"""),"")</f>
        <v/>
      </c>
      <c r="J4206" s="2">
        <f>IFERROR(__xludf.DUMMYFUNCTION("""COMPUTED_VALUE"""),0.0)</f>
        <v>0</v>
      </c>
      <c r="K4206" s="5" t="str">
        <f>IFERROR(__xludf.DUMMYFUNCTION("""COMPUTED_VALUE"""),"")</f>
        <v/>
      </c>
      <c r="L4206" t="str">
        <f>IFERROR(__xludf.DUMMYFUNCTION("""COMPUTED_VALUE"""),"")</f>
        <v/>
      </c>
      <c r="M4206" t="str">
        <f>IFERROR(__xludf.DUMMYFUNCTION("""COMPUTED_VALUE"""),"")</f>
        <v/>
      </c>
      <c r="N4206" t="str">
        <f>IFERROR(__xludf.DUMMYFUNCTION("""COMPUTED_VALUE"""),"")</f>
        <v/>
      </c>
      <c r="O4206" t="str">
        <f>IFERROR(__xludf.DUMMYFUNCTION("""COMPUTED_VALUE"""),"")</f>
        <v/>
      </c>
      <c r="P4206" t="str">
        <f>IFERROR(__xludf.DUMMYFUNCTION("""COMPUTED_VALUE"""),"ID ")</f>
        <v>ID </v>
      </c>
    </row>
    <row r="4207">
      <c r="A4207" s="6" t="str">
        <f>IFERROR(__xludf.DUMMYFUNCTION("""COMPUTED_VALUE"""),"")</f>
        <v/>
      </c>
      <c r="C4207" t="str">
        <f>IFERROR(__xludf.DUMMYFUNCTION("""COMPUTED_VALUE"""),"")</f>
        <v/>
      </c>
      <c r="D4207" t="str">
        <f>IFERROR(__xludf.DUMMYFUNCTION("""COMPUTED_VALUE"""),"")</f>
        <v/>
      </c>
      <c r="E4207" t="str">
        <f>IFERROR(__xludf.DUMMYFUNCTION("""COMPUTED_VALUE"""),"")</f>
        <v/>
      </c>
      <c r="F4207" t="str">
        <f>IFERROR(__xludf.DUMMYFUNCTION("""COMPUTED_VALUE"""),"")</f>
        <v/>
      </c>
      <c r="G4207" t="str">
        <f>IFERROR(__xludf.DUMMYFUNCTION("""COMPUTED_VALUE"""),"")</f>
        <v/>
      </c>
      <c r="H4207" s="2" t="str">
        <f>IFERROR(__xludf.DUMMYFUNCTION("""COMPUTED_VALUE"""),"")</f>
        <v/>
      </c>
      <c r="I4207" s="2" t="str">
        <f>IFERROR(__xludf.DUMMYFUNCTION("""COMPUTED_VALUE"""),"")</f>
        <v/>
      </c>
      <c r="J4207" s="2">
        <f>IFERROR(__xludf.DUMMYFUNCTION("""COMPUTED_VALUE"""),0.0)</f>
        <v>0</v>
      </c>
      <c r="K4207" s="5" t="str">
        <f>IFERROR(__xludf.DUMMYFUNCTION("""COMPUTED_VALUE"""),"")</f>
        <v/>
      </c>
      <c r="L4207" t="str">
        <f>IFERROR(__xludf.DUMMYFUNCTION("""COMPUTED_VALUE"""),"")</f>
        <v/>
      </c>
      <c r="M4207" t="str">
        <f>IFERROR(__xludf.DUMMYFUNCTION("""COMPUTED_VALUE"""),"")</f>
        <v/>
      </c>
      <c r="N4207" t="str">
        <f>IFERROR(__xludf.DUMMYFUNCTION("""COMPUTED_VALUE"""),"")</f>
        <v/>
      </c>
      <c r="O4207" t="str">
        <f>IFERROR(__xludf.DUMMYFUNCTION("""COMPUTED_VALUE"""),"")</f>
        <v/>
      </c>
      <c r="P4207" t="str">
        <f>IFERROR(__xludf.DUMMYFUNCTION("""COMPUTED_VALUE"""),"ID ")</f>
        <v>ID </v>
      </c>
    </row>
    <row r="4208">
      <c r="A4208" s="6" t="str">
        <f>IFERROR(__xludf.DUMMYFUNCTION("""COMPUTED_VALUE"""),"")</f>
        <v/>
      </c>
      <c r="C4208" t="str">
        <f>IFERROR(__xludf.DUMMYFUNCTION("""COMPUTED_VALUE"""),"")</f>
        <v/>
      </c>
      <c r="D4208" t="str">
        <f>IFERROR(__xludf.DUMMYFUNCTION("""COMPUTED_VALUE"""),"")</f>
        <v/>
      </c>
      <c r="E4208" t="str">
        <f>IFERROR(__xludf.DUMMYFUNCTION("""COMPUTED_VALUE"""),"")</f>
        <v/>
      </c>
      <c r="F4208" t="str">
        <f>IFERROR(__xludf.DUMMYFUNCTION("""COMPUTED_VALUE"""),"")</f>
        <v/>
      </c>
      <c r="G4208" t="str">
        <f>IFERROR(__xludf.DUMMYFUNCTION("""COMPUTED_VALUE"""),"")</f>
        <v/>
      </c>
      <c r="H4208" s="2" t="str">
        <f>IFERROR(__xludf.DUMMYFUNCTION("""COMPUTED_VALUE"""),"")</f>
        <v/>
      </c>
      <c r="I4208" s="2" t="str">
        <f>IFERROR(__xludf.DUMMYFUNCTION("""COMPUTED_VALUE"""),"")</f>
        <v/>
      </c>
      <c r="J4208" s="2">
        <f>IFERROR(__xludf.DUMMYFUNCTION("""COMPUTED_VALUE"""),0.0)</f>
        <v>0</v>
      </c>
      <c r="K4208" s="5" t="str">
        <f>IFERROR(__xludf.DUMMYFUNCTION("""COMPUTED_VALUE"""),"")</f>
        <v/>
      </c>
      <c r="L4208" t="str">
        <f>IFERROR(__xludf.DUMMYFUNCTION("""COMPUTED_VALUE"""),"")</f>
        <v/>
      </c>
      <c r="M4208" t="str">
        <f>IFERROR(__xludf.DUMMYFUNCTION("""COMPUTED_VALUE"""),"")</f>
        <v/>
      </c>
      <c r="N4208" t="str">
        <f>IFERROR(__xludf.DUMMYFUNCTION("""COMPUTED_VALUE"""),"")</f>
        <v/>
      </c>
      <c r="O4208" t="str">
        <f>IFERROR(__xludf.DUMMYFUNCTION("""COMPUTED_VALUE"""),"")</f>
        <v/>
      </c>
      <c r="P4208" t="str">
        <f>IFERROR(__xludf.DUMMYFUNCTION("""COMPUTED_VALUE"""),"ID ")</f>
        <v>ID </v>
      </c>
    </row>
    <row r="4209">
      <c r="A4209" s="6" t="str">
        <f>IFERROR(__xludf.DUMMYFUNCTION("""COMPUTED_VALUE"""),"")</f>
        <v/>
      </c>
      <c r="C4209" t="str">
        <f>IFERROR(__xludf.DUMMYFUNCTION("""COMPUTED_VALUE"""),"")</f>
        <v/>
      </c>
      <c r="D4209" t="str">
        <f>IFERROR(__xludf.DUMMYFUNCTION("""COMPUTED_VALUE"""),"")</f>
        <v/>
      </c>
      <c r="E4209" t="str">
        <f>IFERROR(__xludf.DUMMYFUNCTION("""COMPUTED_VALUE"""),"")</f>
        <v/>
      </c>
      <c r="F4209" t="str">
        <f>IFERROR(__xludf.DUMMYFUNCTION("""COMPUTED_VALUE"""),"")</f>
        <v/>
      </c>
      <c r="G4209" t="str">
        <f>IFERROR(__xludf.DUMMYFUNCTION("""COMPUTED_VALUE"""),"")</f>
        <v/>
      </c>
      <c r="H4209" s="2" t="str">
        <f>IFERROR(__xludf.DUMMYFUNCTION("""COMPUTED_VALUE"""),"")</f>
        <v/>
      </c>
      <c r="I4209" s="2" t="str">
        <f>IFERROR(__xludf.DUMMYFUNCTION("""COMPUTED_VALUE"""),"")</f>
        <v/>
      </c>
      <c r="J4209" s="2">
        <f>IFERROR(__xludf.DUMMYFUNCTION("""COMPUTED_VALUE"""),0.0)</f>
        <v>0</v>
      </c>
      <c r="K4209" s="5" t="str">
        <f>IFERROR(__xludf.DUMMYFUNCTION("""COMPUTED_VALUE"""),"")</f>
        <v/>
      </c>
      <c r="L4209" t="str">
        <f>IFERROR(__xludf.DUMMYFUNCTION("""COMPUTED_VALUE"""),"")</f>
        <v/>
      </c>
      <c r="M4209" t="str">
        <f>IFERROR(__xludf.DUMMYFUNCTION("""COMPUTED_VALUE"""),"")</f>
        <v/>
      </c>
      <c r="N4209" t="str">
        <f>IFERROR(__xludf.DUMMYFUNCTION("""COMPUTED_VALUE"""),"")</f>
        <v/>
      </c>
      <c r="O4209" t="str">
        <f>IFERROR(__xludf.DUMMYFUNCTION("""COMPUTED_VALUE"""),"")</f>
        <v/>
      </c>
      <c r="P4209" t="str">
        <f>IFERROR(__xludf.DUMMYFUNCTION("""COMPUTED_VALUE"""),"ID ")</f>
        <v>ID </v>
      </c>
    </row>
    <row r="4210">
      <c r="A4210" s="6" t="str">
        <f>IFERROR(__xludf.DUMMYFUNCTION("""COMPUTED_VALUE"""),"")</f>
        <v/>
      </c>
      <c r="C4210" t="str">
        <f>IFERROR(__xludf.DUMMYFUNCTION("""COMPUTED_VALUE"""),"")</f>
        <v/>
      </c>
      <c r="D4210" t="str">
        <f>IFERROR(__xludf.DUMMYFUNCTION("""COMPUTED_VALUE"""),"")</f>
        <v/>
      </c>
      <c r="E4210" t="str">
        <f>IFERROR(__xludf.DUMMYFUNCTION("""COMPUTED_VALUE"""),"")</f>
        <v/>
      </c>
      <c r="F4210" t="str">
        <f>IFERROR(__xludf.DUMMYFUNCTION("""COMPUTED_VALUE"""),"")</f>
        <v/>
      </c>
      <c r="G4210" t="str">
        <f>IFERROR(__xludf.DUMMYFUNCTION("""COMPUTED_VALUE"""),"")</f>
        <v/>
      </c>
      <c r="H4210" s="2" t="str">
        <f>IFERROR(__xludf.DUMMYFUNCTION("""COMPUTED_VALUE"""),"")</f>
        <v/>
      </c>
      <c r="I4210" s="2" t="str">
        <f>IFERROR(__xludf.DUMMYFUNCTION("""COMPUTED_VALUE"""),"")</f>
        <v/>
      </c>
      <c r="J4210" s="2">
        <f>IFERROR(__xludf.DUMMYFUNCTION("""COMPUTED_VALUE"""),0.0)</f>
        <v>0</v>
      </c>
      <c r="K4210" s="5" t="str">
        <f>IFERROR(__xludf.DUMMYFUNCTION("""COMPUTED_VALUE"""),"")</f>
        <v/>
      </c>
      <c r="L4210" t="str">
        <f>IFERROR(__xludf.DUMMYFUNCTION("""COMPUTED_VALUE"""),"")</f>
        <v/>
      </c>
      <c r="M4210" t="str">
        <f>IFERROR(__xludf.DUMMYFUNCTION("""COMPUTED_VALUE"""),"")</f>
        <v/>
      </c>
      <c r="N4210" t="str">
        <f>IFERROR(__xludf.DUMMYFUNCTION("""COMPUTED_VALUE"""),"")</f>
        <v/>
      </c>
      <c r="O4210" t="str">
        <f>IFERROR(__xludf.DUMMYFUNCTION("""COMPUTED_VALUE"""),"")</f>
        <v/>
      </c>
      <c r="P4210" t="str">
        <f>IFERROR(__xludf.DUMMYFUNCTION("""COMPUTED_VALUE"""),"ID ")</f>
        <v>ID </v>
      </c>
    </row>
    <row r="4211">
      <c r="A4211" s="6" t="str">
        <f>IFERROR(__xludf.DUMMYFUNCTION("""COMPUTED_VALUE"""),"")</f>
        <v/>
      </c>
      <c r="C4211" t="str">
        <f>IFERROR(__xludf.DUMMYFUNCTION("""COMPUTED_VALUE"""),"")</f>
        <v/>
      </c>
      <c r="D4211" t="str">
        <f>IFERROR(__xludf.DUMMYFUNCTION("""COMPUTED_VALUE"""),"")</f>
        <v/>
      </c>
      <c r="E4211" t="str">
        <f>IFERROR(__xludf.DUMMYFUNCTION("""COMPUTED_VALUE"""),"")</f>
        <v/>
      </c>
      <c r="F4211" t="str">
        <f>IFERROR(__xludf.DUMMYFUNCTION("""COMPUTED_VALUE"""),"")</f>
        <v/>
      </c>
      <c r="G4211" t="str">
        <f>IFERROR(__xludf.DUMMYFUNCTION("""COMPUTED_VALUE"""),"")</f>
        <v/>
      </c>
      <c r="H4211" s="2" t="str">
        <f>IFERROR(__xludf.DUMMYFUNCTION("""COMPUTED_VALUE"""),"")</f>
        <v/>
      </c>
      <c r="I4211" s="2" t="str">
        <f>IFERROR(__xludf.DUMMYFUNCTION("""COMPUTED_VALUE"""),"")</f>
        <v/>
      </c>
      <c r="J4211" s="2">
        <f>IFERROR(__xludf.DUMMYFUNCTION("""COMPUTED_VALUE"""),0.0)</f>
        <v>0</v>
      </c>
      <c r="K4211" s="5" t="str">
        <f>IFERROR(__xludf.DUMMYFUNCTION("""COMPUTED_VALUE"""),"")</f>
        <v/>
      </c>
      <c r="L4211" t="str">
        <f>IFERROR(__xludf.DUMMYFUNCTION("""COMPUTED_VALUE"""),"")</f>
        <v/>
      </c>
      <c r="M4211" t="str">
        <f>IFERROR(__xludf.DUMMYFUNCTION("""COMPUTED_VALUE"""),"")</f>
        <v/>
      </c>
      <c r="N4211" t="str">
        <f>IFERROR(__xludf.DUMMYFUNCTION("""COMPUTED_VALUE"""),"")</f>
        <v/>
      </c>
      <c r="O4211" t="str">
        <f>IFERROR(__xludf.DUMMYFUNCTION("""COMPUTED_VALUE"""),"")</f>
        <v/>
      </c>
      <c r="P4211" t="str">
        <f>IFERROR(__xludf.DUMMYFUNCTION("""COMPUTED_VALUE"""),"ID ")</f>
        <v>ID </v>
      </c>
    </row>
    <row r="4212">
      <c r="A4212" s="6" t="str">
        <f>IFERROR(__xludf.DUMMYFUNCTION("""COMPUTED_VALUE"""),"")</f>
        <v/>
      </c>
      <c r="C4212" t="str">
        <f>IFERROR(__xludf.DUMMYFUNCTION("""COMPUTED_VALUE"""),"")</f>
        <v/>
      </c>
      <c r="D4212" t="str">
        <f>IFERROR(__xludf.DUMMYFUNCTION("""COMPUTED_VALUE"""),"")</f>
        <v/>
      </c>
      <c r="E4212" t="str">
        <f>IFERROR(__xludf.DUMMYFUNCTION("""COMPUTED_VALUE"""),"")</f>
        <v/>
      </c>
      <c r="F4212" t="str">
        <f>IFERROR(__xludf.DUMMYFUNCTION("""COMPUTED_VALUE"""),"")</f>
        <v/>
      </c>
      <c r="G4212" t="str">
        <f>IFERROR(__xludf.DUMMYFUNCTION("""COMPUTED_VALUE"""),"")</f>
        <v/>
      </c>
      <c r="H4212" s="2" t="str">
        <f>IFERROR(__xludf.DUMMYFUNCTION("""COMPUTED_VALUE"""),"")</f>
        <v/>
      </c>
      <c r="I4212" s="2" t="str">
        <f>IFERROR(__xludf.DUMMYFUNCTION("""COMPUTED_VALUE"""),"")</f>
        <v/>
      </c>
      <c r="J4212" s="2">
        <f>IFERROR(__xludf.DUMMYFUNCTION("""COMPUTED_VALUE"""),0.0)</f>
        <v>0</v>
      </c>
      <c r="K4212" s="5" t="str">
        <f>IFERROR(__xludf.DUMMYFUNCTION("""COMPUTED_VALUE"""),"")</f>
        <v/>
      </c>
      <c r="L4212" t="str">
        <f>IFERROR(__xludf.DUMMYFUNCTION("""COMPUTED_VALUE"""),"")</f>
        <v/>
      </c>
      <c r="M4212" t="str">
        <f>IFERROR(__xludf.DUMMYFUNCTION("""COMPUTED_VALUE"""),"")</f>
        <v/>
      </c>
      <c r="N4212" t="str">
        <f>IFERROR(__xludf.DUMMYFUNCTION("""COMPUTED_VALUE"""),"")</f>
        <v/>
      </c>
      <c r="O4212" t="str">
        <f>IFERROR(__xludf.DUMMYFUNCTION("""COMPUTED_VALUE"""),"")</f>
        <v/>
      </c>
      <c r="P4212" t="str">
        <f>IFERROR(__xludf.DUMMYFUNCTION("""COMPUTED_VALUE"""),"ID ")</f>
        <v>ID </v>
      </c>
    </row>
    <row r="4213">
      <c r="A4213" s="6" t="str">
        <f>IFERROR(__xludf.DUMMYFUNCTION("""COMPUTED_VALUE"""),"")</f>
        <v/>
      </c>
      <c r="C4213" t="str">
        <f>IFERROR(__xludf.DUMMYFUNCTION("""COMPUTED_VALUE"""),"")</f>
        <v/>
      </c>
      <c r="D4213" t="str">
        <f>IFERROR(__xludf.DUMMYFUNCTION("""COMPUTED_VALUE"""),"")</f>
        <v/>
      </c>
      <c r="E4213" t="str">
        <f>IFERROR(__xludf.DUMMYFUNCTION("""COMPUTED_VALUE"""),"")</f>
        <v/>
      </c>
      <c r="F4213" t="str">
        <f>IFERROR(__xludf.DUMMYFUNCTION("""COMPUTED_VALUE"""),"")</f>
        <v/>
      </c>
      <c r="G4213" t="str">
        <f>IFERROR(__xludf.DUMMYFUNCTION("""COMPUTED_VALUE"""),"")</f>
        <v/>
      </c>
      <c r="H4213" s="2" t="str">
        <f>IFERROR(__xludf.DUMMYFUNCTION("""COMPUTED_VALUE"""),"")</f>
        <v/>
      </c>
      <c r="I4213" s="2" t="str">
        <f>IFERROR(__xludf.DUMMYFUNCTION("""COMPUTED_VALUE"""),"")</f>
        <v/>
      </c>
      <c r="J4213" s="2">
        <f>IFERROR(__xludf.DUMMYFUNCTION("""COMPUTED_VALUE"""),0.0)</f>
        <v>0</v>
      </c>
      <c r="K4213" s="5" t="str">
        <f>IFERROR(__xludf.DUMMYFUNCTION("""COMPUTED_VALUE"""),"")</f>
        <v/>
      </c>
      <c r="L4213" t="str">
        <f>IFERROR(__xludf.DUMMYFUNCTION("""COMPUTED_VALUE"""),"")</f>
        <v/>
      </c>
      <c r="M4213" t="str">
        <f>IFERROR(__xludf.DUMMYFUNCTION("""COMPUTED_VALUE"""),"")</f>
        <v/>
      </c>
      <c r="N4213" t="str">
        <f>IFERROR(__xludf.DUMMYFUNCTION("""COMPUTED_VALUE"""),"")</f>
        <v/>
      </c>
      <c r="O4213" t="str">
        <f>IFERROR(__xludf.DUMMYFUNCTION("""COMPUTED_VALUE"""),"")</f>
        <v/>
      </c>
      <c r="P4213" t="str">
        <f>IFERROR(__xludf.DUMMYFUNCTION("""COMPUTED_VALUE"""),"ID ")</f>
        <v>ID </v>
      </c>
    </row>
    <row r="4214">
      <c r="A4214" s="6" t="str">
        <f>IFERROR(__xludf.DUMMYFUNCTION("""COMPUTED_VALUE"""),"")</f>
        <v/>
      </c>
      <c r="C4214" t="str">
        <f>IFERROR(__xludf.DUMMYFUNCTION("""COMPUTED_VALUE"""),"")</f>
        <v/>
      </c>
      <c r="D4214" t="str">
        <f>IFERROR(__xludf.DUMMYFUNCTION("""COMPUTED_VALUE"""),"")</f>
        <v/>
      </c>
      <c r="E4214" t="str">
        <f>IFERROR(__xludf.DUMMYFUNCTION("""COMPUTED_VALUE"""),"")</f>
        <v/>
      </c>
      <c r="F4214" t="str">
        <f>IFERROR(__xludf.DUMMYFUNCTION("""COMPUTED_VALUE"""),"")</f>
        <v/>
      </c>
      <c r="G4214" t="str">
        <f>IFERROR(__xludf.DUMMYFUNCTION("""COMPUTED_VALUE"""),"")</f>
        <v/>
      </c>
      <c r="H4214" s="2" t="str">
        <f>IFERROR(__xludf.DUMMYFUNCTION("""COMPUTED_VALUE"""),"")</f>
        <v/>
      </c>
      <c r="I4214" s="2" t="str">
        <f>IFERROR(__xludf.DUMMYFUNCTION("""COMPUTED_VALUE"""),"")</f>
        <v/>
      </c>
      <c r="J4214" s="2">
        <f>IFERROR(__xludf.DUMMYFUNCTION("""COMPUTED_VALUE"""),0.0)</f>
        <v>0</v>
      </c>
      <c r="K4214" s="5" t="str">
        <f>IFERROR(__xludf.DUMMYFUNCTION("""COMPUTED_VALUE"""),"")</f>
        <v/>
      </c>
      <c r="L4214" t="str">
        <f>IFERROR(__xludf.DUMMYFUNCTION("""COMPUTED_VALUE"""),"")</f>
        <v/>
      </c>
      <c r="M4214" t="str">
        <f>IFERROR(__xludf.DUMMYFUNCTION("""COMPUTED_VALUE"""),"")</f>
        <v/>
      </c>
      <c r="N4214" t="str">
        <f>IFERROR(__xludf.DUMMYFUNCTION("""COMPUTED_VALUE"""),"")</f>
        <v/>
      </c>
      <c r="O4214" t="str">
        <f>IFERROR(__xludf.DUMMYFUNCTION("""COMPUTED_VALUE"""),"")</f>
        <v/>
      </c>
      <c r="P4214" t="str">
        <f>IFERROR(__xludf.DUMMYFUNCTION("""COMPUTED_VALUE"""),"ID ")</f>
        <v>ID </v>
      </c>
    </row>
    <row r="4215">
      <c r="A4215" s="6" t="str">
        <f>IFERROR(__xludf.DUMMYFUNCTION("""COMPUTED_VALUE"""),"")</f>
        <v/>
      </c>
      <c r="C4215" t="str">
        <f>IFERROR(__xludf.DUMMYFUNCTION("""COMPUTED_VALUE"""),"")</f>
        <v/>
      </c>
      <c r="D4215" t="str">
        <f>IFERROR(__xludf.DUMMYFUNCTION("""COMPUTED_VALUE"""),"")</f>
        <v/>
      </c>
      <c r="E4215" t="str">
        <f>IFERROR(__xludf.DUMMYFUNCTION("""COMPUTED_VALUE"""),"")</f>
        <v/>
      </c>
      <c r="F4215" t="str">
        <f>IFERROR(__xludf.DUMMYFUNCTION("""COMPUTED_VALUE"""),"")</f>
        <v/>
      </c>
      <c r="G4215" t="str">
        <f>IFERROR(__xludf.DUMMYFUNCTION("""COMPUTED_VALUE"""),"")</f>
        <v/>
      </c>
      <c r="H4215" s="2" t="str">
        <f>IFERROR(__xludf.DUMMYFUNCTION("""COMPUTED_VALUE"""),"")</f>
        <v/>
      </c>
      <c r="I4215" s="2" t="str">
        <f>IFERROR(__xludf.DUMMYFUNCTION("""COMPUTED_VALUE"""),"")</f>
        <v/>
      </c>
      <c r="J4215" s="2">
        <f>IFERROR(__xludf.DUMMYFUNCTION("""COMPUTED_VALUE"""),0.0)</f>
        <v>0</v>
      </c>
      <c r="K4215" s="5" t="str">
        <f>IFERROR(__xludf.DUMMYFUNCTION("""COMPUTED_VALUE"""),"")</f>
        <v/>
      </c>
      <c r="L4215" t="str">
        <f>IFERROR(__xludf.DUMMYFUNCTION("""COMPUTED_VALUE"""),"")</f>
        <v/>
      </c>
      <c r="M4215" t="str">
        <f>IFERROR(__xludf.DUMMYFUNCTION("""COMPUTED_VALUE"""),"")</f>
        <v/>
      </c>
      <c r="N4215" t="str">
        <f>IFERROR(__xludf.DUMMYFUNCTION("""COMPUTED_VALUE"""),"")</f>
        <v/>
      </c>
      <c r="O4215" t="str">
        <f>IFERROR(__xludf.DUMMYFUNCTION("""COMPUTED_VALUE"""),"")</f>
        <v/>
      </c>
      <c r="P4215" t="str">
        <f>IFERROR(__xludf.DUMMYFUNCTION("""COMPUTED_VALUE"""),"ID ")</f>
        <v>ID </v>
      </c>
    </row>
    <row r="4216">
      <c r="A4216" s="6" t="str">
        <f>IFERROR(__xludf.DUMMYFUNCTION("""COMPUTED_VALUE"""),"")</f>
        <v/>
      </c>
      <c r="C4216" t="str">
        <f>IFERROR(__xludf.DUMMYFUNCTION("""COMPUTED_VALUE"""),"")</f>
        <v/>
      </c>
      <c r="D4216" t="str">
        <f>IFERROR(__xludf.DUMMYFUNCTION("""COMPUTED_VALUE"""),"")</f>
        <v/>
      </c>
      <c r="E4216" t="str">
        <f>IFERROR(__xludf.DUMMYFUNCTION("""COMPUTED_VALUE"""),"")</f>
        <v/>
      </c>
      <c r="F4216" t="str">
        <f>IFERROR(__xludf.DUMMYFUNCTION("""COMPUTED_VALUE"""),"")</f>
        <v/>
      </c>
      <c r="G4216" t="str">
        <f>IFERROR(__xludf.DUMMYFUNCTION("""COMPUTED_VALUE"""),"")</f>
        <v/>
      </c>
      <c r="H4216" s="2" t="str">
        <f>IFERROR(__xludf.DUMMYFUNCTION("""COMPUTED_VALUE"""),"")</f>
        <v/>
      </c>
      <c r="I4216" s="2" t="str">
        <f>IFERROR(__xludf.DUMMYFUNCTION("""COMPUTED_VALUE"""),"")</f>
        <v/>
      </c>
      <c r="J4216" s="2">
        <f>IFERROR(__xludf.DUMMYFUNCTION("""COMPUTED_VALUE"""),0.0)</f>
        <v>0</v>
      </c>
      <c r="K4216" s="5" t="str">
        <f>IFERROR(__xludf.DUMMYFUNCTION("""COMPUTED_VALUE"""),"")</f>
        <v/>
      </c>
      <c r="L4216" t="str">
        <f>IFERROR(__xludf.DUMMYFUNCTION("""COMPUTED_VALUE"""),"")</f>
        <v/>
      </c>
      <c r="M4216" t="str">
        <f>IFERROR(__xludf.DUMMYFUNCTION("""COMPUTED_VALUE"""),"")</f>
        <v/>
      </c>
      <c r="N4216" t="str">
        <f>IFERROR(__xludf.DUMMYFUNCTION("""COMPUTED_VALUE"""),"")</f>
        <v/>
      </c>
      <c r="O4216" t="str">
        <f>IFERROR(__xludf.DUMMYFUNCTION("""COMPUTED_VALUE"""),"")</f>
        <v/>
      </c>
      <c r="P4216" t="str">
        <f>IFERROR(__xludf.DUMMYFUNCTION("""COMPUTED_VALUE"""),"ID ")</f>
        <v>ID </v>
      </c>
    </row>
    <row r="4217">
      <c r="A4217" s="6" t="str">
        <f>IFERROR(__xludf.DUMMYFUNCTION("""COMPUTED_VALUE"""),"")</f>
        <v/>
      </c>
      <c r="C4217" t="str">
        <f>IFERROR(__xludf.DUMMYFUNCTION("""COMPUTED_VALUE"""),"")</f>
        <v/>
      </c>
      <c r="D4217" t="str">
        <f>IFERROR(__xludf.DUMMYFUNCTION("""COMPUTED_VALUE"""),"")</f>
        <v/>
      </c>
      <c r="E4217" t="str">
        <f>IFERROR(__xludf.DUMMYFUNCTION("""COMPUTED_VALUE"""),"")</f>
        <v/>
      </c>
      <c r="F4217" t="str">
        <f>IFERROR(__xludf.DUMMYFUNCTION("""COMPUTED_VALUE"""),"")</f>
        <v/>
      </c>
      <c r="G4217" t="str">
        <f>IFERROR(__xludf.DUMMYFUNCTION("""COMPUTED_VALUE"""),"")</f>
        <v/>
      </c>
      <c r="H4217" s="2" t="str">
        <f>IFERROR(__xludf.DUMMYFUNCTION("""COMPUTED_VALUE"""),"")</f>
        <v/>
      </c>
      <c r="I4217" s="2" t="str">
        <f>IFERROR(__xludf.DUMMYFUNCTION("""COMPUTED_VALUE"""),"")</f>
        <v/>
      </c>
      <c r="J4217" s="2">
        <f>IFERROR(__xludf.DUMMYFUNCTION("""COMPUTED_VALUE"""),0.0)</f>
        <v>0</v>
      </c>
      <c r="K4217" s="5" t="str">
        <f>IFERROR(__xludf.DUMMYFUNCTION("""COMPUTED_VALUE"""),"")</f>
        <v/>
      </c>
      <c r="L4217" t="str">
        <f>IFERROR(__xludf.DUMMYFUNCTION("""COMPUTED_VALUE"""),"")</f>
        <v/>
      </c>
      <c r="M4217" t="str">
        <f>IFERROR(__xludf.DUMMYFUNCTION("""COMPUTED_VALUE"""),"")</f>
        <v/>
      </c>
      <c r="N4217" t="str">
        <f>IFERROR(__xludf.DUMMYFUNCTION("""COMPUTED_VALUE"""),"")</f>
        <v/>
      </c>
      <c r="O4217" t="str">
        <f>IFERROR(__xludf.DUMMYFUNCTION("""COMPUTED_VALUE"""),"")</f>
        <v/>
      </c>
      <c r="P4217" t="str">
        <f>IFERROR(__xludf.DUMMYFUNCTION("""COMPUTED_VALUE"""),"ID ")</f>
        <v>ID </v>
      </c>
    </row>
    <row r="4218">
      <c r="A4218" s="6" t="str">
        <f>IFERROR(__xludf.DUMMYFUNCTION("""COMPUTED_VALUE"""),"")</f>
        <v/>
      </c>
      <c r="C4218" t="str">
        <f>IFERROR(__xludf.DUMMYFUNCTION("""COMPUTED_VALUE"""),"")</f>
        <v/>
      </c>
      <c r="D4218" t="str">
        <f>IFERROR(__xludf.DUMMYFUNCTION("""COMPUTED_VALUE"""),"")</f>
        <v/>
      </c>
      <c r="E4218" t="str">
        <f>IFERROR(__xludf.DUMMYFUNCTION("""COMPUTED_VALUE"""),"")</f>
        <v/>
      </c>
      <c r="F4218" t="str">
        <f>IFERROR(__xludf.DUMMYFUNCTION("""COMPUTED_VALUE"""),"")</f>
        <v/>
      </c>
      <c r="G4218" t="str">
        <f>IFERROR(__xludf.DUMMYFUNCTION("""COMPUTED_VALUE"""),"")</f>
        <v/>
      </c>
      <c r="H4218" s="2" t="str">
        <f>IFERROR(__xludf.DUMMYFUNCTION("""COMPUTED_VALUE"""),"")</f>
        <v/>
      </c>
      <c r="I4218" s="2" t="str">
        <f>IFERROR(__xludf.DUMMYFUNCTION("""COMPUTED_VALUE"""),"")</f>
        <v/>
      </c>
      <c r="J4218" s="2">
        <f>IFERROR(__xludf.DUMMYFUNCTION("""COMPUTED_VALUE"""),0.0)</f>
        <v>0</v>
      </c>
      <c r="K4218" s="5" t="str">
        <f>IFERROR(__xludf.DUMMYFUNCTION("""COMPUTED_VALUE"""),"")</f>
        <v/>
      </c>
      <c r="L4218" t="str">
        <f>IFERROR(__xludf.DUMMYFUNCTION("""COMPUTED_VALUE"""),"")</f>
        <v/>
      </c>
      <c r="M4218" t="str">
        <f>IFERROR(__xludf.DUMMYFUNCTION("""COMPUTED_VALUE"""),"")</f>
        <v/>
      </c>
      <c r="N4218" t="str">
        <f>IFERROR(__xludf.DUMMYFUNCTION("""COMPUTED_VALUE"""),"")</f>
        <v/>
      </c>
      <c r="O4218" t="str">
        <f>IFERROR(__xludf.DUMMYFUNCTION("""COMPUTED_VALUE"""),"")</f>
        <v/>
      </c>
      <c r="P4218" t="str">
        <f>IFERROR(__xludf.DUMMYFUNCTION("""COMPUTED_VALUE"""),"ID ")</f>
        <v>ID </v>
      </c>
    </row>
    <row r="4219">
      <c r="A4219" s="6" t="str">
        <f>IFERROR(__xludf.DUMMYFUNCTION("""COMPUTED_VALUE"""),"")</f>
        <v/>
      </c>
      <c r="C4219" t="str">
        <f>IFERROR(__xludf.DUMMYFUNCTION("""COMPUTED_VALUE"""),"")</f>
        <v/>
      </c>
      <c r="D4219" t="str">
        <f>IFERROR(__xludf.DUMMYFUNCTION("""COMPUTED_VALUE"""),"")</f>
        <v/>
      </c>
      <c r="E4219" t="str">
        <f>IFERROR(__xludf.DUMMYFUNCTION("""COMPUTED_VALUE"""),"")</f>
        <v/>
      </c>
      <c r="F4219" t="str">
        <f>IFERROR(__xludf.DUMMYFUNCTION("""COMPUTED_VALUE"""),"")</f>
        <v/>
      </c>
      <c r="G4219" t="str">
        <f>IFERROR(__xludf.DUMMYFUNCTION("""COMPUTED_VALUE"""),"")</f>
        <v/>
      </c>
      <c r="H4219" s="2" t="str">
        <f>IFERROR(__xludf.DUMMYFUNCTION("""COMPUTED_VALUE"""),"")</f>
        <v/>
      </c>
      <c r="I4219" s="2" t="str">
        <f>IFERROR(__xludf.DUMMYFUNCTION("""COMPUTED_VALUE"""),"")</f>
        <v/>
      </c>
      <c r="J4219" s="2">
        <f>IFERROR(__xludf.DUMMYFUNCTION("""COMPUTED_VALUE"""),0.0)</f>
        <v>0</v>
      </c>
      <c r="K4219" s="5" t="str">
        <f>IFERROR(__xludf.DUMMYFUNCTION("""COMPUTED_VALUE"""),"")</f>
        <v/>
      </c>
      <c r="L4219" t="str">
        <f>IFERROR(__xludf.DUMMYFUNCTION("""COMPUTED_VALUE"""),"")</f>
        <v/>
      </c>
      <c r="M4219" t="str">
        <f>IFERROR(__xludf.DUMMYFUNCTION("""COMPUTED_VALUE"""),"")</f>
        <v/>
      </c>
      <c r="N4219" t="str">
        <f>IFERROR(__xludf.DUMMYFUNCTION("""COMPUTED_VALUE"""),"")</f>
        <v/>
      </c>
      <c r="O4219" t="str">
        <f>IFERROR(__xludf.DUMMYFUNCTION("""COMPUTED_VALUE"""),"")</f>
        <v/>
      </c>
      <c r="P4219" t="str">
        <f>IFERROR(__xludf.DUMMYFUNCTION("""COMPUTED_VALUE"""),"ID ")</f>
        <v>ID </v>
      </c>
    </row>
    <row r="4220">
      <c r="A4220" s="6" t="str">
        <f>IFERROR(__xludf.DUMMYFUNCTION("""COMPUTED_VALUE"""),"")</f>
        <v/>
      </c>
      <c r="C4220" t="str">
        <f>IFERROR(__xludf.DUMMYFUNCTION("""COMPUTED_VALUE"""),"")</f>
        <v/>
      </c>
      <c r="D4220" t="str">
        <f>IFERROR(__xludf.DUMMYFUNCTION("""COMPUTED_VALUE"""),"")</f>
        <v/>
      </c>
      <c r="E4220" t="str">
        <f>IFERROR(__xludf.DUMMYFUNCTION("""COMPUTED_VALUE"""),"")</f>
        <v/>
      </c>
      <c r="F4220" t="str">
        <f>IFERROR(__xludf.DUMMYFUNCTION("""COMPUTED_VALUE"""),"")</f>
        <v/>
      </c>
      <c r="G4220" t="str">
        <f>IFERROR(__xludf.DUMMYFUNCTION("""COMPUTED_VALUE"""),"")</f>
        <v/>
      </c>
      <c r="H4220" s="2" t="str">
        <f>IFERROR(__xludf.DUMMYFUNCTION("""COMPUTED_VALUE"""),"")</f>
        <v/>
      </c>
      <c r="I4220" s="2" t="str">
        <f>IFERROR(__xludf.DUMMYFUNCTION("""COMPUTED_VALUE"""),"")</f>
        <v/>
      </c>
      <c r="J4220" s="2">
        <f>IFERROR(__xludf.DUMMYFUNCTION("""COMPUTED_VALUE"""),0.0)</f>
        <v>0</v>
      </c>
      <c r="K4220" s="5" t="str">
        <f>IFERROR(__xludf.DUMMYFUNCTION("""COMPUTED_VALUE"""),"")</f>
        <v/>
      </c>
      <c r="L4220" t="str">
        <f>IFERROR(__xludf.DUMMYFUNCTION("""COMPUTED_VALUE"""),"")</f>
        <v/>
      </c>
      <c r="M4220" t="str">
        <f>IFERROR(__xludf.DUMMYFUNCTION("""COMPUTED_VALUE"""),"")</f>
        <v/>
      </c>
      <c r="N4220" t="str">
        <f>IFERROR(__xludf.DUMMYFUNCTION("""COMPUTED_VALUE"""),"")</f>
        <v/>
      </c>
      <c r="O4220" t="str">
        <f>IFERROR(__xludf.DUMMYFUNCTION("""COMPUTED_VALUE"""),"")</f>
        <v/>
      </c>
      <c r="P4220" t="str">
        <f>IFERROR(__xludf.DUMMYFUNCTION("""COMPUTED_VALUE"""),"ID ")</f>
        <v>ID </v>
      </c>
    </row>
    <row r="4221">
      <c r="A4221" s="6" t="str">
        <f>IFERROR(__xludf.DUMMYFUNCTION("""COMPUTED_VALUE"""),"")</f>
        <v/>
      </c>
      <c r="C4221" t="str">
        <f>IFERROR(__xludf.DUMMYFUNCTION("""COMPUTED_VALUE"""),"")</f>
        <v/>
      </c>
      <c r="D4221" t="str">
        <f>IFERROR(__xludf.DUMMYFUNCTION("""COMPUTED_VALUE"""),"")</f>
        <v/>
      </c>
      <c r="E4221" t="str">
        <f>IFERROR(__xludf.DUMMYFUNCTION("""COMPUTED_VALUE"""),"")</f>
        <v/>
      </c>
      <c r="F4221" t="str">
        <f>IFERROR(__xludf.DUMMYFUNCTION("""COMPUTED_VALUE"""),"")</f>
        <v/>
      </c>
      <c r="G4221" t="str">
        <f>IFERROR(__xludf.DUMMYFUNCTION("""COMPUTED_VALUE"""),"")</f>
        <v/>
      </c>
      <c r="H4221" s="2" t="str">
        <f>IFERROR(__xludf.DUMMYFUNCTION("""COMPUTED_VALUE"""),"")</f>
        <v/>
      </c>
      <c r="I4221" s="2" t="str">
        <f>IFERROR(__xludf.DUMMYFUNCTION("""COMPUTED_VALUE"""),"")</f>
        <v/>
      </c>
      <c r="J4221" s="2">
        <f>IFERROR(__xludf.DUMMYFUNCTION("""COMPUTED_VALUE"""),0.0)</f>
        <v>0</v>
      </c>
      <c r="K4221" s="5" t="str">
        <f>IFERROR(__xludf.DUMMYFUNCTION("""COMPUTED_VALUE"""),"")</f>
        <v/>
      </c>
      <c r="L4221" t="str">
        <f>IFERROR(__xludf.DUMMYFUNCTION("""COMPUTED_VALUE"""),"")</f>
        <v/>
      </c>
      <c r="M4221" t="str">
        <f>IFERROR(__xludf.DUMMYFUNCTION("""COMPUTED_VALUE"""),"")</f>
        <v/>
      </c>
      <c r="N4221" t="str">
        <f>IFERROR(__xludf.DUMMYFUNCTION("""COMPUTED_VALUE"""),"")</f>
        <v/>
      </c>
      <c r="O4221" t="str">
        <f>IFERROR(__xludf.DUMMYFUNCTION("""COMPUTED_VALUE"""),"")</f>
        <v/>
      </c>
      <c r="P4221" t="str">
        <f>IFERROR(__xludf.DUMMYFUNCTION("""COMPUTED_VALUE"""),"ID ")</f>
        <v>ID </v>
      </c>
    </row>
    <row r="4222">
      <c r="A4222" s="6" t="str">
        <f>IFERROR(__xludf.DUMMYFUNCTION("""COMPUTED_VALUE"""),"")</f>
        <v/>
      </c>
      <c r="C4222" t="str">
        <f>IFERROR(__xludf.DUMMYFUNCTION("""COMPUTED_VALUE"""),"")</f>
        <v/>
      </c>
      <c r="D4222" t="str">
        <f>IFERROR(__xludf.DUMMYFUNCTION("""COMPUTED_VALUE"""),"")</f>
        <v/>
      </c>
      <c r="E4222" t="str">
        <f>IFERROR(__xludf.DUMMYFUNCTION("""COMPUTED_VALUE"""),"")</f>
        <v/>
      </c>
      <c r="F4222" t="str">
        <f>IFERROR(__xludf.DUMMYFUNCTION("""COMPUTED_VALUE"""),"")</f>
        <v/>
      </c>
      <c r="G4222" t="str">
        <f>IFERROR(__xludf.DUMMYFUNCTION("""COMPUTED_VALUE"""),"")</f>
        <v/>
      </c>
      <c r="H4222" s="2" t="str">
        <f>IFERROR(__xludf.DUMMYFUNCTION("""COMPUTED_VALUE"""),"")</f>
        <v/>
      </c>
      <c r="I4222" s="2" t="str">
        <f>IFERROR(__xludf.DUMMYFUNCTION("""COMPUTED_VALUE"""),"")</f>
        <v/>
      </c>
      <c r="J4222" s="2">
        <f>IFERROR(__xludf.DUMMYFUNCTION("""COMPUTED_VALUE"""),0.0)</f>
        <v>0</v>
      </c>
      <c r="K4222" s="5" t="str">
        <f>IFERROR(__xludf.DUMMYFUNCTION("""COMPUTED_VALUE"""),"")</f>
        <v/>
      </c>
      <c r="L4222" t="str">
        <f>IFERROR(__xludf.DUMMYFUNCTION("""COMPUTED_VALUE"""),"")</f>
        <v/>
      </c>
      <c r="M4222" t="str">
        <f>IFERROR(__xludf.DUMMYFUNCTION("""COMPUTED_VALUE"""),"")</f>
        <v/>
      </c>
      <c r="N4222" t="str">
        <f>IFERROR(__xludf.DUMMYFUNCTION("""COMPUTED_VALUE"""),"")</f>
        <v/>
      </c>
      <c r="O4222" t="str">
        <f>IFERROR(__xludf.DUMMYFUNCTION("""COMPUTED_VALUE"""),"")</f>
        <v/>
      </c>
      <c r="P4222" t="str">
        <f>IFERROR(__xludf.DUMMYFUNCTION("""COMPUTED_VALUE"""),"ID ")</f>
        <v>ID </v>
      </c>
    </row>
    <row r="4223">
      <c r="A4223" s="6" t="str">
        <f>IFERROR(__xludf.DUMMYFUNCTION("""COMPUTED_VALUE"""),"")</f>
        <v/>
      </c>
      <c r="C4223" t="str">
        <f>IFERROR(__xludf.DUMMYFUNCTION("""COMPUTED_VALUE"""),"")</f>
        <v/>
      </c>
      <c r="D4223" t="str">
        <f>IFERROR(__xludf.DUMMYFUNCTION("""COMPUTED_VALUE"""),"")</f>
        <v/>
      </c>
      <c r="E4223" t="str">
        <f>IFERROR(__xludf.DUMMYFUNCTION("""COMPUTED_VALUE"""),"")</f>
        <v/>
      </c>
      <c r="F4223" t="str">
        <f>IFERROR(__xludf.DUMMYFUNCTION("""COMPUTED_VALUE"""),"")</f>
        <v/>
      </c>
      <c r="G4223" t="str">
        <f>IFERROR(__xludf.DUMMYFUNCTION("""COMPUTED_VALUE"""),"")</f>
        <v/>
      </c>
      <c r="H4223" s="2" t="str">
        <f>IFERROR(__xludf.DUMMYFUNCTION("""COMPUTED_VALUE"""),"")</f>
        <v/>
      </c>
      <c r="I4223" s="2" t="str">
        <f>IFERROR(__xludf.DUMMYFUNCTION("""COMPUTED_VALUE"""),"")</f>
        <v/>
      </c>
      <c r="J4223" s="2">
        <f>IFERROR(__xludf.DUMMYFUNCTION("""COMPUTED_VALUE"""),0.0)</f>
        <v>0</v>
      </c>
      <c r="K4223" s="5" t="str">
        <f>IFERROR(__xludf.DUMMYFUNCTION("""COMPUTED_VALUE"""),"")</f>
        <v/>
      </c>
      <c r="L4223" t="str">
        <f>IFERROR(__xludf.DUMMYFUNCTION("""COMPUTED_VALUE"""),"")</f>
        <v/>
      </c>
      <c r="M4223" t="str">
        <f>IFERROR(__xludf.DUMMYFUNCTION("""COMPUTED_VALUE"""),"")</f>
        <v/>
      </c>
      <c r="N4223" t="str">
        <f>IFERROR(__xludf.DUMMYFUNCTION("""COMPUTED_VALUE"""),"")</f>
        <v/>
      </c>
      <c r="O4223" t="str">
        <f>IFERROR(__xludf.DUMMYFUNCTION("""COMPUTED_VALUE"""),"")</f>
        <v/>
      </c>
      <c r="P4223" t="str">
        <f>IFERROR(__xludf.DUMMYFUNCTION("""COMPUTED_VALUE"""),"ID ")</f>
        <v>ID </v>
      </c>
    </row>
    <row r="4224">
      <c r="A4224" s="6" t="str">
        <f>IFERROR(__xludf.DUMMYFUNCTION("""COMPUTED_VALUE"""),"")</f>
        <v/>
      </c>
      <c r="C4224" t="str">
        <f>IFERROR(__xludf.DUMMYFUNCTION("""COMPUTED_VALUE"""),"")</f>
        <v/>
      </c>
      <c r="D4224" t="str">
        <f>IFERROR(__xludf.DUMMYFUNCTION("""COMPUTED_VALUE"""),"")</f>
        <v/>
      </c>
      <c r="E4224" t="str">
        <f>IFERROR(__xludf.DUMMYFUNCTION("""COMPUTED_VALUE"""),"")</f>
        <v/>
      </c>
      <c r="F4224" t="str">
        <f>IFERROR(__xludf.DUMMYFUNCTION("""COMPUTED_VALUE"""),"")</f>
        <v/>
      </c>
      <c r="G4224" t="str">
        <f>IFERROR(__xludf.DUMMYFUNCTION("""COMPUTED_VALUE"""),"")</f>
        <v/>
      </c>
      <c r="H4224" s="2" t="str">
        <f>IFERROR(__xludf.DUMMYFUNCTION("""COMPUTED_VALUE"""),"")</f>
        <v/>
      </c>
      <c r="I4224" s="2" t="str">
        <f>IFERROR(__xludf.DUMMYFUNCTION("""COMPUTED_VALUE"""),"")</f>
        <v/>
      </c>
      <c r="J4224" s="2">
        <f>IFERROR(__xludf.DUMMYFUNCTION("""COMPUTED_VALUE"""),0.0)</f>
        <v>0</v>
      </c>
      <c r="K4224" s="5" t="str">
        <f>IFERROR(__xludf.DUMMYFUNCTION("""COMPUTED_VALUE"""),"")</f>
        <v/>
      </c>
      <c r="L4224" t="str">
        <f>IFERROR(__xludf.DUMMYFUNCTION("""COMPUTED_VALUE"""),"")</f>
        <v/>
      </c>
      <c r="M4224" t="str">
        <f>IFERROR(__xludf.DUMMYFUNCTION("""COMPUTED_VALUE"""),"")</f>
        <v/>
      </c>
      <c r="N4224" t="str">
        <f>IFERROR(__xludf.DUMMYFUNCTION("""COMPUTED_VALUE"""),"")</f>
        <v/>
      </c>
      <c r="O4224" t="str">
        <f>IFERROR(__xludf.DUMMYFUNCTION("""COMPUTED_VALUE"""),"")</f>
        <v/>
      </c>
      <c r="P4224" t="str">
        <f>IFERROR(__xludf.DUMMYFUNCTION("""COMPUTED_VALUE"""),"ID ")</f>
        <v>ID </v>
      </c>
    </row>
    <row r="4225">
      <c r="A4225" s="6" t="str">
        <f>IFERROR(__xludf.DUMMYFUNCTION("""COMPUTED_VALUE"""),"")</f>
        <v/>
      </c>
      <c r="C4225" t="str">
        <f>IFERROR(__xludf.DUMMYFUNCTION("""COMPUTED_VALUE"""),"")</f>
        <v/>
      </c>
      <c r="D4225" t="str">
        <f>IFERROR(__xludf.DUMMYFUNCTION("""COMPUTED_VALUE"""),"")</f>
        <v/>
      </c>
      <c r="E4225" t="str">
        <f>IFERROR(__xludf.DUMMYFUNCTION("""COMPUTED_VALUE"""),"")</f>
        <v/>
      </c>
      <c r="F4225" t="str">
        <f>IFERROR(__xludf.DUMMYFUNCTION("""COMPUTED_VALUE"""),"")</f>
        <v/>
      </c>
      <c r="G4225" t="str">
        <f>IFERROR(__xludf.DUMMYFUNCTION("""COMPUTED_VALUE"""),"")</f>
        <v/>
      </c>
      <c r="H4225" s="2" t="str">
        <f>IFERROR(__xludf.DUMMYFUNCTION("""COMPUTED_VALUE"""),"")</f>
        <v/>
      </c>
      <c r="I4225" s="2" t="str">
        <f>IFERROR(__xludf.DUMMYFUNCTION("""COMPUTED_VALUE"""),"")</f>
        <v/>
      </c>
      <c r="J4225" s="2">
        <f>IFERROR(__xludf.DUMMYFUNCTION("""COMPUTED_VALUE"""),0.0)</f>
        <v>0</v>
      </c>
      <c r="K4225" s="5" t="str">
        <f>IFERROR(__xludf.DUMMYFUNCTION("""COMPUTED_VALUE"""),"")</f>
        <v/>
      </c>
      <c r="L4225" t="str">
        <f>IFERROR(__xludf.DUMMYFUNCTION("""COMPUTED_VALUE"""),"")</f>
        <v/>
      </c>
      <c r="M4225" t="str">
        <f>IFERROR(__xludf.DUMMYFUNCTION("""COMPUTED_VALUE"""),"")</f>
        <v/>
      </c>
      <c r="N4225" t="str">
        <f>IFERROR(__xludf.DUMMYFUNCTION("""COMPUTED_VALUE"""),"")</f>
        <v/>
      </c>
      <c r="O4225" t="str">
        <f>IFERROR(__xludf.DUMMYFUNCTION("""COMPUTED_VALUE"""),"")</f>
        <v/>
      </c>
      <c r="P4225" t="str">
        <f>IFERROR(__xludf.DUMMYFUNCTION("""COMPUTED_VALUE"""),"ID ")</f>
        <v>ID </v>
      </c>
    </row>
    <row r="4226">
      <c r="A4226" s="6" t="str">
        <f>IFERROR(__xludf.DUMMYFUNCTION("""COMPUTED_VALUE"""),"")</f>
        <v/>
      </c>
      <c r="C4226" t="str">
        <f>IFERROR(__xludf.DUMMYFUNCTION("""COMPUTED_VALUE"""),"")</f>
        <v/>
      </c>
      <c r="D4226" t="str">
        <f>IFERROR(__xludf.DUMMYFUNCTION("""COMPUTED_VALUE"""),"")</f>
        <v/>
      </c>
      <c r="E4226" t="str">
        <f>IFERROR(__xludf.DUMMYFUNCTION("""COMPUTED_VALUE"""),"")</f>
        <v/>
      </c>
      <c r="F4226" t="str">
        <f>IFERROR(__xludf.DUMMYFUNCTION("""COMPUTED_VALUE"""),"")</f>
        <v/>
      </c>
      <c r="G4226" t="str">
        <f>IFERROR(__xludf.DUMMYFUNCTION("""COMPUTED_VALUE"""),"")</f>
        <v/>
      </c>
      <c r="H4226" s="2" t="str">
        <f>IFERROR(__xludf.DUMMYFUNCTION("""COMPUTED_VALUE"""),"")</f>
        <v/>
      </c>
      <c r="I4226" s="2" t="str">
        <f>IFERROR(__xludf.DUMMYFUNCTION("""COMPUTED_VALUE"""),"")</f>
        <v/>
      </c>
      <c r="J4226" s="2">
        <f>IFERROR(__xludf.DUMMYFUNCTION("""COMPUTED_VALUE"""),0.0)</f>
        <v>0</v>
      </c>
      <c r="K4226" s="5" t="str">
        <f>IFERROR(__xludf.DUMMYFUNCTION("""COMPUTED_VALUE"""),"")</f>
        <v/>
      </c>
      <c r="L4226" t="str">
        <f>IFERROR(__xludf.DUMMYFUNCTION("""COMPUTED_VALUE"""),"")</f>
        <v/>
      </c>
      <c r="M4226" t="str">
        <f>IFERROR(__xludf.DUMMYFUNCTION("""COMPUTED_VALUE"""),"")</f>
        <v/>
      </c>
      <c r="N4226" t="str">
        <f>IFERROR(__xludf.DUMMYFUNCTION("""COMPUTED_VALUE"""),"")</f>
        <v/>
      </c>
      <c r="O4226" t="str">
        <f>IFERROR(__xludf.DUMMYFUNCTION("""COMPUTED_VALUE"""),"")</f>
        <v/>
      </c>
      <c r="P4226" t="str">
        <f>IFERROR(__xludf.DUMMYFUNCTION("""COMPUTED_VALUE"""),"ID ")</f>
        <v>ID </v>
      </c>
    </row>
    <row r="4227">
      <c r="A4227" s="6" t="str">
        <f>IFERROR(__xludf.DUMMYFUNCTION("""COMPUTED_VALUE"""),"")</f>
        <v/>
      </c>
      <c r="C4227" t="str">
        <f>IFERROR(__xludf.DUMMYFUNCTION("""COMPUTED_VALUE"""),"")</f>
        <v/>
      </c>
      <c r="D4227" t="str">
        <f>IFERROR(__xludf.DUMMYFUNCTION("""COMPUTED_VALUE"""),"")</f>
        <v/>
      </c>
      <c r="E4227" t="str">
        <f>IFERROR(__xludf.DUMMYFUNCTION("""COMPUTED_VALUE"""),"")</f>
        <v/>
      </c>
      <c r="F4227" t="str">
        <f>IFERROR(__xludf.DUMMYFUNCTION("""COMPUTED_VALUE"""),"")</f>
        <v/>
      </c>
      <c r="G4227" t="str">
        <f>IFERROR(__xludf.DUMMYFUNCTION("""COMPUTED_VALUE"""),"")</f>
        <v/>
      </c>
      <c r="H4227" s="2" t="str">
        <f>IFERROR(__xludf.DUMMYFUNCTION("""COMPUTED_VALUE"""),"")</f>
        <v/>
      </c>
      <c r="I4227" s="2" t="str">
        <f>IFERROR(__xludf.DUMMYFUNCTION("""COMPUTED_VALUE"""),"")</f>
        <v/>
      </c>
      <c r="J4227" s="2">
        <f>IFERROR(__xludf.DUMMYFUNCTION("""COMPUTED_VALUE"""),0.0)</f>
        <v>0</v>
      </c>
      <c r="K4227" s="5" t="str">
        <f>IFERROR(__xludf.DUMMYFUNCTION("""COMPUTED_VALUE"""),"")</f>
        <v/>
      </c>
      <c r="L4227" t="str">
        <f>IFERROR(__xludf.DUMMYFUNCTION("""COMPUTED_VALUE"""),"")</f>
        <v/>
      </c>
      <c r="M4227" t="str">
        <f>IFERROR(__xludf.DUMMYFUNCTION("""COMPUTED_VALUE"""),"")</f>
        <v/>
      </c>
      <c r="N4227" t="str">
        <f>IFERROR(__xludf.DUMMYFUNCTION("""COMPUTED_VALUE"""),"")</f>
        <v/>
      </c>
      <c r="O4227" t="str">
        <f>IFERROR(__xludf.DUMMYFUNCTION("""COMPUTED_VALUE"""),"")</f>
        <v/>
      </c>
      <c r="P4227" t="str">
        <f>IFERROR(__xludf.DUMMYFUNCTION("""COMPUTED_VALUE"""),"ID ")</f>
        <v>ID </v>
      </c>
    </row>
    <row r="4228">
      <c r="A4228" s="6" t="str">
        <f>IFERROR(__xludf.DUMMYFUNCTION("""COMPUTED_VALUE"""),"")</f>
        <v/>
      </c>
      <c r="C4228" t="str">
        <f>IFERROR(__xludf.DUMMYFUNCTION("""COMPUTED_VALUE"""),"")</f>
        <v/>
      </c>
      <c r="D4228" t="str">
        <f>IFERROR(__xludf.DUMMYFUNCTION("""COMPUTED_VALUE"""),"")</f>
        <v/>
      </c>
      <c r="E4228" t="str">
        <f>IFERROR(__xludf.DUMMYFUNCTION("""COMPUTED_VALUE"""),"")</f>
        <v/>
      </c>
      <c r="F4228" t="str">
        <f>IFERROR(__xludf.DUMMYFUNCTION("""COMPUTED_VALUE"""),"")</f>
        <v/>
      </c>
      <c r="G4228" t="str">
        <f>IFERROR(__xludf.DUMMYFUNCTION("""COMPUTED_VALUE"""),"")</f>
        <v/>
      </c>
      <c r="H4228" s="2" t="str">
        <f>IFERROR(__xludf.DUMMYFUNCTION("""COMPUTED_VALUE"""),"")</f>
        <v/>
      </c>
      <c r="I4228" s="2" t="str">
        <f>IFERROR(__xludf.DUMMYFUNCTION("""COMPUTED_VALUE"""),"")</f>
        <v/>
      </c>
      <c r="J4228" s="2">
        <f>IFERROR(__xludf.DUMMYFUNCTION("""COMPUTED_VALUE"""),0.0)</f>
        <v>0</v>
      </c>
      <c r="K4228" s="5" t="str">
        <f>IFERROR(__xludf.DUMMYFUNCTION("""COMPUTED_VALUE"""),"")</f>
        <v/>
      </c>
      <c r="L4228" t="str">
        <f>IFERROR(__xludf.DUMMYFUNCTION("""COMPUTED_VALUE"""),"")</f>
        <v/>
      </c>
      <c r="M4228" t="str">
        <f>IFERROR(__xludf.DUMMYFUNCTION("""COMPUTED_VALUE"""),"")</f>
        <v/>
      </c>
      <c r="N4228" t="str">
        <f>IFERROR(__xludf.DUMMYFUNCTION("""COMPUTED_VALUE"""),"")</f>
        <v/>
      </c>
      <c r="O4228" t="str">
        <f>IFERROR(__xludf.DUMMYFUNCTION("""COMPUTED_VALUE"""),"")</f>
        <v/>
      </c>
      <c r="P4228" t="str">
        <f>IFERROR(__xludf.DUMMYFUNCTION("""COMPUTED_VALUE"""),"ID ")</f>
        <v>ID </v>
      </c>
    </row>
    <row r="4229">
      <c r="A4229" s="6" t="str">
        <f>IFERROR(__xludf.DUMMYFUNCTION("""COMPUTED_VALUE"""),"")</f>
        <v/>
      </c>
      <c r="C4229" t="str">
        <f>IFERROR(__xludf.DUMMYFUNCTION("""COMPUTED_VALUE"""),"")</f>
        <v/>
      </c>
      <c r="D4229" t="str">
        <f>IFERROR(__xludf.DUMMYFUNCTION("""COMPUTED_VALUE"""),"")</f>
        <v/>
      </c>
      <c r="E4229" t="str">
        <f>IFERROR(__xludf.DUMMYFUNCTION("""COMPUTED_VALUE"""),"")</f>
        <v/>
      </c>
      <c r="F4229" t="str">
        <f>IFERROR(__xludf.DUMMYFUNCTION("""COMPUTED_VALUE"""),"")</f>
        <v/>
      </c>
      <c r="G4229" t="str">
        <f>IFERROR(__xludf.DUMMYFUNCTION("""COMPUTED_VALUE"""),"")</f>
        <v/>
      </c>
      <c r="H4229" s="2" t="str">
        <f>IFERROR(__xludf.DUMMYFUNCTION("""COMPUTED_VALUE"""),"")</f>
        <v/>
      </c>
      <c r="I4229" s="2" t="str">
        <f>IFERROR(__xludf.DUMMYFUNCTION("""COMPUTED_VALUE"""),"")</f>
        <v/>
      </c>
      <c r="J4229" s="2">
        <f>IFERROR(__xludf.DUMMYFUNCTION("""COMPUTED_VALUE"""),0.0)</f>
        <v>0</v>
      </c>
      <c r="K4229" s="5" t="str">
        <f>IFERROR(__xludf.DUMMYFUNCTION("""COMPUTED_VALUE"""),"")</f>
        <v/>
      </c>
      <c r="L4229" t="str">
        <f>IFERROR(__xludf.DUMMYFUNCTION("""COMPUTED_VALUE"""),"")</f>
        <v/>
      </c>
      <c r="M4229" t="str">
        <f>IFERROR(__xludf.DUMMYFUNCTION("""COMPUTED_VALUE"""),"")</f>
        <v/>
      </c>
      <c r="N4229" t="str">
        <f>IFERROR(__xludf.DUMMYFUNCTION("""COMPUTED_VALUE"""),"")</f>
        <v/>
      </c>
      <c r="O4229" t="str">
        <f>IFERROR(__xludf.DUMMYFUNCTION("""COMPUTED_VALUE"""),"")</f>
        <v/>
      </c>
      <c r="P4229" t="str">
        <f>IFERROR(__xludf.DUMMYFUNCTION("""COMPUTED_VALUE"""),"ID ")</f>
        <v>ID </v>
      </c>
    </row>
    <row r="4230">
      <c r="A4230" s="6" t="str">
        <f>IFERROR(__xludf.DUMMYFUNCTION("""COMPUTED_VALUE"""),"")</f>
        <v/>
      </c>
      <c r="C4230" t="str">
        <f>IFERROR(__xludf.DUMMYFUNCTION("""COMPUTED_VALUE"""),"")</f>
        <v/>
      </c>
      <c r="D4230" t="str">
        <f>IFERROR(__xludf.DUMMYFUNCTION("""COMPUTED_VALUE"""),"")</f>
        <v/>
      </c>
      <c r="E4230" t="str">
        <f>IFERROR(__xludf.DUMMYFUNCTION("""COMPUTED_VALUE"""),"")</f>
        <v/>
      </c>
      <c r="F4230" t="str">
        <f>IFERROR(__xludf.DUMMYFUNCTION("""COMPUTED_VALUE"""),"")</f>
        <v/>
      </c>
      <c r="G4230" t="str">
        <f>IFERROR(__xludf.DUMMYFUNCTION("""COMPUTED_VALUE"""),"")</f>
        <v/>
      </c>
      <c r="H4230" s="2" t="str">
        <f>IFERROR(__xludf.DUMMYFUNCTION("""COMPUTED_VALUE"""),"")</f>
        <v/>
      </c>
      <c r="I4230" s="2" t="str">
        <f>IFERROR(__xludf.DUMMYFUNCTION("""COMPUTED_VALUE"""),"")</f>
        <v/>
      </c>
      <c r="J4230" s="2">
        <f>IFERROR(__xludf.DUMMYFUNCTION("""COMPUTED_VALUE"""),0.0)</f>
        <v>0</v>
      </c>
      <c r="K4230" s="5" t="str">
        <f>IFERROR(__xludf.DUMMYFUNCTION("""COMPUTED_VALUE"""),"")</f>
        <v/>
      </c>
      <c r="L4230" t="str">
        <f>IFERROR(__xludf.DUMMYFUNCTION("""COMPUTED_VALUE"""),"")</f>
        <v/>
      </c>
      <c r="M4230" t="str">
        <f>IFERROR(__xludf.DUMMYFUNCTION("""COMPUTED_VALUE"""),"")</f>
        <v/>
      </c>
      <c r="N4230" t="str">
        <f>IFERROR(__xludf.DUMMYFUNCTION("""COMPUTED_VALUE"""),"")</f>
        <v/>
      </c>
      <c r="O4230" t="str">
        <f>IFERROR(__xludf.DUMMYFUNCTION("""COMPUTED_VALUE"""),"")</f>
        <v/>
      </c>
      <c r="P4230" t="str">
        <f>IFERROR(__xludf.DUMMYFUNCTION("""COMPUTED_VALUE"""),"ID ")</f>
        <v>ID </v>
      </c>
    </row>
    <row r="4231">
      <c r="A4231" s="6" t="str">
        <f>IFERROR(__xludf.DUMMYFUNCTION("""COMPUTED_VALUE"""),"")</f>
        <v/>
      </c>
      <c r="C4231" t="str">
        <f>IFERROR(__xludf.DUMMYFUNCTION("""COMPUTED_VALUE"""),"")</f>
        <v/>
      </c>
      <c r="D4231" t="str">
        <f>IFERROR(__xludf.DUMMYFUNCTION("""COMPUTED_VALUE"""),"")</f>
        <v/>
      </c>
      <c r="E4231" t="str">
        <f>IFERROR(__xludf.DUMMYFUNCTION("""COMPUTED_VALUE"""),"")</f>
        <v/>
      </c>
      <c r="F4231" t="str">
        <f>IFERROR(__xludf.DUMMYFUNCTION("""COMPUTED_VALUE"""),"")</f>
        <v/>
      </c>
      <c r="G4231" t="str">
        <f>IFERROR(__xludf.DUMMYFUNCTION("""COMPUTED_VALUE"""),"")</f>
        <v/>
      </c>
      <c r="H4231" s="2" t="str">
        <f>IFERROR(__xludf.DUMMYFUNCTION("""COMPUTED_VALUE"""),"")</f>
        <v/>
      </c>
      <c r="I4231" s="2" t="str">
        <f>IFERROR(__xludf.DUMMYFUNCTION("""COMPUTED_VALUE"""),"")</f>
        <v/>
      </c>
      <c r="J4231" s="2">
        <f>IFERROR(__xludf.DUMMYFUNCTION("""COMPUTED_VALUE"""),0.0)</f>
        <v>0</v>
      </c>
      <c r="K4231" s="5" t="str">
        <f>IFERROR(__xludf.DUMMYFUNCTION("""COMPUTED_VALUE"""),"")</f>
        <v/>
      </c>
      <c r="L4231" t="str">
        <f>IFERROR(__xludf.DUMMYFUNCTION("""COMPUTED_VALUE"""),"")</f>
        <v/>
      </c>
      <c r="M4231" t="str">
        <f>IFERROR(__xludf.DUMMYFUNCTION("""COMPUTED_VALUE"""),"")</f>
        <v/>
      </c>
      <c r="N4231" t="str">
        <f>IFERROR(__xludf.DUMMYFUNCTION("""COMPUTED_VALUE"""),"")</f>
        <v/>
      </c>
      <c r="O4231" t="str">
        <f>IFERROR(__xludf.DUMMYFUNCTION("""COMPUTED_VALUE"""),"")</f>
        <v/>
      </c>
      <c r="P4231" t="str">
        <f>IFERROR(__xludf.DUMMYFUNCTION("""COMPUTED_VALUE"""),"ID ")</f>
        <v>ID </v>
      </c>
    </row>
    <row r="4232">
      <c r="A4232" s="6" t="str">
        <f>IFERROR(__xludf.DUMMYFUNCTION("""COMPUTED_VALUE"""),"")</f>
        <v/>
      </c>
      <c r="C4232" t="str">
        <f>IFERROR(__xludf.DUMMYFUNCTION("""COMPUTED_VALUE"""),"")</f>
        <v/>
      </c>
      <c r="D4232" t="str">
        <f>IFERROR(__xludf.DUMMYFUNCTION("""COMPUTED_VALUE"""),"")</f>
        <v/>
      </c>
      <c r="E4232" t="str">
        <f>IFERROR(__xludf.DUMMYFUNCTION("""COMPUTED_VALUE"""),"")</f>
        <v/>
      </c>
      <c r="F4232" t="str">
        <f>IFERROR(__xludf.DUMMYFUNCTION("""COMPUTED_VALUE"""),"")</f>
        <v/>
      </c>
      <c r="G4232" t="str">
        <f>IFERROR(__xludf.DUMMYFUNCTION("""COMPUTED_VALUE"""),"")</f>
        <v/>
      </c>
      <c r="H4232" s="2" t="str">
        <f>IFERROR(__xludf.DUMMYFUNCTION("""COMPUTED_VALUE"""),"")</f>
        <v/>
      </c>
      <c r="I4232" s="2" t="str">
        <f>IFERROR(__xludf.DUMMYFUNCTION("""COMPUTED_VALUE"""),"")</f>
        <v/>
      </c>
      <c r="J4232" s="2">
        <f>IFERROR(__xludf.DUMMYFUNCTION("""COMPUTED_VALUE"""),0.0)</f>
        <v>0</v>
      </c>
      <c r="K4232" s="5" t="str">
        <f>IFERROR(__xludf.DUMMYFUNCTION("""COMPUTED_VALUE"""),"")</f>
        <v/>
      </c>
      <c r="L4232" t="str">
        <f>IFERROR(__xludf.DUMMYFUNCTION("""COMPUTED_VALUE"""),"")</f>
        <v/>
      </c>
      <c r="M4232" t="str">
        <f>IFERROR(__xludf.DUMMYFUNCTION("""COMPUTED_VALUE"""),"")</f>
        <v/>
      </c>
      <c r="N4232" t="str">
        <f>IFERROR(__xludf.DUMMYFUNCTION("""COMPUTED_VALUE"""),"")</f>
        <v/>
      </c>
      <c r="O4232" t="str">
        <f>IFERROR(__xludf.DUMMYFUNCTION("""COMPUTED_VALUE"""),"")</f>
        <v/>
      </c>
      <c r="P4232" t="str">
        <f>IFERROR(__xludf.DUMMYFUNCTION("""COMPUTED_VALUE"""),"ID ")</f>
        <v>ID </v>
      </c>
    </row>
    <row r="4233">
      <c r="A4233" s="6" t="str">
        <f>IFERROR(__xludf.DUMMYFUNCTION("""COMPUTED_VALUE"""),"")</f>
        <v/>
      </c>
      <c r="C4233" t="str">
        <f>IFERROR(__xludf.DUMMYFUNCTION("""COMPUTED_VALUE"""),"")</f>
        <v/>
      </c>
      <c r="D4233" t="str">
        <f>IFERROR(__xludf.DUMMYFUNCTION("""COMPUTED_VALUE"""),"")</f>
        <v/>
      </c>
      <c r="E4233" t="str">
        <f>IFERROR(__xludf.DUMMYFUNCTION("""COMPUTED_VALUE"""),"")</f>
        <v/>
      </c>
      <c r="F4233" t="str">
        <f>IFERROR(__xludf.DUMMYFUNCTION("""COMPUTED_VALUE"""),"")</f>
        <v/>
      </c>
      <c r="G4233" t="str">
        <f>IFERROR(__xludf.DUMMYFUNCTION("""COMPUTED_VALUE"""),"")</f>
        <v/>
      </c>
      <c r="H4233" s="2" t="str">
        <f>IFERROR(__xludf.DUMMYFUNCTION("""COMPUTED_VALUE"""),"")</f>
        <v/>
      </c>
      <c r="I4233" s="2" t="str">
        <f>IFERROR(__xludf.DUMMYFUNCTION("""COMPUTED_VALUE"""),"")</f>
        <v/>
      </c>
      <c r="J4233" s="2">
        <f>IFERROR(__xludf.DUMMYFUNCTION("""COMPUTED_VALUE"""),0.0)</f>
        <v>0</v>
      </c>
      <c r="K4233" s="5" t="str">
        <f>IFERROR(__xludf.DUMMYFUNCTION("""COMPUTED_VALUE"""),"")</f>
        <v/>
      </c>
      <c r="L4233" t="str">
        <f>IFERROR(__xludf.DUMMYFUNCTION("""COMPUTED_VALUE"""),"")</f>
        <v/>
      </c>
      <c r="M4233" t="str">
        <f>IFERROR(__xludf.DUMMYFUNCTION("""COMPUTED_VALUE"""),"")</f>
        <v/>
      </c>
      <c r="N4233" t="str">
        <f>IFERROR(__xludf.DUMMYFUNCTION("""COMPUTED_VALUE"""),"")</f>
        <v/>
      </c>
      <c r="O4233" t="str">
        <f>IFERROR(__xludf.DUMMYFUNCTION("""COMPUTED_VALUE"""),"")</f>
        <v/>
      </c>
      <c r="P4233" t="str">
        <f>IFERROR(__xludf.DUMMYFUNCTION("""COMPUTED_VALUE"""),"ID ")</f>
        <v>ID </v>
      </c>
    </row>
    <row r="4234">
      <c r="A4234" s="6" t="str">
        <f>IFERROR(__xludf.DUMMYFUNCTION("""COMPUTED_VALUE"""),"")</f>
        <v/>
      </c>
      <c r="C4234" t="str">
        <f>IFERROR(__xludf.DUMMYFUNCTION("""COMPUTED_VALUE"""),"")</f>
        <v/>
      </c>
      <c r="D4234" t="str">
        <f>IFERROR(__xludf.DUMMYFUNCTION("""COMPUTED_VALUE"""),"")</f>
        <v/>
      </c>
      <c r="E4234" t="str">
        <f>IFERROR(__xludf.DUMMYFUNCTION("""COMPUTED_VALUE"""),"")</f>
        <v/>
      </c>
      <c r="F4234" t="str">
        <f>IFERROR(__xludf.DUMMYFUNCTION("""COMPUTED_VALUE"""),"")</f>
        <v/>
      </c>
      <c r="G4234" t="str">
        <f>IFERROR(__xludf.DUMMYFUNCTION("""COMPUTED_VALUE"""),"")</f>
        <v/>
      </c>
      <c r="H4234" s="2" t="str">
        <f>IFERROR(__xludf.DUMMYFUNCTION("""COMPUTED_VALUE"""),"")</f>
        <v/>
      </c>
      <c r="I4234" s="2" t="str">
        <f>IFERROR(__xludf.DUMMYFUNCTION("""COMPUTED_VALUE"""),"")</f>
        <v/>
      </c>
      <c r="J4234" s="2">
        <f>IFERROR(__xludf.DUMMYFUNCTION("""COMPUTED_VALUE"""),0.0)</f>
        <v>0</v>
      </c>
      <c r="K4234" s="5" t="str">
        <f>IFERROR(__xludf.DUMMYFUNCTION("""COMPUTED_VALUE"""),"")</f>
        <v/>
      </c>
      <c r="L4234" t="str">
        <f>IFERROR(__xludf.DUMMYFUNCTION("""COMPUTED_VALUE"""),"")</f>
        <v/>
      </c>
      <c r="M4234" t="str">
        <f>IFERROR(__xludf.DUMMYFUNCTION("""COMPUTED_VALUE"""),"")</f>
        <v/>
      </c>
      <c r="N4234" t="str">
        <f>IFERROR(__xludf.DUMMYFUNCTION("""COMPUTED_VALUE"""),"")</f>
        <v/>
      </c>
      <c r="O4234" t="str">
        <f>IFERROR(__xludf.DUMMYFUNCTION("""COMPUTED_VALUE"""),"")</f>
        <v/>
      </c>
      <c r="P4234" t="str">
        <f>IFERROR(__xludf.DUMMYFUNCTION("""COMPUTED_VALUE"""),"ID ")</f>
        <v>ID </v>
      </c>
    </row>
    <row r="4235">
      <c r="A4235" s="6" t="str">
        <f>IFERROR(__xludf.DUMMYFUNCTION("""COMPUTED_VALUE"""),"")</f>
        <v/>
      </c>
      <c r="C4235" t="str">
        <f>IFERROR(__xludf.DUMMYFUNCTION("""COMPUTED_VALUE"""),"")</f>
        <v/>
      </c>
      <c r="D4235" t="str">
        <f>IFERROR(__xludf.DUMMYFUNCTION("""COMPUTED_VALUE"""),"")</f>
        <v/>
      </c>
      <c r="E4235" t="str">
        <f>IFERROR(__xludf.DUMMYFUNCTION("""COMPUTED_VALUE"""),"")</f>
        <v/>
      </c>
      <c r="F4235" t="str">
        <f>IFERROR(__xludf.DUMMYFUNCTION("""COMPUTED_VALUE"""),"")</f>
        <v/>
      </c>
      <c r="G4235" t="str">
        <f>IFERROR(__xludf.DUMMYFUNCTION("""COMPUTED_VALUE"""),"")</f>
        <v/>
      </c>
      <c r="H4235" s="2" t="str">
        <f>IFERROR(__xludf.DUMMYFUNCTION("""COMPUTED_VALUE"""),"")</f>
        <v/>
      </c>
      <c r="I4235" s="2" t="str">
        <f>IFERROR(__xludf.DUMMYFUNCTION("""COMPUTED_VALUE"""),"")</f>
        <v/>
      </c>
      <c r="J4235" s="2">
        <f>IFERROR(__xludf.DUMMYFUNCTION("""COMPUTED_VALUE"""),0.0)</f>
        <v>0</v>
      </c>
      <c r="K4235" s="5" t="str">
        <f>IFERROR(__xludf.DUMMYFUNCTION("""COMPUTED_VALUE"""),"")</f>
        <v/>
      </c>
      <c r="L4235" t="str">
        <f>IFERROR(__xludf.DUMMYFUNCTION("""COMPUTED_VALUE"""),"")</f>
        <v/>
      </c>
      <c r="M4235" t="str">
        <f>IFERROR(__xludf.DUMMYFUNCTION("""COMPUTED_VALUE"""),"")</f>
        <v/>
      </c>
      <c r="N4235" t="str">
        <f>IFERROR(__xludf.DUMMYFUNCTION("""COMPUTED_VALUE"""),"")</f>
        <v/>
      </c>
      <c r="O4235" t="str">
        <f>IFERROR(__xludf.DUMMYFUNCTION("""COMPUTED_VALUE"""),"")</f>
        <v/>
      </c>
      <c r="P4235" t="str">
        <f>IFERROR(__xludf.DUMMYFUNCTION("""COMPUTED_VALUE"""),"ID ")</f>
        <v>ID </v>
      </c>
    </row>
    <row r="4236">
      <c r="A4236" s="6" t="str">
        <f>IFERROR(__xludf.DUMMYFUNCTION("""COMPUTED_VALUE"""),"")</f>
        <v/>
      </c>
      <c r="C4236" t="str">
        <f>IFERROR(__xludf.DUMMYFUNCTION("""COMPUTED_VALUE"""),"")</f>
        <v/>
      </c>
      <c r="D4236" t="str">
        <f>IFERROR(__xludf.DUMMYFUNCTION("""COMPUTED_VALUE"""),"")</f>
        <v/>
      </c>
      <c r="E4236" t="str">
        <f>IFERROR(__xludf.DUMMYFUNCTION("""COMPUTED_VALUE"""),"")</f>
        <v/>
      </c>
      <c r="F4236" t="str">
        <f>IFERROR(__xludf.DUMMYFUNCTION("""COMPUTED_VALUE"""),"")</f>
        <v/>
      </c>
      <c r="G4236" t="str">
        <f>IFERROR(__xludf.DUMMYFUNCTION("""COMPUTED_VALUE"""),"")</f>
        <v/>
      </c>
      <c r="H4236" s="2" t="str">
        <f>IFERROR(__xludf.DUMMYFUNCTION("""COMPUTED_VALUE"""),"")</f>
        <v/>
      </c>
      <c r="I4236" s="2" t="str">
        <f>IFERROR(__xludf.DUMMYFUNCTION("""COMPUTED_VALUE"""),"")</f>
        <v/>
      </c>
      <c r="J4236" s="2">
        <f>IFERROR(__xludf.DUMMYFUNCTION("""COMPUTED_VALUE"""),0.0)</f>
        <v>0</v>
      </c>
      <c r="K4236" s="5" t="str">
        <f>IFERROR(__xludf.DUMMYFUNCTION("""COMPUTED_VALUE"""),"")</f>
        <v/>
      </c>
      <c r="L4236" t="str">
        <f>IFERROR(__xludf.DUMMYFUNCTION("""COMPUTED_VALUE"""),"")</f>
        <v/>
      </c>
      <c r="M4236" t="str">
        <f>IFERROR(__xludf.DUMMYFUNCTION("""COMPUTED_VALUE"""),"")</f>
        <v/>
      </c>
      <c r="N4236" t="str">
        <f>IFERROR(__xludf.DUMMYFUNCTION("""COMPUTED_VALUE"""),"")</f>
        <v/>
      </c>
      <c r="O4236" t="str">
        <f>IFERROR(__xludf.DUMMYFUNCTION("""COMPUTED_VALUE"""),"")</f>
        <v/>
      </c>
      <c r="P4236" t="str">
        <f>IFERROR(__xludf.DUMMYFUNCTION("""COMPUTED_VALUE"""),"ID ")</f>
        <v>ID </v>
      </c>
    </row>
    <row r="4237">
      <c r="A4237" s="6" t="str">
        <f>IFERROR(__xludf.DUMMYFUNCTION("""COMPUTED_VALUE"""),"")</f>
        <v/>
      </c>
      <c r="C4237" t="str">
        <f>IFERROR(__xludf.DUMMYFUNCTION("""COMPUTED_VALUE"""),"")</f>
        <v/>
      </c>
      <c r="D4237" t="str">
        <f>IFERROR(__xludf.DUMMYFUNCTION("""COMPUTED_VALUE"""),"")</f>
        <v/>
      </c>
      <c r="E4237" t="str">
        <f>IFERROR(__xludf.DUMMYFUNCTION("""COMPUTED_VALUE"""),"")</f>
        <v/>
      </c>
      <c r="F4237" t="str">
        <f>IFERROR(__xludf.DUMMYFUNCTION("""COMPUTED_VALUE"""),"")</f>
        <v/>
      </c>
      <c r="G4237" t="str">
        <f>IFERROR(__xludf.DUMMYFUNCTION("""COMPUTED_VALUE"""),"")</f>
        <v/>
      </c>
      <c r="H4237" s="2" t="str">
        <f>IFERROR(__xludf.DUMMYFUNCTION("""COMPUTED_VALUE"""),"")</f>
        <v/>
      </c>
      <c r="I4237" s="2" t="str">
        <f>IFERROR(__xludf.DUMMYFUNCTION("""COMPUTED_VALUE"""),"")</f>
        <v/>
      </c>
      <c r="J4237" s="2">
        <f>IFERROR(__xludf.DUMMYFUNCTION("""COMPUTED_VALUE"""),0.0)</f>
        <v>0</v>
      </c>
      <c r="K4237" s="5" t="str">
        <f>IFERROR(__xludf.DUMMYFUNCTION("""COMPUTED_VALUE"""),"")</f>
        <v/>
      </c>
      <c r="L4237" t="str">
        <f>IFERROR(__xludf.DUMMYFUNCTION("""COMPUTED_VALUE"""),"")</f>
        <v/>
      </c>
      <c r="M4237" t="str">
        <f>IFERROR(__xludf.DUMMYFUNCTION("""COMPUTED_VALUE"""),"")</f>
        <v/>
      </c>
      <c r="N4237" t="str">
        <f>IFERROR(__xludf.DUMMYFUNCTION("""COMPUTED_VALUE"""),"")</f>
        <v/>
      </c>
      <c r="O4237" t="str">
        <f>IFERROR(__xludf.DUMMYFUNCTION("""COMPUTED_VALUE"""),"")</f>
        <v/>
      </c>
      <c r="P4237" t="str">
        <f>IFERROR(__xludf.DUMMYFUNCTION("""COMPUTED_VALUE"""),"ID ")</f>
        <v>ID </v>
      </c>
    </row>
    <row r="4238">
      <c r="A4238" s="6" t="str">
        <f>IFERROR(__xludf.DUMMYFUNCTION("""COMPUTED_VALUE"""),"")</f>
        <v/>
      </c>
      <c r="C4238" t="str">
        <f>IFERROR(__xludf.DUMMYFUNCTION("""COMPUTED_VALUE"""),"")</f>
        <v/>
      </c>
      <c r="D4238" t="str">
        <f>IFERROR(__xludf.DUMMYFUNCTION("""COMPUTED_VALUE"""),"")</f>
        <v/>
      </c>
      <c r="E4238" t="str">
        <f>IFERROR(__xludf.DUMMYFUNCTION("""COMPUTED_VALUE"""),"")</f>
        <v/>
      </c>
      <c r="F4238" t="str">
        <f>IFERROR(__xludf.DUMMYFUNCTION("""COMPUTED_VALUE"""),"")</f>
        <v/>
      </c>
      <c r="G4238" t="str">
        <f>IFERROR(__xludf.DUMMYFUNCTION("""COMPUTED_VALUE"""),"")</f>
        <v/>
      </c>
      <c r="H4238" s="2" t="str">
        <f>IFERROR(__xludf.DUMMYFUNCTION("""COMPUTED_VALUE"""),"")</f>
        <v/>
      </c>
      <c r="I4238" s="2" t="str">
        <f>IFERROR(__xludf.DUMMYFUNCTION("""COMPUTED_VALUE"""),"")</f>
        <v/>
      </c>
      <c r="J4238" s="2">
        <f>IFERROR(__xludf.DUMMYFUNCTION("""COMPUTED_VALUE"""),0.0)</f>
        <v>0</v>
      </c>
      <c r="K4238" s="5" t="str">
        <f>IFERROR(__xludf.DUMMYFUNCTION("""COMPUTED_VALUE"""),"")</f>
        <v/>
      </c>
      <c r="L4238" t="str">
        <f>IFERROR(__xludf.DUMMYFUNCTION("""COMPUTED_VALUE"""),"")</f>
        <v/>
      </c>
      <c r="M4238" t="str">
        <f>IFERROR(__xludf.DUMMYFUNCTION("""COMPUTED_VALUE"""),"")</f>
        <v/>
      </c>
      <c r="N4238" t="str">
        <f>IFERROR(__xludf.DUMMYFUNCTION("""COMPUTED_VALUE"""),"")</f>
        <v/>
      </c>
      <c r="O4238" t="str">
        <f>IFERROR(__xludf.DUMMYFUNCTION("""COMPUTED_VALUE"""),"")</f>
        <v/>
      </c>
      <c r="P4238" t="str">
        <f>IFERROR(__xludf.DUMMYFUNCTION("""COMPUTED_VALUE"""),"ID ")</f>
        <v>ID </v>
      </c>
    </row>
    <row r="4239">
      <c r="A4239" s="6" t="str">
        <f>IFERROR(__xludf.DUMMYFUNCTION("""COMPUTED_VALUE"""),"")</f>
        <v/>
      </c>
      <c r="C4239" t="str">
        <f>IFERROR(__xludf.DUMMYFUNCTION("""COMPUTED_VALUE"""),"")</f>
        <v/>
      </c>
      <c r="D4239" t="str">
        <f>IFERROR(__xludf.DUMMYFUNCTION("""COMPUTED_VALUE"""),"")</f>
        <v/>
      </c>
      <c r="E4239" t="str">
        <f>IFERROR(__xludf.DUMMYFUNCTION("""COMPUTED_VALUE"""),"")</f>
        <v/>
      </c>
      <c r="F4239" t="str">
        <f>IFERROR(__xludf.DUMMYFUNCTION("""COMPUTED_VALUE"""),"")</f>
        <v/>
      </c>
      <c r="G4239" t="str">
        <f>IFERROR(__xludf.DUMMYFUNCTION("""COMPUTED_VALUE"""),"")</f>
        <v/>
      </c>
      <c r="H4239" s="2" t="str">
        <f>IFERROR(__xludf.DUMMYFUNCTION("""COMPUTED_VALUE"""),"")</f>
        <v/>
      </c>
      <c r="I4239" s="2" t="str">
        <f>IFERROR(__xludf.DUMMYFUNCTION("""COMPUTED_VALUE"""),"")</f>
        <v/>
      </c>
      <c r="J4239" s="2">
        <f>IFERROR(__xludf.DUMMYFUNCTION("""COMPUTED_VALUE"""),0.0)</f>
        <v>0</v>
      </c>
      <c r="K4239" s="5" t="str">
        <f>IFERROR(__xludf.DUMMYFUNCTION("""COMPUTED_VALUE"""),"")</f>
        <v/>
      </c>
      <c r="L4239" t="str">
        <f>IFERROR(__xludf.DUMMYFUNCTION("""COMPUTED_VALUE"""),"")</f>
        <v/>
      </c>
      <c r="M4239" t="str">
        <f>IFERROR(__xludf.DUMMYFUNCTION("""COMPUTED_VALUE"""),"")</f>
        <v/>
      </c>
      <c r="N4239" t="str">
        <f>IFERROR(__xludf.DUMMYFUNCTION("""COMPUTED_VALUE"""),"")</f>
        <v/>
      </c>
      <c r="O4239" t="str">
        <f>IFERROR(__xludf.DUMMYFUNCTION("""COMPUTED_VALUE"""),"")</f>
        <v/>
      </c>
      <c r="P4239" t="str">
        <f>IFERROR(__xludf.DUMMYFUNCTION("""COMPUTED_VALUE"""),"ID ")</f>
        <v>ID </v>
      </c>
    </row>
    <row r="4240">
      <c r="A4240" s="6" t="str">
        <f>IFERROR(__xludf.DUMMYFUNCTION("""COMPUTED_VALUE"""),"")</f>
        <v/>
      </c>
      <c r="C4240" t="str">
        <f>IFERROR(__xludf.DUMMYFUNCTION("""COMPUTED_VALUE"""),"")</f>
        <v/>
      </c>
      <c r="D4240" t="str">
        <f>IFERROR(__xludf.DUMMYFUNCTION("""COMPUTED_VALUE"""),"")</f>
        <v/>
      </c>
      <c r="E4240" t="str">
        <f>IFERROR(__xludf.DUMMYFUNCTION("""COMPUTED_VALUE"""),"")</f>
        <v/>
      </c>
      <c r="F4240" t="str">
        <f>IFERROR(__xludf.DUMMYFUNCTION("""COMPUTED_VALUE"""),"")</f>
        <v/>
      </c>
      <c r="G4240" t="str">
        <f>IFERROR(__xludf.DUMMYFUNCTION("""COMPUTED_VALUE"""),"")</f>
        <v/>
      </c>
      <c r="H4240" s="2" t="str">
        <f>IFERROR(__xludf.DUMMYFUNCTION("""COMPUTED_VALUE"""),"")</f>
        <v/>
      </c>
      <c r="I4240" s="2" t="str">
        <f>IFERROR(__xludf.DUMMYFUNCTION("""COMPUTED_VALUE"""),"")</f>
        <v/>
      </c>
      <c r="J4240" s="2">
        <f>IFERROR(__xludf.DUMMYFUNCTION("""COMPUTED_VALUE"""),0.0)</f>
        <v>0</v>
      </c>
      <c r="K4240" s="5" t="str">
        <f>IFERROR(__xludf.DUMMYFUNCTION("""COMPUTED_VALUE"""),"")</f>
        <v/>
      </c>
      <c r="L4240" t="str">
        <f>IFERROR(__xludf.DUMMYFUNCTION("""COMPUTED_VALUE"""),"")</f>
        <v/>
      </c>
      <c r="M4240" t="str">
        <f>IFERROR(__xludf.DUMMYFUNCTION("""COMPUTED_VALUE"""),"")</f>
        <v/>
      </c>
      <c r="N4240" t="str">
        <f>IFERROR(__xludf.DUMMYFUNCTION("""COMPUTED_VALUE"""),"")</f>
        <v/>
      </c>
      <c r="O4240" t="str">
        <f>IFERROR(__xludf.DUMMYFUNCTION("""COMPUTED_VALUE"""),"")</f>
        <v/>
      </c>
      <c r="P4240" t="str">
        <f>IFERROR(__xludf.DUMMYFUNCTION("""COMPUTED_VALUE"""),"ID ")</f>
        <v>ID </v>
      </c>
    </row>
    <row r="4241">
      <c r="A4241" s="6" t="str">
        <f>IFERROR(__xludf.DUMMYFUNCTION("""COMPUTED_VALUE"""),"")</f>
        <v/>
      </c>
      <c r="C4241" t="str">
        <f>IFERROR(__xludf.DUMMYFUNCTION("""COMPUTED_VALUE"""),"")</f>
        <v/>
      </c>
      <c r="D4241" t="str">
        <f>IFERROR(__xludf.DUMMYFUNCTION("""COMPUTED_VALUE"""),"")</f>
        <v/>
      </c>
      <c r="E4241" t="str">
        <f>IFERROR(__xludf.DUMMYFUNCTION("""COMPUTED_VALUE"""),"")</f>
        <v/>
      </c>
      <c r="F4241" t="str">
        <f>IFERROR(__xludf.DUMMYFUNCTION("""COMPUTED_VALUE"""),"")</f>
        <v/>
      </c>
      <c r="G4241" t="str">
        <f>IFERROR(__xludf.DUMMYFUNCTION("""COMPUTED_VALUE"""),"")</f>
        <v/>
      </c>
      <c r="H4241" s="2" t="str">
        <f>IFERROR(__xludf.DUMMYFUNCTION("""COMPUTED_VALUE"""),"")</f>
        <v/>
      </c>
      <c r="I4241" s="2" t="str">
        <f>IFERROR(__xludf.DUMMYFUNCTION("""COMPUTED_VALUE"""),"")</f>
        <v/>
      </c>
      <c r="J4241" s="2">
        <f>IFERROR(__xludf.DUMMYFUNCTION("""COMPUTED_VALUE"""),0.0)</f>
        <v>0</v>
      </c>
      <c r="K4241" s="5" t="str">
        <f>IFERROR(__xludf.DUMMYFUNCTION("""COMPUTED_VALUE"""),"")</f>
        <v/>
      </c>
      <c r="L4241" t="str">
        <f>IFERROR(__xludf.DUMMYFUNCTION("""COMPUTED_VALUE"""),"")</f>
        <v/>
      </c>
      <c r="M4241" t="str">
        <f>IFERROR(__xludf.DUMMYFUNCTION("""COMPUTED_VALUE"""),"")</f>
        <v/>
      </c>
      <c r="N4241" t="str">
        <f>IFERROR(__xludf.DUMMYFUNCTION("""COMPUTED_VALUE"""),"")</f>
        <v/>
      </c>
      <c r="O4241" t="str">
        <f>IFERROR(__xludf.DUMMYFUNCTION("""COMPUTED_VALUE"""),"")</f>
        <v/>
      </c>
      <c r="P4241" t="str">
        <f>IFERROR(__xludf.DUMMYFUNCTION("""COMPUTED_VALUE"""),"ID ")</f>
        <v>ID </v>
      </c>
    </row>
    <row r="4242">
      <c r="A4242" s="6" t="str">
        <f>IFERROR(__xludf.DUMMYFUNCTION("""COMPUTED_VALUE"""),"")</f>
        <v/>
      </c>
      <c r="C4242" t="str">
        <f>IFERROR(__xludf.DUMMYFUNCTION("""COMPUTED_VALUE"""),"")</f>
        <v/>
      </c>
      <c r="D4242" t="str">
        <f>IFERROR(__xludf.DUMMYFUNCTION("""COMPUTED_VALUE"""),"")</f>
        <v/>
      </c>
      <c r="E4242" t="str">
        <f>IFERROR(__xludf.DUMMYFUNCTION("""COMPUTED_VALUE"""),"")</f>
        <v/>
      </c>
      <c r="F4242" t="str">
        <f>IFERROR(__xludf.DUMMYFUNCTION("""COMPUTED_VALUE"""),"")</f>
        <v/>
      </c>
      <c r="G4242" t="str">
        <f>IFERROR(__xludf.DUMMYFUNCTION("""COMPUTED_VALUE"""),"")</f>
        <v/>
      </c>
      <c r="H4242" s="2" t="str">
        <f>IFERROR(__xludf.DUMMYFUNCTION("""COMPUTED_VALUE"""),"")</f>
        <v/>
      </c>
      <c r="I4242" s="2" t="str">
        <f>IFERROR(__xludf.DUMMYFUNCTION("""COMPUTED_VALUE"""),"")</f>
        <v/>
      </c>
      <c r="J4242" s="2">
        <f>IFERROR(__xludf.DUMMYFUNCTION("""COMPUTED_VALUE"""),0.0)</f>
        <v>0</v>
      </c>
      <c r="K4242" s="5" t="str">
        <f>IFERROR(__xludf.DUMMYFUNCTION("""COMPUTED_VALUE"""),"")</f>
        <v/>
      </c>
      <c r="L4242" t="str">
        <f>IFERROR(__xludf.DUMMYFUNCTION("""COMPUTED_VALUE"""),"")</f>
        <v/>
      </c>
      <c r="M4242" t="str">
        <f>IFERROR(__xludf.DUMMYFUNCTION("""COMPUTED_VALUE"""),"")</f>
        <v/>
      </c>
      <c r="N4242" t="str">
        <f>IFERROR(__xludf.DUMMYFUNCTION("""COMPUTED_VALUE"""),"")</f>
        <v/>
      </c>
      <c r="O4242" t="str">
        <f>IFERROR(__xludf.DUMMYFUNCTION("""COMPUTED_VALUE"""),"")</f>
        <v/>
      </c>
      <c r="P4242" t="str">
        <f>IFERROR(__xludf.DUMMYFUNCTION("""COMPUTED_VALUE"""),"ID ")</f>
        <v>ID </v>
      </c>
    </row>
    <row r="4243">
      <c r="A4243" s="6" t="str">
        <f>IFERROR(__xludf.DUMMYFUNCTION("""COMPUTED_VALUE"""),"")</f>
        <v/>
      </c>
      <c r="C4243" t="str">
        <f>IFERROR(__xludf.DUMMYFUNCTION("""COMPUTED_VALUE"""),"")</f>
        <v/>
      </c>
      <c r="D4243" t="str">
        <f>IFERROR(__xludf.DUMMYFUNCTION("""COMPUTED_VALUE"""),"")</f>
        <v/>
      </c>
      <c r="E4243" t="str">
        <f>IFERROR(__xludf.DUMMYFUNCTION("""COMPUTED_VALUE"""),"")</f>
        <v/>
      </c>
      <c r="F4243" t="str">
        <f>IFERROR(__xludf.DUMMYFUNCTION("""COMPUTED_VALUE"""),"")</f>
        <v/>
      </c>
      <c r="G4243" t="str">
        <f>IFERROR(__xludf.DUMMYFUNCTION("""COMPUTED_VALUE"""),"")</f>
        <v/>
      </c>
      <c r="H4243" s="2" t="str">
        <f>IFERROR(__xludf.DUMMYFUNCTION("""COMPUTED_VALUE"""),"")</f>
        <v/>
      </c>
      <c r="I4243" s="2" t="str">
        <f>IFERROR(__xludf.DUMMYFUNCTION("""COMPUTED_VALUE"""),"")</f>
        <v/>
      </c>
      <c r="J4243" s="2">
        <f>IFERROR(__xludf.DUMMYFUNCTION("""COMPUTED_VALUE"""),0.0)</f>
        <v>0</v>
      </c>
      <c r="K4243" s="5" t="str">
        <f>IFERROR(__xludf.DUMMYFUNCTION("""COMPUTED_VALUE"""),"")</f>
        <v/>
      </c>
      <c r="L4243" t="str">
        <f>IFERROR(__xludf.DUMMYFUNCTION("""COMPUTED_VALUE"""),"")</f>
        <v/>
      </c>
      <c r="M4243" t="str">
        <f>IFERROR(__xludf.DUMMYFUNCTION("""COMPUTED_VALUE"""),"")</f>
        <v/>
      </c>
      <c r="N4243" t="str">
        <f>IFERROR(__xludf.DUMMYFUNCTION("""COMPUTED_VALUE"""),"")</f>
        <v/>
      </c>
      <c r="O4243" t="str">
        <f>IFERROR(__xludf.DUMMYFUNCTION("""COMPUTED_VALUE"""),"")</f>
        <v/>
      </c>
      <c r="P4243" t="str">
        <f>IFERROR(__xludf.DUMMYFUNCTION("""COMPUTED_VALUE"""),"ID ")</f>
        <v>ID </v>
      </c>
    </row>
    <row r="4244">
      <c r="A4244" s="6" t="str">
        <f>IFERROR(__xludf.DUMMYFUNCTION("""COMPUTED_VALUE"""),"")</f>
        <v/>
      </c>
      <c r="C4244" t="str">
        <f>IFERROR(__xludf.DUMMYFUNCTION("""COMPUTED_VALUE"""),"")</f>
        <v/>
      </c>
      <c r="D4244" t="str">
        <f>IFERROR(__xludf.DUMMYFUNCTION("""COMPUTED_VALUE"""),"")</f>
        <v/>
      </c>
      <c r="E4244" t="str">
        <f>IFERROR(__xludf.DUMMYFUNCTION("""COMPUTED_VALUE"""),"")</f>
        <v/>
      </c>
      <c r="F4244" t="str">
        <f>IFERROR(__xludf.DUMMYFUNCTION("""COMPUTED_VALUE"""),"")</f>
        <v/>
      </c>
      <c r="G4244" t="str">
        <f>IFERROR(__xludf.DUMMYFUNCTION("""COMPUTED_VALUE"""),"")</f>
        <v/>
      </c>
      <c r="H4244" s="2" t="str">
        <f>IFERROR(__xludf.DUMMYFUNCTION("""COMPUTED_VALUE"""),"")</f>
        <v/>
      </c>
      <c r="I4244" s="2" t="str">
        <f>IFERROR(__xludf.DUMMYFUNCTION("""COMPUTED_VALUE"""),"")</f>
        <v/>
      </c>
      <c r="J4244" s="2">
        <f>IFERROR(__xludf.DUMMYFUNCTION("""COMPUTED_VALUE"""),0.0)</f>
        <v>0</v>
      </c>
      <c r="K4244" s="5" t="str">
        <f>IFERROR(__xludf.DUMMYFUNCTION("""COMPUTED_VALUE"""),"")</f>
        <v/>
      </c>
      <c r="L4244" t="str">
        <f>IFERROR(__xludf.DUMMYFUNCTION("""COMPUTED_VALUE"""),"")</f>
        <v/>
      </c>
      <c r="M4244" t="str">
        <f>IFERROR(__xludf.DUMMYFUNCTION("""COMPUTED_VALUE"""),"")</f>
        <v/>
      </c>
      <c r="N4244" t="str">
        <f>IFERROR(__xludf.DUMMYFUNCTION("""COMPUTED_VALUE"""),"")</f>
        <v/>
      </c>
      <c r="O4244" t="str">
        <f>IFERROR(__xludf.DUMMYFUNCTION("""COMPUTED_VALUE"""),"")</f>
        <v/>
      </c>
      <c r="P4244" t="str">
        <f>IFERROR(__xludf.DUMMYFUNCTION("""COMPUTED_VALUE"""),"ID ")</f>
        <v>ID </v>
      </c>
    </row>
    <row r="4245">
      <c r="A4245" s="6" t="str">
        <f>IFERROR(__xludf.DUMMYFUNCTION("""COMPUTED_VALUE"""),"")</f>
        <v/>
      </c>
      <c r="C4245" t="str">
        <f>IFERROR(__xludf.DUMMYFUNCTION("""COMPUTED_VALUE"""),"")</f>
        <v/>
      </c>
      <c r="D4245" t="str">
        <f>IFERROR(__xludf.DUMMYFUNCTION("""COMPUTED_VALUE"""),"")</f>
        <v/>
      </c>
      <c r="E4245" t="str">
        <f>IFERROR(__xludf.DUMMYFUNCTION("""COMPUTED_VALUE"""),"")</f>
        <v/>
      </c>
      <c r="F4245" t="str">
        <f>IFERROR(__xludf.DUMMYFUNCTION("""COMPUTED_VALUE"""),"")</f>
        <v/>
      </c>
      <c r="G4245" t="str">
        <f>IFERROR(__xludf.DUMMYFUNCTION("""COMPUTED_VALUE"""),"")</f>
        <v/>
      </c>
      <c r="H4245" s="2" t="str">
        <f>IFERROR(__xludf.DUMMYFUNCTION("""COMPUTED_VALUE"""),"")</f>
        <v/>
      </c>
      <c r="I4245" s="2" t="str">
        <f>IFERROR(__xludf.DUMMYFUNCTION("""COMPUTED_VALUE"""),"")</f>
        <v/>
      </c>
      <c r="J4245" s="2">
        <f>IFERROR(__xludf.DUMMYFUNCTION("""COMPUTED_VALUE"""),0.0)</f>
        <v>0</v>
      </c>
      <c r="K4245" s="5" t="str">
        <f>IFERROR(__xludf.DUMMYFUNCTION("""COMPUTED_VALUE"""),"")</f>
        <v/>
      </c>
      <c r="L4245" t="str">
        <f>IFERROR(__xludf.DUMMYFUNCTION("""COMPUTED_VALUE"""),"")</f>
        <v/>
      </c>
      <c r="M4245" t="str">
        <f>IFERROR(__xludf.DUMMYFUNCTION("""COMPUTED_VALUE"""),"")</f>
        <v/>
      </c>
      <c r="N4245" t="str">
        <f>IFERROR(__xludf.DUMMYFUNCTION("""COMPUTED_VALUE"""),"")</f>
        <v/>
      </c>
      <c r="O4245" t="str">
        <f>IFERROR(__xludf.DUMMYFUNCTION("""COMPUTED_VALUE"""),"")</f>
        <v/>
      </c>
      <c r="P4245" t="str">
        <f>IFERROR(__xludf.DUMMYFUNCTION("""COMPUTED_VALUE"""),"ID ")</f>
        <v>ID </v>
      </c>
    </row>
    <row r="4246">
      <c r="A4246" s="6" t="str">
        <f>IFERROR(__xludf.DUMMYFUNCTION("""COMPUTED_VALUE"""),"")</f>
        <v/>
      </c>
      <c r="C4246" t="str">
        <f>IFERROR(__xludf.DUMMYFUNCTION("""COMPUTED_VALUE"""),"")</f>
        <v/>
      </c>
      <c r="D4246" t="str">
        <f>IFERROR(__xludf.DUMMYFUNCTION("""COMPUTED_VALUE"""),"")</f>
        <v/>
      </c>
      <c r="E4246" t="str">
        <f>IFERROR(__xludf.DUMMYFUNCTION("""COMPUTED_VALUE"""),"")</f>
        <v/>
      </c>
      <c r="F4246" t="str">
        <f>IFERROR(__xludf.DUMMYFUNCTION("""COMPUTED_VALUE"""),"")</f>
        <v/>
      </c>
      <c r="G4246" t="str">
        <f>IFERROR(__xludf.DUMMYFUNCTION("""COMPUTED_VALUE"""),"")</f>
        <v/>
      </c>
      <c r="H4246" s="2" t="str">
        <f>IFERROR(__xludf.DUMMYFUNCTION("""COMPUTED_VALUE"""),"")</f>
        <v/>
      </c>
      <c r="I4246" s="2" t="str">
        <f>IFERROR(__xludf.DUMMYFUNCTION("""COMPUTED_VALUE"""),"")</f>
        <v/>
      </c>
      <c r="J4246" s="2">
        <f>IFERROR(__xludf.DUMMYFUNCTION("""COMPUTED_VALUE"""),0.0)</f>
        <v>0</v>
      </c>
      <c r="K4246" s="5" t="str">
        <f>IFERROR(__xludf.DUMMYFUNCTION("""COMPUTED_VALUE"""),"")</f>
        <v/>
      </c>
      <c r="L4246" t="str">
        <f>IFERROR(__xludf.DUMMYFUNCTION("""COMPUTED_VALUE"""),"")</f>
        <v/>
      </c>
      <c r="M4246" t="str">
        <f>IFERROR(__xludf.DUMMYFUNCTION("""COMPUTED_VALUE"""),"")</f>
        <v/>
      </c>
      <c r="N4246" t="str">
        <f>IFERROR(__xludf.DUMMYFUNCTION("""COMPUTED_VALUE"""),"")</f>
        <v/>
      </c>
      <c r="O4246" t="str">
        <f>IFERROR(__xludf.DUMMYFUNCTION("""COMPUTED_VALUE"""),"")</f>
        <v/>
      </c>
      <c r="P4246" t="str">
        <f>IFERROR(__xludf.DUMMYFUNCTION("""COMPUTED_VALUE"""),"ID ")</f>
        <v>ID </v>
      </c>
    </row>
    <row r="4247">
      <c r="A4247" s="6" t="str">
        <f>IFERROR(__xludf.DUMMYFUNCTION("""COMPUTED_VALUE"""),"")</f>
        <v/>
      </c>
      <c r="C4247" t="str">
        <f>IFERROR(__xludf.DUMMYFUNCTION("""COMPUTED_VALUE"""),"")</f>
        <v/>
      </c>
      <c r="D4247" t="str">
        <f>IFERROR(__xludf.DUMMYFUNCTION("""COMPUTED_VALUE"""),"")</f>
        <v/>
      </c>
      <c r="E4247" t="str">
        <f>IFERROR(__xludf.DUMMYFUNCTION("""COMPUTED_VALUE"""),"")</f>
        <v/>
      </c>
      <c r="F4247" t="str">
        <f>IFERROR(__xludf.DUMMYFUNCTION("""COMPUTED_VALUE"""),"")</f>
        <v/>
      </c>
      <c r="G4247" t="str">
        <f>IFERROR(__xludf.DUMMYFUNCTION("""COMPUTED_VALUE"""),"")</f>
        <v/>
      </c>
      <c r="H4247" s="2" t="str">
        <f>IFERROR(__xludf.DUMMYFUNCTION("""COMPUTED_VALUE"""),"")</f>
        <v/>
      </c>
      <c r="I4247" s="2" t="str">
        <f>IFERROR(__xludf.DUMMYFUNCTION("""COMPUTED_VALUE"""),"")</f>
        <v/>
      </c>
      <c r="J4247" s="2">
        <f>IFERROR(__xludf.DUMMYFUNCTION("""COMPUTED_VALUE"""),0.0)</f>
        <v>0</v>
      </c>
      <c r="K4247" s="5" t="str">
        <f>IFERROR(__xludf.DUMMYFUNCTION("""COMPUTED_VALUE"""),"")</f>
        <v/>
      </c>
      <c r="L4247" t="str">
        <f>IFERROR(__xludf.DUMMYFUNCTION("""COMPUTED_VALUE"""),"")</f>
        <v/>
      </c>
      <c r="M4247" t="str">
        <f>IFERROR(__xludf.DUMMYFUNCTION("""COMPUTED_VALUE"""),"")</f>
        <v/>
      </c>
      <c r="N4247" t="str">
        <f>IFERROR(__xludf.DUMMYFUNCTION("""COMPUTED_VALUE"""),"")</f>
        <v/>
      </c>
      <c r="O4247" t="str">
        <f>IFERROR(__xludf.DUMMYFUNCTION("""COMPUTED_VALUE"""),"")</f>
        <v/>
      </c>
      <c r="P4247" t="str">
        <f>IFERROR(__xludf.DUMMYFUNCTION("""COMPUTED_VALUE"""),"ID ")</f>
        <v>ID </v>
      </c>
    </row>
    <row r="4248">
      <c r="A4248" s="6" t="str">
        <f>IFERROR(__xludf.DUMMYFUNCTION("""COMPUTED_VALUE"""),"")</f>
        <v/>
      </c>
      <c r="C4248" t="str">
        <f>IFERROR(__xludf.DUMMYFUNCTION("""COMPUTED_VALUE"""),"")</f>
        <v/>
      </c>
      <c r="D4248" t="str">
        <f>IFERROR(__xludf.DUMMYFUNCTION("""COMPUTED_VALUE"""),"")</f>
        <v/>
      </c>
      <c r="E4248" t="str">
        <f>IFERROR(__xludf.DUMMYFUNCTION("""COMPUTED_VALUE"""),"")</f>
        <v/>
      </c>
      <c r="F4248" t="str">
        <f>IFERROR(__xludf.DUMMYFUNCTION("""COMPUTED_VALUE"""),"")</f>
        <v/>
      </c>
      <c r="G4248" t="str">
        <f>IFERROR(__xludf.DUMMYFUNCTION("""COMPUTED_VALUE"""),"")</f>
        <v/>
      </c>
      <c r="H4248" s="2" t="str">
        <f>IFERROR(__xludf.DUMMYFUNCTION("""COMPUTED_VALUE"""),"")</f>
        <v/>
      </c>
      <c r="I4248" s="2" t="str">
        <f>IFERROR(__xludf.DUMMYFUNCTION("""COMPUTED_VALUE"""),"")</f>
        <v/>
      </c>
      <c r="J4248" s="2">
        <f>IFERROR(__xludf.DUMMYFUNCTION("""COMPUTED_VALUE"""),0.0)</f>
        <v>0</v>
      </c>
      <c r="K4248" s="5" t="str">
        <f>IFERROR(__xludf.DUMMYFUNCTION("""COMPUTED_VALUE"""),"")</f>
        <v/>
      </c>
      <c r="L4248" t="str">
        <f>IFERROR(__xludf.DUMMYFUNCTION("""COMPUTED_VALUE"""),"")</f>
        <v/>
      </c>
      <c r="M4248" t="str">
        <f>IFERROR(__xludf.DUMMYFUNCTION("""COMPUTED_VALUE"""),"")</f>
        <v/>
      </c>
      <c r="N4248" t="str">
        <f>IFERROR(__xludf.DUMMYFUNCTION("""COMPUTED_VALUE"""),"")</f>
        <v/>
      </c>
      <c r="O4248" t="str">
        <f>IFERROR(__xludf.DUMMYFUNCTION("""COMPUTED_VALUE"""),"")</f>
        <v/>
      </c>
      <c r="P4248" t="str">
        <f>IFERROR(__xludf.DUMMYFUNCTION("""COMPUTED_VALUE"""),"ID ")</f>
        <v>ID </v>
      </c>
    </row>
    <row r="4249">
      <c r="A4249" s="6" t="str">
        <f>IFERROR(__xludf.DUMMYFUNCTION("""COMPUTED_VALUE"""),"")</f>
        <v/>
      </c>
      <c r="C4249" t="str">
        <f>IFERROR(__xludf.DUMMYFUNCTION("""COMPUTED_VALUE"""),"")</f>
        <v/>
      </c>
      <c r="D4249" t="str">
        <f>IFERROR(__xludf.DUMMYFUNCTION("""COMPUTED_VALUE"""),"")</f>
        <v/>
      </c>
      <c r="E4249" t="str">
        <f>IFERROR(__xludf.DUMMYFUNCTION("""COMPUTED_VALUE"""),"")</f>
        <v/>
      </c>
      <c r="F4249" t="str">
        <f>IFERROR(__xludf.DUMMYFUNCTION("""COMPUTED_VALUE"""),"")</f>
        <v/>
      </c>
      <c r="G4249" t="str">
        <f>IFERROR(__xludf.DUMMYFUNCTION("""COMPUTED_VALUE"""),"")</f>
        <v/>
      </c>
      <c r="H4249" s="2" t="str">
        <f>IFERROR(__xludf.DUMMYFUNCTION("""COMPUTED_VALUE"""),"")</f>
        <v/>
      </c>
      <c r="I4249" s="2" t="str">
        <f>IFERROR(__xludf.DUMMYFUNCTION("""COMPUTED_VALUE"""),"")</f>
        <v/>
      </c>
      <c r="J4249" s="2">
        <f>IFERROR(__xludf.DUMMYFUNCTION("""COMPUTED_VALUE"""),0.0)</f>
        <v>0</v>
      </c>
      <c r="K4249" s="5" t="str">
        <f>IFERROR(__xludf.DUMMYFUNCTION("""COMPUTED_VALUE"""),"")</f>
        <v/>
      </c>
      <c r="L4249" t="str">
        <f>IFERROR(__xludf.DUMMYFUNCTION("""COMPUTED_VALUE"""),"")</f>
        <v/>
      </c>
      <c r="M4249" t="str">
        <f>IFERROR(__xludf.DUMMYFUNCTION("""COMPUTED_VALUE"""),"")</f>
        <v/>
      </c>
      <c r="N4249" t="str">
        <f>IFERROR(__xludf.DUMMYFUNCTION("""COMPUTED_VALUE"""),"")</f>
        <v/>
      </c>
      <c r="O4249" t="str">
        <f>IFERROR(__xludf.DUMMYFUNCTION("""COMPUTED_VALUE"""),"")</f>
        <v/>
      </c>
      <c r="P4249" t="str">
        <f>IFERROR(__xludf.DUMMYFUNCTION("""COMPUTED_VALUE"""),"ID ")</f>
        <v>ID </v>
      </c>
    </row>
    <row r="4250">
      <c r="A4250" s="6" t="str">
        <f>IFERROR(__xludf.DUMMYFUNCTION("""COMPUTED_VALUE"""),"")</f>
        <v/>
      </c>
      <c r="C4250" t="str">
        <f>IFERROR(__xludf.DUMMYFUNCTION("""COMPUTED_VALUE"""),"")</f>
        <v/>
      </c>
      <c r="D4250" t="str">
        <f>IFERROR(__xludf.DUMMYFUNCTION("""COMPUTED_VALUE"""),"")</f>
        <v/>
      </c>
      <c r="E4250" t="str">
        <f>IFERROR(__xludf.DUMMYFUNCTION("""COMPUTED_VALUE"""),"")</f>
        <v/>
      </c>
      <c r="F4250" t="str">
        <f>IFERROR(__xludf.DUMMYFUNCTION("""COMPUTED_VALUE"""),"")</f>
        <v/>
      </c>
      <c r="G4250" t="str">
        <f>IFERROR(__xludf.DUMMYFUNCTION("""COMPUTED_VALUE"""),"")</f>
        <v/>
      </c>
      <c r="H4250" s="2" t="str">
        <f>IFERROR(__xludf.DUMMYFUNCTION("""COMPUTED_VALUE"""),"")</f>
        <v/>
      </c>
      <c r="I4250" s="2" t="str">
        <f>IFERROR(__xludf.DUMMYFUNCTION("""COMPUTED_VALUE"""),"")</f>
        <v/>
      </c>
      <c r="J4250" s="2">
        <f>IFERROR(__xludf.DUMMYFUNCTION("""COMPUTED_VALUE"""),0.0)</f>
        <v>0</v>
      </c>
      <c r="K4250" s="5" t="str">
        <f>IFERROR(__xludf.DUMMYFUNCTION("""COMPUTED_VALUE"""),"")</f>
        <v/>
      </c>
      <c r="L4250" t="str">
        <f>IFERROR(__xludf.DUMMYFUNCTION("""COMPUTED_VALUE"""),"")</f>
        <v/>
      </c>
      <c r="M4250" t="str">
        <f>IFERROR(__xludf.DUMMYFUNCTION("""COMPUTED_VALUE"""),"")</f>
        <v/>
      </c>
      <c r="N4250" t="str">
        <f>IFERROR(__xludf.DUMMYFUNCTION("""COMPUTED_VALUE"""),"")</f>
        <v/>
      </c>
      <c r="O4250" t="str">
        <f>IFERROR(__xludf.DUMMYFUNCTION("""COMPUTED_VALUE"""),"")</f>
        <v/>
      </c>
      <c r="P4250" t="str">
        <f>IFERROR(__xludf.DUMMYFUNCTION("""COMPUTED_VALUE"""),"ID ")</f>
        <v>ID </v>
      </c>
    </row>
    <row r="4251">
      <c r="A4251" s="6" t="str">
        <f>IFERROR(__xludf.DUMMYFUNCTION("""COMPUTED_VALUE"""),"")</f>
        <v/>
      </c>
      <c r="C4251" t="str">
        <f>IFERROR(__xludf.DUMMYFUNCTION("""COMPUTED_VALUE"""),"")</f>
        <v/>
      </c>
      <c r="D4251" t="str">
        <f>IFERROR(__xludf.DUMMYFUNCTION("""COMPUTED_VALUE"""),"")</f>
        <v/>
      </c>
      <c r="E4251" t="str">
        <f>IFERROR(__xludf.DUMMYFUNCTION("""COMPUTED_VALUE"""),"")</f>
        <v/>
      </c>
      <c r="F4251" t="str">
        <f>IFERROR(__xludf.DUMMYFUNCTION("""COMPUTED_VALUE"""),"")</f>
        <v/>
      </c>
      <c r="G4251" t="str">
        <f>IFERROR(__xludf.DUMMYFUNCTION("""COMPUTED_VALUE"""),"")</f>
        <v/>
      </c>
      <c r="H4251" s="2" t="str">
        <f>IFERROR(__xludf.DUMMYFUNCTION("""COMPUTED_VALUE"""),"")</f>
        <v/>
      </c>
      <c r="I4251" s="2" t="str">
        <f>IFERROR(__xludf.DUMMYFUNCTION("""COMPUTED_VALUE"""),"")</f>
        <v/>
      </c>
      <c r="J4251" s="2">
        <f>IFERROR(__xludf.DUMMYFUNCTION("""COMPUTED_VALUE"""),0.0)</f>
        <v>0</v>
      </c>
      <c r="K4251" s="5" t="str">
        <f>IFERROR(__xludf.DUMMYFUNCTION("""COMPUTED_VALUE"""),"")</f>
        <v/>
      </c>
      <c r="L4251" t="str">
        <f>IFERROR(__xludf.DUMMYFUNCTION("""COMPUTED_VALUE"""),"")</f>
        <v/>
      </c>
      <c r="M4251" t="str">
        <f>IFERROR(__xludf.DUMMYFUNCTION("""COMPUTED_VALUE"""),"")</f>
        <v/>
      </c>
      <c r="N4251" t="str">
        <f>IFERROR(__xludf.DUMMYFUNCTION("""COMPUTED_VALUE"""),"")</f>
        <v/>
      </c>
      <c r="O4251" t="str">
        <f>IFERROR(__xludf.DUMMYFUNCTION("""COMPUTED_VALUE"""),"")</f>
        <v/>
      </c>
      <c r="P4251" t="str">
        <f>IFERROR(__xludf.DUMMYFUNCTION("""COMPUTED_VALUE"""),"ID ")</f>
        <v>ID </v>
      </c>
    </row>
    <row r="4252">
      <c r="A4252" s="6" t="str">
        <f>IFERROR(__xludf.DUMMYFUNCTION("""COMPUTED_VALUE"""),"")</f>
        <v/>
      </c>
      <c r="C4252" t="str">
        <f>IFERROR(__xludf.DUMMYFUNCTION("""COMPUTED_VALUE"""),"")</f>
        <v/>
      </c>
      <c r="D4252" t="str">
        <f>IFERROR(__xludf.DUMMYFUNCTION("""COMPUTED_VALUE"""),"")</f>
        <v/>
      </c>
      <c r="E4252" t="str">
        <f>IFERROR(__xludf.DUMMYFUNCTION("""COMPUTED_VALUE"""),"")</f>
        <v/>
      </c>
      <c r="F4252" t="str">
        <f>IFERROR(__xludf.DUMMYFUNCTION("""COMPUTED_VALUE"""),"")</f>
        <v/>
      </c>
      <c r="G4252" t="str">
        <f>IFERROR(__xludf.DUMMYFUNCTION("""COMPUTED_VALUE"""),"")</f>
        <v/>
      </c>
      <c r="H4252" s="2" t="str">
        <f>IFERROR(__xludf.DUMMYFUNCTION("""COMPUTED_VALUE"""),"")</f>
        <v/>
      </c>
      <c r="I4252" s="2" t="str">
        <f>IFERROR(__xludf.DUMMYFUNCTION("""COMPUTED_VALUE"""),"")</f>
        <v/>
      </c>
      <c r="J4252" s="2">
        <f>IFERROR(__xludf.DUMMYFUNCTION("""COMPUTED_VALUE"""),0.0)</f>
        <v>0</v>
      </c>
      <c r="K4252" s="5" t="str">
        <f>IFERROR(__xludf.DUMMYFUNCTION("""COMPUTED_VALUE"""),"")</f>
        <v/>
      </c>
      <c r="L4252" t="str">
        <f>IFERROR(__xludf.DUMMYFUNCTION("""COMPUTED_VALUE"""),"")</f>
        <v/>
      </c>
      <c r="M4252" t="str">
        <f>IFERROR(__xludf.DUMMYFUNCTION("""COMPUTED_VALUE"""),"")</f>
        <v/>
      </c>
      <c r="N4252" t="str">
        <f>IFERROR(__xludf.DUMMYFUNCTION("""COMPUTED_VALUE"""),"")</f>
        <v/>
      </c>
      <c r="O4252" t="str">
        <f>IFERROR(__xludf.DUMMYFUNCTION("""COMPUTED_VALUE"""),"")</f>
        <v/>
      </c>
      <c r="P4252" t="str">
        <f>IFERROR(__xludf.DUMMYFUNCTION("""COMPUTED_VALUE"""),"ID ")</f>
        <v>ID </v>
      </c>
    </row>
    <row r="4253">
      <c r="A4253" s="6" t="str">
        <f>IFERROR(__xludf.DUMMYFUNCTION("""COMPUTED_VALUE"""),"")</f>
        <v/>
      </c>
      <c r="C4253" t="str">
        <f>IFERROR(__xludf.DUMMYFUNCTION("""COMPUTED_VALUE"""),"")</f>
        <v/>
      </c>
      <c r="D4253" t="str">
        <f>IFERROR(__xludf.DUMMYFUNCTION("""COMPUTED_VALUE"""),"")</f>
        <v/>
      </c>
      <c r="E4253" t="str">
        <f>IFERROR(__xludf.DUMMYFUNCTION("""COMPUTED_VALUE"""),"")</f>
        <v/>
      </c>
      <c r="F4253" t="str">
        <f>IFERROR(__xludf.DUMMYFUNCTION("""COMPUTED_VALUE"""),"")</f>
        <v/>
      </c>
      <c r="G4253" t="str">
        <f>IFERROR(__xludf.DUMMYFUNCTION("""COMPUTED_VALUE"""),"")</f>
        <v/>
      </c>
      <c r="H4253" s="2" t="str">
        <f>IFERROR(__xludf.DUMMYFUNCTION("""COMPUTED_VALUE"""),"")</f>
        <v/>
      </c>
      <c r="I4253" s="2" t="str">
        <f>IFERROR(__xludf.DUMMYFUNCTION("""COMPUTED_VALUE"""),"")</f>
        <v/>
      </c>
      <c r="J4253" s="2">
        <f>IFERROR(__xludf.DUMMYFUNCTION("""COMPUTED_VALUE"""),0.0)</f>
        <v>0</v>
      </c>
      <c r="K4253" s="5" t="str">
        <f>IFERROR(__xludf.DUMMYFUNCTION("""COMPUTED_VALUE"""),"")</f>
        <v/>
      </c>
      <c r="L4253" t="str">
        <f>IFERROR(__xludf.DUMMYFUNCTION("""COMPUTED_VALUE"""),"")</f>
        <v/>
      </c>
      <c r="M4253" t="str">
        <f>IFERROR(__xludf.DUMMYFUNCTION("""COMPUTED_VALUE"""),"")</f>
        <v/>
      </c>
      <c r="N4253" t="str">
        <f>IFERROR(__xludf.DUMMYFUNCTION("""COMPUTED_VALUE"""),"")</f>
        <v/>
      </c>
      <c r="O4253" t="str">
        <f>IFERROR(__xludf.DUMMYFUNCTION("""COMPUTED_VALUE"""),"")</f>
        <v/>
      </c>
      <c r="P4253" t="str">
        <f>IFERROR(__xludf.DUMMYFUNCTION("""COMPUTED_VALUE"""),"ID ")</f>
        <v>ID </v>
      </c>
    </row>
    <row r="4254">
      <c r="A4254" s="6" t="str">
        <f>IFERROR(__xludf.DUMMYFUNCTION("""COMPUTED_VALUE"""),"")</f>
        <v/>
      </c>
      <c r="C4254" t="str">
        <f>IFERROR(__xludf.DUMMYFUNCTION("""COMPUTED_VALUE"""),"")</f>
        <v/>
      </c>
      <c r="D4254" t="str">
        <f>IFERROR(__xludf.DUMMYFUNCTION("""COMPUTED_VALUE"""),"")</f>
        <v/>
      </c>
      <c r="E4254" t="str">
        <f>IFERROR(__xludf.DUMMYFUNCTION("""COMPUTED_VALUE"""),"")</f>
        <v/>
      </c>
      <c r="F4254" t="str">
        <f>IFERROR(__xludf.DUMMYFUNCTION("""COMPUTED_VALUE"""),"")</f>
        <v/>
      </c>
      <c r="G4254" t="str">
        <f>IFERROR(__xludf.DUMMYFUNCTION("""COMPUTED_VALUE"""),"")</f>
        <v/>
      </c>
      <c r="H4254" s="2" t="str">
        <f>IFERROR(__xludf.DUMMYFUNCTION("""COMPUTED_VALUE"""),"")</f>
        <v/>
      </c>
      <c r="I4254" s="2" t="str">
        <f>IFERROR(__xludf.DUMMYFUNCTION("""COMPUTED_VALUE"""),"")</f>
        <v/>
      </c>
      <c r="J4254" s="2">
        <f>IFERROR(__xludf.DUMMYFUNCTION("""COMPUTED_VALUE"""),0.0)</f>
        <v>0</v>
      </c>
      <c r="K4254" s="5" t="str">
        <f>IFERROR(__xludf.DUMMYFUNCTION("""COMPUTED_VALUE"""),"")</f>
        <v/>
      </c>
      <c r="L4254" t="str">
        <f>IFERROR(__xludf.DUMMYFUNCTION("""COMPUTED_VALUE"""),"")</f>
        <v/>
      </c>
      <c r="M4254" t="str">
        <f>IFERROR(__xludf.DUMMYFUNCTION("""COMPUTED_VALUE"""),"")</f>
        <v/>
      </c>
      <c r="N4254" t="str">
        <f>IFERROR(__xludf.DUMMYFUNCTION("""COMPUTED_VALUE"""),"")</f>
        <v/>
      </c>
      <c r="O4254" t="str">
        <f>IFERROR(__xludf.DUMMYFUNCTION("""COMPUTED_VALUE"""),"")</f>
        <v/>
      </c>
      <c r="P4254" t="str">
        <f>IFERROR(__xludf.DUMMYFUNCTION("""COMPUTED_VALUE"""),"ID ")</f>
        <v>ID </v>
      </c>
    </row>
    <row r="4255">
      <c r="A4255" s="6" t="str">
        <f>IFERROR(__xludf.DUMMYFUNCTION("""COMPUTED_VALUE"""),"")</f>
        <v/>
      </c>
      <c r="C4255" t="str">
        <f>IFERROR(__xludf.DUMMYFUNCTION("""COMPUTED_VALUE"""),"")</f>
        <v/>
      </c>
      <c r="D4255" t="str">
        <f>IFERROR(__xludf.DUMMYFUNCTION("""COMPUTED_VALUE"""),"")</f>
        <v/>
      </c>
      <c r="E4255" t="str">
        <f>IFERROR(__xludf.DUMMYFUNCTION("""COMPUTED_VALUE"""),"")</f>
        <v/>
      </c>
      <c r="F4255" t="str">
        <f>IFERROR(__xludf.DUMMYFUNCTION("""COMPUTED_VALUE"""),"")</f>
        <v/>
      </c>
      <c r="G4255" t="str">
        <f>IFERROR(__xludf.DUMMYFUNCTION("""COMPUTED_VALUE"""),"")</f>
        <v/>
      </c>
      <c r="H4255" s="2" t="str">
        <f>IFERROR(__xludf.DUMMYFUNCTION("""COMPUTED_VALUE"""),"")</f>
        <v/>
      </c>
      <c r="I4255" s="2" t="str">
        <f>IFERROR(__xludf.DUMMYFUNCTION("""COMPUTED_VALUE"""),"")</f>
        <v/>
      </c>
      <c r="J4255" s="2">
        <f>IFERROR(__xludf.DUMMYFUNCTION("""COMPUTED_VALUE"""),0.0)</f>
        <v>0</v>
      </c>
      <c r="K4255" s="5" t="str">
        <f>IFERROR(__xludf.DUMMYFUNCTION("""COMPUTED_VALUE"""),"")</f>
        <v/>
      </c>
      <c r="L4255" t="str">
        <f>IFERROR(__xludf.DUMMYFUNCTION("""COMPUTED_VALUE"""),"")</f>
        <v/>
      </c>
      <c r="M4255" t="str">
        <f>IFERROR(__xludf.DUMMYFUNCTION("""COMPUTED_VALUE"""),"")</f>
        <v/>
      </c>
      <c r="N4255" t="str">
        <f>IFERROR(__xludf.DUMMYFUNCTION("""COMPUTED_VALUE"""),"")</f>
        <v/>
      </c>
      <c r="O4255" t="str">
        <f>IFERROR(__xludf.DUMMYFUNCTION("""COMPUTED_VALUE"""),"")</f>
        <v/>
      </c>
      <c r="P4255" t="str">
        <f>IFERROR(__xludf.DUMMYFUNCTION("""COMPUTED_VALUE"""),"ID ")</f>
        <v>ID </v>
      </c>
    </row>
    <row r="4256">
      <c r="A4256" s="6" t="str">
        <f>IFERROR(__xludf.DUMMYFUNCTION("""COMPUTED_VALUE"""),"")</f>
        <v/>
      </c>
      <c r="C4256" t="str">
        <f>IFERROR(__xludf.DUMMYFUNCTION("""COMPUTED_VALUE"""),"")</f>
        <v/>
      </c>
      <c r="D4256" t="str">
        <f>IFERROR(__xludf.DUMMYFUNCTION("""COMPUTED_VALUE"""),"")</f>
        <v/>
      </c>
      <c r="E4256" t="str">
        <f>IFERROR(__xludf.DUMMYFUNCTION("""COMPUTED_VALUE"""),"")</f>
        <v/>
      </c>
      <c r="F4256" t="str">
        <f>IFERROR(__xludf.DUMMYFUNCTION("""COMPUTED_VALUE"""),"")</f>
        <v/>
      </c>
      <c r="G4256" t="str">
        <f>IFERROR(__xludf.DUMMYFUNCTION("""COMPUTED_VALUE"""),"")</f>
        <v/>
      </c>
      <c r="H4256" s="2" t="str">
        <f>IFERROR(__xludf.DUMMYFUNCTION("""COMPUTED_VALUE"""),"")</f>
        <v/>
      </c>
      <c r="I4256" s="2" t="str">
        <f>IFERROR(__xludf.DUMMYFUNCTION("""COMPUTED_VALUE"""),"")</f>
        <v/>
      </c>
      <c r="J4256" s="2">
        <f>IFERROR(__xludf.DUMMYFUNCTION("""COMPUTED_VALUE"""),0.0)</f>
        <v>0</v>
      </c>
      <c r="K4256" s="5" t="str">
        <f>IFERROR(__xludf.DUMMYFUNCTION("""COMPUTED_VALUE"""),"")</f>
        <v/>
      </c>
      <c r="L4256" t="str">
        <f>IFERROR(__xludf.DUMMYFUNCTION("""COMPUTED_VALUE"""),"")</f>
        <v/>
      </c>
      <c r="M4256" t="str">
        <f>IFERROR(__xludf.DUMMYFUNCTION("""COMPUTED_VALUE"""),"")</f>
        <v/>
      </c>
      <c r="N4256" t="str">
        <f>IFERROR(__xludf.DUMMYFUNCTION("""COMPUTED_VALUE"""),"")</f>
        <v/>
      </c>
      <c r="O4256" t="str">
        <f>IFERROR(__xludf.DUMMYFUNCTION("""COMPUTED_VALUE"""),"")</f>
        <v/>
      </c>
      <c r="P4256" t="str">
        <f>IFERROR(__xludf.DUMMYFUNCTION("""COMPUTED_VALUE"""),"ID ")</f>
        <v>ID </v>
      </c>
    </row>
    <row r="4257">
      <c r="A4257" s="6" t="str">
        <f>IFERROR(__xludf.DUMMYFUNCTION("""COMPUTED_VALUE"""),"")</f>
        <v/>
      </c>
      <c r="C4257" t="str">
        <f>IFERROR(__xludf.DUMMYFUNCTION("""COMPUTED_VALUE"""),"")</f>
        <v/>
      </c>
      <c r="D4257" t="str">
        <f>IFERROR(__xludf.DUMMYFUNCTION("""COMPUTED_VALUE"""),"")</f>
        <v/>
      </c>
      <c r="E4257" t="str">
        <f>IFERROR(__xludf.DUMMYFUNCTION("""COMPUTED_VALUE"""),"")</f>
        <v/>
      </c>
      <c r="F4257" t="str">
        <f>IFERROR(__xludf.DUMMYFUNCTION("""COMPUTED_VALUE"""),"")</f>
        <v/>
      </c>
      <c r="G4257" t="str">
        <f>IFERROR(__xludf.DUMMYFUNCTION("""COMPUTED_VALUE"""),"")</f>
        <v/>
      </c>
      <c r="H4257" s="2" t="str">
        <f>IFERROR(__xludf.DUMMYFUNCTION("""COMPUTED_VALUE"""),"")</f>
        <v/>
      </c>
      <c r="I4257" s="2" t="str">
        <f>IFERROR(__xludf.DUMMYFUNCTION("""COMPUTED_VALUE"""),"")</f>
        <v/>
      </c>
      <c r="J4257" s="2">
        <f>IFERROR(__xludf.DUMMYFUNCTION("""COMPUTED_VALUE"""),0.0)</f>
        <v>0</v>
      </c>
      <c r="K4257" s="5" t="str">
        <f>IFERROR(__xludf.DUMMYFUNCTION("""COMPUTED_VALUE"""),"")</f>
        <v/>
      </c>
      <c r="L4257" t="str">
        <f>IFERROR(__xludf.DUMMYFUNCTION("""COMPUTED_VALUE"""),"")</f>
        <v/>
      </c>
      <c r="M4257" t="str">
        <f>IFERROR(__xludf.DUMMYFUNCTION("""COMPUTED_VALUE"""),"")</f>
        <v/>
      </c>
      <c r="N4257" t="str">
        <f>IFERROR(__xludf.DUMMYFUNCTION("""COMPUTED_VALUE"""),"")</f>
        <v/>
      </c>
      <c r="O4257" t="str">
        <f>IFERROR(__xludf.DUMMYFUNCTION("""COMPUTED_VALUE"""),"")</f>
        <v/>
      </c>
      <c r="P4257" t="str">
        <f>IFERROR(__xludf.DUMMYFUNCTION("""COMPUTED_VALUE"""),"ID ")</f>
        <v>ID </v>
      </c>
    </row>
    <row r="4258">
      <c r="A4258" s="6" t="str">
        <f>IFERROR(__xludf.DUMMYFUNCTION("""COMPUTED_VALUE"""),"")</f>
        <v/>
      </c>
      <c r="C4258" t="str">
        <f>IFERROR(__xludf.DUMMYFUNCTION("""COMPUTED_VALUE"""),"")</f>
        <v/>
      </c>
      <c r="D4258" t="str">
        <f>IFERROR(__xludf.DUMMYFUNCTION("""COMPUTED_VALUE"""),"")</f>
        <v/>
      </c>
      <c r="E4258" t="str">
        <f>IFERROR(__xludf.DUMMYFUNCTION("""COMPUTED_VALUE"""),"")</f>
        <v/>
      </c>
      <c r="F4258" t="str">
        <f>IFERROR(__xludf.DUMMYFUNCTION("""COMPUTED_VALUE"""),"")</f>
        <v/>
      </c>
      <c r="G4258" t="str">
        <f>IFERROR(__xludf.DUMMYFUNCTION("""COMPUTED_VALUE"""),"")</f>
        <v/>
      </c>
      <c r="H4258" s="2" t="str">
        <f>IFERROR(__xludf.DUMMYFUNCTION("""COMPUTED_VALUE"""),"")</f>
        <v/>
      </c>
      <c r="I4258" s="2" t="str">
        <f>IFERROR(__xludf.DUMMYFUNCTION("""COMPUTED_VALUE"""),"")</f>
        <v/>
      </c>
      <c r="J4258" s="2">
        <f>IFERROR(__xludf.DUMMYFUNCTION("""COMPUTED_VALUE"""),0.0)</f>
        <v>0</v>
      </c>
      <c r="K4258" s="5" t="str">
        <f>IFERROR(__xludf.DUMMYFUNCTION("""COMPUTED_VALUE"""),"")</f>
        <v/>
      </c>
      <c r="L4258" t="str">
        <f>IFERROR(__xludf.DUMMYFUNCTION("""COMPUTED_VALUE"""),"")</f>
        <v/>
      </c>
      <c r="M4258" t="str">
        <f>IFERROR(__xludf.DUMMYFUNCTION("""COMPUTED_VALUE"""),"")</f>
        <v/>
      </c>
      <c r="N4258" t="str">
        <f>IFERROR(__xludf.DUMMYFUNCTION("""COMPUTED_VALUE"""),"")</f>
        <v/>
      </c>
      <c r="O4258" t="str">
        <f>IFERROR(__xludf.DUMMYFUNCTION("""COMPUTED_VALUE"""),"")</f>
        <v/>
      </c>
      <c r="P4258" t="str">
        <f>IFERROR(__xludf.DUMMYFUNCTION("""COMPUTED_VALUE"""),"ID ")</f>
        <v>ID </v>
      </c>
    </row>
    <row r="4259">
      <c r="A4259" s="6" t="str">
        <f>IFERROR(__xludf.DUMMYFUNCTION("""COMPUTED_VALUE"""),"")</f>
        <v/>
      </c>
      <c r="C4259" t="str">
        <f>IFERROR(__xludf.DUMMYFUNCTION("""COMPUTED_VALUE"""),"")</f>
        <v/>
      </c>
      <c r="D4259" t="str">
        <f>IFERROR(__xludf.DUMMYFUNCTION("""COMPUTED_VALUE"""),"")</f>
        <v/>
      </c>
      <c r="E4259" t="str">
        <f>IFERROR(__xludf.DUMMYFUNCTION("""COMPUTED_VALUE"""),"")</f>
        <v/>
      </c>
      <c r="F4259" t="str">
        <f>IFERROR(__xludf.DUMMYFUNCTION("""COMPUTED_VALUE"""),"")</f>
        <v/>
      </c>
      <c r="G4259" t="str">
        <f>IFERROR(__xludf.DUMMYFUNCTION("""COMPUTED_VALUE"""),"")</f>
        <v/>
      </c>
      <c r="H4259" s="2" t="str">
        <f>IFERROR(__xludf.DUMMYFUNCTION("""COMPUTED_VALUE"""),"")</f>
        <v/>
      </c>
      <c r="I4259" s="2" t="str">
        <f>IFERROR(__xludf.DUMMYFUNCTION("""COMPUTED_VALUE"""),"")</f>
        <v/>
      </c>
      <c r="J4259" s="2">
        <f>IFERROR(__xludf.DUMMYFUNCTION("""COMPUTED_VALUE"""),0.0)</f>
        <v>0</v>
      </c>
      <c r="K4259" s="5" t="str">
        <f>IFERROR(__xludf.DUMMYFUNCTION("""COMPUTED_VALUE"""),"")</f>
        <v/>
      </c>
      <c r="L4259" t="str">
        <f>IFERROR(__xludf.DUMMYFUNCTION("""COMPUTED_VALUE"""),"")</f>
        <v/>
      </c>
      <c r="M4259" t="str">
        <f>IFERROR(__xludf.DUMMYFUNCTION("""COMPUTED_VALUE"""),"")</f>
        <v/>
      </c>
      <c r="N4259" t="str">
        <f>IFERROR(__xludf.DUMMYFUNCTION("""COMPUTED_VALUE"""),"")</f>
        <v/>
      </c>
      <c r="O4259" t="str">
        <f>IFERROR(__xludf.DUMMYFUNCTION("""COMPUTED_VALUE"""),"")</f>
        <v/>
      </c>
      <c r="P4259" t="str">
        <f>IFERROR(__xludf.DUMMYFUNCTION("""COMPUTED_VALUE"""),"ID ")</f>
        <v>ID </v>
      </c>
    </row>
    <row r="4260">
      <c r="A4260" s="6" t="str">
        <f>IFERROR(__xludf.DUMMYFUNCTION("""COMPUTED_VALUE"""),"")</f>
        <v/>
      </c>
      <c r="C4260" t="str">
        <f>IFERROR(__xludf.DUMMYFUNCTION("""COMPUTED_VALUE"""),"")</f>
        <v/>
      </c>
      <c r="D4260" t="str">
        <f>IFERROR(__xludf.DUMMYFUNCTION("""COMPUTED_VALUE"""),"")</f>
        <v/>
      </c>
      <c r="E4260" t="str">
        <f>IFERROR(__xludf.DUMMYFUNCTION("""COMPUTED_VALUE"""),"")</f>
        <v/>
      </c>
      <c r="F4260" t="str">
        <f>IFERROR(__xludf.DUMMYFUNCTION("""COMPUTED_VALUE"""),"")</f>
        <v/>
      </c>
      <c r="G4260" t="str">
        <f>IFERROR(__xludf.DUMMYFUNCTION("""COMPUTED_VALUE"""),"")</f>
        <v/>
      </c>
      <c r="H4260" s="2" t="str">
        <f>IFERROR(__xludf.DUMMYFUNCTION("""COMPUTED_VALUE"""),"")</f>
        <v/>
      </c>
      <c r="I4260" s="2" t="str">
        <f>IFERROR(__xludf.DUMMYFUNCTION("""COMPUTED_VALUE"""),"")</f>
        <v/>
      </c>
      <c r="J4260" s="2">
        <f>IFERROR(__xludf.DUMMYFUNCTION("""COMPUTED_VALUE"""),0.0)</f>
        <v>0</v>
      </c>
      <c r="K4260" s="5" t="str">
        <f>IFERROR(__xludf.DUMMYFUNCTION("""COMPUTED_VALUE"""),"")</f>
        <v/>
      </c>
      <c r="L4260" t="str">
        <f>IFERROR(__xludf.DUMMYFUNCTION("""COMPUTED_VALUE"""),"")</f>
        <v/>
      </c>
      <c r="M4260" t="str">
        <f>IFERROR(__xludf.DUMMYFUNCTION("""COMPUTED_VALUE"""),"")</f>
        <v/>
      </c>
      <c r="N4260" t="str">
        <f>IFERROR(__xludf.DUMMYFUNCTION("""COMPUTED_VALUE"""),"")</f>
        <v/>
      </c>
      <c r="O4260" t="str">
        <f>IFERROR(__xludf.DUMMYFUNCTION("""COMPUTED_VALUE"""),"")</f>
        <v/>
      </c>
      <c r="P4260" t="str">
        <f>IFERROR(__xludf.DUMMYFUNCTION("""COMPUTED_VALUE"""),"ID ")</f>
        <v>ID </v>
      </c>
    </row>
    <row r="4261">
      <c r="A4261" s="6" t="str">
        <f>IFERROR(__xludf.DUMMYFUNCTION("""COMPUTED_VALUE"""),"")</f>
        <v/>
      </c>
      <c r="C4261" t="str">
        <f>IFERROR(__xludf.DUMMYFUNCTION("""COMPUTED_VALUE"""),"")</f>
        <v/>
      </c>
      <c r="D4261" t="str">
        <f>IFERROR(__xludf.DUMMYFUNCTION("""COMPUTED_VALUE"""),"")</f>
        <v/>
      </c>
      <c r="E4261" t="str">
        <f>IFERROR(__xludf.DUMMYFUNCTION("""COMPUTED_VALUE"""),"")</f>
        <v/>
      </c>
      <c r="F4261" t="str">
        <f>IFERROR(__xludf.DUMMYFUNCTION("""COMPUTED_VALUE"""),"")</f>
        <v/>
      </c>
      <c r="G4261" t="str">
        <f>IFERROR(__xludf.DUMMYFUNCTION("""COMPUTED_VALUE"""),"")</f>
        <v/>
      </c>
      <c r="H4261" s="2" t="str">
        <f>IFERROR(__xludf.DUMMYFUNCTION("""COMPUTED_VALUE"""),"")</f>
        <v/>
      </c>
      <c r="I4261" s="2" t="str">
        <f>IFERROR(__xludf.DUMMYFUNCTION("""COMPUTED_VALUE"""),"")</f>
        <v/>
      </c>
      <c r="J4261" s="2">
        <f>IFERROR(__xludf.DUMMYFUNCTION("""COMPUTED_VALUE"""),0.0)</f>
        <v>0</v>
      </c>
      <c r="K4261" s="5" t="str">
        <f>IFERROR(__xludf.DUMMYFUNCTION("""COMPUTED_VALUE"""),"")</f>
        <v/>
      </c>
      <c r="L4261" t="str">
        <f>IFERROR(__xludf.DUMMYFUNCTION("""COMPUTED_VALUE"""),"")</f>
        <v/>
      </c>
      <c r="M4261" t="str">
        <f>IFERROR(__xludf.DUMMYFUNCTION("""COMPUTED_VALUE"""),"")</f>
        <v/>
      </c>
      <c r="N4261" t="str">
        <f>IFERROR(__xludf.DUMMYFUNCTION("""COMPUTED_VALUE"""),"")</f>
        <v/>
      </c>
      <c r="O4261" t="str">
        <f>IFERROR(__xludf.DUMMYFUNCTION("""COMPUTED_VALUE"""),"")</f>
        <v/>
      </c>
      <c r="P4261" t="str">
        <f>IFERROR(__xludf.DUMMYFUNCTION("""COMPUTED_VALUE"""),"ID ")</f>
        <v>ID </v>
      </c>
    </row>
    <row r="4262">
      <c r="A4262" s="6" t="str">
        <f>IFERROR(__xludf.DUMMYFUNCTION("""COMPUTED_VALUE"""),"")</f>
        <v/>
      </c>
      <c r="C4262" t="str">
        <f>IFERROR(__xludf.DUMMYFUNCTION("""COMPUTED_VALUE"""),"")</f>
        <v/>
      </c>
      <c r="D4262" t="str">
        <f>IFERROR(__xludf.DUMMYFUNCTION("""COMPUTED_VALUE"""),"")</f>
        <v/>
      </c>
      <c r="E4262" t="str">
        <f>IFERROR(__xludf.DUMMYFUNCTION("""COMPUTED_VALUE"""),"")</f>
        <v/>
      </c>
      <c r="F4262" t="str">
        <f>IFERROR(__xludf.DUMMYFUNCTION("""COMPUTED_VALUE"""),"")</f>
        <v/>
      </c>
      <c r="G4262" t="str">
        <f>IFERROR(__xludf.DUMMYFUNCTION("""COMPUTED_VALUE"""),"")</f>
        <v/>
      </c>
      <c r="H4262" s="2" t="str">
        <f>IFERROR(__xludf.DUMMYFUNCTION("""COMPUTED_VALUE"""),"")</f>
        <v/>
      </c>
      <c r="I4262" s="2" t="str">
        <f>IFERROR(__xludf.DUMMYFUNCTION("""COMPUTED_VALUE"""),"")</f>
        <v/>
      </c>
      <c r="J4262" s="2">
        <f>IFERROR(__xludf.DUMMYFUNCTION("""COMPUTED_VALUE"""),0.0)</f>
        <v>0</v>
      </c>
      <c r="K4262" s="5" t="str">
        <f>IFERROR(__xludf.DUMMYFUNCTION("""COMPUTED_VALUE"""),"")</f>
        <v/>
      </c>
      <c r="L4262" t="str">
        <f>IFERROR(__xludf.DUMMYFUNCTION("""COMPUTED_VALUE"""),"")</f>
        <v/>
      </c>
      <c r="M4262" t="str">
        <f>IFERROR(__xludf.DUMMYFUNCTION("""COMPUTED_VALUE"""),"")</f>
        <v/>
      </c>
      <c r="N4262" t="str">
        <f>IFERROR(__xludf.DUMMYFUNCTION("""COMPUTED_VALUE"""),"")</f>
        <v/>
      </c>
      <c r="O4262" t="str">
        <f>IFERROR(__xludf.DUMMYFUNCTION("""COMPUTED_VALUE"""),"")</f>
        <v/>
      </c>
      <c r="P4262" t="str">
        <f>IFERROR(__xludf.DUMMYFUNCTION("""COMPUTED_VALUE"""),"ID ")</f>
        <v>ID </v>
      </c>
    </row>
    <row r="4263">
      <c r="A4263" s="6" t="str">
        <f>IFERROR(__xludf.DUMMYFUNCTION("""COMPUTED_VALUE"""),"")</f>
        <v/>
      </c>
      <c r="C4263" t="str">
        <f>IFERROR(__xludf.DUMMYFUNCTION("""COMPUTED_VALUE"""),"")</f>
        <v/>
      </c>
      <c r="D4263" t="str">
        <f>IFERROR(__xludf.DUMMYFUNCTION("""COMPUTED_VALUE"""),"")</f>
        <v/>
      </c>
      <c r="E4263" t="str">
        <f>IFERROR(__xludf.DUMMYFUNCTION("""COMPUTED_VALUE"""),"")</f>
        <v/>
      </c>
      <c r="F4263" t="str">
        <f>IFERROR(__xludf.DUMMYFUNCTION("""COMPUTED_VALUE"""),"")</f>
        <v/>
      </c>
      <c r="G4263" t="str">
        <f>IFERROR(__xludf.DUMMYFUNCTION("""COMPUTED_VALUE"""),"")</f>
        <v/>
      </c>
      <c r="H4263" s="2" t="str">
        <f>IFERROR(__xludf.DUMMYFUNCTION("""COMPUTED_VALUE"""),"")</f>
        <v/>
      </c>
      <c r="I4263" s="2" t="str">
        <f>IFERROR(__xludf.DUMMYFUNCTION("""COMPUTED_VALUE"""),"")</f>
        <v/>
      </c>
      <c r="J4263" s="2">
        <f>IFERROR(__xludf.DUMMYFUNCTION("""COMPUTED_VALUE"""),0.0)</f>
        <v>0</v>
      </c>
      <c r="K4263" s="5" t="str">
        <f>IFERROR(__xludf.DUMMYFUNCTION("""COMPUTED_VALUE"""),"")</f>
        <v/>
      </c>
      <c r="L4263" t="str">
        <f>IFERROR(__xludf.DUMMYFUNCTION("""COMPUTED_VALUE"""),"")</f>
        <v/>
      </c>
      <c r="M4263" t="str">
        <f>IFERROR(__xludf.DUMMYFUNCTION("""COMPUTED_VALUE"""),"")</f>
        <v/>
      </c>
      <c r="N4263" t="str">
        <f>IFERROR(__xludf.DUMMYFUNCTION("""COMPUTED_VALUE"""),"")</f>
        <v/>
      </c>
      <c r="O4263" t="str">
        <f>IFERROR(__xludf.DUMMYFUNCTION("""COMPUTED_VALUE"""),"")</f>
        <v/>
      </c>
      <c r="P4263" t="str">
        <f>IFERROR(__xludf.DUMMYFUNCTION("""COMPUTED_VALUE"""),"ID ")</f>
        <v>ID </v>
      </c>
    </row>
    <row r="4264">
      <c r="A4264" s="6" t="str">
        <f>IFERROR(__xludf.DUMMYFUNCTION("""COMPUTED_VALUE"""),"")</f>
        <v/>
      </c>
      <c r="C4264" t="str">
        <f>IFERROR(__xludf.DUMMYFUNCTION("""COMPUTED_VALUE"""),"")</f>
        <v/>
      </c>
      <c r="D4264" t="str">
        <f>IFERROR(__xludf.DUMMYFUNCTION("""COMPUTED_VALUE"""),"")</f>
        <v/>
      </c>
      <c r="E4264" t="str">
        <f>IFERROR(__xludf.DUMMYFUNCTION("""COMPUTED_VALUE"""),"")</f>
        <v/>
      </c>
      <c r="F4264" t="str">
        <f>IFERROR(__xludf.DUMMYFUNCTION("""COMPUTED_VALUE"""),"")</f>
        <v/>
      </c>
      <c r="G4264" t="str">
        <f>IFERROR(__xludf.DUMMYFUNCTION("""COMPUTED_VALUE"""),"")</f>
        <v/>
      </c>
      <c r="H4264" s="2" t="str">
        <f>IFERROR(__xludf.DUMMYFUNCTION("""COMPUTED_VALUE"""),"")</f>
        <v/>
      </c>
      <c r="I4264" s="2" t="str">
        <f>IFERROR(__xludf.DUMMYFUNCTION("""COMPUTED_VALUE"""),"")</f>
        <v/>
      </c>
      <c r="J4264" s="2">
        <f>IFERROR(__xludf.DUMMYFUNCTION("""COMPUTED_VALUE"""),0.0)</f>
        <v>0</v>
      </c>
      <c r="K4264" s="5" t="str">
        <f>IFERROR(__xludf.DUMMYFUNCTION("""COMPUTED_VALUE"""),"")</f>
        <v/>
      </c>
      <c r="L4264" t="str">
        <f>IFERROR(__xludf.DUMMYFUNCTION("""COMPUTED_VALUE"""),"")</f>
        <v/>
      </c>
      <c r="M4264" t="str">
        <f>IFERROR(__xludf.DUMMYFUNCTION("""COMPUTED_VALUE"""),"")</f>
        <v/>
      </c>
      <c r="N4264" t="str">
        <f>IFERROR(__xludf.DUMMYFUNCTION("""COMPUTED_VALUE"""),"")</f>
        <v/>
      </c>
      <c r="O4264" t="str">
        <f>IFERROR(__xludf.DUMMYFUNCTION("""COMPUTED_VALUE"""),"")</f>
        <v/>
      </c>
      <c r="P4264" t="str">
        <f>IFERROR(__xludf.DUMMYFUNCTION("""COMPUTED_VALUE"""),"ID ")</f>
        <v>ID </v>
      </c>
    </row>
    <row r="4265">
      <c r="A4265" s="6" t="str">
        <f>IFERROR(__xludf.DUMMYFUNCTION("""COMPUTED_VALUE"""),"")</f>
        <v/>
      </c>
      <c r="C4265" t="str">
        <f>IFERROR(__xludf.DUMMYFUNCTION("""COMPUTED_VALUE"""),"")</f>
        <v/>
      </c>
      <c r="D4265" t="str">
        <f>IFERROR(__xludf.DUMMYFUNCTION("""COMPUTED_VALUE"""),"")</f>
        <v/>
      </c>
      <c r="E4265" t="str">
        <f>IFERROR(__xludf.DUMMYFUNCTION("""COMPUTED_VALUE"""),"")</f>
        <v/>
      </c>
      <c r="F4265" t="str">
        <f>IFERROR(__xludf.DUMMYFUNCTION("""COMPUTED_VALUE"""),"")</f>
        <v/>
      </c>
      <c r="G4265" t="str">
        <f>IFERROR(__xludf.DUMMYFUNCTION("""COMPUTED_VALUE"""),"")</f>
        <v/>
      </c>
      <c r="H4265" s="2" t="str">
        <f>IFERROR(__xludf.DUMMYFUNCTION("""COMPUTED_VALUE"""),"")</f>
        <v/>
      </c>
      <c r="I4265" s="2" t="str">
        <f>IFERROR(__xludf.DUMMYFUNCTION("""COMPUTED_VALUE"""),"")</f>
        <v/>
      </c>
      <c r="J4265" s="2">
        <f>IFERROR(__xludf.DUMMYFUNCTION("""COMPUTED_VALUE"""),0.0)</f>
        <v>0</v>
      </c>
      <c r="K4265" s="5" t="str">
        <f>IFERROR(__xludf.DUMMYFUNCTION("""COMPUTED_VALUE"""),"")</f>
        <v/>
      </c>
      <c r="L4265" t="str">
        <f>IFERROR(__xludf.DUMMYFUNCTION("""COMPUTED_VALUE"""),"")</f>
        <v/>
      </c>
      <c r="M4265" t="str">
        <f>IFERROR(__xludf.DUMMYFUNCTION("""COMPUTED_VALUE"""),"")</f>
        <v/>
      </c>
      <c r="N4265" t="str">
        <f>IFERROR(__xludf.DUMMYFUNCTION("""COMPUTED_VALUE"""),"")</f>
        <v/>
      </c>
      <c r="O4265" t="str">
        <f>IFERROR(__xludf.DUMMYFUNCTION("""COMPUTED_VALUE"""),"")</f>
        <v/>
      </c>
      <c r="P4265" t="str">
        <f>IFERROR(__xludf.DUMMYFUNCTION("""COMPUTED_VALUE"""),"ID ")</f>
        <v>ID </v>
      </c>
    </row>
    <row r="4266">
      <c r="A4266" s="6" t="str">
        <f>IFERROR(__xludf.DUMMYFUNCTION("""COMPUTED_VALUE"""),"")</f>
        <v/>
      </c>
      <c r="C4266" t="str">
        <f>IFERROR(__xludf.DUMMYFUNCTION("""COMPUTED_VALUE"""),"")</f>
        <v/>
      </c>
      <c r="D4266" t="str">
        <f>IFERROR(__xludf.DUMMYFUNCTION("""COMPUTED_VALUE"""),"")</f>
        <v/>
      </c>
      <c r="E4266" t="str">
        <f>IFERROR(__xludf.DUMMYFUNCTION("""COMPUTED_VALUE"""),"")</f>
        <v/>
      </c>
      <c r="F4266" t="str">
        <f>IFERROR(__xludf.DUMMYFUNCTION("""COMPUTED_VALUE"""),"")</f>
        <v/>
      </c>
      <c r="G4266" t="str">
        <f>IFERROR(__xludf.DUMMYFUNCTION("""COMPUTED_VALUE"""),"")</f>
        <v/>
      </c>
      <c r="H4266" s="2" t="str">
        <f>IFERROR(__xludf.DUMMYFUNCTION("""COMPUTED_VALUE"""),"")</f>
        <v/>
      </c>
      <c r="I4266" s="2" t="str">
        <f>IFERROR(__xludf.DUMMYFUNCTION("""COMPUTED_VALUE"""),"")</f>
        <v/>
      </c>
      <c r="J4266" s="2">
        <f>IFERROR(__xludf.DUMMYFUNCTION("""COMPUTED_VALUE"""),0.0)</f>
        <v>0</v>
      </c>
      <c r="K4266" s="5" t="str">
        <f>IFERROR(__xludf.DUMMYFUNCTION("""COMPUTED_VALUE"""),"")</f>
        <v/>
      </c>
      <c r="L4266" t="str">
        <f>IFERROR(__xludf.DUMMYFUNCTION("""COMPUTED_VALUE"""),"")</f>
        <v/>
      </c>
      <c r="M4266" t="str">
        <f>IFERROR(__xludf.DUMMYFUNCTION("""COMPUTED_VALUE"""),"")</f>
        <v/>
      </c>
      <c r="N4266" t="str">
        <f>IFERROR(__xludf.DUMMYFUNCTION("""COMPUTED_VALUE"""),"")</f>
        <v/>
      </c>
      <c r="O4266" t="str">
        <f>IFERROR(__xludf.DUMMYFUNCTION("""COMPUTED_VALUE"""),"")</f>
        <v/>
      </c>
      <c r="P4266" t="str">
        <f>IFERROR(__xludf.DUMMYFUNCTION("""COMPUTED_VALUE"""),"ID ")</f>
        <v>ID </v>
      </c>
    </row>
    <row r="4267">
      <c r="A4267" s="6" t="str">
        <f>IFERROR(__xludf.DUMMYFUNCTION("""COMPUTED_VALUE"""),"")</f>
        <v/>
      </c>
      <c r="C4267" t="str">
        <f>IFERROR(__xludf.DUMMYFUNCTION("""COMPUTED_VALUE"""),"")</f>
        <v/>
      </c>
      <c r="D4267" t="str">
        <f>IFERROR(__xludf.DUMMYFUNCTION("""COMPUTED_VALUE"""),"")</f>
        <v/>
      </c>
      <c r="E4267" t="str">
        <f>IFERROR(__xludf.DUMMYFUNCTION("""COMPUTED_VALUE"""),"")</f>
        <v/>
      </c>
      <c r="F4267" t="str">
        <f>IFERROR(__xludf.DUMMYFUNCTION("""COMPUTED_VALUE"""),"")</f>
        <v/>
      </c>
      <c r="G4267" t="str">
        <f>IFERROR(__xludf.DUMMYFUNCTION("""COMPUTED_VALUE"""),"")</f>
        <v/>
      </c>
      <c r="H4267" s="2" t="str">
        <f>IFERROR(__xludf.DUMMYFUNCTION("""COMPUTED_VALUE"""),"")</f>
        <v/>
      </c>
      <c r="I4267" s="2" t="str">
        <f>IFERROR(__xludf.DUMMYFUNCTION("""COMPUTED_VALUE"""),"")</f>
        <v/>
      </c>
      <c r="J4267" s="2">
        <f>IFERROR(__xludf.DUMMYFUNCTION("""COMPUTED_VALUE"""),0.0)</f>
        <v>0</v>
      </c>
      <c r="K4267" s="5" t="str">
        <f>IFERROR(__xludf.DUMMYFUNCTION("""COMPUTED_VALUE"""),"")</f>
        <v/>
      </c>
      <c r="L4267" t="str">
        <f>IFERROR(__xludf.DUMMYFUNCTION("""COMPUTED_VALUE"""),"")</f>
        <v/>
      </c>
      <c r="M4267" t="str">
        <f>IFERROR(__xludf.DUMMYFUNCTION("""COMPUTED_VALUE"""),"")</f>
        <v/>
      </c>
      <c r="N4267" t="str">
        <f>IFERROR(__xludf.DUMMYFUNCTION("""COMPUTED_VALUE"""),"")</f>
        <v/>
      </c>
      <c r="O4267" t="str">
        <f>IFERROR(__xludf.DUMMYFUNCTION("""COMPUTED_VALUE"""),"")</f>
        <v/>
      </c>
      <c r="P4267" t="str">
        <f>IFERROR(__xludf.DUMMYFUNCTION("""COMPUTED_VALUE"""),"ID ")</f>
        <v>ID </v>
      </c>
    </row>
    <row r="4268">
      <c r="A4268" s="6" t="str">
        <f>IFERROR(__xludf.DUMMYFUNCTION("""COMPUTED_VALUE"""),"")</f>
        <v/>
      </c>
      <c r="C4268" t="str">
        <f>IFERROR(__xludf.DUMMYFUNCTION("""COMPUTED_VALUE"""),"")</f>
        <v/>
      </c>
      <c r="D4268" t="str">
        <f>IFERROR(__xludf.DUMMYFUNCTION("""COMPUTED_VALUE"""),"")</f>
        <v/>
      </c>
      <c r="E4268" t="str">
        <f>IFERROR(__xludf.DUMMYFUNCTION("""COMPUTED_VALUE"""),"")</f>
        <v/>
      </c>
      <c r="F4268" t="str">
        <f>IFERROR(__xludf.DUMMYFUNCTION("""COMPUTED_VALUE"""),"")</f>
        <v/>
      </c>
      <c r="G4268" t="str">
        <f>IFERROR(__xludf.DUMMYFUNCTION("""COMPUTED_VALUE"""),"")</f>
        <v/>
      </c>
      <c r="H4268" s="2" t="str">
        <f>IFERROR(__xludf.DUMMYFUNCTION("""COMPUTED_VALUE"""),"")</f>
        <v/>
      </c>
      <c r="I4268" s="2" t="str">
        <f>IFERROR(__xludf.DUMMYFUNCTION("""COMPUTED_VALUE"""),"")</f>
        <v/>
      </c>
      <c r="J4268" s="2">
        <f>IFERROR(__xludf.DUMMYFUNCTION("""COMPUTED_VALUE"""),0.0)</f>
        <v>0</v>
      </c>
      <c r="K4268" s="5" t="str">
        <f>IFERROR(__xludf.DUMMYFUNCTION("""COMPUTED_VALUE"""),"")</f>
        <v/>
      </c>
      <c r="L4268" t="str">
        <f>IFERROR(__xludf.DUMMYFUNCTION("""COMPUTED_VALUE"""),"")</f>
        <v/>
      </c>
      <c r="M4268" t="str">
        <f>IFERROR(__xludf.DUMMYFUNCTION("""COMPUTED_VALUE"""),"")</f>
        <v/>
      </c>
      <c r="N4268" t="str">
        <f>IFERROR(__xludf.DUMMYFUNCTION("""COMPUTED_VALUE"""),"")</f>
        <v/>
      </c>
      <c r="O4268" t="str">
        <f>IFERROR(__xludf.DUMMYFUNCTION("""COMPUTED_VALUE"""),"")</f>
        <v/>
      </c>
      <c r="P4268" t="str">
        <f>IFERROR(__xludf.DUMMYFUNCTION("""COMPUTED_VALUE"""),"ID ")</f>
        <v>ID </v>
      </c>
    </row>
    <row r="4269">
      <c r="A4269" s="6" t="str">
        <f>IFERROR(__xludf.DUMMYFUNCTION("""COMPUTED_VALUE"""),"")</f>
        <v/>
      </c>
      <c r="C4269" t="str">
        <f>IFERROR(__xludf.DUMMYFUNCTION("""COMPUTED_VALUE"""),"")</f>
        <v/>
      </c>
      <c r="D4269" t="str">
        <f>IFERROR(__xludf.DUMMYFUNCTION("""COMPUTED_VALUE"""),"")</f>
        <v/>
      </c>
      <c r="E4269" t="str">
        <f>IFERROR(__xludf.DUMMYFUNCTION("""COMPUTED_VALUE"""),"")</f>
        <v/>
      </c>
      <c r="F4269" t="str">
        <f>IFERROR(__xludf.DUMMYFUNCTION("""COMPUTED_VALUE"""),"")</f>
        <v/>
      </c>
      <c r="G4269" t="str">
        <f>IFERROR(__xludf.DUMMYFUNCTION("""COMPUTED_VALUE"""),"")</f>
        <v/>
      </c>
      <c r="H4269" s="2" t="str">
        <f>IFERROR(__xludf.DUMMYFUNCTION("""COMPUTED_VALUE"""),"")</f>
        <v/>
      </c>
      <c r="I4269" s="2" t="str">
        <f>IFERROR(__xludf.DUMMYFUNCTION("""COMPUTED_VALUE"""),"")</f>
        <v/>
      </c>
      <c r="J4269" s="2">
        <f>IFERROR(__xludf.DUMMYFUNCTION("""COMPUTED_VALUE"""),0.0)</f>
        <v>0</v>
      </c>
      <c r="K4269" s="5" t="str">
        <f>IFERROR(__xludf.DUMMYFUNCTION("""COMPUTED_VALUE"""),"")</f>
        <v/>
      </c>
      <c r="L4269" t="str">
        <f>IFERROR(__xludf.DUMMYFUNCTION("""COMPUTED_VALUE"""),"")</f>
        <v/>
      </c>
      <c r="M4269" t="str">
        <f>IFERROR(__xludf.DUMMYFUNCTION("""COMPUTED_VALUE"""),"")</f>
        <v/>
      </c>
      <c r="N4269" t="str">
        <f>IFERROR(__xludf.DUMMYFUNCTION("""COMPUTED_VALUE"""),"")</f>
        <v/>
      </c>
      <c r="O4269" t="str">
        <f>IFERROR(__xludf.DUMMYFUNCTION("""COMPUTED_VALUE"""),"")</f>
        <v/>
      </c>
      <c r="P4269" t="str">
        <f>IFERROR(__xludf.DUMMYFUNCTION("""COMPUTED_VALUE"""),"ID ")</f>
        <v>ID </v>
      </c>
    </row>
    <row r="4270">
      <c r="A4270" s="6" t="str">
        <f>IFERROR(__xludf.DUMMYFUNCTION("""COMPUTED_VALUE"""),"")</f>
        <v/>
      </c>
      <c r="C4270" t="str">
        <f>IFERROR(__xludf.DUMMYFUNCTION("""COMPUTED_VALUE"""),"")</f>
        <v/>
      </c>
      <c r="D4270" t="str">
        <f>IFERROR(__xludf.DUMMYFUNCTION("""COMPUTED_VALUE"""),"")</f>
        <v/>
      </c>
      <c r="E4270" t="str">
        <f>IFERROR(__xludf.DUMMYFUNCTION("""COMPUTED_VALUE"""),"")</f>
        <v/>
      </c>
      <c r="F4270" t="str">
        <f>IFERROR(__xludf.DUMMYFUNCTION("""COMPUTED_VALUE"""),"")</f>
        <v/>
      </c>
      <c r="G4270" t="str">
        <f>IFERROR(__xludf.DUMMYFUNCTION("""COMPUTED_VALUE"""),"")</f>
        <v/>
      </c>
      <c r="H4270" s="2" t="str">
        <f>IFERROR(__xludf.DUMMYFUNCTION("""COMPUTED_VALUE"""),"")</f>
        <v/>
      </c>
      <c r="I4270" s="2" t="str">
        <f>IFERROR(__xludf.DUMMYFUNCTION("""COMPUTED_VALUE"""),"")</f>
        <v/>
      </c>
      <c r="J4270" s="2">
        <f>IFERROR(__xludf.DUMMYFUNCTION("""COMPUTED_VALUE"""),0.0)</f>
        <v>0</v>
      </c>
      <c r="K4270" s="5" t="str">
        <f>IFERROR(__xludf.DUMMYFUNCTION("""COMPUTED_VALUE"""),"")</f>
        <v/>
      </c>
      <c r="L4270" t="str">
        <f>IFERROR(__xludf.DUMMYFUNCTION("""COMPUTED_VALUE"""),"")</f>
        <v/>
      </c>
      <c r="M4270" t="str">
        <f>IFERROR(__xludf.DUMMYFUNCTION("""COMPUTED_VALUE"""),"")</f>
        <v/>
      </c>
      <c r="N4270" t="str">
        <f>IFERROR(__xludf.DUMMYFUNCTION("""COMPUTED_VALUE"""),"")</f>
        <v/>
      </c>
      <c r="O4270" t="str">
        <f>IFERROR(__xludf.DUMMYFUNCTION("""COMPUTED_VALUE"""),"")</f>
        <v/>
      </c>
      <c r="P4270" t="str">
        <f>IFERROR(__xludf.DUMMYFUNCTION("""COMPUTED_VALUE"""),"ID ")</f>
        <v>ID </v>
      </c>
    </row>
    <row r="4271">
      <c r="A4271" s="6" t="str">
        <f>IFERROR(__xludf.DUMMYFUNCTION("""COMPUTED_VALUE"""),"")</f>
        <v/>
      </c>
      <c r="C4271" t="str">
        <f>IFERROR(__xludf.DUMMYFUNCTION("""COMPUTED_VALUE"""),"")</f>
        <v/>
      </c>
      <c r="D4271" t="str">
        <f>IFERROR(__xludf.DUMMYFUNCTION("""COMPUTED_VALUE"""),"")</f>
        <v/>
      </c>
      <c r="E4271" t="str">
        <f>IFERROR(__xludf.DUMMYFUNCTION("""COMPUTED_VALUE"""),"")</f>
        <v/>
      </c>
      <c r="F4271" t="str">
        <f>IFERROR(__xludf.DUMMYFUNCTION("""COMPUTED_VALUE"""),"")</f>
        <v/>
      </c>
      <c r="G4271" t="str">
        <f>IFERROR(__xludf.DUMMYFUNCTION("""COMPUTED_VALUE"""),"")</f>
        <v/>
      </c>
      <c r="H4271" s="2" t="str">
        <f>IFERROR(__xludf.DUMMYFUNCTION("""COMPUTED_VALUE"""),"")</f>
        <v/>
      </c>
      <c r="I4271" s="2" t="str">
        <f>IFERROR(__xludf.DUMMYFUNCTION("""COMPUTED_VALUE"""),"")</f>
        <v/>
      </c>
      <c r="J4271" s="2">
        <f>IFERROR(__xludf.DUMMYFUNCTION("""COMPUTED_VALUE"""),0.0)</f>
        <v>0</v>
      </c>
      <c r="K4271" s="5" t="str">
        <f>IFERROR(__xludf.DUMMYFUNCTION("""COMPUTED_VALUE"""),"")</f>
        <v/>
      </c>
      <c r="L4271" t="str">
        <f>IFERROR(__xludf.DUMMYFUNCTION("""COMPUTED_VALUE"""),"")</f>
        <v/>
      </c>
      <c r="M4271" t="str">
        <f>IFERROR(__xludf.DUMMYFUNCTION("""COMPUTED_VALUE"""),"")</f>
        <v/>
      </c>
      <c r="N4271" t="str">
        <f>IFERROR(__xludf.DUMMYFUNCTION("""COMPUTED_VALUE"""),"")</f>
        <v/>
      </c>
      <c r="O4271" t="str">
        <f>IFERROR(__xludf.DUMMYFUNCTION("""COMPUTED_VALUE"""),"")</f>
        <v/>
      </c>
      <c r="P4271" t="str">
        <f>IFERROR(__xludf.DUMMYFUNCTION("""COMPUTED_VALUE"""),"ID ")</f>
        <v>ID </v>
      </c>
    </row>
    <row r="4272">
      <c r="A4272" s="6" t="str">
        <f>IFERROR(__xludf.DUMMYFUNCTION("""COMPUTED_VALUE"""),"")</f>
        <v/>
      </c>
      <c r="C4272" t="str">
        <f>IFERROR(__xludf.DUMMYFUNCTION("""COMPUTED_VALUE"""),"")</f>
        <v/>
      </c>
      <c r="D4272" t="str">
        <f>IFERROR(__xludf.DUMMYFUNCTION("""COMPUTED_VALUE"""),"")</f>
        <v/>
      </c>
      <c r="E4272" t="str">
        <f>IFERROR(__xludf.DUMMYFUNCTION("""COMPUTED_VALUE"""),"")</f>
        <v/>
      </c>
      <c r="F4272" t="str">
        <f>IFERROR(__xludf.DUMMYFUNCTION("""COMPUTED_VALUE"""),"")</f>
        <v/>
      </c>
      <c r="G4272" t="str">
        <f>IFERROR(__xludf.DUMMYFUNCTION("""COMPUTED_VALUE"""),"")</f>
        <v/>
      </c>
      <c r="H4272" s="2" t="str">
        <f>IFERROR(__xludf.DUMMYFUNCTION("""COMPUTED_VALUE"""),"")</f>
        <v/>
      </c>
      <c r="I4272" s="2" t="str">
        <f>IFERROR(__xludf.DUMMYFUNCTION("""COMPUTED_VALUE"""),"")</f>
        <v/>
      </c>
      <c r="J4272" s="2">
        <f>IFERROR(__xludf.DUMMYFUNCTION("""COMPUTED_VALUE"""),0.0)</f>
        <v>0</v>
      </c>
      <c r="K4272" s="5" t="str">
        <f>IFERROR(__xludf.DUMMYFUNCTION("""COMPUTED_VALUE"""),"")</f>
        <v/>
      </c>
      <c r="L4272" t="str">
        <f>IFERROR(__xludf.DUMMYFUNCTION("""COMPUTED_VALUE"""),"")</f>
        <v/>
      </c>
      <c r="M4272" t="str">
        <f>IFERROR(__xludf.DUMMYFUNCTION("""COMPUTED_VALUE"""),"")</f>
        <v/>
      </c>
      <c r="N4272" t="str">
        <f>IFERROR(__xludf.DUMMYFUNCTION("""COMPUTED_VALUE"""),"")</f>
        <v/>
      </c>
      <c r="O4272" t="str">
        <f>IFERROR(__xludf.DUMMYFUNCTION("""COMPUTED_VALUE"""),"")</f>
        <v/>
      </c>
      <c r="P4272" t="str">
        <f>IFERROR(__xludf.DUMMYFUNCTION("""COMPUTED_VALUE"""),"ID ")</f>
        <v>ID </v>
      </c>
    </row>
    <row r="4273">
      <c r="A4273" s="6" t="str">
        <f>IFERROR(__xludf.DUMMYFUNCTION("""COMPUTED_VALUE"""),"")</f>
        <v/>
      </c>
      <c r="C4273" t="str">
        <f>IFERROR(__xludf.DUMMYFUNCTION("""COMPUTED_VALUE"""),"")</f>
        <v/>
      </c>
      <c r="D4273" t="str">
        <f>IFERROR(__xludf.DUMMYFUNCTION("""COMPUTED_VALUE"""),"")</f>
        <v/>
      </c>
      <c r="E4273" t="str">
        <f>IFERROR(__xludf.DUMMYFUNCTION("""COMPUTED_VALUE"""),"")</f>
        <v/>
      </c>
      <c r="F4273" t="str">
        <f>IFERROR(__xludf.DUMMYFUNCTION("""COMPUTED_VALUE"""),"")</f>
        <v/>
      </c>
      <c r="G4273" t="str">
        <f>IFERROR(__xludf.DUMMYFUNCTION("""COMPUTED_VALUE"""),"")</f>
        <v/>
      </c>
      <c r="H4273" s="2" t="str">
        <f>IFERROR(__xludf.DUMMYFUNCTION("""COMPUTED_VALUE"""),"")</f>
        <v/>
      </c>
      <c r="I4273" s="2" t="str">
        <f>IFERROR(__xludf.DUMMYFUNCTION("""COMPUTED_VALUE"""),"")</f>
        <v/>
      </c>
      <c r="J4273" s="2">
        <f>IFERROR(__xludf.DUMMYFUNCTION("""COMPUTED_VALUE"""),0.0)</f>
        <v>0</v>
      </c>
      <c r="K4273" s="5" t="str">
        <f>IFERROR(__xludf.DUMMYFUNCTION("""COMPUTED_VALUE"""),"")</f>
        <v/>
      </c>
      <c r="L4273" t="str">
        <f>IFERROR(__xludf.DUMMYFUNCTION("""COMPUTED_VALUE"""),"")</f>
        <v/>
      </c>
      <c r="M4273" t="str">
        <f>IFERROR(__xludf.DUMMYFUNCTION("""COMPUTED_VALUE"""),"")</f>
        <v/>
      </c>
      <c r="N4273" t="str">
        <f>IFERROR(__xludf.DUMMYFUNCTION("""COMPUTED_VALUE"""),"")</f>
        <v/>
      </c>
      <c r="O4273" t="str">
        <f>IFERROR(__xludf.DUMMYFUNCTION("""COMPUTED_VALUE"""),"")</f>
        <v/>
      </c>
      <c r="P4273" t="str">
        <f>IFERROR(__xludf.DUMMYFUNCTION("""COMPUTED_VALUE"""),"ID ")</f>
        <v>ID </v>
      </c>
    </row>
    <row r="4274">
      <c r="A4274" s="6" t="str">
        <f>IFERROR(__xludf.DUMMYFUNCTION("""COMPUTED_VALUE"""),"")</f>
        <v/>
      </c>
      <c r="C4274" t="str">
        <f>IFERROR(__xludf.DUMMYFUNCTION("""COMPUTED_VALUE"""),"")</f>
        <v/>
      </c>
      <c r="D4274" t="str">
        <f>IFERROR(__xludf.DUMMYFUNCTION("""COMPUTED_VALUE"""),"")</f>
        <v/>
      </c>
      <c r="E4274" t="str">
        <f>IFERROR(__xludf.DUMMYFUNCTION("""COMPUTED_VALUE"""),"")</f>
        <v/>
      </c>
      <c r="F4274" t="str">
        <f>IFERROR(__xludf.DUMMYFUNCTION("""COMPUTED_VALUE"""),"")</f>
        <v/>
      </c>
      <c r="G4274" t="str">
        <f>IFERROR(__xludf.DUMMYFUNCTION("""COMPUTED_VALUE"""),"")</f>
        <v/>
      </c>
      <c r="H4274" s="2" t="str">
        <f>IFERROR(__xludf.DUMMYFUNCTION("""COMPUTED_VALUE"""),"")</f>
        <v/>
      </c>
      <c r="I4274" s="2" t="str">
        <f>IFERROR(__xludf.DUMMYFUNCTION("""COMPUTED_VALUE"""),"")</f>
        <v/>
      </c>
      <c r="J4274" s="2">
        <f>IFERROR(__xludf.DUMMYFUNCTION("""COMPUTED_VALUE"""),0.0)</f>
        <v>0</v>
      </c>
      <c r="K4274" s="5" t="str">
        <f>IFERROR(__xludf.DUMMYFUNCTION("""COMPUTED_VALUE"""),"")</f>
        <v/>
      </c>
      <c r="L4274" t="str">
        <f>IFERROR(__xludf.DUMMYFUNCTION("""COMPUTED_VALUE"""),"")</f>
        <v/>
      </c>
      <c r="M4274" t="str">
        <f>IFERROR(__xludf.DUMMYFUNCTION("""COMPUTED_VALUE"""),"")</f>
        <v/>
      </c>
      <c r="N4274" t="str">
        <f>IFERROR(__xludf.DUMMYFUNCTION("""COMPUTED_VALUE"""),"")</f>
        <v/>
      </c>
      <c r="O4274" t="str">
        <f>IFERROR(__xludf.DUMMYFUNCTION("""COMPUTED_VALUE"""),"")</f>
        <v/>
      </c>
      <c r="P4274" t="str">
        <f>IFERROR(__xludf.DUMMYFUNCTION("""COMPUTED_VALUE"""),"ID ")</f>
        <v>ID </v>
      </c>
    </row>
    <row r="4275">
      <c r="A4275" s="6" t="str">
        <f>IFERROR(__xludf.DUMMYFUNCTION("""COMPUTED_VALUE"""),"")</f>
        <v/>
      </c>
      <c r="C4275" t="str">
        <f>IFERROR(__xludf.DUMMYFUNCTION("""COMPUTED_VALUE"""),"")</f>
        <v/>
      </c>
      <c r="D4275" t="str">
        <f>IFERROR(__xludf.DUMMYFUNCTION("""COMPUTED_VALUE"""),"")</f>
        <v/>
      </c>
      <c r="E4275" t="str">
        <f>IFERROR(__xludf.DUMMYFUNCTION("""COMPUTED_VALUE"""),"")</f>
        <v/>
      </c>
      <c r="F4275" t="str">
        <f>IFERROR(__xludf.DUMMYFUNCTION("""COMPUTED_VALUE"""),"")</f>
        <v/>
      </c>
      <c r="G4275" t="str">
        <f>IFERROR(__xludf.DUMMYFUNCTION("""COMPUTED_VALUE"""),"")</f>
        <v/>
      </c>
      <c r="H4275" s="2" t="str">
        <f>IFERROR(__xludf.DUMMYFUNCTION("""COMPUTED_VALUE"""),"")</f>
        <v/>
      </c>
      <c r="I4275" s="2" t="str">
        <f>IFERROR(__xludf.DUMMYFUNCTION("""COMPUTED_VALUE"""),"")</f>
        <v/>
      </c>
      <c r="J4275" s="2">
        <f>IFERROR(__xludf.DUMMYFUNCTION("""COMPUTED_VALUE"""),0.0)</f>
        <v>0</v>
      </c>
      <c r="K4275" s="5" t="str">
        <f>IFERROR(__xludf.DUMMYFUNCTION("""COMPUTED_VALUE"""),"")</f>
        <v/>
      </c>
      <c r="L4275" t="str">
        <f>IFERROR(__xludf.DUMMYFUNCTION("""COMPUTED_VALUE"""),"")</f>
        <v/>
      </c>
      <c r="M4275" t="str">
        <f>IFERROR(__xludf.DUMMYFUNCTION("""COMPUTED_VALUE"""),"")</f>
        <v/>
      </c>
      <c r="N4275" t="str">
        <f>IFERROR(__xludf.DUMMYFUNCTION("""COMPUTED_VALUE"""),"")</f>
        <v/>
      </c>
      <c r="O4275" t="str">
        <f>IFERROR(__xludf.DUMMYFUNCTION("""COMPUTED_VALUE"""),"")</f>
        <v/>
      </c>
      <c r="P4275" t="str">
        <f>IFERROR(__xludf.DUMMYFUNCTION("""COMPUTED_VALUE"""),"ID ")</f>
        <v>ID </v>
      </c>
    </row>
    <row r="4276">
      <c r="A4276" s="6" t="str">
        <f>IFERROR(__xludf.DUMMYFUNCTION("""COMPUTED_VALUE"""),"")</f>
        <v/>
      </c>
      <c r="C4276" t="str">
        <f>IFERROR(__xludf.DUMMYFUNCTION("""COMPUTED_VALUE"""),"")</f>
        <v/>
      </c>
      <c r="D4276" t="str">
        <f>IFERROR(__xludf.DUMMYFUNCTION("""COMPUTED_VALUE"""),"")</f>
        <v/>
      </c>
      <c r="E4276" t="str">
        <f>IFERROR(__xludf.DUMMYFUNCTION("""COMPUTED_VALUE"""),"")</f>
        <v/>
      </c>
      <c r="F4276" t="str">
        <f>IFERROR(__xludf.DUMMYFUNCTION("""COMPUTED_VALUE"""),"")</f>
        <v/>
      </c>
      <c r="G4276" t="str">
        <f>IFERROR(__xludf.DUMMYFUNCTION("""COMPUTED_VALUE"""),"")</f>
        <v/>
      </c>
      <c r="H4276" s="2" t="str">
        <f>IFERROR(__xludf.DUMMYFUNCTION("""COMPUTED_VALUE"""),"")</f>
        <v/>
      </c>
      <c r="I4276" s="2" t="str">
        <f>IFERROR(__xludf.DUMMYFUNCTION("""COMPUTED_VALUE"""),"")</f>
        <v/>
      </c>
      <c r="J4276" s="2">
        <f>IFERROR(__xludf.DUMMYFUNCTION("""COMPUTED_VALUE"""),0.0)</f>
        <v>0</v>
      </c>
      <c r="K4276" s="5" t="str">
        <f>IFERROR(__xludf.DUMMYFUNCTION("""COMPUTED_VALUE"""),"")</f>
        <v/>
      </c>
      <c r="L4276" t="str">
        <f>IFERROR(__xludf.DUMMYFUNCTION("""COMPUTED_VALUE"""),"")</f>
        <v/>
      </c>
      <c r="M4276" t="str">
        <f>IFERROR(__xludf.DUMMYFUNCTION("""COMPUTED_VALUE"""),"")</f>
        <v/>
      </c>
      <c r="N4276" t="str">
        <f>IFERROR(__xludf.DUMMYFUNCTION("""COMPUTED_VALUE"""),"")</f>
        <v/>
      </c>
      <c r="O4276" t="str">
        <f>IFERROR(__xludf.DUMMYFUNCTION("""COMPUTED_VALUE"""),"")</f>
        <v/>
      </c>
      <c r="P4276" t="str">
        <f>IFERROR(__xludf.DUMMYFUNCTION("""COMPUTED_VALUE"""),"ID ")</f>
        <v>ID </v>
      </c>
    </row>
    <row r="4277">
      <c r="A4277" s="6" t="str">
        <f>IFERROR(__xludf.DUMMYFUNCTION("""COMPUTED_VALUE"""),"")</f>
        <v/>
      </c>
      <c r="C4277" t="str">
        <f>IFERROR(__xludf.DUMMYFUNCTION("""COMPUTED_VALUE"""),"")</f>
        <v/>
      </c>
      <c r="D4277" t="str">
        <f>IFERROR(__xludf.DUMMYFUNCTION("""COMPUTED_VALUE"""),"")</f>
        <v/>
      </c>
      <c r="E4277" t="str">
        <f>IFERROR(__xludf.DUMMYFUNCTION("""COMPUTED_VALUE"""),"")</f>
        <v/>
      </c>
      <c r="F4277" t="str">
        <f>IFERROR(__xludf.DUMMYFUNCTION("""COMPUTED_VALUE"""),"")</f>
        <v/>
      </c>
      <c r="G4277" t="str">
        <f>IFERROR(__xludf.DUMMYFUNCTION("""COMPUTED_VALUE"""),"")</f>
        <v/>
      </c>
      <c r="H4277" s="2" t="str">
        <f>IFERROR(__xludf.DUMMYFUNCTION("""COMPUTED_VALUE"""),"")</f>
        <v/>
      </c>
      <c r="I4277" s="2" t="str">
        <f>IFERROR(__xludf.DUMMYFUNCTION("""COMPUTED_VALUE"""),"")</f>
        <v/>
      </c>
      <c r="J4277" s="2">
        <f>IFERROR(__xludf.DUMMYFUNCTION("""COMPUTED_VALUE"""),0.0)</f>
        <v>0</v>
      </c>
      <c r="K4277" s="5" t="str">
        <f>IFERROR(__xludf.DUMMYFUNCTION("""COMPUTED_VALUE"""),"")</f>
        <v/>
      </c>
      <c r="L4277" t="str">
        <f>IFERROR(__xludf.DUMMYFUNCTION("""COMPUTED_VALUE"""),"")</f>
        <v/>
      </c>
      <c r="M4277" t="str">
        <f>IFERROR(__xludf.DUMMYFUNCTION("""COMPUTED_VALUE"""),"")</f>
        <v/>
      </c>
      <c r="N4277" t="str">
        <f>IFERROR(__xludf.DUMMYFUNCTION("""COMPUTED_VALUE"""),"")</f>
        <v/>
      </c>
      <c r="O4277" t="str">
        <f>IFERROR(__xludf.DUMMYFUNCTION("""COMPUTED_VALUE"""),"")</f>
        <v/>
      </c>
      <c r="P4277" t="str">
        <f>IFERROR(__xludf.DUMMYFUNCTION("""COMPUTED_VALUE"""),"ID ")</f>
        <v>ID </v>
      </c>
    </row>
    <row r="4278">
      <c r="A4278" s="6" t="str">
        <f>IFERROR(__xludf.DUMMYFUNCTION("""COMPUTED_VALUE"""),"")</f>
        <v/>
      </c>
      <c r="C4278" t="str">
        <f>IFERROR(__xludf.DUMMYFUNCTION("""COMPUTED_VALUE"""),"")</f>
        <v/>
      </c>
      <c r="D4278" t="str">
        <f>IFERROR(__xludf.DUMMYFUNCTION("""COMPUTED_VALUE"""),"")</f>
        <v/>
      </c>
      <c r="E4278" t="str">
        <f>IFERROR(__xludf.DUMMYFUNCTION("""COMPUTED_VALUE"""),"")</f>
        <v/>
      </c>
      <c r="F4278" t="str">
        <f>IFERROR(__xludf.DUMMYFUNCTION("""COMPUTED_VALUE"""),"")</f>
        <v/>
      </c>
      <c r="G4278" t="str">
        <f>IFERROR(__xludf.DUMMYFUNCTION("""COMPUTED_VALUE"""),"")</f>
        <v/>
      </c>
      <c r="H4278" s="2" t="str">
        <f>IFERROR(__xludf.DUMMYFUNCTION("""COMPUTED_VALUE"""),"")</f>
        <v/>
      </c>
      <c r="I4278" s="2" t="str">
        <f>IFERROR(__xludf.DUMMYFUNCTION("""COMPUTED_VALUE"""),"")</f>
        <v/>
      </c>
      <c r="J4278" s="2">
        <f>IFERROR(__xludf.DUMMYFUNCTION("""COMPUTED_VALUE"""),0.0)</f>
        <v>0</v>
      </c>
      <c r="K4278" s="5" t="str">
        <f>IFERROR(__xludf.DUMMYFUNCTION("""COMPUTED_VALUE"""),"")</f>
        <v/>
      </c>
      <c r="L4278" t="str">
        <f>IFERROR(__xludf.DUMMYFUNCTION("""COMPUTED_VALUE"""),"")</f>
        <v/>
      </c>
      <c r="M4278" t="str">
        <f>IFERROR(__xludf.DUMMYFUNCTION("""COMPUTED_VALUE"""),"")</f>
        <v/>
      </c>
      <c r="N4278" t="str">
        <f>IFERROR(__xludf.DUMMYFUNCTION("""COMPUTED_VALUE"""),"")</f>
        <v/>
      </c>
      <c r="O4278" t="str">
        <f>IFERROR(__xludf.DUMMYFUNCTION("""COMPUTED_VALUE"""),"")</f>
        <v/>
      </c>
      <c r="P4278" t="str">
        <f>IFERROR(__xludf.DUMMYFUNCTION("""COMPUTED_VALUE"""),"ID ")</f>
        <v>ID </v>
      </c>
    </row>
    <row r="4279">
      <c r="A4279" s="6" t="str">
        <f>IFERROR(__xludf.DUMMYFUNCTION("""COMPUTED_VALUE"""),"")</f>
        <v/>
      </c>
      <c r="C4279" t="str">
        <f>IFERROR(__xludf.DUMMYFUNCTION("""COMPUTED_VALUE"""),"")</f>
        <v/>
      </c>
      <c r="D4279" t="str">
        <f>IFERROR(__xludf.DUMMYFUNCTION("""COMPUTED_VALUE"""),"")</f>
        <v/>
      </c>
      <c r="E4279" t="str">
        <f>IFERROR(__xludf.DUMMYFUNCTION("""COMPUTED_VALUE"""),"")</f>
        <v/>
      </c>
      <c r="F4279" t="str">
        <f>IFERROR(__xludf.DUMMYFUNCTION("""COMPUTED_VALUE"""),"")</f>
        <v/>
      </c>
      <c r="G4279" t="str">
        <f>IFERROR(__xludf.DUMMYFUNCTION("""COMPUTED_VALUE"""),"")</f>
        <v/>
      </c>
      <c r="H4279" s="2" t="str">
        <f>IFERROR(__xludf.DUMMYFUNCTION("""COMPUTED_VALUE"""),"")</f>
        <v/>
      </c>
      <c r="I4279" s="2" t="str">
        <f>IFERROR(__xludf.DUMMYFUNCTION("""COMPUTED_VALUE"""),"")</f>
        <v/>
      </c>
      <c r="J4279" s="2">
        <f>IFERROR(__xludf.DUMMYFUNCTION("""COMPUTED_VALUE"""),0.0)</f>
        <v>0</v>
      </c>
      <c r="K4279" s="5" t="str">
        <f>IFERROR(__xludf.DUMMYFUNCTION("""COMPUTED_VALUE"""),"")</f>
        <v/>
      </c>
      <c r="L4279" t="str">
        <f>IFERROR(__xludf.DUMMYFUNCTION("""COMPUTED_VALUE"""),"")</f>
        <v/>
      </c>
      <c r="M4279" t="str">
        <f>IFERROR(__xludf.DUMMYFUNCTION("""COMPUTED_VALUE"""),"")</f>
        <v/>
      </c>
      <c r="N4279" t="str">
        <f>IFERROR(__xludf.DUMMYFUNCTION("""COMPUTED_VALUE"""),"")</f>
        <v/>
      </c>
      <c r="O4279" t="str">
        <f>IFERROR(__xludf.DUMMYFUNCTION("""COMPUTED_VALUE"""),"")</f>
        <v/>
      </c>
      <c r="P4279" t="str">
        <f>IFERROR(__xludf.DUMMYFUNCTION("""COMPUTED_VALUE"""),"ID ")</f>
        <v>ID </v>
      </c>
    </row>
    <row r="4280">
      <c r="A4280" s="6" t="str">
        <f>IFERROR(__xludf.DUMMYFUNCTION("""COMPUTED_VALUE"""),"")</f>
        <v/>
      </c>
      <c r="C4280" t="str">
        <f>IFERROR(__xludf.DUMMYFUNCTION("""COMPUTED_VALUE"""),"")</f>
        <v/>
      </c>
      <c r="D4280" t="str">
        <f>IFERROR(__xludf.DUMMYFUNCTION("""COMPUTED_VALUE"""),"")</f>
        <v/>
      </c>
      <c r="E4280" t="str">
        <f>IFERROR(__xludf.DUMMYFUNCTION("""COMPUTED_VALUE"""),"")</f>
        <v/>
      </c>
      <c r="F4280" t="str">
        <f>IFERROR(__xludf.DUMMYFUNCTION("""COMPUTED_VALUE"""),"")</f>
        <v/>
      </c>
      <c r="G4280" t="str">
        <f>IFERROR(__xludf.DUMMYFUNCTION("""COMPUTED_VALUE"""),"")</f>
        <v/>
      </c>
      <c r="H4280" s="2" t="str">
        <f>IFERROR(__xludf.DUMMYFUNCTION("""COMPUTED_VALUE"""),"")</f>
        <v/>
      </c>
      <c r="I4280" s="2" t="str">
        <f>IFERROR(__xludf.DUMMYFUNCTION("""COMPUTED_VALUE"""),"")</f>
        <v/>
      </c>
      <c r="J4280" s="2">
        <f>IFERROR(__xludf.DUMMYFUNCTION("""COMPUTED_VALUE"""),0.0)</f>
        <v>0</v>
      </c>
      <c r="K4280" s="5" t="str">
        <f>IFERROR(__xludf.DUMMYFUNCTION("""COMPUTED_VALUE"""),"")</f>
        <v/>
      </c>
      <c r="L4280" t="str">
        <f>IFERROR(__xludf.DUMMYFUNCTION("""COMPUTED_VALUE"""),"")</f>
        <v/>
      </c>
      <c r="M4280" t="str">
        <f>IFERROR(__xludf.DUMMYFUNCTION("""COMPUTED_VALUE"""),"")</f>
        <v/>
      </c>
      <c r="N4280" t="str">
        <f>IFERROR(__xludf.DUMMYFUNCTION("""COMPUTED_VALUE"""),"")</f>
        <v/>
      </c>
      <c r="O4280" t="str">
        <f>IFERROR(__xludf.DUMMYFUNCTION("""COMPUTED_VALUE"""),"")</f>
        <v/>
      </c>
      <c r="P4280" t="str">
        <f>IFERROR(__xludf.DUMMYFUNCTION("""COMPUTED_VALUE"""),"ID ")</f>
        <v>ID </v>
      </c>
    </row>
    <row r="4281">
      <c r="A4281" s="6" t="str">
        <f>IFERROR(__xludf.DUMMYFUNCTION("""COMPUTED_VALUE"""),"")</f>
        <v/>
      </c>
      <c r="C4281" t="str">
        <f>IFERROR(__xludf.DUMMYFUNCTION("""COMPUTED_VALUE"""),"")</f>
        <v/>
      </c>
      <c r="D4281" t="str">
        <f>IFERROR(__xludf.DUMMYFUNCTION("""COMPUTED_VALUE"""),"")</f>
        <v/>
      </c>
      <c r="E4281" t="str">
        <f>IFERROR(__xludf.DUMMYFUNCTION("""COMPUTED_VALUE"""),"")</f>
        <v/>
      </c>
      <c r="F4281" t="str">
        <f>IFERROR(__xludf.DUMMYFUNCTION("""COMPUTED_VALUE"""),"")</f>
        <v/>
      </c>
      <c r="G4281" t="str">
        <f>IFERROR(__xludf.DUMMYFUNCTION("""COMPUTED_VALUE"""),"")</f>
        <v/>
      </c>
      <c r="H4281" s="2" t="str">
        <f>IFERROR(__xludf.DUMMYFUNCTION("""COMPUTED_VALUE"""),"")</f>
        <v/>
      </c>
      <c r="I4281" s="2" t="str">
        <f>IFERROR(__xludf.DUMMYFUNCTION("""COMPUTED_VALUE"""),"")</f>
        <v/>
      </c>
      <c r="J4281" s="2">
        <f>IFERROR(__xludf.DUMMYFUNCTION("""COMPUTED_VALUE"""),0.0)</f>
        <v>0</v>
      </c>
      <c r="K4281" s="5" t="str">
        <f>IFERROR(__xludf.DUMMYFUNCTION("""COMPUTED_VALUE"""),"")</f>
        <v/>
      </c>
      <c r="L4281" t="str">
        <f>IFERROR(__xludf.DUMMYFUNCTION("""COMPUTED_VALUE"""),"")</f>
        <v/>
      </c>
      <c r="M4281" t="str">
        <f>IFERROR(__xludf.DUMMYFUNCTION("""COMPUTED_VALUE"""),"")</f>
        <v/>
      </c>
      <c r="N4281" t="str">
        <f>IFERROR(__xludf.DUMMYFUNCTION("""COMPUTED_VALUE"""),"")</f>
        <v/>
      </c>
      <c r="O4281" t="str">
        <f>IFERROR(__xludf.DUMMYFUNCTION("""COMPUTED_VALUE"""),"")</f>
        <v/>
      </c>
      <c r="P4281" t="str">
        <f>IFERROR(__xludf.DUMMYFUNCTION("""COMPUTED_VALUE"""),"ID ")</f>
        <v>ID </v>
      </c>
    </row>
    <row r="4282">
      <c r="A4282" s="6" t="str">
        <f>IFERROR(__xludf.DUMMYFUNCTION("""COMPUTED_VALUE"""),"")</f>
        <v/>
      </c>
      <c r="C4282" t="str">
        <f>IFERROR(__xludf.DUMMYFUNCTION("""COMPUTED_VALUE"""),"")</f>
        <v/>
      </c>
      <c r="D4282" t="str">
        <f>IFERROR(__xludf.DUMMYFUNCTION("""COMPUTED_VALUE"""),"")</f>
        <v/>
      </c>
      <c r="E4282" t="str">
        <f>IFERROR(__xludf.DUMMYFUNCTION("""COMPUTED_VALUE"""),"")</f>
        <v/>
      </c>
      <c r="F4282" t="str">
        <f>IFERROR(__xludf.DUMMYFUNCTION("""COMPUTED_VALUE"""),"")</f>
        <v/>
      </c>
      <c r="G4282" t="str">
        <f>IFERROR(__xludf.DUMMYFUNCTION("""COMPUTED_VALUE"""),"")</f>
        <v/>
      </c>
      <c r="H4282" s="2" t="str">
        <f>IFERROR(__xludf.DUMMYFUNCTION("""COMPUTED_VALUE"""),"")</f>
        <v/>
      </c>
      <c r="I4282" s="2" t="str">
        <f>IFERROR(__xludf.DUMMYFUNCTION("""COMPUTED_VALUE"""),"")</f>
        <v/>
      </c>
      <c r="J4282" s="2">
        <f>IFERROR(__xludf.DUMMYFUNCTION("""COMPUTED_VALUE"""),0.0)</f>
        <v>0</v>
      </c>
      <c r="K4282" s="5" t="str">
        <f>IFERROR(__xludf.DUMMYFUNCTION("""COMPUTED_VALUE"""),"")</f>
        <v/>
      </c>
      <c r="L4282" t="str">
        <f>IFERROR(__xludf.DUMMYFUNCTION("""COMPUTED_VALUE"""),"")</f>
        <v/>
      </c>
      <c r="M4282" t="str">
        <f>IFERROR(__xludf.DUMMYFUNCTION("""COMPUTED_VALUE"""),"")</f>
        <v/>
      </c>
      <c r="N4282" t="str">
        <f>IFERROR(__xludf.DUMMYFUNCTION("""COMPUTED_VALUE"""),"")</f>
        <v/>
      </c>
      <c r="O4282" t="str">
        <f>IFERROR(__xludf.DUMMYFUNCTION("""COMPUTED_VALUE"""),"")</f>
        <v/>
      </c>
      <c r="P4282" t="str">
        <f>IFERROR(__xludf.DUMMYFUNCTION("""COMPUTED_VALUE"""),"ID ")</f>
        <v>ID </v>
      </c>
    </row>
    <row r="4283">
      <c r="A4283" s="6" t="str">
        <f>IFERROR(__xludf.DUMMYFUNCTION("""COMPUTED_VALUE"""),"")</f>
        <v/>
      </c>
      <c r="C4283" t="str">
        <f>IFERROR(__xludf.DUMMYFUNCTION("""COMPUTED_VALUE"""),"")</f>
        <v/>
      </c>
      <c r="D4283" t="str">
        <f>IFERROR(__xludf.DUMMYFUNCTION("""COMPUTED_VALUE"""),"")</f>
        <v/>
      </c>
      <c r="E4283" t="str">
        <f>IFERROR(__xludf.DUMMYFUNCTION("""COMPUTED_VALUE"""),"")</f>
        <v/>
      </c>
      <c r="F4283" t="str">
        <f>IFERROR(__xludf.DUMMYFUNCTION("""COMPUTED_VALUE"""),"")</f>
        <v/>
      </c>
      <c r="G4283" t="str">
        <f>IFERROR(__xludf.DUMMYFUNCTION("""COMPUTED_VALUE"""),"")</f>
        <v/>
      </c>
      <c r="H4283" s="2" t="str">
        <f>IFERROR(__xludf.DUMMYFUNCTION("""COMPUTED_VALUE"""),"")</f>
        <v/>
      </c>
      <c r="I4283" s="2" t="str">
        <f>IFERROR(__xludf.DUMMYFUNCTION("""COMPUTED_VALUE"""),"")</f>
        <v/>
      </c>
      <c r="J4283" s="2">
        <f>IFERROR(__xludf.DUMMYFUNCTION("""COMPUTED_VALUE"""),0.0)</f>
        <v>0</v>
      </c>
      <c r="K4283" s="5" t="str">
        <f>IFERROR(__xludf.DUMMYFUNCTION("""COMPUTED_VALUE"""),"")</f>
        <v/>
      </c>
      <c r="L4283" t="str">
        <f>IFERROR(__xludf.DUMMYFUNCTION("""COMPUTED_VALUE"""),"")</f>
        <v/>
      </c>
      <c r="M4283" t="str">
        <f>IFERROR(__xludf.DUMMYFUNCTION("""COMPUTED_VALUE"""),"")</f>
        <v/>
      </c>
      <c r="N4283" t="str">
        <f>IFERROR(__xludf.DUMMYFUNCTION("""COMPUTED_VALUE"""),"")</f>
        <v/>
      </c>
      <c r="O4283" t="str">
        <f>IFERROR(__xludf.DUMMYFUNCTION("""COMPUTED_VALUE"""),"")</f>
        <v/>
      </c>
      <c r="P4283" t="str">
        <f>IFERROR(__xludf.DUMMYFUNCTION("""COMPUTED_VALUE"""),"ID ")</f>
        <v>ID </v>
      </c>
    </row>
    <row r="4284">
      <c r="A4284" s="6" t="str">
        <f>IFERROR(__xludf.DUMMYFUNCTION("""COMPUTED_VALUE"""),"")</f>
        <v/>
      </c>
      <c r="C4284" t="str">
        <f>IFERROR(__xludf.DUMMYFUNCTION("""COMPUTED_VALUE"""),"")</f>
        <v/>
      </c>
      <c r="D4284" t="str">
        <f>IFERROR(__xludf.DUMMYFUNCTION("""COMPUTED_VALUE"""),"")</f>
        <v/>
      </c>
      <c r="E4284" t="str">
        <f>IFERROR(__xludf.DUMMYFUNCTION("""COMPUTED_VALUE"""),"")</f>
        <v/>
      </c>
      <c r="F4284" t="str">
        <f>IFERROR(__xludf.DUMMYFUNCTION("""COMPUTED_VALUE"""),"")</f>
        <v/>
      </c>
      <c r="G4284" t="str">
        <f>IFERROR(__xludf.DUMMYFUNCTION("""COMPUTED_VALUE"""),"")</f>
        <v/>
      </c>
      <c r="H4284" s="2" t="str">
        <f>IFERROR(__xludf.DUMMYFUNCTION("""COMPUTED_VALUE"""),"")</f>
        <v/>
      </c>
      <c r="I4284" s="2" t="str">
        <f>IFERROR(__xludf.DUMMYFUNCTION("""COMPUTED_VALUE"""),"")</f>
        <v/>
      </c>
      <c r="J4284" s="2">
        <f>IFERROR(__xludf.DUMMYFUNCTION("""COMPUTED_VALUE"""),0.0)</f>
        <v>0</v>
      </c>
      <c r="K4284" s="5" t="str">
        <f>IFERROR(__xludf.DUMMYFUNCTION("""COMPUTED_VALUE"""),"")</f>
        <v/>
      </c>
      <c r="L4284" t="str">
        <f>IFERROR(__xludf.DUMMYFUNCTION("""COMPUTED_VALUE"""),"")</f>
        <v/>
      </c>
      <c r="M4284" t="str">
        <f>IFERROR(__xludf.DUMMYFUNCTION("""COMPUTED_VALUE"""),"")</f>
        <v/>
      </c>
      <c r="N4284" t="str">
        <f>IFERROR(__xludf.DUMMYFUNCTION("""COMPUTED_VALUE"""),"")</f>
        <v/>
      </c>
      <c r="O4284" t="str">
        <f>IFERROR(__xludf.DUMMYFUNCTION("""COMPUTED_VALUE"""),"")</f>
        <v/>
      </c>
      <c r="P4284" t="str">
        <f>IFERROR(__xludf.DUMMYFUNCTION("""COMPUTED_VALUE"""),"ID ")</f>
        <v>ID </v>
      </c>
    </row>
    <row r="4285">
      <c r="A4285" s="6" t="str">
        <f>IFERROR(__xludf.DUMMYFUNCTION("""COMPUTED_VALUE"""),"")</f>
        <v/>
      </c>
      <c r="C4285" t="str">
        <f>IFERROR(__xludf.DUMMYFUNCTION("""COMPUTED_VALUE"""),"")</f>
        <v/>
      </c>
      <c r="D4285" t="str">
        <f>IFERROR(__xludf.DUMMYFUNCTION("""COMPUTED_VALUE"""),"")</f>
        <v/>
      </c>
      <c r="E4285" t="str">
        <f>IFERROR(__xludf.DUMMYFUNCTION("""COMPUTED_VALUE"""),"")</f>
        <v/>
      </c>
      <c r="F4285" t="str">
        <f>IFERROR(__xludf.DUMMYFUNCTION("""COMPUTED_VALUE"""),"")</f>
        <v/>
      </c>
      <c r="G4285" t="str">
        <f>IFERROR(__xludf.DUMMYFUNCTION("""COMPUTED_VALUE"""),"")</f>
        <v/>
      </c>
      <c r="H4285" s="2" t="str">
        <f>IFERROR(__xludf.DUMMYFUNCTION("""COMPUTED_VALUE"""),"")</f>
        <v/>
      </c>
      <c r="I4285" s="2" t="str">
        <f>IFERROR(__xludf.DUMMYFUNCTION("""COMPUTED_VALUE"""),"")</f>
        <v/>
      </c>
      <c r="J4285" s="2">
        <f>IFERROR(__xludf.DUMMYFUNCTION("""COMPUTED_VALUE"""),0.0)</f>
        <v>0</v>
      </c>
      <c r="K4285" s="5" t="str">
        <f>IFERROR(__xludf.DUMMYFUNCTION("""COMPUTED_VALUE"""),"")</f>
        <v/>
      </c>
      <c r="L4285" t="str">
        <f>IFERROR(__xludf.DUMMYFUNCTION("""COMPUTED_VALUE"""),"")</f>
        <v/>
      </c>
      <c r="M4285" t="str">
        <f>IFERROR(__xludf.DUMMYFUNCTION("""COMPUTED_VALUE"""),"")</f>
        <v/>
      </c>
      <c r="N4285" t="str">
        <f>IFERROR(__xludf.DUMMYFUNCTION("""COMPUTED_VALUE"""),"")</f>
        <v/>
      </c>
      <c r="O4285" t="str">
        <f>IFERROR(__xludf.DUMMYFUNCTION("""COMPUTED_VALUE"""),"")</f>
        <v/>
      </c>
      <c r="P4285" t="str">
        <f>IFERROR(__xludf.DUMMYFUNCTION("""COMPUTED_VALUE"""),"ID ")</f>
        <v>ID </v>
      </c>
    </row>
    <row r="4286">
      <c r="A4286" s="6" t="str">
        <f>IFERROR(__xludf.DUMMYFUNCTION("""COMPUTED_VALUE"""),"")</f>
        <v/>
      </c>
      <c r="C4286" t="str">
        <f>IFERROR(__xludf.DUMMYFUNCTION("""COMPUTED_VALUE"""),"")</f>
        <v/>
      </c>
      <c r="D4286" t="str">
        <f>IFERROR(__xludf.DUMMYFUNCTION("""COMPUTED_VALUE"""),"")</f>
        <v/>
      </c>
      <c r="E4286" t="str">
        <f>IFERROR(__xludf.DUMMYFUNCTION("""COMPUTED_VALUE"""),"")</f>
        <v/>
      </c>
      <c r="F4286" t="str">
        <f>IFERROR(__xludf.DUMMYFUNCTION("""COMPUTED_VALUE"""),"")</f>
        <v/>
      </c>
      <c r="G4286" t="str">
        <f>IFERROR(__xludf.DUMMYFUNCTION("""COMPUTED_VALUE"""),"")</f>
        <v/>
      </c>
      <c r="H4286" s="2" t="str">
        <f>IFERROR(__xludf.DUMMYFUNCTION("""COMPUTED_VALUE"""),"")</f>
        <v/>
      </c>
      <c r="I4286" s="2" t="str">
        <f>IFERROR(__xludf.DUMMYFUNCTION("""COMPUTED_VALUE"""),"")</f>
        <v/>
      </c>
      <c r="J4286" s="2">
        <f>IFERROR(__xludf.DUMMYFUNCTION("""COMPUTED_VALUE"""),0.0)</f>
        <v>0</v>
      </c>
      <c r="K4286" s="5" t="str">
        <f>IFERROR(__xludf.DUMMYFUNCTION("""COMPUTED_VALUE"""),"")</f>
        <v/>
      </c>
      <c r="L4286" t="str">
        <f>IFERROR(__xludf.DUMMYFUNCTION("""COMPUTED_VALUE"""),"")</f>
        <v/>
      </c>
      <c r="M4286" t="str">
        <f>IFERROR(__xludf.DUMMYFUNCTION("""COMPUTED_VALUE"""),"")</f>
        <v/>
      </c>
      <c r="N4286" t="str">
        <f>IFERROR(__xludf.DUMMYFUNCTION("""COMPUTED_VALUE"""),"")</f>
        <v/>
      </c>
      <c r="O4286" t="str">
        <f>IFERROR(__xludf.DUMMYFUNCTION("""COMPUTED_VALUE"""),"")</f>
        <v/>
      </c>
      <c r="P4286" t="str">
        <f>IFERROR(__xludf.DUMMYFUNCTION("""COMPUTED_VALUE"""),"ID ")</f>
        <v>ID </v>
      </c>
    </row>
    <row r="4287">
      <c r="A4287" s="6" t="str">
        <f>IFERROR(__xludf.DUMMYFUNCTION("""COMPUTED_VALUE"""),"")</f>
        <v/>
      </c>
      <c r="C4287" t="str">
        <f>IFERROR(__xludf.DUMMYFUNCTION("""COMPUTED_VALUE"""),"")</f>
        <v/>
      </c>
      <c r="D4287" t="str">
        <f>IFERROR(__xludf.DUMMYFUNCTION("""COMPUTED_VALUE"""),"")</f>
        <v/>
      </c>
      <c r="E4287" t="str">
        <f>IFERROR(__xludf.DUMMYFUNCTION("""COMPUTED_VALUE"""),"")</f>
        <v/>
      </c>
      <c r="F4287" t="str">
        <f>IFERROR(__xludf.DUMMYFUNCTION("""COMPUTED_VALUE"""),"")</f>
        <v/>
      </c>
      <c r="G4287" t="str">
        <f>IFERROR(__xludf.DUMMYFUNCTION("""COMPUTED_VALUE"""),"")</f>
        <v/>
      </c>
      <c r="H4287" s="2" t="str">
        <f>IFERROR(__xludf.DUMMYFUNCTION("""COMPUTED_VALUE"""),"")</f>
        <v/>
      </c>
      <c r="I4287" s="2" t="str">
        <f>IFERROR(__xludf.DUMMYFUNCTION("""COMPUTED_VALUE"""),"")</f>
        <v/>
      </c>
      <c r="J4287" s="2">
        <f>IFERROR(__xludf.DUMMYFUNCTION("""COMPUTED_VALUE"""),0.0)</f>
        <v>0</v>
      </c>
      <c r="K4287" s="5" t="str">
        <f>IFERROR(__xludf.DUMMYFUNCTION("""COMPUTED_VALUE"""),"")</f>
        <v/>
      </c>
      <c r="L4287" t="str">
        <f>IFERROR(__xludf.DUMMYFUNCTION("""COMPUTED_VALUE"""),"")</f>
        <v/>
      </c>
      <c r="M4287" t="str">
        <f>IFERROR(__xludf.DUMMYFUNCTION("""COMPUTED_VALUE"""),"")</f>
        <v/>
      </c>
      <c r="N4287" t="str">
        <f>IFERROR(__xludf.DUMMYFUNCTION("""COMPUTED_VALUE"""),"")</f>
        <v/>
      </c>
      <c r="O4287" t="str">
        <f>IFERROR(__xludf.DUMMYFUNCTION("""COMPUTED_VALUE"""),"")</f>
        <v/>
      </c>
      <c r="P4287" t="str">
        <f>IFERROR(__xludf.DUMMYFUNCTION("""COMPUTED_VALUE"""),"ID ")</f>
        <v>ID </v>
      </c>
    </row>
    <row r="4288">
      <c r="A4288" s="6" t="str">
        <f>IFERROR(__xludf.DUMMYFUNCTION("""COMPUTED_VALUE"""),"")</f>
        <v/>
      </c>
      <c r="C4288" t="str">
        <f>IFERROR(__xludf.DUMMYFUNCTION("""COMPUTED_VALUE"""),"")</f>
        <v/>
      </c>
      <c r="D4288" t="str">
        <f>IFERROR(__xludf.DUMMYFUNCTION("""COMPUTED_VALUE"""),"")</f>
        <v/>
      </c>
      <c r="E4288" t="str">
        <f>IFERROR(__xludf.DUMMYFUNCTION("""COMPUTED_VALUE"""),"")</f>
        <v/>
      </c>
      <c r="F4288" t="str">
        <f>IFERROR(__xludf.DUMMYFUNCTION("""COMPUTED_VALUE"""),"")</f>
        <v/>
      </c>
      <c r="G4288" t="str">
        <f>IFERROR(__xludf.DUMMYFUNCTION("""COMPUTED_VALUE"""),"")</f>
        <v/>
      </c>
      <c r="H4288" s="2" t="str">
        <f>IFERROR(__xludf.DUMMYFUNCTION("""COMPUTED_VALUE"""),"")</f>
        <v/>
      </c>
      <c r="I4288" s="2" t="str">
        <f>IFERROR(__xludf.DUMMYFUNCTION("""COMPUTED_VALUE"""),"")</f>
        <v/>
      </c>
      <c r="J4288" s="2">
        <f>IFERROR(__xludf.DUMMYFUNCTION("""COMPUTED_VALUE"""),0.0)</f>
        <v>0</v>
      </c>
      <c r="K4288" s="5" t="str">
        <f>IFERROR(__xludf.DUMMYFUNCTION("""COMPUTED_VALUE"""),"")</f>
        <v/>
      </c>
      <c r="L4288" t="str">
        <f>IFERROR(__xludf.DUMMYFUNCTION("""COMPUTED_VALUE"""),"")</f>
        <v/>
      </c>
      <c r="M4288" t="str">
        <f>IFERROR(__xludf.DUMMYFUNCTION("""COMPUTED_VALUE"""),"")</f>
        <v/>
      </c>
      <c r="N4288" t="str">
        <f>IFERROR(__xludf.DUMMYFUNCTION("""COMPUTED_VALUE"""),"")</f>
        <v/>
      </c>
      <c r="O4288" t="str">
        <f>IFERROR(__xludf.DUMMYFUNCTION("""COMPUTED_VALUE"""),"")</f>
        <v/>
      </c>
      <c r="P4288" t="str">
        <f>IFERROR(__xludf.DUMMYFUNCTION("""COMPUTED_VALUE"""),"ID ")</f>
        <v>ID </v>
      </c>
    </row>
    <row r="4289">
      <c r="A4289" s="6" t="str">
        <f>IFERROR(__xludf.DUMMYFUNCTION("""COMPUTED_VALUE"""),"")</f>
        <v/>
      </c>
      <c r="C4289" t="str">
        <f>IFERROR(__xludf.DUMMYFUNCTION("""COMPUTED_VALUE"""),"")</f>
        <v/>
      </c>
      <c r="D4289" t="str">
        <f>IFERROR(__xludf.DUMMYFUNCTION("""COMPUTED_VALUE"""),"")</f>
        <v/>
      </c>
      <c r="E4289" t="str">
        <f>IFERROR(__xludf.DUMMYFUNCTION("""COMPUTED_VALUE"""),"")</f>
        <v/>
      </c>
      <c r="F4289" t="str">
        <f>IFERROR(__xludf.DUMMYFUNCTION("""COMPUTED_VALUE"""),"")</f>
        <v/>
      </c>
      <c r="G4289" t="str">
        <f>IFERROR(__xludf.DUMMYFUNCTION("""COMPUTED_VALUE"""),"")</f>
        <v/>
      </c>
      <c r="H4289" s="2" t="str">
        <f>IFERROR(__xludf.DUMMYFUNCTION("""COMPUTED_VALUE"""),"")</f>
        <v/>
      </c>
      <c r="I4289" s="2" t="str">
        <f>IFERROR(__xludf.DUMMYFUNCTION("""COMPUTED_VALUE"""),"")</f>
        <v/>
      </c>
      <c r="J4289" s="2">
        <f>IFERROR(__xludf.DUMMYFUNCTION("""COMPUTED_VALUE"""),0.0)</f>
        <v>0</v>
      </c>
      <c r="K4289" s="5" t="str">
        <f>IFERROR(__xludf.DUMMYFUNCTION("""COMPUTED_VALUE"""),"")</f>
        <v/>
      </c>
      <c r="L4289" t="str">
        <f>IFERROR(__xludf.DUMMYFUNCTION("""COMPUTED_VALUE"""),"")</f>
        <v/>
      </c>
      <c r="M4289" t="str">
        <f>IFERROR(__xludf.DUMMYFUNCTION("""COMPUTED_VALUE"""),"")</f>
        <v/>
      </c>
      <c r="N4289" t="str">
        <f>IFERROR(__xludf.DUMMYFUNCTION("""COMPUTED_VALUE"""),"")</f>
        <v/>
      </c>
      <c r="O4289" t="str">
        <f>IFERROR(__xludf.DUMMYFUNCTION("""COMPUTED_VALUE"""),"")</f>
        <v/>
      </c>
      <c r="P4289" t="str">
        <f>IFERROR(__xludf.DUMMYFUNCTION("""COMPUTED_VALUE"""),"ID ")</f>
        <v>ID </v>
      </c>
    </row>
    <row r="4290">
      <c r="A4290" s="6" t="str">
        <f>IFERROR(__xludf.DUMMYFUNCTION("""COMPUTED_VALUE"""),"")</f>
        <v/>
      </c>
      <c r="C4290" t="str">
        <f>IFERROR(__xludf.DUMMYFUNCTION("""COMPUTED_VALUE"""),"")</f>
        <v/>
      </c>
      <c r="D4290" t="str">
        <f>IFERROR(__xludf.DUMMYFUNCTION("""COMPUTED_VALUE"""),"")</f>
        <v/>
      </c>
      <c r="E4290" t="str">
        <f>IFERROR(__xludf.DUMMYFUNCTION("""COMPUTED_VALUE"""),"")</f>
        <v/>
      </c>
      <c r="F4290" t="str">
        <f>IFERROR(__xludf.DUMMYFUNCTION("""COMPUTED_VALUE"""),"")</f>
        <v/>
      </c>
      <c r="G4290" t="str">
        <f>IFERROR(__xludf.DUMMYFUNCTION("""COMPUTED_VALUE"""),"")</f>
        <v/>
      </c>
      <c r="H4290" s="2" t="str">
        <f>IFERROR(__xludf.DUMMYFUNCTION("""COMPUTED_VALUE"""),"")</f>
        <v/>
      </c>
      <c r="I4290" s="2" t="str">
        <f>IFERROR(__xludf.DUMMYFUNCTION("""COMPUTED_VALUE"""),"")</f>
        <v/>
      </c>
      <c r="J4290" s="2">
        <f>IFERROR(__xludf.DUMMYFUNCTION("""COMPUTED_VALUE"""),0.0)</f>
        <v>0</v>
      </c>
      <c r="K4290" s="5" t="str">
        <f>IFERROR(__xludf.DUMMYFUNCTION("""COMPUTED_VALUE"""),"")</f>
        <v/>
      </c>
      <c r="L4290" t="str">
        <f>IFERROR(__xludf.DUMMYFUNCTION("""COMPUTED_VALUE"""),"")</f>
        <v/>
      </c>
      <c r="M4290" t="str">
        <f>IFERROR(__xludf.DUMMYFUNCTION("""COMPUTED_VALUE"""),"")</f>
        <v/>
      </c>
      <c r="N4290" t="str">
        <f>IFERROR(__xludf.DUMMYFUNCTION("""COMPUTED_VALUE"""),"")</f>
        <v/>
      </c>
      <c r="O4290" t="str">
        <f>IFERROR(__xludf.DUMMYFUNCTION("""COMPUTED_VALUE"""),"")</f>
        <v/>
      </c>
      <c r="P4290" t="str">
        <f>IFERROR(__xludf.DUMMYFUNCTION("""COMPUTED_VALUE"""),"ID ")</f>
        <v>ID </v>
      </c>
    </row>
    <row r="4291">
      <c r="A4291" s="6" t="str">
        <f>IFERROR(__xludf.DUMMYFUNCTION("""COMPUTED_VALUE"""),"")</f>
        <v/>
      </c>
      <c r="C4291" t="str">
        <f>IFERROR(__xludf.DUMMYFUNCTION("""COMPUTED_VALUE"""),"")</f>
        <v/>
      </c>
      <c r="D4291" t="str">
        <f>IFERROR(__xludf.DUMMYFUNCTION("""COMPUTED_VALUE"""),"")</f>
        <v/>
      </c>
      <c r="E4291" t="str">
        <f>IFERROR(__xludf.DUMMYFUNCTION("""COMPUTED_VALUE"""),"")</f>
        <v/>
      </c>
      <c r="F4291" t="str">
        <f>IFERROR(__xludf.DUMMYFUNCTION("""COMPUTED_VALUE"""),"")</f>
        <v/>
      </c>
      <c r="G4291" t="str">
        <f>IFERROR(__xludf.DUMMYFUNCTION("""COMPUTED_VALUE"""),"")</f>
        <v/>
      </c>
      <c r="H4291" s="2" t="str">
        <f>IFERROR(__xludf.DUMMYFUNCTION("""COMPUTED_VALUE"""),"")</f>
        <v/>
      </c>
      <c r="I4291" s="2" t="str">
        <f>IFERROR(__xludf.DUMMYFUNCTION("""COMPUTED_VALUE"""),"")</f>
        <v/>
      </c>
      <c r="J4291" s="2">
        <f>IFERROR(__xludf.DUMMYFUNCTION("""COMPUTED_VALUE"""),0.0)</f>
        <v>0</v>
      </c>
      <c r="K4291" s="5" t="str">
        <f>IFERROR(__xludf.DUMMYFUNCTION("""COMPUTED_VALUE"""),"")</f>
        <v/>
      </c>
      <c r="L4291" t="str">
        <f>IFERROR(__xludf.DUMMYFUNCTION("""COMPUTED_VALUE"""),"")</f>
        <v/>
      </c>
      <c r="M4291" t="str">
        <f>IFERROR(__xludf.DUMMYFUNCTION("""COMPUTED_VALUE"""),"")</f>
        <v/>
      </c>
      <c r="N4291" t="str">
        <f>IFERROR(__xludf.DUMMYFUNCTION("""COMPUTED_VALUE"""),"")</f>
        <v/>
      </c>
      <c r="O4291" t="str">
        <f>IFERROR(__xludf.DUMMYFUNCTION("""COMPUTED_VALUE"""),"")</f>
        <v/>
      </c>
      <c r="P4291" t="str">
        <f>IFERROR(__xludf.DUMMYFUNCTION("""COMPUTED_VALUE"""),"ID ")</f>
        <v>ID </v>
      </c>
    </row>
    <row r="4292">
      <c r="A4292" s="6" t="str">
        <f>IFERROR(__xludf.DUMMYFUNCTION("""COMPUTED_VALUE"""),"")</f>
        <v/>
      </c>
      <c r="C4292" t="str">
        <f>IFERROR(__xludf.DUMMYFUNCTION("""COMPUTED_VALUE"""),"")</f>
        <v/>
      </c>
      <c r="D4292" t="str">
        <f>IFERROR(__xludf.DUMMYFUNCTION("""COMPUTED_VALUE"""),"")</f>
        <v/>
      </c>
      <c r="E4292" t="str">
        <f>IFERROR(__xludf.DUMMYFUNCTION("""COMPUTED_VALUE"""),"")</f>
        <v/>
      </c>
      <c r="F4292" t="str">
        <f>IFERROR(__xludf.DUMMYFUNCTION("""COMPUTED_VALUE"""),"")</f>
        <v/>
      </c>
      <c r="G4292" t="str">
        <f>IFERROR(__xludf.DUMMYFUNCTION("""COMPUTED_VALUE"""),"")</f>
        <v/>
      </c>
      <c r="H4292" s="2" t="str">
        <f>IFERROR(__xludf.DUMMYFUNCTION("""COMPUTED_VALUE"""),"")</f>
        <v/>
      </c>
      <c r="I4292" s="2" t="str">
        <f>IFERROR(__xludf.DUMMYFUNCTION("""COMPUTED_VALUE"""),"")</f>
        <v/>
      </c>
      <c r="J4292" s="2">
        <f>IFERROR(__xludf.DUMMYFUNCTION("""COMPUTED_VALUE"""),0.0)</f>
        <v>0</v>
      </c>
      <c r="K4292" s="5" t="str">
        <f>IFERROR(__xludf.DUMMYFUNCTION("""COMPUTED_VALUE"""),"")</f>
        <v/>
      </c>
      <c r="L4292" t="str">
        <f>IFERROR(__xludf.DUMMYFUNCTION("""COMPUTED_VALUE"""),"")</f>
        <v/>
      </c>
      <c r="M4292" t="str">
        <f>IFERROR(__xludf.DUMMYFUNCTION("""COMPUTED_VALUE"""),"")</f>
        <v/>
      </c>
      <c r="N4292" t="str">
        <f>IFERROR(__xludf.DUMMYFUNCTION("""COMPUTED_VALUE"""),"")</f>
        <v/>
      </c>
      <c r="O4292" t="str">
        <f>IFERROR(__xludf.DUMMYFUNCTION("""COMPUTED_VALUE"""),"")</f>
        <v/>
      </c>
      <c r="P4292" t="str">
        <f>IFERROR(__xludf.DUMMYFUNCTION("""COMPUTED_VALUE"""),"ID ")</f>
        <v>ID </v>
      </c>
    </row>
    <row r="4293">
      <c r="A4293" s="6" t="str">
        <f>IFERROR(__xludf.DUMMYFUNCTION("""COMPUTED_VALUE"""),"")</f>
        <v/>
      </c>
      <c r="C4293" t="str">
        <f>IFERROR(__xludf.DUMMYFUNCTION("""COMPUTED_VALUE"""),"")</f>
        <v/>
      </c>
      <c r="D4293" t="str">
        <f>IFERROR(__xludf.DUMMYFUNCTION("""COMPUTED_VALUE"""),"")</f>
        <v/>
      </c>
      <c r="E4293" t="str">
        <f>IFERROR(__xludf.DUMMYFUNCTION("""COMPUTED_VALUE"""),"")</f>
        <v/>
      </c>
      <c r="F4293" t="str">
        <f>IFERROR(__xludf.DUMMYFUNCTION("""COMPUTED_VALUE"""),"")</f>
        <v/>
      </c>
      <c r="G4293" t="str">
        <f>IFERROR(__xludf.DUMMYFUNCTION("""COMPUTED_VALUE"""),"")</f>
        <v/>
      </c>
      <c r="H4293" s="2" t="str">
        <f>IFERROR(__xludf.DUMMYFUNCTION("""COMPUTED_VALUE"""),"")</f>
        <v/>
      </c>
      <c r="I4293" s="2" t="str">
        <f>IFERROR(__xludf.DUMMYFUNCTION("""COMPUTED_VALUE"""),"")</f>
        <v/>
      </c>
      <c r="J4293" s="2">
        <f>IFERROR(__xludf.DUMMYFUNCTION("""COMPUTED_VALUE"""),0.0)</f>
        <v>0</v>
      </c>
      <c r="K4293" s="5" t="str">
        <f>IFERROR(__xludf.DUMMYFUNCTION("""COMPUTED_VALUE"""),"")</f>
        <v/>
      </c>
      <c r="L4293" t="str">
        <f>IFERROR(__xludf.DUMMYFUNCTION("""COMPUTED_VALUE"""),"")</f>
        <v/>
      </c>
      <c r="M4293" t="str">
        <f>IFERROR(__xludf.DUMMYFUNCTION("""COMPUTED_VALUE"""),"")</f>
        <v/>
      </c>
      <c r="N4293" t="str">
        <f>IFERROR(__xludf.DUMMYFUNCTION("""COMPUTED_VALUE"""),"")</f>
        <v/>
      </c>
      <c r="O4293" t="str">
        <f>IFERROR(__xludf.DUMMYFUNCTION("""COMPUTED_VALUE"""),"")</f>
        <v/>
      </c>
      <c r="P4293" t="str">
        <f>IFERROR(__xludf.DUMMYFUNCTION("""COMPUTED_VALUE"""),"ID ")</f>
        <v>ID </v>
      </c>
    </row>
    <row r="4294">
      <c r="A4294" s="6" t="str">
        <f>IFERROR(__xludf.DUMMYFUNCTION("""COMPUTED_VALUE"""),"")</f>
        <v/>
      </c>
      <c r="C4294" t="str">
        <f>IFERROR(__xludf.DUMMYFUNCTION("""COMPUTED_VALUE"""),"")</f>
        <v/>
      </c>
      <c r="D4294" t="str">
        <f>IFERROR(__xludf.DUMMYFUNCTION("""COMPUTED_VALUE"""),"")</f>
        <v/>
      </c>
      <c r="E4294" t="str">
        <f>IFERROR(__xludf.DUMMYFUNCTION("""COMPUTED_VALUE"""),"")</f>
        <v/>
      </c>
      <c r="F4294" t="str">
        <f>IFERROR(__xludf.DUMMYFUNCTION("""COMPUTED_VALUE"""),"")</f>
        <v/>
      </c>
      <c r="G4294" t="str">
        <f>IFERROR(__xludf.DUMMYFUNCTION("""COMPUTED_VALUE"""),"")</f>
        <v/>
      </c>
      <c r="H4294" s="2" t="str">
        <f>IFERROR(__xludf.DUMMYFUNCTION("""COMPUTED_VALUE"""),"")</f>
        <v/>
      </c>
      <c r="I4294" s="2" t="str">
        <f>IFERROR(__xludf.DUMMYFUNCTION("""COMPUTED_VALUE"""),"")</f>
        <v/>
      </c>
      <c r="J4294" s="2">
        <f>IFERROR(__xludf.DUMMYFUNCTION("""COMPUTED_VALUE"""),0.0)</f>
        <v>0</v>
      </c>
      <c r="K4294" s="5" t="str">
        <f>IFERROR(__xludf.DUMMYFUNCTION("""COMPUTED_VALUE"""),"")</f>
        <v/>
      </c>
      <c r="L4294" t="str">
        <f>IFERROR(__xludf.DUMMYFUNCTION("""COMPUTED_VALUE"""),"")</f>
        <v/>
      </c>
      <c r="M4294" t="str">
        <f>IFERROR(__xludf.DUMMYFUNCTION("""COMPUTED_VALUE"""),"")</f>
        <v/>
      </c>
      <c r="N4294" t="str">
        <f>IFERROR(__xludf.DUMMYFUNCTION("""COMPUTED_VALUE"""),"")</f>
        <v/>
      </c>
      <c r="O4294" t="str">
        <f>IFERROR(__xludf.DUMMYFUNCTION("""COMPUTED_VALUE"""),"")</f>
        <v/>
      </c>
      <c r="P4294" t="str">
        <f>IFERROR(__xludf.DUMMYFUNCTION("""COMPUTED_VALUE"""),"ID ")</f>
        <v>ID </v>
      </c>
    </row>
    <row r="4295">
      <c r="A4295" s="6" t="str">
        <f>IFERROR(__xludf.DUMMYFUNCTION("""COMPUTED_VALUE"""),"")</f>
        <v/>
      </c>
      <c r="C4295" t="str">
        <f>IFERROR(__xludf.DUMMYFUNCTION("""COMPUTED_VALUE"""),"")</f>
        <v/>
      </c>
      <c r="D4295" t="str">
        <f>IFERROR(__xludf.DUMMYFUNCTION("""COMPUTED_VALUE"""),"")</f>
        <v/>
      </c>
      <c r="E4295" t="str">
        <f>IFERROR(__xludf.DUMMYFUNCTION("""COMPUTED_VALUE"""),"")</f>
        <v/>
      </c>
      <c r="F4295" t="str">
        <f>IFERROR(__xludf.DUMMYFUNCTION("""COMPUTED_VALUE"""),"")</f>
        <v/>
      </c>
      <c r="G4295" t="str">
        <f>IFERROR(__xludf.DUMMYFUNCTION("""COMPUTED_VALUE"""),"")</f>
        <v/>
      </c>
      <c r="H4295" s="2" t="str">
        <f>IFERROR(__xludf.DUMMYFUNCTION("""COMPUTED_VALUE"""),"")</f>
        <v/>
      </c>
      <c r="I4295" s="2" t="str">
        <f>IFERROR(__xludf.DUMMYFUNCTION("""COMPUTED_VALUE"""),"")</f>
        <v/>
      </c>
      <c r="J4295" s="2">
        <f>IFERROR(__xludf.DUMMYFUNCTION("""COMPUTED_VALUE"""),0.0)</f>
        <v>0</v>
      </c>
      <c r="K4295" s="5" t="str">
        <f>IFERROR(__xludf.DUMMYFUNCTION("""COMPUTED_VALUE"""),"")</f>
        <v/>
      </c>
      <c r="L4295" t="str">
        <f>IFERROR(__xludf.DUMMYFUNCTION("""COMPUTED_VALUE"""),"")</f>
        <v/>
      </c>
      <c r="M4295" t="str">
        <f>IFERROR(__xludf.DUMMYFUNCTION("""COMPUTED_VALUE"""),"")</f>
        <v/>
      </c>
      <c r="N4295" t="str">
        <f>IFERROR(__xludf.DUMMYFUNCTION("""COMPUTED_VALUE"""),"")</f>
        <v/>
      </c>
      <c r="O4295" t="str">
        <f>IFERROR(__xludf.DUMMYFUNCTION("""COMPUTED_VALUE"""),"")</f>
        <v/>
      </c>
      <c r="P4295" t="str">
        <f>IFERROR(__xludf.DUMMYFUNCTION("""COMPUTED_VALUE"""),"ID ")</f>
        <v>ID </v>
      </c>
    </row>
    <row r="4296">
      <c r="A4296" s="6" t="str">
        <f>IFERROR(__xludf.DUMMYFUNCTION("""COMPUTED_VALUE"""),"")</f>
        <v/>
      </c>
      <c r="C4296" t="str">
        <f>IFERROR(__xludf.DUMMYFUNCTION("""COMPUTED_VALUE"""),"")</f>
        <v/>
      </c>
      <c r="D4296" t="str">
        <f>IFERROR(__xludf.DUMMYFUNCTION("""COMPUTED_VALUE"""),"")</f>
        <v/>
      </c>
      <c r="E4296" t="str">
        <f>IFERROR(__xludf.DUMMYFUNCTION("""COMPUTED_VALUE"""),"")</f>
        <v/>
      </c>
      <c r="F4296" t="str">
        <f>IFERROR(__xludf.DUMMYFUNCTION("""COMPUTED_VALUE"""),"")</f>
        <v/>
      </c>
      <c r="G4296" t="str">
        <f>IFERROR(__xludf.DUMMYFUNCTION("""COMPUTED_VALUE"""),"")</f>
        <v/>
      </c>
      <c r="H4296" s="2" t="str">
        <f>IFERROR(__xludf.DUMMYFUNCTION("""COMPUTED_VALUE"""),"")</f>
        <v/>
      </c>
      <c r="I4296" s="2" t="str">
        <f>IFERROR(__xludf.DUMMYFUNCTION("""COMPUTED_VALUE"""),"")</f>
        <v/>
      </c>
      <c r="J4296" s="2">
        <f>IFERROR(__xludf.DUMMYFUNCTION("""COMPUTED_VALUE"""),0.0)</f>
        <v>0</v>
      </c>
      <c r="K4296" s="5" t="str">
        <f>IFERROR(__xludf.DUMMYFUNCTION("""COMPUTED_VALUE"""),"")</f>
        <v/>
      </c>
      <c r="L4296" t="str">
        <f>IFERROR(__xludf.DUMMYFUNCTION("""COMPUTED_VALUE"""),"")</f>
        <v/>
      </c>
      <c r="M4296" t="str">
        <f>IFERROR(__xludf.DUMMYFUNCTION("""COMPUTED_VALUE"""),"")</f>
        <v/>
      </c>
      <c r="N4296" t="str">
        <f>IFERROR(__xludf.DUMMYFUNCTION("""COMPUTED_VALUE"""),"")</f>
        <v/>
      </c>
      <c r="O4296" t="str">
        <f>IFERROR(__xludf.DUMMYFUNCTION("""COMPUTED_VALUE"""),"")</f>
        <v/>
      </c>
      <c r="P4296" t="str">
        <f>IFERROR(__xludf.DUMMYFUNCTION("""COMPUTED_VALUE"""),"ID ")</f>
        <v>ID </v>
      </c>
    </row>
    <row r="4297">
      <c r="A4297" s="6" t="str">
        <f>IFERROR(__xludf.DUMMYFUNCTION("""COMPUTED_VALUE"""),"")</f>
        <v/>
      </c>
      <c r="C4297" t="str">
        <f>IFERROR(__xludf.DUMMYFUNCTION("""COMPUTED_VALUE"""),"")</f>
        <v/>
      </c>
      <c r="D4297" t="str">
        <f>IFERROR(__xludf.DUMMYFUNCTION("""COMPUTED_VALUE"""),"")</f>
        <v/>
      </c>
      <c r="E4297" t="str">
        <f>IFERROR(__xludf.DUMMYFUNCTION("""COMPUTED_VALUE"""),"")</f>
        <v/>
      </c>
      <c r="F4297" t="str">
        <f>IFERROR(__xludf.DUMMYFUNCTION("""COMPUTED_VALUE"""),"")</f>
        <v/>
      </c>
      <c r="G4297" t="str">
        <f>IFERROR(__xludf.DUMMYFUNCTION("""COMPUTED_VALUE"""),"")</f>
        <v/>
      </c>
      <c r="H4297" s="2" t="str">
        <f>IFERROR(__xludf.DUMMYFUNCTION("""COMPUTED_VALUE"""),"")</f>
        <v/>
      </c>
      <c r="I4297" s="2" t="str">
        <f>IFERROR(__xludf.DUMMYFUNCTION("""COMPUTED_VALUE"""),"")</f>
        <v/>
      </c>
      <c r="J4297" s="2">
        <f>IFERROR(__xludf.DUMMYFUNCTION("""COMPUTED_VALUE"""),0.0)</f>
        <v>0</v>
      </c>
      <c r="K4297" s="5" t="str">
        <f>IFERROR(__xludf.DUMMYFUNCTION("""COMPUTED_VALUE"""),"")</f>
        <v/>
      </c>
      <c r="L4297" t="str">
        <f>IFERROR(__xludf.DUMMYFUNCTION("""COMPUTED_VALUE"""),"")</f>
        <v/>
      </c>
      <c r="M4297" t="str">
        <f>IFERROR(__xludf.DUMMYFUNCTION("""COMPUTED_VALUE"""),"")</f>
        <v/>
      </c>
      <c r="N4297" t="str">
        <f>IFERROR(__xludf.DUMMYFUNCTION("""COMPUTED_VALUE"""),"")</f>
        <v/>
      </c>
      <c r="O4297" t="str">
        <f>IFERROR(__xludf.DUMMYFUNCTION("""COMPUTED_VALUE"""),"")</f>
        <v/>
      </c>
      <c r="P4297" t="str">
        <f>IFERROR(__xludf.DUMMYFUNCTION("""COMPUTED_VALUE"""),"ID ")</f>
        <v>ID </v>
      </c>
    </row>
    <row r="4298">
      <c r="A4298" s="6" t="str">
        <f>IFERROR(__xludf.DUMMYFUNCTION("""COMPUTED_VALUE"""),"")</f>
        <v/>
      </c>
      <c r="C4298" t="str">
        <f>IFERROR(__xludf.DUMMYFUNCTION("""COMPUTED_VALUE"""),"")</f>
        <v/>
      </c>
      <c r="D4298" t="str">
        <f>IFERROR(__xludf.DUMMYFUNCTION("""COMPUTED_VALUE"""),"")</f>
        <v/>
      </c>
      <c r="E4298" t="str">
        <f>IFERROR(__xludf.DUMMYFUNCTION("""COMPUTED_VALUE"""),"")</f>
        <v/>
      </c>
      <c r="F4298" t="str">
        <f>IFERROR(__xludf.DUMMYFUNCTION("""COMPUTED_VALUE"""),"")</f>
        <v/>
      </c>
      <c r="G4298" t="str">
        <f>IFERROR(__xludf.DUMMYFUNCTION("""COMPUTED_VALUE"""),"")</f>
        <v/>
      </c>
      <c r="H4298" s="2" t="str">
        <f>IFERROR(__xludf.DUMMYFUNCTION("""COMPUTED_VALUE"""),"")</f>
        <v/>
      </c>
      <c r="I4298" s="2" t="str">
        <f>IFERROR(__xludf.DUMMYFUNCTION("""COMPUTED_VALUE"""),"")</f>
        <v/>
      </c>
      <c r="J4298" s="2">
        <f>IFERROR(__xludf.DUMMYFUNCTION("""COMPUTED_VALUE"""),0.0)</f>
        <v>0</v>
      </c>
      <c r="K4298" s="5" t="str">
        <f>IFERROR(__xludf.DUMMYFUNCTION("""COMPUTED_VALUE"""),"")</f>
        <v/>
      </c>
      <c r="L4298" t="str">
        <f>IFERROR(__xludf.DUMMYFUNCTION("""COMPUTED_VALUE"""),"")</f>
        <v/>
      </c>
      <c r="M4298" t="str">
        <f>IFERROR(__xludf.DUMMYFUNCTION("""COMPUTED_VALUE"""),"")</f>
        <v/>
      </c>
      <c r="N4298" t="str">
        <f>IFERROR(__xludf.DUMMYFUNCTION("""COMPUTED_VALUE"""),"")</f>
        <v/>
      </c>
      <c r="O4298" t="str">
        <f>IFERROR(__xludf.DUMMYFUNCTION("""COMPUTED_VALUE"""),"")</f>
        <v/>
      </c>
      <c r="P4298" t="str">
        <f>IFERROR(__xludf.DUMMYFUNCTION("""COMPUTED_VALUE"""),"ID ")</f>
        <v>ID </v>
      </c>
    </row>
    <row r="4299">
      <c r="A4299" s="6" t="str">
        <f>IFERROR(__xludf.DUMMYFUNCTION("""COMPUTED_VALUE"""),"")</f>
        <v/>
      </c>
      <c r="C4299" t="str">
        <f>IFERROR(__xludf.DUMMYFUNCTION("""COMPUTED_VALUE"""),"")</f>
        <v/>
      </c>
      <c r="D4299" t="str">
        <f>IFERROR(__xludf.DUMMYFUNCTION("""COMPUTED_VALUE"""),"")</f>
        <v/>
      </c>
      <c r="E4299" t="str">
        <f>IFERROR(__xludf.DUMMYFUNCTION("""COMPUTED_VALUE"""),"")</f>
        <v/>
      </c>
      <c r="F4299" t="str">
        <f>IFERROR(__xludf.DUMMYFUNCTION("""COMPUTED_VALUE"""),"")</f>
        <v/>
      </c>
      <c r="G4299" t="str">
        <f>IFERROR(__xludf.DUMMYFUNCTION("""COMPUTED_VALUE"""),"")</f>
        <v/>
      </c>
      <c r="H4299" s="2" t="str">
        <f>IFERROR(__xludf.DUMMYFUNCTION("""COMPUTED_VALUE"""),"")</f>
        <v/>
      </c>
      <c r="I4299" s="2" t="str">
        <f>IFERROR(__xludf.DUMMYFUNCTION("""COMPUTED_VALUE"""),"")</f>
        <v/>
      </c>
      <c r="J4299" s="2">
        <f>IFERROR(__xludf.DUMMYFUNCTION("""COMPUTED_VALUE"""),0.0)</f>
        <v>0</v>
      </c>
      <c r="K4299" s="5" t="str">
        <f>IFERROR(__xludf.DUMMYFUNCTION("""COMPUTED_VALUE"""),"")</f>
        <v/>
      </c>
      <c r="L4299" t="str">
        <f>IFERROR(__xludf.DUMMYFUNCTION("""COMPUTED_VALUE"""),"")</f>
        <v/>
      </c>
      <c r="M4299" t="str">
        <f>IFERROR(__xludf.DUMMYFUNCTION("""COMPUTED_VALUE"""),"")</f>
        <v/>
      </c>
      <c r="N4299" t="str">
        <f>IFERROR(__xludf.DUMMYFUNCTION("""COMPUTED_VALUE"""),"")</f>
        <v/>
      </c>
      <c r="O4299" t="str">
        <f>IFERROR(__xludf.DUMMYFUNCTION("""COMPUTED_VALUE"""),"")</f>
        <v/>
      </c>
      <c r="P4299" t="str">
        <f>IFERROR(__xludf.DUMMYFUNCTION("""COMPUTED_VALUE"""),"ID ")</f>
        <v>ID </v>
      </c>
    </row>
    <row r="4300">
      <c r="A4300" s="6" t="str">
        <f>IFERROR(__xludf.DUMMYFUNCTION("""COMPUTED_VALUE"""),"")</f>
        <v/>
      </c>
      <c r="C4300" t="str">
        <f>IFERROR(__xludf.DUMMYFUNCTION("""COMPUTED_VALUE"""),"")</f>
        <v/>
      </c>
      <c r="D4300" t="str">
        <f>IFERROR(__xludf.DUMMYFUNCTION("""COMPUTED_VALUE"""),"")</f>
        <v/>
      </c>
      <c r="E4300" t="str">
        <f>IFERROR(__xludf.DUMMYFUNCTION("""COMPUTED_VALUE"""),"")</f>
        <v/>
      </c>
      <c r="F4300" t="str">
        <f>IFERROR(__xludf.DUMMYFUNCTION("""COMPUTED_VALUE"""),"")</f>
        <v/>
      </c>
      <c r="G4300" t="str">
        <f>IFERROR(__xludf.DUMMYFUNCTION("""COMPUTED_VALUE"""),"")</f>
        <v/>
      </c>
      <c r="H4300" s="2" t="str">
        <f>IFERROR(__xludf.DUMMYFUNCTION("""COMPUTED_VALUE"""),"")</f>
        <v/>
      </c>
      <c r="I4300" s="2" t="str">
        <f>IFERROR(__xludf.DUMMYFUNCTION("""COMPUTED_VALUE"""),"")</f>
        <v/>
      </c>
      <c r="J4300" s="2">
        <f>IFERROR(__xludf.DUMMYFUNCTION("""COMPUTED_VALUE"""),0.0)</f>
        <v>0</v>
      </c>
      <c r="K4300" s="5" t="str">
        <f>IFERROR(__xludf.DUMMYFUNCTION("""COMPUTED_VALUE"""),"")</f>
        <v/>
      </c>
      <c r="L4300" t="str">
        <f>IFERROR(__xludf.DUMMYFUNCTION("""COMPUTED_VALUE"""),"")</f>
        <v/>
      </c>
      <c r="M4300" t="str">
        <f>IFERROR(__xludf.DUMMYFUNCTION("""COMPUTED_VALUE"""),"")</f>
        <v/>
      </c>
      <c r="N4300" t="str">
        <f>IFERROR(__xludf.DUMMYFUNCTION("""COMPUTED_VALUE"""),"")</f>
        <v/>
      </c>
      <c r="O4300" t="str">
        <f>IFERROR(__xludf.DUMMYFUNCTION("""COMPUTED_VALUE"""),"")</f>
        <v/>
      </c>
      <c r="P4300" t="str">
        <f>IFERROR(__xludf.DUMMYFUNCTION("""COMPUTED_VALUE"""),"ID ")</f>
        <v>ID </v>
      </c>
    </row>
    <row r="4301">
      <c r="A4301" s="6" t="str">
        <f>IFERROR(__xludf.DUMMYFUNCTION("""COMPUTED_VALUE"""),"")</f>
        <v/>
      </c>
      <c r="C4301" t="str">
        <f>IFERROR(__xludf.DUMMYFUNCTION("""COMPUTED_VALUE"""),"")</f>
        <v/>
      </c>
      <c r="D4301" t="str">
        <f>IFERROR(__xludf.DUMMYFUNCTION("""COMPUTED_VALUE"""),"")</f>
        <v/>
      </c>
      <c r="E4301" t="str">
        <f>IFERROR(__xludf.DUMMYFUNCTION("""COMPUTED_VALUE"""),"")</f>
        <v/>
      </c>
      <c r="F4301" t="str">
        <f>IFERROR(__xludf.DUMMYFUNCTION("""COMPUTED_VALUE"""),"")</f>
        <v/>
      </c>
      <c r="G4301" t="str">
        <f>IFERROR(__xludf.DUMMYFUNCTION("""COMPUTED_VALUE"""),"")</f>
        <v/>
      </c>
      <c r="H4301" s="2" t="str">
        <f>IFERROR(__xludf.DUMMYFUNCTION("""COMPUTED_VALUE"""),"")</f>
        <v/>
      </c>
      <c r="I4301" s="2" t="str">
        <f>IFERROR(__xludf.DUMMYFUNCTION("""COMPUTED_VALUE"""),"")</f>
        <v/>
      </c>
      <c r="J4301" s="2">
        <f>IFERROR(__xludf.DUMMYFUNCTION("""COMPUTED_VALUE"""),0.0)</f>
        <v>0</v>
      </c>
      <c r="K4301" s="5" t="str">
        <f>IFERROR(__xludf.DUMMYFUNCTION("""COMPUTED_VALUE"""),"")</f>
        <v/>
      </c>
      <c r="L4301" t="str">
        <f>IFERROR(__xludf.DUMMYFUNCTION("""COMPUTED_VALUE"""),"")</f>
        <v/>
      </c>
      <c r="M4301" t="str">
        <f>IFERROR(__xludf.DUMMYFUNCTION("""COMPUTED_VALUE"""),"")</f>
        <v/>
      </c>
      <c r="N4301" t="str">
        <f>IFERROR(__xludf.DUMMYFUNCTION("""COMPUTED_VALUE"""),"")</f>
        <v/>
      </c>
      <c r="O4301" t="str">
        <f>IFERROR(__xludf.DUMMYFUNCTION("""COMPUTED_VALUE"""),"")</f>
        <v/>
      </c>
      <c r="P4301" t="str">
        <f>IFERROR(__xludf.DUMMYFUNCTION("""COMPUTED_VALUE"""),"ID ")</f>
        <v>ID </v>
      </c>
    </row>
    <row r="4302">
      <c r="A4302" s="6" t="str">
        <f>IFERROR(__xludf.DUMMYFUNCTION("""COMPUTED_VALUE"""),"")</f>
        <v/>
      </c>
      <c r="C4302" t="str">
        <f>IFERROR(__xludf.DUMMYFUNCTION("""COMPUTED_VALUE"""),"")</f>
        <v/>
      </c>
      <c r="D4302" t="str">
        <f>IFERROR(__xludf.DUMMYFUNCTION("""COMPUTED_VALUE"""),"")</f>
        <v/>
      </c>
      <c r="E4302" t="str">
        <f>IFERROR(__xludf.DUMMYFUNCTION("""COMPUTED_VALUE"""),"")</f>
        <v/>
      </c>
      <c r="F4302" t="str">
        <f>IFERROR(__xludf.DUMMYFUNCTION("""COMPUTED_VALUE"""),"")</f>
        <v/>
      </c>
      <c r="G4302" t="str">
        <f>IFERROR(__xludf.DUMMYFUNCTION("""COMPUTED_VALUE"""),"")</f>
        <v/>
      </c>
      <c r="H4302" s="2" t="str">
        <f>IFERROR(__xludf.DUMMYFUNCTION("""COMPUTED_VALUE"""),"")</f>
        <v/>
      </c>
      <c r="I4302" s="2" t="str">
        <f>IFERROR(__xludf.DUMMYFUNCTION("""COMPUTED_VALUE"""),"")</f>
        <v/>
      </c>
      <c r="J4302" s="2">
        <f>IFERROR(__xludf.DUMMYFUNCTION("""COMPUTED_VALUE"""),0.0)</f>
        <v>0</v>
      </c>
      <c r="K4302" s="5" t="str">
        <f>IFERROR(__xludf.DUMMYFUNCTION("""COMPUTED_VALUE"""),"")</f>
        <v/>
      </c>
      <c r="L4302" t="str">
        <f>IFERROR(__xludf.DUMMYFUNCTION("""COMPUTED_VALUE"""),"")</f>
        <v/>
      </c>
      <c r="M4302" t="str">
        <f>IFERROR(__xludf.DUMMYFUNCTION("""COMPUTED_VALUE"""),"")</f>
        <v/>
      </c>
      <c r="N4302" t="str">
        <f>IFERROR(__xludf.DUMMYFUNCTION("""COMPUTED_VALUE"""),"")</f>
        <v/>
      </c>
      <c r="O4302" t="str">
        <f>IFERROR(__xludf.DUMMYFUNCTION("""COMPUTED_VALUE"""),"")</f>
        <v/>
      </c>
      <c r="P4302" t="str">
        <f>IFERROR(__xludf.DUMMYFUNCTION("""COMPUTED_VALUE"""),"ID ")</f>
        <v>ID </v>
      </c>
    </row>
    <row r="4303">
      <c r="A4303" s="6" t="str">
        <f>IFERROR(__xludf.DUMMYFUNCTION("""COMPUTED_VALUE"""),"")</f>
        <v/>
      </c>
      <c r="C4303" t="str">
        <f>IFERROR(__xludf.DUMMYFUNCTION("""COMPUTED_VALUE"""),"")</f>
        <v/>
      </c>
      <c r="D4303" t="str">
        <f>IFERROR(__xludf.DUMMYFUNCTION("""COMPUTED_VALUE"""),"")</f>
        <v/>
      </c>
      <c r="E4303" t="str">
        <f>IFERROR(__xludf.DUMMYFUNCTION("""COMPUTED_VALUE"""),"")</f>
        <v/>
      </c>
      <c r="F4303" t="str">
        <f>IFERROR(__xludf.DUMMYFUNCTION("""COMPUTED_VALUE"""),"")</f>
        <v/>
      </c>
      <c r="G4303" t="str">
        <f>IFERROR(__xludf.DUMMYFUNCTION("""COMPUTED_VALUE"""),"")</f>
        <v/>
      </c>
      <c r="H4303" s="2" t="str">
        <f>IFERROR(__xludf.DUMMYFUNCTION("""COMPUTED_VALUE"""),"")</f>
        <v/>
      </c>
      <c r="I4303" s="2" t="str">
        <f>IFERROR(__xludf.DUMMYFUNCTION("""COMPUTED_VALUE"""),"")</f>
        <v/>
      </c>
      <c r="J4303" s="2">
        <f>IFERROR(__xludf.DUMMYFUNCTION("""COMPUTED_VALUE"""),0.0)</f>
        <v>0</v>
      </c>
      <c r="K4303" s="5" t="str">
        <f>IFERROR(__xludf.DUMMYFUNCTION("""COMPUTED_VALUE"""),"")</f>
        <v/>
      </c>
      <c r="L4303" t="str">
        <f>IFERROR(__xludf.DUMMYFUNCTION("""COMPUTED_VALUE"""),"")</f>
        <v/>
      </c>
      <c r="M4303" t="str">
        <f>IFERROR(__xludf.DUMMYFUNCTION("""COMPUTED_VALUE"""),"")</f>
        <v/>
      </c>
      <c r="N4303" t="str">
        <f>IFERROR(__xludf.DUMMYFUNCTION("""COMPUTED_VALUE"""),"")</f>
        <v/>
      </c>
      <c r="O4303" t="str">
        <f>IFERROR(__xludf.DUMMYFUNCTION("""COMPUTED_VALUE"""),"")</f>
        <v/>
      </c>
      <c r="P4303" t="str">
        <f>IFERROR(__xludf.DUMMYFUNCTION("""COMPUTED_VALUE"""),"ID ")</f>
        <v>ID </v>
      </c>
    </row>
    <row r="4304">
      <c r="A4304" s="6" t="str">
        <f>IFERROR(__xludf.DUMMYFUNCTION("""COMPUTED_VALUE"""),"")</f>
        <v/>
      </c>
      <c r="C4304" t="str">
        <f>IFERROR(__xludf.DUMMYFUNCTION("""COMPUTED_VALUE"""),"")</f>
        <v/>
      </c>
      <c r="D4304" t="str">
        <f>IFERROR(__xludf.DUMMYFUNCTION("""COMPUTED_VALUE"""),"")</f>
        <v/>
      </c>
      <c r="E4304" t="str">
        <f>IFERROR(__xludf.DUMMYFUNCTION("""COMPUTED_VALUE"""),"")</f>
        <v/>
      </c>
      <c r="F4304" t="str">
        <f>IFERROR(__xludf.DUMMYFUNCTION("""COMPUTED_VALUE"""),"")</f>
        <v/>
      </c>
      <c r="G4304" t="str">
        <f>IFERROR(__xludf.DUMMYFUNCTION("""COMPUTED_VALUE"""),"")</f>
        <v/>
      </c>
      <c r="H4304" s="2" t="str">
        <f>IFERROR(__xludf.DUMMYFUNCTION("""COMPUTED_VALUE"""),"")</f>
        <v/>
      </c>
      <c r="I4304" s="2" t="str">
        <f>IFERROR(__xludf.DUMMYFUNCTION("""COMPUTED_VALUE"""),"")</f>
        <v/>
      </c>
      <c r="J4304" s="2">
        <f>IFERROR(__xludf.DUMMYFUNCTION("""COMPUTED_VALUE"""),0.0)</f>
        <v>0</v>
      </c>
      <c r="K4304" s="5" t="str">
        <f>IFERROR(__xludf.DUMMYFUNCTION("""COMPUTED_VALUE"""),"")</f>
        <v/>
      </c>
      <c r="L4304" t="str">
        <f>IFERROR(__xludf.DUMMYFUNCTION("""COMPUTED_VALUE"""),"")</f>
        <v/>
      </c>
      <c r="M4304" t="str">
        <f>IFERROR(__xludf.DUMMYFUNCTION("""COMPUTED_VALUE"""),"")</f>
        <v/>
      </c>
      <c r="N4304" t="str">
        <f>IFERROR(__xludf.DUMMYFUNCTION("""COMPUTED_VALUE"""),"")</f>
        <v/>
      </c>
      <c r="O4304" t="str">
        <f>IFERROR(__xludf.DUMMYFUNCTION("""COMPUTED_VALUE"""),"")</f>
        <v/>
      </c>
      <c r="P4304" t="str">
        <f>IFERROR(__xludf.DUMMYFUNCTION("""COMPUTED_VALUE"""),"ID ")</f>
        <v>ID </v>
      </c>
    </row>
    <row r="4305">
      <c r="A4305" s="6" t="str">
        <f>IFERROR(__xludf.DUMMYFUNCTION("""COMPUTED_VALUE"""),"")</f>
        <v/>
      </c>
      <c r="C4305" t="str">
        <f>IFERROR(__xludf.DUMMYFUNCTION("""COMPUTED_VALUE"""),"")</f>
        <v/>
      </c>
      <c r="D4305" t="str">
        <f>IFERROR(__xludf.DUMMYFUNCTION("""COMPUTED_VALUE"""),"")</f>
        <v/>
      </c>
      <c r="E4305" t="str">
        <f>IFERROR(__xludf.DUMMYFUNCTION("""COMPUTED_VALUE"""),"")</f>
        <v/>
      </c>
      <c r="F4305" t="str">
        <f>IFERROR(__xludf.DUMMYFUNCTION("""COMPUTED_VALUE"""),"")</f>
        <v/>
      </c>
      <c r="G4305" t="str">
        <f>IFERROR(__xludf.DUMMYFUNCTION("""COMPUTED_VALUE"""),"")</f>
        <v/>
      </c>
      <c r="H4305" s="2" t="str">
        <f>IFERROR(__xludf.DUMMYFUNCTION("""COMPUTED_VALUE"""),"")</f>
        <v/>
      </c>
      <c r="I4305" s="2" t="str">
        <f>IFERROR(__xludf.DUMMYFUNCTION("""COMPUTED_VALUE"""),"")</f>
        <v/>
      </c>
      <c r="J4305" s="2">
        <f>IFERROR(__xludf.DUMMYFUNCTION("""COMPUTED_VALUE"""),0.0)</f>
        <v>0</v>
      </c>
      <c r="K4305" s="5" t="str">
        <f>IFERROR(__xludf.DUMMYFUNCTION("""COMPUTED_VALUE"""),"")</f>
        <v/>
      </c>
      <c r="L4305" t="str">
        <f>IFERROR(__xludf.DUMMYFUNCTION("""COMPUTED_VALUE"""),"")</f>
        <v/>
      </c>
      <c r="M4305" t="str">
        <f>IFERROR(__xludf.DUMMYFUNCTION("""COMPUTED_VALUE"""),"")</f>
        <v/>
      </c>
      <c r="N4305" t="str">
        <f>IFERROR(__xludf.DUMMYFUNCTION("""COMPUTED_VALUE"""),"")</f>
        <v/>
      </c>
      <c r="O4305" t="str">
        <f>IFERROR(__xludf.DUMMYFUNCTION("""COMPUTED_VALUE"""),"")</f>
        <v/>
      </c>
      <c r="P4305" t="str">
        <f>IFERROR(__xludf.DUMMYFUNCTION("""COMPUTED_VALUE"""),"ID ")</f>
        <v>ID </v>
      </c>
    </row>
    <row r="4306">
      <c r="A4306" s="6" t="str">
        <f>IFERROR(__xludf.DUMMYFUNCTION("""COMPUTED_VALUE"""),"")</f>
        <v/>
      </c>
      <c r="C4306" t="str">
        <f>IFERROR(__xludf.DUMMYFUNCTION("""COMPUTED_VALUE"""),"")</f>
        <v/>
      </c>
      <c r="D4306" t="str">
        <f>IFERROR(__xludf.DUMMYFUNCTION("""COMPUTED_VALUE"""),"")</f>
        <v/>
      </c>
      <c r="E4306" t="str">
        <f>IFERROR(__xludf.DUMMYFUNCTION("""COMPUTED_VALUE"""),"")</f>
        <v/>
      </c>
      <c r="F4306" t="str">
        <f>IFERROR(__xludf.DUMMYFUNCTION("""COMPUTED_VALUE"""),"")</f>
        <v/>
      </c>
      <c r="G4306" t="str">
        <f>IFERROR(__xludf.DUMMYFUNCTION("""COMPUTED_VALUE"""),"")</f>
        <v/>
      </c>
      <c r="H4306" s="2" t="str">
        <f>IFERROR(__xludf.DUMMYFUNCTION("""COMPUTED_VALUE"""),"")</f>
        <v/>
      </c>
      <c r="I4306" s="2" t="str">
        <f>IFERROR(__xludf.DUMMYFUNCTION("""COMPUTED_VALUE"""),"")</f>
        <v/>
      </c>
      <c r="J4306" s="2">
        <f>IFERROR(__xludf.DUMMYFUNCTION("""COMPUTED_VALUE"""),0.0)</f>
        <v>0</v>
      </c>
      <c r="K4306" s="5" t="str">
        <f>IFERROR(__xludf.DUMMYFUNCTION("""COMPUTED_VALUE"""),"")</f>
        <v/>
      </c>
      <c r="L4306" t="str">
        <f>IFERROR(__xludf.DUMMYFUNCTION("""COMPUTED_VALUE"""),"")</f>
        <v/>
      </c>
      <c r="M4306" t="str">
        <f>IFERROR(__xludf.DUMMYFUNCTION("""COMPUTED_VALUE"""),"")</f>
        <v/>
      </c>
      <c r="N4306" t="str">
        <f>IFERROR(__xludf.DUMMYFUNCTION("""COMPUTED_VALUE"""),"")</f>
        <v/>
      </c>
      <c r="O4306" t="str">
        <f>IFERROR(__xludf.DUMMYFUNCTION("""COMPUTED_VALUE"""),"")</f>
        <v/>
      </c>
      <c r="P4306" t="str">
        <f>IFERROR(__xludf.DUMMYFUNCTION("""COMPUTED_VALUE"""),"ID ")</f>
        <v>ID </v>
      </c>
    </row>
    <row r="4307">
      <c r="A4307" s="6" t="str">
        <f>IFERROR(__xludf.DUMMYFUNCTION("""COMPUTED_VALUE"""),"")</f>
        <v/>
      </c>
      <c r="C4307" t="str">
        <f>IFERROR(__xludf.DUMMYFUNCTION("""COMPUTED_VALUE"""),"")</f>
        <v/>
      </c>
      <c r="D4307" t="str">
        <f>IFERROR(__xludf.DUMMYFUNCTION("""COMPUTED_VALUE"""),"")</f>
        <v/>
      </c>
      <c r="E4307" t="str">
        <f>IFERROR(__xludf.DUMMYFUNCTION("""COMPUTED_VALUE"""),"")</f>
        <v/>
      </c>
      <c r="F4307" t="str">
        <f>IFERROR(__xludf.DUMMYFUNCTION("""COMPUTED_VALUE"""),"")</f>
        <v/>
      </c>
      <c r="G4307" t="str">
        <f>IFERROR(__xludf.DUMMYFUNCTION("""COMPUTED_VALUE"""),"")</f>
        <v/>
      </c>
      <c r="H4307" s="2" t="str">
        <f>IFERROR(__xludf.DUMMYFUNCTION("""COMPUTED_VALUE"""),"")</f>
        <v/>
      </c>
      <c r="I4307" s="2" t="str">
        <f>IFERROR(__xludf.DUMMYFUNCTION("""COMPUTED_VALUE"""),"")</f>
        <v/>
      </c>
      <c r="J4307" s="2">
        <f>IFERROR(__xludf.DUMMYFUNCTION("""COMPUTED_VALUE"""),0.0)</f>
        <v>0</v>
      </c>
      <c r="K4307" s="5" t="str">
        <f>IFERROR(__xludf.DUMMYFUNCTION("""COMPUTED_VALUE"""),"")</f>
        <v/>
      </c>
      <c r="L4307" t="str">
        <f>IFERROR(__xludf.DUMMYFUNCTION("""COMPUTED_VALUE"""),"")</f>
        <v/>
      </c>
      <c r="M4307" t="str">
        <f>IFERROR(__xludf.DUMMYFUNCTION("""COMPUTED_VALUE"""),"")</f>
        <v/>
      </c>
      <c r="N4307" t="str">
        <f>IFERROR(__xludf.DUMMYFUNCTION("""COMPUTED_VALUE"""),"")</f>
        <v/>
      </c>
      <c r="O4307" t="str">
        <f>IFERROR(__xludf.DUMMYFUNCTION("""COMPUTED_VALUE"""),"")</f>
        <v/>
      </c>
      <c r="P4307" t="str">
        <f>IFERROR(__xludf.DUMMYFUNCTION("""COMPUTED_VALUE"""),"ID ")</f>
        <v>ID </v>
      </c>
    </row>
    <row r="4308">
      <c r="A4308" s="6" t="str">
        <f>IFERROR(__xludf.DUMMYFUNCTION("""COMPUTED_VALUE"""),"")</f>
        <v/>
      </c>
      <c r="C4308" t="str">
        <f>IFERROR(__xludf.DUMMYFUNCTION("""COMPUTED_VALUE"""),"")</f>
        <v/>
      </c>
      <c r="D4308" t="str">
        <f>IFERROR(__xludf.DUMMYFUNCTION("""COMPUTED_VALUE"""),"")</f>
        <v/>
      </c>
      <c r="E4308" t="str">
        <f>IFERROR(__xludf.DUMMYFUNCTION("""COMPUTED_VALUE"""),"")</f>
        <v/>
      </c>
      <c r="F4308" t="str">
        <f>IFERROR(__xludf.DUMMYFUNCTION("""COMPUTED_VALUE"""),"")</f>
        <v/>
      </c>
      <c r="G4308" t="str">
        <f>IFERROR(__xludf.DUMMYFUNCTION("""COMPUTED_VALUE"""),"")</f>
        <v/>
      </c>
      <c r="H4308" s="2" t="str">
        <f>IFERROR(__xludf.DUMMYFUNCTION("""COMPUTED_VALUE"""),"")</f>
        <v/>
      </c>
      <c r="I4308" s="2" t="str">
        <f>IFERROR(__xludf.DUMMYFUNCTION("""COMPUTED_VALUE"""),"")</f>
        <v/>
      </c>
      <c r="J4308" s="2">
        <f>IFERROR(__xludf.DUMMYFUNCTION("""COMPUTED_VALUE"""),0.0)</f>
        <v>0</v>
      </c>
      <c r="K4308" s="5" t="str">
        <f>IFERROR(__xludf.DUMMYFUNCTION("""COMPUTED_VALUE"""),"")</f>
        <v/>
      </c>
      <c r="L4308" t="str">
        <f>IFERROR(__xludf.DUMMYFUNCTION("""COMPUTED_VALUE"""),"")</f>
        <v/>
      </c>
      <c r="M4308" t="str">
        <f>IFERROR(__xludf.DUMMYFUNCTION("""COMPUTED_VALUE"""),"")</f>
        <v/>
      </c>
      <c r="N4308" t="str">
        <f>IFERROR(__xludf.DUMMYFUNCTION("""COMPUTED_VALUE"""),"")</f>
        <v/>
      </c>
      <c r="O4308" t="str">
        <f>IFERROR(__xludf.DUMMYFUNCTION("""COMPUTED_VALUE"""),"")</f>
        <v/>
      </c>
      <c r="P4308" t="str">
        <f>IFERROR(__xludf.DUMMYFUNCTION("""COMPUTED_VALUE"""),"ID ")</f>
        <v>ID </v>
      </c>
    </row>
    <row r="4309">
      <c r="A4309" s="6" t="str">
        <f>IFERROR(__xludf.DUMMYFUNCTION("""COMPUTED_VALUE"""),"")</f>
        <v/>
      </c>
      <c r="C4309" t="str">
        <f>IFERROR(__xludf.DUMMYFUNCTION("""COMPUTED_VALUE"""),"")</f>
        <v/>
      </c>
      <c r="D4309" t="str">
        <f>IFERROR(__xludf.DUMMYFUNCTION("""COMPUTED_VALUE"""),"")</f>
        <v/>
      </c>
      <c r="E4309" t="str">
        <f>IFERROR(__xludf.DUMMYFUNCTION("""COMPUTED_VALUE"""),"")</f>
        <v/>
      </c>
      <c r="F4309" t="str">
        <f>IFERROR(__xludf.DUMMYFUNCTION("""COMPUTED_VALUE"""),"")</f>
        <v/>
      </c>
      <c r="G4309" t="str">
        <f>IFERROR(__xludf.DUMMYFUNCTION("""COMPUTED_VALUE"""),"")</f>
        <v/>
      </c>
      <c r="H4309" s="2" t="str">
        <f>IFERROR(__xludf.DUMMYFUNCTION("""COMPUTED_VALUE"""),"")</f>
        <v/>
      </c>
      <c r="I4309" s="2" t="str">
        <f>IFERROR(__xludf.DUMMYFUNCTION("""COMPUTED_VALUE"""),"")</f>
        <v/>
      </c>
      <c r="J4309" s="2">
        <f>IFERROR(__xludf.DUMMYFUNCTION("""COMPUTED_VALUE"""),0.0)</f>
        <v>0</v>
      </c>
      <c r="K4309" s="5" t="str">
        <f>IFERROR(__xludf.DUMMYFUNCTION("""COMPUTED_VALUE"""),"")</f>
        <v/>
      </c>
      <c r="L4309" t="str">
        <f>IFERROR(__xludf.DUMMYFUNCTION("""COMPUTED_VALUE"""),"")</f>
        <v/>
      </c>
      <c r="M4309" t="str">
        <f>IFERROR(__xludf.DUMMYFUNCTION("""COMPUTED_VALUE"""),"")</f>
        <v/>
      </c>
      <c r="N4309" t="str">
        <f>IFERROR(__xludf.DUMMYFUNCTION("""COMPUTED_VALUE"""),"")</f>
        <v/>
      </c>
      <c r="O4309" t="str">
        <f>IFERROR(__xludf.DUMMYFUNCTION("""COMPUTED_VALUE"""),"")</f>
        <v/>
      </c>
      <c r="P4309" t="str">
        <f>IFERROR(__xludf.DUMMYFUNCTION("""COMPUTED_VALUE"""),"ID ")</f>
        <v>ID </v>
      </c>
    </row>
    <row r="4310">
      <c r="A4310" s="6" t="str">
        <f>IFERROR(__xludf.DUMMYFUNCTION("""COMPUTED_VALUE"""),"")</f>
        <v/>
      </c>
      <c r="C4310" t="str">
        <f>IFERROR(__xludf.DUMMYFUNCTION("""COMPUTED_VALUE"""),"")</f>
        <v/>
      </c>
      <c r="D4310" t="str">
        <f>IFERROR(__xludf.DUMMYFUNCTION("""COMPUTED_VALUE"""),"")</f>
        <v/>
      </c>
      <c r="E4310" t="str">
        <f>IFERROR(__xludf.DUMMYFUNCTION("""COMPUTED_VALUE"""),"")</f>
        <v/>
      </c>
      <c r="F4310" t="str">
        <f>IFERROR(__xludf.DUMMYFUNCTION("""COMPUTED_VALUE"""),"")</f>
        <v/>
      </c>
      <c r="G4310" t="str">
        <f>IFERROR(__xludf.DUMMYFUNCTION("""COMPUTED_VALUE"""),"")</f>
        <v/>
      </c>
      <c r="H4310" s="2" t="str">
        <f>IFERROR(__xludf.DUMMYFUNCTION("""COMPUTED_VALUE"""),"")</f>
        <v/>
      </c>
      <c r="I4310" s="2" t="str">
        <f>IFERROR(__xludf.DUMMYFUNCTION("""COMPUTED_VALUE"""),"")</f>
        <v/>
      </c>
      <c r="J4310" s="2">
        <f>IFERROR(__xludf.DUMMYFUNCTION("""COMPUTED_VALUE"""),0.0)</f>
        <v>0</v>
      </c>
      <c r="K4310" s="5" t="str">
        <f>IFERROR(__xludf.DUMMYFUNCTION("""COMPUTED_VALUE"""),"")</f>
        <v/>
      </c>
      <c r="L4310" t="str">
        <f>IFERROR(__xludf.DUMMYFUNCTION("""COMPUTED_VALUE"""),"")</f>
        <v/>
      </c>
      <c r="M4310" t="str">
        <f>IFERROR(__xludf.DUMMYFUNCTION("""COMPUTED_VALUE"""),"")</f>
        <v/>
      </c>
      <c r="N4310" t="str">
        <f>IFERROR(__xludf.DUMMYFUNCTION("""COMPUTED_VALUE"""),"")</f>
        <v/>
      </c>
      <c r="O4310" t="str">
        <f>IFERROR(__xludf.DUMMYFUNCTION("""COMPUTED_VALUE"""),"")</f>
        <v/>
      </c>
      <c r="P4310" t="str">
        <f>IFERROR(__xludf.DUMMYFUNCTION("""COMPUTED_VALUE"""),"ID ")</f>
        <v>ID </v>
      </c>
    </row>
    <row r="4311">
      <c r="A4311" s="6" t="str">
        <f>IFERROR(__xludf.DUMMYFUNCTION("""COMPUTED_VALUE"""),"")</f>
        <v/>
      </c>
      <c r="C4311" t="str">
        <f>IFERROR(__xludf.DUMMYFUNCTION("""COMPUTED_VALUE"""),"")</f>
        <v/>
      </c>
      <c r="D4311" t="str">
        <f>IFERROR(__xludf.DUMMYFUNCTION("""COMPUTED_VALUE"""),"")</f>
        <v/>
      </c>
      <c r="E4311" t="str">
        <f>IFERROR(__xludf.DUMMYFUNCTION("""COMPUTED_VALUE"""),"")</f>
        <v/>
      </c>
      <c r="F4311" t="str">
        <f>IFERROR(__xludf.DUMMYFUNCTION("""COMPUTED_VALUE"""),"")</f>
        <v/>
      </c>
      <c r="G4311" t="str">
        <f>IFERROR(__xludf.DUMMYFUNCTION("""COMPUTED_VALUE"""),"")</f>
        <v/>
      </c>
      <c r="H4311" s="2" t="str">
        <f>IFERROR(__xludf.DUMMYFUNCTION("""COMPUTED_VALUE"""),"")</f>
        <v/>
      </c>
      <c r="I4311" s="2" t="str">
        <f>IFERROR(__xludf.DUMMYFUNCTION("""COMPUTED_VALUE"""),"")</f>
        <v/>
      </c>
      <c r="J4311" s="2">
        <f>IFERROR(__xludf.DUMMYFUNCTION("""COMPUTED_VALUE"""),0.0)</f>
        <v>0</v>
      </c>
      <c r="K4311" s="5" t="str">
        <f>IFERROR(__xludf.DUMMYFUNCTION("""COMPUTED_VALUE"""),"")</f>
        <v/>
      </c>
      <c r="L4311" t="str">
        <f>IFERROR(__xludf.DUMMYFUNCTION("""COMPUTED_VALUE"""),"")</f>
        <v/>
      </c>
      <c r="M4311" t="str">
        <f>IFERROR(__xludf.DUMMYFUNCTION("""COMPUTED_VALUE"""),"")</f>
        <v/>
      </c>
      <c r="N4311" t="str">
        <f>IFERROR(__xludf.DUMMYFUNCTION("""COMPUTED_VALUE"""),"")</f>
        <v/>
      </c>
      <c r="O4311" t="str">
        <f>IFERROR(__xludf.DUMMYFUNCTION("""COMPUTED_VALUE"""),"")</f>
        <v/>
      </c>
      <c r="P4311" t="str">
        <f>IFERROR(__xludf.DUMMYFUNCTION("""COMPUTED_VALUE"""),"ID ")</f>
        <v>ID </v>
      </c>
    </row>
    <row r="4312">
      <c r="A4312" s="6" t="str">
        <f>IFERROR(__xludf.DUMMYFUNCTION("""COMPUTED_VALUE"""),"")</f>
        <v/>
      </c>
      <c r="C4312" t="str">
        <f>IFERROR(__xludf.DUMMYFUNCTION("""COMPUTED_VALUE"""),"")</f>
        <v/>
      </c>
      <c r="D4312" t="str">
        <f>IFERROR(__xludf.DUMMYFUNCTION("""COMPUTED_VALUE"""),"")</f>
        <v/>
      </c>
      <c r="E4312" t="str">
        <f>IFERROR(__xludf.DUMMYFUNCTION("""COMPUTED_VALUE"""),"")</f>
        <v/>
      </c>
      <c r="F4312" t="str">
        <f>IFERROR(__xludf.DUMMYFUNCTION("""COMPUTED_VALUE"""),"")</f>
        <v/>
      </c>
      <c r="G4312" t="str">
        <f>IFERROR(__xludf.DUMMYFUNCTION("""COMPUTED_VALUE"""),"")</f>
        <v/>
      </c>
      <c r="H4312" s="2" t="str">
        <f>IFERROR(__xludf.DUMMYFUNCTION("""COMPUTED_VALUE"""),"")</f>
        <v/>
      </c>
      <c r="I4312" s="2" t="str">
        <f>IFERROR(__xludf.DUMMYFUNCTION("""COMPUTED_VALUE"""),"")</f>
        <v/>
      </c>
      <c r="J4312" s="2">
        <f>IFERROR(__xludf.DUMMYFUNCTION("""COMPUTED_VALUE"""),0.0)</f>
        <v>0</v>
      </c>
      <c r="K4312" s="5" t="str">
        <f>IFERROR(__xludf.DUMMYFUNCTION("""COMPUTED_VALUE"""),"")</f>
        <v/>
      </c>
      <c r="L4312" t="str">
        <f>IFERROR(__xludf.DUMMYFUNCTION("""COMPUTED_VALUE"""),"")</f>
        <v/>
      </c>
      <c r="M4312" t="str">
        <f>IFERROR(__xludf.DUMMYFUNCTION("""COMPUTED_VALUE"""),"")</f>
        <v/>
      </c>
      <c r="N4312" t="str">
        <f>IFERROR(__xludf.DUMMYFUNCTION("""COMPUTED_VALUE"""),"")</f>
        <v/>
      </c>
      <c r="O4312" t="str">
        <f>IFERROR(__xludf.DUMMYFUNCTION("""COMPUTED_VALUE"""),"")</f>
        <v/>
      </c>
      <c r="P4312" t="str">
        <f>IFERROR(__xludf.DUMMYFUNCTION("""COMPUTED_VALUE"""),"ID ")</f>
        <v>ID </v>
      </c>
    </row>
    <row r="4313">
      <c r="A4313" s="6" t="str">
        <f>IFERROR(__xludf.DUMMYFUNCTION("""COMPUTED_VALUE"""),"")</f>
        <v/>
      </c>
      <c r="C4313" t="str">
        <f>IFERROR(__xludf.DUMMYFUNCTION("""COMPUTED_VALUE"""),"")</f>
        <v/>
      </c>
      <c r="D4313" t="str">
        <f>IFERROR(__xludf.DUMMYFUNCTION("""COMPUTED_VALUE"""),"")</f>
        <v/>
      </c>
      <c r="E4313" t="str">
        <f>IFERROR(__xludf.DUMMYFUNCTION("""COMPUTED_VALUE"""),"")</f>
        <v/>
      </c>
      <c r="F4313" t="str">
        <f>IFERROR(__xludf.DUMMYFUNCTION("""COMPUTED_VALUE"""),"")</f>
        <v/>
      </c>
      <c r="G4313" t="str">
        <f>IFERROR(__xludf.DUMMYFUNCTION("""COMPUTED_VALUE"""),"")</f>
        <v/>
      </c>
      <c r="H4313" s="2" t="str">
        <f>IFERROR(__xludf.DUMMYFUNCTION("""COMPUTED_VALUE"""),"")</f>
        <v/>
      </c>
      <c r="I4313" s="2" t="str">
        <f>IFERROR(__xludf.DUMMYFUNCTION("""COMPUTED_VALUE"""),"")</f>
        <v/>
      </c>
      <c r="J4313" s="2">
        <f>IFERROR(__xludf.DUMMYFUNCTION("""COMPUTED_VALUE"""),0.0)</f>
        <v>0</v>
      </c>
      <c r="K4313" s="5" t="str">
        <f>IFERROR(__xludf.DUMMYFUNCTION("""COMPUTED_VALUE"""),"")</f>
        <v/>
      </c>
      <c r="L4313" t="str">
        <f>IFERROR(__xludf.DUMMYFUNCTION("""COMPUTED_VALUE"""),"")</f>
        <v/>
      </c>
      <c r="M4313" t="str">
        <f>IFERROR(__xludf.DUMMYFUNCTION("""COMPUTED_VALUE"""),"")</f>
        <v/>
      </c>
      <c r="N4313" t="str">
        <f>IFERROR(__xludf.DUMMYFUNCTION("""COMPUTED_VALUE"""),"")</f>
        <v/>
      </c>
      <c r="O4313" t="str">
        <f>IFERROR(__xludf.DUMMYFUNCTION("""COMPUTED_VALUE"""),"")</f>
        <v/>
      </c>
      <c r="P4313" t="str">
        <f>IFERROR(__xludf.DUMMYFUNCTION("""COMPUTED_VALUE"""),"ID ")</f>
        <v>ID </v>
      </c>
    </row>
    <row r="4314">
      <c r="A4314" s="6" t="str">
        <f>IFERROR(__xludf.DUMMYFUNCTION("""COMPUTED_VALUE"""),"")</f>
        <v/>
      </c>
      <c r="C4314" t="str">
        <f>IFERROR(__xludf.DUMMYFUNCTION("""COMPUTED_VALUE"""),"")</f>
        <v/>
      </c>
      <c r="D4314" t="str">
        <f>IFERROR(__xludf.DUMMYFUNCTION("""COMPUTED_VALUE"""),"")</f>
        <v/>
      </c>
      <c r="E4314" t="str">
        <f>IFERROR(__xludf.DUMMYFUNCTION("""COMPUTED_VALUE"""),"")</f>
        <v/>
      </c>
      <c r="F4314" t="str">
        <f>IFERROR(__xludf.DUMMYFUNCTION("""COMPUTED_VALUE"""),"")</f>
        <v/>
      </c>
      <c r="G4314" t="str">
        <f>IFERROR(__xludf.DUMMYFUNCTION("""COMPUTED_VALUE"""),"")</f>
        <v/>
      </c>
      <c r="H4314" s="2" t="str">
        <f>IFERROR(__xludf.DUMMYFUNCTION("""COMPUTED_VALUE"""),"")</f>
        <v/>
      </c>
      <c r="I4314" s="2" t="str">
        <f>IFERROR(__xludf.DUMMYFUNCTION("""COMPUTED_VALUE"""),"")</f>
        <v/>
      </c>
      <c r="J4314" s="2">
        <f>IFERROR(__xludf.DUMMYFUNCTION("""COMPUTED_VALUE"""),0.0)</f>
        <v>0</v>
      </c>
      <c r="K4314" s="5" t="str">
        <f>IFERROR(__xludf.DUMMYFUNCTION("""COMPUTED_VALUE"""),"")</f>
        <v/>
      </c>
      <c r="L4314" t="str">
        <f>IFERROR(__xludf.DUMMYFUNCTION("""COMPUTED_VALUE"""),"")</f>
        <v/>
      </c>
      <c r="M4314" t="str">
        <f>IFERROR(__xludf.DUMMYFUNCTION("""COMPUTED_VALUE"""),"")</f>
        <v/>
      </c>
      <c r="N4314" t="str">
        <f>IFERROR(__xludf.DUMMYFUNCTION("""COMPUTED_VALUE"""),"")</f>
        <v/>
      </c>
      <c r="O4314" t="str">
        <f>IFERROR(__xludf.DUMMYFUNCTION("""COMPUTED_VALUE"""),"")</f>
        <v/>
      </c>
      <c r="P4314" t="str">
        <f>IFERROR(__xludf.DUMMYFUNCTION("""COMPUTED_VALUE"""),"ID ")</f>
        <v>ID </v>
      </c>
    </row>
    <row r="4315">
      <c r="A4315" s="6" t="str">
        <f>IFERROR(__xludf.DUMMYFUNCTION("""COMPUTED_VALUE"""),"")</f>
        <v/>
      </c>
      <c r="C4315" t="str">
        <f>IFERROR(__xludf.DUMMYFUNCTION("""COMPUTED_VALUE"""),"")</f>
        <v/>
      </c>
      <c r="D4315" t="str">
        <f>IFERROR(__xludf.DUMMYFUNCTION("""COMPUTED_VALUE"""),"")</f>
        <v/>
      </c>
      <c r="E4315" t="str">
        <f>IFERROR(__xludf.DUMMYFUNCTION("""COMPUTED_VALUE"""),"")</f>
        <v/>
      </c>
      <c r="F4315" t="str">
        <f>IFERROR(__xludf.DUMMYFUNCTION("""COMPUTED_VALUE"""),"")</f>
        <v/>
      </c>
      <c r="G4315" t="str">
        <f>IFERROR(__xludf.DUMMYFUNCTION("""COMPUTED_VALUE"""),"")</f>
        <v/>
      </c>
      <c r="H4315" s="2" t="str">
        <f>IFERROR(__xludf.DUMMYFUNCTION("""COMPUTED_VALUE"""),"")</f>
        <v/>
      </c>
      <c r="I4315" s="2" t="str">
        <f>IFERROR(__xludf.DUMMYFUNCTION("""COMPUTED_VALUE"""),"")</f>
        <v/>
      </c>
      <c r="J4315" s="2">
        <f>IFERROR(__xludf.DUMMYFUNCTION("""COMPUTED_VALUE"""),0.0)</f>
        <v>0</v>
      </c>
      <c r="K4315" s="5" t="str">
        <f>IFERROR(__xludf.DUMMYFUNCTION("""COMPUTED_VALUE"""),"")</f>
        <v/>
      </c>
      <c r="L4315" t="str">
        <f>IFERROR(__xludf.DUMMYFUNCTION("""COMPUTED_VALUE"""),"")</f>
        <v/>
      </c>
      <c r="M4315" t="str">
        <f>IFERROR(__xludf.DUMMYFUNCTION("""COMPUTED_VALUE"""),"")</f>
        <v/>
      </c>
      <c r="N4315" t="str">
        <f>IFERROR(__xludf.DUMMYFUNCTION("""COMPUTED_VALUE"""),"")</f>
        <v/>
      </c>
      <c r="O4315" t="str">
        <f>IFERROR(__xludf.DUMMYFUNCTION("""COMPUTED_VALUE"""),"")</f>
        <v/>
      </c>
      <c r="P4315" t="str">
        <f>IFERROR(__xludf.DUMMYFUNCTION("""COMPUTED_VALUE"""),"ID ")</f>
        <v>ID </v>
      </c>
    </row>
    <row r="4316">
      <c r="A4316" s="6" t="str">
        <f>IFERROR(__xludf.DUMMYFUNCTION("""COMPUTED_VALUE"""),"")</f>
        <v/>
      </c>
      <c r="C4316" t="str">
        <f>IFERROR(__xludf.DUMMYFUNCTION("""COMPUTED_VALUE"""),"")</f>
        <v/>
      </c>
      <c r="D4316" t="str">
        <f>IFERROR(__xludf.DUMMYFUNCTION("""COMPUTED_VALUE"""),"")</f>
        <v/>
      </c>
      <c r="E4316" t="str">
        <f>IFERROR(__xludf.DUMMYFUNCTION("""COMPUTED_VALUE"""),"")</f>
        <v/>
      </c>
      <c r="F4316" t="str">
        <f>IFERROR(__xludf.DUMMYFUNCTION("""COMPUTED_VALUE"""),"")</f>
        <v/>
      </c>
      <c r="G4316" t="str">
        <f>IFERROR(__xludf.DUMMYFUNCTION("""COMPUTED_VALUE"""),"")</f>
        <v/>
      </c>
      <c r="H4316" s="2" t="str">
        <f>IFERROR(__xludf.DUMMYFUNCTION("""COMPUTED_VALUE"""),"")</f>
        <v/>
      </c>
      <c r="I4316" s="2" t="str">
        <f>IFERROR(__xludf.DUMMYFUNCTION("""COMPUTED_VALUE"""),"")</f>
        <v/>
      </c>
      <c r="J4316" s="2">
        <f>IFERROR(__xludf.DUMMYFUNCTION("""COMPUTED_VALUE"""),0.0)</f>
        <v>0</v>
      </c>
      <c r="K4316" s="5" t="str">
        <f>IFERROR(__xludf.DUMMYFUNCTION("""COMPUTED_VALUE"""),"")</f>
        <v/>
      </c>
      <c r="L4316" t="str">
        <f>IFERROR(__xludf.DUMMYFUNCTION("""COMPUTED_VALUE"""),"")</f>
        <v/>
      </c>
      <c r="M4316" t="str">
        <f>IFERROR(__xludf.DUMMYFUNCTION("""COMPUTED_VALUE"""),"")</f>
        <v/>
      </c>
      <c r="N4316" t="str">
        <f>IFERROR(__xludf.DUMMYFUNCTION("""COMPUTED_VALUE"""),"")</f>
        <v/>
      </c>
      <c r="O4316" t="str">
        <f>IFERROR(__xludf.DUMMYFUNCTION("""COMPUTED_VALUE"""),"")</f>
        <v/>
      </c>
      <c r="P4316" t="str">
        <f>IFERROR(__xludf.DUMMYFUNCTION("""COMPUTED_VALUE"""),"ID ")</f>
        <v>ID </v>
      </c>
    </row>
    <row r="4317">
      <c r="A4317" s="6" t="str">
        <f>IFERROR(__xludf.DUMMYFUNCTION("""COMPUTED_VALUE"""),"")</f>
        <v/>
      </c>
      <c r="C4317" t="str">
        <f>IFERROR(__xludf.DUMMYFUNCTION("""COMPUTED_VALUE"""),"")</f>
        <v/>
      </c>
      <c r="D4317" t="str">
        <f>IFERROR(__xludf.DUMMYFUNCTION("""COMPUTED_VALUE"""),"")</f>
        <v/>
      </c>
      <c r="E4317" t="str">
        <f>IFERROR(__xludf.DUMMYFUNCTION("""COMPUTED_VALUE"""),"")</f>
        <v/>
      </c>
      <c r="F4317" t="str">
        <f>IFERROR(__xludf.DUMMYFUNCTION("""COMPUTED_VALUE"""),"")</f>
        <v/>
      </c>
      <c r="G4317" t="str">
        <f>IFERROR(__xludf.DUMMYFUNCTION("""COMPUTED_VALUE"""),"")</f>
        <v/>
      </c>
      <c r="H4317" s="2" t="str">
        <f>IFERROR(__xludf.DUMMYFUNCTION("""COMPUTED_VALUE"""),"")</f>
        <v/>
      </c>
      <c r="I4317" s="2" t="str">
        <f>IFERROR(__xludf.DUMMYFUNCTION("""COMPUTED_VALUE"""),"")</f>
        <v/>
      </c>
      <c r="J4317" s="2">
        <f>IFERROR(__xludf.DUMMYFUNCTION("""COMPUTED_VALUE"""),0.0)</f>
        <v>0</v>
      </c>
      <c r="K4317" s="5" t="str">
        <f>IFERROR(__xludf.DUMMYFUNCTION("""COMPUTED_VALUE"""),"")</f>
        <v/>
      </c>
      <c r="L4317" t="str">
        <f>IFERROR(__xludf.DUMMYFUNCTION("""COMPUTED_VALUE"""),"")</f>
        <v/>
      </c>
      <c r="M4317" t="str">
        <f>IFERROR(__xludf.DUMMYFUNCTION("""COMPUTED_VALUE"""),"")</f>
        <v/>
      </c>
      <c r="N4317" t="str">
        <f>IFERROR(__xludf.DUMMYFUNCTION("""COMPUTED_VALUE"""),"")</f>
        <v/>
      </c>
      <c r="O4317" t="str">
        <f>IFERROR(__xludf.DUMMYFUNCTION("""COMPUTED_VALUE"""),"")</f>
        <v/>
      </c>
      <c r="P4317" t="str">
        <f>IFERROR(__xludf.DUMMYFUNCTION("""COMPUTED_VALUE"""),"ID ")</f>
        <v>ID </v>
      </c>
    </row>
    <row r="4318">
      <c r="A4318" s="6" t="str">
        <f>IFERROR(__xludf.DUMMYFUNCTION("""COMPUTED_VALUE"""),"")</f>
        <v/>
      </c>
      <c r="C4318" t="str">
        <f>IFERROR(__xludf.DUMMYFUNCTION("""COMPUTED_VALUE"""),"")</f>
        <v/>
      </c>
      <c r="D4318" t="str">
        <f>IFERROR(__xludf.DUMMYFUNCTION("""COMPUTED_VALUE"""),"")</f>
        <v/>
      </c>
      <c r="E4318" t="str">
        <f>IFERROR(__xludf.DUMMYFUNCTION("""COMPUTED_VALUE"""),"")</f>
        <v/>
      </c>
      <c r="F4318" t="str">
        <f>IFERROR(__xludf.DUMMYFUNCTION("""COMPUTED_VALUE"""),"")</f>
        <v/>
      </c>
      <c r="G4318" t="str">
        <f>IFERROR(__xludf.DUMMYFUNCTION("""COMPUTED_VALUE"""),"")</f>
        <v/>
      </c>
      <c r="H4318" s="2" t="str">
        <f>IFERROR(__xludf.DUMMYFUNCTION("""COMPUTED_VALUE"""),"")</f>
        <v/>
      </c>
      <c r="I4318" s="2" t="str">
        <f>IFERROR(__xludf.DUMMYFUNCTION("""COMPUTED_VALUE"""),"")</f>
        <v/>
      </c>
      <c r="J4318" s="2">
        <f>IFERROR(__xludf.DUMMYFUNCTION("""COMPUTED_VALUE"""),0.0)</f>
        <v>0</v>
      </c>
      <c r="K4318" s="5" t="str">
        <f>IFERROR(__xludf.DUMMYFUNCTION("""COMPUTED_VALUE"""),"")</f>
        <v/>
      </c>
      <c r="L4318" t="str">
        <f>IFERROR(__xludf.DUMMYFUNCTION("""COMPUTED_VALUE"""),"")</f>
        <v/>
      </c>
      <c r="M4318" t="str">
        <f>IFERROR(__xludf.DUMMYFUNCTION("""COMPUTED_VALUE"""),"")</f>
        <v/>
      </c>
      <c r="N4318" t="str">
        <f>IFERROR(__xludf.DUMMYFUNCTION("""COMPUTED_VALUE"""),"")</f>
        <v/>
      </c>
      <c r="O4318" t="str">
        <f>IFERROR(__xludf.DUMMYFUNCTION("""COMPUTED_VALUE"""),"")</f>
        <v/>
      </c>
      <c r="P4318" t="str">
        <f>IFERROR(__xludf.DUMMYFUNCTION("""COMPUTED_VALUE"""),"ID ")</f>
        <v>ID </v>
      </c>
    </row>
    <row r="4319">
      <c r="A4319" s="6" t="str">
        <f>IFERROR(__xludf.DUMMYFUNCTION("""COMPUTED_VALUE"""),"")</f>
        <v/>
      </c>
      <c r="C4319" t="str">
        <f>IFERROR(__xludf.DUMMYFUNCTION("""COMPUTED_VALUE"""),"")</f>
        <v/>
      </c>
      <c r="D4319" t="str">
        <f>IFERROR(__xludf.DUMMYFUNCTION("""COMPUTED_VALUE"""),"")</f>
        <v/>
      </c>
      <c r="E4319" t="str">
        <f>IFERROR(__xludf.DUMMYFUNCTION("""COMPUTED_VALUE"""),"")</f>
        <v/>
      </c>
      <c r="F4319" t="str">
        <f>IFERROR(__xludf.DUMMYFUNCTION("""COMPUTED_VALUE"""),"")</f>
        <v/>
      </c>
      <c r="G4319" t="str">
        <f>IFERROR(__xludf.DUMMYFUNCTION("""COMPUTED_VALUE"""),"")</f>
        <v/>
      </c>
      <c r="H4319" s="2" t="str">
        <f>IFERROR(__xludf.DUMMYFUNCTION("""COMPUTED_VALUE"""),"")</f>
        <v/>
      </c>
      <c r="I4319" s="2" t="str">
        <f>IFERROR(__xludf.DUMMYFUNCTION("""COMPUTED_VALUE"""),"")</f>
        <v/>
      </c>
      <c r="J4319" s="2">
        <f>IFERROR(__xludf.DUMMYFUNCTION("""COMPUTED_VALUE"""),0.0)</f>
        <v>0</v>
      </c>
      <c r="K4319" s="5" t="str">
        <f>IFERROR(__xludf.DUMMYFUNCTION("""COMPUTED_VALUE"""),"")</f>
        <v/>
      </c>
      <c r="L4319" t="str">
        <f>IFERROR(__xludf.DUMMYFUNCTION("""COMPUTED_VALUE"""),"")</f>
        <v/>
      </c>
      <c r="M4319" t="str">
        <f>IFERROR(__xludf.DUMMYFUNCTION("""COMPUTED_VALUE"""),"")</f>
        <v/>
      </c>
      <c r="N4319" t="str">
        <f>IFERROR(__xludf.DUMMYFUNCTION("""COMPUTED_VALUE"""),"")</f>
        <v/>
      </c>
      <c r="O4319" t="str">
        <f>IFERROR(__xludf.DUMMYFUNCTION("""COMPUTED_VALUE"""),"")</f>
        <v/>
      </c>
      <c r="P4319" t="str">
        <f>IFERROR(__xludf.DUMMYFUNCTION("""COMPUTED_VALUE"""),"ID ")</f>
        <v>ID </v>
      </c>
    </row>
    <row r="4320">
      <c r="A4320" s="6" t="str">
        <f>IFERROR(__xludf.DUMMYFUNCTION("""COMPUTED_VALUE"""),"")</f>
        <v/>
      </c>
      <c r="C4320" t="str">
        <f>IFERROR(__xludf.DUMMYFUNCTION("""COMPUTED_VALUE"""),"")</f>
        <v/>
      </c>
      <c r="D4320" t="str">
        <f>IFERROR(__xludf.DUMMYFUNCTION("""COMPUTED_VALUE"""),"")</f>
        <v/>
      </c>
      <c r="E4320" t="str">
        <f>IFERROR(__xludf.DUMMYFUNCTION("""COMPUTED_VALUE"""),"")</f>
        <v/>
      </c>
      <c r="F4320" t="str">
        <f>IFERROR(__xludf.DUMMYFUNCTION("""COMPUTED_VALUE"""),"")</f>
        <v/>
      </c>
      <c r="G4320" t="str">
        <f>IFERROR(__xludf.DUMMYFUNCTION("""COMPUTED_VALUE"""),"")</f>
        <v/>
      </c>
      <c r="H4320" s="2" t="str">
        <f>IFERROR(__xludf.DUMMYFUNCTION("""COMPUTED_VALUE"""),"")</f>
        <v/>
      </c>
      <c r="I4320" s="2" t="str">
        <f>IFERROR(__xludf.DUMMYFUNCTION("""COMPUTED_VALUE"""),"")</f>
        <v/>
      </c>
      <c r="J4320" s="2">
        <f>IFERROR(__xludf.DUMMYFUNCTION("""COMPUTED_VALUE"""),0.0)</f>
        <v>0</v>
      </c>
      <c r="K4320" s="5" t="str">
        <f>IFERROR(__xludf.DUMMYFUNCTION("""COMPUTED_VALUE"""),"")</f>
        <v/>
      </c>
      <c r="L4320" t="str">
        <f>IFERROR(__xludf.DUMMYFUNCTION("""COMPUTED_VALUE"""),"")</f>
        <v/>
      </c>
      <c r="M4320" t="str">
        <f>IFERROR(__xludf.DUMMYFUNCTION("""COMPUTED_VALUE"""),"")</f>
        <v/>
      </c>
      <c r="N4320" t="str">
        <f>IFERROR(__xludf.DUMMYFUNCTION("""COMPUTED_VALUE"""),"")</f>
        <v/>
      </c>
      <c r="O4320" t="str">
        <f>IFERROR(__xludf.DUMMYFUNCTION("""COMPUTED_VALUE"""),"")</f>
        <v/>
      </c>
      <c r="P4320" t="str">
        <f>IFERROR(__xludf.DUMMYFUNCTION("""COMPUTED_VALUE"""),"ID ")</f>
        <v>ID </v>
      </c>
    </row>
    <row r="4321">
      <c r="A4321" s="6" t="str">
        <f>IFERROR(__xludf.DUMMYFUNCTION("""COMPUTED_VALUE"""),"")</f>
        <v/>
      </c>
      <c r="C4321" t="str">
        <f>IFERROR(__xludf.DUMMYFUNCTION("""COMPUTED_VALUE"""),"")</f>
        <v/>
      </c>
      <c r="D4321" t="str">
        <f>IFERROR(__xludf.DUMMYFUNCTION("""COMPUTED_VALUE"""),"")</f>
        <v/>
      </c>
      <c r="E4321" t="str">
        <f>IFERROR(__xludf.DUMMYFUNCTION("""COMPUTED_VALUE"""),"")</f>
        <v/>
      </c>
      <c r="F4321" t="str">
        <f>IFERROR(__xludf.DUMMYFUNCTION("""COMPUTED_VALUE"""),"")</f>
        <v/>
      </c>
      <c r="G4321" t="str">
        <f>IFERROR(__xludf.DUMMYFUNCTION("""COMPUTED_VALUE"""),"")</f>
        <v/>
      </c>
      <c r="H4321" s="2" t="str">
        <f>IFERROR(__xludf.DUMMYFUNCTION("""COMPUTED_VALUE"""),"")</f>
        <v/>
      </c>
      <c r="I4321" s="2" t="str">
        <f>IFERROR(__xludf.DUMMYFUNCTION("""COMPUTED_VALUE"""),"")</f>
        <v/>
      </c>
      <c r="J4321" s="2">
        <f>IFERROR(__xludf.DUMMYFUNCTION("""COMPUTED_VALUE"""),0.0)</f>
        <v>0</v>
      </c>
      <c r="K4321" s="5" t="str">
        <f>IFERROR(__xludf.DUMMYFUNCTION("""COMPUTED_VALUE"""),"")</f>
        <v/>
      </c>
      <c r="L4321" t="str">
        <f>IFERROR(__xludf.DUMMYFUNCTION("""COMPUTED_VALUE"""),"")</f>
        <v/>
      </c>
      <c r="M4321" t="str">
        <f>IFERROR(__xludf.DUMMYFUNCTION("""COMPUTED_VALUE"""),"")</f>
        <v/>
      </c>
      <c r="N4321" t="str">
        <f>IFERROR(__xludf.DUMMYFUNCTION("""COMPUTED_VALUE"""),"")</f>
        <v/>
      </c>
      <c r="O4321" t="str">
        <f>IFERROR(__xludf.DUMMYFUNCTION("""COMPUTED_VALUE"""),"")</f>
        <v/>
      </c>
      <c r="P4321" t="str">
        <f>IFERROR(__xludf.DUMMYFUNCTION("""COMPUTED_VALUE"""),"ID ")</f>
        <v>ID </v>
      </c>
    </row>
    <row r="4322">
      <c r="A4322" s="6" t="str">
        <f>IFERROR(__xludf.DUMMYFUNCTION("""COMPUTED_VALUE"""),"")</f>
        <v/>
      </c>
      <c r="C4322" t="str">
        <f>IFERROR(__xludf.DUMMYFUNCTION("""COMPUTED_VALUE"""),"")</f>
        <v/>
      </c>
      <c r="D4322" t="str">
        <f>IFERROR(__xludf.DUMMYFUNCTION("""COMPUTED_VALUE"""),"")</f>
        <v/>
      </c>
      <c r="E4322" t="str">
        <f>IFERROR(__xludf.DUMMYFUNCTION("""COMPUTED_VALUE"""),"")</f>
        <v/>
      </c>
      <c r="F4322" t="str">
        <f>IFERROR(__xludf.DUMMYFUNCTION("""COMPUTED_VALUE"""),"")</f>
        <v/>
      </c>
      <c r="G4322" t="str">
        <f>IFERROR(__xludf.DUMMYFUNCTION("""COMPUTED_VALUE"""),"")</f>
        <v/>
      </c>
      <c r="H4322" s="2" t="str">
        <f>IFERROR(__xludf.DUMMYFUNCTION("""COMPUTED_VALUE"""),"")</f>
        <v/>
      </c>
      <c r="I4322" s="2" t="str">
        <f>IFERROR(__xludf.DUMMYFUNCTION("""COMPUTED_VALUE"""),"")</f>
        <v/>
      </c>
      <c r="J4322" s="2">
        <f>IFERROR(__xludf.DUMMYFUNCTION("""COMPUTED_VALUE"""),0.0)</f>
        <v>0</v>
      </c>
      <c r="K4322" s="5" t="str">
        <f>IFERROR(__xludf.DUMMYFUNCTION("""COMPUTED_VALUE"""),"")</f>
        <v/>
      </c>
      <c r="L4322" t="str">
        <f>IFERROR(__xludf.DUMMYFUNCTION("""COMPUTED_VALUE"""),"")</f>
        <v/>
      </c>
      <c r="M4322" t="str">
        <f>IFERROR(__xludf.DUMMYFUNCTION("""COMPUTED_VALUE"""),"")</f>
        <v/>
      </c>
      <c r="N4322" t="str">
        <f>IFERROR(__xludf.DUMMYFUNCTION("""COMPUTED_VALUE"""),"")</f>
        <v/>
      </c>
      <c r="O4322" t="str">
        <f>IFERROR(__xludf.DUMMYFUNCTION("""COMPUTED_VALUE"""),"")</f>
        <v/>
      </c>
      <c r="P4322" t="str">
        <f>IFERROR(__xludf.DUMMYFUNCTION("""COMPUTED_VALUE"""),"ID ")</f>
        <v>ID </v>
      </c>
    </row>
    <row r="4323">
      <c r="A4323" s="6" t="str">
        <f>IFERROR(__xludf.DUMMYFUNCTION("""COMPUTED_VALUE"""),"")</f>
        <v/>
      </c>
      <c r="C4323" t="str">
        <f>IFERROR(__xludf.DUMMYFUNCTION("""COMPUTED_VALUE"""),"")</f>
        <v/>
      </c>
      <c r="D4323" t="str">
        <f>IFERROR(__xludf.DUMMYFUNCTION("""COMPUTED_VALUE"""),"")</f>
        <v/>
      </c>
      <c r="E4323" t="str">
        <f>IFERROR(__xludf.DUMMYFUNCTION("""COMPUTED_VALUE"""),"")</f>
        <v/>
      </c>
      <c r="F4323" t="str">
        <f>IFERROR(__xludf.DUMMYFUNCTION("""COMPUTED_VALUE"""),"")</f>
        <v/>
      </c>
      <c r="G4323" t="str">
        <f>IFERROR(__xludf.DUMMYFUNCTION("""COMPUTED_VALUE"""),"")</f>
        <v/>
      </c>
      <c r="H4323" s="2" t="str">
        <f>IFERROR(__xludf.DUMMYFUNCTION("""COMPUTED_VALUE"""),"")</f>
        <v/>
      </c>
      <c r="I4323" s="2" t="str">
        <f>IFERROR(__xludf.DUMMYFUNCTION("""COMPUTED_VALUE"""),"")</f>
        <v/>
      </c>
      <c r="J4323" s="2">
        <f>IFERROR(__xludf.DUMMYFUNCTION("""COMPUTED_VALUE"""),0.0)</f>
        <v>0</v>
      </c>
      <c r="K4323" s="5" t="str">
        <f>IFERROR(__xludf.DUMMYFUNCTION("""COMPUTED_VALUE"""),"")</f>
        <v/>
      </c>
      <c r="L4323" t="str">
        <f>IFERROR(__xludf.DUMMYFUNCTION("""COMPUTED_VALUE"""),"")</f>
        <v/>
      </c>
      <c r="M4323" t="str">
        <f>IFERROR(__xludf.DUMMYFUNCTION("""COMPUTED_VALUE"""),"")</f>
        <v/>
      </c>
      <c r="N4323" t="str">
        <f>IFERROR(__xludf.DUMMYFUNCTION("""COMPUTED_VALUE"""),"")</f>
        <v/>
      </c>
      <c r="O4323" t="str">
        <f>IFERROR(__xludf.DUMMYFUNCTION("""COMPUTED_VALUE"""),"")</f>
        <v/>
      </c>
      <c r="P4323" t="str">
        <f>IFERROR(__xludf.DUMMYFUNCTION("""COMPUTED_VALUE"""),"ID ")</f>
        <v>ID </v>
      </c>
    </row>
    <row r="4324">
      <c r="A4324" s="6" t="str">
        <f>IFERROR(__xludf.DUMMYFUNCTION("""COMPUTED_VALUE"""),"")</f>
        <v/>
      </c>
      <c r="C4324" t="str">
        <f>IFERROR(__xludf.DUMMYFUNCTION("""COMPUTED_VALUE"""),"")</f>
        <v/>
      </c>
      <c r="D4324" t="str">
        <f>IFERROR(__xludf.DUMMYFUNCTION("""COMPUTED_VALUE"""),"")</f>
        <v/>
      </c>
      <c r="E4324" t="str">
        <f>IFERROR(__xludf.DUMMYFUNCTION("""COMPUTED_VALUE"""),"")</f>
        <v/>
      </c>
      <c r="F4324" t="str">
        <f>IFERROR(__xludf.DUMMYFUNCTION("""COMPUTED_VALUE"""),"")</f>
        <v/>
      </c>
      <c r="G4324" t="str">
        <f>IFERROR(__xludf.DUMMYFUNCTION("""COMPUTED_VALUE"""),"")</f>
        <v/>
      </c>
      <c r="H4324" s="2" t="str">
        <f>IFERROR(__xludf.DUMMYFUNCTION("""COMPUTED_VALUE"""),"")</f>
        <v/>
      </c>
      <c r="I4324" s="2" t="str">
        <f>IFERROR(__xludf.DUMMYFUNCTION("""COMPUTED_VALUE"""),"")</f>
        <v/>
      </c>
      <c r="J4324" s="2">
        <f>IFERROR(__xludf.DUMMYFUNCTION("""COMPUTED_VALUE"""),0.0)</f>
        <v>0</v>
      </c>
      <c r="K4324" s="5" t="str">
        <f>IFERROR(__xludf.DUMMYFUNCTION("""COMPUTED_VALUE"""),"")</f>
        <v/>
      </c>
      <c r="L4324" t="str">
        <f>IFERROR(__xludf.DUMMYFUNCTION("""COMPUTED_VALUE"""),"")</f>
        <v/>
      </c>
      <c r="M4324" t="str">
        <f>IFERROR(__xludf.DUMMYFUNCTION("""COMPUTED_VALUE"""),"")</f>
        <v/>
      </c>
      <c r="N4324" t="str">
        <f>IFERROR(__xludf.DUMMYFUNCTION("""COMPUTED_VALUE"""),"")</f>
        <v/>
      </c>
      <c r="O4324" t="str">
        <f>IFERROR(__xludf.DUMMYFUNCTION("""COMPUTED_VALUE"""),"")</f>
        <v/>
      </c>
      <c r="P4324" t="str">
        <f>IFERROR(__xludf.DUMMYFUNCTION("""COMPUTED_VALUE"""),"ID ")</f>
        <v>ID </v>
      </c>
    </row>
    <row r="4325">
      <c r="A4325" s="6" t="str">
        <f>IFERROR(__xludf.DUMMYFUNCTION("""COMPUTED_VALUE"""),"")</f>
        <v/>
      </c>
      <c r="C4325" t="str">
        <f>IFERROR(__xludf.DUMMYFUNCTION("""COMPUTED_VALUE"""),"")</f>
        <v/>
      </c>
      <c r="D4325" t="str">
        <f>IFERROR(__xludf.DUMMYFUNCTION("""COMPUTED_VALUE"""),"")</f>
        <v/>
      </c>
      <c r="E4325" t="str">
        <f>IFERROR(__xludf.DUMMYFUNCTION("""COMPUTED_VALUE"""),"")</f>
        <v/>
      </c>
      <c r="F4325" t="str">
        <f>IFERROR(__xludf.DUMMYFUNCTION("""COMPUTED_VALUE"""),"")</f>
        <v/>
      </c>
      <c r="G4325" t="str">
        <f>IFERROR(__xludf.DUMMYFUNCTION("""COMPUTED_VALUE"""),"")</f>
        <v/>
      </c>
      <c r="H4325" s="2" t="str">
        <f>IFERROR(__xludf.DUMMYFUNCTION("""COMPUTED_VALUE"""),"")</f>
        <v/>
      </c>
      <c r="I4325" s="2" t="str">
        <f>IFERROR(__xludf.DUMMYFUNCTION("""COMPUTED_VALUE"""),"")</f>
        <v/>
      </c>
      <c r="J4325" s="2">
        <f>IFERROR(__xludf.DUMMYFUNCTION("""COMPUTED_VALUE"""),0.0)</f>
        <v>0</v>
      </c>
      <c r="K4325" s="5" t="str">
        <f>IFERROR(__xludf.DUMMYFUNCTION("""COMPUTED_VALUE"""),"")</f>
        <v/>
      </c>
      <c r="L4325" t="str">
        <f>IFERROR(__xludf.DUMMYFUNCTION("""COMPUTED_VALUE"""),"")</f>
        <v/>
      </c>
      <c r="M4325" t="str">
        <f>IFERROR(__xludf.DUMMYFUNCTION("""COMPUTED_VALUE"""),"")</f>
        <v/>
      </c>
      <c r="N4325" t="str">
        <f>IFERROR(__xludf.DUMMYFUNCTION("""COMPUTED_VALUE"""),"")</f>
        <v/>
      </c>
      <c r="O4325" t="str">
        <f>IFERROR(__xludf.DUMMYFUNCTION("""COMPUTED_VALUE"""),"")</f>
        <v/>
      </c>
      <c r="P4325" t="str">
        <f>IFERROR(__xludf.DUMMYFUNCTION("""COMPUTED_VALUE"""),"ID ")</f>
        <v>ID </v>
      </c>
    </row>
    <row r="4326">
      <c r="A4326" s="6" t="str">
        <f>IFERROR(__xludf.DUMMYFUNCTION("""COMPUTED_VALUE"""),"")</f>
        <v/>
      </c>
      <c r="C4326" t="str">
        <f>IFERROR(__xludf.DUMMYFUNCTION("""COMPUTED_VALUE"""),"")</f>
        <v/>
      </c>
      <c r="D4326" t="str">
        <f>IFERROR(__xludf.DUMMYFUNCTION("""COMPUTED_VALUE"""),"")</f>
        <v/>
      </c>
      <c r="E4326" t="str">
        <f>IFERROR(__xludf.DUMMYFUNCTION("""COMPUTED_VALUE"""),"")</f>
        <v/>
      </c>
      <c r="F4326" t="str">
        <f>IFERROR(__xludf.DUMMYFUNCTION("""COMPUTED_VALUE"""),"")</f>
        <v/>
      </c>
      <c r="G4326" t="str">
        <f>IFERROR(__xludf.DUMMYFUNCTION("""COMPUTED_VALUE"""),"")</f>
        <v/>
      </c>
      <c r="H4326" s="2" t="str">
        <f>IFERROR(__xludf.DUMMYFUNCTION("""COMPUTED_VALUE"""),"")</f>
        <v/>
      </c>
      <c r="I4326" s="2" t="str">
        <f>IFERROR(__xludf.DUMMYFUNCTION("""COMPUTED_VALUE"""),"")</f>
        <v/>
      </c>
      <c r="J4326" s="2">
        <f>IFERROR(__xludf.DUMMYFUNCTION("""COMPUTED_VALUE"""),0.0)</f>
        <v>0</v>
      </c>
      <c r="K4326" s="5" t="str">
        <f>IFERROR(__xludf.DUMMYFUNCTION("""COMPUTED_VALUE"""),"")</f>
        <v/>
      </c>
      <c r="L4326" t="str">
        <f>IFERROR(__xludf.DUMMYFUNCTION("""COMPUTED_VALUE"""),"")</f>
        <v/>
      </c>
      <c r="M4326" t="str">
        <f>IFERROR(__xludf.DUMMYFUNCTION("""COMPUTED_VALUE"""),"")</f>
        <v/>
      </c>
      <c r="N4326" t="str">
        <f>IFERROR(__xludf.DUMMYFUNCTION("""COMPUTED_VALUE"""),"")</f>
        <v/>
      </c>
      <c r="O4326" t="str">
        <f>IFERROR(__xludf.DUMMYFUNCTION("""COMPUTED_VALUE"""),"")</f>
        <v/>
      </c>
      <c r="P4326" t="str">
        <f>IFERROR(__xludf.DUMMYFUNCTION("""COMPUTED_VALUE"""),"ID ")</f>
        <v>ID </v>
      </c>
    </row>
    <row r="4327">
      <c r="A4327" s="6" t="str">
        <f>IFERROR(__xludf.DUMMYFUNCTION("""COMPUTED_VALUE"""),"")</f>
        <v/>
      </c>
      <c r="C4327" t="str">
        <f>IFERROR(__xludf.DUMMYFUNCTION("""COMPUTED_VALUE"""),"")</f>
        <v/>
      </c>
      <c r="D4327" t="str">
        <f>IFERROR(__xludf.DUMMYFUNCTION("""COMPUTED_VALUE"""),"")</f>
        <v/>
      </c>
      <c r="E4327" t="str">
        <f>IFERROR(__xludf.DUMMYFUNCTION("""COMPUTED_VALUE"""),"")</f>
        <v/>
      </c>
      <c r="F4327" t="str">
        <f>IFERROR(__xludf.DUMMYFUNCTION("""COMPUTED_VALUE"""),"")</f>
        <v/>
      </c>
      <c r="G4327" t="str">
        <f>IFERROR(__xludf.DUMMYFUNCTION("""COMPUTED_VALUE"""),"")</f>
        <v/>
      </c>
      <c r="H4327" s="2" t="str">
        <f>IFERROR(__xludf.DUMMYFUNCTION("""COMPUTED_VALUE"""),"")</f>
        <v/>
      </c>
      <c r="I4327" s="2" t="str">
        <f>IFERROR(__xludf.DUMMYFUNCTION("""COMPUTED_VALUE"""),"")</f>
        <v/>
      </c>
      <c r="J4327" s="2">
        <f>IFERROR(__xludf.DUMMYFUNCTION("""COMPUTED_VALUE"""),0.0)</f>
        <v>0</v>
      </c>
      <c r="K4327" s="5" t="str">
        <f>IFERROR(__xludf.DUMMYFUNCTION("""COMPUTED_VALUE"""),"")</f>
        <v/>
      </c>
      <c r="L4327" t="str">
        <f>IFERROR(__xludf.DUMMYFUNCTION("""COMPUTED_VALUE"""),"")</f>
        <v/>
      </c>
      <c r="M4327" t="str">
        <f>IFERROR(__xludf.DUMMYFUNCTION("""COMPUTED_VALUE"""),"")</f>
        <v/>
      </c>
      <c r="N4327" t="str">
        <f>IFERROR(__xludf.DUMMYFUNCTION("""COMPUTED_VALUE"""),"")</f>
        <v/>
      </c>
      <c r="O4327" t="str">
        <f>IFERROR(__xludf.DUMMYFUNCTION("""COMPUTED_VALUE"""),"")</f>
        <v/>
      </c>
      <c r="P4327" t="str">
        <f>IFERROR(__xludf.DUMMYFUNCTION("""COMPUTED_VALUE"""),"ID ")</f>
        <v>ID </v>
      </c>
    </row>
    <row r="4328">
      <c r="A4328" s="6" t="str">
        <f>IFERROR(__xludf.DUMMYFUNCTION("""COMPUTED_VALUE"""),"")</f>
        <v/>
      </c>
      <c r="C4328" t="str">
        <f>IFERROR(__xludf.DUMMYFUNCTION("""COMPUTED_VALUE"""),"")</f>
        <v/>
      </c>
      <c r="D4328" t="str">
        <f>IFERROR(__xludf.DUMMYFUNCTION("""COMPUTED_VALUE"""),"")</f>
        <v/>
      </c>
      <c r="E4328" t="str">
        <f>IFERROR(__xludf.DUMMYFUNCTION("""COMPUTED_VALUE"""),"")</f>
        <v/>
      </c>
      <c r="F4328" t="str">
        <f>IFERROR(__xludf.DUMMYFUNCTION("""COMPUTED_VALUE"""),"")</f>
        <v/>
      </c>
      <c r="G4328" t="str">
        <f>IFERROR(__xludf.DUMMYFUNCTION("""COMPUTED_VALUE"""),"")</f>
        <v/>
      </c>
      <c r="H4328" s="2" t="str">
        <f>IFERROR(__xludf.DUMMYFUNCTION("""COMPUTED_VALUE"""),"")</f>
        <v/>
      </c>
      <c r="I4328" s="2" t="str">
        <f>IFERROR(__xludf.DUMMYFUNCTION("""COMPUTED_VALUE"""),"")</f>
        <v/>
      </c>
      <c r="J4328" s="2">
        <f>IFERROR(__xludf.DUMMYFUNCTION("""COMPUTED_VALUE"""),0.0)</f>
        <v>0</v>
      </c>
      <c r="K4328" s="5" t="str">
        <f>IFERROR(__xludf.DUMMYFUNCTION("""COMPUTED_VALUE"""),"")</f>
        <v/>
      </c>
      <c r="L4328" t="str">
        <f>IFERROR(__xludf.DUMMYFUNCTION("""COMPUTED_VALUE"""),"")</f>
        <v/>
      </c>
      <c r="M4328" t="str">
        <f>IFERROR(__xludf.DUMMYFUNCTION("""COMPUTED_VALUE"""),"")</f>
        <v/>
      </c>
      <c r="N4328" t="str">
        <f>IFERROR(__xludf.DUMMYFUNCTION("""COMPUTED_VALUE"""),"")</f>
        <v/>
      </c>
      <c r="O4328" t="str">
        <f>IFERROR(__xludf.DUMMYFUNCTION("""COMPUTED_VALUE"""),"")</f>
        <v/>
      </c>
      <c r="P4328" t="str">
        <f>IFERROR(__xludf.DUMMYFUNCTION("""COMPUTED_VALUE"""),"ID ")</f>
        <v>ID </v>
      </c>
    </row>
    <row r="4329">
      <c r="A4329" s="6" t="str">
        <f>IFERROR(__xludf.DUMMYFUNCTION("""COMPUTED_VALUE"""),"")</f>
        <v/>
      </c>
      <c r="C4329" t="str">
        <f>IFERROR(__xludf.DUMMYFUNCTION("""COMPUTED_VALUE"""),"")</f>
        <v/>
      </c>
      <c r="D4329" t="str">
        <f>IFERROR(__xludf.DUMMYFUNCTION("""COMPUTED_VALUE"""),"")</f>
        <v/>
      </c>
      <c r="E4329" t="str">
        <f>IFERROR(__xludf.DUMMYFUNCTION("""COMPUTED_VALUE"""),"")</f>
        <v/>
      </c>
      <c r="F4329" t="str">
        <f>IFERROR(__xludf.DUMMYFUNCTION("""COMPUTED_VALUE"""),"")</f>
        <v/>
      </c>
      <c r="G4329" t="str">
        <f>IFERROR(__xludf.DUMMYFUNCTION("""COMPUTED_VALUE"""),"")</f>
        <v/>
      </c>
      <c r="H4329" s="2" t="str">
        <f>IFERROR(__xludf.DUMMYFUNCTION("""COMPUTED_VALUE"""),"")</f>
        <v/>
      </c>
      <c r="I4329" s="2" t="str">
        <f>IFERROR(__xludf.DUMMYFUNCTION("""COMPUTED_VALUE"""),"")</f>
        <v/>
      </c>
      <c r="J4329" s="2">
        <f>IFERROR(__xludf.DUMMYFUNCTION("""COMPUTED_VALUE"""),0.0)</f>
        <v>0</v>
      </c>
      <c r="K4329" s="5" t="str">
        <f>IFERROR(__xludf.DUMMYFUNCTION("""COMPUTED_VALUE"""),"")</f>
        <v/>
      </c>
      <c r="L4329" t="str">
        <f>IFERROR(__xludf.DUMMYFUNCTION("""COMPUTED_VALUE"""),"")</f>
        <v/>
      </c>
      <c r="M4329" t="str">
        <f>IFERROR(__xludf.DUMMYFUNCTION("""COMPUTED_VALUE"""),"")</f>
        <v/>
      </c>
      <c r="N4329" t="str">
        <f>IFERROR(__xludf.DUMMYFUNCTION("""COMPUTED_VALUE"""),"")</f>
        <v/>
      </c>
      <c r="O4329" t="str">
        <f>IFERROR(__xludf.DUMMYFUNCTION("""COMPUTED_VALUE"""),"")</f>
        <v/>
      </c>
      <c r="P4329" t="str">
        <f>IFERROR(__xludf.DUMMYFUNCTION("""COMPUTED_VALUE"""),"ID ")</f>
        <v>ID </v>
      </c>
    </row>
    <row r="4330">
      <c r="A4330" s="6" t="str">
        <f>IFERROR(__xludf.DUMMYFUNCTION("""COMPUTED_VALUE"""),"")</f>
        <v/>
      </c>
      <c r="C4330" t="str">
        <f>IFERROR(__xludf.DUMMYFUNCTION("""COMPUTED_VALUE"""),"")</f>
        <v/>
      </c>
      <c r="D4330" t="str">
        <f>IFERROR(__xludf.DUMMYFUNCTION("""COMPUTED_VALUE"""),"")</f>
        <v/>
      </c>
      <c r="E4330" t="str">
        <f>IFERROR(__xludf.DUMMYFUNCTION("""COMPUTED_VALUE"""),"")</f>
        <v/>
      </c>
      <c r="F4330" t="str">
        <f>IFERROR(__xludf.DUMMYFUNCTION("""COMPUTED_VALUE"""),"")</f>
        <v/>
      </c>
      <c r="G4330" t="str">
        <f>IFERROR(__xludf.DUMMYFUNCTION("""COMPUTED_VALUE"""),"")</f>
        <v/>
      </c>
      <c r="H4330" s="2" t="str">
        <f>IFERROR(__xludf.DUMMYFUNCTION("""COMPUTED_VALUE"""),"")</f>
        <v/>
      </c>
      <c r="I4330" s="2" t="str">
        <f>IFERROR(__xludf.DUMMYFUNCTION("""COMPUTED_VALUE"""),"")</f>
        <v/>
      </c>
      <c r="J4330" s="2">
        <f>IFERROR(__xludf.DUMMYFUNCTION("""COMPUTED_VALUE"""),0.0)</f>
        <v>0</v>
      </c>
      <c r="K4330" s="5" t="str">
        <f>IFERROR(__xludf.DUMMYFUNCTION("""COMPUTED_VALUE"""),"")</f>
        <v/>
      </c>
      <c r="L4330" t="str">
        <f>IFERROR(__xludf.DUMMYFUNCTION("""COMPUTED_VALUE"""),"")</f>
        <v/>
      </c>
      <c r="M4330" t="str">
        <f>IFERROR(__xludf.DUMMYFUNCTION("""COMPUTED_VALUE"""),"")</f>
        <v/>
      </c>
      <c r="N4330" t="str">
        <f>IFERROR(__xludf.DUMMYFUNCTION("""COMPUTED_VALUE"""),"")</f>
        <v/>
      </c>
      <c r="O4330" t="str">
        <f>IFERROR(__xludf.DUMMYFUNCTION("""COMPUTED_VALUE"""),"")</f>
        <v/>
      </c>
      <c r="P4330" t="str">
        <f>IFERROR(__xludf.DUMMYFUNCTION("""COMPUTED_VALUE"""),"ID ")</f>
        <v>ID </v>
      </c>
    </row>
    <row r="4331">
      <c r="A4331" s="6" t="str">
        <f>IFERROR(__xludf.DUMMYFUNCTION("""COMPUTED_VALUE"""),"")</f>
        <v/>
      </c>
      <c r="C4331" t="str">
        <f>IFERROR(__xludf.DUMMYFUNCTION("""COMPUTED_VALUE"""),"")</f>
        <v/>
      </c>
      <c r="D4331" t="str">
        <f>IFERROR(__xludf.DUMMYFUNCTION("""COMPUTED_VALUE"""),"")</f>
        <v/>
      </c>
      <c r="E4331" t="str">
        <f>IFERROR(__xludf.DUMMYFUNCTION("""COMPUTED_VALUE"""),"")</f>
        <v/>
      </c>
      <c r="F4331" t="str">
        <f>IFERROR(__xludf.DUMMYFUNCTION("""COMPUTED_VALUE"""),"")</f>
        <v/>
      </c>
      <c r="G4331" t="str">
        <f>IFERROR(__xludf.DUMMYFUNCTION("""COMPUTED_VALUE"""),"")</f>
        <v/>
      </c>
      <c r="H4331" s="2" t="str">
        <f>IFERROR(__xludf.DUMMYFUNCTION("""COMPUTED_VALUE"""),"")</f>
        <v/>
      </c>
      <c r="I4331" s="2" t="str">
        <f>IFERROR(__xludf.DUMMYFUNCTION("""COMPUTED_VALUE"""),"")</f>
        <v/>
      </c>
      <c r="J4331" s="2">
        <f>IFERROR(__xludf.DUMMYFUNCTION("""COMPUTED_VALUE"""),0.0)</f>
        <v>0</v>
      </c>
      <c r="K4331" s="5" t="str">
        <f>IFERROR(__xludf.DUMMYFUNCTION("""COMPUTED_VALUE"""),"")</f>
        <v/>
      </c>
      <c r="L4331" t="str">
        <f>IFERROR(__xludf.DUMMYFUNCTION("""COMPUTED_VALUE"""),"")</f>
        <v/>
      </c>
      <c r="M4331" t="str">
        <f>IFERROR(__xludf.DUMMYFUNCTION("""COMPUTED_VALUE"""),"")</f>
        <v/>
      </c>
      <c r="N4331" t="str">
        <f>IFERROR(__xludf.DUMMYFUNCTION("""COMPUTED_VALUE"""),"")</f>
        <v/>
      </c>
      <c r="O4331" t="str">
        <f>IFERROR(__xludf.DUMMYFUNCTION("""COMPUTED_VALUE"""),"")</f>
        <v/>
      </c>
      <c r="P4331" t="str">
        <f>IFERROR(__xludf.DUMMYFUNCTION("""COMPUTED_VALUE"""),"ID ")</f>
        <v>ID </v>
      </c>
    </row>
    <row r="4332">
      <c r="A4332" s="6" t="str">
        <f>IFERROR(__xludf.DUMMYFUNCTION("""COMPUTED_VALUE"""),"")</f>
        <v/>
      </c>
      <c r="C4332" t="str">
        <f>IFERROR(__xludf.DUMMYFUNCTION("""COMPUTED_VALUE"""),"")</f>
        <v/>
      </c>
      <c r="D4332" t="str">
        <f>IFERROR(__xludf.DUMMYFUNCTION("""COMPUTED_VALUE"""),"")</f>
        <v/>
      </c>
      <c r="E4332" t="str">
        <f>IFERROR(__xludf.DUMMYFUNCTION("""COMPUTED_VALUE"""),"")</f>
        <v/>
      </c>
      <c r="F4332" t="str">
        <f>IFERROR(__xludf.DUMMYFUNCTION("""COMPUTED_VALUE"""),"")</f>
        <v/>
      </c>
      <c r="G4332" t="str">
        <f>IFERROR(__xludf.DUMMYFUNCTION("""COMPUTED_VALUE"""),"")</f>
        <v/>
      </c>
      <c r="H4332" s="2" t="str">
        <f>IFERROR(__xludf.DUMMYFUNCTION("""COMPUTED_VALUE"""),"")</f>
        <v/>
      </c>
      <c r="I4332" s="2" t="str">
        <f>IFERROR(__xludf.DUMMYFUNCTION("""COMPUTED_VALUE"""),"")</f>
        <v/>
      </c>
      <c r="J4332" s="2">
        <f>IFERROR(__xludf.DUMMYFUNCTION("""COMPUTED_VALUE"""),0.0)</f>
        <v>0</v>
      </c>
      <c r="K4332" s="5" t="str">
        <f>IFERROR(__xludf.DUMMYFUNCTION("""COMPUTED_VALUE"""),"")</f>
        <v/>
      </c>
      <c r="L4332" t="str">
        <f>IFERROR(__xludf.DUMMYFUNCTION("""COMPUTED_VALUE"""),"")</f>
        <v/>
      </c>
      <c r="M4332" t="str">
        <f>IFERROR(__xludf.DUMMYFUNCTION("""COMPUTED_VALUE"""),"")</f>
        <v/>
      </c>
      <c r="N4332" t="str">
        <f>IFERROR(__xludf.DUMMYFUNCTION("""COMPUTED_VALUE"""),"")</f>
        <v/>
      </c>
      <c r="O4332" t="str">
        <f>IFERROR(__xludf.DUMMYFUNCTION("""COMPUTED_VALUE"""),"")</f>
        <v/>
      </c>
      <c r="P4332" t="str">
        <f>IFERROR(__xludf.DUMMYFUNCTION("""COMPUTED_VALUE"""),"ID ")</f>
        <v>ID </v>
      </c>
    </row>
    <row r="4333">
      <c r="A4333" s="6" t="str">
        <f>IFERROR(__xludf.DUMMYFUNCTION("""COMPUTED_VALUE"""),"")</f>
        <v/>
      </c>
      <c r="C4333" t="str">
        <f>IFERROR(__xludf.DUMMYFUNCTION("""COMPUTED_VALUE"""),"")</f>
        <v/>
      </c>
      <c r="D4333" t="str">
        <f>IFERROR(__xludf.DUMMYFUNCTION("""COMPUTED_VALUE"""),"")</f>
        <v/>
      </c>
      <c r="E4333" t="str">
        <f>IFERROR(__xludf.DUMMYFUNCTION("""COMPUTED_VALUE"""),"")</f>
        <v/>
      </c>
      <c r="F4333" t="str">
        <f>IFERROR(__xludf.DUMMYFUNCTION("""COMPUTED_VALUE"""),"")</f>
        <v/>
      </c>
      <c r="G4333" t="str">
        <f>IFERROR(__xludf.DUMMYFUNCTION("""COMPUTED_VALUE"""),"")</f>
        <v/>
      </c>
      <c r="H4333" s="2" t="str">
        <f>IFERROR(__xludf.DUMMYFUNCTION("""COMPUTED_VALUE"""),"")</f>
        <v/>
      </c>
      <c r="I4333" s="2" t="str">
        <f>IFERROR(__xludf.DUMMYFUNCTION("""COMPUTED_VALUE"""),"")</f>
        <v/>
      </c>
      <c r="J4333" s="2">
        <f>IFERROR(__xludf.DUMMYFUNCTION("""COMPUTED_VALUE"""),0.0)</f>
        <v>0</v>
      </c>
      <c r="K4333" s="5" t="str">
        <f>IFERROR(__xludf.DUMMYFUNCTION("""COMPUTED_VALUE"""),"")</f>
        <v/>
      </c>
      <c r="L4333" t="str">
        <f>IFERROR(__xludf.DUMMYFUNCTION("""COMPUTED_VALUE"""),"")</f>
        <v/>
      </c>
      <c r="M4333" t="str">
        <f>IFERROR(__xludf.DUMMYFUNCTION("""COMPUTED_VALUE"""),"")</f>
        <v/>
      </c>
      <c r="N4333" t="str">
        <f>IFERROR(__xludf.DUMMYFUNCTION("""COMPUTED_VALUE"""),"")</f>
        <v/>
      </c>
      <c r="O4333" t="str">
        <f>IFERROR(__xludf.DUMMYFUNCTION("""COMPUTED_VALUE"""),"")</f>
        <v/>
      </c>
      <c r="P4333" t="str">
        <f>IFERROR(__xludf.DUMMYFUNCTION("""COMPUTED_VALUE"""),"ID ")</f>
        <v>ID </v>
      </c>
    </row>
    <row r="4334">
      <c r="A4334" s="6" t="str">
        <f>IFERROR(__xludf.DUMMYFUNCTION("""COMPUTED_VALUE"""),"")</f>
        <v/>
      </c>
      <c r="C4334" t="str">
        <f>IFERROR(__xludf.DUMMYFUNCTION("""COMPUTED_VALUE"""),"")</f>
        <v/>
      </c>
      <c r="D4334" t="str">
        <f>IFERROR(__xludf.DUMMYFUNCTION("""COMPUTED_VALUE"""),"")</f>
        <v/>
      </c>
      <c r="E4334" t="str">
        <f>IFERROR(__xludf.DUMMYFUNCTION("""COMPUTED_VALUE"""),"")</f>
        <v/>
      </c>
      <c r="F4334" t="str">
        <f>IFERROR(__xludf.DUMMYFUNCTION("""COMPUTED_VALUE"""),"")</f>
        <v/>
      </c>
      <c r="G4334" t="str">
        <f>IFERROR(__xludf.DUMMYFUNCTION("""COMPUTED_VALUE"""),"")</f>
        <v/>
      </c>
      <c r="H4334" s="2" t="str">
        <f>IFERROR(__xludf.DUMMYFUNCTION("""COMPUTED_VALUE"""),"")</f>
        <v/>
      </c>
      <c r="I4334" s="2" t="str">
        <f>IFERROR(__xludf.DUMMYFUNCTION("""COMPUTED_VALUE"""),"")</f>
        <v/>
      </c>
      <c r="J4334" s="2">
        <f>IFERROR(__xludf.DUMMYFUNCTION("""COMPUTED_VALUE"""),0.0)</f>
        <v>0</v>
      </c>
      <c r="K4334" s="5" t="str">
        <f>IFERROR(__xludf.DUMMYFUNCTION("""COMPUTED_VALUE"""),"")</f>
        <v/>
      </c>
      <c r="L4334" t="str">
        <f>IFERROR(__xludf.DUMMYFUNCTION("""COMPUTED_VALUE"""),"")</f>
        <v/>
      </c>
      <c r="M4334" t="str">
        <f>IFERROR(__xludf.DUMMYFUNCTION("""COMPUTED_VALUE"""),"")</f>
        <v/>
      </c>
      <c r="N4334" t="str">
        <f>IFERROR(__xludf.DUMMYFUNCTION("""COMPUTED_VALUE"""),"")</f>
        <v/>
      </c>
      <c r="O4334" t="str">
        <f>IFERROR(__xludf.DUMMYFUNCTION("""COMPUTED_VALUE"""),"")</f>
        <v/>
      </c>
      <c r="P4334" t="str">
        <f>IFERROR(__xludf.DUMMYFUNCTION("""COMPUTED_VALUE"""),"ID ")</f>
        <v>ID </v>
      </c>
    </row>
    <row r="4335">
      <c r="A4335" s="6" t="str">
        <f>IFERROR(__xludf.DUMMYFUNCTION("""COMPUTED_VALUE"""),"")</f>
        <v/>
      </c>
      <c r="C4335" t="str">
        <f>IFERROR(__xludf.DUMMYFUNCTION("""COMPUTED_VALUE"""),"")</f>
        <v/>
      </c>
      <c r="D4335" t="str">
        <f>IFERROR(__xludf.DUMMYFUNCTION("""COMPUTED_VALUE"""),"")</f>
        <v/>
      </c>
      <c r="E4335" t="str">
        <f>IFERROR(__xludf.DUMMYFUNCTION("""COMPUTED_VALUE"""),"")</f>
        <v/>
      </c>
      <c r="F4335" t="str">
        <f>IFERROR(__xludf.DUMMYFUNCTION("""COMPUTED_VALUE"""),"")</f>
        <v/>
      </c>
      <c r="G4335" t="str">
        <f>IFERROR(__xludf.DUMMYFUNCTION("""COMPUTED_VALUE"""),"")</f>
        <v/>
      </c>
      <c r="H4335" s="2" t="str">
        <f>IFERROR(__xludf.DUMMYFUNCTION("""COMPUTED_VALUE"""),"")</f>
        <v/>
      </c>
      <c r="I4335" s="2" t="str">
        <f>IFERROR(__xludf.DUMMYFUNCTION("""COMPUTED_VALUE"""),"")</f>
        <v/>
      </c>
      <c r="J4335" s="2">
        <f>IFERROR(__xludf.DUMMYFUNCTION("""COMPUTED_VALUE"""),0.0)</f>
        <v>0</v>
      </c>
      <c r="K4335" s="5" t="str">
        <f>IFERROR(__xludf.DUMMYFUNCTION("""COMPUTED_VALUE"""),"")</f>
        <v/>
      </c>
      <c r="L4335" t="str">
        <f>IFERROR(__xludf.DUMMYFUNCTION("""COMPUTED_VALUE"""),"")</f>
        <v/>
      </c>
      <c r="M4335" t="str">
        <f>IFERROR(__xludf.DUMMYFUNCTION("""COMPUTED_VALUE"""),"")</f>
        <v/>
      </c>
      <c r="N4335" t="str">
        <f>IFERROR(__xludf.DUMMYFUNCTION("""COMPUTED_VALUE"""),"")</f>
        <v/>
      </c>
      <c r="O4335" t="str">
        <f>IFERROR(__xludf.DUMMYFUNCTION("""COMPUTED_VALUE"""),"")</f>
        <v/>
      </c>
      <c r="P4335" t="str">
        <f>IFERROR(__xludf.DUMMYFUNCTION("""COMPUTED_VALUE"""),"ID ")</f>
        <v>ID </v>
      </c>
    </row>
    <row r="4336">
      <c r="A4336" s="6" t="str">
        <f>IFERROR(__xludf.DUMMYFUNCTION("""COMPUTED_VALUE"""),"")</f>
        <v/>
      </c>
      <c r="C4336" t="str">
        <f>IFERROR(__xludf.DUMMYFUNCTION("""COMPUTED_VALUE"""),"")</f>
        <v/>
      </c>
      <c r="D4336" t="str">
        <f>IFERROR(__xludf.DUMMYFUNCTION("""COMPUTED_VALUE"""),"")</f>
        <v/>
      </c>
      <c r="E4336" t="str">
        <f>IFERROR(__xludf.DUMMYFUNCTION("""COMPUTED_VALUE"""),"")</f>
        <v/>
      </c>
      <c r="F4336" t="str">
        <f>IFERROR(__xludf.DUMMYFUNCTION("""COMPUTED_VALUE"""),"")</f>
        <v/>
      </c>
      <c r="G4336" t="str">
        <f>IFERROR(__xludf.DUMMYFUNCTION("""COMPUTED_VALUE"""),"")</f>
        <v/>
      </c>
      <c r="H4336" s="2" t="str">
        <f>IFERROR(__xludf.DUMMYFUNCTION("""COMPUTED_VALUE"""),"")</f>
        <v/>
      </c>
      <c r="I4336" s="2" t="str">
        <f>IFERROR(__xludf.DUMMYFUNCTION("""COMPUTED_VALUE"""),"")</f>
        <v/>
      </c>
      <c r="J4336" s="2">
        <f>IFERROR(__xludf.DUMMYFUNCTION("""COMPUTED_VALUE"""),0.0)</f>
        <v>0</v>
      </c>
      <c r="K4336" s="5" t="str">
        <f>IFERROR(__xludf.DUMMYFUNCTION("""COMPUTED_VALUE"""),"")</f>
        <v/>
      </c>
      <c r="L4336" t="str">
        <f>IFERROR(__xludf.DUMMYFUNCTION("""COMPUTED_VALUE"""),"")</f>
        <v/>
      </c>
      <c r="M4336" t="str">
        <f>IFERROR(__xludf.DUMMYFUNCTION("""COMPUTED_VALUE"""),"")</f>
        <v/>
      </c>
      <c r="N4336" t="str">
        <f>IFERROR(__xludf.DUMMYFUNCTION("""COMPUTED_VALUE"""),"")</f>
        <v/>
      </c>
      <c r="O4336" t="str">
        <f>IFERROR(__xludf.DUMMYFUNCTION("""COMPUTED_VALUE"""),"")</f>
        <v/>
      </c>
      <c r="P4336" t="str">
        <f>IFERROR(__xludf.DUMMYFUNCTION("""COMPUTED_VALUE"""),"ID ")</f>
        <v>ID </v>
      </c>
    </row>
    <row r="4337">
      <c r="A4337" s="6" t="str">
        <f>IFERROR(__xludf.DUMMYFUNCTION("""COMPUTED_VALUE"""),"")</f>
        <v/>
      </c>
      <c r="C4337" t="str">
        <f>IFERROR(__xludf.DUMMYFUNCTION("""COMPUTED_VALUE"""),"")</f>
        <v/>
      </c>
      <c r="D4337" t="str">
        <f>IFERROR(__xludf.DUMMYFUNCTION("""COMPUTED_VALUE"""),"")</f>
        <v/>
      </c>
      <c r="E4337" t="str">
        <f>IFERROR(__xludf.DUMMYFUNCTION("""COMPUTED_VALUE"""),"")</f>
        <v/>
      </c>
      <c r="F4337" t="str">
        <f>IFERROR(__xludf.DUMMYFUNCTION("""COMPUTED_VALUE"""),"")</f>
        <v/>
      </c>
      <c r="G4337" t="str">
        <f>IFERROR(__xludf.DUMMYFUNCTION("""COMPUTED_VALUE"""),"")</f>
        <v/>
      </c>
      <c r="H4337" s="2" t="str">
        <f>IFERROR(__xludf.DUMMYFUNCTION("""COMPUTED_VALUE"""),"")</f>
        <v/>
      </c>
      <c r="I4337" s="2" t="str">
        <f>IFERROR(__xludf.DUMMYFUNCTION("""COMPUTED_VALUE"""),"")</f>
        <v/>
      </c>
      <c r="J4337" s="2">
        <f>IFERROR(__xludf.DUMMYFUNCTION("""COMPUTED_VALUE"""),0.0)</f>
        <v>0</v>
      </c>
      <c r="K4337" s="5" t="str">
        <f>IFERROR(__xludf.DUMMYFUNCTION("""COMPUTED_VALUE"""),"")</f>
        <v/>
      </c>
      <c r="L4337" t="str">
        <f>IFERROR(__xludf.DUMMYFUNCTION("""COMPUTED_VALUE"""),"")</f>
        <v/>
      </c>
      <c r="M4337" t="str">
        <f>IFERROR(__xludf.DUMMYFUNCTION("""COMPUTED_VALUE"""),"")</f>
        <v/>
      </c>
      <c r="N4337" t="str">
        <f>IFERROR(__xludf.DUMMYFUNCTION("""COMPUTED_VALUE"""),"")</f>
        <v/>
      </c>
      <c r="O4337" t="str">
        <f>IFERROR(__xludf.DUMMYFUNCTION("""COMPUTED_VALUE"""),"")</f>
        <v/>
      </c>
      <c r="P4337" t="str">
        <f>IFERROR(__xludf.DUMMYFUNCTION("""COMPUTED_VALUE"""),"ID ")</f>
        <v>ID </v>
      </c>
    </row>
    <row r="4338">
      <c r="A4338" s="6" t="str">
        <f>IFERROR(__xludf.DUMMYFUNCTION("""COMPUTED_VALUE"""),"")</f>
        <v/>
      </c>
      <c r="C4338" t="str">
        <f>IFERROR(__xludf.DUMMYFUNCTION("""COMPUTED_VALUE"""),"")</f>
        <v/>
      </c>
      <c r="D4338" t="str">
        <f>IFERROR(__xludf.DUMMYFUNCTION("""COMPUTED_VALUE"""),"")</f>
        <v/>
      </c>
      <c r="E4338" t="str">
        <f>IFERROR(__xludf.DUMMYFUNCTION("""COMPUTED_VALUE"""),"")</f>
        <v/>
      </c>
      <c r="F4338" t="str">
        <f>IFERROR(__xludf.DUMMYFUNCTION("""COMPUTED_VALUE"""),"")</f>
        <v/>
      </c>
      <c r="G4338" t="str">
        <f>IFERROR(__xludf.DUMMYFUNCTION("""COMPUTED_VALUE"""),"")</f>
        <v/>
      </c>
      <c r="H4338" s="2" t="str">
        <f>IFERROR(__xludf.DUMMYFUNCTION("""COMPUTED_VALUE"""),"")</f>
        <v/>
      </c>
      <c r="I4338" s="2" t="str">
        <f>IFERROR(__xludf.DUMMYFUNCTION("""COMPUTED_VALUE"""),"")</f>
        <v/>
      </c>
      <c r="J4338" s="2">
        <f>IFERROR(__xludf.DUMMYFUNCTION("""COMPUTED_VALUE"""),0.0)</f>
        <v>0</v>
      </c>
      <c r="K4338" s="5" t="str">
        <f>IFERROR(__xludf.DUMMYFUNCTION("""COMPUTED_VALUE"""),"")</f>
        <v/>
      </c>
      <c r="L4338" t="str">
        <f>IFERROR(__xludf.DUMMYFUNCTION("""COMPUTED_VALUE"""),"")</f>
        <v/>
      </c>
      <c r="M4338" t="str">
        <f>IFERROR(__xludf.DUMMYFUNCTION("""COMPUTED_VALUE"""),"")</f>
        <v/>
      </c>
      <c r="N4338" t="str">
        <f>IFERROR(__xludf.DUMMYFUNCTION("""COMPUTED_VALUE"""),"")</f>
        <v/>
      </c>
      <c r="O4338" t="str">
        <f>IFERROR(__xludf.DUMMYFUNCTION("""COMPUTED_VALUE"""),"")</f>
        <v/>
      </c>
      <c r="P4338" t="str">
        <f>IFERROR(__xludf.DUMMYFUNCTION("""COMPUTED_VALUE"""),"ID ")</f>
        <v>ID </v>
      </c>
    </row>
    <row r="4339">
      <c r="A4339" s="6" t="str">
        <f>IFERROR(__xludf.DUMMYFUNCTION("""COMPUTED_VALUE"""),"")</f>
        <v/>
      </c>
      <c r="C4339" t="str">
        <f>IFERROR(__xludf.DUMMYFUNCTION("""COMPUTED_VALUE"""),"")</f>
        <v/>
      </c>
      <c r="D4339" t="str">
        <f>IFERROR(__xludf.DUMMYFUNCTION("""COMPUTED_VALUE"""),"")</f>
        <v/>
      </c>
      <c r="E4339" t="str">
        <f>IFERROR(__xludf.DUMMYFUNCTION("""COMPUTED_VALUE"""),"")</f>
        <v/>
      </c>
      <c r="F4339" t="str">
        <f>IFERROR(__xludf.DUMMYFUNCTION("""COMPUTED_VALUE"""),"")</f>
        <v/>
      </c>
      <c r="G4339" t="str">
        <f>IFERROR(__xludf.DUMMYFUNCTION("""COMPUTED_VALUE"""),"")</f>
        <v/>
      </c>
      <c r="H4339" s="2" t="str">
        <f>IFERROR(__xludf.DUMMYFUNCTION("""COMPUTED_VALUE"""),"")</f>
        <v/>
      </c>
      <c r="I4339" s="2" t="str">
        <f>IFERROR(__xludf.DUMMYFUNCTION("""COMPUTED_VALUE"""),"")</f>
        <v/>
      </c>
      <c r="J4339" s="2">
        <f>IFERROR(__xludf.DUMMYFUNCTION("""COMPUTED_VALUE"""),0.0)</f>
        <v>0</v>
      </c>
      <c r="K4339" s="5" t="str">
        <f>IFERROR(__xludf.DUMMYFUNCTION("""COMPUTED_VALUE"""),"")</f>
        <v/>
      </c>
      <c r="L4339" t="str">
        <f>IFERROR(__xludf.DUMMYFUNCTION("""COMPUTED_VALUE"""),"")</f>
        <v/>
      </c>
      <c r="M4339" t="str">
        <f>IFERROR(__xludf.DUMMYFUNCTION("""COMPUTED_VALUE"""),"")</f>
        <v/>
      </c>
      <c r="N4339" t="str">
        <f>IFERROR(__xludf.DUMMYFUNCTION("""COMPUTED_VALUE"""),"")</f>
        <v/>
      </c>
      <c r="O4339" t="str">
        <f>IFERROR(__xludf.DUMMYFUNCTION("""COMPUTED_VALUE"""),"")</f>
        <v/>
      </c>
      <c r="P4339" t="str">
        <f>IFERROR(__xludf.DUMMYFUNCTION("""COMPUTED_VALUE"""),"ID ")</f>
        <v>ID </v>
      </c>
    </row>
    <row r="4340">
      <c r="A4340" s="6" t="str">
        <f>IFERROR(__xludf.DUMMYFUNCTION("""COMPUTED_VALUE"""),"")</f>
        <v/>
      </c>
      <c r="C4340" t="str">
        <f>IFERROR(__xludf.DUMMYFUNCTION("""COMPUTED_VALUE"""),"")</f>
        <v/>
      </c>
      <c r="D4340" t="str">
        <f>IFERROR(__xludf.DUMMYFUNCTION("""COMPUTED_VALUE"""),"")</f>
        <v/>
      </c>
      <c r="E4340" t="str">
        <f>IFERROR(__xludf.DUMMYFUNCTION("""COMPUTED_VALUE"""),"")</f>
        <v/>
      </c>
      <c r="F4340" t="str">
        <f>IFERROR(__xludf.DUMMYFUNCTION("""COMPUTED_VALUE"""),"")</f>
        <v/>
      </c>
      <c r="G4340" t="str">
        <f>IFERROR(__xludf.DUMMYFUNCTION("""COMPUTED_VALUE"""),"")</f>
        <v/>
      </c>
      <c r="H4340" s="2" t="str">
        <f>IFERROR(__xludf.DUMMYFUNCTION("""COMPUTED_VALUE"""),"")</f>
        <v/>
      </c>
      <c r="I4340" s="2" t="str">
        <f>IFERROR(__xludf.DUMMYFUNCTION("""COMPUTED_VALUE"""),"")</f>
        <v/>
      </c>
      <c r="J4340" s="2">
        <f>IFERROR(__xludf.DUMMYFUNCTION("""COMPUTED_VALUE"""),0.0)</f>
        <v>0</v>
      </c>
      <c r="K4340" s="5" t="str">
        <f>IFERROR(__xludf.DUMMYFUNCTION("""COMPUTED_VALUE"""),"")</f>
        <v/>
      </c>
      <c r="L4340" t="str">
        <f>IFERROR(__xludf.DUMMYFUNCTION("""COMPUTED_VALUE"""),"")</f>
        <v/>
      </c>
      <c r="M4340" t="str">
        <f>IFERROR(__xludf.DUMMYFUNCTION("""COMPUTED_VALUE"""),"")</f>
        <v/>
      </c>
      <c r="N4340" t="str">
        <f>IFERROR(__xludf.DUMMYFUNCTION("""COMPUTED_VALUE"""),"")</f>
        <v/>
      </c>
      <c r="O4340" t="str">
        <f>IFERROR(__xludf.DUMMYFUNCTION("""COMPUTED_VALUE"""),"")</f>
        <v/>
      </c>
      <c r="P4340" t="str">
        <f>IFERROR(__xludf.DUMMYFUNCTION("""COMPUTED_VALUE"""),"ID ")</f>
        <v>ID </v>
      </c>
    </row>
    <row r="4341">
      <c r="A4341" s="6" t="str">
        <f>IFERROR(__xludf.DUMMYFUNCTION("""COMPUTED_VALUE"""),"")</f>
        <v/>
      </c>
      <c r="C4341" t="str">
        <f>IFERROR(__xludf.DUMMYFUNCTION("""COMPUTED_VALUE"""),"")</f>
        <v/>
      </c>
      <c r="D4341" t="str">
        <f>IFERROR(__xludf.DUMMYFUNCTION("""COMPUTED_VALUE"""),"")</f>
        <v/>
      </c>
      <c r="E4341" t="str">
        <f>IFERROR(__xludf.DUMMYFUNCTION("""COMPUTED_VALUE"""),"")</f>
        <v/>
      </c>
      <c r="F4341" t="str">
        <f>IFERROR(__xludf.DUMMYFUNCTION("""COMPUTED_VALUE"""),"")</f>
        <v/>
      </c>
      <c r="G4341" t="str">
        <f>IFERROR(__xludf.DUMMYFUNCTION("""COMPUTED_VALUE"""),"")</f>
        <v/>
      </c>
      <c r="H4341" s="2" t="str">
        <f>IFERROR(__xludf.DUMMYFUNCTION("""COMPUTED_VALUE"""),"")</f>
        <v/>
      </c>
      <c r="I4341" s="2" t="str">
        <f>IFERROR(__xludf.DUMMYFUNCTION("""COMPUTED_VALUE"""),"")</f>
        <v/>
      </c>
      <c r="J4341" s="2">
        <f>IFERROR(__xludf.DUMMYFUNCTION("""COMPUTED_VALUE"""),0.0)</f>
        <v>0</v>
      </c>
      <c r="K4341" s="5" t="str">
        <f>IFERROR(__xludf.DUMMYFUNCTION("""COMPUTED_VALUE"""),"")</f>
        <v/>
      </c>
      <c r="L4341" t="str">
        <f>IFERROR(__xludf.DUMMYFUNCTION("""COMPUTED_VALUE"""),"")</f>
        <v/>
      </c>
      <c r="M4341" t="str">
        <f>IFERROR(__xludf.DUMMYFUNCTION("""COMPUTED_VALUE"""),"")</f>
        <v/>
      </c>
      <c r="N4341" t="str">
        <f>IFERROR(__xludf.DUMMYFUNCTION("""COMPUTED_VALUE"""),"")</f>
        <v/>
      </c>
      <c r="O4341" t="str">
        <f>IFERROR(__xludf.DUMMYFUNCTION("""COMPUTED_VALUE"""),"")</f>
        <v/>
      </c>
      <c r="P4341" t="str">
        <f>IFERROR(__xludf.DUMMYFUNCTION("""COMPUTED_VALUE"""),"ID ")</f>
        <v>ID </v>
      </c>
    </row>
    <row r="4342">
      <c r="A4342" s="6" t="str">
        <f>IFERROR(__xludf.DUMMYFUNCTION("""COMPUTED_VALUE"""),"")</f>
        <v/>
      </c>
      <c r="C4342" t="str">
        <f>IFERROR(__xludf.DUMMYFUNCTION("""COMPUTED_VALUE"""),"")</f>
        <v/>
      </c>
      <c r="D4342" t="str">
        <f>IFERROR(__xludf.DUMMYFUNCTION("""COMPUTED_VALUE"""),"")</f>
        <v/>
      </c>
      <c r="E4342" t="str">
        <f>IFERROR(__xludf.DUMMYFUNCTION("""COMPUTED_VALUE"""),"")</f>
        <v/>
      </c>
      <c r="F4342" t="str">
        <f>IFERROR(__xludf.DUMMYFUNCTION("""COMPUTED_VALUE"""),"")</f>
        <v/>
      </c>
      <c r="G4342" t="str">
        <f>IFERROR(__xludf.DUMMYFUNCTION("""COMPUTED_VALUE"""),"")</f>
        <v/>
      </c>
      <c r="H4342" s="2" t="str">
        <f>IFERROR(__xludf.DUMMYFUNCTION("""COMPUTED_VALUE"""),"")</f>
        <v/>
      </c>
      <c r="I4342" s="2" t="str">
        <f>IFERROR(__xludf.DUMMYFUNCTION("""COMPUTED_VALUE"""),"")</f>
        <v/>
      </c>
      <c r="J4342" s="2">
        <f>IFERROR(__xludf.DUMMYFUNCTION("""COMPUTED_VALUE"""),0.0)</f>
        <v>0</v>
      </c>
      <c r="K4342" s="5" t="str">
        <f>IFERROR(__xludf.DUMMYFUNCTION("""COMPUTED_VALUE"""),"")</f>
        <v/>
      </c>
      <c r="L4342" t="str">
        <f>IFERROR(__xludf.DUMMYFUNCTION("""COMPUTED_VALUE"""),"")</f>
        <v/>
      </c>
      <c r="M4342" t="str">
        <f>IFERROR(__xludf.DUMMYFUNCTION("""COMPUTED_VALUE"""),"")</f>
        <v/>
      </c>
      <c r="N4342" t="str">
        <f>IFERROR(__xludf.DUMMYFUNCTION("""COMPUTED_VALUE"""),"")</f>
        <v/>
      </c>
      <c r="O4342" t="str">
        <f>IFERROR(__xludf.DUMMYFUNCTION("""COMPUTED_VALUE"""),"")</f>
        <v/>
      </c>
      <c r="P4342" t="str">
        <f>IFERROR(__xludf.DUMMYFUNCTION("""COMPUTED_VALUE"""),"ID ")</f>
        <v>ID </v>
      </c>
    </row>
    <row r="4343">
      <c r="A4343" s="6" t="str">
        <f>IFERROR(__xludf.DUMMYFUNCTION("""COMPUTED_VALUE"""),"")</f>
        <v/>
      </c>
      <c r="C4343" t="str">
        <f>IFERROR(__xludf.DUMMYFUNCTION("""COMPUTED_VALUE"""),"")</f>
        <v/>
      </c>
      <c r="D4343" t="str">
        <f>IFERROR(__xludf.DUMMYFUNCTION("""COMPUTED_VALUE"""),"")</f>
        <v/>
      </c>
      <c r="E4343" t="str">
        <f>IFERROR(__xludf.DUMMYFUNCTION("""COMPUTED_VALUE"""),"")</f>
        <v/>
      </c>
      <c r="F4343" t="str">
        <f>IFERROR(__xludf.DUMMYFUNCTION("""COMPUTED_VALUE"""),"")</f>
        <v/>
      </c>
      <c r="G4343" t="str">
        <f>IFERROR(__xludf.DUMMYFUNCTION("""COMPUTED_VALUE"""),"")</f>
        <v/>
      </c>
      <c r="H4343" s="2" t="str">
        <f>IFERROR(__xludf.DUMMYFUNCTION("""COMPUTED_VALUE"""),"")</f>
        <v/>
      </c>
      <c r="I4343" s="2" t="str">
        <f>IFERROR(__xludf.DUMMYFUNCTION("""COMPUTED_VALUE"""),"")</f>
        <v/>
      </c>
      <c r="J4343" s="2">
        <f>IFERROR(__xludf.DUMMYFUNCTION("""COMPUTED_VALUE"""),0.0)</f>
        <v>0</v>
      </c>
      <c r="K4343" s="5" t="str">
        <f>IFERROR(__xludf.DUMMYFUNCTION("""COMPUTED_VALUE"""),"")</f>
        <v/>
      </c>
      <c r="L4343" t="str">
        <f>IFERROR(__xludf.DUMMYFUNCTION("""COMPUTED_VALUE"""),"")</f>
        <v/>
      </c>
      <c r="M4343" t="str">
        <f>IFERROR(__xludf.DUMMYFUNCTION("""COMPUTED_VALUE"""),"")</f>
        <v/>
      </c>
      <c r="N4343" t="str">
        <f>IFERROR(__xludf.DUMMYFUNCTION("""COMPUTED_VALUE"""),"")</f>
        <v/>
      </c>
      <c r="O4343" t="str">
        <f>IFERROR(__xludf.DUMMYFUNCTION("""COMPUTED_VALUE"""),"")</f>
        <v/>
      </c>
      <c r="P4343" t="str">
        <f>IFERROR(__xludf.DUMMYFUNCTION("""COMPUTED_VALUE"""),"ID ")</f>
        <v>ID </v>
      </c>
    </row>
    <row r="4344">
      <c r="A4344" s="6" t="str">
        <f>IFERROR(__xludf.DUMMYFUNCTION("""COMPUTED_VALUE"""),"")</f>
        <v/>
      </c>
      <c r="C4344" t="str">
        <f>IFERROR(__xludf.DUMMYFUNCTION("""COMPUTED_VALUE"""),"")</f>
        <v/>
      </c>
      <c r="D4344" t="str">
        <f>IFERROR(__xludf.DUMMYFUNCTION("""COMPUTED_VALUE"""),"")</f>
        <v/>
      </c>
      <c r="E4344" t="str">
        <f>IFERROR(__xludf.DUMMYFUNCTION("""COMPUTED_VALUE"""),"")</f>
        <v/>
      </c>
      <c r="F4344" t="str">
        <f>IFERROR(__xludf.DUMMYFUNCTION("""COMPUTED_VALUE"""),"")</f>
        <v/>
      </c>
      <c r="G4344" t="str">
        <f>IFERROR(__xludf.DUMMYFUNCTION("""COMPUTED_VALUE"""),"")</f>
        <v/>
      </c>
      <c r="H4344" s="2" t="str">
        <f>IFERROR(__xludf.DUMMYFUNCTION("""COMPUTED_VALUE"""),"")</f>
        <v/>
      </c>
      <c r="I4344" s="2" t="str">
        <f>IFERROR(__xludf.DUMMYFUNCTION("""COMPUTED_VALUE"""),"")</f>
        <v/>
      </c>
      <c r="J4344" s="2">
        <f>IFERROR(__xludf.DUMMYFUNCTION("""COMPUTED_VALUE"""),0.0)</f>
        <v>0</v>
      </c>
      <c r="K4344" s="5" t="str">
        <f>IFERROR(__xludf.DUMMYFUNCTION("""COMPUTED_VALUE"""),"")</f>
        <v/>
      </c>
      <c r="L4344" t="str">
        <f>IFERROR(__xludf.DUMMYFUNCTION("""COMPUTED_VALUE"""),"")</f>
        <v/>
      </c>
      <c r="M4344" t="str">
        <f>IFERROR(__xludf.DUMMYFUNCTION("""COMPUTED_VALUE"""),"")</f>
        <v/>
      </c>
      <c r="N4344" t="str">
        <f>IFERROR(__xludf.DUMMYFUNCTION("""COMPUTED_VALUE"""),"")</f>
        <v/>
      </c>
      <c r="O4344" t="str">
        <f>IFERROR(__xludf.DUMMYFUNCTION("""COMPUTED_VALUE"""),"")</f>
        <v/>
      </c>
      <c r="P4344" t="str">
        <f>IFERROR(__xludf.DUMMYFUNCTION("""COMPUTED_VALUE"""),"ID ")</f>
        <v>ID </v>
      </c>
    </row>
    <row r="4345">
      <c r="A4345" s="6" t="str">
        <f>IFERROR(__xludf.DUMMYFUNCTION("""COMPUTED_VALUE"""),"")</f>
        <v/>
      </c>
      <c r="C4345" t="str">
        <f>IFERROR(__xludf.DUMMYFUNCTION("""COMPUTED_VALUE"""),"")</f>
        <v/>
      </c>
      <c r="D4345" t="str">
        <f>IFERROR(__xludf.DUMMYFUNCTION("""COMPUTED_VALUE"""),"")</f>
        <v/>
      </c>
      <c r="E4345" t="str">
        <f>IFERROR(__xludf.DUMMYFUNCTION("""COMPUTED_VALUE"""),"")</f>
        <v/>
      </c>
      <c r="F4345" t="str">
        <f>IFERROR(__xludf.DUMMYFUNCTION("""COMPUTED_VALUE"""),"")</f>
        <v/>
      </c>
      <c r="G4345" t="str">
        <f>IFERROR(__xludf.DUMMYFUNCTION("""COMPUTED_VALUE"""),"")</f>
        <v/>
      </c>
      <c r="H4345" s="2" t="str">
        <f>IFERROR(__xludf.DUMMYFUNCTION("""COMPUTED_VALUE"""),"")</f>
        <v/>
      </c>
      <c r="I4345" s="2" t="str">
        <f>IFERROR(__xludf.DUMMYFUNCTION("""COMPUTED_VALUE"""),"")</f>
        <v/>
      </c>
      <c r="J4345" s="2">
        <f>IFERROR(__xludf.DUMMYFUNCTION("""COMPUTED_VALUE"""),0.0)</f>
        <v>0</v>
      </c>
      <c r="K4345" s="5" t="str">
        <f>IFERROR(__xludf.DUMMYFUNCTION("""COMPUTED_VALUE"""),"")</f>
        <v/>
      </c>
      <c r="L4345" t="str">
        <f>IFERROR(__xludf.DUMMYFUNCTION("""COMPUTED_VALUE"""),"")</f>
        <v/>
      </c>
      <c r="M4345" t="str">
        <f>IFERROR(__xludf.DUMMYFUNCTION("""COMPUTED_VALUE"""),"")</f>
        <v/>
      </c>
      <c r="N4345" t="str">
        <f>IFERROR(__xludf.DUMMYFUNCTION("""COMPUTED_VALUE"""),"")</f>
        <v/>
      </c>
      <c r="O4345" t="str">
        <f>IFERROR(__xludf.DUMMYFUNCTION("""COMPUTED_VALUE"""),"")</f>
        <v/>
      </c>
      <c r="P4345" t="str">
        <f>IFERROR(__xludf.DUMMYFUNCTION("""COMPUTED_VALUE"""),"ID ")</f>
        <v>ID </v>
      </c>
    </row>
    <row r="4346">
      <c r="A4346" s="6" t="str">
        <f>IFERROR(__xludf.DUMMYFUNCTION("""COMPUTED_VALUE"""),"")</f>
        <v/>
      </c>
      <c r="C4346" t="str">
        <f>IFERROR(__xludf.DUMMYFUNCTION("""COMPUTED_VALUE"""),"")</f>
        <v/>
      </c>
      <c r="D4346" t="str">
        <f>IFERROR(__xludf.DUMMYFUNCTION("""COMPUTED_VALUE"""),"")</f>
        <v/>
      </c>
      <c r="E4346" t="str">
        <f>IFERROR(__xludf.DUMMYFUNCTION("""COMPUTED_VALUE"""),"")</f>
        <v/>
      </c>
      <c r="F4346" t="str">
        <f>IFERROR(__xludf.DUMMYFUNCTION("""COMPUTED_VALUE"""),"")</f>
        <v/>
      </c>
      <c r="G4346" t="str">
        <f>IFERROR(__xludf.DUMMYFUNCTION("""COMPUTED_VALUE"""),"")</f>
        <v/>
      </c>
      <c r="H4346" s="2" t="str">
        <f>IFERROR(__xludf.DUMMYFUNCTION("""COMPUTED_VALUE"""),"")</f>
        <v/>
      </c>
      <c r="I4346" s="2" t="str">
        <f>IFERROR(__xludf.DUMMYFUNCTION("""COMPUTED_VALUE"""),"")</f>
        <v/>
      </c>
      <c r="J4346" s="2">
        <f>IFERROR(__xludf.DUMMYFUNCTION("""COMPUTED_VALUE"""),0.0)</f>
        <v>0</v>
      </c>
      <c r="K4346" s="5" t="str">
        <f>IFERROR(__xludf.DUMMYFUNCTION("""COMPUTED_VALUE"""),"")</f>
        <v/>
      </c>
      <c r="L4346" t="str">
        <f>IFERROR(__xludf.DUMMYFUNCTION("""COMPUTED_VALUE"""),"")</f>
        <v/>
      </c>
      <c r="M4346" t="str">
        <f>IFERROR(__xludf.DUMMYFUNCTION("""COMPUTED_VALUE"""),"")</f>
        <v/>
      </c>
      <c r="N4346" t="str">
        <f>IFERROR(__xludf.DUMMYFUNCTION("""COMPUTED_VALUE"""),"")</f>
        <v/>
      </c>
      <c r="O4346" t="str">
        <f>IFERROR(__xludf.DUMMYFUNCTION("""COMPUTED_VALUE"""),"")</f>
        <v/>
      </c>
      <c r="P4346" t="str">
        <f>IFERROR(__xludf.DUMMYFUNCTION("""COMPUTED_VALUE"""),"ID ")</f>
        <v>ID </v>
      </c>
    </row>
    <row r="4347">
      <c r="A4347" s="6" t="str">
        <f>IFERROR(__xludf.DUMMYFUNCTION("""COMPUTED_VALUE"""),"")</f>
        <v/>
      </c>
      <c r="C4347" t="str">
        <f>IFERROR(__xludf.DUMMYFUNCTION("""COMPUTED_VALUE"""),"")</f>
        <v/>
      </c>
      <c r="D4347" t="str">
        <f>IFERROR(__xludf.DUMMYFUNCTION("""COMPUTED_VALUE"""),"")</f>
        <v/>
      </c>
      <c r="E4347" t="str">
        <f>IFERROR(__xludf.DUMMYFUNCTION("""COMPUTED_VALUE"""),"")</f>
        <v/>
      </c>
      <c r="F4347" t="str">
        <f>IFERROR(__xludf.DUMMYFUNCTION("""COMPUTED_VALUE"""),"")</f>
        <v/>
      </c>
      <c r="G4347" t="str">
        <f>IFERROR(__xludf.DUMMYFUNCTION("""COMPUTED_VALUE"""),"")</f>
        <v/>
      </c>
      <c r="H4347" s="2" t="str">
        <f>IFERROR(__xludf.DUMMYFUNCTION("""COMPUTED_VALUE"""),"")</f>
        <v/>
      </c>
      <c r="I4347" s="2" t="str">
        <f>IFERROR(__xludf.DUMMYFUNCTION("""COMPUTED_VALUE"""),"")</f>
        <v/>
      </c>
      <c r="J4347" s="2">
        <f>IFERROR(__xludf.DUMMYFUNCTION("""COMPUTED_VALUE"""),0.0)</f>
        <v>0</v>
      </c>
      <c r="K4347" s="5" t="str">
        <f>IFERROR(__xludf.DUMMYFUNCTION("""COMPUTED_VALUE"""),"")</f>
        <v/>
      </c>
      <c r="L4347" t="str">
        <f>IFERROR(__xludf.DUMMYFUNCTION("""COMPUTED_VALUE"""),"")</f>
        <v/>
      </c>
      <c r="M4347" t="str">
        <f>IFERROR(__xludf.DUMMYFUNCTION("""COMPUTED_VALUE"""),"")</f>
        <v/>
      </c>
      <c r="N4347" t="str">
        <f>IFERROR(__xludf.DUMMYFUNCTION("""COMPUTED_VALUE"""),"")</f>
        <v/>
      </c>
      <c r="O4347" t="str">
        <f>IFERROR(__xludf.DUMMYFUNCTION("""COMPUTED_VALUE"""),"")</f>
        <v/>
      </c>
      <c r="P4347" t="str">
        <f>IFERROR(__xludf.DUMMYFUNCTION("""COMPUTED_VALUE"""),"ID ")</f>
        <v>ID </v>
      </c>
    </row>
    <row r="4348">
      <c r="A4348" s="6" t="str">
        <f>IFERROR(__xludf.DUMMYFUNCTION("""COMPUTED_VALUE"""),"")</f>
        <v/>
      </c>
      <c r="C4348" t="str">
        <f>IFERROR(__xludf.DUMMYFUNCTION("""COMPUTED_VALUE"""),"")</f>
        <v/>
      </c>
      <c r="D4348" t="str">
        <f>IFERROR(__xludf.DUMMYFUNCTION("""COMPUTED_VALUE"""),"")</f>
        <v/>
      </c>
      <c r="E4348" t="str">
        <f>IFERROR(__xludf.DUMMYFUNCTION("""COMPUTED_VALUE"""),"")</f>
        <v/>
      </c>
      <c r="F4348" t="str">
        <f>IFERROR(__xludf.DUMMYFUNCTION("""COMPUTED_VALUE"""),"")</f>
        <v/>
      </c>
      <c r="G4348" t="str">
        <f>IFERROR(__xludf.DUMMYFUNCTION("""COMPUTED_VALUE"""),"")</f>
        <v/>
      </c>
      <c r="H4348" s="2" t="str">
        <f>IFERROR(__xludf.DUMMYFUNCTION("""COMPUTED_VALUE"""),"")</f>
        <v/>
      </c>
      <c r="I4348" s="2" t="str">
        <f>IFERROR(__xludf.DUMMYFUNCTION("""COMPUTED_VALUE"""),"")</f>
        <v/>
      </c>
      <c r="J4348" s="2">
        <f>IFERROR(__xludf.DUMMYFUNCTION("""COMPUTED_VALUE"""),0.0)</f>
        <v>0</v>
      </c>
      <c r="K4348" s="5" t="str">
        <f>IFERROR(__xludf.DUMMYFUNCTION("""COMPUTED_VALUE"""),"")</f>
        <v/>
      </c>
      <c r="L4348" t="str">
        <f>IFERROR(__xludf.DUMMYFUNCTION("""COMPUTED_VALUE"""),"")</f>
        <v/>
      </c>
      <c r="M4348" t="str">
        <f>IFERROR(__xludf.DUMMYFUNCTION("""COMPUTED_VALUE"""),"")</f>
        <v/>
      </c>
      <c r="N4348" t="str">
        <f>IFERROR(__xludf.DUMMYFUNCTION("""COMPUTED_VALUE"""),"")</f>
        <v/>
      </c>
      <c r="O4348" t="str">
        <f>IFERROR(__xludf.DUMMYFUNCTION("""COMPUTED_VALUE"""),"")</f>
        <v/>
      </c>
      <c r="P4348" t="str">
        <f>IFERROR(__xludf.DUMMYFUNCTION("""COMPUTED_VALUE"""),"ID ")</f>
        <v>ID </v>
      </c>
    </row>
    <row r="4349">
      <c r="A4349" s="6" t="str">
        <f>IFERROR(__xludf.DUMMYFUNCTION("""COMPUTED_VALUE"""),"")</f>
        <v/>
      </c>
      <c r="C4349" t="str">
        <f>IFERROR(__xludf.DUMMYFUNCTION("""COMPUTED_VALUE"""),"")</f>
        <v/>
      </c>
      <c r="D4349" t="str">
        <f>IFERROR(__xludf.DUMMYFUNCTION("""COMPUTED_VALUE"""),"")</f>
        <v/>
      </c>
      <c r="E4349" t="str">
        <f>IFERROR(__xludf.DUMMYFUNCTION("""COMPUTED_VALUE"""),"")</f>
        <v/>
      </c>
      <c r="F4349" t="str">
        <f>IFERROR(__xludf.DUMMYFUNCTION("""COMPUTED_VALUE"""),"")</f>
        <v/>
      </c>
      <c r="G4349" t="str">
        <f>IFERROR(__xludf.DUMMYFUNCTION("""COMPUTED_VALUE"""),"")</f>
        <v/>
      </c>
      <c r="H4349" s="2" t="str">
        <f>IFERROR(__xludf.DUMMYFUNCTION("""COMPUTED_VALUE"""),"")</f>
        <v/>
      </c>
      <c r="I4349" s="2" t="str">
        <f>IFERROR(__xludf.DUMMYFUNCTION("""COMPUTED_VALUE"""),"")</f>
        <v/>
      </c>
      <c r="J4349" s="2">
        <f>IFERROR(__xludf.DUMMYFUNCTION("""COMPUTED_VALUE"""),0.0)</f>
        <v>0</v>
      </c>
      <c r="K4349" s="5" t="str">
        <f>IFERROR(__xludf.DUMMYFUNCTION("""COMPUTED_VALUE"""),"")</f>
        <v/>
      </c>
      <c r="L4349" t="str">
        <f>IFERROR(__xludf.DUMMYFUNCTION("""COMPUTED_VALUE"""),"")</f>
        <v/>
      </c>
      <c r="M4349" t="str">
        <f>IFERROR(__xludf.DUMMYFUNCTION("""COMPUTED_VALUE"""),"")</f>
        <v/>
      </c>
      <c r="N4349" t="str">
        <f>IFERROR(__xludf.DUMMYFUNCTION("""COMPUTED_VALUE"""),"")</f>
        <v/>
      </c>
      <c r="O4349" t="str">
        <f>IFERROR(__xludf.DUMMYFUNCTION("""COMPUTED_VALUE"""),"")</f>
        <v/>
      </c>
      <c r="P4349" t="str">
        <f>IFERROR(__xludf.DUMMYFUNCTION("""COMPUTED_VALUE"""),"ID ")</f>
        <v>ID </v>
      </c>
    </row>
    <row r="4350">
      <c r="A4350" s="6" t="str">
        <f>IFERROR(__xludf.DUMMYFUNCTION("""COMPUTED_VALUE"""),"")</f>
        <v/>
      </c>
      <c r="C4350" t="str">
        <f>IFERROR(__xludf.DUMMYFUNCTION("""COMPUTED_VALUE"""),"")</f>
        <v/>
      </c>
      <c r="D4350" t="str">
        <f>IFERROR(__xludf.DUMMYFUNCTION("""COMPUTED_VALUE"""),"")</f>
        <v/>
      </c>
      <c r="E4350" t="str">
        <f>IFERROR(__xludf.DUMMYFUNCTION("""COMPUTED_VALUE"""),"")</f>
        <v/>
      </c>
      <c r="F4350" t="str">
        <f>IFERROR(__xludf.DUMMYFUNCTION("""COMPUTED_VALUE"""),"")</f>
        <v/>
      </c>
      <c r="G4350" t="str">
        <f>IFERROR(__xludf.DUMMYFUNCTION("""COMPUTED_VALUE"""),"")</f>
        <v/>
      </c>
      <c r="H4350" s="2" t="str">
        <f>IFERROR(__xludf.DUMMYFUNCTION("""COMPUTED_VALUE"""),"")</f>
        <v/>
      </c>
      <c r="I4350" s="2" t="str">
        <f>IFERROR(__xludf.DUMMYFUNCTION("""COMPUTED_VALUE"""),"")</f>
        <v/>
      </c>
      <c r="J4350" s="2">
        <f>IFERROR(__xludf.DUMMYFUNCTION("""COMPUTED_VALUE"""),0.0)</f>
        <v>0</v>
      </c>
      <c r="K4350" s="5" t="str">
        <f>IFERROR(__xludf.DUMMYFUNCTION("""COMPUTED_VALUE"""),"")</f>
        <v/>
      </c>
      <c r="L4350" t="str">
        <f>IFERROR(__xludf.DUMMYFUNCTION("""COMPUTED_VALUE"""),"")</f>
        <v/>
      </c>
      <c r="M4350" t="str">
        <f>IFERROR(__xludf.DUMMYFUNCTION("""COMPUTED_VALUE"""),"")</f>
        <v/>
      </c>
      <c r="N4350" t="str">
        <f>IFERROR(__xludf.DUMMYFUNCTION("""COMPUTED_VALUE"""),"")</f>
        <v/>
      </c>
      <c r="O4350" t="str">
        <f>IFERROR(__xludf.DUMMYFUNCTION("""COMPUTED_VALUE"""),"")</f>
        <v/>
      </c>
      <c r="P4350" t="str">
        <f>IFERROR(__xludf.DUMMYFUNCTION("""COMPUTED_VALUE"""),"ID ")</f>
        <v>ID </v>
      </c>
    </row>
    <row r="4351">
      <c r="A4351" s="6" t="str">
        <f>IFERROR(__xludf.DUMMYFUNCTION("""COMPUTED_VALUE"""),"")</f>
        <v/>
      </c>
      <c r="C4351" t="str">
        <f>IFERROR(__xludf.DUMMYFUNCTION("""COMPUTED_VALUE"""),"")</f>
        <v/>
      </c>
      <c r="D4351" t="str">
        <f>IFERROR(__xludf.DUMMYFUNCTION("""COMPUTED_VALUE"""),"")</f>
        <v/>
      </c>
      <c r="E4351" t="str">
        <f>IFERROR(__xludf.DUMMYFUNCTION("""COMPUTED_VALUE"""),"")</f>
        <v/>
      </c>
      <c r="F4351" t="str">
        <f>IFERROR(__xludf.DUMMYFUNCTION("""COMPUTED_VALUE"""),"")</f>
        <v/>
      </c>
      <c r="G4351" t="str">
        <f>IFERROR(__xludf.DUMMYFUNCTION("""COMPUTED_VALUE"""),"")</f>
        <v/>
      </c>
      <c r="H4351" s="2" t="str">
        <f>IFERROR(__xludf.DUMMYFUNCTION("""COMPUTED_VALUE"""),"")</f>
        <v/>
      </c>
      <c r="I4351" s="2" t="str">
        <f>IFERROR(__xludf.DUMMYFUNCTION("""COMPUTED_VALUE"""),"")</f>
        <v/>
      </c>
      <c r="J4351" s="2">
        <f>IFERROR(__xludf.DUMMYFUNCTION("""COMPUTED_VALUE"""),0.0)</f>
        <v>0</v>
      </c>
      <c r="K4351" s="5" t="str">
        <f>IFERROR(__xludf.DUMMYFUNCTION("""COMPUTED_VALUE"""),"")</f>
        <v/>
      </c>
      <c r="L4351" t="str">
        <f>IFERROR(__xludf.DUMMYFUNCTION("""COMPUTED_VALUE"""),"")</f>
        <v/>
      </c>
      <c r="M4351" t="str">
        <f>IFERROR(__xludf.DUMMYFUNCTION("""COMPUTED_VALUE"""),"")</f>
        <v/>
      </c>
      <c r="N4351" t="str">
        <f>IFERROR(__xludf.DUMMYFUNCTION("""COMPUTED_VALUE"""),"")</f>
        <v/>
      </c>
      <c r="O4351" t="str">
        <f>IFERROR(__xludf.DUMMYFUNCTION("""COMPUTED_VALUE"""),"")</f>
        <v/>
      </c>
      <c r="P4351" t="str">
        <f>IFERROR(__xludf.DUMMYFUNCTION("""COMPUTED_VALUE"""),"ID ")</f>
        <v>ID </v>
      </c>
    </row>
    <row r="4352">
      <c r="A4352" s="6" t="str">
        <f>IFERROR(__xludf.DUMMYFUNCTION("""COMPUTED_VALUE"""),"")</f>
        <v/>
      </c>
      <c r="C4352" t="str">
        <f>IFERROR(__xludf.DUMMYFUNCTION("""COMPUTED_VALUE"""),"")</f>
        <v/>
      </c>
      <c r="D4352" t="str">
        <f>IFERROR(__xludf.DUMMYFUNCTION("""COMPUTED_VALUE"""),"")</f>
        <v/>
      </c>
      <c r="E4352" t="str">
        <f>IFERROR(__xludf.DUMMYFUNCTION("""COMPUTED_VALUE"""),"")</f>
        <v/>
      </c>
      <c r="F4352" t="str">
        <f>IFERROR(__xludf.DUMMYFUNCTION("""COMPUTED_VALUE"""),"")</f>
        <v/>
      </c>
      <c r="G4352" t="str">
        <f>IFERROR(__xludf.DUMMYFUNCTION("""COMPUTED_VALUE"""),"")</f>
        <v/>
      </c>
      <c r="H4352" s="2" t="str">
        <f>IFERROR(__xludf.DUMMYFUNCTION("""COMPUTED_VALUE"""),"")</f>
        <v/>
      </c>
      <c r="I4352" s="2" t="str">
        <f>IFERROR(__xludf.DUMMYFUNCTION("""COMPUTED_VALUE"""),"")</f>
        <v/>
      </c>
      <c r="J4352" s="2">
        <f>IFERROR(__xludf.DUMMYFUNCTION("""COMPUTED_VALUE"""),0.0)</f>
        <v>0</v>
      </c>
      <c r="K4352" s="5" t="str">
        <f>IFERROR(__xludf.DUMMYFUNCTION("""COMPUTED_VALUE"""),"")</f>
        <v/>
      </c>
      <c r="L4352" t="str">
        <f>IFERROR(__xludf.DUMMYFUNCTION("""COMPUTED_VALUE"""),"")</f>
        <v/>
      </c>
      <c r="M4352" t="str">
        <f>IFERROR(__xludf.DUMMYFUNCTION("""COMPUTED_VALUE"""),"")</f>
        <v/>
      </c>
      <c r="N4352" t="str">
        <f>IFERROR(__xludf.DUMMYFUNCTION("""COMPUTED_VALUE"""),"")</f>
        <v/>
      </c>
      <c r="O4352" t="str">
        <f>IFERROR(__xludf.DUMMYFUNCTION("""COMPUTED_VALUE"""),"")</f>
        <v/>
      </c>
      <c r="P4352" t="str">
        <f>IFERROR(__xludf.DUMMYFUNCTION("""COMPUTED_VALUE"""),"ID ")</f>
        <v>ID </v>
      </c>
    </row>
    <row r="4353">
      <c r="A4353" s="6" t="str">
        <f>IFERROR(__xludf.DUMMYFUNCTION("""COMPUTED_VALUE"""),"")</f>
        <v/>
      </c>
      <c r="C4353" t="str">
        <f>IFERROR(__xludf.DUMMYFUNCTION("""COMPUTED_VALUE"""),"")</f>
        <v/>
      </c>
      <c r="D4353" t="str">
        <f>IFERROR(__xludf.DUMMYFUNCTION("""COMPUTED_VALUE"""),"")</f>
        <v/>
      </c>
      <c r="E4353" t="str">
        <f>IFERROR(__xludf.DUMMYFUNCTION("""COMPUTED_VALUE"""),"")</f>
        <v/>
      </c>
      <c r="F4353" t="str">
        <f>IFERROR(__xludf.DUMMYFUNCTION("""COMPUTED_VALUE"""),"")</f>
        <v/>
      </c>
      <c r="G4353" t="str">
        <f>IFERROR(__xludf.DUMMYFUNCTION("""COMPUTED_VALUE"""),"")</f>
        <v/>
      </c>
      <c r="H4353" s="2" t="str">
        <f>IFERROR(__xludf.DUMMYFUNCTION("""COMPUTED_VALUE"""),"")</f>
        <v/>
      </c>
      <c r="I4353" s="2" t="str">
        <f>IFERROR(__xludf.DUMMYFUNCTION("""COMPUTED_VALUE"""),"")</f>
        <v/>
      </c>
      <c r="J4353" s="2">
        <f>IFERROR(__xludf.DUMMYFUNCTION("""COMPUTED_VALUE"""),0.0)</f>
        <v>0</v>
      </c>
      <c r="K4353" s="5" t="str">
        <f>IFERROR(__xludf.DUMMYFUNCTION("""COMPUTED_VALUE"""),"")</f>
        <v/>
      </c>
      <c r="L4353" t="str">
        <f>IFERROR(__xludf.DUMMYFUNCTION("""COMPUTED_VALUE"""),"")</f>
        <v/>
      </c>
      <c r="M4353" t="str">
        <f>IFERROR(__xludf.DUMMYFUNCTION("""COMPUTED_VALUE"""),"")</f>
        <v/>
      </c>
      <c r="N4353" t="str">
        <f>IFERROR(__xludf.DUMMYFUNCTION("""COMPUTED_VALUE"""),"")</f>
        <v/>
      </c>
      <c r="O4353" t="str">
        <f>IFERROR(__xludf.DUMMYFUNCTION("""COMPUTED_VALUE"""),"")</f>
        <v/>
      </c>
      <c r="P4353" t="str">
        <f>IFERROR(__xludf.DUMMYFUNCTION("""COMPUTED_VALUE"""),"ID ")</f>
        <v>ID </v>
      </c>
    </row>
    <row r="4354">
      <c r="A4354" s="6" t="str">
        <f>IFERROR(__xludf.DUMMYFUNCTION("""COMPUTED_VALUE"""),"")</f>
        <v/>
      </c>
      <c r="C4354" t="str">
        <f>IFERROR(__xludf.DUMMYFUNCTION("""COMPUTED_VALUE"""),"")</f>
        <v/>
      </c>
      <c r="D4354" t="str">
        <f>IFERROR(__xludf.DUMMYFUNCTION("""COMPUTED_VALUE"""),"")</f>
        <v/>
      </c>
      <c r="E4354" t="str">
        <f>IFERROR(__xludf.DUMMYFUNCTION("""COMPUTED_VALUE"""),"")</f>
        <v/>
      </c>
      <c r="F4354" t="str">
        <f>IFERROR(__xludf.DUMMYFUNCTION("""COMPUTED_VALUE"""),"")</f>
        <v/>
      </c>
      <c r="G4354" t="str">
        <f>IFERROR(__xludf.DUMMYFUNCTION("""COMPUTED_VALUE"""),"")</f>
        <v/>
      </c>
      <c r="H4354" s="2" t="str">
        <f>IFERROR(__xludf.DUMMYFUNCTION("""COMPUTED_VALUE"""),"")</f>
        <v/>
      </c>
      <c r="I4354" s="2" t="str">
        <f>IFERROR(__xludf.DUMMYFUNCTION("""COMPUTED_VALUE"""),"")</f>
        <v/>
      </c>
      <c r="J4354" s="2">
        <f>IFERROR(__xludf.DUMMYFUNCTION("""COMPUTED_VALUE"""),0.0)</f>
        <v>0</v>
      </c>
      <c r="K4354" s="5" t="str">
        <f>IFERROR(__xludf.DUMMYFUNCTION("""COMPUTED_VALUE"""),"")</f>
        <v/>
      </c>
      <c r="L4354" t="str">
        <f>IFERROR(__xludf.DUMMYFUNCTION("""COMPUTED_VALUE"""),"")</f>
        <v/>
      </c>
      <c r="M4354" t="str">
        <f>IFERROR(__xludf.DUMMYFUNCTION("""COMPUTED_VALUE"""),"")</f>
        <v/>
      </c>
      <c r="N4354" t="str">
        <f>IFERROR(__xludf.DUMMYFUNCTION("""COMPUTED_VALUE"""),"")</f>
        <v/>
      </c>
      <c r="O4354" t="str">
        <f>IFERROR(__xludf.DUMMYFUNCTION("""COMPUTED_VALUE"""),"")</f>
        <v/>
      </c>
      <c r="P4354" t="str">
        <f>IFERROR(__xludf.DUMMYFUNCTION("""COMPUTED_VALUE"""),"ID ")</f>
        <v>ID </v>
      </c>
    </row>
    <row r="4355">
      <c r="A4355" s="6" t="str">
        <f>IFERROR(__xludf.DUMMYFUNCTION("""COMPUTED_VALUE"""),"")</f>
        <v/>
      </c>
      <c r="C4355" t="str">
        <f>IFERROR(__xludf.DUMMYFUNCTION("""COMPUTED_VALUE"""),"")</f>
        <v/>
      </c>
      <c r="D4355" t="str">
        <f>IFERROR(__xludf.DUMMYFUNCTION("""COMPUTED_VALUE"""),"")</f>
        <v/>
      </c>
      <c r="E4355" t="str">
        <f>IFERROR(__xludf.DUMMYFUNCTION("""COMPUTED_VALUE"""),"")</f>
        <v/>
      </c>
      <c r="F4355" t="str">
        <f>IFERROR(__xludf.DUMMYFUNCTION("""COMPUTED_VALUE"""),"")</f>
        <v/>
      </c>
      <c r="G4355" t="str">
        <f>IFERROR(__xludf.DUMMYFUNCTION("""COMPUTED_VALUE"""),"")</f>
        <v/>
      </c>
      <c r="H4355" s="2" t="str">
        <f>IFERROR(__xludf.DUMMYFUNCTION("""COMPUTED_VALUE"""),"")</f>
        <v/>
      </c>
      <c r="I4355" s="2" t="str">
        <f>IFERROR(__xludf.DUMMYFUNCTION("""COMPUTED_VALUE"""),"")</f>
        <v/>
      </c>
      <c r="J4355" s="2">
        <f>IFERROR(__xludf.DUMMYFUNCTION("""COMPUTED_VALUE"""),0.0)</f>
        <v>0</v>
      </c>
      <c r="K4355" s="5" t="str">
        <f>IFERROR(__xludf.DUMMYFUNCTION("""COMPUTED_VALUE"""),"")</f>
        <v/>
      </c>
      <c r="L4355" t="str">
        <f>IFERROR(__xludf.DUMMYFUNCTION("""COMPUTED_VALUE"""),"")</f>
        <v/>
      </c>
      <c r="M4355" t="str">
        <f>IFERROR(__xludf.DUMMYFUNCTION("""COMPUTED_VALUE"""),"")</f>
        <v/>
      </c>
      <c r="N4355" t="str">
        <f>IFERROR(__xludf.DUMMYFUNCTION("""COMPUTED_VALUE"""),"")</f>
        <v/>
      </c>
      <c r="O4355" t="str">
        <f>IFERROR(__xludf.DUMMYFUNCTION("""COMPUTED_VALUE"""),"")</f>
        <v/>
      </c>
      <c r="P4355" t="str">
        <f>IFERROR(__xludf.DUMMYFUNCTION("""COMPUTED_VALUE"""),"ID ")</f>
        <v>ID </v>
      </c>
    </row>
    <row r="4356">
      <c r="A4356" s="6" t="str">
        <f>IFERROR(__xludf.DUMMYFUNCTION("""COMPUTED_VALUE"""),"")</f>
        <v/>
      </c>
      <c r="C4356" t="str">
        <f>IFERROR(__xludf.DUMMYFUNCTION("""COMPUTED_VALUE"""),"")</f>
        <v/>
      </c>
      <c r="D4356" t="str">
        <f>IFERROR(__xludf.DUMMYFUNCTION("""COMPUTED_VALUE"""),"")</f>
        <v/>
      </c>
      <c r="E4356" t="str">
        <f>IFERROR(__xludf.DUMMYFUNCTION("""COMPUTED_VALUE"""),"")</f>
        <v/>
      </c>
      <c r="F4356" t="str">
        <f>IFERROR(__xludf.DUMMYFUNCTION("""COMPUTED_VALUE"""),"")</f>
        <v/>
      </c>
      <c r="G4356" t="str">
        <f>IFERROR(__xludf.DUMMYFUNCTION("""COMPUTED_VALUE"""),"")</f>
        <v/>
      </c>
      <c r="H4356" s="2" t="str">
        <f>IFERROR(__xludf.DUMMYFUNCTION("""COMPUTED_VALUE"""),"")</f>
        <v/>
      </c>
      <c r="I4356" s="2" t="str">
        <f>IFERROR(__xludf.DUMMYFUNCTION("""COMPUTED_VALUE"""),"")</f>
        <v/>
      </c>
      <c r="J4356" s="2">
        <f>IFERROR(__xludf.DUMMYFUNCTION("""COMPUTED_VALUE"""),0.0)</f>
        <v>0</v>
      </c>
      <c r="K4356" s="5" t="str">
        <f>IFERROR(__xludf.DUMMYFUNCTION("""COMPUTED_VALUE"""),"")</f>
        <v/>
      </c>
      <c r="L4356" t="str">
        <f>IFERROR(__xludf.DUMMYFUNCTION("""COMPUTED_VALUE"""),"")</f>
        <v/>
      </c>
      <c r="M4356" t="str">
        <f>IFERROR(__xludf.DUMMYFUNCTION("""COMPUTED_VALUE"""),"")</f>
        <v/>
      </c>
      <c r="N4356" t="str">
        <f>IFERROR(__xludf.DUMMYFUNCTION("""COMPUTED_VALUE"""),"")</f>
        <v/>
      </c>
      <c r="O4356" t="str">
        <f>IFERROR(__xludf.DUMMYFUNCTION("""COMPUTED_VALUE"""),"")</f>
        <v/>
      </c>
      <c r="P4356" t="str">
        <f>IFERROR(__xludf.DUMMYFUNCTION("""COMPUTED_VALUE"""),"ID ")</f>
        <v>ID </v>
      </c>
    </row>
    <row r="4357">
      <c r="A4357" s="6" t="str">
        <f>IFERROR(__xludf.DUMMYFUNCTION("""COMPUTED_VALUE"""),"")</f>
        <v/>
      </c>
      <c r="C4357" t="str">
        <f>IFERROR(__xludf.DUMMYFUNCTION("""COMPUTED_VALUE"""),"")</f>
        <v/>
      </c>
      <c r="D4357" t="str">
        <f>IFERROR(__xludf.DUMMYFUNCTION("""COMPUTED_VALUE"""),"")</f>
        <v/>
      </c>
      <c r="E4357" t="str">
        <f>IFERROR(__xludf.DUMMYFUNCTION("""COMPUTED_VALUE"""),"")</f>
        <v/>
      </c>
      <c r="F4357" t="str">
        <f>IFERROR(__xludf.DUMMYFUNCTION("""COMPUTED_VALUE"""),"")</f>
        <v/>
      </c>
      <c r="G4357" t="str">
        <f>IFERROR(__xludf.DUMMYFUNCTION("""COMPUTED_VALUE"""),"")</f>
        <v/>
      </c>
      <c r="H4357" s="2" t="str">
        <f>IFERROR(__xludf.DUMMYFUNCTION("""COMPUTED_VALUE"""),"")</f>
        <v/>
      </c>
      <c r="I4357" s="2" t="str">
        <f>IFERROR(__xludf.DUMMYFUNCTION("""COMPUTED_VALUE"""),"")</f>
        <v/>
      </c>
      <c r="J4357" s="2">
        <f>IFERROR(__xludf.DUMMYFUNCTION("""COMPUTED_VALUE"""),0.0)</f>
        <v>0</v>
      </c>
      <c r="K4357" s="5" t="str">
        <f>IFERROR(__xludf.DUMMYFUNCTION("""COMPUTED_VALUE"""),"")</f>
        <v/>
      </c>
      <c r="L4357" t="str">
        <f>IFERROR(__xludf.DUMMYFUNCTION("""COMPUTED_VALUE"""),"")</f>
        <v/>
      </c>
      <c r="M4357" t="str">
        <f>IFERROR(__xludf.DUMMYFUNCTION("""COMPUTED_VALUE"""),"")</f>
        <v/>
      </c>
      <c r="N4357" t="str">
        <f>IFERROR(__xludf.DUMMYFUNCTION("""COMPUTED_VALUE"""),"")</f>
        <v/>
      </c>
      <c r="O4357" t="str">
        <f>IFERROR(__xludf.DUMMYFUNCTION("""COMPUTED_VALUE"""),"")</f>
        <v/>
      </c>
      <c r="P4357" t="str">
        <f>IFERROR(__xludf.DUMMYFUNCTION("""COMPUTED_VALUE"""),"ID ")</f>
        <v>ID </v>
      </c>
    </row>
    <row r="4358">
      <c r="A4358" s="6" t="str">
        <f>IFERROR(__xludf.DUMMYFUNCTION("""COMPUTED_VALUE"""),"")</f>
        <v/>
      </c>
      <c r="C4358" t="str">
        <f>IFERROR(__xludf.DUMMYFUNCTION("""COMPUTED_VALUE"""),"")</f>
        <v/>
      </c>
      <c r="D4358" t="str">
        <f>IFERROR(__xludf.DUMMYFUNCTION("""COMPUTED_VALUE"""),"")</f>
        <v/>
      </c>
      <c r="E4358" t="str">
        <f>IFERROR(__xludf.DUMMYFUNCTION("""COMPUTED_VALUE"""),"")</f>
        <v/>
      </c>
      <c r="F4358" t="str">
        <f>IFERROR(__xludf.DUMMYFUNCTION("""COMPUTED_VALUE"""),"")</f>
        <v/>
      </c>
      <c r="G4358" t="str">
        <f>IFERROR(__xludf.DUMMYFUNCTION("""COMPUTED_VALUE"""),"")</f>
        <v/>
      </c>
      <c r="H4358" s="2" t="str">
        <f>IFERROR(__xludf.DUMMYFUNCTION("""COMPUTED_VALUE"""),"")</f>
        <v/>
      </c>
      <c r="I4358" s="2" t="str">
        <f>IFERROR(__xludf.DUMMYFUNCTION("""COMPUTED_VALUE"""),"")</f>
        <v/>
      </c>
      <c r="J4358" s="2">
        <f>IFERROR(__xludf.DUMMYFUNCTION("""COMPUTED_VALUE"""),0.0)</f>
        <v>0</v>
      </c>
      <c r="K4358" s="5" t="str">
        <f>IFERROR(__xludf.DUMMYFUNCTION("""COMPUTED_VALUE"""),"")</f>
        <v/>
      </c>
      <c r="L4358" t="str">
        <f>IFERROR(__xludf.DUMMYFUNCTION("""COMPUTED_VALUE"""),"")</f>
        <v/>
      </c>
      <c r="M4358" t="str">
        <f>IFERROR(__xludf.DUMMYFUNCTION("""COMPUTED_VALUE"""),"")</f>
        <v/>
      </c>
      <c r="N4358" t="str">
        <f>IFERROR(__xludf.DUMMYFUNCTION("""COMPUTED_VALUE"""),"")</f>
        <v/>
      </c>
      <c r="O4358" t="str">
        <f>IFERROR(__xludf.DUMMYFUNCTION("""COMPUTED_VALUE"""),"")</f>
        <v/>
      </c>
      <c r="P4358" t="str">
        <f>IFERROR(__xludf.DUMMYFUNCTION("""COMPUTED_VALUE"""),"ID ")</f>
        <v>ID </v>
      </c>
    </row>
    <row r="4359">
      <c r="A4359" s="6" t="str">
        <f>IFERROR(__xludf.DUMMYFUNCTION("""COMPUTED_VALUE"""),"")</f>
        <v/>
      </c>
      <c r="C4359" t="str">
        <f>IFERROR(__xludf.DUMMYFUNCTION("""COMPUTED_VALUE"""),"")</f>
        <v/>
      </c>
      <c r="D4359" t="str">
        <f>IFERROR(__xludf.DUMMYFUNCTION("""COMPUTED_VALUE"""),"")</f>
        <v/>
      </c>
      <c r="E4359" t="str">
        <f>IFERROR(__xludf.DUMMYFUNCTION("""COMPUTED_VALUE"""),"")</f>
        <v/>
      </c>
      <c r="F4359" t="str">
        <f>IFERROR(__xludf.DUMMYFUNCTION("""COMPUTED_VALUE"""),"")</f>
        <v/>
      </c>
      <c r="G4359" t="str">
        <f>IFERROR(__xludf.DUMMYFUNCTION("""COMPUTED_VALUE"""),"")</f>
        <v/>
      </c>
      <c r="H4359" s="2" t="str">
        <f>IFERROR(__xludf.DUMMYFUNCTION("""COMPUTED_VALUE"""),"")</f>
        <v/>
      </c>
      <c r="I4359" s="2" t="str">
        <f>IFERROR(__xludf.DUMMYFUNCTION("""COMPUTED_VALUE"""),"")</f>
        <v/>
      </c>
      <c r="J4359" s="2">
        <f>IFERROR(__xludf.DUMMYFUNCTION("""COMPUTED_VALUE"""),0.0)</f>
        <v>0</v>
      </c>
      <c r="K4359" s="5" t="str">
        <f>IFERROR(__xludf.DUMMYFUNCTION("""COMPUTED_VALUE"""),"")</f>
        <v/>
      </c>
      <c r="L4359" t="str">
        <f>IFERROR(__xludf.DUMMYFUNCTION("""COMPUTED_VALUE"""),"")</f>
        <v/>
      </c>
      <c r="M4359" t="str">
        <f>IFERROR(__xludf.DUMMYFUNCTION("""COMPUTED_VALUE"""),"")</f>
        <v/>
      </c>
      <c r="N4359" t="str">
        <f>IFERROR(__xludf.DUMMYFUNCTION("""COMPUTED_VALUE"""),"")</f>
        <v/>
      </c>
      <c r="O4359" t="str">
        <f>IFERROR(__xludf.DUMMYFUNCTION("""COMPUTED_VALUE"""),"")</f>
        <v/>
      </c>
      <c r="P4359" t="str">
        <f>IFERROR(__xludf.DUMMYFUNCTION("""COMPUTED_VALUE"""),"ID ")</f>
        <v>ID </v>
      </c>
    </row>
    <row r="4360">
      <c r="A4360" s="6" t="str">
        <f>IFERROR(__xludf.DUMMYFUNCTION("""COMPUTED_VALUE"""),"")</f>
        <v/>
      </c>
      <c r="C4360" t="str">
        <f>IFERROR(__xludf.DUMMYFUNCTION("""COMPUTED_VALUE"""),"")</f>
        <v/>
      </c>
      <c r="D4360" t="str">
        <f>IFERROR(__xludf.DUMMYFUNCTION("""COMPUTED_VALUE"""),"")</f>
        <v/>
      </c>
      <c r="E4360" t="str">
        <f>IFERROR(__xludf.DUMMYFUNCTION("""COMPUTED_VALUE"""),"")</f>
        <v/>
      </c>
      <c r="F4360" t="str">
        <f>IFERROR(__xludf.DUMMYFUNCTION("""COMPUTED_VALUE"""),"")</f>
        <v/>
      </c>
      <c r="G4360" t="str">
        <f>IFERROR(__xludf.DUMMYFUNCTION("""COMPUTED_VALUE"""),"")</f>
        <v/>
      </c>
      <c r="H4360" s="2" t="str">
        <f>IFERROR(__xludf.DUMMYFUNCTION("""COMPUTED_VALUE"""),"")</f>
        <v/>
      </c>
      <c r="I4360" s="2" t="str">
        <f>IFERROR(__xludf.DUMMYFUNCTION("""COMPUTED_VALUE"""),"")</f>
        <v/>
      </c>
      <c r="J4360" s="2">
        <f>IFERROR(__xludf.DUMMYFUNCTION("""COMPUTED_VALUE"""),0.0)</f>
        <v>0</v>
      </c>
      <c r="K4360" s="5" t="str">
        <f>IFERROR(__xludf.DUMMYFUNCTION("""COMPUTED_VALUE"""),"")</f>
        <v/>
      </c>
      <c r="L4360" t="str">
        <f>IFERROR(__xludf.DUMMYFUNCTION("""COMPUTED_VALUE"""),"")</f>
        <v/>
      </c>
      <c r="M4360" t="str">
        <f>IFERROR(__xludf.DUMMYFUNCTION("""COMPUTED_VALUE"""),"")</f>
        <v/>
      </c>
      <c r="N4360" t="str">
        <f>IFERROR(__xludf.DUMMYFUNCTION("""COMPUTED_VALUE"""),"")</f>
        <v/>
      </c>
      <c r="O4360" t="str">
        <f>IFERROR(__xludf.DUMMYFUNCTION("""COMPUTED_VALUE"""),"")</f>
        <v/>
      </c>
      <c r="P4360" t="str">
        <f>IFERROR(__xludf.DUMMYFUNCTION("""COMPUTED_VALUE"""),"ID ")</f>
        <v>ID </v>
      </c>
    </row>
    <row r="4361">
      <c r="A4361" s="6" t="str">
        <f>IFERROR(__xludf.DUMMYFUNCTION("""COMPUTED_VALUE"""),"")</f>
        <v/>
      </c>
      <c r="C4361" t="str">
        <f>IFERROR(__xludf.DUMMYFUNCTION("""COMPUTED_VALUE"""),"")</f>
        <v/>
      </c>
      <c r="D4361" t="str">
        <f>IFERROR(__xludf.DUMMYFUNCTION("""COMPUTED_VALUE"""),"")</f>
        <v/>
      </c>
      <c r="E4361" t="str">
        <f>IFERROR(__xludf.DUMMYFUNCTION("""COMPUTED_VALUE"""),"")</f>
        <v/>
      </c>
      <c r="F4361" t="str">
        <f>IFERROR(__xludf.DUMMYFUNCTION("""COMPUTED_VALUE"""),"")</f>
        <v/>
      </c>
      <c r="G4361" t="str">
        <f>IFERROR(__xludf.DUMMYFUNCTION("""COMPUTED_VALUE"""),"")</f>
        <v/>
      </c>
      <c r="H4361" s="2" t="str">
        <f>IFERROR(__xludf.DUMMYFUNCTION("""COMPUTED_VALUE"""),"")</f>
        <v/>
      </c>
      <c r="I4361" s="2" t="str">
        <f>IFERROR(__xludf.DUMMYFUNCTION("""COMPUTED_VALUE"""),"")</f>
        <v/>
      </c>
      <c r="J4361" s="2">
        <f>IFERROR(__xludf.DUMMYFUNCTION("""COMPUTED_VALUE"""),0.0)</f>
        <v>0</v>
      </c>
      <c r="K4361" s="5" t="str">
        <f>IFERROR(__xludf.DUMMYFUNCTION("""COMPUTED_VALUE"""),"")</f>
        <v/>
      </c>
      <c r="L4361" t="str">
        <f>IFERROR(__xludf.DUMMYFUNCTION("""COMPUTED_VALUE"""),"")</f>
        <v/>
      </c>
      <c r="M4361" t="str">
        <f>IFERROR(__xludf.DUMMYFUNCTION("""COMPUTED_VALUE"""),"")</f>
        <v/>
      </c>
      <c r="N4361" t="str">
        <f>IFERROR(__xludf.DUMMYFUNCTION("""COMPUTED_VALUE"""),"")</f>
        <v/>
      </c>
      <c r="O4361" t="str">
        <f>IFERROR(__xludf.DUMMYFUNCTION("""COMPUTED_VALUE"""),"")</f>
        <v/>
      </c>
      <c r="P4361" t="str">
        <f>IFERROR(__xludf.DUMMYFUNCTION("""COMPUTED_VALUE"""),"ID ")</f>
        <v>ID </v>
      </c>
    </row>
    <row r="4362">
      <c r="A4362" s="6" t="str">
        <f>IFERROR(__xludf.DUMMYFUNCTION("""COMPUTED_VALUE"""),"")</f>
        <v/>
      </c>
      <c r="C4362" t="str">
        <f>IFERROR(__xludf.DUMMYFUNCTION("""COMPUTED_VALUE"""),"")</f>
        <v/>
      </c>
      <c r="D4362" t="str">
        <f>IFERROR(__xludf.DUMMYFUNCTION("""COMPUTED_VALUE"""),"")</f>
        <v/>
      </c>
      <c r="E4362" t="str">
        <f>IFERROR(__xludf.DUMMYFUNCTION("""COMPUTED_VALUE"""),"")</f>
        <v/>
      </c>
      <c r="F4362" t="str">
        <f>IFERROR(__xludf.DUMMYFUNCTION("""COMPUTED_VALUE"""),"")</f>
        <v/>
      </c>
      <c r="G4362" t="str">
        <f>IFERROR(__xludf.DUMMYFUNCTION("""COMPUTED_VALUE"""),"")</f>
        <v/>
      </c>
      <c r="H4362" s="2" t="str">
        <f>IFERROR(__xludf.DUMMYFUNCTION("""COMPUTED_VALUE"""),"")</f>
        <v/>
      </c>
      <c r="I4362" s="2" t="str">
        <f>IFERROR(__xludf.DUMMYFUNCTION("""COMPUTED_VALUE"""),"")</f>
        <v/>
      </c>
      <c r="J4362" s="2">
        <f>IFERROR(__xludf.DUMMYFUNCTION("""COMPUTED_VALUE"""),0.0)</f>
        <v>0</v>
      </c>
      <c r="K4362" s="5" t="str">
        <f>IFERROR(__xludf.DUMMYFUNCTION("""COMPUTED_VALUE"""),"")</f>
        <v/>
      </c>
      <c r="L4362" t="str">
        <f>IFERROR(__xludf.DUMMYFUNCTION("""COMPUTED_VALUE"""),"")</f>
        <v/>
      </c>
      <c r="M4362" t="str">
        <f>IFERROR(__xludf.DUMMYFUNCTION("""COMPUTED_VALUE"""),"")</f>
        <v/>
      </c>
      <c r="N4362" t="str">
        <f>IFERROR(__xludf.DUMMYFUNCTION("""COMPUTED_VALUE"""),"")</f>
        <v/>
      </c>
      <c r="O4362" t="str">
        <f>IFERROR(__xludf.DUMMYFUNCTION("""COMPUTED_VALUE"""),"")</f>
        <v/>
      </c>
      <c r="P4362" t="str">
        <f>IFERROR(__xludf.DUMMYFUNCTION("""COMPUTED_VALUE"""),"ID ")</f>
        <v>ID </v>
      </c>
    </row>
    <row r="4363">
      <c r="A4363" s="6" t="str">
        <f>IFERROR(__xludf.DUMMYFUNCTION("""COMPUTED_VALUE"""),"")</f>
        <v/>
      </c>
      <c r="C4363" t="str">
        <f>IFERROR(__xludf.DUMMYFUNCTION("""COMPUTED_VALUE"""),"")</f>
        <v/>
      </c>
      <c r="D4363" t="str">
        <f>IFERROR(__xludf.DUMMYFUNCTION("""COMPUTED_VALUE"""),"")</f>
        <v/>
      </c>
      <c r="E4363" t="str">
        <f>IFERROR(__xludf.DUMMYFUNCTION("""COMPUTED_VALUE"""),"")</f>
        <v/>
      </c>
      <c r="F4363" t="str">
        <f>IFERROR(__xludf.DUMMYFUNCTION("""COMPUTED_VALUE"""),"")</f>
        <v/>
      </c>
      <c r="G4363" t="str">
        <f>IFERROR(__xludf.DUMMYFUNCTION("""COMPUTED_VALUE"""),"")</f>
        <v/>
      </c>
      <c r="H4363" s="2" t="str">
        <f>IFERROR(__xludf.DUMMYFUNCTION("""COMPUTED_VALUE"""),"")</f>
        <v/>
      </c>
      <c r="I4363" s="2" t="str">
        <f>IFERROR(__xludf.DUMMYFUNCTION("""COMPUTED_VALUE"""),"")</f>
        <v/>
      </c>
      <c r="J4363" s="2">
        <f>IFERROR(__xludf.DUMMYFUNCTION("""COMPUTED_VALUE"""),0.0)</f>
        <v>0</v>
      </c>
      <c r="K4363" s="5" t="str">
        <f>IFERROR(__xludf.DUMMYFUNCTION("""COMPUTED_VALUE"""),"")</f>
        <v/>
      </c>
      <c r="L4363" t="str">
        <f>IFERROR(__xludf.DUMMYFUNCTION("""COMPUTED_VALUE"""),"")</f>
        <v/>
      </c>
      <c r="M4363" t="str">
        <f>IFERROR(__xludf.DUMMYFUNCTION("""COMPUTED_VALUE"""),"")</f>
        <v/>
      </c>
      <c r="N4363" t="str">
        <f>IFERROR(__xludf.DUMMYFUNCTION("""COMPUTED_VALUE"""),"")</f>
        <v/>
      </c>
      <c r="O4363" t="str">
        <f>IFERROR(__xludf.DUMMYFUNCTION("""COMPUTED_VALUE"""),"")</f>
        <v/>
      </c>
      <c r="P4363" t="str">
        <f>IFERROR(__xludf.DUMMYFUNCTION("""COMPUTED_VALUE"""),"ID ")</f>
        <v>ID </v>
      </c>
    </row>
    <row r="4364">
      <c r="A4364" s="6" t="str">
        <f>IFERROR(__xludf.DUMMYFUNCTION("""COMPUTED_VALUE"""),"")</f>
        <v/>
      </c>
      <c r="C4364" t="str">
        <f>IFERROR(__xludf.DUMMYFUNCTION("""COMPUTED_VALUE"""),"")</f>
        <v/>
      </c>
      <c r="D4364" t="str">
        <f>IFERROR(__xludf.DUMMYFUNCTION("""COMPUTED_VALUE"""),"")</f>
        <v/>
      </c>
      <c r="E4364" t="str">
        <f>IFERROR(__xludf.DUMMYFUNCTION("""COMPUTED_VALUE"""),"")</f>
        <v/>
      </c>
      <c r="F4364" t="str">
        <f>IFERROR(__xludf.DUMMYFUNCTION("""COMPUTED_VALUE"""),"")</f>
        <v/>
      </c>
      <c r="G4364" t="str">
        <f>IFERROR(__xludf.DUMMYFUNCTION("""COMPUTED_VALUE"""),"")</f>
        <v/>
      </c>
      <c r="H4364" s="2" t="str">
        <f>IFERROR(__xludf.DUMMYFUNCTION("""COMPUTED_VALUE"""),"")</f>
        <v/>
      </c>
      <c r="I4364" s="2" t="str">
        <f>IFERROR(__xludf.DUMMYFUNCTION("""COMPUTED_VALUE"""),"")</f>
        <v/>
      </c>
      <c r="J4364" s="2">
        <f>IFERROR(__xludf.DUMMYFUNCTION("""COMPUTED_VALUE"""),0.0)</f>
        <v>0</v>
      </c>
      <c r="K4364" s="5" t="str">
        <f>IFERROR(__xludf.DUMMYFUNCTION("""COMPUTED_VALUE"""),"")</f>
        <v/>
      </c>
      <c r="L4364" t="str">
        <f>IFERROR(__xludf.DUMMYFUNCTION("""COMPUTED_VALUE"""),"")</f>
        <v/>
      </c>
      <c r="M4364" t="str">
        <f>IFERROR(__xludf.DUMMYFUNCTION("""COMPUTED_VALUE"""),"")</f>
        <v/>
      </c>
      <c r="N4364" t="str">
        <f>IFERROR(__xludf.DUMMYFUNCTION("""COMPUTED_VALUE"""),"")</f>
        <v/>
      </c>
      <c r="O4364" t="str">
        <f>IFERROR(__xludf.DUMMYFUNCTION("""COMPUTED_VALUE"""),"")</f>
        <v/>
      </c>
      <c r="P4364" t="str">
        <f>IFERROR(__xludf.DUMMYFUNCTION("""COMPUTED_VALUE"""),"ID ")</f>
        <v>ID </v>
      </c>
    </row>
    <row r="4365">
      <c r="A4365" s="6" t="str">
        <f>IFERROR(__xludf.DUMMYFUNCTION("""COMPUTED_VALUE"""),"")</f>
        <v/>
      </c>
      <c r="C4365" t="str">
        <f>IFERROR(__xludf.DUMMYFUNCTION("""COMPUTED_VALUE"""),"")</f>
        <v/>
      </c>
      <c r="D4365" t="str">
        <f>IFERROR(__xludf.DUMMYFUNCTION("""COMPUTED_VALUE"""),"")</f>
        <v/>
      </c>
      <c r="E4365" t="str">
        <f>IFERROR(__xludf.DUMMYFUNCTION("""COMPUTED_VALUE"""),"")</f>
        <v/>
      </c>
      <c r="F4365" t="str">
        <f>IFERROR(__xludf.DUMMYFUNCTION("""COMPUTED_VALUE"""),"")</f>
        <v/>
      </c>
      <c r="G4365" t="str">
        <f>IFERROR(__xludf.DUMMYFUNCTION("""COMPUTED_VALUE"""),"")</f>
        <v/>
      </c>
      <c r="H4365" s="2" t="str">
        <f>IFERROR(__xludf.DUMMYFUNCTION("""COMPUTED_VALUE"""),"")</f>
        <v/>
      </c>
      <c r="I4365" s="2" t="str">
        <f>IFERROR(__xludf.DUMMYFUNCTION("""COMPUTED_VALUE"""),"")</f>
        <v/>
      </c>
      <c r="J4365" s="2">
        <f>IFERROR(__xludf.DUMMYFUNCTION("""COMPUTED_VALUE"""),0.0)</f>
        <v>0</v>
      </c>
      <c r="K4365" s="5" t="str">
        <f>IFERROR(__xludf.DUMMYFUNCTION("""COMPUTED_VALUE"""),"")</f>
        <v/>
      </c>
      <c r="L4365" t="str">
        <f>IFERROR(__xludf.DUMMYFUNCTION("""COMPUTED_VALUE"""),"")</f>
        <v/>
      </c>
      <c r="M4365" t="str">
        <f>IFERROR(__xludf.DUMMYFUNCTION("""COMPUTED_VALUE"""),"")</f>
        <v/>
      </c>
      <c r="N4365" t="str">
        <f>IFERROR(__xludf.DUMMYFUNCTION("""COMPUTED_VALUE"""),"")</f>
        <v/>
      </c>
      <c r="O4365" t="str">
        <f>IFERROR(__xludf.DUMMYFUNCTION("""COMPUTED_VALUE"""),"")</f>
        <v/>
      </c>
      <c r="P4365" t="str">
        <f>IFERROR(__xludf.DUMMYFUNCTION("""COMPUTED_VALUE"""),"ID ")</f>
        <v>ID </v>
      </c>
    </row>
    <row r="4366">
      <c r="A4366" s="6" t="str">
        <f>IFERROR(__xludf.DUMMYFUNCTION("""COMPUTED_VALUE"""),"")</f>
        <v/>
      </c>
      <c r="C4366" t="str">
        <f>IFERROR(__xludf.DUMMYFUNCTION("""COMPUTED_VALUE"""),"")</f>
        <v/>
      </c>
      <c r="D4366" t="str">
        <f>IFERROR(__xludf.DUMMYFUNCTION("""COMPUTED_VALUE"""),"")</f>
        <v/>
      </c>
      <c r="E4366" t="str">
        <f>IFERROR(__xludf.DUMMYFUNCTION("""COMPUTED_VALUE"""),"")</f>
        <v/>
      </c>
      <c r="F4366" t="str">
        <f>IFERROR(__xludf.DUMMYFUNCTION("""COMPUTED_VALUE"""),"")</f>
        <v/>
      </c>
      <c r="G4366" t="str">
        <f>IFERROR(__xludf.DUMMYFUNCTION("""COMPUTED_VALUE"""),"")</f>
        <v/>
      </c>
      <c r="H4366" s="2" t="str">
        <f>IFERROR(__xludf.DUMMYFUNCTION("""COMPUTED_VALUE"""),"")</f>
        <v/>
      </c>
      <c r="I4366" s="2" t="str">
        <f>IFERROR(__xludf.DUMMYFUNCTION("""COMPUTED_VALUE"""),"")</f>
        <v/>
      </c>
      <c r="J4366" s="2">
        <f>IFERROR(__xludf.DUMMYFUNCTION("""COMPUTED_VALUE"""),0.0)</f>
        <v>0</v>
      </c>
      <c r="K4366" s="5" t="str">
        <f>IFERROR(__xludf.DUMMYFUNCTION("""COMPUTED_VALUE"""),"")</f>
        <v/>
      </c>
      <c r="L4366" t="str">
        <f>IFERROR(__xludf.DUMMYFUNCTION("""COMPUTED_VALUE"""),"")</f>
        <v/>
      </c>
      <c r="M4366" t="str">
        <f>IFERROR(__xludf.DUMMYFUNCTION("""COMPUTED_VALUE"""),"")</f>
        <v/>
      </c>
      <c r="N4366" t="str">
        <f>IFERROR(__xludf.DUMMYFUNCTION("""COMPUTED_VALUE"""),"")</f>
        <v/>
      </c>
      <c r="O4366" t="str">
        <f>IFERROR(__xludf.DUMMYFUNCTION("""COMPUTED_VALUE"""),"")</f>
        <v/>
      </c>
      <c r="P4366" t="str">
        <f>IFERROR(__xludf.DUMMYFUNCTION("""COMPUTED_VALUE"""),"ID ")</f>
        <v>ID </v>
      </c>
    </row>
    <row r="4367">
      <c r="A4367" s="6" t="str">
        <f>IFERROR(__xludf.DUMMYFUNCTION("""COMPUTED_VALUE"""),"")</f>
        <v/>
      </c>
      <c r="C4367" t="str">
        <f>IFERROR(__xludf.DUMMYFUNCTION("""COMPUTED_VALUE"""),"")</f>
        <v/>
      </c>
      <c r="D4367" t="str">
        <f>IFERROR(__xludf.DUMMYFUNCTION("""COMPUTED_VALUE"""),"")</f>
        <v/>
      </c>
      <c r="E4367" t="str">
        <f>IFERROR(__xludf.DUMMYFUNCTION("""COMPUTED_VALUE"""),"")</f>
        <v/>
      </c>
      <c r="F4367" t="str">
        <f>IFERROR(__xludf.DUMMYFUNCTION("""COMPUTED_VALUE"""),"")</f>
        <v/>
      </c>
      <c r="G4367" t="str">
        <f>IFERROR(__xludf.DUMMYFUNCTION("""COMPUTED_VALUE"""),"")</f>
        <v/>
      </c>
      <c r="H4367" s="2" t="str">
        <f>IFERROR(__xludf.DUMMYFUNCTION("""COMPUTED_VALUE"""),"")</f>
        <v/>
      </c>
      <c r="I4367" s="2" t="str">
        <f>IFERROR(__xludf.DUMMYFUNCTION("""COMPUTED_VALUE"""),"")</f>
        <v/>
      </c>
      <c r="J4367" s="2">
        <f>IFERROR(__xludf.DUMMYFUNCTION("""COMPUTED_VALUE"""),0.0)</f>
        <v>0</v>
      </c>
      <c r="K4367" s="5" t="str">
        <f>IFERROR(__xludf.DUMMYFUNCTION("""COMPUTED_VALUE"""),"")</f>
        <v/>
      </c>
      <c r="L4367" t="str">
        <f>IFERROR(__xludf.DUMMYFUNCTION("""COMPUTED_VALUE"""),"")</f>
        <v/>
      </c>
      <c r="M4367" t="str">
        <f>IFERROR(__xludf.DUMMYFUNCTION("""COMPUTED_VALUE"""),"")</f>
        <v/>
      </c>
      <c r="N4367" t="str">
        <f>IFERROR(__xludf.DUMMYFUNCTION("""COMPUTED_VALUE"""),"")</f>
        <v/>
      </c>
      <c r="O4367" t="str">
        <f>IFERROR(__xludf.DUMMYFUNCTION("""COMPUTED_VALUE"""),"")</f>
        <v/>
      </c>
      <c r="P4367" t="str">
        <f>IFERROR(__xludf.DUMMYFUNCTION("""COMPUTED_VALUE"""),"ID ")</f>
        <v>ID </v>
      </c>
    </row>
    <row r="4368">
      <c r="A4368" s="6" t="str">
        <f>IFERROR(__xludf.DUMMYFUNCTION("""COMPUTED_VALUE"""),"")</f>
        <v/>
      </c>
      <c r="C4368" t="str">
        <f>IFERROR(__xludf.DUMMYFUNCTION("""COMPUTED_VALUE"""),"")</f>
        <v/>
      </c>
      <c r="D4368" t="str">
        <f>IFERROR(__xludf.DUMMYFUNCTION("""COMPUTED_VALUE"""),"")</f>
        <v/>
      </c>
      <c r="E4368" t="str">
        <f>IFERROR(__xludf.DUMMYFUNCTION("""COMPUTED_VALUE"""),"")</f>
        <v/>
      </c>
      <c r="F4368" t="str">
        <f>IFERROR(__xludf.DUMMYFUNCTION("""COMPUTED_VALUE"""),"")</f>
        <v/>
      </c>
      <c r="G4368" t="str">
        <f>IFERROR(__xludf.DUMMYFUNCTION("""COMPUTED_VALUE"""),"")</f>
        <v/>
      </c>
      <c r="H4368" s="2" t="str">
        <f>IFERROR(__xludf.DUMMYFUNCTION("""COMPUTED_VALUE"""),"")</f>
        <v/>
      </c>
      <c r="I4368" s="2" t="str">
        <f>IFERROR(__xludf.DUMMYFUNCTION("""COMPUTED_VALUE"""),"")</f>
        <v/>
      </c>
      <c r="J4368" s="2">
        <f>IFERROR(__xludf.DUMMYFUNCTION("""COMPUTED_VALUE"""),0.0)</f>
        <v>0</v>
      </c>
      <c r="K4368" s="5" t="str">
        <f>IFERROR(__xludf.DUMMYFUNCTION("""COMPUTED_VALUE"""),"")</f>
        <v/>
      </c>
      <c r="L4368" t="str">
        <f>IFERROR(__xludf.DUMMYFUNCTION("""COMPUTED_VALUE"""),"")</f>
        <v/>
      </c>
      <c r="M4368" t="str">
        <f>IFERROR(__xludf.DUMMYFUNCTION("""COMPUTED_VALUE"""),"")</f>
        <v/>
      </c>
      <c r="N4368" t="str">
        <f>IFERROR(__xludf.DUMMYFUNCTION("""COMPUTED_VALUE"""),"")</f>
        <v/>
      </c>
      <c r="O4368" t="str">
        <f>IFERROR(__xludf.DUMMYFUNCTION("""COMPUTED_VALUE"""),"")</f>
        <v/>
      </c>
      <c r="P4368" t="str">
        <f>IFERROR(__xludf.DUMMYFUNCTION("""COMPUTED_VALUE"""),"ID ")</f>
        <v>ID </v>
      </c>
    </row>
    <row r="4369">
      <c r="A4369" s="6" t="str">
        <f>IFERROR(__xludf.DUMMYFUNCTION("""COMPUTED_VALUE"""),"")</f>
        <v/>
      </c>
      <c r="C4369" t="str">
        <f>IFERROR(__xludf.DUMMYFUNCTION("""COMPUTED_VALUE"""),"")</f>
        <v/>
      </c>
      <c r="D4369" t="str">
        <f>IFERROR(__xludf.DUMMYFUNCTION("""COMPUTED_VALUE"""),"")</f>
        <v/>
      </c>
      <c r="E4369" t="str">
        <f>IFERROR(__xludf.DUMMYFUNCTION("""COMPUTED_VALUE"""),"")</f>
        <v/>
      </c>
      <c r="F4369" t="str">
        <f>IFERROR(__xludf.DUMMYFUNCTION("""COMPUTED_VALUE"""),"")</f>
        <v/>
      </c>
      <c r="G4369" t="str">
        <f>IFERROR(__xludf.DUMMYFUNCTION("""COMPUTED_VALUE"""),"")</f>
        <v/>
      </c>
      <c r="H4369" s="2" t="str">
        <f>IFERROR(__xludf.DUMMYFUNCTION("""COMPUTED_VALUE"""),"")</f>
        <v/>
      </c>
      <c r="I4369" s="2" t="str">
        <f>IFERROR(__xludf.DUMMYFUNCTION("""COMPUTED_VALUE"""),"")</f>
        <v/>
      </c>
      <c r="J4369" s="2">
        <f>IFERROR(__xludf.DUMMYFUNCTION("""COMPUTED_VALUE"""),0.0)</f>
        <v>0</v>
      </c>
      <c r="K4369" s="5" t="str">
        <f>IFERROR(__xludf.DUMMYFUNCTION("""COMPUTED_VALUE"""),"")</f>
        <v/>
      </c>
      <c r="L4369" t="str">
        <f>IFERROR(__xludf.DUMMYFUNCTION("""COMPUTED_VALUE"""),"")</f>
        <v/>
      </c>
      <c r="M4369" t="str">
        <f>IFERROR(__xludf.DUMMYFUNCTION("""COMPUTED_VALUE"""),"")</f>
        <v/>
      </c>
      <c r="N4369" t="str">
        <f>IFERROR(__xludf.DUMMYFUNCTION("""COMPUTED_VALUE"""),"")</f>
        <v/>
      </c>
      <c r="O4369" t="str">
        <f>IFERROR(__xludf.DUMMYFUNCTION("""COMPUTED_VALUE"""),"")</f>
        <v/>
      </c>
      <c r="P4369" t="str">
        <f>IFERROR(__xludf.DUMMYFUNCTION("""COMPUTED_VALUE"""),"ID ")</f>
        <v>ID </v>
      </c>
    </row>
    <row r="4370">
      <c r="A4370" s="6" t="str">
        <f>IFERROR(__xludf.DUMMYFUNCTION("""COMPUTED_VALUE"""),"")</f>
        <v/>
      </c>
      <c r="C4370" t="str">
        <f>IFERROR(__xludf.DUMMYFUNCTION("""COMPUTED_VALUE"""),"")</f>
        <v/>
      </c>
      <c r="D4370" t="str">
        <f>IFERROR(__xludf.DUMMYFUNCTION("""COMPUTED_VALUE"""),"")</f>
        <v/>
      </c>
      <c r="E4370" t="str">
        <f>IFERROR(__xludf.DUMMYFUNCTION("""COMPUTED_VALUE"""),"")</f>
        <v/>
      </c>
      <c r="F4370" t="str">
        <f>IFERROR(__xludf.DUMMYFUNCTION("""COMPUTED_VALUE"""),"")</f>
        <v/>
      </c>
      <c r="G4370" t="str">
        <f>IFERROR(__xludf.DUMMYFUNCTION("""COMPUTED_VALUE"""),"")</f>
        <v/>
      </c>
      <c r="H4370" s="2" t="str">
        <f>IFERROR(__xludf.DUMMYFUNCTION("""COMPUTED_VALUE"""),"")</f>
        <v/>
      </c>
      <c r="I4370" s="2" t="str">
        <f>IFERROR(__xludf.DUMMYFUNCTION("""COMPUTED_VALUE"""),"")</f>
        <v/>
      </c>
      <c r="J4370" s="2">
        <f>IFERROR(__xludf.DUMMYFUNCTION("""COMPUTED_VALUE"""),0.0)</f>
        <v>0</v>
      </c>
      <c r="K4370" s="5" t="str">
        <f>IFERROR(__xludf.DUMMYFUNCTION("""COMPUTED_VALUE"""),"")</f>
        <v/>
      </c>
      <c r="L4370" t="str">
        <f>IFERROR(__xludf.DUMMYFUNCTION("""COMPUTED_VALUE"""),"")</f>
        <v/>
      </c>
      <c r="M4370" t="str">
        <f>IFERROR(__xludf.DUMMYFUNCTION("""COMPUTED_VALUE"""),"")</f>
        <v/>
      </c>
      <c r="N4370" t="str">
        <f>IFERROR(__xludf.DUMMYFUNCTION("""COMPUTED_VALUE"""),"")</f>
        <v/>
      </c>
      <c r="O4370" t="str">
        <f>IFERROR(__xludf.DUMMYFUNCTION("""COMPUTED_VALUE"""),"")</f>
        <v/>
      </c>
      <c r="P4370" t="str">
        <f>IFERROR(__xludf.DUMMYFUNCTION("""COMPUTED_VALUE"""),"ID ")</f>
        <v>ID </v>
      </c>
    </row>
    <row r="4371">
      <c r="A4371" s="6" t="str">
        <f>IFERROR(__xludf.DUMMYFUNCTION("""COMPUTED_VALUE"""),"")</f>
        <v/>
      </c>
      <c r="C4371" t="str">
        <f>IFERROR(__xludf.DUMMYFUNCTION("""COMPUTED_VALUE"""),"")</f>
        <v/>
      </c>
      <c r="D4371" t="str">
        <f>IFERROR(__xludf.DUMMYFUNCTION("""COMPUTED_VALUE"""),"")</f>
        <v/>
      </c>
      <c r="E4371" t="str">
        <f>IFERROR(__xludf.DUMMYFUNCTION("""COMPUTED_VALUE"""),"")</f>
        <v/>
      </c>
      <c r="F4371" t="str">
        <f>IFERROR(__xludf.DUMMYFUNCTION("""COMPUTED_VALUE"""),"")</f>
        <v/>
      </c>
      <c r="G4371" t="str">
        <f>IFERROR(__xludf.DUMMYFUNCTION("""COMPUTED_VALUE"""),"")</f>
        <v/>
      </c>
      <c r="H4371" s="2" t="str">
        <f>IFERROR(__xludf.DUMMYFUNCTION("""COMPUTED_VALUE"""),"")</f>
        <v/>
      </c>
      <c r="I4371" s="2" t="str">
        <f>IFERROR(__xludf.DUMMYFUNCTION("""COMPUTED_VALUE"""),"")</f>
        <v/>
      </c>
      <c r="J4371" s="2">
        <f>IFERROR(__xludf.DUMMYFUNCTION("""COMPUTED_VALUE"""),0.0)</f>
        <v>0</v>
      </c>
      <c r="K4371" s="5" t="str">
        <f>IFERROR(__xludf.DUMMYFUNCTION("""COMPUTED_VALUE"""),"")</f>
        <v/>
      </c>
      <c r="L4371" t="str">
        <f>IFERROR(__xludf.DUMMYFUNCTION("""COMPUTED_VALUE"""),"")</f>
        <v/>
      </c>
      <c r="M4371" t="str">
        <f>IFERROR(__xludf.DUMMYFUNCTION("""COMPUTED_VALUE"""),"")</f>
        <v/>
      </c>
      <c r="N4371" t="str">
        <f>IFERROR(__xludf.DUMMYFUNCTION("""COMPUTED_VALUE"""),"")</f>
        <v/>
      </c>
      <c r="O4371" t="str">
        <f>IFERROR(__xludf.DUMMYFUNCTION("""COMPUTED_VALUE"""),"")</f>
        <v/>
      </c>
      <c r="P4371" t="str">
        <f>IFERROR(__xludf.DUMMYFUNCTION("""COMPUTED_VALUE"""),"ID ")</f>
        <v>ID </v>
      </c>
    </row>
    <row r="4372">
      <c r="A4372" s="6" t="str">
        <f>IFERROR(__xludf.DUMMYFUNCTION("""COMPUTED_VALUE"""),"")</f>
        <v/>
      </c>
      <c r="C4372" t="str">
        <f>IFERROR(__xludf.DUMMYFUNCTION("""COMPUTED_VALUE"""),"")</f>
        <v/>
      </c>
      <c r="D4372" t="str">
        <f>IFERROR(__xludf.DUMMYFUNCTION("""COMPUTED_VALUE"""),"")</f>
        <v/>
      </c>
      <c r="E4372" t="str">
        <f>IFERROR(__xludf.DUMMYFUNCTION("""COMPUTED_VALUE"""),"")</f>
        <v/>
      </c>
      <c r="F4372" t="str">
        <f>IFERROR(__xludf.DUMMYFUNCTION("""COMPUTED_VALUE"""),"")</f>
        <v/>
      </c>
      <c r="G4372" t="str">
        <f>IFERROR(__xludf.DUMMYFUNCTION("""COMPUTED_VALUE"""),"")</f>
        <v/>
      </c>
      <c r="H4372" s="2" t="str">
        <f>IFERROR(__xludf.DUMMYFUNCTION("""COMPUTED_VALUE"""),"")</f>
        <v/>
      </c>
      <c r="I4372" s="2" t="str">
        <f>IFERROR(__xludf.DUMMYFUNCTION("""COMPUTED_VALUE"""),"")</f>
        <v/>
      </c>
      <c r="J4372" s="2">
        <f>IFERROR(__xludf.DUMMYFUNCTION("""COMPUTED_VALUE"""),0.0)</f>
        <v>0</v>
      </c>
      <c r="K4372" s="5" t="str">
        <f>IFERROR(__xludf.DUMMYFUNCTION("""COMPUTED_VALUE"""),"")</f>
        <v/>
      </c>
      <c r="L4372" t="str">
        <f>IFERROR(__xludf.DUMMYFUNCTION("""COMPUTED_VALUE"""),"")</f>
        <v/>
      </c>
      <c r="M4372" t="str">
        <f>IFERROR(__xludf.DUMMYFUNCTION("""COMPUTED_VALUE"""),"")</f>
        <v/>
      </c>
      <c r="N4372" t="str">
        <f>IFERROR(__xludf.DUMMYFUNCTION("""COMPUTED_VALUE"""),"")</f>
        <v/>
      </c>
      <c r="O4372" t="str">
        <f>IFERROR(__xludf.DUMMYFUNCTION("""COMPUTED_VALUE"""),"")</f>
        <v/>
      </c>
      <c r="P4372" t="str">
        <f>IFERROR(__xludf.DUMMYFUNCTION("""COMPUTED_VALUE"""),"ID ")</f>
        <v>ID </v>
      </c>
    </row>
    <row r="4373">
      <c r="A4373" s="6" t="str">
        <f>IFERROR(__xludf.DUMMYFUNCTION("""COMPUTED_VALUE"""),"")</f>
        <v/>
      </c>
      <c r="C4373" t="str">
        <f>IFERROR(__xludf.DUMMYFUNCTION("""COMPUTED_VALUE"""),"")</f>
        <v/>
      </c>
      <c r="D4373" t="str">
        <f>IFERROR(__xludf.DUMMYFUNCTION("""COMPUTED_VALUE"""),"")</f>
        <v/>
      </c>
      <c r="E4373" t="str">
        <f>IFERROR(__xludf.DUMMYFUNCTION("""COMPUTED_VALUE"""),"")</f>
        <v/>
      </c>
      <c r="F4373" t="str">
        <f>IFERROR(__xludf.DUMMYFUNCTION("""COMPUTED_VALUE"""),"")</f>
        <v/>
      </c>
      <c r="G4373" t="str">
        <f>IFERROR(__xludf.DUMMYFUNCTION("""COMPUTED_VALUE"""),"")</f>
        <v/>
      </c>
      <c r="H4373" s="2" t="str">
        <f>IFERROR(__xludf.DUMMYFUNCTION("""COMPUTED_VALUE"""),"")</f>
        <v/>
      </c>
      <c r="I4373" s="2" t="str">
        <f>IFERROR(__xludf.DUMMYFUNCTION("""COMPUTED_VALUE"""),"")</f>
        <v/>
      </c>
      <c r="J4373" s="2">
        <f>IFERROR(__xludf.DUMMYFUNCTION("""COMPUTED_VALUE"""),0.0)</f>
        <v>0</v>
      </c>
      <c r="K4373" s="5" t="str">
        <f>IFERROR(__xludf.DUMMYFUNCTION("""COMPUTED_VALUE"""),"")</f>
        <v/>
      </c>
      <c r="L4373" t="str">
        <f>IFERROR(__xludf.DUMMYFUNCTION("""COMPUTED_VALUE"""),"")</f>
        <v/>
      </c>
      <c r="M4373" t="str">
        <f>IFERROR(__xludf.DUMMYFUNCTION("""COMPUTED_VALUE"""),"")</f>
        <v/>
      </c>
      <c r="N4373" t="str">
        <f>IFERROR(__xludf.DUMMYFUNCTION("""COMPUTED_VALUE"""),"")</f>
        <v/>
      </c>
      <c r="O4373" t="str">
        <f>IFERROR(__xludf.DUMMYFUNCTION("""COMPUTED_VALUE"""),"")</f>
        <v/>
      </c>
      <c r="P4373" t="str">
        <f>IFERROR(__xludf.DUMMYFUNCTION("""COMPUTED_VALUE"""),"ID ")</f>
        <v>ID </v>
      </c>
    </row>
    <row r="4374">
      <c r="A4374" s="6" t="str">
        <f>IFERROR(__xludf.DUMMYFUNCTION("""COMPUTED_VALUE"""),"")</f>
        <v/>
      </c>
      <c r="C4374" t="str">
        <f>IFERROR(__xludf.DUMMYFUNCTION("""COMPUTED_VALUE"""),"")</f>
        <v/>
      </c>
      <c r="D4374" t="str">
        <f>IFERROR(__xludf.DUMMYFUNCTION("""COMPUTED_VALUE"""),"")</f>
        <v/>
      </c>
      <c r="E4374" t="str">
        <f>IFERROR(__xludf.DUMMYFUNCTION("""COMPUTED_VALUE"""),"")</f>
        <v/>
      </c>
      <c r="F4374" t="str">
        <f>IFERROR(__xludf.DUMMYFUNCTION("""COMPUTED_VALUE"""),"")</f>
        <v/>
      </c>
      <c r="G4374" t="str">
        <f>IFERROR(__xludf.DUMMYFUNCTION("""COMPUTED_VALUE"""),"")</f>
        <v/>
      </c>
      <c r="H4374" s="2" t="str">
        <f>IFERROR(__xludf.DUMMYFUNCTION("""COMPUTED_VALUE"""),"")</f>
        <v/>
      </c>
      <c r="I4374" s="2" t="str">
        <f>IFERROR(__xludf.DUMMYFUNCTION("""COMPUTED_VALUE"""),"")</f>
        <v/>
      </c>
      <c r="J4374" s="2">
        <f>IFERROR(__xludf.DUMMYFUNCTION("""COMPUTED_VALUE"""),0.0)</f>
        <v>0</v>
      </c>
      <c r="K4374" s="5" t="str">
        <f>IFERROR(__xludf.DUMMYFUNCTION("""COMPUTED_VALUE"""),"")</f>
        <v/>
      </c>
      <c r="L4374" t="str">
        <f>IFERROR(__xludf.DUMMYFUNCTION("""COMPUTED_VALUE"""),"")</f>
        <v/>
      </c>
      <c r="M4374" t="str">
        <f>IFERROR(__xludf.DUMMYFUNCTION("""COMPUTED_VALUE"""),"")</f>
        <v/>
      </c>
      <c r="N4374" t="str">
        <f>IFERROR(__xludf.DUMMYFUNCTION("""COMPUTED_VALUE"""),"")</f>
        <v/>
      </c>
      <c r="O4374" t="str">
        <f>IFERROR(__xludf.DUMMYFUNCTION("""COMPUTED_VALUE"""),"")</f>
        <v/>
      </c>
      <c r="P4374" t="str">
        <f>IFERROR(__xludf.DUMMYFUNCTION("""COMPUTED_VALUE"""),"ID ")</f>
        <v>ID </v>
      </c>
    </row>
    <row r="4375">
      <c r="A4375" s="6" t="str">
        <f>IFERROR(__xludf.DUMMYFUNCTION("""COMPUTED_VALUE"""),"")</f>
        <v/>
      </c>
      <c r="C4375" t="str">
        <f>IFERROR(__xludf.DUMMYFUNCTION("""COMPUTED_VALUE"""),"")</f>
        <v/>
      </c>
      <c r="D4375" t="str">
        <f>IFERROR(__xludf.DUMMYFUNCTION("""COMPUTED_VALUE"""),"")</f>
        <v/>
      </c>
      <c r="E4375" t="str">
        <f>IFERROR(__xludf.DUMMYFUNCTION("""COMPUTED_VALUE"""),"")</f>
        <v/>
      </c>
      <c r="F4375" t="str">
        <f>IFERROR(__xludf.DUMMYFUNCTION("""COMPUTED_VALUE"""),"")</f>
        <v/>
      </c>
      <c r="G4375" t="str">
        <f>IFERROR(__xludf.DUMMYFUNCTION("""COMPUTED_VALUE"""),"")</f>
        <v/>
      </c>
      <c r="H4375" s="2" t="str">
        <f>IFERROR(__xludf.DUMMYFUNCTION("""COMPUTED_VALUE"""),"")</f>
        <v/>
      </c>
      <c r="I4375" s="2" t="str">
        <f>IFERROR(__xludf.DUMMYFUNCTION("""COMPUTED_VALUE"""),"")</f>
        <v/>
      </c>
      <c r="J4375" s="2">
        <f>IFERROR(__xludf.DUMMYFUNCTION("""COMPUTED_VALUE"""),0.0)</f>
        <v>0</v>
      </c>
      <c r="K4375" s="5" t="str">
        <f>IFERROR(__xludf.DUMMYFUNCTION("""COMPUTED_VALUE"""),"")</f>
        <v/>
      </c>
      <c r="L4375" t="str">
        <f>IFERROR(__xludf.DUMMYFUNCTION("""COMPUTED_VALUE"""),"")</f>
        <v/>
      </c>
      <c r="M4375" t="str">
        <f>IFERROR(__xludf.DUMMYFUNCTION("""COMPUTED_VALUE"""),"")</f>
        <v/>
      </c>
      <c r="N4375" t="str">
        <f>IFERROR(__xludf.DUMMYFUNCTION("""COMPUTED_VALUE"""),"")</f>
        <v/>
      </c>
      <c r="O4375" t="str">
        <f>IFERROR(__xludf.DUMMYFUNCTION("""COMPUTED_VALUE"""),"")</f>
        <v/>
      </c>
      <c r="P4375" t="str">
        <f>IFERROR(__xludf.DUMMYFUNCTION("""COMPUTED_VALUE"""),"ID ")</f>
        <v>ID </v>
      </c>
    </row>
    <row r="4376">
      <c r="A4376" s="6" t="str">
        <f>IFERROR(__xludf.DUMMYFUNCTION("""COMPUTED_VALUE"""),"")</f>
        <v/>
      </c>
      <c r="C4376" t="str">
        <f>IFERROR(__xludf.DUMMYFUNCTION("""COMPUTED_VALUE"""),"")</f>
        <v/>
      </c>
      <c r="D4376" t="str">
        <f>IFERROR(__xludf.DUMMYFUNCTION("""COMPUTED_VALUE"""),"")</f>
        <v/>
      </c>
      <c r="E4376" t="str">
        <f>IFERROR(__xludf.DUMMYFUNCTION("""COMPUTED_VALUE"""),"")</f>
        <v/>
      </c>
      <c r="F4376" t="str">
        <f>IFERROR(__xludf.DUMMYFUNCTION("""COMPUTED_VALUE"""),"")</f>
        <v/>
      </c>
      <c r="G4376" t="str">
        <f>IFERROR(__xludf.DUMMYFUNCTION("""COMPUTED_VALUE"""),"")</f>
        <v/>
      </c>
      <c r="H4376" s="2" t="str">
        <f>IFERROR(__xludf.DUMMYFUNCTION("""COMPUTED_VALUE"""),"")</f>
        <v/>
      </c>
      <c r="I4376" s="2" t="str">
        <f>IFERROR(__xludf.DUMMYFUNCTION("""COMPUTED_VALUE"""),"")</f>
        <v/>
      </c>
      <c r="J4376" s="2">
        <f>IFERROR(__xludf.DUMMYFUNCTION("""COMPUTED_VALUE"""),0.0)</f>
        <v>0</v>
      </c>
      <c r="K4376" s="5" t="str">
        <f>IFERROR(__xludf.DUMMYFUNCTION("""COMPUTED_VALUE"""),"")</f>
        <v/>
      </c>
      <c r="L4376" t="str">
        <f>IFERROR(__xludf.DUMMYFUNCTION("""COMPUTED_VALUE"""),"")</f>
        <v/>
      </c>
      <c r="M4376" t="str">
        <f>IFERROR(__xludf.DUMMYFUNCTION("""COMPUTED_VALUE"""),"")</f>
        <v/>
      </c>
      <c r="N4376" t="str">
        <f>IFERROR(__xludf.DUMMYFUNCTION("""COMPUTED_VALUE"""),"")</f>
        <v/>
      </c>
      <c r="O4376" t="str">
        <f>IFERROR(__xludf.DUMMYFUNCTION("""COMPUTED_VALUE"""),"")</f>
        <v/>
      </c>
      <c r="P4376" t="str">
        <f>IFERROR(__xludf.DUMMYFUNCTION("""COMPUTED_VALUE"""),"ID ")</f>
        <v>ID </v>
      </c>
    </row>
    <row r="4377">
      <c r="A4377" s="6" t="str">
        <f>IFERROR(__xludf.DUMMYFUNCTION("""COMPUTED_VALUE"""),"")</f>
        <v/>
      </c>
      <c r="C4377" t="str">
        <f>IFERROR(__xludf.DUMMYFUNCTION("""COMPUTED_VALUE"""),"")</f>
        <v/>
      </c>
      <c r="D4377" t="str">
        <f>IFERROR(__xludf.DUMMYFUNCTION("""COMPUTED_VALUE"""),"")</f>
        <v/>
      </c>
      <c r="E4377" t="str">
        <f>IFERROR(__xludf.DUMMYFUNCTION("""COMPUTED_VALUE"""),"")</f>
        <v/>
      </c>
      <c r="F4377" t="str">
        <f>IFERROR(__xludf.DUMMYFUNCTION("""COMPUTED_VALUE"""),"")</f>
        <v/>
      </c>
      <c r="G4377" t="str">
        <f>IFERROR(__xludf.DUMMYFUNCTION("""COMPUTED_VALUE"""),"")</f>
        <v/>
      </c>
      <c r="H4377" s="2" t="str">
        <f>IFERROR(__xludf.DUMMYFUNCTION("""COMPUTED_VALUE"""),"")</f>
        <v/>
      </c>
      <c r="I4377" s="2" t="str">
        <f>IFERROR(__xludf.DUMMYFUNCTION("""COMPUTED_VALUE"""),"")</f>
        <v/>
      </c>
      <c r="J4377" s="2">
        <f>IFERROR(__xludf.DUMMYFUNCTION("""COMPUTED_VALUE"""),0.0)</f>
        <v>0</v>
      </c>
      <c r="K4377" s="5" t="str">
        <f>IFERROR(__xludf.DUMMYFUNCTION("""COMPUTED_VALUE"""),"")</f>
        <v/>
      </c>
      <c r="L4377" t="str">
        <f>IFERROR(__xludf.DUMMYFUNCTION("""COMPUTED_VALUE"""),"")</f>
        <v/>
      </c>
      <c r="M4377" t="str">
        <f>IFERROR(__xludf.DUMMYFUNCTION("""COMPUTED_VALUE"""),"")</f>
        <v/>
      </c>
      <c r="N4377" t="str">
        <f>IFERROR(__xludf.DUMMYFUNCTION("""COMPUTED_VALUE"""),"")</f>
        <v/>
      </c>
      <c r="O4377" t="str">
        <f>IFERROR(__xludf.DUMMYFUNCTION("""COMPUTED_VALUE"""),"")</f>
        <v/>
      </c>
      <c r="P4377" t="str">
        <f>IFERROR(__xludf.DUMMYFUNCTION("""COMPUTED_VALUE"""),"ID ")</f>
        <v>ID </v>
      </c>
    </row>
    <row r="4378">
      <c r="A4378" s="6" t="str">
        <f>IFERROR(__xludf.DUMMYFUNCTION("""COMPUTED_VALUE"""),"")</f>
        <v/>
      </c>
      <c r="C4378" t="str">
        <f>IFERROR(__xludf.DUMMYFUNCTION("""COMPUTED_VALUE"""),"")</f>
        <v/>
      </c>
      <c r="D4378" t="str">
        <f>IFERROR(__xludf.DUMMYFUNCTION("""COMPUTED_VALUE"""),"")</f>
        <v/>
      </c>
      <c r="E4378" t="str">
        <f>IFERROR(__xludf.DUMMYFUNCTION("""COMPUTED_VALUE"""),"")</f>
        <v/>
      </c>
      <c r="F4378" t="str">
        <f>IFERROR(__xludf.DUMMYFUNCTION("""COMPUTED_VALUE"""),"")</f>
        <v/>
      </c>
      <c r="G4378" t="str">
        <f>IFERROR(__xludf.DUMMYFUNCTION("""COMPUTED_VALUE"""),"")</f>
        <v/>
      </c>
      <c r="H4378" s="2" t="str">
        <f>IFERROR(__xludf.DUMMYFUNCTION("""COMPUTED_VALUE"""),"")</f>
        <v/>
      </c>
      <c r="I4378" s="2" t="str">
        <f>IFERROR(__xludf.DUMMYFUNCTION("""COMPUTED_VALUE"""),"")</f>
        <v/>
      </c>
      <c r="J4378" s="2">
        <f>IFERROR(__xludf.DUMMYFUNCTION("""COMPUTED_VALUE"""),0.0)</f>
        <v>0</v>
      </c>
      <c r="K4378" s="5" t="str">
        <f>IFERROR(__xludf.DUMMYFUNCTION("""COMPUTED_VALUE"""),"")</f>
        <v/>
      </c>
      <c r="L4378" t="str">
        <f>IFERROR(__xludf.DUMMYFUNCTION("""COMPUTED_VALUE"""),"")</f>
        <v/>
      </c>
      <c r="M4378" t="str">
        <f>IFERROR(__xludf.DUMMYFUNCTION("""COMPUTED_VALUE"""),"")</f>
        <v/>
      </c>
      <c r="N4378" t="str">
        <f>IFERROR(__xludf.DUMMYFUNCTION("""COMPUTED_VALUE"""),"")</f>
        <v/>
      </c>
      <c r="O4378" t="str">
        <f>IFERROR(__xludf.DUMMYFUNCTION("""COMPUTED_VALUE"""),"")</f>
        <v/>
      </c>
      <c r="P4378" t="str">
        <f>IFERROR(__xludf.DUMMYFUNCTION("""COMPUTED_VALUE"""),"ID ")</f>
        <v>ID </v>
      </c>
    </row>
    <row r="4379">
      <c r="A4379" s="6" t="str">
        <f>IFERROR(__xludf.DUMMYFUNCTION("""COMPUTED_VALUE"""),"")</f>
        <v/>
      </c>
      <c r="C4379" t="str">
        <f>IFERROR(__xludf.DUMMYFUNCTION("""COMPUTED_VALUE"""),"")</f>
        <v/>
      </c>
      <c r="D4379" t="str">
        <f>IFERROR(__xludf.DUMMYFUNCTION("""COMPUTED_VALUE"""),"")</f>
        <v/>
      </c>
      <c r="E4379" t="str">
        <f>IFERROR(__xludf.DUMMYFUNCTION("""COMPUTED_VALUE"""),"")</f>
        <v/>
      </c>
      <c r="F4379" t="str">
        <f>IFERROR(__xludf.DUMMYFUNCTION("""COMPUTED_VALUE"""),"")</f>
        <v/>
      </c>
      <c r="G4379" t="str">
        <f>IFERROR(__xludf.DUMMYFUNCTION("""COMPUTED_VALUE"""),"")</f>
        <v/>
      </c>
      <c r="H4379" s="2" t="str">
        <f>IFERROR(__xludf.DUMMYFUNCTION("""COMPUTED_VALUE"""),"")</f>
        <v/>
      </c>
      <c r="I4379" s="2" t="str">
        <f>IFERROR(__xludf.DUMMYFUNCTION("""COMPUTED_VALUE"""),"")</f>
        <v/>
      </c>
      <c r="J4379" s="2">
        <f>IFERROR(__xludf.DUMMYFUNCTION("""COMPUTED_VALUE"""),0.0)</f>
        <v>0</v>
      </c>
      <c r="K4379" s="5" t="str">
        <f>IFERROR(__xludf.DUMMYFUNCTION("""COMPUTED_VALUE"""),"")</f>
        <v/>
      </c>
      <c r="L4379" t="str">
        <f>IFERROR(__xludf.DUMMYFUNCTION("""COMPUTED_VALUE"""),"")</f>
        <v/>
      </c>
      <c r="M4379" t="str">
        <f>IFERROR(__xludf.DUMMYFUNCTION("""COMPUTED_VALUE"""),"")</f>
        <v/>
      </c>
      <c r="N4379" t="str">
        <f>IFERROR(__xludf.DUMMYFUNCTION("""COMPUTED_VALUE"""),"")</f>
        <v/>
      </c>
      <c r="O4379" t="str">
        <f>IFERROR(__xludf.DUMMYFUNCTION("""COMPUTED_VALUE"""),"")</f>
        <v/>
      </c>
      <c r="P4379" t="str">
        <f>IFERROR(__xludf.DUMMYFUNCTION("""COMPUTED_VALUE"""),"ID ")</f>
        <v>ID </v>
      </c>
    </row>
    <row r="4380">
      <c r="A4380" s="6" t="str">
        <f>IFERROR(__xludf.DUMMYFUNCTION("""COMPUTED_VALUE"""),"")</f>
        <v/>
      </c>
      <c r="C4380" t="str">
        <f>IFERROR(__xludf.DUMMYFUNCTION("""COMPUTED_VALUE"""),"")</f>
        <v/>
      </c>
      <c r="D4380" t="str">
        <f>IFERROR(__xludf.DUMMYFUNCTION("""COMPUTED_VALUE"""),"")</f>
        <v/>
      </c>
      <c r="E4380" t="str">
        <f>IFERROR(__xludf.DUMMYFUNCTION("""COMPUTED_VALUE"""),"")</f>
        <v/>
      </c>
      <c r="F4380" t="str">
        <f>IFERROR(__xludf.DUMMYFUNCTION("""COMPUTED_VALUE"""),"")</f>
        <v/>
      </c>
      <c r="G4380" t="str">
        <f>IFERROR(__xludf.DUMMYFUNCTION("""COMPUTED_VALUE"""),"")</f>
        <v/>
      </c>
      <c r="H4380" s="2" t="str">
        <f>IFERROR(__xludf.DUMMYFUNCTION("""COMPUTED_VALUE"""),"")</f>
        <v/>
      </c>
      <c r="I4380" s="2" t="str">
        <f>IFERROR(__xludf.DUMMYFUNCTION("""COMPUTED_VALUE"""),"")</f>
        <v/>
      </c>
      <c r="J4380" s="2">
        <f>IFERROR(__xludf.DUMMYFUNCTION("""COMPUTED_VALUE"""),0.0)</f>
        <v>0</v>
      </c>
      <c r="K4380" s="5" t="str">
        <f>IFERROR(__xludf.DUMMYFUNCTION("""COMPUTED_VALUE"""),"")</f>
        <v/>
      </c>
      <c r="L4380" t="str">
        <f>IFERROR(__xludf.DUMMYFUNCTION("""COMPUTED_VALUE"""),"")</f>
        <v/>
      </c>
      <c r="M4380" t="str">
        <f>IFERROR(__xludf.DUMMYFUNCTION("""COMPUTED_VALUE"""),"")</f>
        <v/>
      </c>
      <c r="N4380" t="str">
        <f>IFERROR(__xludf.DUMMYFUNCTION("""COMPUTED_VALUE"""),"")</f>
        <v/>
      </c>
      <c r="O4380" t="str">
        <f>IFERROR(__xludf.DUMMYFUNCTION("""COMPUTED_VALUE"""),"")</f>
        <v/>
      </c>
      <c r="P4380" t="str">
        <f>IFERROR(__xludf.DUMMYFUNCTION("""COMPUTED_VALUE"""),"ID ")</f>
        <v>ID </v>
      </c>
    </row>
    <row r="4381">
      <c r="A4381" s="6" t="str">
        <f>IFERROR(__xludf.DUMMYFUNCTION("""COMPUTED_VALUE"""),"")</f>
        <v/>
      </c>
      <c r="C4381" t="str">
        <f>IFERROR(__xludf.DUMMYFUNCTION("""COMPUTED_VALUE"""),"")</f>
        <v/>
      </c>
      <c r="D4381" t="str">
        <f>IFERROR(__xludf.DUMMYFUNCTION("""COMPUTED_VALUE"""),"")</f>
        <v/>
      </c>
      <c r="E4381" t="str">
        <f>IFERROR(__xludf.DUMMYFUNCTION("""COMPUTED_VALUE"""),"")</f>
        <v/>
      </c>
      <c r="F4381" t="str">
        <f>IFERROR(__xludf.DUMMYFUNCTION("""COMPUTED_VALUE"""),"")</f>
        <v/>
      </c>
      <c r="G4381" t="str">
        <f>IFERROR(__xludf.DUMMYFUNCTION("""COMPUTED_VALUE"""),"")</f>
        <v/>
      </c>
      <c r="H4381" s="2" t="str">
        <f>IFERROR(__xludf.DUMMYFUNCTION("""COMPUTED_VALUE"""),"")</f>
        <v/>
      </c>
      <c r="I4381" s="2" t="str">
        <f>IFERROR(__xludf.DUMMYFUNCTION("""COMPUTED_VALUE"""),"")</f>
        <v/>
      </c>
      <c r="J4381" s="2">
        <f>IFERROR(__xludf.DUMMYFUNCTION("""COMPUTED_VALUE"""),0.0)</f>
        <v>0</v>
      </c>
      <c r="K4381" s="5" t="str">
        <f>IFERROR(__xludf.DUMMYFUNCTION("""COMPUTED_VALUE"""),"")</f>
        <v/>
      </c>
      <c r="L4381" t="str">
        <f>IFERROR(__xludf.DUMMYFUNCTION("""COMPUTED_VALUE"""),"")</f>
        <v/>
      </c>
      <c r="M4381" t="str">
        <f>IFERROR(__xludf.DUMMYFUNCTION("""COMPUTED_VALUE"""),"")</f>
        <v/>
      </c>
      <c r="N4381" t="str">
        <f>IFERROR(__xludf.DUMMYFUNCTION("""COMPUTED_VALUE"""),"")</f>
        <v/>
      </c>
      <c r="O4381" t="str">
        <f>IFERROR(__xludf.DUMMYFUNCTION("""COMPUTED_VALUE"""),"")</f>
        <v/>
      </c>
      <c r="P4381" t="str">
        <f>IFERROR(__xludf.DUMMYFUNCTION("""COMPUTED_VALUE"""),"ID ")</f>
        <v>ID </v>
      </c>
    </row>
    <row r="4382">
      <c r="A4382" s="6" t="str">
        <f>IFERROR(__xludf.DUMMYFUNCTION("""COMPUTED_VALUE"""),"")</f>
        <v/>
      </c>
      <c r="C4382" t="str">
        <f>IFERROR(__xludf.DUMMYFUNCTION("""COMPUTED_VALUE"""),"")</f>
        <v/>
      </c>
      <c r="D4382" t="str">
        <f>IFERROR(__xludf.DUMMYFUNCTION("""COMPUTED_VALUE"""),"")</f>
        <v/>
      </c>
      <c r="E4382" t="str">
        <f>IFERROR(__xludf.DUMMYFUNCTION("""COMPUTED_VALUE"""),"")</f>
        <v/>
      </c>
      <c r="F4382" t="str">
        <f>IFERROR(__xludf.DUMMYFUNCTION("""COMPUTED_VALUE"""),"")</f>
        <v/>
      </c>
      <c r="G4382" t="str">
        <f>IFERROR(__xludf.DUMMYFUNCTION("""COMPUTED_VALUE"""),"")</f>
        <v/>
      </c>
      <c r="H4382" s="2" t="str">
        <f>IFERROR(__xludf.DUMMYFUNCTION("""COMPUTED_VALUE"""),"")</f>
        <v/>
      </c>
      <c r="I4382" s="2" t="str">
        <f>IFERROR(__xludf.DUMMYFUNCTION("""COMPUTED_VALUE"""),"")</f>
        <v/>
      </c>
      <c r="J4382" s="2">
        <f>IFERROR(__xludf.DUMMYFUNCTION("""COMPUTED_VALUE"""),0.0)</f>
        <v>0</v>
      </c>
      <c r="K4382" s="5" t="str">
        <f>IFERROR(__xludf.DUMMYFUNCTION("""COMPUTED_VALUE"""),"")</f>
        <v/>
      </c>
      <c r="L4382" t="str">
        <f>IFERROR(__xludf.DUMMYFUNCTION("""COMPUTED_VALUE"""),"")</f>
        <v/>
      </c>
      <c r="M4382" t="str">
        <f>IFERROR(__xludf.DUMMYFUNCTION("""COMPUTED_VALUE"""),"")</f>
        <v/>
      </c>
      <c r="N4382" t="str">
        <f>IFERROR(__xludf.DUMMYFUNCTION("""COMPUTED_VALUE"""),"")</f>
        <v/>
      </c>
      <c r="O4382" t="str">
        <f>IFERROR(__xludf.DUMMYFUNCTION("""COMPUTED_VALUE"""),"")</f>
        <v/>
      </c>
      <c r="P4382" t="str">
        <f>IFERROR(__xludf.DUMMYFUNCTION("""COMPUTED_VALUE"""),"ID ")</f>
        <v>ID </v>
      </c>
    </row>
    <row r="4383">
      <c r="A4383" s="6" t="str">
        <f>IFERROR(__xludf.DUMMYFUNCTION("""COMPUTED_VALUE"""),"")</f>
        <v/>
      </c>
      <c r="C4383" t="str">
        <f>IFERROR(__xludf.DUMMYFUNCTION("""COMPUTED_VALUE"""),"")</f>
        <v/>
      </c>
      <c r="D4383" t="str">
        <f>IFERROR(__xludf.DUMMYFUNCTION("""COMPUTED_VALUE"""),"")</f>
        <v/>
      </c>
      <c r="E4383" t="str">
        <f>IFERROR(__xludf.DUMMYFUNCTION("""COMPUTED_VALUE"""),"")</f>
        <v/>
      </c>
      <c r="F4383" t="str">
        <f>IFERROR(__xludf.DUMMYFUNCTION("""COMPUTED_VALUE"""),"")</f>
        <v/>
      </c>
      <c r="G4383" t="str">
        <f>IFERROR(__xludf.DUMMYFUNCTION("""COMPUTED_VALUE"""),"")</f>
        <v/>
      </c>
      <c r="H4383" s="2" t="str">
        <f>IFERROR(__xludf.DUMMYFUNCTION("""COMPUTED_VALUE"""),"")</f>
        <v/>
      </c>
      <c r="I4383" s="2" t="str">
        <f>IFERROR(__xludf.DUMMYFUNCTION("""COMPUTED_VALUE"""),"")</f>
        <v/>
      </c>
      <c r="J4383" s="2">
        <f>IFERROR(__xludf.DUMMYFUNCTION("""COMPUTED_VALUE"""),0.0)</f>
        <v>0</v>
      </c>
      <c r="K4383" s="5" t="str">
        <f>IFERROR(__xludf.DUMMYFUNCTION("""COMPUTED_VALUE"""),"")</f>
        <v/>
      </c>
      <c r="L4383" t="str">
        <f>IFERROR(__xludf.DUMMYFUNCTION("""COMPUTED_VALUE"""),"")</f>
        <v/>
      </c>
      <c r="M4383" t="str">
        <f>IFERROR(__xludf.DUMMYFUNCTION("""COMPUTED_VALUE"""),"")</f>
        <v/>
      </c>
      <c r="N4383" t="str">
        <f>IFERROR(__xludf.DUMMYFUNCTION("""COMPUTED_VALUE"""),"")</f>
        <v/>
      </c>
      <c r="O4383" t="str">
        <f>IFERROR(__xludf.DUMMYFUNCTION("""COMPUTED_VALUE"""),"")</f>
        <v/>
      </c>
      <c r="P4383" t="str">
        <f>IFERROR(__xludf.DUMMYFUNCTION("""COMPUTED_VALUE"""),"ID ")</f>
        <v>ID </v>
      </c>
    </row>
    <row r="4384">
      <c r="A4384" s="6" t="str">
        <f>IFERROR(__xludf.DUMMYFUNCTION("""COMPUTED_VALUE"""),"")</f>
        <v/>
      </c>
      <c r="C4384" t="str">
        <f>IFERROR(__xludf.DUMMYFUNCTION("""COMPUTED_VALUE"""),"")</f>
        <v/>
      </c>
      <c r="D4384" t="str">
        <f>IFERROR(__xludf.DUMMYFUNCTION("""COMPUTED_VALUE"""),"")</f>
        <v/>
      </c>
      <c r="E4384" t="str">
        <f>IFERROR(__xludf.DUMMYFUNCTION("""COMPUTED_VALUE"""),"")</f>
        <v/>
      </c>
      <c r="F4384" t="str">
        <f>IFERROR(__xludf.DUMMYFUNCTION("""COMPUTED_VALUE"""),"")</f>
        <v/>
      </c>
      <c r="G4384" t="str">
        <f>IFERROR(__xludf.DUMMYFUNCTION("""COMPUTED_VALUE"""),"")</f>
        <v/>
      </c>
      <c r="H4384" s="2" t="str">
        <f>IFERROR(__xludf.DUMMYFUNCTION("""COMPUTED_VALUE"""),"")</f>
        <v/>
      </c>
      <c r="I4384" s="2" t="str">
        <f>IFERROR(__xludf.DUMMYFUNCTION("""COMPUTED_VALUE"""),"")</f>
        <v/>
      </c>
      <c r="J4384" s="2">
        <f>IFERROR(__xludf.DUMMYFUNCTION("""COMPUTED_VALUE"""),0.0)</f>
        <v>0</v>
      </c>
      <c r="K4384" s="5" t="str">
        <f>IFERROR(__xludf.DUMMYFUNCTION("""COMPUTED_VALUE"""),"")</f>
        <v/>
      </c>
      <c r="L4384" t="str">
        <f>IFERROR(__xludf.DUMMYFUNCTION("""COMPUTED_VALUE"""),"")</f>
        <v/>
      </c>
      <c r="M4384" t="str">
        <f>IFERROR(__xludf.DUMMYFUNCTION("""COMPUTED_VALUE"""),"")</f>
        <v/>
      </c>
      <c r="N4384" t="str">
        <f>IFERROR(__xludf.DUMMYFUNCTION("""COMPUTED_VALUE"""),"")</f>
        <v/>
      </c>
      <c r="O4384" t="str">
        <f>IFERROR(__xludf.DUMMYFUNCTION("""COMPUTED_VALUE"""),"")</f>
        <v/>
      </c>
      <c r="P4384" t="str">
        <f>IFERROR(__xludf.DUMMYFUNCTION("""COMPUTED_VALUE"""),"ID ")</f>
        <v>ID </v>
      </c>
    </row>
    <row r="4385">
      <c r="A4385" s="6" t="str">
        <f>IFERROR(__xludf.DUMMYFUNCTION("""COMPUTED_VALUE"""),"")</f>
        <v/>
      </c>
      <c r="C4385" t="str">
        <f>IFERROR(__xludf.DUMMYFUNCTION("""COMPUTED_VALUE"""),"")</f>
        <v/>
      </c>
      <c r="D4385" t="str">
        <f>IFERROR(__xludf.DUMMYFUNCTION("""COMPUTED_VALUE"""),"")</f>
        <v/>
      </c>
      <c r="E4385" t="str">
        <f>IFERROR(__xludf.DUMMYFUNCTION("""COMPUTED_VALUE"""),"")</f>
        <v/>
      </c>
      <c r="F4385" t="str">
        <f>IFERROR(__xludf.DUMMYFUNCTION("""COMPUTED_VALUE"""),"")</f>
        <v/>
      </c>
      <c r="G4385" t="str">
        <f>IFERROR(__xludf.DUMMYFUNCTION("""COMPUTED_VALUE"""),"")</f>
        <v/>
      </c>
      <c r="H4385" s="2" t="str">
        <f>IFERROR(__xludf.DUMMYFUNCTION("""COMPUTED_VALUE"""),"")</f>
        <v/>
      </c>
      <c r="I4385" s="2" t="str">
        <f>IFERROR(__xludf.DUMMYFUNCTION("""COMPUTED_VALUE"""),"")</f>
        <v/>
      </c>
      <c r="J4385" s="2">
        <f>IFERROR(__xludf.DUMMYFUNCTION("""COMPUTED_VALUE"""),0.0)</f>
        <v>0</v>
      </c>
      <c r="K4385" s="5" t="str">
        <f>IFERROR(__xludf.DUMMYFUNCTION("""COMPUTED_VALUE"""),"")</f>
        <v/>
      </c>
      <c r="L4385" t="str">
        <f>IFERROR(__xludf.DUMMYFUNCTION("""COMPUTED_VALUE"""),"")</f>
        <v/>
      </c>
      <c r="M4385" t="str">
        <f>IFERROR(__xludf.DUMMYFUNCTION("""COMPUTED_VALUE"""),"")</f>
        <v/>
      </c>
      <c r="N4385" t="str">
        <f>IFERROR(__xludf.DUMMYFUNCTION("""COMPUTED_VALUE"""),"")</f>
        <v/>
      </c>
      <c r="O4385" t="str">
        <f>IFERROR(__xludf.DUMMYFUNCTION("""COMPUTED_VALUE"""),"")</f>
        <v/>
      </c>
      <c r="P4385" t="str">
        <f>IFERROR(__xludf.DUMMYFUNCTION("""COMPUTED_VALUE"""),"ID ")</f>
        <v>ID </v>
      </c>
    </row>
    <row r="4386">
      <c r="A4386" s="6" t="str">
        <f>IFERROR(__xludf.DUMMYFUNCTION("""COMPUTED_VALUE"""),"")</f>
        <v/>
      </c>
      <c r="C4386" t="str">
        <f>IFERROR(__xludf.DUMMYFUNCTION("""COMPUTED_VALUE"""),"")</f>
        <v/>
      </c>
      <c r="D4386" t="str">
        <f>IFERROR(__xludf.DUMMYFUNCTION("""COMPUTED_VALUE"""),"")</f>
        <v/>
      </c>
      <c r="E4386" t="str">
        <f>IFERROR(__xludf.DUMMYFUNCTION("""COMPUTED_VALUE"""),"")</f>
        <v/>
      </c>
      <c r="F4386" t="str">
        <f>IFERROR(__xludf.DUMMYFUNCTION("""COMPUTED_VALUE"""),"")</f>
        <v/>
      </c>
      <c r="G4386" t="str">
        <f>IFERROR(__xludf.DUMMYFUNCTION("""COMPUTED_VALUE"""),"")</f>
        <v/>
      </c>
      <c r="H4386" s="2" t="str">
        <f>IFERROR(__xludf.DUMMYFUNCTION("""COMPUTED_VALUE"""),"")</f>
        <v/>
      </c>
      <c r="I4386" s="2" t="str">
        <f>IFERROR(__xludf.DUMMYFUNCTION("""COMPUTED_VALUE"""),"")</f>
        <v/>
      </c>
      <c r="J4386" s="2">
        <f>IFERROR(__xludf.DUMMYFUNCTION("""COMPUTED_VALUE"""),0.0)</f>
        <v>0</v>
      </c>
      <c r="K4386" s="5" t="str">
        <f>IFERROR(__xludf.DUMMYFUNCTION("""COMPUTED_VALUE"""),"")</f>
        <v/>
      </c>
      <c r="L4386" t="str">
        <f>IFERROR(__xludf.DUMMYFUNCTION("""COMPUTED_VALUE"""),"")</f>
        <v/>
      </c>
      <c r="M4386" t="str">
        <f>IFERROR(__xludf.DUMMYFUNCTION("""COMPUTED_VALUE"""),"")</f>
        <v/>
      </c>
      <c r="N4386" t="str">
        <f>IFERROR(__xludf.DUMMYFUNCTION("""COMPUTED_VALUE"""),"")</f>
        <v/>
      </c>
      <c r="O4386" t="str">
        <f>IFERROR(__xludf.DUMMYFUNCTION("""COMPUTED_VALUE"""),"")</f>
        <v/>
      </c>
      <c r="P4386" t="str">
        <f>IFERROR(__xludf.DUMMYFUNCTION("""COMPUTED_VALUE"""),"ID ")</f>
        <v>ID </v>
      </c>
    </row>
    <row r="4387">
      <c r="A4387" s="6" t="str">
        <f>IFERROR(__xludf.DUMMYFUNCTION("""COMPUTED_VALUE"""),"")</f>
        <v/>
      </c>
      <c r="C4387" t="str">
        <f>IFERROR(__xludf.DUMMYFUNCTION("""COMPUTED_VALUE"""),"")</f>
        <v/>
      </c>
      <c r="D4387" t="str">
        <f>IFERROR(__xludf.DUMMYFUNCTION("""COMPUTED_VALUE"""),"")</f>
        <v/>
      </c>
      <c r="E4387" t="str">
        <f>IFERROR(__xludf.DUMMYFUNCTION("""COMPUTED_VALUE"""),"")</f>
        <v/>
      </c>
      <c r="F4387" t="str">
        <f>IFERROR(__xludf.DUMMYFUNCTION("""COMPUTED_VALUE"""),"")</f>
        <v/>
      </c>
      <c r="G4387" t="str">
        <f>IFERROR(__xludf.DUMMYFUNCTION("""COMPUTED_VALUE"""),"")</f>
        <v/>
      </c>
      <c r="H4387" s="2" t="str">
        <f>IFERROR(__xludf.DUMMYFUNCTION("""COMPUTED_VALUE"""),"")</f>
        <v/>
      </c>
      <c r="I4387" s="2" t="str">
        <f>IFERROR(__xludf.DUMMYFUNCTION("""COMPUTED_VALUE"""),"")</f>
        <v/>
      </c>
      <c r="J4387" s="2">
        <f>IFERROR(__xludf.DUMMYFUNCTION("""COMPUTED_VALUE"""),0.0)</f>
        <v>0</v>
      </c>
      <c r="K4387" s="5" t="str">
        <f>IFERROR(__xludf.DUMMYFUNCTION("""COMPUTED_VALUE"""),"")</f>
        <v/>
      </c>
      <c r="L4387" t="str">
        <f>IFERROR(__xludf.DUMMYFUNCTION("""COMPUTED_VALUE"""),"")</f>
        <v/>
      </c>
      <c r="M4387" t="str">
        <f>IFERROR(__xludf.DUMMYFUNCTION("""COMPUTED_VALUE"""),"")</f>
        <v/>
      </c>
      <c r="N4387" t="str">
        <f>IFERROR(__xludf.DUMMYFUNCTION("""COMPUTED_VALUE"""),"")</f>
        <v/>
      </c>
      <c r="O4387" t="str">
        <f>IFERROR(__xludf.DUMMYFUNCTION("""COMPUTED_VALUE"""),"")</f>
        <v/>
      </c>
      <c r="P4387" t="str">
        <f>IFERROR(__xludf.DUMMYFUNCTION("""COMPUTED_VALUE"""),"ID ")</f>
        <v>ID </v>
      </c>
    </row>
    <row r="4388">
      <c r="A4388" s="6" t="str">
        <f>IFERROR(__xludf.DUMMYFUNCTION("""COMPUTED_VALUE"""),"")</f>
        <v/>
      </c>
      <c r="C4388" t="str">
        <f>IFERROR(__xludf.DUMMYFUNCTION("""COMPUTED_VALUE"""),"")</f>
        <v/>
      </c>
      <c r="D4388" t="str">
        <f>IFERROR(__xludf.DUMMYFUNCTION("""COMPUTED_VALUE"""),"")</f>
        <v/>
      </c>
      <c r="E4388" t="str">
        <f>IFERROR(__xludf.DUMMYFUNCTION("""COMPUTED_VALUE"""),"")</f>
        <v/>
      </c>
      <c r="F4388" t="str">
        <f>IFERROR(__xludf.DUMMYFUNCTION("""COMPUTED_VALUE"""),"")</f>
        <v/>
      </c>
      <c r="G4388" t="str">
        <f>IFERROR(__xludf.DUMMYFUNCTION("""COMPUTED_VALUE"""),"")</f>
        <v/>
      </c>
      <c r="H4388" s="2" t="str">
        <f>IFERROR(__xludf.DUMMYFUNCTION("""COMPUTED_VALUE"""),"")</f>
        <v/>
      </c>
      <c r="I4388" s="2" t="str">
        <f>IFERROR(__xludf.DUMMYFUNCTION("""COMPUTED_VALUE"""),"")</f>
        <v/>
      </c>
      <c r="J4388" s="2">
        <f>IFERROR(__xludf.DUMMYFUNCTION("""COMPUTED_VALUE"""),0.0)</f>
        <v>0</v>
      </c>
      <c r="K4388" s="5" t="str">
        <f>IFERROR(__xludf.DUMMYFUNCTION("""COMPUTED_VALUE"""),"")</f>
        <v/>
      </c>
      <c r="L4388" t="str">
        <f>IFERROR(__xludf.DUMMYFUNCTION("""COMPUTED_VALUE"""),"")</f>
        <v/>
      </c>
      <c r="M4388" t="str">
        <f>IFERROR(__xludf.DUMMYFUNCTION("""COMPUTED_VALUE"""),"")</f>
        <v/>
      </c>
      <c r="N4388" t="str">
        <f>IFERROR(__xludf.DUMMYFUNCTION("""COMPUTED_VALUE"""),"")</f>
        <v/>
      </c>
      <c r="O4388" t="str">
        <f>IFERROR(__xludf.DUMMYFUNCTION("""COMPUTED_VALUE"""),"")</f>
        <v/>
      </c>
      <c r="P4388" t="str">
        <f>IFERROR(__xludf.DUMMYFUNCTION("""COMPUTED_VALUE"""),"ID ")</f>
        <v>ID </v>
      </c>
    </row>
    <row r="4389">
      <c r="A4389" s="6" t="str">
        <f>IFERROR(__xludf.DUMMYFUNCTION("""COMPUTED_VALUE"""),"")</f>
        <v/>
      </c>
      <c r="C4389" t="str">
        <f>IFERROR(__xludf.DUMMYFUNCTION("""COMPUTED_VALUE"""),"")</f>
        <v/>
      </c>
      <c r="D4389" t="str">
        <f>IFERROR(__xludf.DUMMYFUNCTION("""COMPUTED_VALUE"""),"")</f>
        <v/>
      </c>
      <c r="E4389" t="str">
        <f>IFERROR(__xludf.DUMMYFUNCTION("""COMPUTED_VALUE"""),"")</f>
        <v/>
      </c>
      <c r="F4389" t="str">
        <f>IFERROR(__xludf.DUMMYFUNCTION("""COMPUTED_VALUE"""),"")</f>
        <v/>
      </c>
      <c r="G4389" t="str">
        <f>IFERROR(__xludf.DUMMYFUNCTION("""COMPUTED_VALUE"""),"")</f>
        <v/>
      </c>
      <c r="H4389" s="2" t="str">
        <f>IFERROR(__xludf.DUMMYFUNCTION("""COMPUTED_VALUE"""),"")</f>
        <v/>
      </c>
      <c r="I4389" s="2" t="str">
        <f>IFERROR(__xludf.DUMMYFUNCTION("""COMPUTED_VALUE"""),"")</f>
        <v/>
      </c>
      <c r="J4389" s="2">
        <f>IFERROR(__xludf.DUMMYFUNCTION("""COMPUTED_VALUE"""),0.0)</f>
        <v>0</v>
      </c>
      <c r="K4389" s="5" t="str">
        <f>IFERROR(__xludf.DUMMYFUNCTION("""COMPUTED_VALUE"""),"")</f>
        <v/>
      </c>
      <c r="L4389" t="str">
        <f>IFERROR(__xludf.DUMMYFUNCTION("""COMPUTED_VALUE"""),"")</f>
        <v/>
      </c>
      <c r="M4389" t="str">
        <f>IFERROR(__xludf.DUMMYFUNCTION("""COMPUTED_VALUE"""),"")</f>
        <v/>
      </c>
      <c r="N4389" t="str">
        <f>IFERROR(__xludf.DUMMYFUNCTION("""COMPUTED_VALUE"""),"")</f>
        <v/>
      </c>
      <c r="O4389" t="str">
        <f>IFERROR(__xludf.DUMMYFUNCTION("""COMPUTED_VALUE"""),"")</f>
        <v/>
      </c>
      <c r="P4389" t="str">
        <f>IFERROR(__xludf.DUMMYFUNCTION("""COMPUTED_VALUE"""),"ID ")</f>
        <v>ID </v>
      </c>
    </row>
    <row r="4390">
      <c r="A4390" s="6" t="str">
        <f>IFERROR(__xludf.DUMMYFUNCTION("""COMPUTED_VALUE"""),"")</f>
        <v/>
      </c>
      <c r="C4390" t="str">
        <f>IFERROR(__xludf.DUMMYFUNCTION("""COMPUTED_VALUE"""),"")</f>
        <v/>
      </c>
      <c r="D4390" t="str">
        <f>IFERROR(__xludf.DUMMYFUNCTION("""COMPUTED_VALUE"""),"")</f>
        <v/>
      </c>
      <c r="E4390" t="str">
        <f>IFERROR(__xludf.DUMMYFUNCTION("""COMPUTED_VALUE"""),"")</f>
        <v/>
      </c>
      <c r="F4390" t="str">
        <f>IFERROR(__xludf.DUMMYFUNCTION("""COMPUTED_VALUE"""),"")</f>
        <v/>
      </c>
      <c r="G4390" t="str">
        <f>IFERROR(__xludf.DUMMYFUNCTION("""COMPUTED_VALUE"""),"")</f>
        <v/>
      </c>
      <c r="H4390" s="2" t="str">
        <f>IFERROR(__xludf.DUMMYFUNCTION("""COMPUTED_VALUE"""),"")</f>
        <v/>
      </c>
      <c r="I4390" s="2" t="str">
        <f>IFERROR(__xludf.DUMMYFUNCTION("""COMPUTED_VALUE"""),"")</f>
        <v/>
      </c>
      <c r="J4390" s="2">
        <f>IFERROR(__xludf.DUMMYFUNCTION("""COMPUTED_VALUE"""),0.0)</f>
        <v>0</v>
      </c>
      <c r="K4390" s="5" t="str">
        <f>IFERROR(__xludf.DUMMYFUNCTION("""COMPUTED_VALUE"""),"")</f>
        <v/>
      </c>
      <c r="L4390" t="str">
        <f>IFERROR(__xludf.DUMMYFUNCTION("""COMPUTED_VALUE"""),"")</f>
        <v/>
      </c>
      <c r="M4390" t="str">
        <f>IFERROR(__xludf.DUMMYFUNCTION("""COMPUTED_VALUE"""),"")</f>
        <v/>
      </c>
      <c r="N4390" t="str">
        <f>IFERROR(__xludf.DUMMYFUNCTION("""COMPUTED_VALUE"""),"")</f>
        <v/>
      </c>
      <c r="O4390" t="str">
        <f>IFERROR(__xludf.DUMMYFUNCTION("""COMPUTED_VALUE"""),"")</f>
        <v/>
      </c>
      <c r="P4390" t="str">
        <f>IFERROR(__xludf.DUMMYFUNCTION("""COMPUTED_VALUE"""),"ID ")</f>
        <v>ID </v>
      </c>
    </row>
    <row r="4391">
      <c r="A4391" s="6" t="str">
        <f>IFERROR(__xludf.DUMMYFUNCTION("""COMPUTED_VALUE"""),"")</f>
        <v/>
      </c>
      <c r="C4391" t="str">
        <f>IFERROR(__xludf.DUMMYFUNCTION("""COMPUTED_VALUE"""),"")</f>
        <v/>
      </c>
      <c r="D4391" t="str">
        <f>IFERROR(__xludf.DUMMYFUNCTION("""COMPUTED_VALUE"""),"")</f>
        <v/>
      </c>
      <c r="E4391" t="str">
        <f>IFERROR(__xludf.DUMMYFUNCTION("""COMPUTED_VALUE"""),"")</f>
        <v/>
      </c>
      <c r="F4391" t="str">
        <f>IFERROR(__xludf.DUMMYFUNCTION("""COMPUTED_VALUE"""),"")</f>
        <v/>
      </c>
      <c r="G4391" t="str">
        <f>IFERROR(__xludf.DUMMYFUNCTION("""COMPUTED_VALUE"""),"")</f>
        <v/>
      </c>
      <c r="H4391" s="2" t="str">
        <f>IFERROR(__xludf.DUMMYFUNCTION("""COMPUTED_VALUE"""),"")</f>
        <v/>
      </c>
      <c r="I4391" s="2" t="str">
        <f>IFERROR(__xludf.DUMMYFUNCTION("""COMPUTED_VALUE"""),"")</f>
        <v/>
      </c>
      <c r="J4391" s="2">
        <f>IFERROR(__xludf.DUMMYFUNCTION("""COMPUTED_VALUE"""),0.0)</f>
        <v>0</v>
      </c>
      <c r="K4391" s="5" t="str">
        <f>IFERROR(__xludf.DUMMYFUNCTION("""COMPUTED_VALUE"""),"")</f>
        <v/>
      </c>
      <c r="L4391" t="str">
        <f>IFERROR(__xludf.DUMMYFUNCTION("""COMPUTED_VALUE"""),"")</f>
        <v/>
      </c>
      <c r="M4391" t="str">
        <f>IFERROR(__xludf.DUMMYFUNCTION("""COMPUTED_VALUE"""),"")</f>
        <v/>
      </c>
      <c r="N4391" t="str">
        <f>IFERROR(__xludf.DUMMYFUNCTION("""COMPUTED_VALUE"""),"")</f>
        <v/>
      </c>
      <c r="O4391" t="str">
        <f>IFERROR(__xludf.DUMMYFUNCTION("""COMPUTED_VALUE"""),"")</f>
        <v/>
      </c>
      <c r="P4391" t="str">
        <f>IFERROR(__xludf.DUMMYFUNCTION("""COMPUTED_VALUE"""),"ID ")</f>
        <v>ID </v>
      </c>
    </row>
    <row r="4392">
      <c r="A4392" s="6" t="str">
        <f>IFERROR(__xludf.DUMMYFUNCTION("""COMPUTED_VALUE"""),"")</f>
        <v/>
      </c>
      <c r="C4392" t="str">
        <f>IFERROR(__xludf.DUMMYFUNCTION("""COMPUTED_VALUE"""),"")</f>
        <v/>
      </c>
      <c r="D4392" t="str">
        <f>IFERROR(__xludf.DUMMYFUNCTION("""COMPUTED_VALUE"""),"")</f>
        <v/>
      </c>
      <c r="E4392" t="str">
        <f>IFERROR(__xludf.DUMMYFUNCTION("""COMPUTED_VALUE"""),"")</f>
        <v/>
      </c>
      <c r="F4392" t="str">
        <f>IFERROR(__xludf.DUMMYFUNCTION("""COMPUTED_VALUE"""),"")</f>
        <v/>
      </c>
      <c r="G4392" t="str">
        <f>IFERROR(__xludf.DUMMYFUNCTION("""COMPUTED_VALUE"""),"")</f>
        <v/>
      </c>
      <c r="H4392" s="2" t="str">
        <f>IFERROR(__xludf.DUMMYFUNCTION("""COMPUTED_VALUE"""),"")</f>
        <v/>
      </c>
      <c r="I4392" s="2" t="str">
        <f>IFERROR(__xludf.DUMMYFUNCTION("""COMPUTED_VALUE"""),"")</f>
        <v/>
      </c>
      <c r="J4392" s="2">
        <f>IFERROR(__xludf.DUMMYFUNCTION("""COMPUTED_VALUE"""),0.0)</f>
        <v>0</v>
      </c>
      <c r="K4392" s="5" t="str">
        <f>IFERROR(__xludf.DUMMYFUNCTION("""COMPUTED_VALUE"""),"")</f>
        <v/>
      </c>
      <c r="L4392" t="str">
        <f>IFERROR(__xludf.DUMMYFUNCTION("""COMPUTED_VALUE"""),"")</f>
        <v/>
      </c>
      <c r="M4392" t="str">
        <f>IFERROR(__xludf.DUMMYFUNCTION("""COMPUTED_VALUE"""),"")</f>
        <v/>
      </c>
      <c r="N4392" t="str">
        <f>IFERROR(__xludf.DUMMYFUNCTION("""COMPUTED_VALUE"""),"")</f>
        <v/>
      </c>
      <c r="O4392" t="str">
        <f>IFERROR(__xludf.DUMMYFUNCTION("""COMPUTED_VALUE"""),"")</f>
        <v/>
      </c>
      <c r="P4392" t="str">
        <f>IFERROR(__xludf.DUMMYFUNCTION("""COMPUTED_VALUE"""),"ID ")</f>
        <v>ID </v>
      </c>
    </row>
    <row r="4393">
      <c r="A4393" s="6" t="str">
        <f>IFERROR(__xludf.DUMMYFUNCTION("""COMPUTED_VALUE"""),"")</f>
        <v/>
      </c>
      <c r="C4393" t="str">
        <f>IFERROR(__xludf.DUMMYFUNCTION("""COMPUTED_VALUE"""),"")</f>
        <v/>
      </c>
      <c r="D4393" t="str">
        <f>IFERROR(__xludf.DUMMYFUNCTION("""COMPUTED_VALUE"""),"")</f>
        <v/>
      </c>
      <c r="E4393" t="str">
        <f>IFERROR(__xludf.DUMMYFUNCTION("""COMPUTED_VALUE"""),"")</f>
        <v/>
      </c>
      <c r="F4393" t="str">
        <f>IFERROR(__xludf.DUMMYFUNCTION("""COMPUTED_VALUE"""),"")</f>
        <v/>
      </c>
      <c r="G4393" t="str">
        <f>IFERROR(__xludf.DUMMYFUNCTION("""COMPUTED_VALUE"""),"")</f>
        <v/>
      </c>
      <c r="H4393" s="2" t="str">
        <f>IFERROR(__xludf.DUMMYFUNCTION("""COMPUTED_VALUE"""),"")</f>
        <v/>
      </c>
      <c r="I4393" s="2" t="str">
        <f>IFERROR(__xludf.DUMMYFUNCTION("""COMPUTED_VALUE"""),"")</f>
        <v/>
      </c>
      <c r="J4393" s="2">
        <f>IFERROR(__xludf.DUMMYFUNCTION("""COMPUTED_VALUE"""),0.0)</f>
        <v>0</v>
      </c>
      <c r="K4393" s="5" t="str">
        <f>IFERROR(__xludf.DUMMYFUNCTION("""COMPUTED_VALUE"""),"")</f>
        <v/>
      </c>
      <c r="L4393" t="str">
        <f>IFERROR(__xludf.DUMMYFUNCTION("""COMPUTED_VALUE"""),"")</f>
        <v/>
      </c>
      <c r="M4393" t="str">
        <f>IFERROR(__xludf.DUMMYFUNCTION("""COMPUTED_VALUE"""),"")</f>
        <v/>
      </c>
      <c r="N4393" t="str">
        <f>IFERROR(__xludf.DUMMYFUNCTION("""COMPUTED_VALUE"""),"")</f>
        <v/>
      </c>
      <c r="O4393" t="str">
        <f>IFERROR(__xludf.DUMMYFUNCTION("""COMPUTED_VALUE"""),"")</f>
        <v/>
      </c>
      <c r="P4393" t="str">
        <f>IFERROR(__xludf.DUMMYFUNCTION("""COMPUTED_VALUE"""),"ID ")</f>
        <v>ID </v>
      </c>
    </row>
    <row r="4394">
      <c r="A4394" s="6" t="str">
        <f>IFERROR(__xludf.DUMMYFUNCTION("""COMPUTED_VALUE"""),"")</f>
        <v/>
      </c>
      <c r="C4394" t="str">
        <f>IFERROR(__xludf.DUMMYFUNCTION("""COMPUTED_VALUE"""),"")</f>
        <v/>
      </c>
      <c r="D4394" t="str">
        <f>IFERROR(__xludf.DUMMYFUNCTION("""COMPUTED_VALUE"""),"")</f>
        <v/>
      </c>
      <c r="E4394" t="str">
        <f>IFERROR(__xludf.DUMMYFUNCTION("""COMPUTED_VALUE"""),"")</f>
        <v/>
      </c>
      <c r="F4394" t="str">
        <f>IFERROR(__xludf.DUMMYFUNCTION("""COMPUTED_VALUE"""),"")</f>
        <v/>
      </c>
      <c r="G4394" t="str">
        <f>IFERROR(__xludf.DUMMYFUNCTION("""COMPUTED_VALUE"""),"")</f>
        <v/>
      </c>
      <c r="H4394" s="2" t="str">
        <f>IFERROR(__xludf.DUMMYFUNCTION("""COMPUTED_VALUE"""),"")</f>
        <v/>
      </c>
      <c r="I4394" s="2" t="str">
        <f>IFERROR(__xludf.DUMMYFUNCTION("""COMPUTED_VALUE"""),"")</f>
        <v/>
      </c>
      <c r="J4394" s="2">
        <f>IFERROR(__xludf.DUMMYFUNCTION("""COMPUTED_VALUE"""),0.0)</f>
        <v>0</v>
      </c>
      <c r="K4394" s="5" t="str">
        <f>IFERROR(__xludf.DUMMYFUNCTION("""COMPUTED_VALUE"""),"")</f>
        <v/>
      </c>
      <c r="L4394" t="str">
        <f>IFERROR(__xludf.DUMMYFUNCTION("""COMPUTED_VALUE"""),"")</f>
        <v/>
      </c>
      <c r="M4394" t="str">
        <f>IFERROR(__xludf.DUMMYFUNCTION("""COMPUTED_VALUE"""),"")</f>
        <v/>
      </c>
      <c r="N4394" t="str">
        <f>IFERROR(__xludf.DUMMYFUNCTION("""COMPUTED_VALUE"""),"")</f>
        <v/>
      </c>
      <c r="O4394" t="str">
        <f>IFERROR(__xludf.DUMMYFUNCTION("""COMPUTED_VALUE"""),"")</f>
        <v/>
      </c>
      <c r="P4394" t="str">
        <f>IFERROR(__xludf.DUMMYFUNCTION("""COMPUTED_VALUE"""),"ID ")</f>
        <v>ID </v>
      </c>
    </row>
    <row r="4395">
      <c r="A4395" s="6" t="str">
        <f>IFERROR(__xludf.DUMMYFUNCTION("""COMPUTED_VALUE"""),"")</f>
        <v/>
      </c>
      <c r="C4395" t="str">
        <f>IFERROR(__xludf.DUMMYFUNCTION("""COMPUTED_VALUE"""),"")</f>
        <v/>
      </c>
      <c r="D4395" t="str">
        <f>IFERROR(__xludf.DUMMYFUNCTION("""COMPUTED_VALUE"""),"")</f>
        <v/>
      </c>
      <c r="E4395" t="str">
        <f>IFERROR(__xludf.DUMMYFUNCTION("""COMPUTED_VALUE"""),"")</f>
        <v/>
      </c>
      <c r="F4395" t="str">
        <f>IFERROR(__xludf.DUMMYFUNCTION("""COMPUTED_VALUE"""),"")</f>
        <v/>
      </c>
      <c r="G4395" t="str">
        <f>IFERROR(__xludf.DUMMYFUNCTION("""COMPUTED_VALUE"""),"")</f>
        <v/>
      </c>
      <c r="H4395" s="2" t="str">
        <f>IFERROR(__xludf.DUMMYFUNCTION("""COMPUTED_VALUE"""),"")</f>
        <v/>
      </c>
      <c r="I4395" s="2" t="str">
        <f>IFERROR(__xludf.DUMMYFUNCTION("""COMPUTED_VALUE"""),"")</f>
        <v/>
      </c>
      <c r="J4395" s="2">
        <f>IFERROR(__xludf.DUMMYFUNCTION("""COMPUTED_VALUE"""),0.0)</f>
        <v>0</v>
      </c>
      <c r="K4395" s="5" t="str">
        <f>IFERROR(__xludf.DUMMYFUNCTION("""COMPUTED_VALUE"""),"")</f>
        <v/>
      </c>
      <c r="L4395" t="str">
        <f>IFERROR(__xludf.DUMMYFUNCTION("""COMPUTED_VALUE"""),"")</f>
        <v/>
      </c>
      <c r="M4395" t="str">
        <f>IFERROR(__xludf.DUMMYFUNCTION("""COMPUTED_VALUE"""),"")</f>
        <v/>
      </c>
      <c r="N4395" t="str">
        <f>IFERROR(__xludf.DUMMYFUNCTION("""COMPUTED_VALUE"""),"")</f>
        <v/>
      </c>
      <c r="O4395" t="str">
        <f>IFERROR(__xludf.DUMMYFUNCTION("""COMPUTED_VALUE"""),"")</f>
        <v/>
      </c>
      <c r="P4395" t="str">
        <f>IFERROR(__xludf.DUMMYFUNCTION("""COMPUTED_VALUE"""),"ID ")</f>
        <v>ID </v>
      </c>
    </row>
    <row r="4396">
      <c r="A4396" s="6" t="str">
        <f>IFERROR(__xludf.DUMMYFUNCTION("""COMPUTED_VALUE"""),"")</f>
        <v/>
      </c>
      <c r="C4396" t="str">
        <f>IFERROR(__xludf.DUMMYFUNCTION("""COMPUTED_VALUE"""),"")</f>
        <v/>
      </c>
      <c r="D4396" t="str">
        <f>IFERROR(__xludf.DUMMYFUNCTION("""COMPUTED_VALUE"""),"")</f>
        <v/>
      </c>
      <c r="E4396" t="str">
        <f>IFERROR(__xludf.DUMMYFUNCTION("""COMPUTED_VALUE"""),"")</f>
        <v/>
      </c>
      <c r="F4396" t="str">
        <f>IFERROR(__xludf.DUMMYFUNCTION("""COMPUTED_VALUE"""),"")</f>
        <v/>
      </c>
      <c r="G4396" t="str">
        <f>IFERROR(__xludf.DUMMYFUNCTION("""COMPUTED_VALUE"""),"")</f>
        <v/>
      </c>
      <c r="H4396" s="2" t="str">
        <f>IFERROR(__xludf.DUMMYFUNCTION("""COMPUTED_VALUE"""),"")</f>
        <v/>
      </c>
      <c r="I4396" s="2" t="str">
        <f>IFERROR(__xludf.DUMMYFUNCTION("""COMPUTED_VALUE"""),"")</f>
        <v/>
      </c>
      <c r="J4396" s="2">
        <f>IFERROR(__xludf.DUMMYFUNCTION("""COMPUTED_VALUE"""),0.0)</f>
        <v>0</v>
      </c>
      <c r="K4396" s="5" t="str">
        <f>IFERROR(__xludf.DUMMYFUNCTION("""COMPUTED_VALUE"""),"")</f>
        <v/>
      </c>
      <c r="L4396" t="str">
        <f>IFERROR(__xludf.DUMMYFUNCTION("""COMPUTED_VALUE"""),"")</f>
        <v/>
      </c>
      <c r="M4396" t="str">
        <f>IFERROR(__xludf.DUMMYFUNCTION("""COMPUTED_VALUE"""),"")</f>
        <v/>
      </c>
      <c r="N4396" t="str">
        <f>IFERROR(__xludf.DUMMYFUNCTION("""COMPUTED_VALUE"""),"")</f>
        <v/>
      </c>
      <c r="O4396" t="str">
        <f>IFERROR(__xludf.DUMMYFUNCTION("""COMPUTED_VALUE"""),"")</f>
        <v/>
      </c>
      <c r="P4396" t="str">
        <f>IFERROR(__xludf.DUMMYFUNCTION("""COMPUTED_VALUE"""),"ID ")</f>
        <v>ID </v>
      </c>
    </row>
    <row r="4397">
      <c r="A4397" s="6" t="str">
        <f>IFERROR(__xludf.DUMMYFUNCTION("""COMPUTED_VALUE"""),"")</f>
        <v/>
      </c>
      <c r="C4397" t="str">
        <f>IFERROR(__xludf.DUMMYFUNCTION("""COMPUTED_VALUE"""),"")</f>
        <v/>
      </c>
      <c r="D4397" t="str">
        <f>IFERROR(__xludf.DUMMYFUNCTION("""COMPUTED_VALUE"""),"")</f>
        <v/>
      </c>
      <c r="E4397" t="str">
        <f>IFERROR(__xludf.DUMMYFUNCTION("""COMPUTED_VALUE"""),"")</f>
        <v/>
      </c>
      <c r="F4397" t="str">
        <f>IFERROR(__xludf.DUMMYFUNCTION("""COMPUTED_VALUE"""),"")</f>
        <v/>
      </c>
      <c r="G4397" t="str">
        <f>IFERROR(__xludf.DUMMYFUNCTION("""COMPUTED_VALUE"""),"")</f>
        <v/>
      </c>
      <c r="H4397" s="2" t="str">
        <f>IFERROR(__xludf.DUMMYFUNCTION("""COMPUTED_VALUE"""),"")</f>
        <v/>
      </c>
      <c r="I4397" s="2" t="str">
        <f>IFERROR(__xludf.DUMMYFUNCTION("""COMPUTED_VALUE"""),"")</f>
        <v/>
      </c>
      <c r="J4397" s="2">
        <f>IFERROR(__xludf.DUMMYFUNCTION("""COMPUTED_VALUE"""),0.0)</f>
        <v>0</v>
      </c>
      <c r="K4397" s="5" t="str">
        <f>IFERROR(__xludf.DUMMYFUNCTION("""COMPUTED_VALUE"""),"")</f>
        <v/>
      </c>
      <c r="L4397" t="str">
        <f>IFERROR(__xludf.DUMMYFUNCTION("""COMPUTED_VALUE"""),"")</f>
        <v/>
      </c>
      <c r="M4397" t="str">
        <f>IFERROR(__xludf.DUMMYFUNCTION("""COMPUTED_VALUE"""),"")</f>
        <v/>
      </c>
      <c r="N4397" t="str">
        <f>IFERROR(__xludf.DUMMYFUNCTION("""COMPUTED_VALUE"""),"")</f>
        <v/>
      </c>
      <c r="O4397" t="str">
        <f>IFERROR(__xludf.DUMMYFUNCTION("""COMPUTED_VALUE"""),"")</f>
        <v/>
      </c>
      <c r="P4397" t="str">
        <f>IFERROR(__xludf.DUMMYFUNCTION("""COMPUTED_VALUE"""),"ID ")</f>
        <v>ID </v>
      </c>
    </row>
    <row r="4398">
      <c r="A4398" s="6" t="str">
        <f>IFERROR(__xludf.DUMMYFUNCTION("""COMPUTED_VALUE"""),"")</f>
        <v/>
      </c>
      <c r="C4398" t="str">
        <f>IFERROR(__xludf.DUMMYFUNCTION("""COMPUTED_VALUE"""),"")</f>
        <v/>
      </c>
      <c r="D4398" t="str">
        <f>IFERROR(__xludf.DUMMYFUNCTION("""COMPUTED_VALUE"""),"")</f>
        <v/>
      </c>
      <c r="E4398" t="str">
        <f>IFERROR(__xludf.DUMMYFUNCTION("""COMPUTED_VALUE"""),"")</f>
        <v/>
      </c>
      <c r="F4398" t="str">
        <f>IFERROR(__xludf.DUMMYFUNCTION("""COMPUTED_VALUE"""),"")</f>
        <v/>
      </c>
      <c r="G4398" t="str">
        <f>IFERROR(__xludf.DUMMYFUNCTION("""COMPUTED_VALUE"""),"")</f>
        <v/>
      </c>
      <c r="H4398" s="2" t="str">
        <f>IFERROR(__xludf.DUMMYFUNCTION("""COMPUTED_VALUE"""),"")</f>
        <v/>
      </c>
      <c r="I4398" s="2" t="str">
        <f>IFERROR(__xludf.DUMMYFUNCTION("""COMPUTED_VALUE"""),"")</f>
        <v/>
      </c>
      <c r="J4398" s="2">
        <f>IFERROR(__xludf.DUMMYFUNCTION("""COMPUTED_VALUE"""),0.0)</f>
        <v>0</v>
      </c>
      <c r="K4398" s="5" t="str">
        <f>IFERROR(__xludf.DUMMYFUNCTION("""COMPUTED_VALUE"""),"")</f>
        <v/>
      </c>
      <c r="L4398" t="str">
        <f>IFERROR(__xludf.DUMMYFUNCTION("""COMPUTED_VALUE"""),"")</f>
        <v/>
      </c>
      <c r="M4398" t="str">
        <f>IFERROR(__xludf.DUMMYFUNCTION("""COMPUTED_VALUE"""),"")</f>
        <v/>
      </c>
      <c r="N4398" t="str">
        <f>IFERROR(__xludf.DUMMYFUNCTION("""COMPUTED_VALUE"""),"")</f>
        <v/>
      </c>
      <c r="O4398" t="str">
        <f>IFERROR(__xludf.DUMMYFUNCTION("""COMPUTED_VALUE"""),"")</f>
        <v/>
      </c>
      <c r="P4398" t="str">
        <f>IFERROR(__xludf.DUMMYFUNCTION("""COMPUTED_VALUE"""),"ID ")</f>
        <v>ID </v>
      </c>
    </row>
    <row r="4399">
      <c r="A4399" s="6" t="str">
        <f>IFERROR(__xludf.DUMMYFUNCTION("""COMPUTED_VALUE"""),"")</f>
        <v/>
      </c>
      <c r="C4399" t="str">
        <f>IFERROR(__xludf.DUMMYFUNCTION("""COMPUTED_VALUE"""),"")</f>
        <v/>
      </c>
      <c r="D4399" t="str">
        <f>IFERROR(__xludf.DUMMYFUNCTION("""COMPUTED_VALUE"""),"")</f>
        <v/>
      </c>
      <c r="E4399" t="str">
        <f>IFERROR(__xludf.DUMMYFUNCTION("""COMPUTED_VALUE"""),"")</f>
        <v/>
      </c>
      <c r="F4399" t="str">
        <f>IFERROR(__xludf.DUMMYFUNCTION("""COMPUTED_VALUE"""),"")</f>
        <v/>
      </c>
      <c r="G4399" t="str">
        <f>IFERROR(__xludf.DUMMYFUNCTION("""COMPUTED_VALUE"""),"")</f>
        <v/>
      </c>
      <c r="H4399" s="2" t="str">
        <f>IFERROR(__xludf.DUMMYFUNCTION("""COMPUTED_VALUE"""),"")</f>
        <v/>
      </c>
      <c r="I4399" s="2" t="str">
        <f>IFERROR(__xludf.DUMMYFUNCTION("""COMPUTED_VALUE"""),"")</f>
        <v/>
      </c>
      <c r="J4399" s="2">
        <f>IFERROR(__xludf.DUMMYFUNCTION("""COMPUTED_VALUE"""),0.0)</f>
        <v>0</v>
      </c>
      <c r="K4399" s="5" t="str">
        <f>IFERROR(__xludf.DUMMYFUNCTION("""COMPUTED_VALUE"""),"")</f>
        <v/>
      </c>
      <c r="L4399" t="str">
        <f>IFERROR(__xludf.DUMMYFUNCTION("""COMPUTED_VALUE"""),"")</f>
        <v/>
      </c>
      <c r="M4399" t="str">
        <f>IFERROR(__xludf.DUMMYFUNCTION("""COMPUTED_VALUE"""),"")</f>
        <v/>
      </c>
      <c r="N4399" t="str">
        <f>IFERROR(__xludf.DUMMYFUNCTION("""COMPUTED_VALUE"""),"")</f>
        <v/>
      </c>
      <c r="O4399" t="str">
        <f>IFERROR(__xludf.DUMMYFUNCTION("""COMPUTED_VALUE"""),"")</f>
        <v/>
      </c>
      <c r="P4399" t="str">
        <f>IFERROR(__xludf.DUMMYFUNCTION("""COMPUTED_VALUE"""),"ID ")</f>
        <v>ID </v>
      </c>
    </row>
    <row r="4400">
      <c r="A4400" s="6" t="str">
        <f>IFERROR(__xludf.DUMMYFUNCTION("""COMPUTED_VALUE"""),"")</f>
        <v/>
      </c>
      <c r="C4400" t="str">
        <f>IFERROR(__xludf.DUMMYFUNCTION("""COMPUTED_VALUE"""),"")</f>
        <v/>
      </c>
      <c r="D4400" t="str">
        <f>IFERROR(__xludf.DUMMYFUNCTION("""COMPUTED_VALUE"""),"")</f>
        <v/>
      </c>
      <c r="E4400" t="str">
        <f>IFERROR(__xludf.DUMMYFUNCTION("""COMPUTED_VALUE"""),"")</f>
        <v/>
      </c>
      <c r="F4400" t="str">
        <f>IFERROR(__xludf.DUMMYFUNCTION("""COMPUTED_VALUE"""),"")</f>
        <v/>
      </c>
      <c r="G4400" t="str">
        <f>IFERROR(__xludf.DUMMYFUNCTION("""COMPUTED_VALUE"""),"")</f>
        <v/>
      </c>
      <c r="H4400" s="2" t="str">
        <f>IFERROR(__xludf.DUMMYFUNCTION("""COMPUTED_VALUE"""),"")</f>
        <v/>
      </c>
      <c r="I4400" s="2" t="str">
        <f>IFERROR(__xludf.DUMMYFUNCTION("""COMPUTED_VALUE"""),"")</f>
        <v/>
      </c>
      <c r="J4400" s="2">
        <f>IFERROR(__xludf.DUMMYFUNCTION("""COMPUTED_VALUE"""),0.0)</f>
        <v>0</v>
      </c>
      <c r="K4400" s="5" t="str">
        <f>IFERROR(__xludf.DUMMYFUNCTION("""COMPUTED_VALUE"""),"")</f>
        <v/>
      </c>
      <c r="L4400" t="str">
        <f>IFERROR(__xludf.DUMMYFUNCTION("""COMPUTED_VALUE"""),"")</f>
        <v/>
      </c>
      <c r="M4400" t="str">
        <f>IFERROR(__xludf.DUMMYFUNCTION("""COMPUTED_VALUE"""),"")</f>
        <v/>
      </c>
      <c r="N4400" t="str">
        <f>IFERROR(__xludf.DUMMYFUNCTION("""COMPUTED_VALUE"""),"")</f>
        <v/>
      </c>
      <c r="O4400" t="str">
        <f>IFERROR(__xludf.DUMMYFUNCTION("""COMPUTED_VALUE"""),"")</f>
        <v/>
      </c>
      <c r="P4400" t="str">
        <f>IFERROR(__xludf.DUMMYFUNCTION("""COMPUTED_VALUE"""),"ID ")</f>
        <v>ID </v>
      </c>
    </row>
    <row r="4401">
      <c r="A4401" s="6" t="str">
        <f>IFERROR(__xludf.DUMMYFUNCTION("""COMPUTED_VALUE"""),"")</f>
        <v/>
      </c>
      <c r="C4401" t="str">
        <f>IFERROR(__xludf.DUMMYFUNCTION("""COMPUTED_VALUE"""),"")</f>
        <v/>
      </c>
      <c r="D4401" t="str">
        <f>IFERROR(__xludf.DUMMYFUNCTION("""COMPUTED_VALUE"""),"")</f>
        <v/>
      </c>
      <c r="E4401" t="str">
        <f>IFERROR(__xludf.DUMMYFUNCTION("""COMPUTED_VALUE"""),"")</f>
        <v/>
      </c>
      <c r="F4401" t="str">
        <f>IFERROR(__xludf.DUMMYFUNCTION("""COMPUTED_VALUE"""),"")</f>
        <v/>
      </c>
      <c r="G4401" t="str">
        <f>IFERROR(__xludf.DUMMYFUNCTION("""COMPUTED_VALUE"""),"")</f>
        <v/>
      </c>
      <c r="H4401" s="2" t="str">
        <f>IFERROR(__xludf.DUMMYFUNCTION("""COMPUTED_VALUE"""),"")</f>
        <v/>
      </c>
      <c r="I4401" s="2" t="str">
        <f>IFERROR(__xludf.DUMMYFUNCTION("""COMPUTED_VALUE"""),"")</f>
        <v/>
      </c>
      <c r="J4401" s="2">
        <f>IFERROR(__xludf.DUMMYFUNCTION("""COMPUTED_VALUE"""),0.0)</f>
        <v>0</v>
      </c>
      <c r="K4401" s="5" t="str">
        <f>IFERROR(__xludf.DUMMYFUNCTION("""COMPUTED_VALUE"""),"")</f>
        <v/>
      </c>
      <c r="L4401" t="str">
        <f>IFERROR(__xludf.DUMMYFUNCTION("""COMPUTED_VALUE"""),"")</f>
        <v/>
      </c>
      <c r="M4401" t="str">
        <f>IFERROR(__xludf.DUMMYFUNCTION("""COMPUTED_VALUE"""),"")</f>
        <v/>
      </c>
      <c r="N4401" t="str">
        <f>IFERROR(__xludf.DUMMYFUNCTION("""COMPUTED_VALUE"""),"")</f>
        <v/>
      </c>
      <c r="O4401" t="str">
        <f>IFERROR(__xludf.DUMMYFUNCTION("""COMPUTED_VALUE"""),"")</f>
        <v/>
      </c>
      <c r="P4401" t="str">
        <f>IFERROR(__xludf.DUMMYFUNCTION("""COMPUTED_VALUE"""),"ID ")</f>
        <v>ID </v>
      </c>
    </row>
    <row r="4402">
      <c r="A4402" s="6" t="str">
        <f>IFERROR(__xludf.DUMMYFUNCTION("""COMPUTED_VALUE"""),"")</f>
        <v/>
      </c>
      <c r="C4402" t="str">
        <f>IFERROR(__xludf.DUMMYFUNCTION("""COMPUTED_VALUE"""),"")</f>
        <v/>
      </c>
      <c r="D4402" t="str">
        <f>IFERROR(__xludf.DUMMYFUNCTION("""COMPUTED_VALUE"""),"")</f>
        <v/>
      </c>
      <c r="E4402" t="str">
        <f>IFERROR(__xludf.DUMMYFUNCTION("""COMPUTED_VALUE"""),"")</f>
        <v/>
      </c>
      <c r="F4402" t="str">
        <f>IFERROR(__xludf.DUMMYFUNCTION("""COMPUTED_VALUE"""),"")</f>
        <v/>
      </c>
      <c r="G4402" t="str">
        <f>IFERROR(__xludf.DUMMYFUNCTION("""COMPUTED_VALUE"""),"")</f>
        <v/>
      </c>
      <c r="H4402" s="2" t="str">
        <f>IFERROR(__xludf.DUMMYFUNCTION("""COMPUTED_VALUE"""),"")</f>
        <v/>
      </c>
      <c r="I4402" s="2" t="str">
        <f>IFERROR(__xludf.DUMMYFUNCTION("""COMPUTED_VALUE"""),"")</f>
        <v/>
      </c>
      <c r="J4402" s="2">
        <f>IFERROR(__xludf.DUMMYFUNCTION("""COMPUTED_VALUE"""),0.0)</f>
        <v>0</v>
      </c>
      <c r="K4402" s="5" t="str">
        <f>IFERROR(__xludf.DUMMYFUNCTION("""COMPUTED_VALUE"""),"")</f>
        <v/>
      </c>
      <c r="L4402" t="str">
        <f>IFERROR(__xludf.DUMMYFUNCTION("""COMPUTED_VALUE"""),"")</f>
        <v/>
      </c>
      <c r="M4402" t="str">
        <f>IFERROR(__xludf.DUMMYFUNCTION("""COMPUTED_VALUE"""),"")</f>
        <v/>
      </c>
      <c r="N4402" t="str">
        <f>IFERROR(__xludf.DUMMYFUNCTION("""COMPUTED_VALUE"""),"")</f>
        <v/>
      </c>
      <c r="O4402" t="str">
        <f>IFERROR(__xludf.DUMMYFUNCTION("""COMPUTED_VALUE"""),"")</f>
        <v/>
      </c>
      <c r="P4402" t="str">
        <f>IFERROR(__xludf.DUMMYFUNCTION("""COMPUTED_VALUE"""),"ID ")</f>
        <v>ID </v>
      </c>
    </row>
    <row r="4403">
      <c r="A4403" s="6" t="str">
        <f>IFERROR(__xludf.DUMMYFUNCTION("""COMPUTED_VALUE"""),"")</f>
        <v/>
      </c>
      <c r="C4403" t="str">
        <f>IFERROR(__xludf.DUMMYFUNCTION("""COMPUTED_VALUE"""),"")</f>
        <v/>
      </c>
      <c r="D4403" t="str">
        <f>IFERROR(__xludf.DUMMYFUNCTION("""COMPUTED_VALUE"""),"")</f>
        <v/>
      </c>
      <c r="E4403" t="str">
        <f>IFERROR(__xludf.DUMMYFUNCTION("""COMPUTED_VALUE"""),"")</f>
        <v/>
      </c>
      <c r="F4403" t="str">
        <f>IFERROR(__xludf.DUMMYFUNCTION("""COMPUTED_VALUE"""),"")</f>
        <v/>
      </c>
      <c r="G4403" t="str">
        <f>IFERROR(__xludf.DUMMYFUNCTION("""COMPUTED_VALUE"""),"")</f>
        <v/>
      </c>
      <c r="H4403" s="2" t="str">
        <f>IFERROR(__xludf.DUMMYFUNCTION("""COMPUTED_VALUE"""),"")</f>
        <v/>
      </c>
      <c r="I4403" s="2" t="str">
        <f>IFERROR(__xludf.DUMMYFUNCTION("""COMPUTED_VALUE"""),"")</f>
        <v/>
      </c>
      <c r="J4403" s="2">
        <f>IFERROR(__xludf.DUMMYFUNCTION("""COMPUTED_VALUE"""),0.0)</f>
        <v>0</v>
      </c>
      <c r="K4403" s="5" t="str">
        <f>IFERROR(__xludf.DUMMYFUNCTION("""COMPUTED_VALUE"""),"")</f>
        <v/>
      </c>
      <c r="L4403" t="str">
        <f>IFERROR(__xludf.DUMMYFUNCTION("""COMPUTED_VALUE"""),"")</f>
        <v/>
      </c>
      <c r="M4403" t="str">
        <f>IFERROR(__xludf.DUMMYFUNCTION("""COMPUTED_VALUE"""),"")</f>
        <v/>
      </c>
      <c r="N4403" t="str">
        <f>IFERROR(__xludf.DUMMYFUNCTION("""COMPUTED_VALUE"""),"")</f>
        <v/>
      </c>
      <c r="O4403" t="str">
        <f>IFERROR(__xludf.DUMMYFUNCTION("""COMPUTED_VALUE"""),"")</f>
        <v/>
      </c>
      <c r="P4403" t="str">
        <f>IFERROR(__xludf.DUMMYFUNCTION("""COMPUTED_VALUE"""),"ID ")</f>
        <v>ID </v>
      </c>
    </row>
    <row r="4404">
      <c r="A4404" s="6" t="str">
        <f>IFERROR(__xludf.DUMMYFUNCTION("""COMPUTED_VALUE"""),"")</f>
        <v/>
      </c>
      <c r="C4404" t="str">
        <f>IFERROR(__xludf.DUMMYFUNCTION("""COMPUTED_VALUE"""),"")</f>
        <v/>
      </c>
      <c r="D4404" t="str">
        <f>IFERROR(__xludf.DUMMYFUNCTION("""COMPUTED_VALUE"""),"")</f>
        <v/>
      </c>
      <c r="E4404" t="str">
        <f>IFERROR(__xludf.DUMMYFUNCTION("""COMPUTED_VALUE"""),"")</f>
        <v/>
      </c>
      <c r="F4404" t="str">
        <f>IFERROR(__xludf.DUMMYFUNCTION("""COMPUTED_VALUE"""),"")</f>
        <v/>
      </c>
      <c r="G4404" t="str">
        <f>IFERROR(__xludf.DUMMYFUNCTION("""COMPUTED_VALUE"""),"")</f>
        <v/>
      </c>
      <c r="H4404" s="2" t="str">
        <f>IFERROR(__xludf.DUMMYFUNCTION("""COMPUTED_VALUE"""),"")</f>
        <v/>
      </c>
      <c r="I4404" s="2" t="str">
        <f>IFERROR(__xludf.DUMMYFUNCTION("""COMPUTED_VALUE"""),"")</f>
        <v/>
      </c>
      <c r="J4404" s="2">
        <f>IFERROR(__xludf.DUMMYFUNCTION("""COMPUTED_VALUE"""),0.0)</f>
        <v>0</v>
      </c>
      <c r="K4404" s="5" t="str">
        <f>IFERROR(__xludf.DUMMYFUNCTION("""COMPUTED_VALUE"""),"")</f>
        <v/>
      </c>
      <c r="L4404" t="str">
        <f>IFERROR(__xludf.DUMMYFUNCTION("""COMPUTED_VALUE"""),"")</f>
        <v/>
      </c>
      <c r="M4404" t="str">
        <f>IFERROR(__xludf.DUMMYFUNCTION("""COMPUTED_VALUE"""),"")</f>
        <v/>
      </c>
      <c r="N4404" t="str">
        <f>IFERROR(__xludf.DUMMYFUNCTION("""COMPUTED_VALUE"""),"")</f>
        <v/>
      </c>
      <c r="O4404" t="str">
        <f>IFERROR(__xludf.DUMMYFUNCTION("""COMPUTED_VALUE"""),"")</f>
        <v/>
      </c>
      <c r="P4404" t="str">
        <f>IFERROR(__xludf.DUMMYFUNCTION("""COMPUTED_VALUE"""),"ID ")</f>
        <v>ID </v>
      </c>
    </row>
    <row r="4405">
      <c r="A4405" s="6" t="str">
        <f>IFERROR(__xludf.DUMMYFUNCTION("""COMPUTED_VALUE"""),"")</f>
        <v/>
      </c>
      <c r="C4405" t="str">
        <f>IFERROR(__xludf.DUMMYFUNCTION("""COMPUTED_VALUE"""),"")</f>
        <v/>
      </c>
      <c r="D4405" t="str">
        <f>IFERROR(__xludf.DUMMYFUNCTION("""COMPUTED_VALUE"""),"")</f>
        <v/>
      </c>
      <c r="E4405" t="str">
        <f>IFERROR(__xludf.DUMMYFUNCTION("""COMPUTED_VALUE"""),"")</f>
        <v/>
      </c>
      <c r="F4405" t="str">
        <f>IFERROR(__xludf.DUMMYFUNCTION("""COMPUTED_VALUE"""),"")</f>
        <v/>
      </c>
      <c r="G4405" t="str">
        <f>IFERROR(__xludf.DUMMYFUNCTION("""COMPUTED_VALUE"""),"")</f>
        <v/>
      </c>
      <c r="H4405" s="2" t="str">
        <f>IFERROR(__xludf.DUMMYFUNCTION("""COMPUTED_VALUE"""),"")</f>
        <v/>
      </c>
      <c r="I4405" s="2" t="str">
        <f>IFERROR(__xludf.DUMMYFUNCTION("""COMPUTED_VALUE"""),"")</f>
        <v/>
      </c>
      <c r="J4405" s="2">
        <f>IFERROR(__xludf.DUMMYFUNCTION("""COMPUTED_VALUE"""),0.0)</f>
        <v>0</v>
      </c>
      <c r="K4405" s="5" t="str">
        <f>IFERROR(__xludf.DUMMYFUNCTION("""COMPUTED_VALUE"""),"")</f>
        <v/>
      </c>
      <c r="L4405" t="str">
        <f>IFERROR(__xludf.DUMMYFUNCTION("""COMPUTED_VALUE"""),"")</f>
        <v/>
      </c>
      <c r="M4405" t="str">
        <f>IFERROR(__xludf.DUMMYFUNCTION("""COMPUTED_VALUE"""),"")</f>
        <v/>
      </c>
      <c r="N4405" t="str">
        <f>IFERROR(__xludf.DUMMYFUNCTION("""COMPUTED_VALUE"""),"")</f>
        <v/>
      </c>
      <c r="O4405" t="str">
        <f>IFERROR(__xludf.DUMMYFUNCTION("""COMPUTED_VALUE"""),"")</f>
        <v/>
      </c>
      <c r="P4405" t="str">
        <f>IFERROR(__xludf.DUMMYFUNCTION("""COMPUTED_VALUE"""),"ID ")</f>
        <v>ID </v>
      </c>
    </row>
    <row r="4406">
      <c r="A4406" s="6" t="str">
        <f>IFERROR(__xludf.DUMMYFUNCTION("""COMPUTED_VALUE"""),"")</f>
        <v/>
      </c>
      <c r="C4406" t="str">
        <f>IFERROR(__xludf.DUMMYFUNCTION("""COMPUTED_VALUE"""),"")</f>
        <v/>
      </c>
      <c r="D4406" t="str">
        <f>IFERROR(__xludf.DUMMYFUNCTION("""COMPUTED_VALUE"""),"")</f>
        <v/>
      </c>
      <c r="E4406" t="str">
        <f>IFERROR(__xludf.DUMMYFUNCTION("""COMPUTED_VALUE"""),"")</f>
        <v/>
      </c>
      <c r="F4406" t="str">
        <f>IFERROR(__xludf.DUMMYFUNCTION("""COMPUTED_VALUE"""),"")</f>
        <v/>
      </c>
      <c r="G4406" t="str">
        <f>IFERROR(__xludf.DUMMYFUNCTION("""COMPUTED_VALUE"""),"")</f>
        <v/>
      </c>
      <c r="H4406" s="2" t="str">
        <f>IFERROR(__xludf.DUMMYFUNCTION("""COMPUTED_VALUE"""),"")</f>
        <v/>
      </c>
      <c r="I4406" s="2" t="str">
        <f>IFERROR(__xludf.DUMMYFUNCTION("""COMPUTED_VALUE"""),"")</f>
        <v/>
      </c>
      <c r="J4406" s="2">
        <f>IFERROR(__xludf.DUMMYFUNCTION("""COMPUTED_VALUE"""),0.0)</f>
        <v>0</v>
      </c>
      <c r="K4406" s="5" t="str">
        <f>IFERROR(__xludf.DUMMYFUNCTION("""COMPUTED_VALUE"""),"")</f>
        <v/>
      </c>
      <c r="L4406" t="str">
        <f>IFERROR(__xludf.DUMMYFUNCTION("""COMPUTED_VALUE"""),"")</f>
        <v/>
      </c>
      <c r="M4406" t="str">
        <f>IFERROR(__xludf.DUMMYFUNCTION("""COMPUTED_VALUE"""),"")</f>
        <v/>
      </c>
      <c r="N4406" t="str">
        <f>IFERROR(__xludf.DUMMYFUNCTION("""COMPUTED_VALUE"""),"")</f>
        <v/>
      </c>
      <c r="O4406" t="str">
        <f>IFERROR(__xludf.DUMMYFUNCTION("""COMPUTED_VALUE"""),"")</f>
        <v/>
      </c>
      <c r="P4406" t="str">
        <f>IFERROR(__xludf.DUMMYFUNCTION("""COMPUTED_VALUE"""),"ID ")</f>
        <v>ID </v>
      </c>
    </row>
    <row r="4407">
      <c r="A4407" s="6" t="str">
        <f>IFERROR(__xludf.DUMMYFUNCTION("""COMPUTED_VALUE"""),"")</f>
        <v/>
      </c>
      <c r="C4407" t="str">
        <f>IFERROR(__xludf.DUMMYFUNCTION("""COMPUTED_VALUE"""),"")</f>
        <v/>
      </c>
      <c r="D4407" t="str">
        <f>IFERROR(__xludf.DUMMYFUNCTION("""COMPUTED_VALUE"""),"")</f>
        <v/>
      </c>
      <c r="E4407" t="str">
        <f>IFERROR(__xludf.DUMMYFUNCTION("""COMPUTED_VALUE"""),"")</f>
        <v/>
      </c>
      <c r="F4407" t="str">
        <f>IFERROR(__xludf.DUMMYFUNCTION("""COMPUTED_VALUE"""),"")</f>
        <v/>
      </c>
      <c r="G4407" t="str">
        <f>IFERROR(__xludf.DUMMYFUNCTION("""COMPUTED_VALUE"""),"")</f>
        <v/>
      </c>
      <c r="H4407" s="2" t="str">
        <f>IFERROR(__xludf.DUMMYFUNCTION("""COMPUTED_VALUE"""),"")</f>
        <v/>
      </c>
      <c r="I4407" s="2" t="str">
        <f>IFERROR(__xludf.DUMMYFUNCTION("""COMPUTED_VALUE"""),"")</f>
        <v/>
      </c>
      <c r="J4407" s="2">
        <f>IFERROR(__xludf.DUMMYFUNCTION("""COMPUTED_VALUE"""),0.0)</f>
        <v>0</v>
      </c>
      <c r="K4407" s="5" t="str">
        <f>IFERROR(__xludf.DUMMYFUNCTION("""COMPUTED_VALUE"""),"")</f>
        <v/>
      </c>
      <c r="L4407" t="str">
        <f>IFERROR(__xludf.DUMMYFUNCTION("""COMPUTED_VALUE"""),"")</f>
        <v/>
      </c>
      <c r="M4407" t="str">
        <f>IFERROR(__xludf.DUMMYFUNCTION("""COMPUTED_VALUE"""),"")</f>
        <v/>
      </c>
      <c r="N4407" t="str">
        <f>IFERROR(__xludf.DUMMYFUNCTION("""COMPUTED_VALUE"""),"")</f>
        <v/>
      </c>
      <c r="O4407" t="str">
        <f>IFERROR(__xludf.DUMMYFUNCTION("""COMPUTED_VALUE"""),"")</f>
        <v/>
      </c>
      <c r="P4407" t="str">
        <f>IFERROR(__xludf.DUMMYFUNCTION("""COMPUTED_VALUE"""),"ID ")</f>
        <v>ID </v>
      </c>
    </row>
    <row r="4408">
      <c r="A4408" s="6" t="str">
        <f>IFERROR(__xludf.DUMMYFUNCTION("""COMPUTED_VALUE"""),"")</f>
        <v/>
      </c>
      <c r="C4408" t="str">
        <f>IFERROR(__xludf.DUMMYFUNCTION("""COMPUTED_VALUE"""),"")</f>
        <v/>
      </c>
      <c r="D4408" t="str">
        <f>IFERROR(__xludf.DUMMYFUNCTION("""COMPUTED_VALUE"""),"")</f>
        <v/>
      </c>
      <c r="E4408" t="str">
        <f>IFERROR(__xludf.DUMMYFUNCTION("""COMPUTED_VALUE"""),"")</f>
        <v/>
      </c>
      <c r="F4408" t="str">
        <f>IFERROR(__xludf.DUMMYFUNCTION("""COMPUTED_VALUE"""),"")</f>
        <v/>
      </c>
      <c r="G4408" t="str">
        <f>IFERROR(__xludf.DUMMYFUNCTION("""COMPUTED_VALUE"""),"")</f>
        <v/>
      </c>
      <c r="H4408" s="2" t="str">
        <f>IFERROR(__xludf.DUMMYFUNCTION("""COMPUTED_VALUE"""),"")</f>
        <v/>
      </c>
      <c r="I4408" s="2" t="str">
        <f>IFERROR(__xludf.DUMMYFUNCTION("""COMPUTED_VALUE"""),"")</f>
        <v/>
      </c>
      <c r="J4408" s="2">
        <f>IFERROR(__xludf.DUMMYFUNCTION("""COMPUTED_VALUE"""),0.0)</f>
        <v>0</v>
      </c>
      <c r="K4408" s="5" t="str">
        <f>IFERROR(__xludf.DUMMYFUNCTION("""COMPUTED_VALUE"""),"")</f>
        <v/>
      </c>
      <c r="L4408" t="str">
        <f>IFERROR(__xludf.DUMMYFUNCTION("""COMPUTED_VALUE"""),"")</f>
        <v/>
      </c>
      <c r="M4408" t="str">
        <f>IFERROR(__xludf.DUMMYFUNCTION("""COMPUTED_VALUE"""),"")</f>
        <v/>
      </c>
      <c r="N4408" t="str">
        <f>IFERROR(__xludf.DUMMYFUNCTION("""COMPUTED_VALUE"""),"")</f>
        <v/>
      </c>
      <c r="O4408" t="str">
        <f>IFERROR(__xludf.DUMMYFUNCTION("""COMPUTED_VALUE"""),"")</f>
        <v/>
      </c>
      <c r="P4408" t="str">
        <f>IFERROR(__xludf.DUMMYFUNCTION("""COMPUTED_VALUE"""),"ID ")</f>
        <v>ID </v>
      </c>
    </row>
    <row r="4409">
      <c r="A4409" s="6" t="str">
        <f>IFERROR(__xludf.DUMMYFUNCTION("""COMPUTED_VALUE"""),"")</f>
        <v/>
      </c>
      <c r="C4409" t="str">
        <f>IFERROR(__xludf.DUMMYFUNCTION("""COMPUTED_VALUE"""),"")</f>
        <v/>
      </c>
      <c r="D4409" t="str">
        <f>IFERROR(__xludf.DUMMYFUNCTION("""COMPUTED_VALUE"""),"")</f>
        <v/>
      </c>
      <c r="E4409" t="str">
        <f>IFERROR(__xludf.DUMMYFUNCTION("""COMPUTED_VALUE"""),"")</f>
        <v/>
      </c>
      <c r="F4409" t="str">
        <f>IFERROR(__xludf.DUMMYFUNCTION("""COMPUTED_VALUE"""),"")</f>
        <v/>
      </c>
      <c r="G4409" t="str">
        <f>IFERROR(__xludf.DUMMYFUNCTION("""COMPUTED_VALUE"""),"")</f>
        <v/>
      </c>
      <c r="H4409" s="2" t="str">
        <f>IFERROR(__xludf.DUMMYFUNCTION("""COMPUTED_VALUE"""),"")</f>
        <v/>
      </c>
      <c r="I4409" s="2" t="str">
        <f>IFERROR(__xludf.DUMMYFUNCTION("""COMPUTED_VALUE"""),"")</f>
        <v/>
      </c>
      <c r="J4409" s="2">
        <f>IFERROR(__xludf.DUMMYFUNCTION("""COMPUTED_VALUE"""),0.0)</f>
        <v>0</v>
      </c>
      <c r="K4409" s="5" t="str">
        <f>IFERROR(__xludf.DUMMYFUNCTION("""COMPUTED_VALUE"""),"")</f>
        <v/>
      </c>
      <c r="L4409" t="str">
        <f>IFERROR(__xludf.DUMMYFUNCTION("""COMPUTED_VALUE"""),"")</f>
        <v/>
      </c>
      <c r="M4409" t="str">
        <f>IFERROR(__xludf.DUMMYFUNCTION("""COMPUTED_VALUE"""),"")</f>
        <v/>
      </c>
      <c r="N4409" t="str">
        <f>IFERROR(__xludf.DUMMYFUNCTION("""COMPUTED_VALUE"""),"")</f>
        <v/>
      </c>
      <c r="O4409" t="str">
        <f>IFERROR(__xludf.DUMMYFUNCTION("""COMPUTED_VALUE"""),"")</f>
        <v/>
      </c>
      <c r="P4409" t="str">
        <f>IFERROR(__xludf.DUMMYFUNCTION("""COMPUTED_VALUE"""),"ID ")</f>
        <v>ID </v>
      </c>
    </row>
    <row r="4410">
      <c r="A4410" s="6" t="str">
        <f>IFERROR(__xludf.DUMMYFUNCTION("""COMPUTED_VALUE"""),"")</f>
        <v/>
      </c>
      <c r="C4410" t="str">
        <f>IFERROR(__xludf.DUMMYFUNCTION("""COMPUTED_VALUE"""),"")</f>
        <v/>
      </c>
      <c r="D4410" t="str">
        <f>IFERROR(__xludf.DUMMYFUNCTION("""COMPUTED_VALUE"""),"")</f>
        <v/>
      </c>
      <c r="E4410" t="str">
        <f>IFERROR(__xludf.DUMMYFUNCTION("""COMPUTED_VALUE"""),"")</f>
        <v/>
      </c>
      <c r="F4410" t="str">
        <f>IFERROR(__xludf.DUMMYFUNCTION("""COMPUTED_VALUE"""),"")</f>
        <v/>
      </c>
      <c r="G4410" t="str">
        <f>IFERROR(__xludf.DUMMYFUNCTION("""COMPUTED_VALUE"""),"")</f>
        <v/>
      </c>
      <c r="H4410" s="2" t="str">
        <f>IFERROR(__xludf.DUMMYFUNCTION("""COMPUTED_VALUE"""),"")</f>
        <v/>
      </c>
      <c r="I4410" s="2" t="str">
        <f>IFERROR(__xludf.DUMMYFUNCTION("""COMPUTED_VALUE"""),"")</f>
        <v/>
      </c>
      <c r="J4410" s="2">
        <f>IFERROR(__xludf.DUMMYFUNCTION("""COMPUTED_VALUE"""),0.0)</f>
        <v>0</v>
      </c>
      <c r="K4410" s="5" t="str">
        <f>IFERROR(__xludf.DUMMYFUNCTION("""COMPUTED_VALUE"""),"")</f>
        <v/>
      </c>
      <c r="L4410" t="str">
        <f>IFERROR(__xludf.DUMMYFUNCTION("""COMPUTED_VALUE"""),"")</f>
        <v/>
      </c>
      <c r="M4410" t="str">
        <f>IFERROR(__xludf.DUMMYFUNCTION("""COMPUTED_VALUE"""),"")</f>
        <v/>
      </c>
      <c r="N4410" t="str">
        <f>IFERROR(__xludf.DUMMYFUNCTION("""COMPUTED_VALUE"""),"")</f>
        <v/>
      </c>
      <c r="O4410" t="str">
        <f>IFERROR(__xludf.DUMMYFUNCTION("""COMPUTED_VALUE"""),"")</f>
        <v/>
      </c>
      <c r="P4410" t="str">
        <f>IFERROR(__xludf.DUMMYFUNCTION("""COMPUTED_VALUE"""),"ID ")</f>
        <v>ID </v>
      </c>
    </row>
    <row r="4411">
      <c r="A4411" s="6" t="str">
        <f>IFERROR(__xludf.DUMMYFUNCTION("""COMPUTED_VALUE"""),"")</f>
        <v/>
      </c>
      <c r="C4411" t="str">
        <f>IFERROR(__xludf.DUMMYFUNCTION("""COMPUTED_VALUE"""),"")</f>
        <v/>
      </c>
      <c r="D4411" t="str">
        <f>IFERROR(__xludf.DUMMYFUNCTION("""COMPUTED_VALUE"""),"")</f>
        <v/>
      </c>
      <c r="E4411" t="str">
        <f>IFERROR(__xludf.DUMMYFUNCTION("""COMPUTED_VALUE"""),"")</f>
        <v/>
      </c>
      <c r="F4411" t="str">
        <f>IFERROR(__xludf.DUMMYFUNCTION("""COMPUTED_VALUE"""),"")</f>
        <v/>
      </c>
      <c r="G4411" t="str">
        <f>IFERROR(__xludf.DUMMYFUNCTION("""COMPUTED_VALUE"""),"")</f>
        <v/>
      </c>
      <c r="H4411" s="2" t="str">
        <f>IFERROR(__xludf.DUMMYFUNCTION("""COMPUTED_VALUE"""),"")</f>
        <v/>
      </c>
      <c r="I4411" s="2" t="str">
        <f>IFERROR(__xludf.DUMMYFUNCTION("""COMPUTED_VALUE"""),"")</f>
        <v/>
      </c>
      <c r="J4411" s="2">
        <f>IFERROR(__xludf.DUMMYFUNCTION("""COMPUTED_VALUE"""),0.0)</f>
        <v>0</v>
      </c>
      <c r="K4411" s="5" t="str">
        <f>IFERROR(__xludf.DUMMYFUNCTION("""COMPUTED_VALUE"""),"")</f>
        <v/>
      </c>
      <c r="L4411" t="str">
        <f>IFERROR(__xludf.DUMMYFUNCTION("""COMPUTED_VALUE"""),"")</f>
        <v/>
      </c>
      <c r="M4411" t="str">
        <f>IFERROR(__xludf.DUMMYFUNCTION("""COMPUTED_VALUE"""),"")</f>
        <v/>
      </c>
      <c r="N4411" t="str">
        <f>IFERROR(__xludf.DUMMYFUNCTION("""COMPUTED_VALUE"""),"")</f>
        <v/>
      </c>
      <c r="O4411" t="str">
        <f>IFERROR(__xludf.DUMMYFUNCTION("""COMPUTED_VALUE"""),"")</f>
        <v/>
      </c>
      <c r="P4411" t="str">
        <f>IFERROR(__xludf.DUMMYFUNCTION("""COMPUTED_VALUE"""),"ID ")</f>
        <v>ID </v>
      </c>
    </row>
    <row r="4412">
      <c r="A4412" s="6" t="str">
        <f>IFERROR(__xludf.DUMMYFUNCTION("""COMPUTED_VALUE"""),"")</f>
        <v/>
      </c>
      <c r="C4412" t="str">
        <f>IFERROR(__xludf.DUMMYFUNCTION("""COMPUTED_VALUE"""),"")</f>
        <v/>
      </c>
      <c r="D4412" t="str">
        <f>IFERROR(__xludf.DUMMYFUNCTION("""COMPUTED_VALUE"""),"")</f>
        <v/>
      </c>
      <c r="E4412" t="str">
        <f>IFERROR(__xludf.DUMMYFUNCTION("""COMPUTED_VALUE"""),"")</f>
        <v/>
      </c>
      <c r="F4412" t="str">
        <f>IFERROR(__xludf.DUMMYFUNCTION("""COMPUTED_VALUE"""),"")</f>
        <v/>
      </c>
      <c r="G4412" t="str">
        <f>IFERROR(__xludf.DUMMYFUNCTION("""COMPUTED_VALUE"""),"")</f>
        <v/>
      </c>
      <c r="H4412" s="2" t="str">
        <f>IFERROR(__xludf.DUMMYFUNCTION("""COMPUTED_VALUE"""),"")</f>
        <v/>
      </c>
      <c r="I4412" s="2" t="str">
        <f>IFERROR(__xludf.DUMMYFUNCTION("""COMPUTED_VALUE"""),"")</f>
        <v/>
      </c>
      <c r="J4412" s="2">
        <f>IFERROR(__xludf.DUMMYFUNCTION("""COMPUTED_VALUE"""),0.0)</f>
        <v>0</v>
      </c>
      <c r="K4412" s="5" t="str">
        <f>IFERROR(__xludf.DUMMYFUNCTION("""COMPUTED_VALUE"""),"")</f>
        <v/>
      </c>
      <c r="L4412" t="str">
        <f>IFERROR(__xludf.DUMMYFUNCTION("""COMPUTED_VALUE"""),"")</f>
        <v/>
      </c>
      <c r="M4412" t="str">
        <f>IFERROR(__xludf.DUMMYFUNCTION("""COMPUTED_VALUE"""),"")</f>
        <v/>
      </c>
      <c r="N4412" t="str">
        <f>IFERROR(__xludf.DUMMYFUNCTION("""COMPUTED_VALUE"""),"")</f>
        <v/>
      </c>
      <c r="O4412" t="str">
        <f>IFERROR(__xludf.DUMMYFUNCTION("""COMPUTED_VALUE"""),"")</f>
        <v/>
      </c>
      <c r="P4412" t="str">
        <f>IFERROR(__xludf.DUMMYFUNCTION("""COMPUTED_VALUE"""),"ID ")</f>
        <v>ID </v>
      </c>
    </row>
    <row r="4413">
      <c r="A4413" s="6" t="str">
        <f>IFERROR(__xludf.DUMMYFUNCTION("""COMPUTED_VALUE"""),"")</f>
        <v/>
      </c>
      <c r="C4413" t="str">
        <f>IFERROR(__xludf.DUMMYFUNCTION("""COMPUTED_VALUE"""),"")</f>
        <v/>
      </c>
      <c r="D4413" t="str">
        <f>IFERROR(__xludf.DUMMYFUNCTION("""COMPUTED_VALUE"""),"")</f>
        <v/>
      </c>
      <c r="E4413" t="str">
        <f>IFERROR(__xludf.DUMMYFUNCTION("""COMPUTED_VALUE"""),"")</f>
        <v/>
      </c>
      <c r="F4413" t="str">
        <f>IFERROR(__xludf.DUMMYFUNCTION("""COMPUTED_VALUE"""),"")</f>
        <v/>
      </c>
      <c r="G4413" t="str">
        <f>IFERROR(__xludf.DUMMYFUNCTION("""COMPUTED_VALUE"""),"")</f>
        <v/>
      </c>
      <c r="H4413" s="2" t="str">
        <f>IFERROR(__xludf.DUMMYFUNCTION("""COMPUTED_VALUE"""),"")</f>
        <v/>
      </c>
      <c r="I4413" s="2" t="str">
        <f>IFERROR(__xludf.DUMMYFUNCTION("""COMPUTED_VALUE"""),"")</f>
        <v/>
      </c>
      <c r="J4413" s="2">
        <f>IFERROR(__xludf.DUMMYFUNCTION("""COMPUTED_VALUE"""),0.0)</f>
        <v>0</v>
      </c>
      <c r="K4413" s="5" t="str">
        <f>IFERROR(__xludf.DUMMYFUNCTION("""COMPUTED_VALUE"""),"")</f>
        <v/>
      </c>
      <c r="L4413" t="str">
        <f>IFERROR(__xludf.DUMMYFUNCTION("""COMPUTED_VALUE"""),"")</f>
        <v/>
      </c>
      <c r="M4413" t="str">
        <f>IFERROR(__xludf.DUMMYFUNCTION("""COMPUTED_VALUE"""),"")</f>
        <v/>
      </c>
      <c r="N4413" t="str">
        <f>IFERROR(__xludf.DUMMYFUNCTION("""COMPUTED_VALUE"""),"")</f>
        <v/>
      </c>
      <c r="O4413" t="str">
        <f>IFERROR(__xludf.DUMMYFUNCTION("""COMPUTED_VALUE"""),"")</f>
        <v/>
      </c>
      <c r="P4413" t="str">
        <f>IFERROR(__xludf.DUMMYFUNCTION("""COMPUTED_VALUE"""),"ID ")</f>
        <v>ID </v>
      </c>
    </row>
    <row r="4414">
      <c r="A4414" s="6" t="str">
        <f>IFERROR(__xludf.DUMMYFUNCTION("""COMPUTED_VALUE"""),"")</f>
        <v/>
      </c>
      <c r="C4414" t="str">
        <f>IFERROR(__xludf.DUMMYFUNCTION("""COMPUTED_VALUE"""),"")</f>
        <v/>
      </c>
      <c r="D4414" t="str">
        <f>IFERROR(__xludf.DUMMYFUNCTION("""COMPUTED_VALUE"""),"")</f>
        <v/>
      </c>
      <c r="E4414" t="str">
        <f>IFERROR(__xludf.DUMMYFUNCTION("""COMPUTED_VALUE"""),"")</f>
        <v/>
      </c>
      <c r="F4414" t="str">
        <f>IFERROR(__xludf.DUMMYFUNCTION("""COMPUTED_VALUE"""),"")</f>
        <v/>
      </c>
      <c r="G4414" t="str">
        <f>IFERROR(__xludf.DUMMYFUNCTION("""COMPUTED_VALUE"""),"")</f>
        <v/>
      </c>
      <c r="H4414" s="2" t="str">
        <f>IFERROR(__xludf.DUMMYFUNCTION("""COMPUTED_VALUE"""),"")</f>
        <v/>
      </c>
      <c r="I4414" s="2" t="str">
        <f>IFERROR(__xludf.DUMMYFUNCTION("""COMPUTED_VALUE"""),"")</f>
        <v/>
      </c>
      <c r="J4414" s="2">
        <f>IFERROR(__xludf.DUMMYFUNCTION("""COMPUTED_VALUE"""),0.0)</f>
        <v>0</v>
      </c>
      <c r="K4414" s="5" t="str">
        <f>IFERROR(__xludf.DUMMYFUNCTION("""COMPUTED_VALUE"""),"")</f>
        <v/>
      </c>
      <c r="L4414" t="str">
        <f>IFERROR(__xludf.DUMMYFUNCTION("""COMPUTED_VALUE"""),"")</f>
        <v/>
      </c>
      <c r="M4414" t="str">
        <f>IFERROR(__xludf.DUMMYFUNCTION("""COMPUTED_VALUE"""),"")</f>
        <v/>
      </c>
      <c r="N4414" t="str">
        <f>IFERROR(__xludf.DUMMYFUNCTION("""COMPUTED_VALUE"""),"")</f>
        <v/>
      </c>
      <c r="O4414" t="str">
        <f>IFERROR(__xludf.DUMMYFUNCTION("""COMPUTED_VALUE"""),"")</f>
        <v/>
      </c>
      <c r="P4414" t="str">
        <f>IFERROR(__xludf.DUMMYFUNCTION("""COMPUTED_VALUE"""),"ID ")</f>
        <v>ID </v>
      </c>
    </row>
    <row r="4415">
      <c r="A4415" s="6" t="str">
        <f>IFERROR(__xludf.DUMMYFUNCTION("""COMPUTED_VALUE"""),"")</f>
        <v/>
      </c>
      <c r="C4415" t="str">
        <f>IFERROR(__xludf.DUMMYFUNCTION("""COMPUTED_VALUE"""),"")</f>
        <v/>
      </c>
      <c r="D4415" t="str">
        <f>IFERROR(__xludf.DUMMYFUNCTION("""COMPUTED_VALUE"""),"")</f>
        <v/>
      </c>
      <c r="E4415" t="str">
        <f>IFERROR(__xludf.DUMMYFUNCTION("""COMPUTED_VALUE"""),"")</f>
        <v/>
      </c>
      <c r="F4415" t="str">
        <f>IFERROR(__xludf.DUMMYFUNCTION("""COMPUTED_VALUE"""),"")</f>
        <v/>
      </c>
      <c r="G4415" t="str">
        <f>IFERROR(__xludf.DUMMYFUNCTION("""COMPUTED_VALUE"""),"")</f>
        <v/>
      </c>
      <c r="H4415" s="2" t="str">
        <f>IFERROR(__xludf.DUMMYFUNCTION("""COMPUTED_VALUE"""),"")</f>
        <v/>
      </c>
      <c r="I4415" s="2" t="str">
        <f>IFERROR(__xludf.DUMMYFUNCTION("""COMPUTED_VALUE"""),"")</f>
        <v/>
      </c>
      <c r="J4415" s="2">
        <f>IFERROR(__xludf.DUMMYFUNCTION("""COMPUTED_VALUE"""),0.0)</f>
        <v>0</v>
      </c>
      <c r="K4415" s="5" t="str">
        <f>IFERROR(__xludf.DUMMYFUNCTION("""COMPUTED_VALUE"""),"")</f>
        <v/>
      </c>
      <c r="L4415" t="str">
        <f>IFERROR(__xludf.DUMMYFUNCTION("""COMPUTED_VALUE"""),"")</f>
        <v/>
      </c>
      <c r="M4415" t="str">
        <f>IFERROR(__xludf.DUMMYFUNCTION("""COMPUTED_VALUE"""),"")</f>
        <v/>
      </c>
      <c r="N4415" t="str">
        <f>IFERROR(__xludf.DUMMYFUNCTION("""COMPUTED_VALUE"""),"")</f>
        <v/>
      </c>
      <c r="O4415" t="str">
        <f>IFERROR(__xludf.DUMMYFUNCTION("""COMPUTED_VALUE"""),"")</f>
        <v/>
      </c>
      <c r="P4415" t="str">
        <f>IFERROR(__xludf.DUMMYFUNCTION("""COMPUTED_VALUE"""),"ID ")</f>
        <v>ID </v>
      </c>
    </row>
    <row r="4416">
      <c r="A4416" s="6" t="str">
        <f>IFERROR(__xludf.DUMMYFUNCTION("""COMPUTED_VALUE"""),"")</f>
        <v/>
      </c>
      <c r="C4416" t="str">
        <f>IFERROR(__xludf.DUMMYFUNCTION("""COMPUTED_VALUE"""),"")</f>
        <v/>
      </c>
      <c r="D4416" t="str">
        <f>IFERROR(__xludf.DUMMYFUNCTION("""COMPUTED_VALUE"""),"")</f>
        <v/>
      </c>
      <c r="E4416" t="str">
        <f>IFERROR(__xludf.DUMMYFUNCTION("""COMPUTED_VALUE"""),"")</f>
        <v/>
      </c>
      <c r="F4416" t="str">
        <f>IFERROR(__xludf.DUMMYFUNCTION("""COMPUTED_VALUE"""),"")</f>
        <v/>
      </c>
      <c r="G4416" t="str">
        <f>IFERROR(__xludf.DUMMYFUNCTION("""COMPUTED_VALUE"""),"")</f>
        <v/>
      </c>
      <c r="H4416" s="2" t="str">
        <f>IFERROR(__xludf.DUMMYFUNCTION("""COMPUTED_VALUE"""),"")</f>
        <v/>
      </c>
      <c r="I4416" s="2" t="str">
        <f>IFERROR(__xludf.DUMMYFUNCTION("""COMPUTED_VALUE"""),"")</f>
        <v/>
      </c>
      <c r="J4416" s="2">
        <f>IFERROR(__xludf.DUMMYFUNCTION("""COMPUTED_VALUE"""),0.0)</f>
        <v>0</v>
      </c>
      <c r="K4416" s="5" t="str">
        <f>IFERROR(__xludf.DUMMYFUNCTION("""COMPUTED_VALUE"""),"")</f>
        <v/>
      </c>
      <c r="L4416" t="str">
        <f>IFERROR(__xludf.DUMMYFUNCTION("""COMPUTED_VALUE"""),"")</f>
        <v/>
      </c>
      <c r="M4416" t="str">
        <f>IFERROR(__xludf.DUMMYFUNCTION("""COMPUTED_VALUE"""),"")</f>
        <v/>
      </c>
      <c r="N4416" t="str">
        <f>IFERROR(__xludf.DUMMYFUNCTION("""COMPUTED_VALUE"""),"")</f>
        <v/>
      </c>
      <c r="O4416" t="str">
        <f>IFERROR(__xludf.DUMMYFUNCTION("""COMPUTED_VALUE"""),"")</f>
        <v/>
      </c>
      <c r="P4416" t="str">
        <f>IFERROR(__xludf.DUMMYFUNCTION("""COMPUTED_VALUE"""),"ID ")</f>
        <v>ID </v>
      </c>
    </row>
    <row r="4417">
      <c r="A4417" s="6" t="str">
        <f>IFERROR(__xludf.DUMMYFUNCTION("""COMPUTED_VALUE"""),"")</f>
        <v/>
      </c>
      <c r="C4417" t="str">
        <f>IFERROR(__xludf.DUMMYFUNCTION("""COMPUTED_VALUE"""),"")</f>
        <v/>
      </c>
      <c r="D4417" t="str">
        <f>IFERROR(__xludf.DUMMYFUNCTION("""COMPUTED_VALUE"""),"")</f>
        <v/>
      </c>
      <c r="E4417" t="str">
        <f>IFERROR(__xludf.DUMMYFUNCTION("""COMPUTED_VALUE"""),"")</f>
        <v/>
      </c>
      <c r="F4417" t="str">
        <f>IFERROR(__xludf.DUMMYFUNCTION("""COMPUTED_VALUE"""),"")</f>
        <v/>
      </c>
      <c r="G4417" t="str">
        <f>IFERROR(__xludf.DUMMYFUNCTION("""COMPUTED_VALUE"""),"")</f>
        <v/>
      </c>
      <c r="H4417" s="2" t="str">
        <f>IFERROR(__xludf.DUMMYFUNCTION("""COMPUTED_VALUE"""),"")</f>
        <v/>
      </c>
      <c r="I4417" s="2" t="str">
        <f>IFERROR(__xludf.DUMMYFUNCTION("""COMPUTED_VALUE"""),"")</f>
        <v/>
      </c>
      <c r="J4417" s="2">
        <f>IFERROR(__xludf.DUMMYFUNCTION("""COMPUTED_VALUE"""),0.0)</f>
        <v>0</v>
      </c>
      <c r="K4417" s="5" t="str">
        <f>IFERROR(__xludf.DUMMYFUNCTION("""COMPUTED_VALUE"""),"")</f>
        <v/>
      </c>
      <c r="L4417" t="str">
        <f>IFERROR(__xludf.DUMMYFUNCTION("""COMPUTED_VALUE"""),"")</f>
        <v/>
      </c>
      <c r="M4417" t="str">
        <f>IFERROR(__xludf.DUMMYFUNCTION("""COMPUTED_VALUE"""),"")</f>
        <v/>
      </c>
      <c r="N4417" t="str">
        <f>IFERROR(__xludf.DUMMYFUNCTION("""COMPUTED_VALUE"""),"")</f>
        <v/>
      </c>
      <c r="O4417" t="str">
        <f>IFERROR(__xludf.DUMMYFUNCTION("""COMPUTED_VALUE"""),"")</f>
        <v/>
      </c>
      <c r="P4417" t="str">
        <f>IFERROR(__xludf.DUMMYFUNCTION("""COMPUTED_VALUE"""),"ID ")</f>
        <v>ID </v>
      </c>
    </row>
    <row r="4418">
      <c r="A4418" s="6" t="str">
        <f>IFERROR(__xludf.DUMMYFUNCTION("""COMPUTED_VALUE"""),"")</f>
        <v/>
      </c>
      <c r="C4418" t="str">
        <f>IFERROR(__xludf.DUMMYFUNCTION("""COMPUTED_VALUE"""),"")</f>
        <v/>
      </c>
      <c r="D4418" t="str">
        <f>IFERROR(__xludf.DUMMYFUNCTION("""COMPUTED_VALUE"""),"")</f>
        <v/>
      </c>
      <c r="E4418" t="str">
        <f>IFERROR(__xludf.DUMMYFUNCTION("""COMPUTED_VALUE"""),"")</f>
        <v/>
      </c>
      <c r="F4418" t="str">
        <f>IFERROR(__xludf.DUMMYFUNCTION("""COMPUTED_VALUE"""),"")</f>
        <v/>
      </c>
      <c r="G4418" t="str">
        <f>IFERROR(__xludf.DUMMYFUNCTION("""COMPUTED_VALUE"""),"")</f>
        <v/>
      </c>
      <c r="H4418" s="2" t="str">
        <f>IFERROR(__xludf.DUMMYFUNCTION("""COMPUTED_VALUE"""),"")</f>
        <v/>
      </c>
      <c r="I4418" s="2" t="str">
        <f>IFERROR(__xludf.DUMMYFUNCTION("""COMPUTED_VALUE"""),"")</f>
        <v/>
      </c>
      <c r="J4418" s="2">
        <f>IFERROR(__xludf.DUMMYFUNCTION("""COMPUTED_VALUE"""),0.0)</f>
        <v>0</v>
      </c>
      <c r="K4418" s="5" t="str">
        <f>IFERROR(__xludf.DUMMYFUNCTION("""COMPUTED_VALUE"""),"")</f>
        <v/>
      </c>
      <c r="L4418" t="str">
        <f>IFERROR(__xludf.DUMMYFUNCTION("""COMPUTED_VALUE"""),"")</f>
        <v/>
      </c>
      <c r="M4418" t="str">
        <f>IFERROR(__xludf.DUMMYFUNCTION("""COMPUTED_VALUE"""),"")</f>
        <v/>
      </c>
      <c r="N4418" t="str">
        <f>IFERROR(__xludf.DUMMYFUNCTION("""COMPUTED_VALUE"""),"")</f>
        <v/>
      </c>
      <c r="O4418" t="str">
        <f>IFERROR(__xludf.DUMMYFUNCTION("""COMPUTED_VALUE"""),"")</f>
        <v/>
      </c>
      <c r="P4418" t="str">
        <f>IFERROR(__xludf.DUMMYFUNCTION("""COMPUTED_VALUE"""),"ID ")</f>
        <v>ID </v>
      </c>
    </row>
    <row r="4419">
      <c r="A4419" s="6" t="str">
        <f>IFERROR(__xludf.DUMMYFUNCTION("""COMPUTED_VALUE"""),"")</f>
        <v/>
      </c>
      <c r="C4419" t="str">
        <f>IFERROR(__xludf.DUMMYFUNCTION("""COMPUTED_VALUE"""),"")</f>
        <v/>
      </c>
      <c r="D4419" t="str">
        <f>IFERROR(__xludf.DUMMYFUNCTION("""COMPUTED_VALUE"""),"")</f>
        <v/>
      </c>
      <c r="E4419" t="str">
        <f>IFERROR(__xludf.DUMMYFUNCTION("""COMPUTED_VALUE"""),"")</f>
        <v/>
      </c>
      <c r="F4419" t="str">
        <f>IFERROR(__xludf.DUMMYFUNCTION("""COMPUTED_VALUE"""),"")</f>
        <v/>
      </c>
      <c r="G4419" t="str">
        <f>IFERROR(__xludf.DUMMYFUNCTION("""COMPUTED_VALUE"""),"")</f>
        <v/>
      </c>
      <c r="H4419" s="2" t="str">
        <f>IFERROR(__xludf.DUMMYFUNCTION("""COMPUTED_VALUE"""),"")</f>
        <v/>
      </c>
      <c r="I4419" s="2" t="str">
        <f>IFERROR(__xludf.DUMMYFUNCTION("""COMPUTED_VALUE"""),"")</f>
        <v/>
      </c>
      <c r="J4419" s="2">
        <f>IFERROR(__xludf.DUMMYFUNCTION("""COMPUTED_VALUE"""),0.0)</f>
        <v>0</v>
      </c>
      <c r="K4419" s="5" t="str">
        <f>IFERROR(__xludf.DUMMYFUNCTION("""COMPUTED_VALUE"""),"")</f>
        <v/>
      </c>
      <c r="L4419" t="str">
        <f>IFERROR(__xludf.DUMMYFUNCTION("""COMPUTED_VALUE"""),"")</f>
        <v/>
      </c>
      <c r="M4419" t="str">
        <f>IFERROR(__xludf.DUMMYFUNCTION("""COMPUTED_VALUE"""),"")</f>
        <v/>
      </c>
      <c r="N4419" t="str">
        <f>IFERROR(__xludf.DUMMYFUNCTION("""COMPUTED_VALUE"""),"")</f>
        <v/>
      </c>
      <c r="O4419" t="str">
        <f>IFERROR(__xludf.DUMMYFUNCTION("""COMPUTED_VALUE"""),"")</f>
        <v/>
      </c>
      <c r="P4419" t="str">
        <f>IFERROR(__xludf.DUMMYFUNCTION("""COMPUTED_VALUE"""),"ID ")</f>
        <v>ID </v>
      </c>
    </row>
    <row r="4420">
      <c r="A4420" s="6" t="str">
        <f>IFERROR(__xludf.DUMMYFUNCTION("""COMPUTED_VALUE"""),"")</f>
        <v/>
      </c>
      <c r="C4420" t="str">
        <f>IFERROR(__xludf.DUMMYFUNCTION("""COMPUTED_VALUE"""),"")</f>
        <v/>
      </c>
      <c r="D4420" t="str">
        <f>IFERROR(__xludf.DUMMYFUNCTION("""COMPUTED_VALUE"""),"")</f>
        <v/>
      </c>
      <c r="E4420" t="str">
        <f>IFERROR(__xludf.DUMMYFUNCTION("""COMPUTED_VALUE"""),"")</f>
        <v/>
      </c>
      <c r="F4420" t="str">
        <f>IFERROR(__xludf.DUMMYFUNCTION("""COMPUTED_VALUE"""),"")</f>
        <v/>
      </c>
      <c r="G4420" t="str">
        <f>IFERROR(__xludf.DUMMYFUNCTION("""COMPUTED_VALUE"""),"")</f>
        <v/>
      </c>
      <c r="H4420" s="2" t="str">
        <f>IFERROR(__xludf.DUMMYFUNCTION("""COMPUTED_VALUE"""),"")</f>
        <v/>
      </c>
      <c r="I4420" s="2" t="str">
        <f>IFERROR(__xludf.DUMMYFUNCTION("""COMPUTED_VALUE"""),"")</f>
        <v/>
      </c>
      <c r="J4420" s="2">
        <f>IFERROR(__xludf.DUMMYFUNCTION("""COMPUTED_VALUE"""),0.0)</f>
        <v>0</v>
      </c>
      <c r="K4420" s="5" t="str">
        <f>IFERROR(__xludf.DUMMYFUNCTION("""COMPUTED_VALUE"""),"")</f>
        <v/>
      </c>
      <c r="L4420" t="str">
        <f>IFERROR(__xludf.DUMMYFUNCTION("""COMPUTED_VALUE"""),"")</f>
        <v/>
      </c>
      <c r="M4420" t="str">
        <f>IFERROR(__xludf.DUMMYFUNCTION("""COMPUTED_VALUE"""),"")</f>
        <v/>
      </c>
      <c r="N4420" t="str">
        <f>IFERROR(__xludf.DUMMYFUNCTION("""COMPUTED_VALUE"""),"")</f>
        <v/>
      </c>
      <c r="O4420" t="str">
        <f>IFERROR(__xludf.DUMMYFUNCTION("""COMPUTED_VALUE"""),"")</f>
        <v/>
      </c>
      <c r="P4420" t="str">
        <f>IFERROR(__xludf.DUMMYFUNCTION("""COMPUTED_VALUE"""),"ID ")</f>
        <v>ID </v>
      </c>
    </row>
    <row r="4421">
      <c r="A4421" s="6" t="str">
        <f>IFERROR(__xludf.DUMMYFUNCTION("""COMPUTED_VALUE"""),"")</f>
        <v/>
      </c>
      <c r="C4421" t="str">
        <f>IFERROR(__xludf.DUMMYFUNCTION("""COMPUTED_VALUE"""),"")</f>
        <v/>
      </c>
      <c r="D4421" t="str">
        <f>IFERROR(__xludf.DUMMYFUNCTION("""COMPUTED_VALUE"""),"")</f>
        <v/>
      </c>
      <c r="E4421" t="str">
        <f>IFERROR(__xludf.DUMMYFUNCTION("""COMPUTED_VALUE"""),"")</f>
        <v/>
      </c>
      <c r="F4421" t="str">
        <f>IFERROR(__xludf.DUMMYFUNCTION("""COMPUTED_VALUE"""),"")</f>
        <v/>
      </c>
      <c r="G4421" t="str">
        <f>IFERROR(__xludf.DUMMYFUNCTION("""COMPUTED_VALUE"""),"")</f>
        <v/>
      </c>
      <c r="H4421" s="2" t="str">
        <f>IFERROR(__xludf.DUMMYFUNCTION("""COMPUTED_VALUE"""),"")</f>
        <v/>
      </c>
      <c r="I4421" s="2" t="str">
        <f>IFERROR(__xludf.DUMMYFUNCTION("""COMPUTED_VALUE"""),"")</f>
        <v/>
      </c>
      <c r="J4421" s="2">
        <f>IFERROR(__xludf.DUMMYFUNCTION("""COMPUTED_VALUE"""),0.0)</f>
        <v>0</v>
      </c>
      <c r="K4421" s="5" t="str">
        <f>IFERROR(__xludf.DUMMYFUNCTION("""COMPUTED_VALUE"""),"")</f>
        <v/>
      </c>
      <c r="L4421" t="str">
        <f>IFERROR(__xludf.DUMMYFUNCTION("""COMPUTED_VALUE"""),"")</f>
        <v/>
      </c>
      <c r="M4421" t="str">
        <f>IFERROR(__xludf.DUMMYFUNCTION("""COMPUTED_VALUE"""),"")</f>
        <v/>
      </c>
      <c r="N4421" t="str">
        <f>IFERROR(__xludf.DUMMYFUNCTION("""COMPUTED_VALUE"""),"")</f>
        <v/>
      </c>
      <c r="O4421" t="str">
        <f>IFERROR(__xludf.DUMMYFUNCTION("""COMPUTED_VALUE"""),"")</f>
        <v/>
      </c>
      <c r="P4421" t="str">
        <f>IFERROR(__xludf.DUMMYFUNCTION("""COMPUTED_VALUE"""),"ID ")</f>
        <v>ID </v>
      </c>
    </row>
    <row r="4422">
      <c r="A4422" s="6" t="str">
        <f>IFERROR(__xludf.DUMMYFUNCTION("""COMPUTED_VALUE"""),"")</f>
        <v/>
      </c>
      <c r="C4422" t="str">
        <f>IFERROR(__xludf.DUMMYFUNCTION("""COMPUTED_VALUE"""),"")</f>
        <v/>
      </c>
      <c r="D4422" t="str">
        <f>IFERROR(__xludf.DUMMYFUNCTION("""COMPUTED_VALUE"""),"")</f>
        <v/>
      </c>
      <c r="E4422" t="str">
        <f>IFERROR(__xludf.DUMMYFUNCTION("""COMPUTED_VALUE"""),"")</f>
        <v/>
      </c>
      <c r="F4422" t="str">
        <f>IFERROR(__xludf.DUMMYFUNCTION("""COMPUTED_VALUE"""),"")</f>
        <v/>
      </c>
      <c r="G4422" t="str">
        <f>IFERROR(__xludf.DUMMYFUNCTION("""COMPUTED_VALUE"""),"")</f>
        <v/>
      </c>
      <c r="H4422" s="2" t="str">
        <f>IFERROR(__xludf.DUMMYFUNCTION("""COMPUTED_VALUE"""),"")</f>
        <v/>
      </c>
      <c r="I4422" s="2" t="str">
        <f>IFERROR(__xludf.DUMMYFUNCTION("""COMPUTED_VALUE"""),"")</f>
        <v/>
      </c>
      <c r="J4422" s="2">
        <f>IFERROR(__xludf.DUMMYFUNCTION("""COMPUTED_VALUE"""),0.0)</f>
        <v>0</v>
      </c>
      <c r="K4422" s="5" t="str">
        <f>IFERROR(__xludf.DUMMYFUNCTION("""COMPUTED_VALUE"""),"")</f>
        <v/>
      </c>
      <c r="L4422" t="str">
        <f>IFERROR(__xludf.DUMMYFUNCTION("""COMPUTED_VALUE"""),"")</f>
        <v/>
      </c>
      <c r="M4422" t="str">
        <f>IFERROR(__xludf.DUMMYFUNCTION("""COMPUTED_VALUE"""),"")</f>
        <v/>
      </c>
      <c r="N4422" t="str">
        <f>IFERROR(__xludf.DUMMYFUNCTION("""COMPUTED_VALUE"""),"")</f>
        <v/>
      </c>
      <c r="O4422" t="str">
        <f>IFERROR(__xludf.DUMMYFUNCTION("""COMPUTED_VALUE"""),"")</f>
        <v/>
      </c>
      <c r="P4422" t="str">
        <f>IFERROR(__xludf.DUMMYFUNCTION("""COMPUTED_VALUE"""),"ID ")</f>
        <v>ID </v>
      </c>
    </row>
    <row r="4423">
      <c r="A4423" s="6" t="str">
        <f>IFERROR(__xludf.DUMMYFUNCTION("""COMPUTED_VALUE"""),"")</f>
        <v/>
      </c>
      <c r="C4423" t="str">
        <f>IFERROR(__xludf.DUMMYFUNCTION("""COMPUTED_VALUE"""),"")</f>
        <v/>
      </c>
      <c r="D4423" t="str">
        <f>IFERROR(__xludf.DUMMYFUNCTION("""COMPUTED_VALUE"""),"")</f>
        <v/>
      </c>
      <c r="E4423" t="str">
        <f>IFERROR(__xludf.DUMMYFUNCTION("""COMPUTED_VALUE"""),"")</f>
        <v/>
      </c>
      <c r="F4423" t="str">
        <f>IFERROR(__xludf.DUMMYFUNCTION("""COMPUTED_VALUE"""),"")</f>
        <v/>
      </c>
      <c r="G4423" t="str">
        <f>IFERROR(__xludf.DUMMYFUNCTION("""COMPUTED_VALUE"""),"")</f>
        <v/>
      </c>
      <c r="H4423" s="2" t="str">
        <f>IFERROR(__xludf.DUMMYFUNCTION("""COMPUTED_VALUE"""),"")</f>
        <v/>
      </c>
      <c r="I4423" s="2" t="str">
        <f>IFERROR(__xludf.DUMMYFUNCTION("""COMPUTED_VALUE"""),"")</f>
        <v/>
      </c>
      <c r="J4423" s="2">
        <f>IFERROR(__xludf.DUMMYFUNCTION("""COMPUTED_VALUE"""),0.0)</f>
        <v>0</v>
      </c>
      <c r="K4423" s="5" t="str">
        <f>IFERROR(__xludf.DUMMYFUNCTION("""COMPUTED_VALUE"""),"")</f>
        <v/>
      </c>
      <c r="L4423" t="str">
        <f>IFERROR(__xludf.DUMMYFUNCTION("""COMPUTED_VALUE"""),"")</f>
        <v/>
      </c>
      <c r="M4423" t="str">
        <f>IFERROR(__xludf.DUMMYFUNCTION("""COMPUTED_VALUE"""),"")</f>
        <v/>
      </c>
      <c r="N4423" t="str">
        <f>IFERROR(__xludf.DUMMYFUNCTION("""COMPUTED_VALUE"""),"")</f>
        <v/>
      </c>
      <c r="O4423" t="str">
        <f>IFERROR(__xludf.DUMMYFUNCTION("""COMPUTED_VALUE"""),"")</f>
        <v/>
      </c>
      <c r="P4423" t="str">
        <f>IFERROR(__xludf.DUMMYFUNCTION("""COMPUTED_VALUE"""),"ID ")</f>
        <v>ID </v>
      </c>
    </row>
    <row r="4424">
      <c r="A4424" s="6" t="str">
        <f>IFERROR(__xludf.DUMMYFUNCTION("""COMPUTED_VALUE"""),"")</f>
        <v/>
      </c>
      <c r="C4424" t="str">
        <f>IFERROR(__xludf.DUMMYFUNCTION("""COMPUTED_VALUE"""),"")</f>
        <v/>
      </c>
      <c r="D4424" t="str">
        <f>IFERROR(__xludf.DUMMYFUNCTION("""COMPUTED_VALUE"""),"")</f>
        <v/>
      </c>
      <c r="E4424" t="str">
        <f>IFERROR(__xludf.DUMMYFUNCTION("""COMPUTED_VALUE"""),"")</f>
        <v/>
      </c>
      <c r="F4424" t="str">
        <f>IFERROR(__xludf.DUMMYFUNCTION("""COMPUTED_VALUE"""),"")</f>
        <v/>
      </c>
      <c r="G4424" t="str">
        <f>IFERROR(__xludf.DUMMYFUNCTION("""COMPUTED_VALUE"""),"")</f>
        <v/>
      </c>
      <c r="H4424" s="2" t="str">
        <f>IFERROR(__xludf.DUMMYFUNCTION("""COMPUTED_VALUE"""),"")</f>
        <v/>
      </c>
      <c r="I4424" s="2" t="str">
        <f>IFERROR(__xludf.DUMMYFUNCTION("""COMPUTED_VALUE"""),"")</f>
        <v/>
      </c>
      <c r="J4424" s="2">
        <f>IFERROR(__xludf.DUMMYFUNCTION("""COMPUTED_VALUE"""),0.0)</f>
        <v>0</v>
      </c>
      <c r="K4424" s="5" t="str">
        <f>IFERROR(__xludf.DUMMYFUNCTION("""COMPUTED_VALUE"""),"")</f>
        <v/>
      </c>
      <c r="L4424" t="str">
        <f>IFERROR(__xludf.DUMMYFUNCTION("""COMPUTED_VALUE"""),"")</f>
        <v/>
      </c>
      <c r="M4424" t="str">
        <f>IFERROR(__xludf.DUMMYFUNCTION("""COMPUTED_VALUE"""),"")</f>
        <v/>
      </c>
      <c r="N4424" t="str">
        <f>IFERROR(__xludf.DUMMYFUNCTION("""COMPUTED_VALUE"""),"")</f>
        <v/>
      </c>
      <c r="O4424" t="str">
        <f>IFERROR(__xludf.DUMMYFUNCTION("""COMPUTED_VALUE"""),"")</f>
        <v/>
      </c>
      <c r="P4424" t="str">
        <f>IFERROR(__xludf.DUMMYFUNCTION("""COMPUTED_VALUE"""),"ID ")</f>
        <v>ID </v>
      </c>
    </row>
    <row r="4425">
      <c r="A4425" s="6" t="str">
        <f>IFERROR(__xludf.DUMMYFUNCTION("""COMPUTED_VALUE"""),"")</f>
        <v/>
      </c>
      <c r="C4425" t="str">
        <f>IFERROR(__xludf.DUMMYFUNCTION("""COMPUTED_VALUE"""),"")</f>
        <v/>
      </c>
      <c r="D4425" t="str">
        <f>IFERROR(__xludf.DUMMYFUNCTION("""COMPUTED_VALUE"""),"")</f>
        <v/>
      </c>
      <c r="E4425" t="str">
        <f>IFERROR(__xludf.DUMMYFUNCTION("""COMPUTED_VALUE"""),"")</f>
        <v/>
      </c>
      <c r="F4425" t="str">
        <f>IFERROR(__xludf.DUMMYFUNCTION("""COMPUTED_VALUE"""),"")</f>
        <v/>
      </c>
      <c r="G4425" t="str">
        <f>IFERROR(__xludf.DUMMYFUNCTION("""COMPUTED_VALUE"""),"")</f>
        <v/>
      </c>
      <c r="H4425" s="2" t="str">
        <f>IFERROR(__xludf.DUMMYFUNCTION("""COMPUTED_VALUE"""),"")</f>
        <v/>
      </c>
      <c r="I4425" s="2" t="str">
        <f>IFERROR(__xludf.DUMMYFUNCTION("""COMPUTED_VALUE"""),"")</f>
        <v/>
      </c>
      <c r="J4425" s="2">
        <f>IFERROR(__xludf.DUMMYFUNCTION("""COMPUTED_VALUE"""),0.0)</f>
        <v>0</v>
      </c>
      <c r="K4425" s="5" t="str">
        <f>IFERROR(__xludf.DUMMYFUNCTION("""COMPUTED_VALUE"""),"")</f>
        <v/>
      </c>
      <c r="L4425" t="str">
        <f>IFERROR(__xludf.DUMMYFUNCTION("""COMPUTED_VALUE"""),"")</f>
        <v/>
      </c>
      <c r="M4425" t="str">
        <f>IFERROR(__xludf.DUMMYFUNCTION("""COMPUTED_VALUE"""),"")</f>
        <v/>
      </c>
      <c r="N4425" t="str">
        <f>IFERROR(__xludf.DUMMYFUNCTION("""COMPUTED_VALUE"""),"")</f>
        <v/>
      </c>
      <c r="O4425" t="str">
        <f>IFERROR(__xludf.DUMMYFUNCTION("""COMPUTED_VALUE"""),"")</f>
        <v/>
      </c>
      <c r="P4425" t="str">
        <f>IFERROR(__xludf.DUMMYFUNCTION("""COMPUTED_VALUE"""),"ID ")</f>
        <v>ID </v>
      </c>
    </row>
    <row r="4426">
      <c r="A4426" s="6" t="str">
        <f>IFERROR(__xludf.DUMMYFUNCTION("""COMPUTED_VALUE"""),"")</f>
        <v/>
      </c>
      <c r="C4426" t="str">
        <f>IFERROR(__xludf.DUMMYFUNCTION("""COMPUTED_VALUE"""),"")</f>
        <v/>
      </c>
      <c r="D4426" t="str">
        <f>IFERROR(__xludf.DUMMYFUNCTION("""COMPUTED_VALUE"""),"")</f>
        <v/>
      </c>
      <c r="E4426" t="str">
        <f>IFERROR(__xludf.DUMMYFUNCTION("""COMPUTED_VALUE"""),"")</f>
        <v/>
      </c>
      <c r="F4426" t="str">
        <f>IFERROR(__xludf.DUMMYFUNCTION("""COMPUTED_VALUE"""),"")</f>
        <v/>
      </c>
      <c r="G4426" t="str">
        <f>IFERROR(__xludf.DUMMYFUNCTION("""COMPUTED_VALUE"""),"")</f>
        <v/>
      </c>
      <c r="H4426" s="2" t="str">
        <f>IFERROR(__xludf.DUMMYFUNCTION("""COMPUTED_VALUE"""),"")</f>
        <v/>
      </c>
      <c r="I4426" s="2" t="str">
        <f>IFERROR(__xludf.DUMMYFUNCTION("""COMPUTED_VALUE"""),"")</f>
        <v/>
      </c>
      <c r="J4426" s="2">
        <f>IFERROR(__xludf.DUMMYFUNCTION("""COMPUTED_VALUE"""),0.0)</f>
        <v>0</v>
      </c>
      <c r="K4426" s="5" t="str">
        <f>IFERROR(__xludf.DUMMYFUNCTION("""COMPUTED_VALUE"""),"")</f>
        <v/>
      </c>
      <c r="L4426" t="str">
        <f>IFERROR(__xludf.DUMMYFUNCTION("""COMPUTED_VALUE"""),"")</f>
        <v/>
      </c>
      <c r="M4426" t="str">
        <f>IFERROR(__xludf.DUMMYFUNCTION("""COMPUTED_VALUE"""),"")</f>
        <v/>
      </c>
      <c r="N4426" t="str">
        <f>IFERROR(__xludf.DUMMYFUNCTION("""COMPUTED_VALUE"""),"")</f>
        <v/>
      </c>
      <c r="O4426" t="str">
        <f>IFERROR(__xludf.DUMMYFUNCTION("""COMPUTED_VALUE"""),"")</f>
        <v/>
      </c>
      <c r="P4426" t="str">
        <f>IFERROR(__xludf.DUMMYFUNCTION("""COMPUTED_VALUE"""),"ID ")</f>
        <v>ID </v>
      </c>
    </row>
    <row r="4427">
      <c r="A4427" s="6" t="str">
        <f>IFERROR(__xludf.DUMMYFUNCTION("""COMPUTED_VALUE"""),"")</f>
        <v/>
      </c>
      <c r="C4427" t="str">
        <f>IFERROR(__xludf.DUMMYFUNCTION("""COMPUTED_VALUE"""),"")</f>
        <v/>
      </c>
      <c r="D4427" t="str">
        <f>IFERROR(__xludf.DUMMYFUNCTION("""COMPUTED_VALUE"""),"")</f>
        <v/>
      </c>
      <c r="E4427" t="str">
        <f>IFERROR(__xludf.DUMMYFUNCTION("""COMPUTED_VALUE"""),"")</f>
        <v/>
      </c>
      <c r="F4427" t="str">
        <f>IFERROR(__xludf.DUMMYFUNCTION("""COMPUTED_VALUE"""),"")</f>
        <v/>
      </c>
      <c r="G4427" t="str">
        <f>IFERROR(__xludf.DUMMYFUNCTION("""COMPUTED_VALUE"""),"")</f>
        <v/>
      </c>
      <c r="H4427" s="2" t="str">
        <f>IFERROR(__xludf.DUMMYFUNCTION("""COMPUTED_VALUE"""),"")</f>
        <v/>
      </c>
      <c r="I4427" s="2" t="str">
        <f>IFERROR(__xludf.DUMMYFUNCTION("""COMPUTED_VALUE"""),"")</f>
        <v/>
      </c>
      <c r="J4427" s="2">
        <f>IFERROR(__xludf.DUMMYFUNCTION("""COMPUTED_VALUE"""),0.0)</f>
        <v>0</v>
      </c>
      <c r="K4427" s="5" t="str">
        <f>IFERROR(__xludf.DUMMYFUNCTION("""COMPUTED_VALUE"""),"")</f>
        <v/>
      </c>
      <c r="L4427" t="str">
        <f>IFERROR(__xludf.DUMMYFUNCTION("""COMPUTED_VALUE"""),"")</f>
        <v/>
      </c>
      <c r="M4427" t="str">
        <f>IFERROR(__xludf.DUMMYFUNCTION("""COMPUTED_VALUE"""),"")</f>
        <v/>
      </c>
      <c r="N4427" t="str">
        <f>IFERROR(__xludf.DUMMYFUNCTION("""COMPUTED_VALUE"""),"")</f>
        <v/>
      </c>
      <c r="O4427" t="str">
        <f>IFERROR(__xludf.DUMMYFUNCTION("""COMPUTED_VALUE"""),"")</f>
        <v/>
      </c>
      <c r="P4427" t="str">
        <f>IFERROR(__xludf.DUMMYFUNCTION("""COMPUTED_VALUE"""),"ID ")</f>
        <v>ID </v>
      </c>
    </row>
    <row r="4428">
      <c r="A4428" s="6" t="str">
        <f>IFERROR(__xludf.DUMMYFUNCTION("""COMPUTED_VALUE"""),"")</f>
        <v/>
      </c>
      <c r="C4428" t="str">
        <f>IFERROR(__xludf.DUMMYFUNCTION("""COMPUTED_VALUE"""),"")</f>
        <v/>
      </c>
      <c r="D4428" t="str">
        <f>IFERROR(__xludf.DUMMYFUNCTION("""COMPUTED_VALUE"""),"")</f>
        <v/>
      </c>
      <c r="E4428" t="str">
        <f>IFERROR(__xludf.DUMMYFUNCTION("""COMPUTED_VALUE"""),"")</f>
        <v/>
      </c>
      <c r="F4428" t="str">
        <f>IFERROR(__xludf.DUMMYFUNCTION("""COMPUTED_VALUE"""),"")</f>
        <v/>
      </c>
      <c r="G4428" t="str">
        <f>IFERROR(__xludf.DUMMYFUNCTION("""COMPUTED_VALUE"""),"")</f>
        <v/>
      </c>
      <c r="H4428" s="2" t="str">
        <f>IFERROR(__xludf.DUMMYFUNCTION("""COMPUTED_VALUE"""),"")</f>
        <v/>
      </c>
      <c r="I4428" s="2" t="str">
        <f>IFERROR(__xludf.DUMMYFUNCTION("""COMPUTED_VALUE"""),"")</f>
        <v/>
      </c>
      <c r="J4428" s="2">
        <f>IFERROR(__xludf.DUMMYFUNCTION("""COMPUTED_VALUE"""),0.0)</f>
        <v>0</v>
      </c>
      <c r="K4428" s="5" t="str">
        <f>IFERROR(__xludf.DUMMYFUNCTION("""COMPUTED_VALUE"""),"")</f>
        <v/>
      </c>
      <c r="L4428" t="str">
        <f>IFERROR(__xludf.DUMMYFUNCTION("""COMPUTED_VALUE"""),"")</f>
        <v/>
      </c>
      <c r="M4428" t="str">
        <f>IFERROR(__xludf.DUMMYFUNCTION("""COMPUTED_VALUE"""),"")</f>
        <v/>
      </c>
      <c r="N4428" t="str">
        <f>IFERROR(__xludf.DUMMYFUNCTION("""COMPUTED_VALUE"""),"")</f>
        <v/>
      </c>
      <c r="O4428" t="str">
        <f>IFERROR(__xludf.DUMMYFUNCTION("""COMPUTED_VALUE"""),"")</f>
        <v/>
      </c>
      <c r="P4428" t="str">
        <f>IFERROR(__xludf.DUMMYFUNCTION("""COMPUTED_VALUE"""),"ID ")</f>
        <v>ID </v>
      </c>
    </row>
    <row r="4429">
      <c r="A4429" s="6" t="str">
        <f>IFERROR(__xludf.DUMMYFUNCTION("""COMPUTED_VALUE"""),"")</f>
        <v/>
      </c>
      <c r="C4429" t="str">
        <f>IFERROR(__xludf.DUMMYFUNCTION("""COMPUTED_VALUE"""),"")</f>
        <v/>
      </c>
      <c r="D4429" t="str">
        <f>IFERROR(__xludf.DUMMYFUNCTION("""COMPUTED_VALUE"""),"")</f>
        <v/>
      </c>
      <c r="E4429" t="str">
        <f>IFERROR(__xludf.DUMMYFUNCTION("""COMPUTED_VALUE"""),"")</f>
        <v/>
      </c>
      <c r="F4429" t="str">
        <f>IFERROR(__xludf.DUMMYFUNCTION("""COMPUTED_VALUE"""),"")</f>
        <v/>
      </c>
      <c r="G4429" t="str">
        <f>IFERROR(__xludf.DUMMYFUNCTION("""COMPUTED_VALUE"""),"")</f>
        <v/>
      </c>
      <c r="H4429" s="2" t="str">
        <f>IFERROR(__xludf.DUMMYFUNCTION("""COMPUTED_VALUE"""),"")</f>
        <v/>
      </c>
      <c r="I4429" s="2" t="str">
        <f>IFERROR(__xludf.DUMMYFUNCTION("""COMPUTED_VALUE"""),"")</f>
        <v/>
      </c>
      <c r="J4429" s="2">
        <f>IFERROR(__xludf.DUMMYFUNCTION("""COMPUTED_VALUE"""),0.0)</f>
        <v>0</v>
      </c>
      <c r="K4429" s="5" t="str">
        <f>IFERROR(__xludf.DUMMYFUNCTION("""COMPUTED_VALUE"""),"")</f>
        <v/>
      </c>
      <c r="L4429" t="str">
        <f>IFERROR(__xludf.DUMMYFUNCTION("""COMPUTED_VALUE"""),"")</f>
        <v/>
      </c>
      <c r="M4429" t="str">
        <f>IFERROR(__xludf.DUMMYFUNCTION("""COMPUTED_VALUE"""),"")</f>
        <v/>
      </c>
      <c r="N4429" t="str">
        <f>IFERROR(__xludf.DUMMYFUNCTION("""COMPUTED_VALUE"""),"")</f>
        <v/>
      </c>
      <c r="O4429" t="str">
        <f>IFERROR(__xludf.DUMMYFUNCTION("""COMPUTED_VALUE"""),"")</f>
        <v/>
      </c>
      <c r="P4429" t="str">
        <f>IFERROR(__xludf.DUMMYFUNCTION("""COMPUTED_VALUE"""),"ID ")</f>
        <v>ID </v>
      </c>
    </row>
    <row r="4430">
      <c r="A4430" s="6" t="str">
        <f>IFERROR(__xludf.DUMMYFUNCTION("""COMPUTED_VALUE"""),"")</f>
        <v/>
      </c>
      <c r="C4430" t="str">
        <f>IFERROR(__xludf.DUMMYFUNCTION("""COMPUTED_VALUE"""),"")</f>
        <v/>
      </c>
      <c r="D4430" t="str">
        <f>IFERROR(__xludf.DUMMYFUNCTION("""COMPUTED_VALUE"""),"")</f>
        <v/>
      </c>
      <c r="E4430" t="str">
        <f>IFERROR(__xludf.DUMMYFUNCTION("""COMPUTED_VALUE"""),"")</f>
        <v/>
      </c>
      <c r="F4430" t="str">
        <f>IFERROR(__xludf.DUMMYFUNCTION("""COMPUTED_VALUE"""),"")</f>
        <v/>
      </c>
      <c r="G4430" t="str">
        <f>IFERROR(__xludf.DUMMYFUNCTION("""COMPUTED_VALUE"""),"")</f>
        <v/>
      </c>
      <c r="H4430" s="2" t="str">
        <f>IFERROR(__xludf.DUMMYFUNCTION("""COMPUTED_VALUE"""),"")</f>
        <v/>
      </c>
      <c r="I4430" s="2" t="str">
        <f>IFERROR(__xludf.DUMMYFUNCTION("""COMPUTED_VALUE"""),"")</f>
        <v/>
      </c>
      <c r="J4430" s="2">
        <f>IFERROR(__xludf.DUMMYFUNCTION("""COMPUTED_VALUE"""),0.0)</f>
        <v>0</v>
      </c>
      <c r="K4430" s="5" t="str">
        <f>IFERROR(__xludf.DUMMYFUNCTION("""COMPUTED_VALUE"""),"")</f>
        <v/>
      </c>
      <c r="L4430" t="str">
        <f>IFERROR(__xludf.DUMMYFUNCTION("""COMPUTED_VALUE"""),"")</f>
        <v/>
      </c>
      <c r="M4430" t="str">
        <f>IFERROR(__xludf.DUMMYFUNCTION("""COMPUTED_VALUE"""),"")</f>
        <v/>
      </c>
      <c r="N4430" t="str">
        <f>IFERROR(__xludf.DUMMYFUNCTION("""COMPUTED_VALUE"""),"")</f>
        <v/>
      </c>
      <c r="O4430" t="str">
        <f>IFERROR(__xludf.DUMMYFUNCTION("""COMPUTED_VALUE"""),"")</f>
        <v/>
      </c>
      <c r="P4430" t="str">
        <f>IFERROR(__xludf.DUMMYFUNCTION("""COMPUTED_VALUE"""),"ID ")</f>
        <v>ID </v>
      </c>
    </row>
    <row r="4431">
      <c r="A4431" s="6" t="str">
        <f>IFERROR(__xludf.DUMMYFUNCTION("""COMPUTED_VALUE"""),"")</f>
        <v/>
      </c>
      <c r="C4431" t="str">
        <f>IFERROR(__xludf.DUMMYFUNCTION("""COMPUTED_VALUE"""),"")</f>
        <v/>
      </c>
      <c r="D4431" t="str">
        <f>IFERROR(__xludf.DUMMYFUNCTION("""COMPUTED_VALUE"""),"")</f>
        <v/>
      </c>
      <c r="E4431" t="str">
        <f>IFERROR(__xludf.DUMMYFUNCTION("""COMPUTED_VALUE"""),"")</f>
        <v/>
      </c>
      <c r="F4431" t="str">
        <f>IFERROR(__xludf.DUMMYFUNCTION("""COMPUTED_VALUE"""),"")</f>
        <v/>
      </c>
      <c r="G4431" t="str">
        <f>IFERROR(__xludf.DUMMYFUNCTION("""COMPUTED_VALUE"""),"")</f>
        <v/>
      </c>
      <c r="H4431" s="2" t="str">
        <f>IFERROR(__xludf.DUMMYFUNCTION("""COMPUTED_VALUE"""),"")</f>
        <v/>
      </c>
      <c r="I4431" s="2" t="str">
        <f>IFERROR(__xludf.DUMMYFUNCTION("""COMPUTED_VALUE"""),"")</f>
        <v/>
      </c>
      <c r="J4431" s="2">
        <f>IFERROR(__xludf.DUMMYFUNCTION("""COMPUTED_VALUE"""),0.0)</f>
        <v>0</v>
      </c>
      <c r="K4431" s="5" t="str">
        <f>IFERROR(__xludf.DUMMYFUNCTION("""COMPUTED_VALUE"""),"")</f>
        <v/>
      </c>
      <c r="L4431" t="str">
        <f>IFERROR(__xludf.DUMMYFUNCTION("""COMPUTED_VALUE"""),"")</f>
        <v/>
      </c>
      <c r="M4431" t="str">
        <f>IFERROR(__xludf.DUMMYFUNCTION("""COMPUTED_VALUE"""),"")</f>
        <v/>
      </c>
      <c r="N4431" t="str">
        <f>IFERROR(__xludf.DUMMYFUNCTION("""COMPUTED_VALUE"""),"")</f>
        <v/>
      </c>
      <c r="O4431" t="str">
        <f>IFERROR(__xludf.DUMMYFUNCTION("""COMPUTED_VALUE"""),"")</f>
        <v/>
      </c>
      <c r="P4431" t="str">
        <f>IFERROR(__xludf.DUMMYFUNCTION("""COMPUTED_VALUE"""),"ID ")</f>
        <v>ID </v>
      </c>
    </row>
    <row r="4432">
      <c r="A4432" s="6" t="str">
        <f>IFERROR(__xludf.DUMMYFUNCTION("""COMPUTED_VALUE"""),"")</f>
        <v/>
      </c>
      <c r="C4432" t="str">
        <f>IFERROR(__xludf.DUMMYFUNCTION("""COMPUTED_VALUE"""),"")</f>
        <v/>
      </c>
      <c r="D4432" t="str">
        <f>IFERROR(__xludf.DUMMYFUNCTION("""COMPUTED_VALUE"""),"")</f>
        <v/>
      </c>
      <c r="E4432" t="str">
        <f>IFERROR(__xludf.DUMMYFUNCTION("""COMPUTED_VALUE"""),"")</f>
        <v/>
      </c>
      <c r="F4432" t="str">
        <f>IFERROR(__xludf.DUMMYFUNCTION("""COMPUTED_VALUE"""),"")</f>
        <v/>
      </c>
      <c r="G4432" t="str">
        <f>IFERROR(__xludf.DUMMYFUNCTION("""COMPUTED_VALUE"""),"")</f>
        <v/>
      </c>
      <c r="H4432" s="2" t="str">
        <f>IFERROR(__xludf.DUMMYFUNCTION("""COMPUTED_VALUE"""),"")</f>
        <v/>
      </c>
      <c r="I4432" s="2" t="str">
        <f>IFERROR(__xludf.DUMMYFUNCTION("""COMPUTED_VALUE"""),"")</f>
        <v/>
      </c>
      <c r="J4432" s="2">
        <f>IFERROR(__xludf.DUMMYFUNCTION("""COMPUTED_VALUE"""),0.0)</f>
        <v>0</v>
      </c>
      <c r="K4432" s="5" t="str">
        <f>IFERROR(__xludf.DUMMYFUNCTION("""COMPUTED_VALUE"""),"")</f>
        <v/>
      </c>
      <c r="L4432" t="str">
        <f>IFERROR(__xludf.DUMMYFUNCTION("""COMPUTED_VALUE"""),"")</f>
        <v/>
      </c>
      <c r="M4432" t="str">
        <f>IFERROR(__xludf.DUMMYFUNCTION("""COMPUTED_VALUE"""),"")</f>
        <v/>
      </c>
      <c r="N4432" t="str">
        <f>IFERROR(__xludf.DUMMYFUNCTION("""COMPUTED_VALUE"""),"")</f>
        <v/>
      </c>
      <c r="O4432" t="str">
        <f>IFERROR(__xludf.DUMMYFUNCTION("""COMPUTED_VALUE"""),"")</f>
        <v/>
      </c>
      <c r="P4432" t="str">
        <f>IFERROR(__xludf.DUMMYFUNCTION("""COMPUTED_VALUE"""),"ID ")</f>
        <v>ID </v>
      </c>
    </row>
    <row r="4433">
      <c r="A4433" s="6" t="str">
        <f>IFERROR(__xludf.DUMMYFUNCTION("""COMPUTED_VALUE"""),"")</f>
        <v/>
      </c>
      <c r="C4433" t="str">
        <f>IFERROR(__xludf.DUMMYFUNCTION("""COMPUTED_VALUE"""),"")</f>
        <v/>
      </c>
      <c r="D4433" t="str">
        <f>IFERROR(__xludf.DUMMYFUNCTION("""COMPUTED_VALUE"""),"")</f>
        <v/>
      </c>
      <c r="E4433" t="str">
        <f>IFERROR(__xludf.DUMMYFUNCTION("""COMPUTED_VALUE"""),"")</f>
        <v/>
      </c>
      <c r="F4433" t="str">
        <f>IFERROR(__xludf.DUMMYFUNCTION("""COMPUTED_VALUE"""),"")</f>
        <v/>
      </c>
      <c r="G4433" t="str">
        <f>IFERROR(__xludf.DUMMYFUNCTION("""COMPUTED_VALUE"""),"")</f>
        <v/>
      </c>
      <c r="H4433" s="2" t="str">
        <f>IFERROR(__xludf.DUMMYFUNCTION("""COMPUTED_VALUE"""),"")</f>
        <v/>
      </c>
      <c r="I4433" s="2" t="str">
        <f>IFERROR(__xludf.DUMMYFUNCTION("""COMPUTED_VALUE"""),"")</f>
        <v/>
      </c>
      <c r="J4433" s="2">
        <f>IFERROR(__xludf.DUMMYFUNCTION("""COMPUTED_VALUE"""),0.0)</f>
        <v>0</v>
      </c>
      <c r="K4433" s="5" t="str">
        <f>IFERROR(__xludf.DUMMYFUNCTION("""COMPUTED_VALUE"""),"")</f>
        <v/>
      </c>
      <c r="L4433" t="str">
        <f>IFERROR(__xludf.DUMMYFUNCTION("""COMPUTED_VALUE"""),"")</f>
        <v/>
      </c>
      <c r="M4433" t="str">
        <f>IFERROR(__xludf.DUMMYFUNCTION("""COMPUTED_VALUE"""),"")</f>
        <v/>
      </c>
      <c r="N4433" t="str">
        <f>IFERROR(__xludf.DUMMYFUNCTION("""COMPUTED_VALUE"""),"")</f>
        <v/>
      </c>
      <c r="O4433" t="str">
        <f>IFERROR(__xludf.DUMMYFUNCTION("""COMPUTED_VALUE"""),"")</f>
        <v/>
      </c>
      <c r="P4433" t="str">
        <f>IFERROR(__xludf.DUMMYFUNCTION("""COMPUTED_VALUE"""),"ID ")</f>
        <v>ID </v>
      </c>
    </row>
    <row r="4434">
      <c r="A4434" s="6" t="str">
        <f>IFERROR(__xludf.DUMMYFUNCTION("""COMPUTED_VALUE"""),"")</f>
        <v/>
      </c>
      <c r="C4434" t="str">
        <f>IFERROR(__xludf.DUMMYFUNCTION("""COMPUTED_VALUE"""),"")</f>
        <v/>
      </c>
      <c r="D4434" t="str">
        <f>IFERROR(__xludf.DUMMYFUNCTION("""COMPUTED_VALUE"""),"")</f>
        <v/>
      </c>
      <c r="E4434" t="str">
        <f>IFERROR(__xludf.DUMMYFUNCTION("""COMPUTED_VALUE"""),"")</f>
        <v/>
      </c>
      <c r="F4434" t="str">
        <f>IFERROR(__xludf.DUMMYFUNCTION("""COMPUTED_VALUE"""),"")</f>
        <v/>
      </c>
      <c r="G4434" t="str">
        <f>IFERROR(__xludf.DUMMYFUNCTION("""COMPUTED_VALUE"""),"")</f>
        <v/>
      </c>
      <c r="H4434" s="2" t="str">
        <f>IFERROR(__xludf.DUMMYFUNCTION("""COMPUTED_VALUE"""),"")</f>
        <v/>
      </c>
      <c r="I4434" s="2" t="str">
        <f>IFERROR(__xludf.DUMMYFUNCTION("""COMPUTED_VALUE"""),"")</f>
        <v/>
      </c>
      <c r="J4434" s="2">
        <f>IFERROR(__xludf.DUMMYFUNCTION("""COMPUTED_VALUE"""),0.0)</f>
        <v>0</v>
      </c>
      <c r="K4434" s="5" t="str">
        <f>IFERROR(__xludf.DUMMYFUNCTION("""COMPUTED_VALUE"""),"")</f>
        <v/>
      </c>
      <c r="L4434" t="str">
        <f>IFERROR(__xludf.DUMMYFUNCTION("""COMPUTED_VALUE"""),"")</f>
        <v/>
      </c>
      <c r="M4434" t="str">
        <f>IFERROR(__xludf.DUMMYFUNCTION("""COMPUTED_VALUE"""),"")</f>
        <v/>
      </c>
      <c r="N4434" t="str">
        <f>IFERROR(__xludf.DUMMYFUNCTION("""COMPUTED_VALUE"""),"")</f>
        <v/>
      </c>
      <c r="O4434" t="str">
        <f>IFERROR(__xludf.DUMMYFUNCTION("""COMPUTED_VALUE"""),"")</f>
        <v/>
      </c>
      <c r="P4434" t="str">
        <f>IFERROR(__xludf.DUMMYFUNCTION("""COMPUTED_VALUE"""),"ID ")</f>
        <v>ID </v>
      </c>
    </row>
    <row r="4435">
      <c r="A4435" s="6" t="str">
        <f>IFERROR(__xludf.DUMMYFUNCTION("""COMPUTED_VALUE"""),"")</f>
        <v/>
      </c>
      <c r="C4435" t="str">
        <f>IFERROR(__xludf.DUMMYFUNCTION("""COMPUTED_VALUE"""),"")</f>
        <v/>
      </c>
      <c r="D4435" t="str">
        <f>IFERROR(__xludf.DUMMYFUNCTION("""COMPUTED_VALUE"""),"")</f>
        <v/>
      </c>
      <c r="E4435" t="str">
        <f>IFERROR(__xludf.DUMMYFUNCTION("""COMPUTED_VALUE"""),"")</f>
        <v/>
      </c>
      <c r="F4435" t="str">
        <f>IFERROR(__xludf.DUMMYFUNCTION("""COMPUTED_VALUE"""),"")</f>
        <v/>
      </c>
      <c r="G4435" t="str">
        <f>IFERROR(__xludf.DUMMYFUNCTION("""COMPUTED_VALUE"""),"")</f>
        <v/>
      </c>
      <c r="H4435" s="2" t="str">
        <f>IFERROR(__xludf.DUMMYFUNCTION("""COMPUTED_VALUE"""),"")</f>
        <v/>
      </c>
      <c r="I4435" s="2" t="str">
        <f>IFERROR(__xludf.DUMMYFUNCTION("""COMPUTED_VALUE"""),"")</f>
        <v/>
      </c>
      <c r="J4435" s="2">
        <f>IFERROR(__xludf.DUMMYFUNCTION("""COMPUTED_VALUE"""),0.0)</f>
        <v>0</v>
      </c>
      <c r="K4435" s="5" t="str">
        <f>IFERROR(__xludf.DUMMYFUNCTION("""COMPUTED_VALUE"""),"")</f>
        <v/>
      </c>
      <c r="L4435" t="str">
        <f>IFERROR(__xludf.DUMMYFUNCTION("""COMPUTED_VALUE"""),"")</f>
        <v/>
      </c>
      <c r="M4435" t="str">
        <f>IFERROR(__xludf.DUMMYFUNCTION("""COMPUTED_VALUE"""),"")</f>
        <v/>
      </c>
      <c r="N4435" t="str">
        <f>IFERROR(__xludf.DUMMYFUNCTION("""COMPUTED_VALUE"""),"")</f>
        <v/>
      </c>
      <c r="O4435" t="str">
        <f>IFERROR(__xludf.DUMMYFUNCTION("""COMPUTED_VALUE"""),"")</f>
        <v/>
      </c>
      <c r="P4435" t="str">
        <f>IFERROR(__xludf.DUMMYFUNCTION("""COMPUTED_VALUE"""),"ID ")</f>
        <v>ID </v>
      </c>
    </row>
    <row r="4436">
      <c r="A4436" s="6" t="str">
        <f>IFERROR(__xludf.DUMMYFUNCTION("""COMPUTED_VALUE"""),"")</f>
        <v/>
      </c>
      <c r="C4436" t="str">
        <f>IFERROR(__xludf.DUMMYFUNCTION("""COMPUTED_VALUE"""),"")</f>
        <v/>
      </c>
      <c r="D4436" t="str">
        <f>IFERROR(__xludf.DUMMYFUNCTION("""COMPUTED_VALUE"""),"")</f>
        <v/>
      </c>
      <c r="E4436" t="str">
        <f>IFERROR(__xludf.DUMMYFUNCTION("""COMPUTED_VALUE"""),"")</f>
        <v/>
      </c>
      <c r="F4436" t="str">
        <f>IFERROR(__xludf.DUMMYFUNCTION("""COMPUTED_VALUE"""),"")</f>
        <v/>
      </c>
      <c r="G4436" t="str">
        <f>IFERROR(__xludf.DUMMYFUNCTION("""COMPUTED_VALUE"""),"")</f>
        <v/>
      </c>
      <c r="H4436" s="2" t="str">
        <f>IFERROR(__xludf.DUMMYFUNCTION("""COMPUTED_VALUE"""),"")</f>
        <v/>
      </c>
      <c r="I4436" s="2" t="str">
        <f>IFERROR(__xludf.DUMMYFUNCTION("""COMPUTED_VALUE"""),"")</f>
        <v/>
      </c>
      <c r="J4436" s="2">
        <f>IFERROR(__xludf.DUMMYFUNCTION("""COMPUTED_VALUE"""),0.0)</f>
        <v>0</v>
      </c>
      <c r="K4436" s="5" t="str">
        <f>IFERROR(__xludf.DUMMYFUNCTION("""COMPUTED_VALUE"""),"")</f>
        <v/>
      </c>
      <c r="L4436" t="str">
        <f>IFERROR(__xludf.DUMMYFUNCTION("""COMPUTED_VALUE"""),"")</f>
        <v/>
      </c>
      <c r="M4436" t="str">
        <f>IFERROR(__xludf.DUMMYFUNCTION("""COMPUTED_VALUE"""),"")</f>
        <v/>
      </c>
      <c r="N4436" t="str">
        <f>IFERROR(__xludf.DUMMYFUNCTION("""COMPUTED_VALUE"""),"")</f>
        <v/>
      </c>
      <c r="O4436" t="str">
        <f>IFERROR(__xludf.DUMMYFUNCTION("""COMPUTED_VALUE"""),"")</f>
        <v/>
      </c>
      <c r="P4436" t="str">
        <f>IFERROR(__xludf.DUMMYFUNCTION("""COMPUTED_VALUE"""),"ID ")</f>
        <v>ID </v>
      </c>
    </row>
    <row r="4437">
      <c r="A4437" s="6" t="str">
        <f>IFERROR(__xludf.DUMMYFUNCTION("""COMPUTED_VALUE"""),"")</f>
        <v/>
      </c>
      <c r="C4437" t="str">
        <f>IFERROR(__xludf.DUMMYFUNCTION("""COMPUTED_VALUE"""),"")</f>
        <v/>
      </c>
      <c r="D4437" t="str">
        <f>IFERROR(__xludf.DUMMYFUNCTION("""COMPUTED_VALUE"""),"")</f>
        <v/>
      </c>
      <c r="E4437" t="str">
        <f>IFERROR(__xludf.DUMMYFUNCTION("""COMPUTED_VALUE"""),"")</f>
        <v/>
      </c>
      <c r="F4437" t="str">
        <f>IFERROR(__xludf.DUMMYFUNCTION("""COMPUTED_VALUE"""),"")</f>
        <v/>
      </c>
      <c r="G4437" t="str">
        <f>IFERROR(__xludf.DUMMYFUNCTION("""COMPUTED_VALUE"""),"")</f>
        <v/>
      </c>
      <c r="H4437" s="2" t="str">
        <f>IFERROR(__xludf.DUMMYFUNCTION("""COMPUTED_VALUE"""),"")</f>
        <v/>
      </c>
      <c r="I4437" s="2" t="str">
        <f>IFERROR(__xludf.DUMMYFUNCTION("""COMPUTED_VALUE"""),"")</f>
        <v/>
      </c>
      <c r="J4437" s="2">
        <f>IFERROR(__xludf.DUMMYFUNCTION("""COMPUTED_VALUE"""),0.0)</f>
        <v>0</v>
      </c>
      <c r="K4437" s="5" t="str">
        <f>IFERROR(__xludf.DUMMYFUNCTION("""COMPUTED_VALUE"""),"")</f>
        <v/>
      </c>
      <c r="L4437" t="str">
        <f>IFERROR(__xludf.DUMMYFUNCTION("""COMPUTED_VALUE"""),"")</f>
        <v/>
      </c>
      <c r="M4437" t="str">
        <f>IFERROR(__xludf.DUMMYFUNCTION("""COMPUTED_VALUE"""),"")</f>
        <v/>
      </c>
      <c r="N4437" t="str">
        <f>IFERROR(__xludf.DUMMYFUNCTION("""COMPUTED_VALUE"""),"")</f>
        <v/>
      </c>
      <c r="O4437" t="str">
        <f>IFERROR(__xludf.DUMMYFUNCTION("""COMPUTED_VALUE"""),"")</f>
        <v/>
      </c>
      <c r="P4437" t="str">
        <f>IFERROR(__xludf.DUMMYFUNCTION("""COMPUTED_VALUE"""),"ID ")</f>
        <v>ID </v>
      </c>
    </row>
    <row r="4438">
      <c r="A4438" s="6" t="str">
        <f>IFERROR(__xludf.DUMMYFUNCTION("""COMPUTED_VALUE"""),"")</f>
        <v/>
      </c>
      <c r="C4438" t="str">
        <f>IFERROR(__xludf.DUMMYFUNCTION("""COMPUTED_VALUE"""),"")</f>
        <v/>
      </c>
      <c r="D4438" t="str">
        <f>IFERROR(__xludf.DUMMYFUNCTION("""COMPUTED_VALUE"""),"")</f>
        <v/>
      </c>
      <c r="E4438" t="str">
        <f>IFERROR(__xludf.DUMMYFUNCTION("""COMPUTED_VALUE"""),"")</f>
        <v/>
      </c>
      <c r="F4438" t="str">
        <f>IFERROR(__xludf.DUMMYFUNCTION("""COMPUTED_VALUE"""),"")</f>
        <v/>
      </c>
      <c r="G4438" t="str">
        <f>IFERROR(__xludf.DUMMYFUNCTION("""COMPUTED_VALUE"""),"")</f>
        <v/>
      </c>
      <c r="H4438" s="2" t="str">
        <f>IFERROR(__xludf.DUMMYFUNCTION("""COMPUTED_VALUE"""),"")</f>
        <v/>
      </c>
      <c r="I4438" s="2" t="str">
        <f>IFERROR(__xludf.DUMMYFUNCTION("""COMPUTED_VALUE"""),"")</f>
        <v/>
      </c>
      <c r="J4438" s="2">
        <f>IFERROR(__xludf.DUMMYFUNCTION("""COMPUTED_VALUE"""),0.0)</f>
        <v>0</v>
      </c>
      <c r="K4438" s="5" t="str">
        <f>IFERROR(__xludf.DUMMYFUNCTION("""COMPUTED_VALUE"""),"")</f>
        <v/>
      </c>
      <c r="L4438" t="str">
        <f>IFERROR(__xludf.DUMMYFUNCTION("""COMPUTED_VALUE"""),"")</f>
        <v/>
      </c>
      <c r="M4438" t="str">
        <f>IFERROR(__xludf.DUMMYFUNCTION("""COMPUTED_VALUE"""),"")</f>
        <v/>
      </c>
      <c r="N4438" t="str">
        <f>IFERROR(__xludf.DUMMYFUNCTION("""COMPUTED_VALUE"""),"")</f>
        <v/>
      </c>
      <c r="O4438" t="str">
        <f>IFERROR(__xludf.DUMMYFUNCTION("""COMPUTED_VALUE"""),"")</f>
        <v/>
      </c>
      <c r="P4438" t="str">
        <f>IFERROR(__xludf.DUMMYFUNCTION("""COMPUTED_VALUE"""),"ID ")</f>
        <v>ID </v>
      </c>
    </row>
    <row r="4439">
      <c r="A4439" s="6" t="str">
        <f>IFERROR(__xludf.DUMMYFUNCTION("""COMPUTED_VALUE"""),"")</f>
        <v/>
      </c>
      <c r="C4439" t="str">
        <f>IFERROR(__xludf.DUMMYFUNCTION("""COMPUTED_VALUE"""),"")</f>
        <v/>
      </c>
      <c r="D4439" t="str">
        <f>IFERROR(__xludf.DUMMYFUNCTION("""COMPUTED_VALUE"""),"")</f>
        <v/>
      </c>
      <c r="E4439" t="str">
        <f>IFERROR(__xludf.DUMMYFUNCTION("""COMPUTED_VALUE"""),"")</f>
        <v/>
      </c>
      <c r="F4439" t="str">
        <f>IFERROR(__xludf.DUMMYFUNCTION("""COMPUTED_VALUE"""),"")</f>
        <v/>
      </c>
      <c r="G4439" t="str">
        <f>IFERROR(__xludf.DUMMYFUNCTION("""COMPUTED_VALUE"""),"")</f>
        <v/>
      </c>
      <c r="H4439" s="2" t="str">
        <f>IFERROR(__xludf.DUMMYFUNCTION("""COMPUTED_VALUE"""),"")</f>
        <v/>
      </c>
      <c r="I4439" s="2" t="str">
        <f>IFERROR(__xludf.DUMMYFUNCTION("""COMPUTED_VALUE"""),"")</f>
        <v/>
      </c>
      <c r="J4439" s="2">
        <f>IFERROR(__xludf.DUMMYFUNCTION("""COMPUTED_VALUE"""),0.0)</f>
        <v>0</v>
      </c>
      <c r="K4439" s="5" t="str">
        <f>IFERROR(__xludf.DUMMYFUNCTION("""COMPUTED_VALUE"""),"")</f>
        <v/>
      </c>
      <c r="L4439" t="str">
        <f>IFERROR(__xludf.DUMMYFUNCTION("""COMPUTED_VALUE"""),"")</f>
        <v/>
      </c>
      <c r="M4439" t="str">
        <f>IFERROR(__xludf.DUMMYFUNCTION("""COMPUTED_VALUE"""),"")</f>
        <v/>
      </c>
      <c r="N4439" t="str">
        <f>IFERROR(__xludf.DUMMYFUNCTION("""COMPUTED_VALUE"""),"")</f>
        <v/>
      </c>
      <c r="O4439" t="str">
        <f>IFERROR(__xludf.DUMMYFUNCTION("""COMPUTED_VALUE"""),"")</f>
        <v/>
      </c>
      <c r="P4439" t="str">
        <f>IFERROR(__xludf.DUMMYFUNCTION("""COMPUTED_VALUE"""),"ID ")</f>
        <v>ID </v>
      </c>
    </row>
    <row r="4440">
      <c r="A4440" s="6" t="str">
        <f>IFERROR(__xludf.DUMMYFUNCTION("""COMPUTED_VALUE"""),"")</f>
        <v/>
      </c>
      <c r="C4440" t="str">
        <f>IFERROR(__xludf.DUMMYFUNCTION("""COMPUTED_VALUE"""),"")</f>
        <v/>
      </c>
      <c r="D4440" t="str">
        <f>IFERROR(__xludf.DUMMYFUNCTION("""COMPUTED_VALUE"""),"")</f>
        <v/>
      </c>
      <c r="E4440" t="str">
        <f>IFERROR(__xludf.DUMMYFUNCTION("""COMPUTED_VALUE"""),"")</f>
        <v/>
      </c>
      <c r="F4440" t="str">
        <f>IFERROR(__xludf.DUMMYFUNCTION("""COMPUTED_VALUE"""),"")</f>
        <v/>
      </c>
      <c r="G4440" t="str">
        <f>IFERROR(__xludf.DUMMYFUNCTION("""COMPUTED_VALUE"""),"")</f>
        <v/>
      </c>
      <c r="H4440" s="2" t="str">
        <f>IFERROR(__xludf.DUMMYFUNCTION("""COMPUTED_VALUE"""),"")</f>
        <v/>
      </c>
      <c r="I4440" s="2" t="str">
        <f>IFERROR(__xludf.DUMMYFUNCTION("""COMPUTED_VALUE"""),"")</f>
        <v/>
      </c>
      <c r="J4440" s="2">
        <f>IFERROR(__xludf.DUMMYFUNCTION("""COMPUTED_VALUE"""),0.0)</f>
        <v>0</v>
      </c>
      <c r="K4440" s="5" t="str">
        <f>IFERROR(__xludf.DUMMYFUNCTION("""COMPUTED_VALUE"""),"")</f>
        <v/>
      </c>
      <c r="L4440" t="str">
        <f>IFERROR(__xludf.DUMMYFUNCTION("""COMPUTED_VALUE"""),"")</f>
        <v/>
      </c>
      <c r="M4440" t="str">
        <f>IFERROR(__xludf.DUMMYFUNCTION("""COMPUTED_VALUE"""),"")</f>
        <v/>
      </c>
      <c r="N4440" t="str">
        <f>IFERROR(__xludf.DUMMYFUNCTION("""COMPUTED_VALUE"""),"")</f>
        <v/>
      </c>
      <c r="O4440" t="str">
        <f>IFERROR(__xludf.DUMMYFUNCTION("""COMPUTED_VALUE"""),"")</f>
        <v/>
      </c>
      <c r="P4440" t="str">
        <f>IFERROR(__xludf.DUMMYFUNCTION("""COMPUTED_VALUE"""),"ID ")</f>
        <v>ID </v>
      </c>
    </row>
    <row r="4441">
      <c r="A4441" s="6" t="str">
        <f>IFERROR(__xludf.DUMMYFUNCTION("""COMPUTED_VALUE"""),"")</f>
        <v/>
      </c>
      <c r="C4441" t="str">
        <f>IFERROR(__xludf.DUMMYFUNCTION("""COMPUTED_VALUE"""),"")</f>
        <v/>
      </c>
      <c r="D4441" t="str">
        <f>IFERROR(__xludf.DUMMYFUNCTION("""COMPUTED_VALUE"""),"")</f>
        <v/>
      </c>
      <c r="E4441" t="str">
        <f>IFERROR(__xludf.DUMMYFUNCTION("""COMPUTED_VALUE"""),"")</f>
        <v/>
      </c>
      <c r="F4441" t="str">
        <f>IFERROR(__xludf.DUMMYFUNCTION("""COMPUTED_VALUE"""),"")</f>
        <v/>
      </c>
      <c r="G4441" t="str">
        <f>IFERROR(__xludf.DUMMYFUNCTION("""COMPUTED_VALUE"""),"")</f>
        <v/>
      </c>
      <c r="H4441" s="2" t="str">
        <f>IFERROR(__xludf.DUMMYFUNCTION("""COMPUTED_VALUE"""),"")</f>
        <v/>
      </c>
      <c r="I4441" s="2" t="str">
        <f>IFERROR(__xludf.DUMMYFUNCTION("""COMPUTED_VALUE"""),"")</f>
        <v/>
      </c>
      <c r="J4441" s="2">
        <f>IFERROR(__xludf.DUMMYFUNCTION("""COMPUTED_VALUE"""),0.0)</f>
        <v>0</v>
      </c>
      <c r="K4441" s="5" t="str">
        <f>IFERROR(__xludf.DUMMYFUNCTION("""COMPUTED_VALUE"""),"")</f>
        <v/>
      </c>
      <c r="L4441" t="str">
        <f>IFERROR(__xludf.DUMMYFUNCTION("""COMPUTED_VALUE"""),"")</f>
        <v/>
      </c>
      <c r="M4441" t="str">
        <f>IFERROR(__xludf.DUMMYFUNCTION("""COMPUTED_VALUE"""),"")</f>
        <v/>
      </c>
      <c r="N4441" t="str">
        <f>IFERROR(__xludf.DUMMYFUNCTION("""COMPUTED_VALUE"""),"")</f>
        <v/>
      </c>
      <c r="O4441" t="str">
        <f>IFERROR(__xludf.DUMMYFUNCTION("""COMPUTED_VALUE"""),"")</f>
        <v/>
      </c>
      <c r="P4441" t="str">
        <f>IFERROR(__xludf.DUMMYFUNCTION("""COMPUTED_VALUE"""),"ID ")</f>
        <v>ID </v>
      </c>
    </row>
    <row r="4442">
      <c r="A4442" s="6" t="str">
        <f>IFERROR(__xludf.DUMMYFUNCTION("""COMPUTED_VALUE"""),"")</f>
        <v/>
      </c>
      <c r="C4442" t="str">
        <f>IFERROR(__xludf.DUMMYFUNCTION("""COMPUTED_VALUE"""),"")</f>
        <v/>
      </c>
      <c r="D4442" t="str">
        <f>IFERROR(__xludf.DUMMYFUNCTION("""COMPUTED_VALUE"""),"")</f>
        <v/>
      </c>
      <c r="E4442" t="str">
        <f>IFERROR(__xludf.DUMMYFUNCTION("""COMPUTED_VALUE"""),"")</f>
        <v/>
      </c>
      <c r="F4442" t="str">
        <f>IFERROR(__xludf.DUMMYFUNCTION("""COMPUTED_VALUE"""),"")</f>
        <v/>
      </c>
      <c r="G4442" t="str">
        <f>IFERROR(__xludf.DUMMYFUNCTION("""COMPUTED_VALUE"""),"")</f>
        <v/>
      </c>
      <c r="H4442" s="2" t="str">
        <f>IFERROR(__xludf.DUMMYFUNCTION("""COMPUTED_VALUE"""),"")</f>
        <v/>
      </c>
      <c r="I4442" s="2" t="str">
        <f>IFERROR(__xludf.DUMMYFUNCTION("""COMPUTED_VALUE"""),"")</f>
        <v/>
      </c>
      <c r="J4442" s="2">
        <f>IFERROR(__xludf.DUMMYFUNCTION("""COMPUTED_VALUE"""),0.0)</f>
        <v>0</v>
      </c>
      <c r="K4442" s="5" t="str">
        <f>IFERROR(__xludf.DUMMYFUNCTION("""COMPUTED_VALUE"""),"")</f>
        <v/>
      </c>
      <c r="L4442" t="str">
        <f>IFERROR(__xludf.DUMMYFUNCTION("""COMPUTED_VALUE"""),"")</f>
        <v/>
      </c>
      <c r="M4442" t="str">
        <f>IFERROR(__xludf.DUMMYFUNCTION("""COMPUTED_VALUE"""),"")</f>
        <v/>
      </c>
      <c r="N4442" t="str">
        <f>IFERROR(__xludf.DUMMYFUNCTION("""COMPUTED_VALUE"""),"")</f>
        <v/>
      </c>
      <c r="O4442" t="str">
        <f>IFERROR(__xludf.DUMMYFUNCTION("""COMPUTED_VALUE"""),"")</f>
        <v/>
      </c>
      <c r="P4442" t="str">
        <f>IFERROR(__xludf.DUMMYFUNCTION("""COMPUTED_VALUE"""),"ID ")</f>
        <v>ID </v>
      </c>
    </row>
    <row r="4443">
      <c r="A4443" s="6" t="str">
        <f>IFERROR(__xludf.DUMMYFUNCTION("""COMPUTED_VALUE"""),"")</f>
        <v/>
      </c>
      <c r="C4443" t="str">
        <f>IFERROR(__xludf.DUMMYFUNCTION("""COMPUTED_VALUE"""),"")</f>
        <v/>
      </c>
      <c r="D4443" t="str">
        <f>IFERROR(__xludf.DUMMYFUNCTION("""COMPUTED_VALUE"""),"")</f>
        <v/>
      </c>
      <c r="E4443" t="str">
        <f>IFERROR(__xludf.DUMMYFUNCTION("""COMPUTED_VALUE"""),"")</f>
        <v/>
      </c>
      <c r="F4443" t="str">
        <f>IFERROR(__xludf.DUMMYFUNCTION("""COMPUTED_VALUE"""),"")</f>
        <v/>
      </c>
      <c r="G4443" t="str">
        <f>IFERROR(__xludf.DUMMYFUNCTION("""COMPUTED_VALUE"""),"")</f>
        <v/>
      </c>
      <c r="H4443" s="2" t="str">
        <f>IFERROR(__xludf.DUMMYFUNCTION("""COMPUTED_VALUE"""),"")</f>
        <v/>
      </c>
      <c r="I4443" s="2" t="str">
        <f>IFERROR(__xludf.DUMMYFUNCTION("""COMPUTED_VALUE"""),"")</f>
        <v/>
      </c>
      <c r="J4443" s="2">
        <f>IFERROR(__xludf.DUMMYFUNCTION("""COMPUTED_VALUE"""),0.0)</f>
        <v>0</v>
      </c>
      <c r="K4443" s="5" t="str">
        <f>IFERROR(__xludf.DUMMYFUNCTION("""COMPUTED_VALUE"""),"")</f>
        <v/>
      </c>
      <c r="L4443" t="str">
        <f>IFERROR(__xludf.DUMMYFUNCTION("""COMPUTED_VALUE"""),"")</f>
        <v/>
      </c>
      <c r="M4443" t="str">
        <f>IFERROR(__xludf.DUMMYFUNCTION("""COMPUTED_VALUE"""),"")</f>
        <v/>
      </c>
      <c r="N4443" t="str">
        <f>IFERROR(__xludf.DUMMYFUNCTION("""COMPUTED_VALUE"""),"")</f>
        <v/>
      </c>
      <c r="O4443" t="str">
        <f>IFERROR(__xludf.DUMMYFUNCTION("""COMPUTED_VALUE"""),"")</f>
        <v/>
      </c>
      <c r="P4443" t="str">
        <f>IFERROR(__xludf.DUMMYFUNCTION("""COMPUTED_VALUE"""),"ID ")</f>
        <v>ID </v>
      </c>
    </row>
    <row r="4444">
      <c r="A4444" s="6" t="str">
        <f>IFERROR(__xludf.DUMMYFUNCTION("""COMPUTED_VALUE"""),"")</f>
        <v/>
      </c>
      <c r="C4444" t="str">
        <f>IFERROR(__xludf.DUMMYFUNCTION("""COMPUTED_VALUE"""),"")</f>
        <v/>
      </c>
      <c r="D4444" t="str">
        <f>IFERROR(__xludf.DUMMYFUNCTION("""COMPUTED_VALUE"""),"")</f>
        <v/>
      </c>
      <c r="E4444" t="str">
        <f>IFERROR(__xludf.DUMMYFUNCTION("""COMPUTED_VALUE"""),"")</f>
        <v/>
      </c>
      <c r="F4444" t="str">
        <f>IFERROR(__xludf.DUMMYFUNCTION("""COMPUTED_VALUE"""),"")</f>
        <v/>
      </c>
      <c r="G4444" t="str">
        <f>IFERROR(__xludf.DUMMYFUNCTION("""COMPUTED_VALUE"""),"")</f>
        <v/>
      </c>
      <c r="H4444" s="2" t="str">
        <f>IFERROR(__xludf.DUMMYFUNCTION("""COMPUTED_VALUE"""),"")</f>
        <v/>
      </c>
      <c r="I4444" s="2" t="str">
        <f>IFERROR(__xludf.DUMMYFUNCTION("""COMPUTED_VALUE"""),"")</f>
        <v/>
      </c>
      <c r="J4444" s="2">
        <f>IFERROR(__xludf.DUMMYFUNCTION("""COMPUTED_VALUE"""),0.0)</f>
        <v>0</v>
      </c>
      <c r="K4444" s="5" t="str">
        <f>IFERROR(__xludf.DUMMYFUNCTION("""COMPUTED_VALUE"""),"")</f>
        <v/>
      </c>
      <c r="L4444" t="str">
        <f>IFERROR(__xludf.DUMMYFUNCTION("""COMPUTED_VALUE"""),"")</f>
        <v/>
      </c>
      <c r="M4444" t="str">
        <f>IFERROR(__xludf.DUMMYFUNCTION("""COMPUTED_VALUE"""),"")</f>
        <v/>
      </c>
      <c r="N4444" t="str">
        <f>IFERROR(__xludf.DUMMYFUNCTION("""COMPUTED_VALUE"""),"")</f>
        <v/>
      </c>
      <c r="O4444" t="str">
        <f>IFERROR(__xludf.DUMMYFUNCTION("""COMPUTED_VALUE"""),"")</f>
        <v/>
      </c>
      <c r="P4444" t="str">
        <f>IFERROR(__xludf.DUMMYFUNCTION("""COMPUTED_VALUE"""),"ID ")</f>
        <v>ID </v>
      </c>
    </row>
    <row r="4445">
      <c r="A4445" s="6" t="str">
        <f>IFERROR(__xludf.DUMMYFUNCTION("""COMPUTED_VALUE"""),"")</f>
        <v/>
      </c>
      <c r="C4445" t="str">
        <f>IFERROR(__xludf.DUMMYFUNCTION("""COMPUTED_VALUE"""),"")</f>
        <v/>
      </c>
      <c r="D4445" t="str">
        <f>IFERROR(__xludf.DUMMYFUNCTION("""COMPUTED_VALUE"""),"")</f>
        <v/>
      </c>
      <c r="E4445" t="str">
        <f>IFERROR(__xludf.DUMMYFUNCTION("""COMPUTED_VALUE"""),"")</f>
        <v/>
      </c>
      <c r="F4445" t="str">
        <f>IFERROR(__xludf.DUMMYFUNCTION("""COMPUTED_VALUE"""),"")</f>
        <v/>
      </c>
      <c r="G4445" t="str">
        <f>IFERROR(__xludf.DUMMYFUNCTION("""COMPUTED_VALUE"""),"")</f>
        <v/>
      </c>
      <c r="H4445" s="2" t="str">
        <f>IFERROR(__xludf.DUMMYFUNCTION("""COMPUTED_VALUE"""),"")</f>
        <v/>
      </c>
      <c r="I4445" s="2" t="str">
        <f>IFERROR(__xludf.DUMMYFUNCTION("""COMPUTED_VALUE"""),"")</f>
        <v/>
      </c>
      <c r="J4445" s="2">
        <f>IFERROR(__xludf.DUMMYFUNCTION("""COMPUTED_VALUE"""),0.0)</f>
        <v>0</v>
      </c>
      <c r="K4445" s="5" t="str">
        <f>IFERROR(__xludf.DUMMYFUNCTION("""COMPUTED_VALUE"""),"")</f>
        <v/>
      </c>
      <c r="L4445" t="str">
        <f>IFERROR(__xludf.DUMMYFUNCTION("""COMPUTED_VALUE"""),"")</f>
        <v/>
      </c>
      <c r="M4445" t="str">
        <f>IFERROR(__xludf.DUMMYFUNCTION("""COMPUTED_VALUE"""),"")</f>
        <v/>
      </c>
      <c r="N4445" t="str">
        <f>IFERROR(__xludf.DUMMYFUNCTION("""COMPUTED_VALUE"""),"")</f>
        <v/>
      </c>
      <c r="O4445" t="str">
        <f>IFERROR(__xludf.DUMMYFUNCTION("""COMPUTED_VALUE"""),"")</f>
        <v/>
      </c>
      <c r="P4445" t="str">
        <f>IFERROR(__xludf.DUMMYFUNCTION("""COMPUTED_VALUE"""),"ID ")</f>
        <v>ID </v>
      </c>
    </row>
    <row r="4446">
      <c r="A4446" s="6" t="str">
        <f>IFERROR(__xludf.DUMMYFUNCTION("""COMPUTED_VALUE"""),"")</f>
        <v/>
      </c>
      <c r="C4446" t="str">
        <f>IFERROR(__xludf.DUMMYFUNCTION("""COMPUTED_VALUE"""),"")</f>
        <v/>
      </c>
      <c r="D4446" t="str">
        <f>IFERROR(__xludf.DUMMYFUNCTION("""COMPUTED_VALUE"""),"")</f>
        <v/>
      </c>
      <c r="E4446" t="str">
        <f>IFERROR(__xludf.DUMMYFUNCTION("""COMPUTED_VALUE"""),"")</f>
        <v/>
      </c>
      <c r="F4446" t="str">
        <f>IFERROR(__xludf.DUMMYFUNCTION("""COMPUTED_VALUE"""),"")</f>
        <v/>
      </c>
      <c r="G4446" t="str">
        <f>IFERROR(__xludf.DUMMYFUNCTION("""COMPUTED_VALUE"""),"")</f>
        <v/>
      </c>
      <c r="H4446" s="2" t="str">
        <f>IFERROR(__xludf.DUMMYFUNCTION("""COMPUTED_VALUE"""),"")</f>
        <v/>
      </c>
      <c r="I4446" s="2" t="str">
        <f>IFERROR(__xludf.DUMMYFUNCTION("""COMPUTED_VALUE"""),"")</f>
        <v/>
      </c>
      <c r="J4446" s="2">
        <f>IFERROR(__xludf.DUMMYFUNCTION("""COMPUTED_VALUE"""),0.0)</f>
        <v>0</v>
      </c>
      <c r="K4446" s="5" t="str">
        <f>IFERROR(__xludf.DUMMYFUNCTION("""COMPUTED_VALUE"""),"")</f>
        <v/>
      </c>
      <c r="L4446" t="str">
        <f>IFERROR(__xludf.DUMMYFUNCTION("""COMPUTED_VALUE"""),"")</f>
        <v/>
      </c>
      <c r="M4446" t="str">
        <f>IFERROR(__xludf.DUMMYFUNCTION("""COMPUTED_VALUE"""),"")</f>
        <v/>
      </c>
      <c r="N4446" t="str">
        <f>IFERROR(__xludf.DUMMYFUNCTION("""COMPUTED_VALUE"""),"")</f>
        <v/>
      </c>
      <c r="O4446" t="str">
        <f>IFERROR(__xludf.DUMMYFUNCTION("""COMPUTED_VALUE"""),"")</f>
        <v/>
      </c>
      <c r="P4446" t="str">
        <f>IFERROR(__xludf.DUMMYFUNCTION("""COMPUTED_VALUE"""),"ID ")</f>
        <v>ID </v>
      </c>
    </row>
    <row r="4447">
      <c r="A4447" s="6" t="str">
        <f>IFERROR(__xludf.DUMMYFUNCTION("""COMPUTED_VALUE"""),"")</f>
        <v/>
      </c>
      <c r="C4447" t="str">
        <f>IFERROR(__xludf.DUMMYFUNCTION("""COMPUTED_VALUE"""),"")</f>
        <v/>
      </c>
      <c r="D4447" t="str">
        <f>IFERROR(__xludf.DUMMYFUNCTION("""COMPUTED_VALUE"""),"")</f>
        <v/>
      </c>
      <c r="E4447" t="str">
        <f>IFERROR(__xludf.DUMMYFUNCTION("""COMPUTED_VALUE"""),"")</f>
        <v/>
      </c>
      <c r="F4447" t="str">
        <f>IFERROR(__xludf.DUMMYFUNCTION("""COMPUTED_VALUE"""),"")</f>
        <v/>
      </c>
      <c r="G4447" t="str">
        <f>IFERROR(__xludf.DUMMYFUNCTION("""COMPUTED_VALUE"""),"")</f>
        <v/>
      </c>
      <c r="H4447" s="2" t="str">
        <f>IFERROR(__xludf.DUMMYFUNCTION("""COMPUTED_VALUE"""),"")</f>
        <v/>
      </c>
      <c r="I4447" s="2" t="str">
        <f>IFERROR(__xludf.DUMMYFUNCTION("""COMPUTED_VALUE"""),"")</f>
        <v/>
      </c>
      <c r="J4447" s="2">
        <f>IFERROR(__xludf.DUMMYFUNCTION("""COMPUTED_VALUE"""),0.0)</f>
        <v>0</v>
      </c>
      <c r="K4447" s="5" t="str">
        <f>IFERROR(__xludf.DUMMYFUNCTION("""COMPUTED_VALUE"""),"")</f>
        <v/>
      </c>
      <c r="L4447" t="str">
        <f>IFERROR(__xludf.DUMMYFUNCTION("""COMPUTED_VALUE"""),"")</f>
        <v/>
      </c>
      <c r="M4447" t="str">
        <f>IFERROR(__xludf.DUMMYFUNCTION("""COMPUTED_VALUE"""),"")</f>
        <v/>
      </c>
      <c r="N4447" t="str">
        <f>IFERROR(__xludf.DUMMYFUNCTION("""COMPUTED_VALUE"""),"")</f>
        <v/>
      </c>
      <c r="O4447" t="str">
        <f>IFERROR(__xludf.DUMMYFUNCTION("""COMPUTED_VALUE"""),"")</f>
        <v/>
      </c>
      <c r="P4447" t="str">
        <f>IFERROR(__xludf.DUMMYFUNCTION("""COMPUTED_VALUE"""),"ID ")</f>
        <v>ID </v>
      </c>
    </row>
    <row r="4448">
      <c r="A4448" s="6" t="str">
        <f>IFERROR(__xludf.DUMMYFUNCTION("""COMPUTED_VALUE"""),"")</f>
        <v/>
      </c>
      <c r="C4448" t="str">
        <f>IFERROR(__xludf.DUMMYFUNCTION("""COMPUTED_VALUE"""),"")</f>
        <v/>
      </c>
      <c r="D4448" t="str">
        <f>IFERROR(__xludf.DUMMYFUNCTION("""COMPUTED_VALUE"""),"")</f>
        <v/>
      </c>
      <c r="E4448" t="str">
        <f>IFERROR(__xludf.DUMMYFUNCTION("""COMPUTED_VALUE"""),"")</f>
        <v/>
      </c>
      <c r="F4448" t="str">
        <f>IFERROR(__xludf.DUMMYFUNCTION("""COMPUTED_VALUE"""),"")</f>
        <v/>
      </c>
      <c r="G4448" t="str">
        <f>IFERROR(__xludf.DUMMYFUNCTION("""COMPUTED_VALUE"""),"")</f>
        <v/>
      </c>
      <c r="H4448" s="2" t="str">
        <f>IFERROR(__xludf.DUMMYFUNCTION("""COMPUTED_VALUE"""),"")</f>
        <v/>
      </c>
      <c r="I4448" s="2" t="str">
        <f>IFERROR(__xludf.DUMMYFUNCTION("""COMPUTED_VALUE"""),"")</f>
        <v/>
      </c>
      <c r="J4448" s="2">
        <f>IFERROR(__xludf.DUMMYFUNCTION("""COMPUTED_VALUE"""),0.0)</f>
        <v>0</v>
      </c>
      <c r="K4448" s="5" t="str">
        <f>IFERROR(__xludf.DUMMYFUNCTION("""COMPUTED_VALUE"""),"")</f>
        <v/>
      </c>
      <c r="L4448" t="str">
        <f>IFERROR(__xludf.DUMMYFUNCTION("""COMPUTED_VALUE"""),"")</f>
        <v/>
      </c>
      <c r="M4448" t="str">
        <f>IFERROR(__xludf.DUMMYFUNCTION("""COMPUTED_VALUE"""),"")</f>
        <v/>
      </c>
      <c r="N4448" t="str">
        <f>IFERROR(__xludf.DUMMYFUNCTION("""COMPUTED_VALUE"""),"")</f>
        <v/>
      </c>
      <c r="O4448" t="str">
        <f>IFERROR(__xludf.DUMMYFUNCTION("""COMPUTED_VALUE"""),"")</f>
        <v/>
      </c>
      <c r="P4448" t="str">
        <f>IFERROR(__xludf.DUMMYFUNCTION("""COMPUTED_VALUE"""),"ID ")</f>
        <v>ID </v>
      </c>
    </row>
    <row r="4449">
      <c r="A4449" s="6" t="str">
        <f>IFERROR(__xludf.DUMMYFUNCTION("""COMPUTED_VALUE"""),"")</f>
        <v/>
      </c>
      <c r="C4449" t="str">
        <f>IFERROR(__xludf.DUMMYFUNCTION("""COMPUTED_VALUE"""),"")</f>
        <v/>
      </c>
      <c r="D4449" t="str">
        <f>IFERROR(__xludf.DUMMYFUNCTION("""COMPUTED_VALUE"""),"")</f>
        <v/>
      </c>
      <c r="E4449" t="str">
        <f>IFERROR(__xludf.DUMMYFUNCTION("""COMPUTED_VALUE"""),"")</f>
        <v/>
      </c>
      <c r="F4449" t="str">
        <f>IFERROR(__xludf.DUMMYFUNCTION("""COMPUTED_VALUE"""),"")</f>
        <v/>
      </c>
      <c r="G4449" t="str">
        <f>IFERROR(__xludf.DUMMYFUNCTION("""COMPUTED_VALUE"""),"")</f>
        <v/>
      </c>
      <c r="H4449" s="2" t="str">
        <f>IFERROR(__xludf.DUMMYFUNCTION("""COMPUTED_VALUE"""),"")</f>
        <v/>
      </c>
      <c r="I4449" s="2" t="str">
        <f>IFERROR(__xludf.DUMMYFUNCTION("""COMPUTED_VALUE"""),"")</f>
        <v/>
      </c>
      <c r="J4449" s="2">
        <f>IFERROR(__xludf.DUMMYFUNCTION("""COMPUTED_VALUE"""),0.0)</f>
        <v>0</v>
      </c>
      <c r="K4449" s="5" t="str">
        <f>IFERROR(__xludf.DUMMYFUNCTION("""COMPUTED_VALUE"""),"")</f>
        <v/>
      </c>
      <c r="L4449" t="str">
        <f>IFERROR(__xludf.DUMMYFUNCTION("""COMPUTED_VALUE"""),"")</f>
        <v/>
      </c>
      <c r="M4449" t="str">
        <f>IFERROR(__xludf.DUMMYFUNCTION("""COMPUTED_VALUE"""),"")</f>
        <v/>
      </c>
      <c r="N4449" t="str">
        <f>IFERROR(__xludf.DUMMYFUNCTION("""COMPUTED_VALUE"""),"")</f>
        <v/>
      </c>
      <c r="O4449" t="str">
        <f>IFERROR(__xludf.DUMMYFUNCTION("""COMPUTED_VALUE"""),"")</f>
        <v/>
      </c>
      <c r="P4449" t="str">
        <f>IFERROR(__xludf.DUMMYFUNCTION("""COMPUTED_VALUE"""),"ID ")</f>
        <v>ID </v>
      </c>
    </row>
    <row r="4450">
      <c r="A4450" s="6" t="str">
        <f>IFERROR(__xludf.DUMMYFUNCTION("""COMPUTED_VALUE"""),"")</f>
        <v/>
      </c>
      <c r="C4450" t="str">
        <f>IFERROR(__xludf.DUMMYFUNCTION("""COMPUTED_VALUE"""),"")</f>
        <v/>
      </c>
      <c r="D4450" t="str">
        <f>IFERROR(__xludf.DUMMYFUNCTION("""COMPUTED_VALUE"""),"")</f>
        <v/>
      </c>
      <c r="E4450" t="str">
        <f>IFERROR(__xludf.DUMMYFUNCTION("""COMPUTED_VALUE"""),"")</f>
        <v/>
      </c>
      <c r="F4450" t="str">
        <f>IFERROR(__xludf.DUMMYFUNCTION("""COMPUTED_VALUE"""),"")</f>
        <v/>
      </c>
      <c r="G4450" t="str">
        <f>IFERROR(__xludf.DUMMYFUNCTION("""COMPUTED_VALUE"""),"")</f>
        <v/>
      </c>
      <c r="H4450" s="2" t="str">
        <f>IFERROR(__xludf.DUMMYFUNCTION("""COMPUTED_VALUE"""),"")</f>
        <v/>
      </c>
      <c r="I4450" s="2" t="str">
        <f>IFERROR(__xludf.DUMMYFUNCTION("""COMPUTED_VALUE"""),"")</f>
        <v/>
      </c>
      <c r="J4450" s="2">
        <f>IFERROR(__xludf.DUMMYFUNCTION("""COMPUTED_VALUE"""),0.0)</f>
        <v>0</v>
      </c>
      <c r="K4450" s="5" t="str">
        <f>IFERROR(__xludf.DUMMYFUNCTION("""COMPUTED_VALUE"""),"")</f>
        <v/>
      </c>
      <c r="L4450" t="str">
        <f>IFERROR(__xludf.DUMMYFUNCTION("""COMPUTED_VALUE"""),"")</f>
        <v/>
      </c>
      <c r="M4450" t="str">
        <f>IFERROR(__xludf.DUMMYFUNCTION("""COMPUTED_VALUE"""),"")</f>
        <v/>
      </c>
      <c r="N4450" t="str">
        <f>IFERROR(__xludf.DUMMYFUNCTION("""COMPUTED_VALUE"""),"")</f>
        <v/>
      </c>
      <c r="O4450" t="str">
        <f>IFERROR(__xludf.DUMMYFUNCTION("""COMPUTED_VALUE"""),"")</f>
        <v/>
      </c>
      <c r="P4450" t="str">
        <f>IFERROR(__xludf.DUMMYFUNCTION("""COMPUTED_VALUE"""),"ID ")</f>
        <v>ID </v>
      </c>
    </row>
    <row r="4451">
      <c r="A4451" s="6" t="str">
        <f>IFERROR(__xludf.DUMMYFUNCTION("""COMPUTED_VALUE"""),"")</f>
        <v/>
      </c>
      <c r="C4451" t="str">
        <f>IFERROR(__xludf.DUMMYFUNCTION("""COMPUTED_VALUE"""),"")</f>
        <v/>
      </c>
      <c r="D4451" t="str">
        <f>IFERROR(__xludf.DUMMYFUNCTION("""COMPUTED_VALUE"""),"")</f>
        <v/>
      </c>
      <c r="E4451" t="str">
        <f>IFERROR(__xludf.DUMMYFUNCTION("""COMPUTED_VALUE"""),"")</f>
        <v/>
      </c>
      <c r="F4451" t="str">
        <f>IFERROR(__xludf.DUMMYFUNCTION("""COMPUTED_VALUE"""),"")</f>
        <v/>
      </c>
      <c r="G4451" t="str">
        <f>IFERROR(__xludf.DUMMYFUNCTION("""COMPUTED_VALUE"""),"")</f>
        <v/>
      </c>
      <c r="H4451" s="2" t="str">
        <f>IFERROR(__xludf.DUMMYFUNCTION("""COMPUTED_VALUE"""),"")</f>
        <v/>
      </c>
      <c r="I4451" s="2" t="str">
        <f>IFERROR(__xludf.DUMMYFUNCTION("""COMPUTED_VALUE"""),"")</f>
        <v/>
      </c>
      <c r="J4451" s="2">
        <f>IFERROR(__xludf.DUMMYFUNCTION("""COMPUTED_VALUE"""),0.0)</f>
        <v>0</v>
      </c>
      <c r="K4451" s="5" t="str">
        <f>IFERROR(__xludf.DUMMYFUNCTION("""COMPUTED_VALUE"""),"")</f>
        <v/>
      </c>
      <c r="L4451" t="str">
        <f>IFERROR(__xludf.DUMMYFUNCTION("""COMPUTED_VALUE"""),"")</f>
        <v/>
      </c>
      <c r="M4451" t="str">
        <f>IFERROR(__xludf.DUMMYFUNCTION("""COMPUTED_VALUE"""),"")</f>
        <v/>
      </c>
      <c r="N4451" t="str">
        <f>IFERROR(__xludf.DUMMYFUNCTION("""COMPUTED_VALUE"""),"")</f>
        <v/>
      </c>
      <c r="O4451" t="str">
        <f>IFERROR(__xludf.DUMMYFUNCTION("""COMPUTED_VALUE"""),"")</f>
        <v/>
      </c>
      <c r="P4451" t="str">
        <f>IFERROR(__xludf.DUMMYFUNCTION("""COMPUTED_VALUE"""),"ID ")</f>
        <v>ID </v>
      </c>
    </row>
    <row r="4452">
      <c r="A4452" s="6" t="str">
        <f>IFERROR(__xludf.DUMMYFUNCTION("""COMPUTED_VALUE"""),"")</f>
        <v/>
      </c>
      <c r="C4452" t="str">
        <f>IFERROR(__xludf.DUMMYFUNCTION("""COMPUTED_VALUE"""),"")</f>
        <v/>
      </c>
      <c r="D4452" t="str">
        <f>IFERROR(__xludf.DUMMYFUNCTION("""COMPUTED_VALUE"""),"")</f>
        <v/>
      </c>
      <c r="E4452" t="str">
        <f>IFERROR(__xludf.DUMMYFUNCTION("""COMPUTED_VALUE"""),"")</f>
        <v/>
      </c>
      <c r="F4452" t="str">
        <f>IFERROR(__xludf.DUMMYFUNCTION("""COMPUTED_VALUE"""),"")</f>
        <v/>
      </c>
      <c r="G4452" t="str">
        <f>IFERROR(__xludf.DUMMYFUNCTION("""COMPUTED_VALUE"""),"")</f>
        <v/>
      </c>
      <c r="H4452" s="2" t="str">
        <f>IFERROR(__xludf.DUMMYFUNCTION("""COMPUTED_VALUE"""),"")</f>
        <v/>
      </c>
      <c r="I4452" s="2" t="str">
        <f>IFERROR(__xludf.DUMMYFUNCTION("""COMPUTED_VALUE"""),"")</f>
        <v/>
      </c>
      <c r="J4452" s="2">
        <f>IFERROR(__xludf.DUMMYFUNCTION("""COMPUTED_VALUE"""),0.0)</f>
        <v>0</v>
      </c>
      <c r="K4452" s="5" t="str">
        <f>IFERROR(__xludf.DUMMYFUNCTION("""COMPUTED_VALUE"""),"")</f>
        <v/>
      </c>
      <c r="L4452" t="str">
        <f>IFERROR(__xludf.DUMMYFUNCTION("""COMPUTED_VALUE"""),"")</f>
        <v/>
      </c>
      <c r="M4452" t="str">
        <f>IFERROR(__xludf.DUMMYFUNCTION("""COMPUTED_VALUE"""),"")</f>
        <v/>
      </c>
      <c r="N4452" t="str">
        <f>IFERROR(__xludf.DUMMYFUNCTION("""COMPUTED_VALUE"""),"")</f>
        <v/>
      </c>
      <c r="O4452" t="str">
        <f>IFERROR(__xludf.DUMMYFUNCTION("""COMPUTED_VALUE"""),"")</f>
        <v/>
      </c>
      <c r="P4452" t="str">
        <f>IFERROR(__xludf.DUMMYFUNCTION("""COMPUTED_VALUE"""),"ID ")</f>
        <v>ID </v>
      </c>
    </row>
    <row r="4453">
      <c r="A4453" s="6" t="str">
        <f>IFERROR(__xludf.DUMMYFUNCTION("""COMPUTED_VALUE"""),"")</f>
        <v/>
      </c>
      <c r="C4453" t="str">
        <f>IFERROR(__xludf.DUMMYFUNCTION("""COMPUTED_VALUE"""),"")</f>
        <v/>
      </c>
      <c r="D4453" t="str">
        <f>IFERROR(__xludf.DUMMYFUNCTION("""COMPUTED_VALUE"""),"")</f>
        <v/>
      </c>
      <c r="E4453" t="str">
        <f>IFERROR(__xludf.DUMMYFUNCTION("""COMPUTED_VALUE"""),"")</f>
        <v/>
      </c>
      <c r="F4453" t="str">
        <f>IFERROR(__xludf.DUMMYFUNCTION("""COMPUTED_VALUE"""),"")</f>
        <v/>
      </c>
      <c r="G4453" t="str">
        <f>IFERROR(__xludf.DUMMYFUNCTION("""COMPUTED_VALUE"""),"")</f>
        <v/>
      </c>
      <c r="H4453" s="2" t="str">
        <f>IFERROR(__xludf.DUMMYFUNCTION("""COMPUTED_VALUE"""),"")</f>
        <v/>
      </c>
      <c r="I4453" s="2" t="str">
        <f>IFERROR(__xludf.DUMMYFUNCTION("""COMPUTED_VALUE"""),"")</f>
        <v/>
      </c>
      <c r="J4453" s="2">
        <f>IFERROR(__xludf.DUMMYFUNCTION("""COMPUTED_VALUE"""),0.0)</f>
        <v>0</v>
      </c>
      <c r="K4453" s="5" t="str">
        <f>IFERROR(__xludf.DUMMYFUNCTION("""COMPUTED_VALUE"""),"")</f>
        <v/>
      </c>
      <c r="L4453" t="str">
        <f>IFERROR(__xludf.DUMMYFUNCTION("""COMPUTED_VALUE"""),"")</f>
        <v/>
      </c>
      <c r="M4453" t="str">
        <f>IFERROR(__xludf.DUMMYFUNCTION("""COMPUTED_VALUE"""),"")</f>
        <v/>
      </c>
      <c r="N4453" t="str">
        <f>IFERROR(__xludf.DUMMYFUNCTION("""COMPUTED_VALUE"""),"")</f>
        <v/>
      </c>
      <c r="O4453" t="str">
        <f>IFERROR(__xludf.DUMMYFUNCTION("""COMPUTED_VALUE"""),"")</f>
        <v/>
      </c>
      <c r="P4453" t="str">
        <f>IFERROR(__xludf.DUMMYFUNCTION("""COMPUTED_VALUE"""),"ID ")</f>
        <v>ID </v>
      </c>
    </row>
    <row r="4454">
      <c r="A4454" s="6" t="str">
        <f>IFERROR(__xludf.DUMMYFUNCTION("""COMPUTED_VALUE"""),"")</f>
        <v/>
      </c>
      <c r="C4454" t="str">
        <f>IFERROR(__xludf.DUMMYFUNCTION("""COMPUTED_VALUE"""),"")</f>
        <v/>
      </c>
      <c r="D4454" t="str">
        <f>IFERROR(__xludf.DUMMYFUNCTION("""COMPUTED_VALUE"""),"")</f>
        <v/>
      </c>
      <c r="E4454" t="str">
        <f>IFERROR(__xludf.DUMMYFUNCTION("""COMPUTED_VALUE"""),"")</f>
        <v/>
      </c>
      <c r="F4454" t="str">
        <f>IFERROR(__xludf.DUMMYFUNCTION("""COMPUTED_VALUE"""),"")</f>
        <v/>
      </c>
      <c r="G4454" t="str">
        <f>IFERROR(__xludf.DUMMYFUNCTION("""COMPUTED_VALUE"""),"")</f>
        <v/>
      </c>
      <c r="H4454" s="2" t="str">
        <f>IFERROR(__xludf.DUMMYFUNCTION("""COMPUTED_VALUE"""),"")</f>
        <v/>
      </c>
      <c r="I4454" s="2" t="str">
        <f>IFERROR(__xludf.DUMMYFUNCTION("""COMPUTED_VALUE"""),"")</f>
        <v/>
      </c>
      <c r="J4454" s="2">
        <f>IFERROR(__xludf.DUMMYFUNCTION("""COMPUTED_VALUE"""),0.0)</f>
        <v>0</v>
      </c>
      <c r="K4454" s="5" t="str">
        <f>IFERROR(__xludf.DUMMYFUNCTION("""COMPUTED_VALUE"""),"")</f>
        <v/>
      </c>
      <c r="L4454" t="str">
        <f>IFERROR(__xludf.DUMMYFUNCTION("""COMPUTED_VALUE"""),"")</f>
        <v/>
      </c>
      <c r="M4454" t="str">
        <f>IFERROR(__xludf.DUMMYFUNCTION("""COMPUTED_VALUE"""),"")</f>
        <v/>
      </c>
      <c r="N4454" t="str">
        <f>IFERROR(__xludf.DUMMYFUNCTION("""COMPUTED_VALUE"""),"")</f>
        <v/>
      </c>
      <c r="O4454" t="str">
        <f>IFERROR(__xludf.DUMMYFUNCTION("""COMPUTED_VALUE"""),"")</f>
        <v/>
      </c>
      <c r="P4454" t="str">
        <f>IFERROR(__xludf.DUMMYFUNCTION("""COMPUTED_VALUE"""),"ID ")</f>
        <v>ID </v>
      </c>
    </row>
    <row r="4455">
      <c r="A4455" s="6" t="str">
        <f>IFERROR(__xludf.DUMMYFUNCTION("""COMPUTED_VALUE"""),"")</f>
        <v/>
      </c>
      <c r="C4455" t="str">
        <f>IFERROR(__xludf.DUMMYFUNCTION("""COMPUTED_VALUE"""),"")</f>
        <v/>
      </c>
      <c r="D4455" t="str">
        <f>IFERROR(__xludf.DUMMYFUNCTION("""COMPUTED_VALUE"""),"")</f>
        <v/>
      </c>
      <c r="E4455" t="str">
        <f>IFERROR(__xludf.DUMMYFUNCTION("""COMPUTED_VALUE"""),"")</f>
        <v/>
      </c>
      <c r="F4455" t="str">
        <f>IFERROR(__xludf.DUMMYFUNCTION("""COMPUTED_VALUE"""),"")</f>
        <v/>
      </c>
      <c r="G4455" t="str">
        <f>IFERROR(__xludf.DUMMYFUNCTION("""COMPUTED_VALUE"""),"")</f>
        <v/>
      </c>
      <c r="H4455" s="2" t="str">
        <f>IFERROR(__xludf.DUMMYFUNCTION("""COMPUTED_VALUE"""),"")</f>
        <v/>
      </c>
      <c r="I4455" s="2" t="str">
        <f>IFERROR(__xludf.DUMMYFUNCTION("""COMPUTED_VALUE"""),"")</f>
        <v/>
      </c>
      <c r="J4455" s="2">
        <f>IFERROR(__xludf.DUMMYFUNCTION("""COMPUTED_VALUE"""),0.0)</f>
        <v>0</v>
      </c>
      <c r="K4455" s="5" t="str">
        <f>IFERROR(__xludf.DUMMYFUNCTION("""COMPUTED_VALUE"""),"")</f>
        <v/>
      </c>
      <c r="L4455" t="str">
        <f>IFERROR(__xludf.DUMMYFUNCTION("""COMPUTED_VALUE"""),"")</f>
        <v/>
      </c>
      <c r="M4455" t="str">
        <f>IFERROR(__xludf.DUMMYFUNCTION("""COMPUTED_VALUE"""),"")</f>
        <v/>
      </c>
      <c r="N4455" t="str">
        <f>IFERROR(__xludf.DUMMYFUNCTION("""COMPUTED_VALUE"""),"")</f>
        <v/>
      </c>
      <c r="O4455" t="str">
        <f>IFERROR(__xludf.DUMMYFUNCTION("""COMPUTED_VALUE"""),"")</f>
        <v/>
      </c>
      <c r="P4455" t="str">
        <f>IFERROR(__xludf.DUMMYFUNCTION("""COMPUTED_VALUE"""),"ID ")</f>
        <v>ID </v>
      </c>
    </row>
    <row r="4456">
      <c r="A4456" s="6" t="str">
        <f>IFERROR(__xludf.DUMMYFUNCTION("""COMPUTED_VALUE"""),"")</f>
        <v/>
      </c>
      <c r="C4456" t="str">
        <f>IFERROR(__xludf.DUMMYFUNCTION("""COMPUTED_VALUE"""),"")</f>
        <v/>
      </c>
      <c r="D4456" t="str">
        <f>IFERROR(__xludf.DUMMYFUNCTION("""COMPUTED_VALUE"""),"")</f>
        <v/>
      </c>
      <c r="E4456" t="str">
        <f>IFERROR(__xludf.DUMMYFUNCTION("""COMPUTED_VALUE"""),"")</f>
        <v/>
      </c>
      <c r="F4456" t="str">
        <f>IFERROR(__xludf.DUMMYFUNCTION("""COMPUTED_VALUE"""),"")</f>
        <v/>
      </c>
      <c r="G4456" t="str">
        <f>IFERROR(__xludf.DUMMYFUNCTION("""COMPUTED_VALUE"""),"")</f>
        <v/>
      </c>
      <c r="H4456" s="2" t="str">
        <f>IFERROR(__xludf.DUMMYFUNCTION("""COMPUTED_VALUE"""),"")</f>
        <v/>
      </c>
      <c r="I4456" s="2" t="str">
        <f>IFERROR(__xludf.DUMMYFUNCTION("""COMPUTED_VALUE"""),"")</f>
        <v/>
      </c>
      <c r="J4456" s="2">
        <f>IFERROR(__xludf.DUMMYFUNCTION("""COMPUTED_VALUE"""),0.0)</f>
        <v>0</v>
      </c>
      <c r="K4456" s="5" t="str">
        <f>IFERROR(__xludf.DUMMYFUNCTION("""COMPUTED_VALUE"""),"")</f>
        <v/>
      </c>
      <c r="L4456" t="str">
        <f>IFERROR(__xludf.DUMMYFUNCTION("""COMPUTED_VALUE"""),"")</f>
        <v/>
      </c>
      <c r="M4456" t="str">
        <f>IFERROR(__xludf.DUMMYFUNCTION("""COMPUTED_VALUE"""),"")</f>
        <v/>
      </c>
      <c r="N4456" t="str">
        <f>IFERROR(__xludf.DUMMYFUNCTION("""COMPUTED_VALUE"""),"")</f>
        <v/>
      </c>
      <c r="O4456" t="str">
        <f>IFERROR(__xludf.DUMMYFUNCTION("""COMPUTED_VALUE"""),"")</f>
        <v/>
      </c>
      <c r="P4456" t="str">
        <f>IFERROR(__xludf.DUMMYFUNCTION("""COMPUTED_VALUE"""),"ID ")</f>
        <v>ID </v>
      </c>
    </row>
    <row r="4457">
      <c r="A4457" s="6" t="str">
        <f>IFERROR(__xludf.DUMMYFUNCTION("""COMPUTED_VALUE"""),"")</f>
        <v/>
      </c>
      <c r="C4457" t="str">
        <f>IFERROR(__xludf.DUMMYFUNCTION("""COMPUTED_VALUE"""),"")</f>
        <v/>
      </c>
      <c r="D4457" t="str">
        <f>IFERROR(__xludf.DUMMYFUNCTION("""COMPUTED_VALUE"""),"")</f>
        <v/>
      </c>
      <c r="E4457" t="str">
        <f>IFERROR(__xludf.DUMMYFUNCTION("""COMPUTED_VALUE"""),"")</f>
        <v/>
      </c>
      <c r="F4457" t="str">
        <f>IFERROR(__xludf.DUMMYFUNCTION("""COMPUTED_VALUE"""),"")</f>
        <v/>
      </c>
      <c r="G4457" t="str">
        <f>IFERROR(__xludf.DUMMYFUNCTION("""COMPUTED_VALUE"""),"")</f>
        <v/>
      </c>
      <c r="H4457" s="2" t="str">
        <f>IFERROR(__xludf.DUMMYFUNCTION("""COMPUTED_VALUE"""),"")</f>
        <v/>
      </c>
      <c r="I4457" s="2" t="str">
        <f>IFERROR(__xludf.DUMMYFUNCTION("""COMPUTED_VALUE"""),"")</f>
        <v/>
      </c>
      <c r="J4457" s="2">
        <f>IFERROR(__xludf.DUMMYFUNCTION("""COMPUTED_VALUE"""),0.0)</f>
        <v>0</v>
      </c>
      <c r="K4457" s="5" t="str">
        <f>IFERROR(__xludf.DUMMYFUNCTION("""COMPUTED_VALUE"""),"")</f>
        <v/>
      </c>
      <c r="L4457" t="str">
        <f>IFERROR(__xludf.DUMMYFUNCTION("""COMPUTED_VALUE"""),"")</f>
        <v/>
      </c>
      <c r="M4457" t="str">
        <f>IFERROR(__xludf.DUMMYFUNCTION("""COMPUTED_VALUE"""),"")</f>
        <v/>
      </c>
      <c r="N4457" t="str">
        <f>IFERROR(__xludf.DUMMYFUNCTION("""COMPUTED_VALUE"""),"")</f>
        <v/>
      </c>
      <c r="O4457" t="str">
        <f>IFERROR(__xludf.DUMMYFUNCTION("""COMPUTED_VALUE"""),"")</f>
        <v/>
      </c>
      <c r="P4457" t="str">
        <f>IFERROR(__xludf.DUMMYFUNCTION("""COMPUTED_VALUE"""),"ID ")</f>
        <v>ID </v>
      </c>
    </row>
    <row r="4458">
      <c r="A4458" s="6" t="str">
        <f>IFERROR(__xludf.DUMMYFUNCTION("""COMPUTED_VALUE"""),"")</f>
        <v/>
      </c>
      <c r="C4458" t="str">
        <f>IFERROR(__xludf.DUMMYFUNCTION("""COMPUTED_VALUE"""),"")</f>
        <v/>
      </c>
      <c r="D4458" t="str">
        <f>IFERROR(__xludf.DUMMYFUNCTION("""COMPUTED_VALUE"""),"")</f>
        <v/>
      </c>
      <c r="E4458" t="str">
        <f>IFERROR(__xludf.DUMMYFUNCTION("""COMPUTED_VALUE"""),"")</f>
        <v/>
      </c>
      <c r="F4458" t="str">
        <f>IFERROR(__xludf.DUMMYFUNCTION("""COMPUTED_VALUE"""),"")</f>
        <v/>
      </c>
      <c r="G4458" t="str">
        <f>IFERROR(__xludf.DUMMYFUNCTION("""COMPUTED_VALUE"""),"")</f>
        <v/>
      </c>
      <c r="H4458" s="2" t="str">
        <f>IFERROR(__xludf.DUMMYFUNCTION("""COMPUTED_VALUE"""),"")</f>
        <v/>
      </c>
      <c r="I4458" s="2" t="str">
        <f>IFERROR(__xludf.DUMMYFUNCTION("""COMPUTED_VALUE"""),"")</f>
        <v/>
      </c>
      <c r="J4458" s="2">
        <f>IFERROR(__xludf.DUMMYFUNCTION("""COMPUTED_VALUE"""),0.0)</f>
        <v>0</v>
      </c>
      <c r="K4458" s="5" t="str">
        <f>IFERROR(__xludf.DUMMYFUNCTION("""COMPUTED_VALUE"""),"")</f>
        <v/>
      </c>
      <c r="L4458" t="str">
        <f>IFERROR(__xludf.DUMMYFUNCTION("""COMPUTED_VALUE"""),"")</f>
        <v/>
      </c>
      <c r="M4458" t="str">
        <f>IFERROR(__xludf.DUMMYFUNCTION("""COMPUTED_VALUE"""),"")</f>
        <v/>
      </c>
      <c r="N4458" t="str">
        <f>IFERROR(__xludf.DUMMYFUNCTION("""COMPUTED_VALUE"""),"")</f>
        <v/>
      </c>
      <c r="O4458" t="str">
        <f>IFERROR(__xludf.DUMMYFUNCTION("""COMPUTED_VALUE"""),"")</f>
        <v/>
      </c>
      <c r="P4458" t="str">
        <f>IFERROR(__xludf.DUMMYFUNCTION("""COMPUTED_VALUE"""),"ID ")</f>
        <v>ID </v>
      </c>
    </row>
    <row r="4459">
      <c r="A4459" s="6" t="str">
        <f>IFERROR(__xludf.DUMMYFUNCTION("""COMPUTED_VALUE"""),"")</f>
        <v/>
      </c>
      <c r="C4459" t="str">
        <f>IFERROR(__xludf.DUMMYFUNCTION("""COMPUTED_VALUE"""),"")</f>
        <v/>
      </c>
      <c r="D4459" t="str">
        <f>IFERROR(__xludf.DUMMYFUNCTION("""COMPUTED_VALUE"""),"")</f>
        <v/>
      </c>
      <c r="E4459" t="str">
        <f>IFERROR(__xludf.DUMMYFUNCTION("""COMPUTED_VALUE"""),"")</f>
        <v/>
      </c>
      <c r="F4459" t="str">
        <f>IFERROR(__xludf.DUMMYFUNCTION("""COMPUTED_VALUE"""),"")</f>
        <v/>
      </c>
      <c r="G4459" t="str">
        <f>IFERROR(__xludf.DUMMYFUNCTION("""COMPUTED_VALUE"""),"")</f>
        <v/>
      </c>
      <c r="H4459" s="2" t="str">
        <f>IFERROR(__xludf.DUMMYFUNCTION("""COMPUTED_VALUE"""),"")</f>
        <v/>
      </c>
      <c r="I4459" s="2" t="str">
        <f>IFERROR(__xludf.DUMMYFUNCTION("""COMPUTED_VALUE"""),"")</f>
        <v/>
      </c>
      <c r="J4459" s="2">
        <f>IFERROR(__xludf.DUMMYFUNCTION("""COMPUTED_VALUE"""),0.0)</f>
        <v>0</v>
      </c>
      <c r="K4459" s="5" t="str">
        <f>IFERROR(__xludf.DUMMYFUNCTION("""COMPUTED_VALUE"""),"")</f>
        <v/>
      </c>
      <c r="L4459" t="str">
        <f>IFERROR(__xludf.DUMMYFUNCTION("""COMPUTED_VALUE"""),"")</f>
        <v/>
      </c>
      <c r="M4459" t="str">
        <f>IFERROR(__xludf.DUMMYFUNCTION("""COMPUTED_VALUE"""),"")</f>
        <v/>
      </c>
      <c r="N4459" t="str">
        <f>IFERROR(__xludf.DUMMYFUNCTION("""COMPUTED_VALUE"""),"")</f>
        <v/>
      </c>
      <c r="O4459" t="str">
        <f>IFERROR(__xludf.DUMMYFUNCTION("""COMPUTED_VALUE"""),"")</f>
        <v/>
      </c>
      <c r="P4459" t="str">
        <f>IFERROR(__xludf.DUMMYFUNCTION("""COMPUTED_VALUE"""),"ID ")</f>
        <v>ID </v>
      </c>
    </row>
    <row r="4460">
      <c r="A4460" s="6" t="str">
        <f>IFERROR(__xludf.DUMMYFUNCTION("""COMPUTED_VALUE"""),"")</f>
        <v/>
      </c>
      <c r="C4460" t="str">
        <f>IFERROR(__xludf.DUMMYFUNCTION("""COMPUTED_VALUE"""),"")</f>
        <v/>
      </c>
      <c r="D4460" t="str">
        <f>IFERROR(__xludf.DUMMYFUNCTION("""COMPUTED_VALUE"""),"")</f>
        <v/>
      </c>
      <c r="E4460" t="str">
        <f>IFERROR(__xludf.DUMMYFUNCTION("""COMPUTED_VALUE"""),"")</f>
        <v/>
      </c>
      <c r="F4460" t="str">
        <f>IFERROR(__xludf.DUMMYFUNCTION("""COMPUTED_VALUE"""),"")</f>
        <v/>
      </c>
      <c r="G4460" t="str">
        <f>IFERROR(__xludf.DUMMYFUNCTION("""COMPUTED_VALUE"""),"")</f>
        <v/>
      </c>
      <c r="H4460" s="2" t="str">
        <f>IFERROR(__xludf.DUMMYFUNCTION("""COMPUTED_VALUE"""),"")</f>
        <v/>
      </c>
      <c r="I4460" s="2" t="str">
        <f>IFERROR(__xludf.DUMMYFUNCTION("""COMPUTED_VALUE"""),"")</f>
        <v/>
      </c>
      <c r="J4460" s="2">
        <f>IFERROR(__xludf.DUMMYFUNCTION("""COMPUTED_VALUE"""),0.0)</f>
        <v>0</v>
      </c>
      <c r="K4460" s="5" t="str">
        <f>IFERROR(__xludf.DUMMYFUNCTION("""COMPUTED_VALUE"""),"")</f>
        <v/>
      </c>
      <c r="L4460" t="str">
        <f>IFERROR(__xludf.DUMMYFUNCTION("""COMPUTED_VALUE"""),"")</f>
        <v/>
      </c>
      <c r="M4460" t="str">
        <f>IFERROR(__xludf.DUMMYFUNCTION("""COMPUTED_VALUE"""),"")</f>
        <v/>
      </c>
      <c r="N4460" t="str">
        <f>IFERROR(__xludf.DUMMYFUNCTION("""COMPUTED_VALUE"""),"")</f>
        <v/>
      </c>
      <c r="O4460" t="str">
        <f>IFERROR(__xludf.DUMMYFUNCTION("""COMPUTED_VALUE"""),"")</f>
        <v/>
      </c>
      <c r="P4460" t="str">
        <f>IFERROR(__xludf.DUMMYFUNCTION("""COMPUTED_VALUE"""),"ID ")</f>
        <v>ID </v>
      </c>
    </row>
    <row r="4461">
      <c r="A4461" s="6" t="str">
        <f>IFERROR(__xludf.DUMMYFUNCTION("""COMPUTED_VALUE"""),"")</f>
        <v/>
      </c>
      <c r="C4461" t="str">
        <f>IFERROR(__xludf.DUMMYFUNCTION("""COMPUTED_VALUE"""),"")</f>
        <v/>
      </c>
      <c r="D4461" t="str">
        <f>IFERROR(__xludf.DUMMYFUNCTION("""COMPUTED_VALUE"""),"")</f>
        <v/>
      </c>
      <c r="E4461" t="str">
        <f>IFERROR(__xludf.DUMMYFUNCTION("""COMPUTED_VALUE"""),"")</f>
        <v/>
      </c>
      <c r="F4461" t="str">
        <f>IFERROR(__xludf.DUMMYFUNCTION("""COMPUTED_VALUE"""),"")</f>
        <v/>
      </c>
      <c r="G4461" t="str">
        <f>IFERROR(__xludf.DUMMYFUNCTION("""COMPUTED_VALUE"""),"")</f>
        <v/>
      </c>
      <c r="H4461" s="2" t="str">
        <f>IFERROR(__xludf.DUMMYFUNCTION("""COMPUTED_VALUE"""),"")</f>
        <v/>
      </c>
      <c r="I4461" s="2" t="str">
        <f>IFERROR(__xludf.DUMMYFUNCTION("""COMPUTED_VALUE"""),"")</f>
        <v/>
      </c>
      <c r="J4461" s="2">
        <f>IFERROR(__xludf.DUMMYFUNCTION("""COMPUTED_VALUE"""),0.0)</f>
        <v>0</v>
      </c>
      <c r="K4461" s="5" t="str">
        <f>IFERROR(__xludf.DUMMYFUNCTION("""COMPUTED_VALUE"""),"")</f>
        <v/>
      </c>
      <c r="L4461" t="str">
        <f>IFERROR(__xludf.DUMMYFUNCTION("""COMPUTED_VALUE"""),"")</f>
        <v/>
      </c>
      <c r="M4461" t="str">
        <f>IFERROR(__xludf.DUMMYFUNCTION("""COMPUTED_VALUE"""),"")</f>
        <v/>
      </c>
      <c r="N4461" t="str">
        <f>IFERROR(__xludf.DUMMYFUNCTION("""COMPUTED_VALUE"""),"")</f>
        <v/>
      </c>
      <c r="O4461" t="str">
        <f>IFERROR(__xludf.DUMMYFUNCTION("""COMPUTED_VALUE"""),"")</f>
        <v/>
      </c>
      <c r="P4461" t="str">
        <f>IFERROR(__xludf.DUMMYFUNCTION("""COMPUTED_VALUE"""),"ID ")</f>
        <v>ID </v>
      </c>
    </row>
    <row r="4462">
      <c r="A4462" s="6" t="str">
        <f>IFERROR(__xludf.DUMMYFUNCTION("""COMPUTED_VALUE"""),"")</f>
        <v/>
      </c>
      <c r="C4462" t="str">
        <f>IFERROR(__xludf.DUMMYFUNCTION("""COMPUTED_VALUE"""),"")</f>
        <v/>
      </c>
      <c r="D4462" t="str">
        <f>IFERROR(__xludf.DUMMYFUNCTION("""COMPUTED_VALUE"""),"")</f>
        <v/>
      </c>
      <c r="E4462" t="str">
        <f>IFERROR(__xludf.DUMMYFUNCTION("""COMPUTED_VALUE"""),"")</f>
        <v/>
      </c>
      <c r="F4462" t="str">
        <f>IFERROR(__xludf.DUMMYFUNCTION("""COMPUTED_VALUE"""),"")</f>
        <v/>
      </c>
      <c r="G4462" t="str">
        <f>IFERROR(__xludf.DUMMYFUNCTION("""COMPUTED_VALUE"""),"")</f>
        <v/>
      </c>
      <c r="H4462" s="2" t="str">
        <f>IFERROR(__xludf.DUMMYFUNCTION("""COMPUTED_VALUE"""),"")</f>
        <v/>
      </c>
      <c r="I4462" s="2" t="str">
        <f>IFERROR(__xludf.DUMMYFUNCTION("""COMPUTED_VALUE"""),"")</f>
        <v/>
      </c>
      <c r="J4462" s="2">
        <f>IFERROR(__xludf.DUMMYFUNCTION("""COMPUTED_VALUE"""),0.0)</f>
        <v>0</v>
      </c>
      <c r="K4462" s="5" t="str">
        <f>IFERROR(__xludf.DUMMYFUNCTION("""COMPUTED_VALUE"""),"")</f>
        <v/>
      </c>
      <c r="L4462" t="str">
        <f>IFERROR(__xludf.DUMMYFUNCTION("""COMPUTED_VALUE"""),"")</f>
        <v/>
      </c>
      <c r="M4462" t="str">
        <f>IFERROR(__xludf.DUMMYFUNCTION("""COMPUTED_VALUE"""),"")</f>
        <v/>
      </c>
      <c r="N4462" t="str">
        <f>IFERROR(__xludf.DUMMYFUNCTION("""COMPUTED_VALUE"""),"")</f>
        <v/>
      </c>
      <c r="O4462" t="str">
        <f>IFERROR(__xludf.DUMMYFUNCTION("""COMPUTED_VALUE"""),"")</f>
        <v/>
      </c>
      <c r="P4462" t="str">
        <f>IFERROR(__xludf.DUMMYFUNCTION("""COMPUTED_VALUE"""),"ID ")</f>
        <v>ID </v>
      </c>
    </row>
    <row r="4463">
      <c r="A4463" s="6" t="str">
        <f>IFERROR(__xludf.DUMMYFUNCTION("""COMPUTED_VALUE"""),"")</f>
        <v/>
      </c>
      <c r="C4463" t="str">
        <f>IFERROR(__xludf.DUMMYFUNCTION("""COMPUTED_VALUE"""),"")</f>
        <v/>
      </c>
      <c r="D4463" t="str">
        <f>IFERROR(__xludf.DUMMYFUNCTION("""COMPUTED_VALUE"""),"")</f>
        <v/>
      </c>
      <c r="E4463" t="str">
        <f>IFERROR(__xludf.DUMMYFUNCTION("""COMPUTED_VALUE"""),"")</f>
        <v/>
      </c>
      <c r="F4463" t="str">
        <f>IFERROR(__xludf.DUMMYFUNCTION("""COMPUTED_VALUE"""),"")</f>
        <v/>
      </c>
      <c r="G4463" t="str">
        <f>IFERROR(__xludf.DUMMYFUNCTION("""COMPUTED_VALUE"""),"")</f>
        <v/>
      </c>
      <c r="H4463" s="2" t="str">
        <f>IFERROR(__xludf.DUMMYFUNCTION("""COMPUTED_VALUE"""),"")</f>
        <v/>
      </c>
      <c r="I4463" s="2" t="str">
        <f>IFERROR(__xludf.DUMMYFUNCTION("""COMPUTED_VALUE"""),"")</f>
        <v/>
      </c>
      <c r="J4463" s="2">
        <f>IFERROR(__xludf.DUMMYFUNCTION("""COMPUTED_VALUE"""),0.0)</f>
        <v>0</v>
      </c>
      <c r="K4463" s="5" t="str">
        <f>IFERROR(__xludf.DUMMYFUNCTION("""COMPUTED_VALUE"""),"")</f>
        <v/>
      </c>
      <c r="L4463" t="str">
        <f>IFERROR(__xludf.DUMMYFUNCTION("""COMPUTED_VALUE"""),"")</f>
        <v/>
      </c>
      <c r="M4463" t="str">
        <f>IFERROR(__xludf.DUMMYFUNCTION("""COMPUTED_VALUE"""),"")</f>
        <v/>
      </c>
      <c r="N4463" t="str">
        <f>IFERROR(__xludf.DUMMYFUNCTION("""COMPUTED_VALUE"""),"")</f>
        <v/>
      </c>
      <c r="O4463" t="str">
        <f>IFERROR(__xludf.DUMMYFUNCTION("""COMPUTED_VALUE"""),"")</f>
        <v/>
      </c>
      <c r="P4463" t="str">
        <f>IFERROR(__xludf.DUMMYFUNCTION("""COMPUTED_VALUE"""),"ID ")</f>
        <v>ID </v>
      </c>
    </row>
    <row r="4464">
      <c r="A4464" s="6" t="str">
        <f>IFERROR(__xludf.DUMMYFUNCTION("""COMPUTED_VALUE"""),"")</f>
        <v/>
      </c>
      <c r="C4464" t="str">
        <f>IFERROR(__xludf.DUMMYFUNCTION("""COMPUTED_VALUE"""),"")</f>
        <v/>
      </c>
      <c r="D4464" t="str">
        <f>IFERROR(__xludf.DUMMYFUNCTION("""COMPUTED_VALUE"""),"")</f>
        <v/>
      </c>
      <c r="E4464" t="str">
        <f>IFERROR(__xludf.DUMMYFUNCTION("""COMPUTED_VALUE"""),"")</f>
        <v/>
      </c>
      <c r="F4464" t="str">
        <f>IFERROR(__xludf.DUMMYFUNCTION("""COMPUTED_VALUE"""),"")</f>
        <v/>
      </c>
      <c r="G4464" t="str">
        <f>IFERROR(__xludf.DUMMYFUNCTION("""COMPUTED_VALUE"""),"")</f>
        <v/>
      </c>
      <c r="H4464" s="2" t="str">
        <f>IFERROR(__xludf.DUMMYFUNCTION("""COMPUTED_VALUE"""),"")</f>
        <v/>
      </c>
      <c r="I4464" s="2" t="str">
        <f>IFERROR(__xludf.DUMMYFUNCTION("""COMPUTED_VALUE"""),"")</f>
        <v/>
      </c>
      <c r="J4464" s="2">
        <f>IFERROR(__xludf.DUMMYFUNCTION("""COMPUTED_VALUE"""),0.0)</f>
        <v>0</v>
      </c>
      <c r="K4464" s="5" t="str">
        <f>IFERROR(__xludf.DUMMYFUNCTION("""COMPUTED_VALUE"""),"")</f>
        <v/>
      </c>
      <c r="L4464" t="str">
        <f>IFERROR(__xludf.DUMMYFUNCTION("""COMPUTED_VALUE"""),"")</f>
        <v/>
      </c>
      <c r="M4464" t="str">
        <f>IFERROR(__xludf.DUMMYFUNCTION("""COMPUTED_VALUE"""),"")</f>
        <v/>
      </c>
      <c r="N4464" t="str">
        <f>IFERROR(__xludf.DUMMYFUNCTION("""COMPUTED_VALUE"""),"")</f>
        <v/>
      </c>
      <c r="O4464" t="str">
        <f>IFERROR(__xludf.DUMMYFUNCTION("""COMPUTED_VALUE"""),"")</f>
        <v/>
      </c>
      <c r="P4464" t="str">
        <f>IFERROR(__xludf.DUMMYFUNCTION("""COMPUTED_VALUE"""),"ID ")</f>
        <v>ID </v>
      </c>
    </row>
    <row r="4465">
      <c r="A4465" s="6" t="str">
        <f>IFERROR(__xludf.DUMMYFUNCTION("""COMPUTED_VALUE"""),"")</f>
        <v/>
      </c>
      <c r="C4465" t="str">
        <f>IFERROR(__xludf.DUMMYFUNCTION("""COMPUTED_VALUE"""),"")</f>
        <v/>
      </c>
      <c r="D4465" t="str">
        <f>IFERROR(__xludf.DUMMYFUNCTION("""COMPUTED_VALUE"""),"")</f>
        <v/>
      </c>
      <c r="E4465" t="str">
        <f>IFERROR(__xludf.DUMMYFUNCTION("""COMPUTED_VALUE"""),"")</f>
        <v/>
      </c>
      <c r="F4465" t="str">
        <f>IFERROR(__xludf.DUMMYFUNCTION("""COMPUTED_VALUE"""),"")</f>
        <v/>
      </c>
      <c r="G4465" t="str">
        <f>IFERROR(__xludf.DUMMYFUNCTION("""COMPUTED_VALUE"""),"")</f>
        <v/>
      </c>
      <c r="H4465" s="2" t="str">
        <f>IFERROR(__xludf.DUMMYFUNCTION("""COMPUTED_VALUE"""),"")</f>
        <v/>
      </c>
      <c r="I4465" s="2" t="str">
        <f>IFERROR(__xludf.DUMMYFUNCTION("""COMPUTED_VALUE"""),"")</f>
        <v/>
      </c>
      <c r="J4465" s="2">
        <f>IFERROR(__xludf.DUMMYFUNCTION("""COMPUTED_VALUE"""),0.0)</f>
        <v>0</v>
      </c>
      <c r="K4465" s="5" t="str">
        <f>IFERROR(__xludf.DUMMYFUNCTION("""COMPUTED_VALUE"""),"")</f>
        <v/>
      </c>
      <c r="L4465" t="str">
        <f>IFERROR(__xludf.DUMMYFUNCTION("""COMPUTED_VALUE"""),"")</f>
        <v/>
      </c>
      <c r="M4465" t="str">
        <f>IFERROR(__xludf.DUMMYFUNCTION("""COMPUTED_VALUE"""),"")</f>
        <v/>
      </c>
      <c r="N4465" t="str">
        <f>IFERROR(__xludf.DUMMYFUNCTION("""COMPUTED_VALUE"""),"")</f>
        <v/>
      </c>
      <c r="O4465" t="str">
        <f>IFERROR(__xludf.DUMMYFUNCTION("""COMPUTED_VALUE"""),"")</f>
        <v/>
      </c>
      <c r="P4465" t="str">
        <f>IFERROR(__xludf.DUMMYFUNCTION("""COMPUTED_VALUE"""),"ID ")</f>
        <v>ID </v>
      </c>
    </row>
    <row r="4466">
      <c r="A4466" s="6" t="str">
        <f>IFERROR(__xludf.DUMMYFUNCTION("""COMPUTED_VALUE"""),"")</f>
        <v/>
      </c>
      <c r="C4466" t="str">
        <f>IFERROR(__xludf.DUMMYFUNCTION("""COMPUTED_VALUE"""),"")</f>
        <v/>
      </c>
      <c r="D4466" t="str">
        <f>IFERROR(__xludf.DUMMYFUNCTION("""COMPUTED_VALUE"""),"")</f>
        <v/>
      </c>
      <c r="E4466" t="str">
        <f>IFERROR(__xludf.DUMMYFUNCTION("""COMPUTED_VALUE"""),"")</f>
        <v/>
      </c>
      <c r="F4466" t="str">
        <f>IFERROR(__xludf.DUMMYFUNCTION("""COMPUTED_VALUE"""),"")</f>
        <v/>
      </c>
      <c r="G4466" t="str">
        <f>IFERROR(__xludf.DUMMYFUNCTION("""COMPUTED_VALUE"""),"")</f>
        <v/>
      </c>
      <c r="H4466" s="2" t="str">
        <f>IFERROR(__xludf.DUMMYFUNCTION("""COMPUTED_VALUE"""),"")</f>
        <v/>
      </c>
      <c r="I4466" s="2" t="str">
        <f>IFERROR(__xludf.DUMMYFUNCTION("""COMPUTED_VALUE"""),"")</f>
        <v/>
      </c>
      <c r="J4466" s="2">
        <f>IFERROR(__xludf.DUMMYFUNCTION("""COMPUTED_VALUE"""),0.0)</f>
        <v>0</v>
      </c>
      <c r="K4466" s="5" t="str">
        <f>IFERROR(__xludf.DUMMYFUNCTION("""COMPUTED_VALUE"""),"")</f>
        <v/>
      </c>
      <c r="L4466" t="str">
        <f>IFERROR(__xludf.DUMMYFUNCTION("""COMPUTED_VALUE"""),"")</f>
        <v/>
      </c>
      <c r="M4466" t="str">
        <f>IFERROR(__xludf.DUMMYFUNCTION("""COMPUTED_VALUE"""),"")</f>
        <v/>
      </c>
      <c r="N4466" t="str">
        <f>IFERROR(__xludf.DUMMYFUNCTION("""COMPUTED_VALUE"""),"")</f>
        <v/>
      </c>
      <c r="O4466" t="str">
        <f>IFERROR(__xludf.DUMMYFUNCTION("""COMPUTED_VALUE"""),"")</f>
        <v/>
      </c>
      <c r="P4466" t="str">
        <f>IFERROR(__xludf.DUMMYFUNCTION("""COMPUTED_VALUE"""),"ID ")</f>
        <v>ID </v>
      </c>
    </row>
    <row r="4467">
      <c r="A4467" s="6" t="str">
        <f>IFERROR(__xludf.DUMMYFUNCTION("""COMPUTED_VALUE"""),"")</f>
        <v/>
      </c>
      <c r="C4467" t="str">
        <f>IFERROR(__xludf.DUMMYFUNCTION("""COMPUTED_VALUE"""),"")</f>
        <v/>
      </c>
      <c r="D4467" t="str">
        <f>IFERROR(__xludf.DUMMYFUNCTION("""COMPUTED_VALUE"""),"")</f>
        <v/>
      </c>
      <c r="E4467" t="str">
        <f>IFERROR(__xludf.DUMMYFUNCTION("""COMPUTED_VALUE"""),"")</f>
        <v/>
      </c>
      <c r="F4467" t="str">
        <f>IFERROR(__xludf.DUMMYFUNCTION("""COMPUTED_VALUE"""),"")</f>
        <v/>
      </c>
      <c r="G4467" t="str">
        <f>IFERROR(__xludf.DUMMYFUNCTION("""COMPUTED_VALUE"""),"")</f>
        <v/>
      </c>
      <c r="H4467" s="2" t="str">
        <f>IFERROR(__xludf.DUMMYFUNCTION("""COMPUTED_VALUE"""),"")</f>
        <v/>
      </c>
      <c r="I4467" s="2" t="str">
        <f>IFERROR(__xludf.DUMMYFUNCTION("""COMPUTED_VALUE"""),"")</f>
        <v/>
      </c>
      <c r="J4467" s="2">
        <f>IFERROR(__xludf.DUMMYFUNCTION("""COMPUTED_VALUE"""),0.0)</f>
        <v>0</v>
      </c>
      <c r="K4467" s="5" t="str">
        <f>IFERROR(__xludf.DUMMYFUNCTION("""COMPUTED_VALUE"""),"")</f>
        <v/>
      </c>
      <c r="L4467" t="str">
        <f>IFERROR(__xludf.DUMMYFUNCTION("""COMPUTED_VALUE"""),"")</f>
        <v/>
      </c>
      <c r="M4467" t="str">
        <f>IFERROR(__xludf.DUMMYFUNCTION("""COMPUTED_VALUE"""),"")</f>
        <v/>
      </c>
      <c r="N4467" t="str">
        <f>IFERROR(__xludf.DUMMYFUNCTION("""COMPUTED_VALUE"""),"")</f>
        <v/>
      </c>
      <c r="O4467" t="str">
        <f>IFERROR(__xludf.DUMMYFUNCTION("""COMPUTED_VALUE"""),"")</f>
        <v/>
      </c>
      <c r="P4467" t="str">
        <f>IFERROR(__xludf.DUMMYFUNCTION("""COMPUTED_VALUE"""),"ID ")</f>
        <v>ID </v>
      </c>
    </row>
    <row r="4468">
      <c r="A4468" s="6" t="str">
        <f>IFERROR(__xludf.DUMMYFUNCTION("""COMPUTED_VALUE"""),"")</f>
        <v/>
      </c>
      <c r="C4468" t="str">
        <f>IFERROR(__xludf.DUMMYFUNCTION("""COMPUTED_VALUE"""),"")</f>
        <v/>
      </c>
      <c r="D4468" t="str">
        <f>IFERROR(__xludf.DUMMYFUNCTION("""COMPUTED_VALUE"""),"")</f>
        <v/>
      </c>
      <c r="E4468" t="str">
        <f>IFERROR(__xludf.DUMMYFUNCTION("""COMPUTED_VALUE"""),"")</f>
        <v/>
      </c>
      <c r="F4468" t="str">
        <f>IFERROR(__xludf.DUMMYFUNCTION("""COMPUTED_VALUE"""),"")</f>
        <v/>
      </c>
      <c r="G4468" t="str">
        <f>IFERROR(__xludf.DUMMYFUNCTION("""COMPUTED_VALUE"""),"")</f>
        <v/>
      </c>
      <c r="H4468" s="2" t="str">
        <f>IFERROR(__xludf.DUMMYFUNCTION("""COMPUTED_VALUE"""),"")</f>
        <v/>
      </c>
      <c r="I4468" s="2" t="str">
        <f>IFERROR(__xludf.DUMMYFUNCTION("""COMPUTED_VALUE"""),"")</f>
        <v/>
      </c>
      <c r="J4468" s="2">
        <f>IFERROR(__xludf.DUMMYFUNCTION("""COMPUTED_VALUE"""),0.0)</f>
        <v>0</v>
      </c>
      <c r="K4468" s="5" t="str">
        <f>IFERROR(__xludf.DUMMYFUNCTION("""COMPUTED_VALUE"""),"")</f>
        <v/>
      </c>
      <c r="L4468" t="str">
        <f>IFERROR(__xludf.DUMMYFUNCTION("""COMPUTED_VALUE"""),"")</f>
        <v/>
      </c>
      <c r="M4468" t="str">
        <f>IFERROR(__xludf.DUMMYFUNCTION("""COMPUTED_VALUE"""),"")</f>
        <v/>
      </c>
      <c r="N4468" t="str">
        <f>IFERROR(__xludf.DUMMYFUNCTION("""COMPUTED_VALUE"""),"")</f>
        <v/>
      </c>
      <c r="O4468" t="str">
        <f>IFERROR(__xludf.DUMMYFUNCTION("""COMPUTED_VALUE"""),"")</f>
        <v/>
      </c>
      <c r="P4468" t="str">
        <f>IFERROR(__xludf.DUMMYFUNCTION("""COMPUTED_VALUE"""),"ID ")</f>
        <v>ID </v>
      </c>
    </row>
    <row r="4469">
      <c r="A4469" s="6" t="str">
        <f>IFERROR(__xludf.DUMMYFUNCTION("""COMPUTED_VALUE"""),"")</f>
        <v/>
      </c>
      <c r="C4469" t="str">
        <f>IFERROR(__xludf.DUMMYFUNCTION("""COMPUTED_VALUE"""),"")</f>
        <v/>
      </c>
      <c r="D4469" t="str">
        <f>IFERROR(__xludf.DUMMYFUNCTION("""COMPUTED_VALUE"""),"")</f>
        <v/>
      </c>
      <c r="E4469" t="str">
        <f>IFERROR(__xludf.DUMMYFUNCTION("""COMPUTED_VALUE"""),"")</f>
        <v/>
      </c>
      <c r="F4469" t="str">
        <f>IFERROR(__xludf.DUMMYFUNCTION("""COMPUTED_VALUE"""),"")</f>
        <v/>
      </c>
      <c r="G4469" t="str">
        <f>IFERROR(__xludf.DUMMYFUNCTION("""COMPUTED_VALUE"""),"")</f>
        <v/>
      </c>
      <c r="H4469" s="2" t="str">
        <f>IFERROR(__xludf.DUMMYFUNCTION("""COMPUTED_VALUE"""),"")</f>
        <v/>
      </c>
      <c r="I4469" s="2" t="str">
        <f>IFERROR(__xludf.DUMMYFUNCTION("""COMPUTED_VALUE"""),"")</f>
        <v/>
      </c>
      <c r="J4469" s="2">
        <f>IFERROR(__xludf.DUMMYFUNCTION("""COMPUTED_VALUE"""),0.0)</f>
        <v>0</v>
      </c>
      <c r="K4469" s="5" t="str">
        <f>IFERROR(__xludf.DUMMYFUNCTION("""COMPUTED_VALUE"""),"")</f>
        <v/>
      </c>
      <c r="L4469" t="str">
        <f>IFERROR(__xludf.DUMMYFUNCTION("""COMPUTED_VALUE"""),"")</f>
        <v/>
      </c>
      <c r="M4469" t="str">
        <f>IFERROR(__xludf.DUMMYFUNCTION("""COMPUTED_VALUE"""),"")</f>
        <v/>
      </c>
      <c r="N4469" t="str">
        <f>IFERROR(__xludf.DUMMYFUNCTION("""COMPUTED_VALUE"""),"")</f>
        <v/>
      </c>
      <c r="O4469" t="str">
        <f>IFERROR(__xludf.DUMMYFUNCTION("""COMPUTED_VALUE"""),"")</f>
        <v/>
      </c>
      <c r="P4469" t="str">
        <f>IFERROR(__xludf.DUMMYFUNCTION("""COMPUTED_VALUE"""),"ID ")</f>
        <v>ID </v>
      </c>
    </row>
    <row r="4470">
      <c r="A4470" s="6" t="str">
        <f>IFERROR(__xludf.DUMMYFUNCTION("""COMPUTED_VALUE"""),"")</f>
        <v/>
      </c>
      <c r="C4470" t="str">
        <f>IFERROR(__xludf.DUMMYFUNCTION("""COMPUTED_VALUE"""),"")</f>
        <v/>
      </c>
      <c r="D4470" t="str">
        <f>IFERROR(__xludf.DUMMYFUNCTION("""COMPUTED_VALUE"""),"")</f>
        <v/>
      </c>
      <c r="E4470" t="str">
        <f>IFERROR(__xludf.DUMMYFUNCTION("""COMPUTED_VALUE"""),"")</f>
        <v/>
      </c>
      <c r="F4470" t="str">
        <f>IFERROR(__xludf.DUMMYFUNCTION("""COMPUTED_VALUE"""),"")</f>
        <v/>
      </c>
      <c r="G4470" t="str">
        <f>IFERROR(__xludf.DUMMYFUNCTION("""COMPUTED_VALUE"""),"")</f>
        <v/>
      </c>
      <c r="H4470" s="2" t="str">
        <f>IFERROR(__xludf.DUMMYFUNCTION("""COMPUTED_VALUE"""),"")</f>
        <v/>
      </c>
      <c r="I4470" s="2" t="str">
        <f>IFERROR(__xludf.DUMMYFUNCTION("""COMPUTED_VALUE"""),"")</f>
        <v/>
      </c>
      <c r="J4470" s="2">
        <f>IFERROR(__xludf.DUMMYFUNCTION("""COMPUTED_VALUE"""),0.0)</f>
        <v>0</v>
      </c>
      <c r="K4470" s="5" t="str">
        <f>IFERROR(__xludf.DUMMYFUNCTION("""COMPUTED_VALUE"""),"")</f>
        <v/>
      </c>
      <c r="L4470" t="str">
        <f>IFERROR(__xludf.DUMMYFUNCTION("""COMPUTED_VALUE"""),"")</f>
        <v/>
      </c>
      <c r="M4470" t="str">
        <f>IFERROR(__xludf.DUMMYFUNCTION("""COMPUTED_VALUE"""),"")</f>
        <v/>
      </c>
      <c r="N4470" t="str">
        <f>IFERROR(__xludf.DUMMYFUNCTION("""COMPUTED_VALUE"""),"")</f>
        <v/>
      </c>
      <c r="O4470" t="str">
        <f>IFERROR(__xludf.DUMMYFUNCTION("""COMPUTED_VALUE"""),"")</f>
        <v/>
      </c>
      <c r="P4470" t="str">
        <f>IFERROR(__xludf.DUMMYFUNCTION("""COMPUTED_VALUE"""),"ID ")</f>
        <v>ID </v>
      </c>
    </row>
    <row r="4471">
      <c r="A4471" s="6" t="str">
        <f>IFERROR(__xludf.DUMMYFUNCTION("""COMPUTED_VALUE"""),"")</f>
        <v/>
      </c>
      <c r="C4471" t="str">
        <f>IFERROR(__xludf.DUMMYFUNCTION("""COMPUTED_VALUE"""),"")</f>
        <v/>
      </c>
      <c r="D4471" t="str">
        <f>IFERROR(__xludf.DUMMYFUNCTION("""COMPUTED_VALUE"""),"")</f>
        <v/>
      </c>
      <c r="E4471" t="str">
        <f>IFERROR(__xludf.DUMMYFUNCTION("""COMPUTED_VALUE"""),"")</f>
        <v/>
      </c>
      <c r="F4471" t="str">
        <f>IFERROR(__xludf.DUMMYFUNCTION("""COMPUTED_VALUE"""),"")</f>
        <v/>
      </c>
      <c r="G4471" t="str">
        <f>IFERROR(__xludf.DUMMYFUNCTION("""COMPUTED_VALUE"""),"")</f>
        <v/>
      </c>
      <c r="H4471" s="2" t="str">
        <f>IFERROR(__xludf.DUMMYFUNCTION("""COMPUTED_VALUE"""),"")</f>
        <v/>
      </c>
      <c r="I4471" s="2" t="str">
        <f>IFERROR(__xludf.DUMMYFUNCTION("""COMPUTED_VALUE"""),"")</f>
        <v/>
      </c>
      <c r="J4471" s="2">
        <f>IFERROR(__xludf.DUMMYFUNCTION("""COMPUTED_VALUE"""),0.0)</f>
        <v>0</v>
      </c>
      <c r="K4471" s="5" t="str">
        <f>IFERROR(__xludf.DUMMYFUNCTION("""COMPUTED_VALUE"""),"")</f>
        <v/>
      </c>
      <c r="L4471" t="str">
        <f>IFERROR(__xludf.DUMMYFUNCTION("""COMPUTED_VALUE"""),"")</f>
        <v/>
      </c>
      <c r="M4471" t="str">
        <f>IFERROR(__xludf.DUMMYFUNCTION("""COMPUTED_VALUE"""),"")</f>
        <v/>
      </c>
      <c r="N4471" t="str">
        <f>IFERROR(__xludf.DUMMYFUNCTION("""COMPUTED_VALUE"""),"")</f>
        <v/>
      </c>
      <c r="O4471" t="str">
        <f>IFERROR(__xludf.DUMMYFUNCTION("""COMPUTED_VALUE"""),"")</f>
        <v/>
      </c>
      <c r="P4471" t="str">
        <f>IFERROR(__xludf.DUMMYFUNCTION("""COMPUTED_VALUE"""),"ID ")</f>
        <v>ID </v>
      </c>
    </row>
    <row r="4472">
      <c r="A4472" s="6" t="str">
        <f>IFERROR(__xludf.DUMMYFUNCTION("""COMPUTED_VALUE"""),"")</f>
        <v/>
      </c>
      <c r="C4472" t="str">
        <f>IFERROR(__xludf.DUMMYFUNCTION("""COMPUTED_VALUE"""),"")</f>
        <v/>
      </c>
      <c r="D4472" t="str">
        <f>IFERROR(__xludf.DUMMYFUNCTION("""COMPUTED_VALUE"""),"")</f>
        <v/>
      </c>
      <c r="E4472" t="str">
        <f>IFERROR(__xludf.DUMMYFUNCTION("""COMPUTED_VALUE"""),"")</f>
        <v/>
      </c>
      <c r="F4472" t="str">
        <f>IFERROR(__xludf.DUMMYFUNCTION("""COMPUTED_VALUE"""),"")</f>
        <v/>
      </c>
      <c r="G4472" t="str">
        <f>IFERROR(__xludf.DUMMYFUNCTION("""COMPUTED_VALUE"""),"")</f>
        <v/>
      </c>
      <c r="H4472" s="2" t="str">
        <f>IFERROR(__xludf.DUMMYFUNCTION("""COMPUTED_VALUE"""),"")</f>
        <v/>
      </c>
      <c r="I4472" s="2" t="str">
        <f>IFERROR(__xludf.DUMMYFUNCTION("""COMPUTED_VALUE"""),"")</f>
        <v/>
      </c>
      <c r="J4472" s="2">
        <f>IFERROR(__xludf.DUMMYFUNCTION("""COMPUTED_VALUE"""),0.0)</f>
        <v>0</v>
      </c>
      <c r="K4472" s="5" t="str">
        <f>IFERROR(__xludf.DUMMYFUNCTION("""COMPUTED_VALUE"""),"")</f>
        <v/>
      </c>
      <c r="L4472" t="str">
        <f>IFERROR(__xludf.DUMMYFUNCTION("""COMPUTED_VALUE"""),"")</f>
        <v/>
      </c>
      <c r="M4472" t="str">
        <f>IFERROR(__xludf.DUMMYFUNCTION("""COMPUTED_VALUE"""),"")</f>
        <v/>
      </c>
      <c r="N4472" t="str">
        <f>IFERROR(__xludf.DUMMYFUNCTION("""COMPUTED_VALUE"""),"")</f>
        <v/>
      </c>
      <c r="O4472" t="str">
        <f>IFERROR(__xludf.DUMMYFUNCTION("""COMPUTED_VALUE"""),"")</f>
        <v/>
      </c>
      <c r="P4472" t="str">
        <f>IFERROR(__xludf.DUMMYFUNCTION("""COMPUTED_VALUE"""),"ID ")</f>
        <v>ID </v>
      </c>
    </row>
    <row r="4473">
      <c r="A4473" s="6" t="str">
        <f>IFERROR(__xludf.DUMMYFUNCTION("""COMPUTED_VALUE"""),"")</f>
        <v/>
      </c>
      <c r="C4473" t="str">
        <f>IFERROR(__xludf.DUMMYFUNCTION("""COMPUTED_VALUE"""),"")</f>
        <v/>
      </c>
      <c r="D4473" t="str">
        <f>IFERROR(__xludf.DUMMYFUNCTION("""COMPUTED_VALUE"""),"")</f>
        <v/>
      </c>
      <c r="E4473" t="str">
        <f>IFERROR(__xludf.DUMMYFUNCTION("""COMPUTED_VALUE"""),"")</f>
        <v/>
      </c>
      <c r="F4473" t="str">
        <f>IFERROR(__xludf.DUMMYFUNCTION("""COMPUTED_VALUE"""),"")</f>
        <v/>
      </c>
      <c r="G4473" t="str">
        <f>IFERROR(__xludf.DUMMYFUNCTION("""COMPUTED_VALUE"""),"")</f>
        <v/>
      </c>
      <c r="H4473" s="2" t="str">
        <f>IFERROR(__xludf.DUMMYFUNCTION("""COMPUTED_VALUE"""),"")</f>
        <v/>
      </c>
      <c r="I4473" s="2" t="str">
        <f>IFERROR(__xludf.DUMMYFUNCTION("""COMPUTED_VALUE"""),"")</f>
        <v/>
      </c>
      <c r="J4473" s="2">
        <f>IFERROR(__xludf.DUMMYFUNCTION("""COMPUTED_VALUE"""),0.0)</f>
        <v>0</v>
      </c>
      <c r="K4473" s="5" t="str">
        <f>IFERROR(__xludf.DUMMYFUNCTION("""COMPUTED_VALUE"""),"")</f>
        <v/>
      </c>
      <c r="L4473" t="str">
        <f>IFERROR(__xludf.DUMMYFUNCTION("""COMPUTED_VALUE"""),"")</f>
        <v/>
      </c>
      <c r="M4473" t="str">
        <f>IFERROR(__xludf.DUMMYFUNCTION("""COMPUTED_VALUE"""),"")</f>
        <v/>
      </c>
      <c r="N4473" t="str">
        <f>IFERROR(__xludf.DUMMYFUNCTION("""COMPUTED_VALUE"""),"")</f>
        <v/>
      </c>
      <c r="O4473" t="str">
        <f>IFERROR(__xludf.DUMMYFUNCTION("""COMPUTED_VALUE"""),"")</f>
        <v/>
      </c>
      <c r="P4473" t="str">
        <f>IFERROR(__xludf.DUMMYFUNCTION("""COMPUTED_VALUE"""),"ID ")</f>
        <v>ID </v>
      </c>
    </row>
    <row r="4474">
      <c r="A4474" s="6" t="str">
        <f>IFERROR(__xludf.DUMMYFUNCTION("""COMPUTED_VALUE"""),"")</f>
        <v/>
      </c>
      <c r="C4474" t="str">
        <f>IFERROR(__xludf.DUMMYFUNCTION("""COMPUTED_VALUE"""),"")</f>
        <v/>
      </c>
      <c r="D4474" t="str">
        <f>IFERROR(__xludf.DUMMYFUNCTION("""COMPUTED_VALUE"""),"")</f>
        <v/>
      </c>
      <c r="E4474" t="str">
        <f>IFERROR(__xludf.DUMMYFUNCTION("""COMPUTED_VALUE"""),"")</f>
        <v/>
      </c>
      <c r="F4474" t="str">
        <f>IFERROR(__xludf.DUMMYFUNCTION("""COMPUTED_VALUE"""),"")</f>
        <v/>
      </c>
      <c r="G4474" t="str">
        <f>IFERROR(__xludf.DUMMYFUNCTION("""COMPUTED_VALUE"""),"")</f>
        <v/>
      </c>
      <c r="H4474" s="2" t="str">
        <f>IFERROR(__xludf.DUMMYFUNCTION("""COMPUTED_VALUE"""),"")</f>
        <v/>
      </c>
      <c r="I4474" s="2" t="str">
        <f>IFERROR(__xludf.DUMMYFUNCTION("""COMPUTED_VALUE"""),"")</f>
        <v/>
      </c>
      <c r="J4474" s="2">
        <f>IFERROR(__xludf.DUMMYFUNCTION("""COMPUTED_VALUE"""),0.0)</f>
        <v>0</v>
      </c>
      <c r="K4474" s="5" t="str">
        <f>IFERROR(__xludf.DUMMYFUNCTION("""COMPUTED_VALUE"""),"")</f>
        <v/>
      </c>
      <c r="L4474" t="str">
        <f>IFERROR(__xludf.DUMMYFUNCTION("""COMPUTED_VALUE"""),"")</f>
        <v/>
      </c>
      <c r="M4474" t="str">
        <f>IFERROR(__xludf.DUMMYFUNCTION("""COMPUTED_VALUE"""),"")</f>
        <v/>
      </c>
      <c r="N4474" t="str">
        <f>IFERROR(__xludf.DUMMYFUNCTION("""COMPUTED_VALUE"""),"")</f>
        <v/>
      </c>
      <c r="O4474" t="str">
        <f>IFERROR(__xludf.DUMMYFUNCTION("""COMPUTED_VALUE"""),"")</f>
        <v/>
      </c>
      <c r="P4474" t="str">
        <f>IFERROR(__xludf.DUMMYFUNCTION("""COMPUTED_VALUE"""),"ID ")</f>
        <v>ID </v>
      </c>
    </row>
    <row r="4475">
      <c r="A4475" s="6" t="str">
        <f>IFERROR(__xludf.DUMMYFUNCTION("""COMPUTED_VALUE"""),"")</f>
        <v/>
      </c>
      <c r="C4475" t="str">
        <f>IFERROR(__xludf.DUMMYFUNCTION("""COMPUTED_VALUE"""),"")</f>
        <v/>
      </c>
      <c r="D4475" t="str">
        <f>IFERROR(__xludf.DUMMYFUNCTION("""COMPUTED_VALUE"""),"")</f>
        <v/>
      </c>
      <c r="E4475" t="str">
        <f>IFERROR(__xludf.DUMMYFUNCTION("""COMPUTED_VALUE"""),"")</f>
        <v/>
      </c>
      <c r="F4475" t="str">
        <f>IFERROR(__xludf.DUMMYFUNCTION("""COMPUTED_VALUE"""),"")</f>
        <v/>
      </c>
      <c r="G4475" t="str">
        <f>IFERROR(__xludf.DUMMYFUNCTION("""COMPUTED_VALUE"""),"")</f>
        <v/>
      </c>
      <c r="H4475" s="2" t="str">
        <f>IFERROR(__xludf.DUMMYFUNCTION("""COMPUTED_VALUE"""),"")</f>
        <v/>
      </c>
      <c r="I4475" s="2" t="str">
        <f>IFERROR(__xludf.DUMMYFUNCTION("""COMPUTED_VALUE"""),"")</f>
        <v/>
      </c>
      <c r="J4475" s="2">
        <f>IFERROR(__xludf.DUMMYFUNCTION("""COMPUTED_VALUE"""),0.0)</f>
        <v>0</v>
      </c>
      <c r="K4475" s="5" t="str">
        <f>IFERROR(__xludf.DUMMYFUNCTION("""COMPUTED_VALUE"""),"")</f>
        <v/>
      </c>
      <c r="L4475" t="str">
        <f>IFERROR(__xludf.DUMMYFUNCTION("""COMPUTED_VALUE"""),"")</f>
        <v/>
      </c>
      <c r="M4475" t="str">
        <f>IFERROR(__xludf.DUMMYFUNCTION("""COMPUTED_VALUE"""),"")</f>
        <v/>
      </c>
      <c r="N4475" t="str">
        <f>IFERROR(__xludf.DUMMYFUNCTION("""COMPUTED_VALUE"""),"")</f>
        <v/>
      </c>
      <c r="O4475" t="str">
        <f>IFERROR(__xludf.DUMMYFUNCTION("""COMPUTED_VALUE"""),"")</f>
        <v/>
      </c>
      <c r="P4475" t="str">
        <f>IFERROR(__xludf.DUMMYFUNCTION("""COMPUTED_VALUE"""),"ID ")</f>
        <v>ID </v>
      </c>
    </row>
    <row r="4476">
      <c r="A4476" s="6" t="str">
        <f>IFERROR(__xludf.DUMMYFUNCTION("""COMPUTED_VALUE"""),"")</f>
        <v/>
      </c>
      <c r="C4476" t="str">
        <f>IFERROR(__xludf.DUMMYFUNCTION("""COMPUTED_VALUE"""),"")</f>
        <v/>
      </c>
      <c r="D4476" t="str">
        <f>IFERROR(__xludf.DUMMYFUNCTION("""COMPUTED_VALUE"""),"")</f>
        <v/>
      </c>
      <c r="E4476" t="str">
        <f>IFERROR(__xludf.DUMMYFUNCTION("""COMPUTED_VALUE"""),"")</f>
        <v/>
      </c>
      <c r="F4476" t="str">
        <f>IFERROR(__xludf.DUMMYFUNCTION("""COMPUTED_VALUE"""),"")</f>
        <v/>
      </c>
      <c r="G4476" t="str">
        <f>IFERROR(__xludf.DUMMYFUNCTION("""COMPUTED_VALUE"""),"")</f>
        <v/>
      </c>
      <c r="H4476" s="2" t="str">
        <f>IFERROR(__xludf.DUMMYFUNCTION("""COMPUTED_VALUE"""),"")</f>
        <v/>
      </c>
      <c r="I4476" s="2" t="str">
        <f>IFERROR(__xludf.DUMMYFUNCTION("""COMPUTED_VALUE"""),"")</f>
        <v/>
      </c>
      <c r="J4476" s="2">
        <f>IFERROR(__xludf.DUMMYFUNCTION("""COMPUTED_VALUE"""),0.0)</f>
        <v>0</v>
      </c>
      <c r="K4476" s="5" t="str">
        <f>IFERROR(__xludf.DUMMYFUNCTION("""COMPUTED_VALUE"""),"")</f>
        <v/>
      </c>
      <c r="L4476" t="str">
        <f>IFERROR(__xludf.DUMMYFUNCTION("""COMPUTED_VALUE"""),"")</f>
        <v/>
      </c>
      <c r="M4476" t="str">
        <f>IFERROR(__xludf.DUMMYFUNCTION("""COMPUTED_VALUE"""),"")</f>
        <v/>
      </c>
      <c r="N4476" t="str">
        <f>IFERROR(__xludf.DUMMYFUNCTION("""COMPUTED_VALUE"""),"")</f>
        <v/>
      </c>
      <c r="O4476" t="str">
        <f>IFERROR(__xludf.DUMMYFUNCTION("""COMPUTED_VALUE"""),"")</f>
        <v/>
      </c>
      <c r="P4476" t="str">
        <f>IFERROR(__xludf.DUMMYFUNCTION("""COMPUTED_VALUE"""),"ID ")</f>
        <v>ID </v>
      </c>
    </row>
    <row r="4477">
      <c r="A4477" s="6" t="str">
        <f>IFERROR(__xludf.DUMMYFUNCTION("""COMPUTED_VALUE"""),"")</f>
        <v/>
      </c>
      <c r="C4477" t="str">
        <f>IFERROR(__xludf.DUMMYFUNCTION("""COMPUTED_VALUE"""),"")</f>
        <v/>
      </c>
      <c r="D4477" t="str">
        <f>IFERROR(__xludf.DUMMYFUNCTION("""COMPUTED_VALUE"""),"")</f>
        <v/>
      </c>
      <c r="E4477" t="str">
        <f>IFERROR(__xludf.DUMMYFUNCTION("""COMPUTED_VALUE"""),"")</f>
        <v/>
      </c>
      <c r="F4477" t="str">
        <f>IFERROR(__xludf.DUMMYFUNCTION("""COMPUTED_VALUE"""),"")</f>
        <v/>
      </c>
      <c r="G4477" t="str">
        <f>IFERROR(__xludf.DUMMYFUNCTION("""COMPUTED_VALUE"""),"")</f>
        <v/>
      </c>
      <c r="H4477" s="2" t="str">
        <f>IFERROR(__xludf.DUMMYFUNCTION("""COMPUTED_VALUE"""),"")</f>
        <v/>
      </c>
      <c r="I4477" s="2" t="str">
        <f>IFERROR(__xludf.DUMMYFUNCTION("""COMPUTED_VALUE"""),"")</f>
        <v/>
      </c>
      <c r="J4477" s="2">
        <f>IFERROR(__xludf.DUMMYFUNCTION("""COMPUTED_VALUE"""),0.0)</f>
        <v>0</v>
      </c>
      <c r="K4477" s="5" t="str">
        <f>IFERROR(__xludf.DUMMYFUNCTION("""COMPUTED_VALUE"""),"")</f>
        <v/>
      </c>
      <c r="L4477" t="str">
        <f>IFERROR(__xludf.DUMMYFUNCTION("""COMPUTED_VALUE"""),"")</f>
        <v/>
      </c>
      <c r="M4477" t="str">
        <f>IFERROR(__xludf.DUMMYFUNCTION("""COMPUTED_VALUE"""),"")</f>
        <v/>
      </c>
      <c r="N4477" t="str">
        <f>IFERROR(__xludf.DUMMYFUNCTION("""COMPUTED_VALUE"""),"")</f>
        <v/>
      </c>
      <c r="O4477" t="str">
        <f>IFERROR(__xludf.DUMMYFUNCTION("""COMPUTED_VALUE"""),"")</f>
        <v/>
      </c>
      <c r="P4477" t="str">
        <f>IFERROR(__xludf.DUMMYFUNCTION("""COMPUTED_VALUE"""),"ID ")</f>
        <v>ID </v>
      </c>
    </row>
    <row r="4478">
      <c r="A4478" s="6" t="str">
        <f>IFERROR(__xludf.DUMMYFUNCTION("""COMPUTED_VALUE"""),"")</f>
        <v/>
      </c>
      <c r="C4478" t="str">
        <f>IFERROR(__xludf.DUMMYFUNCTION("""COMPUTED_VALUE"""),"")</f>
        <v/>
      </c>
      <c r="D4478" t="str">
        <f>IFERROR(__xludf.DUMMYFUNCTION("""COMPUTED_VALUE"""),"")</f>
        <v/>
      </c>
      <c r="E4478" t="str">
        <f>IFERROR(__xludf.DUMMYFUNCTION("""COMPUTED_VALUE"""),"")</f>
        <v/>
      </c>
      <c r="F4478" t="str">
        <f>IFERROR(__xludf.DUMMYFUNCTION("""COMPUTED_VALUE"""),"")</f>
        <v/>
      </c>
      <c r="G4478" t="str">
        <f>IFERROR(__xludf.DUMMYFUNCTION("""COMPUTED_VALUE"""),"")</f>
        <v/>
      </c>
      <c r="H4478" s="2" t="str">
        <f>IFERROR(__xludf.DUMMYFUNCTION("""COMPUTED_VALUE"""),"")</f>
        <v/>
      </c>
      <c r="I4478" s="2" t="str">
        <f>IFERROR(__xludf.DUMMYFUNCTION("""COMPUTED_VALUE"""),"")</f>
        <v/>
      </c>
      <c r="J4478" s="2">
        <f>IFERROR(__xludf.DUMMYFUNCTION("""COMPUTED_VALUE"""),0.0)</f>
        <v>0</v>
      </c>
      <c r="K4478" s="5" t="str">
        <f>IFERROR(__xludf.DUMMYFUNCTION("""COMPUTED_VALUE"""),"")</f>
        <v/>
      </c>
      <c r="L4478" t="str">
        <f>IFERROR(__xludf.DUMMYFUNCTION("""COMPUTED_VALUE"""),"")</f>
        <v/>
      </c>
      <c r="M4478" t="str">
        <f>IFERROR(__xludf.DUMMYFUNCTION("""COMPUTED_VALUE"""),"")</f>
        <v/>
      </c>
      <c r="N4478" t="str">
        <f>IFERROR(__xludf.DUMMYFUNCTION("""COMPUTED_VALUE"""),"")</f>
        <v/>
      </c>
      <c r="O4478" t="str">
        <f>IFERROR(__xludf.DUMMYFUNCTION("""COMPUTED_VALUE"""),"")</f>
        <v/>
      </c>
      <c r="P4478" t="str">
        <f>IFERROR(__xludf.DUMMYFUNCTION("""COMPUTED_VALUE"""),"ID ")</f>
        <v>ID </v>
      </c>
    </row>
    <row r="4479">
      <c r="A4479" s="6" t="str">
        <f>IFERROR(__xludf.DUMMYFUNCTION("""COMPUTED_VALUE"""),"")</f>
        <v/>
      </c>
      <c r="C4479" t="str">
        <f>IFERROR(__xludf.DUMMYFUNCTION("""COMPUTED_VALUE"""),"")</f>
        <v/>
      </c>
      <c r="D4479" t="str">
        <f>IFERROR(__xludf.DUMMYFUNCTION("""COMPUTED_VALUE"""),"")</f>
        <v/>
      </c>
      <c r="E4479" t="str">
        <f>IFERROR(__xludf.DUMMYFUNCTION("""COMPUTED_VALUE"""),"")</f>
        <v/>
      </c>
      <c r="F4479" t="str">
        <f>IFERROR(__xludf.DUMMYFUNCTION("""COMPUTED_VALUE"""),"")</f>
        <v/>
      </c>
      <c r="G4479" t="str">
        <f>IFERROR(__xludf.DUMMYFUNCTION("""COMPUTED_VALUE"""),"")</f>
        <v/>
      </c>
      <c r="H4479" s="2" t="str">
        <f>IFERROR(__xludf.DUMMYFUNCTION("""COMPUTED_VALUE"""),"")</f>
        <v/>
      </c>
      <c r="I4479" s="2" t="str">
        <f>IFERROR(__xludf.DUMMYFUNCTION("""COMPUTED_VALUE"""),"")</f>
        <v/>
      </c>
      <c r="J4479" s="2">
        <f>IFERROR(__xludf.DUMMYFUNCTION("""COMPUTED_VALUE"""),0.0)</f>
        <v>0</v>
      </c>
      <c r="K4479" s="5" t="str">
        <f>IFERROR(__xludf.DUMMYFUNCTION("""COMPUTED_VALUE"""),"")</f>
        <v/>
      </c>
      <c r="L4479" t="str">
        <f>IFERROR(__xludf.DUMMYFUNCTION("""COMPUTED_VALUE"""),"")</f>
        <v/>
      </c>
      <c r="M4479" t="str">
        <f>IFERROR(__xludf.DUMMYFUNCTION("""COMPUTED_VALUE"""),"")</f>
        <v/>
      </c>
      <c r="N4479" t="str">
        <f>IFERROR(__xludf.DUMMYFUNCTION("""COMPUTED_VALUE"""),"")</f>
        <v/>
      </c>
      <c r="O4479" t="str">
        <f>IFERROR(__xludf.DUMMYFUNCTION("""COMPUTED_VALUE"""),"")</f>
        <v/>
      </c>
      <c r="P4479" t="str">
        <f>IFERROR(__xludf.DUMMYFUNCTION("""COMPUTED_VALUE"""),"ID ")</f>
        <v>ID </v>
      </c>
    </row>
    <row r="4480">
      <c r="A4480" s="6" t="str">
        <f>IFERROR(__xludf.DUMMYFUNCTION("""COMPUTED_VALUE"""),"")</f>
        <v/>
      </c>
      <c r="C4480" t="str">
        <f>IFERROR(__xludf.DUMMYFUNCTION("""COMPUTED_VALUE"""),"")</f>
        <v/>
      </c>
      <c r="D4480" t="str">
        <f>IFERROR(__xludf.DUMMYFUNCTION("""COMPUTED_VALUE"""),"")</f>
        <v/>
      </c>
      <c r="E4480" t="str">
        <f>IFERROR(__xludf.DUMMYFUNCTION("""COMPUTED_VALUE"""),"")</f>
        <v/>
      </c>
      <c r="F4480" t="str">
        <f>IFERROR(__xludf.DUMMYFUNCTION("""COMPUTED_VALUE"""),"")</f>
        <v/>
      </c>
      <c r="G4480" t="str">
        <f>IFERROR(__xludf.DUMMYFUNCTION("""COMPUTED_VALUE"""),"")</f>
        <v/>
      </c>
      <c r="H4480" s="2" t="str">
        <f>IFERROR(__xludf.DUMMYFUNCTION("""COMPUTED_VALUE"""),"")</f>
        <v/>
      </c>
      <c r="I4480" s="2" t="str">
        <f>IFERROR(__xludf.DUMMYFUNCTION("""COMPUTED_VALUE"""),"")</f>
        <v/>
      </c>
      <c r="J4480" s="2">
        <f>IFERROR(__xludf.DUMMYFUNCTION("""COMPUTED_VALUE"""),0.0)</f>
        <v>0</v>
      </c>
      <c r="K4480" s="5" t="str">
        <f>IFERROR(__xludf.DUMMYFUNCTION("""COMPUTED_VALUE"""),"")</f>
        <v/>
      </c>
      <c r="L4480" t="str">
        <f>IFERROR(__xludf.DUMMYFUNCTION("""COMPUTED_VALUE"""),"")</f>
        <v/>
      </c>
      <c r="M4480" t="str">
        <f>IFERROR(__xludf.DUMMYFUNCTION("""COMPUTED_VALUE"""),"")</f>
        <v/>
      </c>
      <c r="N4480" t="str">
        <f>IFERROR(__xludf.DUMMYFUNCTION("""COMPUTED_VALUE"""),"")</f>
        <v/>
      </c>
      <c r="O4480" t="str">
        <f>IFERROR(__xludf.DUMMYFUNCTION("""COMPUTED_VALUE"""),"")</f>
        <v/>
      </c>
      <c r="P4480" t="str">
        <f>IFERROR(__xludf.DUMMYFUNCTION("""COMPUTED_VALUE"""),"ID ")</f>
        <v>ID </v>
      </c>
    </row>
    <row r="4481">
      <c r="A4481" s="6" t="str">
        <f>IFERROR(__xludf.DUMMYFUNCTION("""COMPUTED_VALUE"""),"")</f>
        <v/>
      </c>
      <c r="C4481" t="str">
        <f>IFERROR(__xludf.DUMMYFUNCTION("""COMPUTED_VALUE"""),"")</f>
        <v/>
      </c>
      <c r="D4481" t="str">
        <f>IFERROR(__xludf.DUMMYFUNCTION("""COMPUTED_VALUE"""),"")</f>
        <v/>
      </c>
      <c r="E4481" t="str">
        <f>IFERROR(__xludf.DUMMYFUNCTION("""COMPUTED_VALUE"""),"")</f>
        <v/>
      </c>
      <c r="F4481" t="str">
        <f>IFERROR(__xludf.DUMMYFUNCTION("""COMPUTED_VALUE"""),"")</f>
        <v/>
      </c>
      <c r="G4481" t="str">
        <f>IFERROR(__xludf.DUMMYFUNCTION("""COMPUTED_VALUE"""),"")</f>
        <v/>
      </c>
      <c r="H4481" s="2" t="str">
        <f>IFERROR(__xludf.DUMMYFUNCTION("""COMPUTED_VALUE"""),"")</f>
        <v/>
      </c>
      <c r="I4481" s="2" t="str">
        <f>IFERROR(__xludf.DUMMYFUNCTION("""COMPUTED_VALUE"""),"")</f>
        <v/>
      </c>
      <c r="J4481" s="2">
        <f>IFERROR(__xludf.DUMMYFUNCTION("""COMPUTED_VALUE"""),0.0)</f>
        <v>0</v>
      </c>
      <c r="K4481" s="5" t="str">
        <f>IFERROR(__xludf.DUMMYFUNCTION("""COMPUTED_VALUE"""),"")</f>
        <v/>
      </c>
      <c r="L4481" t="str">
        <f>IFERROR(__xludf.DUMMYFUNCTION("""COMPUTED_VALUE"""),"")</f>
        <v/>
      </c>
      <c r="M4481" t="str">
        <f>IFERROR(__xludf.DUMMYFUNCTION("""COMPUTED_VALUE"""),"")</f>
        <v/>
      </c>
      <c r="N4481" t="str">
        <f>IFERROR(__xludf.DUMMYFUNCTION("""COMPUTED_VALUE"""),"")</f>
        <v/>
      </c>
      <c r="O4481" t="str">
        <f>IFERROR(__xludf.DUMMYFUNCTION("""COMPUTED_VALUE"""),"")</f>
        <v/>
      </c>
      <c r="P4481" t="str">
        <f>IFERROR(__xludf.DUMMYFUNCTION("""COMPUTED_VALUE"""),"ID ")</f>
        <v>ID </v>
      </c>
    </row>
    <row r="4482">
      <c r="A4482" s="6" t="str">
        <f>IFERROR(__xludf.DUMMYFUNCTION("""COMPUTED_VALUE"""),"")</f>
        <v/>
      </c>
      <c r="C4482" t="str">
        <f>IFERROR(__xludf.DUMMYFUNCTION("""COMPUTED_VALUE"""),"")</f>
        <v/>
      </c>
      <c r="D4482" t="str">
        <f>IFERROR(__xludf.DUMMYFUNCTION("""COMPUTED_VALUE"""),"")</f>
        <v/>
      </c>
      <c r="E4482" t="str">
        <f>IFERROR(__xludf.DUMMYFUNCTION("""COMPUTED_VALUE"""),"")</f>
        <v/>
      </c>
      <c r="F4482" t="str">
        <f>IFERROR(__xludf.DUMMYFUNCTION("""COMPUTED_VALUE"""),"")</f>
        <v/>
      </c>
      <c r="G4482" t="str">
        <f>IFERROR(__xludf.DUMMYFUNCTION("""COMPUTED_VALUE"""),"")</f>
        <v/>
      </c>
      <c r="H4482" s="2" t="str">
        <f>IFERROR(__xludf.DUMMYFUNCTION("""COMPUTED_VALUE"""),"")</f>
        <v/>
      </c>
      <c r="I4482" s="2" t="str">
        <f>IFERROR(__xludf.DUMMYFUNCTION("""COMPUTED_VALUE"""),"")</f>
        <v/>
      </c>
      <c r="J4482" s="2">
        <f>IFERROR(__xludf.DUMMYFUNCTION("""COMPUTED_VALUE"""),0.0)</f>
        <v>0</v>
      </c>
      <c r="K4482" s="5" t="str">
        <f>IFERROR(__xludf.DUMMYFUNCTION("""COMPUTED_VALUE"""),"")</f>
        <v/>
      </c>
      <c r="L4482" t="str">
        <f>IFERROR(__xludf.DUMMYFUNCTION("""COMPUTED_VALUE"""),"")</f>
        <v/>
      </c>
      <c r="M4482" t="str">
        <f>IFERROR(__xludf.DUMMYFUNCTION("""COMPUTED_VALUE"""),"")</f>
        <v/>
      </c>
      <c r="N4482" t="str">
        <f>IFERROR(__xludf.DUMMYFUNCTION("""COMPUTED_VALUE"""),"")</f>
        <v/>
      </c>
      <c r="O4482" t="str">
        <f>IFERROR(__xludf.DUMMYFUNCTION("""COMPUTED_VALUE"""),"")</f>
        <v/>
      </c>
      <c r="P4482" t="str">
        <f>IFERROR(__xludf.DUMMYFUNCTION("""COMPUTED_VALUE"""),"ID ")</f>
        <v>ID </v>
      </c>
    </row>
    <row r="4483">
      <c r="A4483" s="6" t="str">
        <f>IFERROR(__xludf.DUMMYFUNCTION("""COMPUTED_VALUE"""),"")</f>
        <v/>
      </c>
      <c r="C4483" t="str">
        <f>IFERROR(__xludf.DUMMYFUNCTION("""COMPUTED_VALUE"""),"")</f>
        <v/>
      </c>
      <c r="D4483" t="str">
        <f>IFERROR(__xludf.DUMMYFUNCTION("""COMPUTED_VALUE"""),"")</f>
        <v/>
      </c>
      <c r="E4483" t="str">
        <f>IFERROR(__xludf.DUMMYFUNCTION("""COMPUTED_VALUE"""),"")</f>
        <v/>
      </c>
      <c r="F4483" t="str">
        <f>IFERROR(__xludf.DUMMYFUNCTION("""COMPUTED_VALUE"""),"")</f>
        <v/>
      </c>
      <c r="G4483" t="str">
        <f>IFERROR(__xludf.DUMMYFUNCTION("""COMPUTED_VALUE"""),"")</f>
        <v/>
      </c>
      <c r="H4483" s="2" t="str">
        <f>IFERROR(__xludf.DUMMYFUNCTION("""COMPUTED_VALUE"""),"")</f>
        <v/>
      </c>
      <c r="I4483" s="2" t="str">
        <f>IFERROR(__xludf.DUMMYFUNCTION("""COMPUTED_VALUE"""),"")</f>
        <v/>
      </c>
      <c r="J4483" s="2">
        <f>IFERROR(__xludf.DUMMYFUNCTION("""COMPUTED_VALUE"""),0.0)</f>
        <v>0</v>
      </c>
      <c r="K4483" s="5" t="str">
        <f>IFERROR(__xludf.DUMMYFUNCTION("""COMPUTED_VALUE"""),"")</f>
        <v/>
      </c>
      <c r="L4483" t="str">
        <f>IFERROR(__xludf.DUMMYFUNCTION("""COMPUTED_VALUE"""),"")</f>
        <v/>
      </c>
      <c r="M4483" t="str">
        <f>IFERROR(__xludf.DUMMYFUNCTION("""COMPUTED_VALUE"""),"")</f>
        <v/>
      </c>
      <c r="N4483" t="str">
        <f>IFERROR(__xludf.DUMMYFUNCTION("""COMPUTED_VALUE"""),"")</f>
        <v/>
      </c>
      <c r="O4483" t="str">
        <f>IFERROR(__xludf.DUMMYFUNCTION("""COMPUTED_VALUE"""),"")</f>
        <v/>
      </c>
      <c r="P4483" t="str">
        <f>IFERROR(__xludf.DUMMYFUNCTION("""COMPUTED_VALUE"""),"ID ")</f>
        <v>ID </v>
      </c>
    </row>
    <row r="4484">
      <c r="A4484" s="6" t="str">
        <f>IFERROR(__xludf.DUMMYFUNCTION("""COMPUTED_VALUE"""),"")</f>
        <v/>
      </c>
      <c r="C4484" t="str">
        <f>IFERROR(__xludf.DUMMYFUNCTION("""COMPUTED_VALUE"""),"")</f>
        <v/>
      </c>
      <c r="D4484" t="str">
        <f>IFERROR(__xludf.DUMMYFUNCTION("""COMPUTED_VALUE"""),"")</f>
        <v/>
      </c>
      <c r="E4484" t="str">
        <f>IFERROR(__xludf.DUMMYFUNCTION("""COMPUTED_VALUE"""),"")</f>
        <v/>
      </c>
      <c r="F4484" t="str">
        <f>IFERROR(__xludf.DUMMYFUNCTION("""COMPUTED_VALUE"""),"")</f>
        <v/>
      </c>
      <c r="G4484" t="str">
        <f>IFERROR(__xludf.DUMMYFUNCTION("""COMPUTED_VALUE"""),"")</f>
        <v/>
      </c>
      <c r="H4484" s="2" t="str">
        <f>IFERROR(__xludf.DUMMYFUNCTION("""COMPUTED_VALUE"""),"")</f>
        <v/>
      </c>
      <c r="I4484" s="2" t="str">
        <f>IFERROR(__xludf.DUMMYFUNCTION("""COMPUTED_VALUE"""),"")</f>
        <v/>
      </c>
      <c r="J4484" s="2">
        <f>IFERROR(__xludf.DUMMYFUNCTION("""COMPUTED_VALUE"""),0.0)</f>
        <v>0</v>
      </c>
      <c r="K4484" s="5" t="str">
        <f>IFERROR(__xludf.DUMMYFUNCTION("""COMPUTED_VALUE"""),"")</f>
        <v/>
      </c>
      <c r="L4484" t="str">
        <f>IFERROR(__xludf.DUMMYFUNCTION("""COMPUTED_VALUE"""),"")</f>
        <v/>
      </c>
      <c r="M4484" t="str">
        <f>IFERROR(__xludf.DUMMYFUNCTION("""COMPUTED_VALUE"""),"")</f>
        <v/>
      </c>
      <c r="N4484" t="str">
        <f>IFERROR(__xludf.DUMMYFUNCTION("""COMPUTED_VALUE"""),"")</f>
        <v/>
      </c>
      <c r="O4484" t="str">
        <f>IFERROR(__xludf.DUMMYFUNCTION("""COMPUTED_VALUE"""),"")</f>
        <v/>
      </c>
      <c r="P4484" t="str">
        <f>IFERROR(__xludf.DUMMYFUNCTION("""COMPUTED_VALUE"""),"ID ")</f>
        <v>ID </v>
      </c>
    </row>
    <row r="4485">
      <c r="A4485" s="6" t="str">
        <f>IFERROR(__xludf.DUMMYFUNCTION("""COMPUTED_VALUE"""),"")</f>
        <v/>
      </c>
      <c r="C4485" t="str">
        <f>IFERROR(__xludf.DUMMYFUNCTION("""COMPUTED_VALUE"""),"")</f>
        <v/>
      </c>
      <c r="D4485" t="str">
        <f>IFERROR(__xludf.DUMMYFUNCTION("""COMPUTED_VALUE"""),"")</f>
        <v/>
      </c>
      <c r="E4485" t="str">
        <f>IFERROR(__xludf.DUMMYFUNCTION("""COMPUTED_VALUE"""),"")</f>
        <v/>
      </c>
      <c r="F4485" t="str">
        <f>IFERROR(__xludf.DUMMYFUNCTION("""COMPUTED_VALUE"""),"")</f>
        <v/>
      </c>
      <c r="G4485" t="str">
        <f>IFERROR(__xludf.DUMMYFUNCTION("""COMPUTED_VALUE"""),"")</f>
        <v/>
      </c>
      <c r="H4485" s="2" t="str">
        <f>IFERROR(__xludf.DUMMYFUNCTION("""COMPUTED_VALUE"""),"")</f>
        <v/>
      </c>
      <c r="I4485" s="2" t="str">
        <f>IFERROR(__xludf.DUMMYFUNCTION("""COMPUTED_VALUE"""),"")</f>
        <v/>
      </c>
      <c r="J4485" s="2">
        <f>IFERROR(__xludf.DUMMYFUNCTION("""COMPUTED_VALUE"""),0.0)</f>
        <v>0</v>
      </c>
      <c r="K4485" s="5" t="str">
        <f>IFERROR(__xludf.DUMMYFUNCTION("""COMPUTED_VALUE"""),"")</f>
        <v/>
      </c>
      <c r="L4485" t="str">
        <f>IFERROR(__xludf.DUMMYFUNCTION("""COMPUTED_VALUE"""),"")</f>
        <v/>
      </c>
      <c r="M4485" t="str">
        <f>IFERROR(__xludf.DUMMYFUNCTION("""COMPUTED_VALUE"""),"")</f>
        <v/>
      </c>
      <c r="N4485" t="str">
        <f>IFERROR(__xludf.DUMMYFUNCTION("""COMPUTED_VALUE"""),"")</f>
        <v/>
      </c>
      <c r="O4485" t="str">
        <f>IFERROR(__xludf.DUMMYFUNCTION("""COMPUTED_VALUE"""),"")</f>
        <v/>
      </c>
      <c r="P4485" t="str">
        <f>IFERROR(__xludf.DUMMYFUNCTION("""COMPUTED_VALUE"""),"ID ")</f>
        <v>ID </v>
      </c>
    </row>
    <row r="4486">
      <c r="A4486" s="6" t="str">
        <f>IFERROR(__xludf.DUMMYFUNCTION("""COMPUTED_VALUE"""),"")</f>
        <v/>
      </c>
      <c r="C4486" t="str">
        <f>IFERROR(__xludf.DUMMYFUNCTION("""COMPUTED_VALUE"""),"")</f>
        <v/>
      </c>
      <c r="D4486" t="str">
        <f>IFERROR(__xludf.DUMMYFUNCTION("""COMPUTED_VALUE"""),"")</f>
        <v/>
      </c>
      <c r="E4486" t="str">
        <f>IFERROR(__xludf.DUMMYFUNCTION("""COMPUTED_VALUE"""),"")</f>
        <v/>
      </c>
      <c r="F4486" t="str">
        <f>IFERROR(__xludf.DUMMYFUNCTION("""COMPUTED_VALUE"""),"")</f>
        <v/>
      </c>
      <c r="G4486" t="str">
        <f>IFERROR(__xludf.DUMMYFUNCTION("""COMPUTED_VALUE"""),"")</f>
        <v/>
      </c>
      <c r="H4486" s="2" t="str">
        <f>IFERROR(__xludf.DUMMYFUNCTION("""COMPUTED_VALUE"""),"")</f>
        <v/>
      </c>
      <c r="I4486" s="2" t="str">
        <f>IFERROR(__xludf.DUMMYFUNCTION("""COMPUTED_VALUE"""),"")</f>
        <v/>
      </c>
      <c r="J4486" s="2">
        <f>IFERROR(__xludf.DUMMYFUNCTION("""COMPUTED_VALUE"""),0.0)</f>
        <v>0</v>
      </c>
      <c r="K4486" s="5" t="str">
        <f>IFERROR(__xludf.DUMMYFUNCTION("""COMPUTED_VALUE"""),"")</f>
        <v/>
      </c>
      <c r="L4486" t="str">
        <f>IFERROR(__xludf.DUMMYFUNCTION("""COMPUTED_VALUE"""),"")</f>
        <v/>
      </c>
      <c r="M4486" t="str">
        <f>IFERROR(__xludf.DUMMYFUNCTION("""COMPUTED_VALUE"""),"")</f>
        <v/>
      </c>
      <c r="N4486" t="str">
        <f>IFERROR(__xludf.DUMMYFUNCTION("""COMPUTED_VALUE"""),"")</f>
        <v/>
      </c>
      <c r="O4486" t="str">
        <f>IFERROR(__xludf.DUMMYFUNCTION("""COMPUTED_VALUE"""),"")</f>
        <v/>
      </c>
      <c r="P4486" t="str">
        <f>IFERROR(__xludf.DUMMYFUNCTION("""COMPUTED_VALUE"""),"ID ")</f>
        <v>ID </v>
      </c>
    </row>
    <row r="4487">
      <c r="A4487" s="6" t="str">
        <f>IFERROR(__xludf.DUMMYFUNCTION("""COMPUTED_VALUE"""),"")</f>
        <v/>
      </c>
      <c r="C4487" t="str">
        <f>IFERROR(__xludf.DUMMYFUNCTION("""COMPUTED_VALUE"""),"")</f>
        <v/>
      </c>
      <c r="D4487" t="str">
        <f>IFERROR(__xludf.DUMMYFUNCTION("""COMPUTED_VALUE"""),"")</f>
        <v/>
      </c>
      <c r="E4487" t="str">
        <f>IFERROR(__xludf.DUMMYFUNCTION("""COMPUTED_VALUE"""),"")</f>
        <v/>
      </c>
      <c r="F4487" t="str">
        <f>IFERROR(__xludf.DUMMYFUNCTION("""COMPUTED_VALUE"""),"")</f>
        <v/>
      </c>
      <c r="G4487" t="str">
        <f>IFERROR(__xludf.DUMMYFUNCTION("""COMPUTED_VALUE"""),"")</f>
        <v/>
      </c>
      <c r="H4487" s="2" t="str">
        <f>IFERROR(__xludf.DUMMYFUNCTION("""COMPUTED_VALUE"""),"")</f>
        <v/>
      </c>
      <c r="I4487" s="2" t="str">
        <f>IFERROR(__xludf.DUMMYFUNCTION("""COMPUTED_VALUE"""),"")</f>
        <v/>
      </c>
      <c r="J4487" s="2">
        <f>IFERROR(__xludf.DUMMYFUNCTION("""COMPUTED_VALUE"""),0.0)</f>
        <v>0</v>
      </c>
      <c r="K4487" s="5" t="str">
        <f>IFERROR(__xludf.DUMMYFUNCTION("""COMPUTED_VALUE"""),"")</f>
        <v/>
      </c>
      <c r="L4487" t="str">
        <f>IFERROR(__xludf.DUMMYFUNCTION("""COMPUTED_VALUE"""),"")</f>
        <v/>
      </c>
      <c r="M4487" t="str">
        <f>IFERROR(__xludf.DUMMYFUNCTION("""COMPUTED_VALUE"""),"")</f>
        <v/>
      </c>
      <c r="N4487" t="str">
        <f>IFERROR(__xludf.DUMMYFUNCTION("""COMPUTED_VALUE"""),"")</f>
        <v/>
      </c>
      <c r="O4487" t="str">
        <f>IFERROR(__xludf.DUMMYFUNCTION("""COMPUTED_VALUE"""),"")</f>
        <v/>
      </c>
      <c r="P4487" t="str">
        <f>IFERROR(__xludf.DUMMYFUNCTION("""COMPUTED_VALUE"""),"ID ")</f>
        <v>ID </v>
      </c>
    </row>
    <row r="4488">
      <c r="A4488" s="6" t="str">
        <f>IFERROR(__xludf.DUMMYFUNCTION("""COMPUTED_VALUE"""),"")</f>
        <v/>
      </c>
      <c r="C4488" t="str">
        <f>IFERROR(__xludf.DUMMYFUNCTION("""COMPUTED_VALUE"""),"")</f>
        <v/>
      </c>
      <c r="D4488" t="str">
        <f>IFERROR(__xludf.DUMMYFUNCTION("""COMPUTED_VALUE"""),"")</f>
        <v/>
      </c>
      <c r="E4488" t="str">
        <f>IFERROR(__xludf.DUMMYFUNCTION("""COMPUTED_VALUE"""),"")</f>
        <v/>
      </c>
      <c r="F4488" t="str">
        <f>IFERROR(__xludf.DUMMYFUNCTION("""COMPUTED_VALUE"""),"")</f>
        <v/>
      </c>
      <c r="G4488" t="str">
        <f>IFERROR(__xludf.DUMMYFUNCTION("""COMPUTED_VALUE"""),"")</f>
        <v/>
      </c>
      <c r="H4488" s="2" t="str">
        <f>IFERROR(__xludf.DUMMYFUNCTION("""COMPUTED_VALUE"""),"")</f>
        <v/>
      </c>
      <c r="I4488" s="2" t="str">
        <f>IFERROR(__xludf.DUMMYFUNCTION("""COMPUTED_VALUE"""),"")</f>
        <v/>
      </c>
      <c r="J4488" s="2">
        <f>IFERROR(__xludf.DUMMYFUNCTION("""COMPUTED_VALUE"""),0.0)</f>
        <v>0</v>
      </c>
      <c r="K4488" s="5" t="str">
        <f>IFERROR(__xludf.DUMMYFUNCTION("""COMPUTED_VALUE"""),"")</f>
        <v/>
      </c>
      <c r="L4488" t="str">
        <f>IFERROR(__xludf.DUMMYFUNCTION("""COMPUTED_VALUE"""),"")</f>
        <v/>
      </c>
      <c r="M4488" t="str">
        <f>IFERROR(__xludf.DUMMYFUNCTION("""COMPUTED_VALUE"""),"")</f>
        <v/>
      </c>
      <c r="N4488" t="str">
        <f>IFERROR(__xludf.DUMMYFUNCTION("""COMPUTED_VALUE"""),"")</f>
        <v/>
      </c>
      <c r="O4488" t="str">
        <f>IFERROR(__xludf.DUMMYFUNCTION("""COMPUTED_VALUE"""),"")</f>
        <v/>
      </c>
      <c r="P4488" t="str">
        <f>IFERROR(__xludf.DUMMYFUNCTION("""COMPUTED_VALUE"""),"ID ")</f>
        <v>ID </v>
      </c>
    </row>
    <row r="4489">
      <c r="A4489" s="6" t="str">
        <f>IFERROR(__xludf.DUMMYFUNCTION("""COMPUTED_VALUE"""),"")</f>
        <v/>
      </c>
      <c r="C4489" t="str">
        <f>IFERROR(__xludf.DUMMYFUNCTION("""COMPUTED_VALUE"""),"")</f>
        <v/>
      </c>
      <c r="D4489" t="str">
        <f>IFERROR(__xludf.DUMMYFUNCTION("""COMPUTED_VALUE"""),"")</f>
        <v/>
      </c>
      <c r="E4489" t="str">
        <f>IFERROR(__xludf.DUMMYFUNCTION("""COMPUTED_VALUE"""),"")</f>
        <v/>
      </c>
      <c r="F4489" t="str">
        <f>IFERROR(__xludf.DUMMYFUNCTION("""COMPUTED_VALUE"""),"")</f>
        <v/>
      </c>
      <c r="G4489" t="str">
        <f>IFERROR(__xludf.DUMMYFUNCTION("""COMPUTED_VALUE"""),"")</f>
        <v/>
      </c>
      <c r="H4489" s="2" t="str">
        <f>IFERROR(__xludf.DUMMYFUNCTION("""COMPUTED_VALUE"""),"")</f>
        <v/>
      </c>
      <c r="I4489" s="2" t="str">
        <f>IFERROR(__xludf.DUMMYFUNCTION("""COMPUTED_VALUE"""),"")</f>
        <v/>
      </c>
      <c r="J4489" s="2">
        <f>IFERROR(__xludf.DUMMYFUNCTION("""COMPUTED_VALUE"""),0.0)</f>
        <v>0</v>
      </c>
      <c r="K4489" s="5" t="str">
        <f>IFERROR(__xludf.DUMMYFUNCTION("""COMPUTED_VALUE"""),"")</f>
        <v/>
      </c>
      <c r="L4489" t="str">
        <f>IFERROR(__xludf.DUMMYFUNCTION("""COMPUTED_VALUE"""),"")</f>
        <v/>
      </c>
      <c r="M4489" t="str">
        <f>IFERROR(__xludf.DUMMYFUNCTION("""COMPUTED_VALUE"""),"")</f>
        <v/>
      </c>
      <c r="N4489" t="str">
        <f>IFERROR(__xludf.DUMMYFUNCTION("""COMPUTED_VALUE"""),"")</f>
        <v/>
      </c>
      <c r="O4489" t="str">
        <f>IFERROR(__xludf.DUMMYFUNCTION("""COMPUTED_VALUE"""),"")</f>
        <v/>
      </c>
      <c r="P4489" t="str">
        <f>IFERROR(__xludf.DUMMYFUNCTION("""COMPUTED_VALUE"""),"ID ")</f>
        <v>ID </v>
      </c>
    </row>
    <row r="4490">
      <c r="A4490" s="6" t="str">
        <f>IFERROR(__xludf.DUMMYFUNCTION("""COMPUTED_VALUE"""),"")</f>
        <v/>
      </c>
      <c r="C4490" t="str">
        <f>IFERROR(__xludf.DUMMYFUNCTION("""COMPUTED_VALUE"""),"")</f>
        <v/>
      </c>
      <c r="D4490" t="str">
        <f>IFERROR(__xludf.DUMMYFUNCTION("""COMPUTED_VALUE"""),"")</f>
        <v/>
      </c>
      <c r="E4490" t="str">
        <f>IFERROR(__xludf.DUMMYFUNCTION("""COMPUTED_VALUE"""),"")</f>
        <v/>
      </c>
      <c r="F4490" t="str">
        <f>IFERROR(__xludf.DUMMYFUNCTION("""COMPUTED_VALUE"""),"")</f>
        <v/>
      </c>
      <c r="G4490" t="str">
        <f>IFERROR(__xludf.DUMMYFUNCTION("""COMPUTED_VALUE"""),"")</f>
        <v/>
      </c>
      <c r="H4490" s="2" t="str">
        <f>IFERROR(__xludf.DUMMYFUNCTION("""COMPUTED_VALUE"""),"")</f>
        <v/>
      </c>
      <c r="I4490" s="2" t="str">
        <f>IFERROR(__xludf.DUMMYFUNCTION("""COMPUTED_VALUE"""),"")</f>
        <v/>
      </c>
      <c r="J4490" s="2">
        <f>IFERROR(__xludf.DUMMYFUNCTION("""COMPUTED_VALUE"""),0.0)</f>
        <v>0</v>
      </c>
      <c r="K4490" s="5" t="str">
        <f>IFERROR(__xludf.DUMMYFUNCTION("""COMPUTED_VALUE"""),"")</f>
        <v/>
      </c>
      <c r="L4490" t="str">
        <f>IFERROR(__xludf.DUMMYFUNCTION("""COMPUTED_VALUE"""),"")</f>
        <v/>
      </c>
      <c r="M4490" t="str">
        <f>IFERROR(__xludf.DUMMYFUNCTION("""COMPUTED_VALUE"""),"")</f>
        <v/>
      </c>
      <c r="N4490" t="str">
        <f>IFERROR(__xludf.DUMMYFUNCTION("""COMPUTED_VALUE"""),"")</f>
        <v/>
      </c>
      <c r="O4490" t="str">
        <f>IFERROR(__xludf.DUMMYFUNCTION("""COMPUTED_VALUE"""),"")</f>
        <v/>
      </c>
      <c r="P4490" t="str">
        <f>IFERROR(__xludf.DUMMYFUNCTION("""COMPUTED_VALUE"""),"ID ")</f>
        <v>ID </v>
      </c>
    </row>
    <row r="4491">
      <c r="A4491" s="6" t="str">
        <f>IFERROR(__xludf.DUMMYFUNCTION("""COMPUTED_VALUE"""),"")</f>
        <v/>
      </c>
      <c r="C4491" t="str">
        <f>IFERROR(__xludf.DUMMYFUNCTION("""COMPUTED_VALUE"""),"")</f>
        <v/>
      </c>
      <c r="D4491" t="str">
        <f>IFERROR(__xludf.DUMMYFUNCTION("""COMPUTED_VALUE"""),"")</f>
        <v/>
      </c>
      <c r="E4491" t="str">
        <f>IFERROR(__xludf.DUMMYFUNCTION("""COMPUTED_VALUE"""),"")</f>
        <v/>
      </c>
      <c r="F4491" t="str">
        <f>IFERROR(__xludf.DUMMYFUNCTION("""COMPUTED_VALUE"""),"")</f>
        <v/>
      </c>
      <c r="G4491" t="str">
        <f>IFERROR(__xludf.DUMMYFUNCTION("""COMPUTED_VALUE"""),"")</f>
        <v/>
      </c>
      <c r="H4491" s="2" t="str">
        <f>IFERROR(__xludf.DUMMYFUNCTION("""COMPUTED_VALUE"""),"")</f>
        <v/>
      </c>
      <c r="I4491" s="2" t="str">
        <f>IFERROR(__xludf.DUMMYFUNCTION("""COMPUTED_VALUE"""),"")</f>
        <v/>
      </c>
      <c r="J4491" s="2">
        <f>IFERROR(__xludf.DUMMYFUNCTION("""COMPUTED_VALUE"""),0.0)</f>
        <v>0</v>
      </c>
      <c r="K4491" s="5" t="str">
        <f>IFERROR(__xludf.DUMMYFUNCTION("""COMPUTED_VALUE"""),"")</f>
        <v/>
      </c>
      <c r="L4491" t="str">
        <f>IFERROR(__xludf.DUMMYFUNCTION("""COMPUTED_VALUE"""),"")</f>
        <v/>
      </c>
      <c r="M4491" t="str">
        <f>IFERROR(__xludf.DUMMYFUNCTION("""COMPUTED_VALUE"""),"")</f>
        <v/>
      </c>
      <c r="N4491" t="str">
        <f>IFERROR(__xludf.DUMMYFUNCTION("""COMPUTED_VALUE"""),"")</f>
        <v/>
      </c>
      <c r="O4491" t="str">
        <f>IFERROR(__xludf.DUMMYFUNCTION("""COMPUTED_VALUE"""),"")</f>
        <v/>
      </c>
      <c r="P4491" t="str">
        <f>IFERROR(__xludf.DUMMYFUNCTION("""COMPUTED_VALUE"""),"ID ")</f>
        <v>ID </v>
      </c>
    </row>
    <row r="4492">
      <c r="A4492" s="6" t="str">
        <f>IFERROR(__xludf.DUMMYFUNCTION("""COMPUTED_VALUE"""),"")</f>
        <v/>
      </c>
      <c r="C4492" t="str">
        <f>IFERROR(__xludf.DUMMYFUNCTION("""COMPUTED_VALUE"""),"")</f>
        <v/>
      </c>
      <c r="D4492" t="str">
        <f>IFERROR(__xludf.DUMMYFUNCTION("""COMPUTED_VALUE"""),"")</f>
        <v/>
      </c>
      <c r="E4492" t="str">
        <f>IFERROR(__xludf.DUMMYFUNCTION("""COMPUTED_VALUE"""),"")</f>
        <v/>
      </c>
      <c r="F4492" t="str">
        <f>IFERROR(__xludf.DUMMYFUNCTION("""COMPUTED_VALUE"""),"")</f>
        <v/>
      </c>
      <c r="G4492" t="str">
        <f>IFERROR(__xludf.DUMMYFUNCTION("""COMPUTED_VALUE"""),"")</f>
        <v/>
      </c>
      <c r="H4492" s="2" t="str">
        <f>IFERROR(__xludf.DUMMYFUNCTION("""COMPUTED_VALUE"""),"")</f>
        <v/>
      </c>
      <c r="I4492" s="2" t="str">
        <f>IFERROR(__xludf.DUMMYFUNCTION("""COMPUTED_VALUE"""),"")</f>
        <v/>
      </c>
      <c r="J4492" s="2">
        <f>IFERROR(__xludf.DUMMYFUNCTION("""COMPUTED_VALUE"""),0.0)</f>
        <v>0</v>
      </c>
      <c r="K4492" s="5" t="str">
        <f>IFERROR(__xludf.DUMMYFUNCTION("""COMPUTED_VALUE"""),"")</f>
        <v/>
      </c>
      <c r="L4492" t="str">
        <f>IFERROR(__xludf.DUMMYFUNCTION("""COMPUTED_VALUE"""),"")</f>
        <v/>
      </c>
      <c r="M4492" t="str">
        <f>IFERROR(__xludf.DUMMYFUNCTION("""COMPUTED_VALUE"""),"")</f>
        <v/>
      </c>
      <c r="N4492" t="str">
        <f>IFERROR(__xludf.DUMMYFUNCTION("""COMPUTED_VALUE"""),"")</f>
        <v/>
      </c>
      <c r="O4492" t="str">
        <f>IFERROR(__xludf.DUMMYFUNCTION("""COMPUTED_VALUE"""),"")</f>
        <v/>
      </c>
      <c r="P4492" t="str">
        <f>IFERROR(__xludf.DUMMYFUNCTION("""COMPUTED_VALUE"""),"ID ")</f>
        <v>ID </v>
      </c>
    </row>
    <row r="4493">
      <c r="A4493" s="6" t="str">
        <f>IFERROR(__xludf.DUMMYFUNCTION("""COMPUTED_VALUE"""),"")</f>
        <v/>
      </c>
      <c r="C4493" t="str">
        <f>IFERROR(__xludf.DUMMYFUNCTION("""COMPUTED_VALUE"""),"")</f>
        <v/>
      </c>
      <c r="D4493" t="str">
        <f>IFERROR(__xludf.DUMMYFUNCTION("""COMPUTED_VALUE"""),"")</f>
        <v/>
      </c>
      <c r="E4493" t="str">
        <f>IFERROR(__xludf.DUMMYFUNCTION("""COMPUTED_VALUE"""),"")</f>
        <v/>
      </c>
      <c r="F4493" t="str">
        <f>IFERROR(__xludf.DUMMYFUNCTION("""COMPUTED_VALUE"""),"")</f>
        <v/>
      </c>
      <c r="G4493" t="str">
        <f>IFERROR(__xludf.DUMMYFUNCTION("""COMPUTED_VALUE"""),"")</f>
        <v/>
      </c>
      <c r="H4493" s="2" t="str">
        <f>IFERROR(__xludf.DUMMYFUNCTION("""COMPUTED_VALUE"""),"")</f>
        <v/>
      </c>
      <c r="I4493" s="2" t="str">
        <f>IFERROR(__xludf.DUMMYFUNCTION("""COMPUTED_VALUE"""),"")</f>
        <v/>
      </c>
      <c r="J4493" s="2">
        <f>IFERROR(__xludf.DUMMYFUNCTION("""COMPUTED_VALUE"""),0.0)</f>
        <v>0</v>
      </c>
      <c r="K4493" s="5" t="str">
        <f>IFERROR(__xludf.DUMMYFUNCTION("""COMPUTED_VALUE"""),"")</f>
        <v/>
      </c>
      <c r="L4493" t="str">
        <f>IFERROR(__xludf.DUMMYFUNCTION("""COMPUTED_VALUE"""),"")</f>
        <v/>
      </c>
      <c r="M4493" t="str">
        <f>IFERROR(__xludf.DUMMYFUNCTION("""COMPUTED_VALUE"""),"")</f>
        <v/>
      </c>
      <c r="N4493" t="str">
        <f>IFERROR(__xludf.DUMMYFUNCTION("""COMPUTED_VALUE"""),"")</f>
        <v/>
      </c>
      <c r="O4493" t="str">
        <f>IFERROR(__xludf.DUMMYFUNCTION("""COMPUTED_VALUE"""),"")</f>
        <v/>
      </c>
      <c r="P4493" t="str">
        <f>IFERROR(__xludf.DUMMYFUNCTION("""COMPUTED_VALUE"""),"ID ")</f>
        <v>ID </v>
      </c>
    </row>
    <row r="4494">
      <c r="A4494" s="6" t="str">
        <f>IFERROR(__xludf.DUMMYFUNCTION("""COMPUTED_VALUE"""),"")</f>
        <v/>
      </c>
      <c r="C4494" t="str">
        <f>IFERROR(__xludf.DUMMYFUNCTION("""COMPUTED_VALUE"""),"")</f>
        <v/>
      </c>
      <c r="D4494" t="str">
        <f>IFERROR(__xludf.DUMMYFUNCTION("""COMPUTED_VALUE"""),"")</f>
        <v/>
      </c>
      <c r="E4494" t="str">
        <f>IFERROR(__xludf.DUMMYFUNCTION("""COMPUTED_VALUE"""),"")</f>
        <v/>
      </c>
      <c r="F4494" t="str">
        <f>IFERROR(__xludf.DUMMYFUNCTION("""COMPUTED_VALUE"""),"")</f>
        <v/>
      </c>
      <c r="G4494" t="str">
        <f>IFERROR(__xludf.DUMMYFUNCTION("""COMPUTED_VALUE"""),"")</f>
        <v/>
      </c>
      <c r="H4494" s="2" t="str">
        <f>IFERROR(__xludf.DUMMYFUNCTION("""COMPUTED_VALUE"""),"")</f>
        <v/>
      </c>
      <c r="I4494" s="2" t="str">
        <f>IFERROR(__xludf.DUMMYFUNCTION("""COMPUTED_VALUE"""),"")</f>
        <v/>
      </c>
      <c r="J4494" s="2">
        <f>IFERROR(__xludf.DUMMYFUNCTION("""COMPUTED_VALUE"""),0.0)</f>
        <v>0</v>
      </c>
      <c r="K4494" s="5" t="str">
        <f>IFERROR(__xludf.DUMMYFUNCTION("""COMPUTED_VALUE"""),"")</f>
        <v/>
      </c>
      <c r="L4494" t="str">
        <f>IFERROR(__xludf.DUMMYFUNCTION("""COMPUTED_VALUE"""),"")</f>
        <v/>
      </c>
      <c r="M4494" t="str">
        <f>IFERROR(__xludf.DUMMYFUNCTION("""COMPUTED_VALUE"""),"")</f>
        <v/>
      </c>
      <c r="N4494" t="str">
        <f>IFERROR(__xludf.DUMMYFUNCTION("""COMPUTED_VALUE"""),"")</f>
        <v/>
      </c>
      <c r="O4494" t="str">
        <f>IFERROR(__xludf.DUMMYFUNCTION("""COMPUTED_VALUE"""),"")</f>
        <v/>
      </c>
      <c r="P4494" t="str">
        <f>IFERROR(__xludf.DUMMYFUNCTION("""COMPUTED_VALUE"""),"ID ")</f>
        <v>ID </v>
      </c>
    </row>
    <row r="4495">
      <c r="A4495" s="6" t="str">
        <f>IFERROR(__xludf.DUMMYFUNCTION("""COMPUTED_VALUE"""),"")</f>
        <v/>
      </c>
      <c r="C4495" t="str">
        <f>IFERROR(__xludf.DUMMYFUNCTION("""COMPUTED_VALUE"""),"")</f>
        <v/>
      </c>
      <c r="D4495" t="str">
        <f>IFERROR(__xludf.DUMMYFUNCTION("""COMPUTED_VALUE"""),"")</f>
        <v/>
      </c>
      <c r="E4495" t="str">
        <f>IFERROR(__xludf.DUMMYFUNCTION("""COMPUTED_VALUE"""),"")</f>
        <v/>
      </c>
      <c r="F4495" t="str">
        <f>IFERROR(__xludf.DUMMYFUNCTION("""COMPUTED_VALUE"""),"")</f>
        <v/>
      </c>
      <c r="G4495" t="str">
        <f>IFERROR(__xludf.DUMMYFUNCTION("""COMPUTED_VALUE"""),"")</f>
        <v/>
      </c>
      <c r="H4495" s="2" t="str">
        <f>IFERROR(__xludf.DUMMYFUNCTION("""COMPUTED_VALUE"""),"")</f>
        <v/>
      </c>
      <c r="I4495" s="2" t="str">
        <f>IFERROR(__xludf.DUMMYFUNCTION("""COMPUTED_VALUE"""),"")</f>
        <v/>
      </c>
      <c r="J4495" s="2">
        <f>IFERROR(__xludf.DUMMYFUNCTION("""COMPUTED_VALUE"""),0.0)</f>
        <v>0</v>
      </c>
      <c r="K4495" s="5" t="str">
        <f>IFERROR(__xludf.DUMMYFUNCTION("""COMPUTED_VALUE"""),"")</f>
        <v/>
      </c>
      <c r="L4495" t="str">
        <f>IFERROR(__xludf.DUMMYFUNCTION("""COMPUTED_VALUE"""),"")</f>
        <v/>
      </c>
      <c r="M4495" t="str">
        <f>IFERROR(__xludf.DUMMYFUNCTION("""COMPUTED_VALUE"""),"")</f>
        <v/>
      </c>
      <c r="N4495" t="str">
        <f>IFERROR(__xludf.DUMMYFUNCTION("""COMPUTED_VALUE"""),"")</f>
        <v/>
      </c>
      <c r="O4495" t="str">
        <f>IFERROR(__xludf.DUMMYFUNCTION("""COMPUTED_VALUE"""),"")</f>
        <v/>
      </c>
      <c r="P4495" t="str">
        <f>IFERROR(__xludf.DUMMYFUNCTION("""COMPUTED_VALUE"""),"ID ")</f>
        <v>ID </v>
      </c>
    </row>
    <row r="4496">
      <c r="A4496" s="6" t="str">
        <f>IFERROR(__xludf.DUMMYFUNCTION("""COMPUTED_VALUE"""),"")</f>
        <v/>
      </c>
      <c r="C4496" t="str">
        <f>IFERROR(__xludf.DUMMYFUNCTION("""COMPUTED_VALUE"""),"")</f>
        <v/>
      </c>
      <c r="D4496" t="str">
        <f>IFERROR(__xludf.DUMMYFUNCTION("""COMPUTED_VALUE"""),"")</f>
        <v/>
      </c>
      <c r="E4496" t="str">
        <f>IFERROR(__xludf.DUMMYFUNCTION("""COMPUTED_VALUE"""),"")</f>
        <v/>
      </c>
      <c r="F4496" t="str">
        <f>IFERROR(__xludf.DUMMYFUNCTION("""COMPUTED_VALUE"""),"")</f>
        <v/>
      </c>
      <c r="G4496" t="str">
        <f>IFERROR(__xludf.DUMMYFUNCTION("""COMPUTED_VALUE"""),"")</f>
        <v/>
      </c>
      <c r="H4496" s="2" t="str">
        <f>IFERROR(__xludf.DUMMYFUNCTION("""COMPUTED_VALUE"""),"")</f>
        <v/>
      </c>
      <c r="I4496" s="2" t="str">
        <f>IFERROR(__xludf.DUMMYFUNCTION("""COMPUTED_VALUE"""),"")</f>
        <v/>
      </c>
      <c r="J4496" s="2">
        <f>IFERROR(__xludf.DUMMYFUNCTION("""COMPUTED_VALUE"""),0.0)</f>
        <v>0</v>
      </c>
      <c r="K4496" s="5" t="str">
        <f>IFERROR(__xludf.DUMMYFUNCTION("""COMPUTED_VALUE"""),"")</f>
        <v/>
      </c>
      <c r="L4496" t="str">
        <f>IFERROR(__xludf.DUMMYFUNCTION("""COMPUTED_VALUE"""),"")</f>
        <v/>
      </c>
      <c r="M4496" t="str">
        <f>IFERROR(__xludf.DUMMYFUNCTION("""COMPUTED_VALUE"""),"")</f>
        <v/>
      </c>
      <c r="N4496" t="str">
        <f>IFERROR(__xludf.DUMMYFUNCTION("""COMPUTED_VALUE"""),"")</f>
        <v/>
      </c>
      <c r="O4496" t="str">
        <f>IFERROR(__xludf.DUMMYFUNCTION("""COMPUTED_VALUE"""),"")</f>
        <v/>
      </c>
      <c r="P4496" t="str">
        <f>IFERROR(__xludf.DUMMYFUNCTION("""COMPUTED_VALUE"""),"ID ")</f>
        <v>ID </v>
      </c>
    </row>
    <row r="4497">
      <c r="A4497" s="6" t="str">
        <f>IFERROR(__xludf.DUMMYFUNCTION("""COMPUTED_VALUE"""),"")</f>
        <v/>
      </c>
      <c r="C4497" t="str">
        <f>IFERROR(__xludf.DUMMYFUNCTION("""COMPUTED_VALUE"""),"")</f>
        <v/>
      </c>
      <c r="D4497" t="str">
        <f>IFERROR(__xludf.DUMMYFUNCTION("""COMPUTED_VALUE"""),"")</f>
        <v/>
      </c>
      <c r="E4497" t="str">
        <f>IFERROR(__xludf.DUMMYFUNCTION("""COMPUTED_VALUE"""),"")</f>
        <v/>
      </c>
      <c r="F4497" t="str">
        <f>IFERROR(__xludf.DUMMYFUNCTION("""COMPUTED_VALUE"""),"")</f>
        <v/>
      </c>
      <c r="G4497" t="str">
        <f>IFERROR(__xludf.DUMMYFUNCTION("""COMPUTED_VALUE"""),"")</f>
        <v/>
      </c>
      <c r="H4497" s="2" t="str">
        <f>IFERROR(__xludf.DUMMYFUNCTION("""COMPUTED_VALUE"""),"")</f>
        <v/>
      </c>
      <c r="I4497" s="2" t="str">
        <f>IFERROR(__xludf.DUMMYFUNCTION("""COMPUTED_VALUE"""),"")</f>
        <v/>
      </c>
      <c r="J4497" s="2">
        <f>IFERROR(__xludf.DUMMYFUNCTION("""COMPUTED_VALUE"""),0.0)</f>
        <v>0</v>
      </c>
      <c r="K4497" s="5" t="str">
        <f>IFERROR(__xludf.DUMMYFUNCTION("""COMPUTED_VALUE"""),"")</f>
        <v/>
      </c>
      <c r="L4497" t="str">
        <f>IFERROR(__xludf.DUMMYFUNCTION("""COMPUTED_VALUE"""),"")</f>
        <v/>
      </c>
      <c r="M4497" t="str">
        <f>IFERROR(__xludf.DUMMYFUNCTION("""COMPUTED_VALUE"""),"")</f>
        <v/>
      </c>
      <c r="N4497" t="str">
        <f>IFERROR(__xludf.DUMMYFUNCTION("""COMPUTED_VALUE"""),"")</f>
        <v/>
      </c>
      <c r="O4497" t="str">
        <f>IFERROR(__xludf.DUMMYFUNCTION("""COMPUTED_VALUE"""),"")</f>
        <v/>
      </c>
      <c r="P4497" t="str">
        <f>IFERROR(__xludf.DUMMYFUNCTION("""COMPUTED_VALUE"""),"ID ")</f>
        <v>ID </v>
      </c>
    </row>
    <row r="4498">
      <c r="A4498" s="6" t="str">
        <f>IFERROR(__xludf.DUMMYFUNCTION("""COMPUTED_VALUE"""),"")</f>
        <v/>
      </c>
      <c r="C4498" t="str">
        <f>IFERROR(__xludf.DUMMYFUNCTION("""COMPUTED_VALUE"""),"")</f>
        <v/>
      </c>
      <c r="D4498" t="str">
        <f>IFERROR(__xludf.DUMMYFUNCTION("""COMPUTED_VALUE"""),"")</f>
        <v/>
      </c>
      <c r="E4498" t="str">
        <f>IFERROR(__xludf.DUMMYFUNCTION("""COMPUTED_VALUE"""),"")</f>
        <v/>
      </c>
      <c r="F4498" t="str">
        <f>IFERROR(__xludf.DUMMYFUNCTION("""COMPUTED_VALUE"""),"")</f>
        <v/>
      </c>
      <c r="G4498" t="str">
        <f>IFERROR(__xludf.DUMMYFUNCTION("""COMPUTED_VALUE"""),"")</f>
        <v/>
      </c>
      <c r="H4498" s="2" t="str">
        <f>IFERROR(__xludf.DUMMYFUNCTION("""COMPUTED_VALUE"""),"")</f>
        <v/>
      </c>
      <c r="I4498" s="2" t="str">
        <f>IFERROR(__xludf.DUMMYFUNCTION("""COMPUTED_VALUE"""),"")</f>
        <v/>
      </c>
      <c r="J4498" s="2">
        <f>IFERROR(__xludf.DUMMYFUNCTION("""COMPUTED_VALUE"""),0.0)</f>
        <v>0</v>
      </c>
      <c r="K4498" s="5" t="str">
        <f>IFERROR(__xludf.DUMMYFUNCTION("""COMPUTED_VALUE"""),"")</f>
        <v/>
      </c>
      <c r="L4498" t="str">
        <f>IFERROR(__xludf.DUMMYFUNCTION("""COMPUTED_VALUE"""),"")</f>
        <v/>
      </c>
      <c r="M4498" t="str">
        <f>IFERROR(__xludf.DUMMYFUNCTION("""COMPUTED_VALUE"""),"")</f>
        <v/>
      </c>
      <c r="N4498" t="str">
        <f>IFERROR(__xludf.DUMMYFUNCTION("""COMPUTED_VALUE"""),"")</f>
        <v/>
      </c>
      <c r="O4498" t="str">
        <f>IFERROR(__xludf.DUMMYFUNCTION("""COMPUTED_VALUE"""),"")</f>
        <v/>
      </c>
      <c r="P4498" t="str">
        <f>IFERROR(__xludf.DUMMYFUNCTION("""COMPUTED_VALUE"""),"ID ")</f>
        <v>ID </v>
      </c>
    </row>
    <row r="4499">
      <c r="A4499" s="6" t="str">
        <f>IFERROR(__xludf.DUMMYFUNCTION("""COMPUTED_VALUE"""),"")</f>
        <v/>
      </c>
      <c r="C4499" t="str">
        <f>IFERROR(__xludf.DUMMYFUNCTION("""COMPUTED_VALUE"""),"")</f>
        <v/>
      </c>
      <c r="D4499" t="str">
        <f>IFERROR(__xludf.DUMMYFUNCTION("""COMPUTED_VALUE"""),"")</f>
        <v/>
      </c>
      <c r="E4499" t="str">
        <f>IFERROR(__xludf.DUMMYFUNCTION("""COMPUTED_VALUE"""),"")</f>
        <v/>
      </c>
      <c r="F4499" t="str">
        <f>IFERROR(__xludf.DUMMYFUNCTION("""COMPUTED_VALUE"""),"")</f>
        <v/>
      </c>
      <c r="G4499" t="str">
        <f>IFERROR(__xludf.DUMMYFUNCTION("""COMPUTED_VALUE"""),"")</f>
        <v/>
      </c>
      <c r="H4499" s="2" t="str">
        <f>IFERROR(__xludf.DUMMYFUNCTION("""COMPUTED_VALUE"""),"")</f>
        <v/>
      </c>
      <c r="I4499" s="2" t="str">
        <f>IFERROR(__xludf.DUMMYFUNCTION("""COMPUTED_VALUE"""),"")</f>
        <v/>
      </c>
      <c r="J4499" s="2">
        <f>IFERROR(__xludf.DUMMYFUNCTION("""COMPUTED_VALUE"""),0.0)</f>
        <v>0</v>
      </c>
      <c r="K4499" s="5" t="str">
        <f>IFERROR(__xludf.DUMMYFUNCTION("""COMPUTED_VALUE"""),"")</f>
        <v/>
      </c>
      <c r="L4499" t="str">
        <f>IFERROR(__xludf.DUMMYFUNCTION("""COMPUTED_VALUE"""),"")</f>
        <v/>
      </c>
      <c r="M4499" t="str">
        <f>IFERROR(__xludf.DUMMYFUNCTION("""COMPUTED_VALUE"""),"")</f>
        <v/>
      </c>
      <c r="N4499" t="str">
        <f>IFERROR(__xludf.DUMMYFUNCTION("""COMPUTED_VALUE"""),"")</f>
        <v/>
      </c>
      <c r="O4499" t="str">
        <f>IFERROR(__xludf.DUMMYFUNCTION("""COMPUTED_VALUE"""),"")</f>
        <v/>
      </c>
      <c r="P4499" t="str">
        <f>IFERROR(__xludf.DUMMYFUNCTION("""COMPUTED_VALUE"""),"ID ")</f>
        <v>ID </v>
      </c>
    </row>
    <row r="4500">
      <c r="A4500" s="6" t="str">
        <f>IFERROR(__xludf.DUMMYFUNCTION("""COMPUTED_VALUE"""),"")</f>
        <v/>
      </c>
      <c r="C4500" t="str">
        <f>IFERROR(__xludf.DUMMYFUNCTION("""COMPUTED_VALUE"""),"")</f>
        <v/>
      </c>
      <c r="D4500" t="str">
        <f>IFERROR(__xludf.DUMMYFUNCTION("""COMPUTED_VALUE"""),"")</f>
        <v/>
      </c>
      <c r="E4500" t="str">
        <f>IFERROR(__xludf.DUMMYFUNCTION("""COMPUTED_VALUE"""),"")</f>
        <v/>
      </c>
      <c r="F4500" t="str">
        <f>IFERROR(__xludf.DUMMYFUNCTION("""COMPUTED_VALUE"""),"")</f>
        <v/>
      </c>
      <c r="G4500" t="str">
        <f>IFERROR(__xludf.DUMMYFUNCTION("""COMPUTED_VALUE"""),"")</f>
        <v/>
      </c>
      <c r="H4500" s="2" t="str">
        <f>IFERROR(__xludf.DUMMYFUNCTION("""COMPUTED_VALUE"""),"")</f>
        <v/>
      </c>
      <c r="I4500" s="2" t="str">
        <f>IFERROR(__xludf.DUMMYFUNCTION("""COMPUTED_VALUE"""),"")</f>
        <v/>
      </c>
      <c r="J4500" s="2">
        <f>IFERROR(__xludf.DUMMYFUNCTION("""COMPUTED_VALUE"""),0.0)</f>
        <v>0</v>
      </c>
      <c r="K4500" s="5" t="str">
        <f>IFERROR(__xludf.DUMMYFUNCTION("""COMPUTED_VALUE"""),"")</f>
        <v/>
      </c>
      <c r="L4500" t="str">
        <f>IFERROR(__xludf.DUMMYFUNCTION("""COMPUTED_VALUE"""),"")</f>
        <v/>
      </c>
      <c r="M4500" t="str">
        <f>IFERROR(__xludf.DUMMYFUNCTION("""COMPUTED_VALUE"""),"")</f>
        <v/>
      </c>
      <c r="N4500" t="str">
        <f>IFERROR(__xludf.DUMMYFUNCTION("""COMPUTED_VALUE"""),"")</f>
        <v/>
      </c>
      <c r="O4500" t="str">
        <f>IFERROR(__xludf.DUMMYFUNCTION("""COMPUTED_VALUE"""),"")</f>
        <v/>
      </c>
      <c r="P4500" t="str">
        <f>IFERROR(__xludf.DUMMYFUNCTION("""COMPUTED_VALUE"""),"ID ")</f>
        <v>ID </v>
      </c>
    </row>
    <row r="4501">
      <c r="A4501" s="6" t="str">
        <f>IFERROR(__xludf.DUMMYFUNCTION("""COMPUTED_VALUE"""),"")</f>
        <v/>
      </c>
      <c r="C4501" t="str">
        <f>IFERROR(__xludf.DUMMYFUNCTION("""COMPUTED_VALUE"""),"")</f>
        <v/>
      </c>
      <c r="D4501" t="str">
        <f>IFERROR(__xludf.DUMMYFUNCTION("""COMPUTED_VALUE"""),"")</f>
        <v/>
      </c>
      <c r="E4501" t="str">
        <f>IFERROR(__xludf.DUMMYFUNCTION("""COMPUTED_VALUE"""),"")</f>
        <v/>
      </c>
      <c r="F4501" t="str">
        <f>IFERROR(__xludf.DUMMYFUNCTION("""COMPUTED_VALUE"""),"")</f>
        <v/>
      </c>
      <c r="G4501" t="str">
        <f>IFERROR(__xludf.DUMMYFUNCTION("""COMPUTED_VALUE"""),"")</f>
        <v/>
      </c>
      <c r="H4501" s="2" t="str">
        <f>IFERROR(__xludf.DUMMYFUNCTION("""COMPUTED_VALUE"""),"")</f>
        <v/>
      </c>
      <c r="I4501" s="2" t="str">
        <f>IFERROR(__xludf.DUMMYFUNCTION("""COMPUTED_VALUE"""),"")</f>
        <v/>
      </c>
      <c r="J4501" s="2">
        <f>IFERROR(__xludf.DUMMYFUNCTION("""COMPUTED_VALUE"""),0.0)</f>
        <v>0</v>
      </c>
      <c r="K4501" s="5" t="str">
        <f>IFERROR(__xludf.DUMMYFUNCTION("""COMPUTED_VALUE"""),"")</f>
        <v/>
      </c>
      <c r="L4501" t="str">
        <f>IFERROR(__xludf.DUMMYFUNCTION("""COMPUTED_VALUE"""),"")</f>
        <v/>
      </c>
      <c r="M4501" t="str">
        <f>IFERROR(__xludf.DUMMYFUNCTION("""COMPUTED_VALUE"""),"")</f>
        <v/>
      </c>
      <c r="N4501" t="str">
        <f>IFERROR(__xludf.DUMMYFUNCTION("""COMPUTED_VALUE"""),"")</f>
        <v/>
      </c>
      <c r="O4501" t="str">
        <f>IFERROR(__xludf.DUMMYFUNCTION("""COMPUTED_VALUE"""),"")</f>
        <v/>
      </c>
      <c r="P4501" t="str">
        <f>IFERROR(__xludf.DUMMYFUNCTION("""COMPUTED_VALUE"""),"ID ")</f>
        <v>ID </v>
      </c>
    </row>
    <row r="4502">
      <c r="A4502" s="6" t="str">
        <f>IFERROR(__xludf.DUMMYFUNCTION("""COMPUTED_VALUE"""),"")</f>
        <v/>
      </c>
      <c r="C4502" t="str">
        <f>IFERROR(__xludf.DUMMYFUNCTION("""COMPUTED_VALUE"""),"")</f>
        <v/>
      </c>
      <c r="D4502" t="str">
        <f>IFERROR(__xludf.DUMMYFUNCTION("""COMPUTED_VALUE"""),"")</f>
        <v/>
      </c>
      <c r="E4502" t="str">
        <f>IFERROR(__xludf.DUMMYFUNCTION("""COMPUTED_VALUE"""),"")</f>
        <v/>
      </c>
      <c r="F4502" t="str">
        <f>IFERROR(__xludf.DUMMYFUNCTION("""COMPUTED_VALUE"""),"")</f>
        <v/>
      </c>
      <c r="G4502" t="str">
        <f>IFERROR(__xludf.DUMMYFUNCTION("""COMPUTED_VALUE"""),"")</f>
        <v/>
      </c>
      <c r="H4502" s="2" t="str">
        <f>IFERROR(__xludf.DUMMYFUNCTION("""COMPUTED_VALUE"""),"")</f>
        <v/>
      </c>
      <c r="I4502" s="2" t="str">
        <f>IFERROR(__xludf.DUMMYFUNCTION("""COMPUTED_VALUE"""),"")</f>
        <v/>
      </c>
      <c r="J4502" s="2">
        <f>IFERROR(__xludf.DUMMYFUNCTION("""COMPUTED_VALUE"""),0.0)</f>
        <v>0</v>
      </c>
      <c r="K4502" s="5" t="str">
        <f>IFERROR(__xludf.DUMMYFUNCTION("""COMPUTED_VALUE"""),"")</f>
        <v/>
      </c>
      <c r="L4502" t="str">
        <f>IFERROR(__xludf.DUMMYFUNCTION("""COMPUTED_VALUE"""),"")</f>
        <v/>
      </c>
      <c r="M4502" t="str">
        <f>IFERROR(__xludf.DUMMYFUNCTION("""COMPUTED_VALUE"""),"")</f>
        <v/>
      </c>
      <c r="N4502" t="str">
        <f>IFERROR(__xludf.DUMMYFUNCTION("""COMPUTED_VALUE"""),"")</f>
        <v/>
      </c>
      <c r="O4502" t="str">
        <f>IFERROR(__xludf.DUMMYFUNCTION("""COMPUTED_VALUE"""),"")</f>
        <v/>
      </c>
      <c r="P4502" t="str">
        <f>IFERROR(__xludf.DUMMYFUNCTION("""COMPUTED_VALUE"""),"ID ")</f>
        <v>ID </v>
      </c>
    </row>
    <row r="4503">
      <c r="A4503" s="6" t="str">
        <f>IFERROR(__xludf.DUMMYFUNCTION("""COMPUTED_VALUE"""),"")</f>
        <v/>
      </c>
      <c r="C4503" t="str">
        <f>IFERROR(__xludf.DUMMYFUNCTION("""COMPUTED_VALUE"""),"")</f>
        <v/>
      </c>
      <c r="D4503" t="str">
        <f>IFERROR(__xludf.DUMMYFUNCTION("""COMPUTED_VALUE"""),"")</f>
        <v/>
      </c>
      <c r="E4503" t="str">
        <f>IFERROR(__xludf.DUMMYFUNCTION("""COMPUTED_VALUE"""),"")</f>
        <v/>
      </c>
      <c r="F4503" t="str">
        <f>IFERROR(__xludf.DUMMYFUNCTION("""COMPUTED_VALUE"""),"")</f>
        <v/>
      </c>
      <c r="G4503" t="str">
        <f>IFERROR(__xludf.DUMMYFUNCTION("""COMPUTED_VALUE"""),"")</f>
        <v/>
      </c>
      <c r="H4503" s="2" t="str">
        <f>IFERROR(__xludf.DUMMYFUNCTION("""COMPUTED_VALUE"""),"")</f>
        <v/>
      </c>
      <c r="I4503" s="2" t="str">
        <f>IFERROR(__xludf.DUMMYFUNCTION("""COMPUTED_VALUE"""),"")</f>
        <v/>
      </c>
      <c r="J4503" s="2">
        <f>IFERROR(__xludf.DUMMYFUNCTION("""COMPUTED_VALUE"""),0.0)</f>
        <v>0</v>
      </c>
      <c r="K4503" s="5" t="str">
        <f>IFERROR(__xludf.DUMMYFUNCTION("""COMPUTED_VALUE"""),"")</f>
        <v/>
      </c>
      <c r="L4503" t="str">
        <f>IFERROR(__xludf.DUMMYFUNCTION("""COMPUTED_VALUE"""),"")</f>
        <v/>
      </c>
      <c r="M4503" t="str">
        <f>IFERROR(__xludf.DUMMYFUNCTION("""COMPUTED_VALUE"""),"")</f>
        <v/>
      </c>
      <c r="N4503" t="str">
        <f>IFERROR(__xludf.DUMMYFUNCTION("""COMPUTED_VALUE"""),"")</f>
        <v/>
      </c>
      <c r="O4503" t="str">
        <f>IFERROR(__xludf.DUMMYFUNCTION("""COMPUTED_VALUE"""),"")</f>
        <v/>
      </c>
      <c r="P4503" t="str">
        <f>IFERROR(__xludf.DUMMYFUNCTION("""COMPUTED_VALUE"""),"ID ")</f>
        <v>ID </v>
      </c>
    </row>
    <row r="4504">
      <c r="A4504" s="6" t="str">
        <f>IFERROR(__xludf.DUMMYFUNCTION("""COMPUTED_VALUE"""),"")</f>
        <v/>
      </c>
      <c r="C4504" t="str">
        <f>IFERROR(__xludf.DUMMYFUNCTION("""COMPUTED_VALUE"""),"")</f>
        <v/>
      </c>
      <c r="D4504" t="str">
        <f>IFERROR(__xludf.DUMMYFUNCTION("""COMPUTED_VALUE"""),"")</f>
        <v/>
      </c>
      <c r="E4504" t="str">
        <f>IFERROR(__xludf.DUMMYFUNCTION("""COMPUTED_VALUE"""),"")</f>
        <v/>
      </c>
      <c r="F4504" t="str">
        <f>IFERROR(__xludf.DUMMYFUNCTION("""COMPUTED_VALUE"""),"")</f>
        <v/>
      </c>
      <c r="G4504" t="str">
        <f>IFERROR(__xludf.DUMMYFUNCTION("""COMPUTED_VALUE"""),"")</f>
        <v/>
      </c>
      <c r="H4504" s="2" t="str">
        <f>IFERROR(__xludf.DUMMYFUNCTION("""COMPUTED_VALUE"""),"")</f>
        <v/>
      </c>
      <c r="I4504" s="2" t="str">
        <f>IFERROR(__xludf.DUMMYFUNCTION("""COMPUTED_VALUE"""),"")</f>
        <v/>
      </c>
      <c r="J4504" s="2">
        <f>IFERROR(__xludf.DUMMYFUNCTION("""COMPUTED_VALUE"""),0.0)</f>
        <v>0</v>
      </c>
      <c r="K4504" s="5" t="str">
        <f>IFERROR(__xludf.DUMMYFUNCTION("""COMPUTED_VALUE"""),"")</f>
        <v/>
      </c>
      <c r="L4504" t="str">
        <f>IFERROR(__xludf.DUMMYFUNCTION("""COMPUTED_VALUE"""),"")</f>
        <v/>
      </c>
      <c r="M4504" t="str">
        <f>IFERROR(__xludf.DUMMYFUNCTION("""COMPUTED_VALUE"""),"")</f>
        <v/>
      </c>
      <c r="N4504" t="str">
        <f>IFERROR(__xludf.DUMMYFUNCTION("""COMPUTED_VALUE"""),"")</f>
        <v/>
      </c>
      <c r="O4504" t="str">
        <f>IFERROR(__xludf.DUMMYFUNCTION("""COMPUTED_VALUE"""),"")</f>
        <v/>
      </c>
      <c r="P4504" t="str">
        <f>IFERROR(__xludf.DUMMYFUNCTION("""COMPUTED_VALUE"""),"ID ")</f>
        <v>ID </v>
      </c>
    </row>
    <row r="4505">
      <c r="A4505" s="6" t="str">
        <f>IFERROR(__xludf.DUMMYFUNCTION("""COMPUTED_VALUE"""),"")</f>
        <v/>
      </c>
      <c r="C4505" t="str">
        <f>IFERROR(__xludf.DUMMYFUNCTION("""COMPUTED_VALUE"""),"")</f>
        <v/>
      </c>
      <c r="D4505" t="str">
        <f>IFERROR(__xludf.DUMMYFUNCTION("""COMPUTED_VALUE"""),"")</f>
        <v/>
      </c>
      <c r="E4505" t="str">
        <f>IFERROR(__xludf.DUMMYFUNCTION("""COMPUTED_VALUE"""),"")</f>
        <v/>
      </c>
      <c r="F4505" t="str">
        <f>IFERROR(__xludf.DUMMYFUNCTION("""COMPUTED_VALUE"""),"")</f>
        <v/>
      </c>
      <c r="G4505" t="str">
        <f>IFERROR(__xludf.DUMMYFUNCTION("""COMPUTED_VALUE"""),"")</f>
        <v/>
      </c>
      <c r="H4505" s="2" t="str">
        <f>IFERROR(__xludf.DUMMYFUNCTION("""COMPUTED_VALUE"""),"")</f>
        <v/>
      </c>
      <c r="I4505" s="2" t="str">
        <f>IFERROR(__xludf.DUMMYFUNCTION("""COMPUTED_VALUE"""),"")</f>
        <v/>
      </c>
      <c r="J4505" s="2">
        <f>IFERROR(__xludf.DUMMYFUNCTION("""COMPUTED_VALUE"""),0.0)</f>
        <v>0</v>
      </c>
      <c r="K4505" s="5" t="str">
        <f>IFERROR(__xludf.DUMMYFUNCTION("""COMPUTED_VALUE"""),"")</f>
        <v/>
      </c>
      <c r="L4505" t="str">
        <f>IFERROR(__xludf.DUMMYFUNCTION("""COMPUTED_VALUE"""),"")</f>
        <v/>
      </c>
      <c r="M4505" t="str">
        <f>IFERROR(__xludf.DUMMYFUNCTION("""COMPUTED_VALUE"""),"")</f>
        <v/>
      </c>
      <c r="N4505" t="str">
        <f>IFERROR(__xludf.DUMMYFUNCTION("""COMPUTED_VALUE"""),"")</f>
        <v/>
      </c>
      <c r="O4505" t="str">
        <f>IFERROR(__xludf.DUMMYFUNCTION("""COMPUTED_VALUE"""),"")</f>
        <v/>
      </c>
      <c r="P4505" t="str">
        <f>IFERROR(__xludf.DUMMYFUNCTION("""COMPUTED_VALUE"""),"ID ")</f>
        <v>ID </v>
      </c>
    </row>
    <row r="4506">
      <c r="A4506" s="6" t="str">
        <f>IFERROR(__xludf.DUMMYFUNCTION("""COMPUTED_VALUE"""),"")</f>
        <v/>
      </c>
      <c r="C4506" t="str">
        <f>IFERROR(__xludf.DUMMYFUNCTION("""COMPUTED_VALUE"""),"")</f>
        <v/>
      </c>
      <c r="D4506" t="str">
        <f>IFERROR(__xludf.DUMMYFUNCTION("""COMPUTED_VALUE"""),"")</f>
        <v/>
      </c>
      <c r="E4506" t="str">
        <f>IFERROR(__xludf.DUMMYFUNCTION("""COMPUTED_VALUE"""),"")</f>
        <v/>
      </c>
      <c r="F4506" t="str">
        <f>IFERROR(__xludf.DUMMYFUNCTION("""COMPUTED_VALUE"""),"")</f>
        <v/>
      </c>
      <c r="G4506" t="str">
        <f>IFERROR(__xludf.DUMMYFUNCTION("""COMPUTED_VALUE"""),"")</f>
        <v/>
      </c>
      <c r="H4506" s="2" t="str">
        <f>IFERROR(__xludf.DUMMYFUNCTION("""COMPUTED_VALUE"""),"")</f>
        <v/>
      </c>
      <c r="I4506" s="2" t="str">
        <f>IFERROR(__xludf.DUMMYFUNCTION("""COMPUTED_VALUE"""),"")</f>
        <v/>
      </c>
      <c r="J4506" s="2">
        <f>IFERROR(__xludf.DUMMYFUNCTION("""COMPUTED_VALUE"""),0.0)</f>
        <v>0</v>
      </c>
      <c r="K4506" s="5" t="str">
        <f>IFERROR(__xludf.DUMMYFUNCTION("""COMPUTED_VALUE"""),"")</f>
        <v/>
      </c>
      <c r="L4506" t="str">
        <f>IFERROR(__xludf.DUMMYFUNCTION("""COMPUTED_VALUE"""),"")</f>
        <v/>
      </c>
      <c r="M4506" t="str">
        <f>IFERROR(__xludf.DUMMYFUNCTION("""COMPUTED_VALUE"""),"")</f>
        <v/>
      </c>
      <c r="N4506" t="str">
        <f>IFERROR(__xludf.DUMMYFUNCTION("""COMPUTED_VALUE"""),"")</f>
        <v/>
      </c>
      <c r="O4506" t="str">
        <f>IFERROR(__xludf.DUMMYFUNCTION("""COMPUTED_VALUE"""),"")</f>
        <v/>
      </c>
      <c r="P4506" t="str">
        <f>IFERROR(__xludf.DUMMYFUNCTION("""COMPUTED_VALUE"""),"ID ")</f>
        <v>ID </v>
      </c>
    </row>
    <row r="4507">
      <c r="A4507" s="6" t="str">
        <f>IFERROR(__xludf.DUMMYFUNCTION("""COMPUTED_VALUE"""),"")</f>
        <v/>
      </c>
      <c r="C4507" t="str">
        <f>IFERROR(__xludf.DUMMYFUNCTION("""COMPUTED_VALUE"""),"")</f>
        <v/>
      </c>
      <c r="D4507" t="str">
        <f>IFERROR(__xludf.DUMMYFUNCTION("""COMPUTED_VALUE"""),"")</f>
        <v/>
      </c>
      <c r="E4507" t="str">
        <f>IFERROR(__xludf.DUMMYFUNCTION("""COMPUTED_VALUE"""),"")</f>
        <v/>
      </c>
      <c r="F4507" t="str">
        <f>IFERROR(__xludf.DUMMYFUNCTION("""COMPUTED_VALUE"""),"")</f>
        <v/>
      </c>
      <c r="G4507" t="str">
        <f>IFERROR(__xludf.DUMMYFUNCTION("""COMPUTED_VALUE"""),"")</f>
        <v/>
      </c>
      <c r="H4507" s="2" t="str">
        <f>IFERROR(__xludf.DUMMYFUNCTION("""COMPUTED_VALUE"""),"")</f>
        <v/>
      </c>
      <c r="I4507" s="2" t="str">
        <f>IFERROR(__xludf.DUMMYFUNCTION("""COMPUTED_VALUE"""),"")</f>
        <v/>
      </c>
      <c r="J4507" s="2">
        <f>IFERROR(__xludf.DUMMYFUNCTION("""COMPUTED_VALUE"""),0.0)</f>
        <v>0</v>
      </c>
      <c r="K4507" s="5" t="str">
        <f>IFERROR(__xludf.DUMMYFUNCTION("""COMPUTED_VALUE"""),"")</f>
        <v/>
      </c>
      <c r="L4507" t="str">
        <f>IFERROR(__xludf.DUMMYFUNCTION("""COMPUTED_VALUE"""),"")</f>
        <v/>
      </c>
      <c r="M4507" t="str">
        <f>IFERROR(__xludf.DUMMYFUNCTION("""COMPUTED_VALUE"""),"")</f>
        <v/>
      </c>
      <c r="N4507" t="str">
        <f>IFERROR(__xludf.DUMMYFUNCTION("""COMPUTED_VALUE"""),"")</f>
        <v/>
      </c>
      <c r="O4507" t="str">
        <f>IFERROR(__xludf.DUMMYFUNCTION("""COMPUTED_VALUE"""),"")</f>
        <v/>
      </c>
      <c r="P4507" t="str">
        <f>IFERROR(__xludf.DUMMYFUNCTION("""COMPUTED_VALUE"""),"ID ")</f>
        <v>ID </v>
      </c>
    </row>
    <row r="4508">
      <c r="A4508" s="6" t="str">
        <f>IFERROR(__xludf.DUMMYFUNCTION("""COMPUTED_VALUE"""),"")</f>
        <v/>
      </c>
      <c r="C4508" t="str">
        <f>IFERROR(__xludf.DUMMYFUNCTION("""COMPUTED_VALUE"""),"")</f>
        <v/>
      </c>
      <c r="D4508" t="str">
        <f>IFERROR(__xludf.DUMMYFUNCTION("""COMPUTED_VALUE"""),"")</f>
        <v/>
      </c>
      <c r="E4508" t="str">
        <f>IFERROR(__xludf.DUMMYFUNCTION("""COMPUTED_VALUE"""),"")</f>
        <v/>
      </c>
      <c r="F4508" t="str">
        <f>IFERROR(__xludf.DUMMYFUNCTION("""COMPUTED_VALUE"""),"")</f>
        <v/>
      </c>
      <c r="G4508" t="str">
        <f>IFERROR(__xludf.DUMMYFUNCTION("""COMPUTED_VALUE"""),"")</f>
        <v/>
      </c>
      <c r="H4508" s="2" t="str">
        <f>IFERROR(__xludf.DUMMYFUNCTION("""COMPUTED_VALUE"""),"")</f>
        <v/>
      </c>
      <c r="I4508" s="2" t="str">
        <f>IFERROR(__xludf.DUMMYFUNCTION("""COMPUTED_VALUE"""),"")</f>
        <v/>
      </c>
      <c r="J4508" s="2">
        <f>IFERROR(__xludf.DUMMYFUNCTION("""COMPUTED_VALUE"""),0.0)</f>
        <v>0</v>
      </c>
      <c r="K4508" s="5" t="str">
        <f>IFERROR(__xludf.DUMMYFUNCTION("""COMPUTED_VALUE"""),"")</f>
        <v/>
      </c>
      <c r="L4508" t="str">
        <f>IFERROR(__xludf.DUMMYFUNCTION("""COMPUTED_VALUE"""),"")</f>
        <v/>
      </c>
      <c r="M4508" t="str">
        <f>IFERROR(__xludf.DUMMYFUNCTION("""COMPUTED_VALUE"""),"")</f>
        <v/>
      </c>
      <c r="N4508" t="str">
        <f>IFERROR(__xludf.DUMMYFUNCTION("""COMPUTED_VALUE"""),"")</f>
        <v/>
      </c>
      <c r="O4508" t="str">
        <f>IFERROR(__xludf.DUMMYFUNCTION("""COMPUTED_VALUE"""),"")</f>
        <v/>
      </c>
      <c r="P4508" t="str">
        <f>IFERROR(__xludf.DUMMYFUNCTION("""COMPUTED_VALUE"""),"ID ")</f>
        <v>ID </v>
      </c>
    </row>
    <row r="4509">
      <c r="A4509" s="6" t="str">
        <f>IFERROR(__xludf.DUMMYFUNCTION("""COMPUTED_VALUE"""),"")</f>
        <v/>
      </c>
      <c r="C4509" t="str">
        <f>IFERROR(__xludf.DUMMYFUNCTION("""COMPUTED_VALUE"""),"")</f>
        <v/>
      </c>
      <c r="D4509" t="str">
        <f>IFERROR(__xludf.DUMMYFUNCTION("""COMPUTED_VALUE"""),"")</f>
        <v/>
      </c>
      <c r="E4509" t="str">
        <f>IFERROR(__xludf.DUMMYFUNCTION("""COMPUTED_VALUE"""),"")</f>
        <v/>
      </c>
      <c r="F4509" t="str">
        <f>IFERROR(__xludf.DUMMYFUNCTION("""COMPUTED_VALUE"""),"")</f>
        <v/>
      </c>
      <c r="G4509" t="str">
        <f>IFERROR(__xludf.DUMMYFUNCTION("""COMPUTED_VALUE"""),"")</f>
        <v/>
      </c>
      <c r="H4509" s="2" t="str">
        <f>IFERROR(__xludf.DUMMYFUNCTION("""COMPUTED_VALUE"""),"")</f>
        <v/>
      </c>
      <c r="I4509" s="2" t="str">
        <f>IFERROR(__xludf.DUMMYFUNCTION("""COMPUTED_VALUE"""),"")</f>
        <v/>
      </c>
      <c r="J4509" s="2">
        <f>IFERROR(__xludf.DUMMYFUNCTION("""COMPUTED_VALUE"""),0.0)</f>
        <v>0</v>
      </c>
      <c r="K4509" s="5" t="str">
        <f>IFERROR(__xludf.DUMMYFUNCTION("""COMPUTED_VALUE"""),"")</f>
        <v/>
      </c>
      <c r="L4509" t="str">
        <f>IFERROR(__xludf.DUMMYFUNCTION("""COMPUTED_VALUE"""),"")</f>
        <v/>
      </c>
      <c r="M4509" t="str">
        <f>IFERROR(__xludf.DUMMYFUNCTION("""COMPUTED_VALUE"""),"")</f>
        <v/>
      </c>
      <c r="N4509" t="str">
        <f>IFERROR(__xludf.DUMMYFUNCTION("""COMPUTED_VALUE"""),"")</f>
        <v/>
      </c>
      <c r="O4509" t="str">
        <f>IFERROR(__xludf.DUMMYFUNCTION("""COMPUTED_VALUE"""),"")</f>
        <v/>
      </c>
      <c r="P4509" t="str">
        <f>IFERROR(__xludf.DUMMYFUNCTION("""COMPUTED_VALUE"""),"ID ")</f>
        <v>ID </v>
      </c>
    </row>
    <row r="4510">
      <c r="A4510" s="6" t="str">
        <f>IFERROR(__xludf.DUMMYFUNCTION("""COMPUTED_VALUE"""),"")</f>
        <v/>
      </c>
      <c r="C4510" t="str">
        <f>IFERROR(__xludf.DUMMYFUNCTION("""COMPUTED_VALUE"""),"")</f>
        <v/>
      </c>
      <c r="D4510" t="str">
        <f>IFERROR(__xludf.DUMMYFUNCTION("""COMPUTED_VALUE"""),"")</f>
        <v/>
      </c>
      <c r="E4510" t="str">
        <f>IFERROR(__xludf.DUMMYFUNCTION("""COMPUTED_VALUE"""),"")</f>
        <v/>
      </c>
      <c r="F4510" t="str">
        <f>IFERROR(__xludf.DUMMYFUNCTION("""COMPUTED_VALUE"""),"")</f>
        <v/>
      </c>
      <c r="G4510" t="str">
        <f>IFERROR(__xludf.DUMMYFUNCTION("""COMPUTED_VALUE"""),"")</f>
        <v/>
      </c>
      <c r="H4510" s="2" t="str">
        <f>IFERROR(__xludf.DUMMYFUNCTION("""COMPUTED_VALUE"""),"")</f>
        <v/>
      </c>
      <c r="I4510" s="2" t="str">
        <f>IFERROR(__xludf.DUMMYFUNCTION("""COMPUTED_VALUE"""),"")</f>
        <v/>
      </c>
      <c r="J4510" s="2">
        <f>IFERROR(__xludf.DUMMYFUNCTION("""COMPUTED_VALUE"""),0.0)</f>
        <v>0</v>
      </c>
      <c r="K4510" s="5" t="str">
        <f>IFERROR(__xludf.DUMMYFUNCTION("""COMPUTED_VALUE"""),"")</f>
        <v/>
      </c>
      <c r="L4510" t="str">
        <f>IFERROR(__xludf.DUMMYFUNCTION("""COMPUTED_VALUE"""),"")</f>
        <v/>
      </c>
      <c r="M4510" t="str">
        <f>IFERROR(__xludf.DUMMYFUNCTION("""COMPUTED_VALUE"""),"")</f>
        <v/>
      </c>
      <c r="N4510" t="str">
        <f>IFERROR(__xludf.DUMMYFUNCTION("""COMPUTED_VALUE"""),"")</f>
        <v/>
      </c>
      <c r="O4510" t="str">
        <f>IFERROR(__xludf.DUMMYFUNCTION("""COMPUTED_VALUE"""),"")</f>
        <v/>
      </c>
      <c r="P4510" t="str">
        <f>IFERROR(__xludf.DUMMYFUNCTION("""COMPUTED_VALUE"""),"ID ")</f>
        <v>ID </v>
      </c>
    </row>
    <row r="4511">
      <c r="A4511" s="6" t="str">
        <f>IFERROR(__xludf.DUMMYFUNCTION("""COMPUTED_VALUE"""),"")</f>
        <v/>
      </c>
      <c r="C4511" t="str">
        <f>IFERROR(__xludf.DUMMYFUNCTION("""COMPUTED_VALUE"""),"")</f>
        <v/>
      </c>
      <c r="D4511" t="str">
        <f>IFERROR(__xludf.DUMMYFUNCTION("""COMPUTED_VALUE"""),"")</f>
        <v/>
      </c>
      <c r="E4511" t="str">
        <f>IFERROR(__xludf.DUMMYFUNCTION("""COMPUTED_VALUE"""),"")</f>
        <v/>
      </c>
      <c r="F4511" t="str">
        <f>IFERROR(__xludf.DUMMYFUNCTION("""COMPUTED_VALUE"""),"")</f>
        <v/>
      </c>
      <c r="G4511" t="str">
        <f>IFERROR(__xludf.DUMMYFUNCTION("""COMPUTED_VALUE"""),"")</f>
        <v/>
      </c>
      <c r="H4511" s="2" t="str">
        <f>IFERROR(__xludf.DUMMYFUNCTION("""COMPUTED_VALUE"""),"")</f>
        <v/>
      </c>
      <c r="I4511" s="2" t="str">
        <f>IFERROR(__xludf.DUMMYFUNCTION("""COMPUTED_VALUE"""),"")</f>
        <v/>
      </c>
      <c r="J4511" s="2">
        <f>IFERROR(__xludf.DUMMYFUNCTION("""COMPUTED_VALUE"""),0.0)</f>
        <v>0</v>
      </c>
      <c r="K4511" s="5" t="str">
        <f>IFERROR(__xludf.DUMMYFUNCTION("""COMPUTED_VALUE"""),"")</f>
        <v/>
      </c>
      <c r="L4511" t="str">
        <f>IFERROR(__xludf.DUMMYFUNCTION("""COMPUTED_VALUE"""),"")</f>
        <v/>
      </c>
      <c r="M4511" t="str">
        <f>IFERROR(__xludf.DUMMYFUNCTION("""COMPUTED_VALUE"""),"")</f>
        <v/>
      </c>
      <c r="N4511" t="str">
        <f>IFERROR(__xludf.DUMMYFUNCTION("""COMPUTED_VALUE"""),"")</f>
        <v/>
      </c>
      <c r="O4511" t="str">
        <f>IFERROR(__xludf.DUMMYFUNCTION("""COMPUTED_VALUE"""),"")</f>
        <v/>
      </c>
      <c r="P4511" t="str">
        <f>IFERROR(__xludf.DUMMYFUNCTION("""COMPUTED_VALUE"""),"ID ")</f>
        <v>ID </v>
      </c>
    </row>
    <row r="4512">
      <c r="A4512" s="6" t="str">
        <f>IFERROR(__xludf.DUMMYFUNCTION("""COMPUTED_VALUE"""),"")</f>
        <v/>
      </c>
      <c r="C4512" t="str">
        <f>IFERROR(__xludf.DUMMYFUNCTION("""COMPUTED_VALUE"""),"")</f>
        <v/>
      </c>
      <c r="D4512" t="str">
        <f>IFERROR(__xludf.DUMMYFUNCTION("""COMPUTED_VALUE"""),"")</f>
        <v/>
      </c>
      <c r="E4512" t="str">
        <f>IFERROR(__xludf.DUMMYFUNCTION("""COMPUTED_VALUE"""),"")</f>
        <v/>
      </c>
      <c r="F4512" t="str">
        <f>IFERROR(__xludf.DUMMYFUNCTION("""COMPUTED_VALUE"""),"")</f>
        <v/>
      </c>
      <c r="G4512" t="str">
        <f>IFERROR(__xludf.DUMMYFUNCTION("""COMPUTED_VALUE"""),"")</f>
        <v/>
      </c>
      <c r="H4512" s="2" t="str">
        <f>IFERROR(__xludf.DUMMYFUNCTION("""COMPUTED_VALUE"""),"")</f>
        <v/>
      </c>
      <c r="I4512" s="2" t="str">
        <f>IFERROR(__xludf.DUMMYFUNCTION("""COMPUTED_VALUE"""),"")</f>
        <v/>
      </c>
      <c r="J4512" s="2">
        <f>IFERROR(__xludf.DUMMYFUNCTION("""COMPUTED_VALUE"""),0.0)</f>
        <v>0</v>
      </c>
      <c r="K4512" s="5" t="str">
        <f>IFERROR(__xludf.DUMMYFUNCTION("""COMPUTED_VALUE"""),"")</f>
        <v/>
      </c>
      <c r="L4512" t="str">
        <f>IFERROR(__xludf.DUMMYFUNCTION("""COMPUTED_VALUE"""),"")</f>
        <v/>
      </c>
      <c r="M4512" t="str">
        <f>IFERROR(__xludf.DUMMYFUNCTION("""COMPUTED_VALUE"""),"")</f>
        <v/>
      </c>
      <c r="N4512" t="str">
        <f>IFERROR(__xludf.DUMMYFUNCTION("""COMPUTED_VALUE"""),"")</f>
        <v/>
      </c>
      <c r="O4512" t="str">
        <f>IFERROR(__xludf.DUMMYFUNCTION("""COMPUTED_VALUE"""),"")</f>
        <v/>
      </c>
      <c r="P4512" t="str">
        <f>IFERROR(__xludf.DUMMYFUNCTION("""COMPUTED_VALUE"""),"ID ")</f>
        <v>ID </v>
      </c>
    </row>
    <row r="4513">
      <c r="A4513" s="6" t="str">
        <f>IFERROR(__xludf.DUMMYFUNCTION("""COMPUTED_VALUE"""),"")</f>
        <v/>
      </c>
      <c r="C4513" t="str">
        <f>IFERROR(__xludf.DUMMYFUNCTION("""COMPUTED_VALUE"""),"")</f>
        <v/>
      </c>
      <c r="D4513" t="str">
        <f>IFERROR(__xludf.DUMMYFUNCTION("""COMPUTED_VALUE"""),"")</f>
        <v/>
      </c>
      <c r="E4513" t="str">
        <f>IFERROR(__xludf.DUMMYFUNCTION("""COMPUTED_VALUE"""),"")</f>
        <v/>
      </c>
      <c r="F4513" t="str">
        <f>IFERROR(__xludf.DUMMYFUNCTION("""COMPUTED_VALUE"""),"")</f>
        <v/>
      </c>
      <c r="G4513" t="str">
        <f>IFERROR(__xludf.DUMMYFUNCTION("""COMPUTED_VALUE"""),"")</f>
        <v/>
      </c>
      <c r="H4513" s="2" t="str">
        <f>IFERROR(__xludf.DUMMYFUNCTION("""COMPUTED_VALUE"""),"")</f>
        <v/>
      </c>
      <c r="I4513" s="2" t="str">
        <f>IFERROR(__xludf.DUMMYFUNCTION("""COMPUTED_VALUE"""),"")</f>
        <v/>
      </c>
      <c r="J4513" s="2">
        <f>IFERROR(__xludf.DUMMYFUNCTION("""COMPUTED_VALUE"""),0.0)</f>
        <v>0</v>
      </c>
      <c r="K4513" s="5" t="str">
        <f>IFERROR(__xludf.DUMMYFUNCTION("""COMPUTED_VALUE"""),"")</f>
        <v/>
      </c>
      <c r="L4513" t="str">
        <f>IFERROR(__xludf.DUMMYFUNCTION("""COMPUTED_VALUE"""),"")</f>
        <v/>
      </c>
      <c r="M4513" t="str">
        <f>IFERROR(__xludf.DUMMYFUNCTION("""COMPUTED_VALUE"""),"")</f>
        <v/>
      </c>
      <c r="N4513" t="str">
        <f>IFERROR(__xludf.DUMMYFUNCTION("""COMPUTED_VALUE"""),"")</f>
        <v/>
      </c>
      <c r="O4513" t="str">
        <f>IFERROR(__xludf.DUMMYFUNCTION("""COMPUTED_VALUE"""),"")</f>
        <v/>
      </c>
      <c r="P4513" t="str">
        <f>IFERROR(__xludf.DUMMYFUNCTION("""COMPUTED_VALUE"""),"ID ")</f>
        <v>ID </v>
      </c>
    </row>
    <row r="4514">
      <c r="A4514" s="6" t="str">
        <f>IFERROR(__xludf.DUMMYFUNCTION("""COMPUTED_VALUE"""),"")</f>
        <v/>
      </c>
      <c r="C4514" t="str">
        <f>IFERROR(__xludf.DUMMYFUNCTION("""COMPUTED_VALUE"""),"")</f>
        <v/>
      </c>
      <c r="D4514" t="str">
        <f>IFERROR(__xludf.DUMMYFUNCTION("""COMPUTED_VALUE"""),"")</f>
        <v/>
      </c>
      <c r="E4514" t="str">
        <f>IFERROR(__xludf.DUMMYFUNCTION("""COMPUTED_VALUE"""),"")</f>
        <v/>
      </c>
      <c r="F4514" t="str">
        <f>IFERROR(__xludf.DUMMYFUNCTION("""COMPUTED_VALUE"""),"")</f>
        <v/>
      </c>
      <c r="G4514" t="str">
        <f>IFERROR(__xludf.DUMMYFUNCTION("""COMPUTED_VALUE"""),"")</f>
        <v/>
      </c>
      <c r="H4514" s="2" t="str">
        <f>IFERROR(__xludf.DUMMYFUNCTION("""COMPUTED_VALUE"""),"")</f>
        <v/>
      </c>
      <c r="I4514" s="2" t="str">
        <f>IFERROR(__xludf.DUMMYFUNCTION("""COMPUTED_VALUE"""),"")</f>
        <v/>
      </c>
      <c r="J4514" s="2">
        <f>IFERROR(__xludf.DUMMYFUNCTION("""COMPUTED_VALUE"""),0.0)</f>
        <v>0</v>
      </c>
      <c r="K4514" s="5" t="str">
        <f>IFERROR(__xludf.DUMMYFUNCTION("""COMPUTED_VALUE"""),"")</f>
        <v/>
      </c>
      <c r="L4514" t="str">
        <f>IFERROR(__xludf.DUMMYFUNCTION("""COMPUTED_VALUE"""),"")</f>
        <v/>
      </c>
      <c r="M4514" t="str">
        <f>IFERROR(__xludf.DUMMYFUNCTION("""COMPUTED_VALUE"""),"")</f>
        <v/>
      </c>
      <c r="N4514" t="str">
        <f>IFERROR(__xludf.DUMMYFUNCTION("""COMPUTED_VALUE"""),"")</f>
        <v/>
      </c>
      <c r="O4514" t="str">
        <f>IFERROR(__xludf.DUMMYFUNCTION("""COMPUTED_VALUE"""),"")</f>
        <v/>
      </c>
      <c r="P4514" t="str">
        <f>IFERROR(__xludf.DUMMYFUNCTION("""COMPUTED_VALUE"""),"ID ")</f>
        <v>ID </v>
      </c>
    </row>
    <row r="4515">
      <c r="A4515" s="6" t="str">
        <f>IFERROR(__xludf.DUMMYFUNCTION("""COMPUTED_VALUE"""),"")</f>
        <v/>
      </c>
      <c r="C4515" t="str">
        <f>IFERROR(__xludf.DUMMYFUNCTION("""COMPUTED_VALUE"""),"")</f>
        <v/>
      </c>
      <c r="D4515" t="str">
        <f>IFERROR(__xludf.DUMMYFUNCTION("""COMPUTED_VALUE"""),"")</f>
        <v/>
      </c>
      <c r="E4515" t="str">
        <f>IFERROR(__xludf.DUMMYFUNCTION("""COMPUTED_VALUE"""),"")</f>
        <v/>
      </c>
      <c r="F4515" t="str">
        <f>IFERROR(__xludf.DUMMYFUNCTION("""COMPUTED_VALUE"""),"")</f>
        <v/>
      </c>
      <c r="G4515" t="str">
        <f>IFERROR(__xludf.DUMMYFUNCTION("""COMPUTED_VALUE"""),"")</f>
        <v/>
      </c>
      <c r="H4515" s="2" t="str">
        <f>IFERROR(__xludf.DUMMYFUNCTION("""COMPUTED_VALUE"""),"")</f>
        <v/>
      </c>
      <c r="I4515" s="2" t="str">
        <f>IFERROR(__xludf.DUMMYFUNCTION("""COMPUTED_VALUE"""),"")</f>
        <v/>
      </c>
      <c r="J4515" s="2">
        <f>IFERROR(__xludf.DUMMYFUNCTION("""COMPUTED_VALUE"""),0.0)</f>
        <v>0</v>
      </c>
      <c r="K4515" s="5" t="str">
        <f>IFERROR(__xludf.DUMMYFUNCTION("""COMPUTED_VALUE"""),"")</f>
        <v/>
      </c>
      <c r="L4515" t="str">
        <f>IFERROR(__xludf.DUMMYFUNCTION("""COMPUTED_VALUE"""),"")</f>
        <v/>
      </c>
      <c r="M4515" t="str">
        <f>IFERROR(__xludf.DUMMYFUNCTION("""COMPUTED_VALUE"""),"")</f>
        <v/>
      </c>
      <c r="N4515" t="str">
        <f>IFERROR(__xludf.DUMMYFUNCTION("""COMPUTED_VALUE"""),"")</f>
        <v/>
      </c>
      <c r="O4515" t="str">
        <f>IFERROR(__xludf.DUMMYFUNCTION("""COMPUTED_VALUE"""),"")</f>
        <v/>
      </c>
      <c r="P4515" t="str">
        <f>IFERROR(__xludf.DUMMYFUNCTION("""COMPUTED_VALUE"""),"ID ")</f>
        <v>ID </v>
      </c>
    </row>
    <row r="4516">
      <c r="A4516" s="6" t="str">
        <f>IFERROR(__xludf.DUMMYFUNCTION("""COMPUTED_VALUE"""),"")</f>
        <v/>
      </c>
      <c r="C4516" t="str">
        <f>IFERROR(__xludf.DUMMYFUNCTION("""COMPUTED_VALUE"""),"")</f>
        <v/>
      </c>
      <c r="D4516" t="str">
        <f>IFERROR(__xludf.DUMMYFUNCTION("""COMPUTED_VALUE"""),"")</f>
        <v/>
      </c>
      <c r="E4516" t="str">
        <f>IFERROR(__xludf.DUMMYFUNCTION("""COMPUTED_VALUE"""),"")</f>
        <v/>
      </c>
      <c r="F4516" t="str">
        <f>IFERROR(__xludf.DUMMYFUNCTION("""COMPUTED_VALUE"""),"")</f>
        <v/>
      </c>
      <c r="G4516" t="str">
        <f>IFERROR(__xludf.DUMMYFUNCTION("""COMPUTED_VALUE"""),"")</f>
        <v/>
      </c>
      <c r="H4516" s="2" t="str">
        <f>IFERROR(__xludf.DUMMYFUNCTION("""COMPUTED_VALUE"""),"")</f>
        <v/>
      </c>
      <c r="I4516" s="2" t="str">
        <f>IFERROR(__xludf.DUMMYFUNCTION("""COMPUTED_VALUE"""),"")</f>
        <v/>
      </c>
      <c r="J4516" s="2">
        <f>IFERROR(__xludf.DUMMYFUNCTION("""COMPUTED_VALUE"""),0.0)</f>
        <v>0</v>
      </c>
      <c r="K4516" s="5" t="str">
        <f>IFERROR(__xludf.DUMMYFUNCTION("""COMPUTED_VALUE"""),"")</f>
        <v/>
      </c>
      <c r="L4516" t="str">
        <f>IFERROR(__xludf.DUMMYFUNCTION("""COMPUTED_VALUE"""),"")</f>
        <v/>
      </c>
      <c r="M4516" t="str">
        <f>IFERROR(__xludf.DUMMYFUNCTION("""COMPUTED_VALUE"""),"")</f>
        <v/>
      </c>
      <c r="N4516" t="str">
        <f>IFERROR(__xludf.DUMMYFUNCTION("""COMPUTED_VALUE"""),"")</f>
        <v/>
      </c>
      <c r="O4516" t="str">
        <f>IFERROR(__xludf.DUMMYFUNCTION("""COMPUTED_VALUE"""),"")</f>
        <v/>
      </c>
      <c r="P4516" t="str">
        <f>IFERROR(__xludf.DUMMYFUNCTION("""COMPUTED_VALUE"""),"ID ")</f>
        <v>ID </v>
      </c>
    </row>
    <row r="4517">
      <c r="A4517" s="6" t="str">
        <f>IFERROR(__xludf.DUMMYFUNCTION("""COMPUTED_VALUE"""),"")</f>
        <v/>
      </c>
      <c r="C4517" t="str">
        <f>IFERROR(__xludf.DUMMYFUNCTION("""COMPUTED_VALUE"""),"")</f>
        <v/>
      </c>
      <c r="D4517" t="str">
        <f>IFERROR(__xludf.DUMMYFUNCTION("""COMPUTED_VALUE"""),"")</f>
        <v/>
      </c>
      <c r="E4517" t="str">
        <f>IFERROR(__xludf.DUMMYFUNCTION("""COMPUTED_VALUE"""),"")</f>
        <v/>
      </c>
      <c r="F4517" t="str">
        <f>IFERROR(__xludf.DUMMYFUNCTION("""COMPUTED_VALUE"""),"")</f>
        <v/>
      </c>
      <c r="G4517" t="str">
        <f>IFERROR(__xludf.DUMMYFUNCTION("""COMPUTED_VALUE"""),"")</f>
        <v/>
      </c>
      <c r="H4517" s="2" t="str">
        <f>IFERROR(__xludf.DUMMYFUNCTION("""COMPUTED_VALUE"""),"")</f>
        <v/>
      </c>
      <c r="I4517" s="2" t="str">
        <f>IFERROR(__xludf.DUMMYFUNCTION("""COMPUTED_VALUE"""),"")</f>
        <v/>
      </c>
      <c r="J4517" s="2">
        <f>IFERROR(__xludf.DUMMYFUNCTION("""COMPUTED_VALUE"""),0.0)</f>
        <v>0</v>
      </c>
      <c r="K4517" s="5" t="str">
        <f>IFERROR(__xludf.DUMMYFUNCTION("""COMPUTED_VALUE"""),"")</f>
        <v/>
      </c>
      <c r="L4517" t="str">
        <f>IFERROR(__xludf.DUMMYFUNCTION("""COMPUTED_VALUE"""),"")</f>
        <v/>
      </c>
      <c r="M4517" t="str">
        <f>IFERROR(__xludf.DUMMYFUNCTION("""COMPUTED_VALUE"""),"")</f>
        <v/>
      </c>
      <c r="N4517" t="str">
        <f>IFERROR(__xludf.DUMMYFUNCTION("""COMPUTED_VALUE"""),"")</f>
        <v/>
      </c>
      <c r="O4517" t="str">
        <f>IFERROR(__xludf.DUMMYFUNCTION("""COMPUTED_VALUE"""),"")</f>
        <v/>
      </c>
      <c r="P4517" t="str">
        <f>IFERROR(__xludf.DUMMYFUNCTION("""COMPUTED_VALUE"""),"ID ")</f>
        <v>ID </v>
      </c>
    </row>
    <row r="4518">
      <c r="A4518" s="6" t="str">
        <f>IFERROR(__xludf.DUMMYFUNCTION("""COMPUTED_VALUE"""),"")</f>
        <v/>
      </c>
      <c r="C4518" t="str">
        <f>IFERROR(__xludf.DUMMYFUNCTION("""COMPUTED_VALUE"""),"")</f>
        <v/>
      </c>
      <c r="D4518" t="str">
        <f>IFERROR(__xludf.DUMMYFUNCTION("""COMPUTED_VALUE"""),"")</f>
        <v/>
      </c>
      <c r="E4518" t="str">
        <f>IFERROR(__xludf.DUMMYFUNCTION("""COMPUTED_VALUE"""),"")</f>
        <v/>
      </c>
      <c r="F4518" t="str">
        <f>IFERROR(__xludf.DUMMYFUNCTION("""COMPUTED_VALUE"""),"")</f>
        <v/>
      </c>
      <c r="G4518" t="str">
        <f>IFERROR(__xludf.DUMMYFUNCTION("""COMPUTED_VALUE"""),"")</f>
        <v/>
      </c>
      <c r="H4518" s="2" t="str">
        <f>IFERROR(__xludf.DUMMYFUNCTION("""COMPUTED_VALUE"""),"")</f>
        <v/>
      </c>
      <c r="I4518" s="2" t="str">
        <f>IFERROR(__xludf.DUMMYFUNCTION("""COMPUTED_VALUE"""),"")</f>
        <v/>
      </c>
      <c r="J4518" s="2">
        <f>IFERROR(__xludf.DUMMYFUNCTION("""COMPUTED_VALUE"""),0.0)</f>
        <v>0</v>
      </c>
      <c r="K4518" s="5" t="str">
        <f>IFERROR(__xludf.DUMMYFUNCTION("""COMPUTED_VALUE"""),"")</f>
        <v/>
      </c>
      <c r="L4518" t="str">
        <f>IFERROR(__xludf.DUMMYFUNCTION("""COMPUTED_VALUE"""),"")</f>
        <v/>
      </c>
      <c r="M4518" t="str">
        <f>IFERROR(__xludf.DUMMYFUNCTION("""COMPUTED_VALUE"""),"")</f>
        <v/>
      </c>
      <c r="N4518" t="str">
        <f>IFERROR(__xludf.DUMMYFUNCTION("""COMPUTED_VALUE"""),"")</f>
        <v/>
      </c>
      <c r="O4518" t="str">
        <f>IFERROR(__xludf.DUMMYFUNCTION("""COMPUTED_VALUE"""),"")</f>
        <v/>
      </c>
      <c r="P4518" t="str">
        <f>IFERROR(__xludf.DUMMYFUNCTION("""COMPUTED_VALUE"""),"ID ")</f>
        <v>ID </v>
      </c>
    </row>
    <row r="4519">
      <c r="A4519" s="6" t="str">
        <f>IFERROR(__xludf.DUMMYFUNCTION("""COMPUTED_VALUE"""),"")</f>
        <v/>
      </c>
      <c r="C4519" t="str">
        <f>IFERROR(__xludf.DUMMYFUNCTION("""COMPUTED_VALUE"""),"")</f>
        <v/>
      </c>
      <c r="D4519" t="str">
        <f>IFERROR(__xludf.DUMMYFUNCTION("""COMPUTED_VALUE"""),"")</f>
        <v/>
      </c>
      <c r="E4519" t="str">
        <f>IFERROR(__xludf.DUMMYFUNCTION("""COMPUTED_VALUE"""),"")</f>
        <v/>
      </c>
      <c r="F4519" t="str">
        <f>IFERROR(__xludf.DUMMYFUNCTION("""COMPUTED_VALUE"""),"")</f>
        <v/>
      </c>
      <c r="G4519" t="str">
        <f>IFERROR(__xludf.DUMMYFUNCTION("""COMPUTED_VALUE"""),"")</f>
        <v/>
      </c>
      <c r="H4519" s="2" t="str">
        <f>IFERROR(__xludf.DUMMYFUNCTION("""COMPUTED_VALUE"""),"")</f>
        <v/>
      </c>
      <c r="I4519" s="2" t="str">
        <f>IFERROR(__xludf.DUMMYFUNCTION("""COMPUTED_VALUE"""),"")</f>
        <v/>
      </c>
      <c r="J4519" s="2">
        <f>IFERROR(__xludf.DUMMYFUNCTION("""COMPUTED_VALUE"""),0.0)</f>
        <v>0</v>
      </c>
      <c r="K4519" s="5" t="str">
        <f>IFERROR(__xludf.DUMMYFUNCTION("""COMPUTED_VALUE"""),"")</f>
        <v/>
      </c>
      <c r="L4519" t="str">
        <f>IFERROR(__xludf.DUMMYFUNCTION("""COMPUTED_VALUE"""),"")</f>
        <v/>
      </c>
      <c r="M4519" t="str">
        <f>IFERROR(__xludf.DUMMYFUNCTION("""COMPUTED_VALUE"""),"")</f>
        <v/>
      </c>
      <c r="N4519" t="str">
        <f>IFERROR(__xludf.DUMMYFUNCTION("""COMPUTED_VALUE"""),"")</f>
        <v/>
      </c>
      <c r="O4519" t="str">
        <f>IFERROR(__xludf.DUMMYFUNCTION("""COMPUTED_VALUE"""),"")</f>
        <v/>
      </c>
      <c r="P4519" t="str">
        <f>IFERROR(__xludf.DUMMYFUNCTION("""COMPUTED_VALUE"""),"ID ")</f>
        <v>ID </v>
      </c>
    </row>
    <row r="4520">
      <c r="A4520" s="6" t="str">
        <f>IFERROR(__xludf.DUMMYFUNCTION("""COMPUTED_VALUE"""),"")</f>
        <v/>
      </c>
      <c r="C4520" t="str">
        <f>IFERROR(__xludf.DUMMYFUNCTION("""COMPUTED_VALUE"""),"")</f>
        <v/>
      </c>
      <c r="D4520" t="str">
        <f>IFERROR(__xludf.DUMMYFUNCTION("""COMPUTED_VALUE"""),"")</f>
        <v/>
      </c>
      <c r="E4520" t="str">
        <f>IFERROR(__xludf.DUMMYFUNCTION("""COMPUTED_VALUE"""),"")</f>
        <v/>
      </c>
      <c r="F4520" t="str">
        <f>IFERROR(__xludf.DUMMYFUNCTION("""COMPUTED_VALUE"""),"")</f>
        <v/>
      </c>
      <c r="G4520" t="str">
        <f>IFERROR(__xludf.DUMMYFUNCTION("""COMPUTED_VALUE"""),"")</f>
        <v/>
      </c>
      <c r="H4520" s="2" t="str">
        <f>IFERROR(__xludf.DUMMYFUNCTION("""COMPUTED_VALUE"""),"")</f>
        <v/>
      </c>
      <c r="I4520" s="2" t="str">
        <f>IFERROR(__xludf.DUMMYFUNCTION("""COMPUTED_VALUE"""),"")</f>
        <v/>
      </c>
      <c r="J4520" s="2">
        <f>IFERROR(__xludf.DUMMYFUNCTION("""COMPUTED_VALUE"""),0.0)</f>
        <v>0</v>
      </c>
      <c r="K4520" s="5" t="str">
        <f>IFERROR(__xludf.DUMMYFUNCTION("""COMPUTED_VALUE"""),"")</f>
        <v/>
      </c>
      <c r="L4520" t="str">
        <f>IFERROR(__xludf.DUMMYFUNCTION("""COMPUTED_VALUE"""),"")</f>
        <v/>
      </c>
      <c r="M4520" t="str">
        <f>IFERROR(__xludf.DUMMYFUNCTION("""COMPUTED_VALUE"""),"")</f>
        <v/>
      </c>
      <c r="N4520" t="str">
        <f>IFERROR(__xludf.DUMMYFUNCTION("""COMPUTED_VALUE"""),"")</f>
        <v/>
      </c>
      <c r="O4520" t="str">
        <f>IFERROR(__xludf.DUMMYFUNCTION("""COMPUTED_VALUE"""),"")</f>
        <v/>
      </c>
      <c r="P4520" t="str">
        <f>IFERROR(__xludf.DUMMYFUNCTION("""COMPUTED_VALUE"""),"ID ")</f>
        <v>ID </v>
      </c>
    </row>
    <row r="4521">
      <c r="A4521" s="6" t="str">
        <f>IFERROR(__xludf.DUMMYFUNCTION("""COMPUTED_VALUE"""),"")</f>
        <v/>
      </c>
      <c r="C4521" t="str">
        <f>IFERROR(__xludf.DUMMYFUNCTION("""COMPUTED_VALUE"""),"")</f>
        <v/>
      </c>
      <c r="D4521" t="str">
        <f>IFERROR(__xludf.DUMMYFUNCTION("""COMPUTED_VALUE"""),"")</f>
        <v/>
      </c>
      <c r="E4521" t="str">
        <f>IFERROR(__xludf.DUMMYFUNCTION("""COMPUTED_VALUE"""),"")</f>
        <v/>
      </c>
      <c r="F4521" t="str">
        <f>IFERROR(__xludf.DUMMYFUNCTION("""COMPUTED_VALUE"""),"")</f>
        <v/>
      </c>
      <c r="G4521" t="str">
        <f>IFERROR(__xludf.DUMMYFUNCTION("""COMPUTED_VALUE"""),"")</f>
        <v/>
      </c>
      <c r="H4521" s="2" t="str">
        <f>IFERROR(__xludf.DUMMYFUNCTION("""COMPUTED_VALUE"""),"")</f>
        <v/>
      </c>
      <c r="I4521" s="2" t="str">
        <f>IFERROR(__xludf.DUMMYFUNCTION("""COMPUTED_VALUE"""),"")</f>
        <v/>
      </c>
      <c r="J4521" s="2">
        <f>IFERROR(__xludf.DUMMYFUNCTION("""COMPUTED_VALUE"""),0.0)</f>
        <v>0</v>
      </c>
      <c r="K4521" s="5" t="str">
        <f>IFERROR(__xludf.DUMMYFUNCTION("""COMPUTED_VALUE"""),"")</f>
        <v/>
      </c>
      <c r="L4521" t="str">
        <f>IFERROR(__xludf.DUMMYFUNCTION("""COMPUTED_VALUE"""),"")</f>
        <v/>
      </c>
      <c r="M4521" t="str">
        <f>IFERROR(__xludf.DUMMYFUNCTION("""COMPUTED_VALUE"""),"")</f>
        <v/>
      </c>
      <c r="N4521" t="str">
        <f>IFERROR(__xludf.DUMMYFUNCTION("""COMPUTED_VALUE"""),"")</f>
        <v/>
      </c>
      <c r="O4521" t="str">
        <f>IFERROR(__xludf.DUMMYFUNCTION("""COMPUTED_VALUE"""),"")</f>
        <v/>
      </c>
      <c r="P4521" t="str">
        <f>IFERROR(__xludf.DUMMYFUNCTION("""COMPUTED_VALUE"""),"ID ")</f>
        <v>ID </v>
      </c>
    </row>
    <row r="4522">
      <c r="A4522" s="6" t="str">
        <f>IFERROR(__xludf.DUMMYFUNCTION("""COMPUTED_VALUE"""),"")</f>
        <v/>
      </c>
      <c r="C4522" t="str">
        <f>IFERROR(__xludf.DUMMYFUNCTION("""COMPUTED_VALUE"""),"")</f>
        <v/>
      </c>
      <c r="D4522" t="str">
        <f>IFERROR(__xludf.DUMMYFUNCTION("""COMPUTED_VALUE"""),"")</f>
        <v/>
      </c>
      <c r="E4522" t="str">
        <f>IFERROR(__xludf.DUMMYFUNCTION("""COMPUTED_VALUE"""),"")</f>
        <v/>
      </c>
      <c r="F4522" t="str">
        <f>IFERROR(__xludf.DUMMYFUNCTION("""COMPUTED_VALUE"""),"")</f>
        <v/>
      </c>
      <c r="G4522" t="str">
        <f>IFERROR(__xludf.DUMMYFUNCTION("""COMPUTED_VALUE"""),"")</f>
        <v/>
      </c>
      <c r="H4522" s="2" t="str">
        <f>IFERROR(__xludf.DUMMYFUNCTION("""COMPUTED_VALUE"""),"")</f>
        <v/>
      </c>
      <c r="I4522" s="2" t="str">
        <f>IFERROR(__xludf.DUMMYFUNCTION("""COMPUTED_VALUE"""),"")</f>
        <v/>
      </c>
      <c r="J4522" s="2">
        <f>IFERROR(__xludf.DUMMYFUNCTION("""COMPUTED_VALUE"""),0.0)</f>
        <v>0</v>
      </c>
      <c r="K4522" s="5" t="str">
        <f>IFERROR(__xludf.DUMMYFUNCTION("""COMPUTED_VALUE"""),"")</f>
        <v/>
      </c>
      <c r="L4522" t="str">
        <f>IFERROR(__xludf.DUMMYFUNCTION("""COMPUTED_VALUE"""),"")</f>
        <v/>
      </c>
      <c r="M4522" t="str">
        <f>IFERROR(__xludf.DUMMYFUNCTION("""COMPUTED_VALUE"""),"")</f>
        <v/>
      </c>
      <c r="N4522" t="str">
        <f>IFERROR(__xludf.DUMMYFUNCTION("""COMPUTED_VALUE"""),"")</f>
        <v/>
      </c>
      <c r="O4522" t="str">
        <f>IFERROR(__xludf.DUMMYFUNCTION("""COMPUTED_VALUE"""),"")</f>
        <v/>
      </c>
      <c r="P4522" t="str">
        <f>IFERROR(__xludf.DUMMYFUNCTION("""COMPUTED_VALUE"""),"ID ")</f>
        <v>ID </v>
      </c>
    </row>
    <row r="4523">
      <c r="A4523" s="6" t="str">
        <f>IFERROR(__xludf.DUMMYFUNCTION("""COMPUTED_VALUE"""),"")</f>
        <v/>
      </c>
      <c r="C4523" t="str">
        <f>IFERROR(__xludf.DUMMYFUNCTION("""COMPUTED_VALUE"""),"")</f>
        <v/>
      </c>
      <c r="D4523" t="str">
        <f>IFERROR(__xludf.DUMMYFUNCTION("""COMPUTED_VALUE"""),"")</f>
        <v/>
      </c>
      <c r="E4523" t="str">
        <f>IFERROR(__xludf.DUMMYFUNCTION("""COMPUTED_VALUE"""),"")</f>
        <v/>
      </c>
      <c r="F4523" t="str">
        <f>IFERROR(__xludf.DUMMYFUNCTION("""COMPUTED_VALUE"""),"")</f>
        <v/>
      </c>
      <c r="G4523" t="str">
        <f>IFERROR(__xludf.DUMMYFUNCTION("""COMPUTED_VALUE"""),"")</f>
        <v/>
      </c>
      <c r="H4523" s="2" t="str">
        <f>IFERROR(__xludf.DUMMYFUNCTION("""COMPUTED_VALUE"""),"")</f>
        <v/>
      </c>
      <c r="I4523" s="2" t="str">
        <f>IFERROR(__xludf.DUMMYFUNCTION("""COMPUTED_VALUE"""),"")</f>
        <v/>
      </c>
      <c r="J4523" s="2">
        <f>IFERROR(__xludf.DUMMYFUNCTION("""COMPUTED_VALUE"""),0.0)</f>
        <v>0</v>
      </c>
      <c r="K4523" s="5" t="str">
        <f>IFERROR(__xludf.DUMMYFUNCTION("""COMPUTED_VALUE"""),"")</f>
        <v/>
      </c>
      <c r="L4523" t="str">
        <f>IFERROR(__xludf.DUMMYFUNCTION("""COMPUTED_VALUE"""),"")</f>
        <v/>
      </c>
      <c r="M4523" t="str">
        <f>IFERROR(__xludf.DUMMYFUNCTION("""COMPUTED_VALUE"""),"")</f>
        <v/>
      </c>
      <c r="N4523" t="str">
        <f>IFERROR(__xludf.DUMMYFUNCTION("""COMPUTED_VALUE"""),"")</f>
        <v/>
      </c>
      <c r="O4523" t="str">
        <f>IFERROR(__xludf.DUMMYFUNCTION("""COMPUTED_VALUE"""),"")</f>
        <v/>
      </c>
      <c r="P4523" t="str">
        <f>IFERROR(__xludf.DUMMYFUNCTION("""COMPUTED_VALUE"""),"ID ")</f>
        <v>ID </v>
      </c>
    </row>
    <row r="4524">
      <c r="A4524" s="6" t="str">
        <f>IFERROR(__xludf.DUMMYFUNCTION("""COMPUTED_VALUE"""),"")</f>
        <v/>
      </c>
      <c r="C4524" t="str">
        <f>IFERROR(__xludf.DUMMYFUNCTION("""COMPUTED_VALUE"""),"")</f>
        <v/>
      </c>
      <c r="D4524" t="str">
        <f>IFERROR(__xludf.DUMMYFUNCTION("""COMPUTED_VALUE"""),"")</f>
        <v/>
      </c>
      <c r="E4524" t="str">
        <f>IFERROR(__xludf.DUMMYFUNCTION("""COMPUTED_VALUE"""),"")</f>
        <v/>
      </c>
      <c r="F4524" t="str">
        <f>IFERROR(__xludf.DUMMYFUNCTION("""COMPUTED_VALUE"""),"")</f>
        <v/>
      </c>
      <c r="G4524" t="str">
        <f>IFERROR(__xludf.DUMMYFUNCTION("""COMPUTED_VALUE"""),"")</f>
        <v/>
      </c>
      <c r="H4524" s="2" t="str">
        <f>IFERROR(__xludf.DUMMYFUNCTION("""COMPUTED_VALUE"""),"")</f>
        <v/>
      </c>
      <c r="I4524" s="2" t="str">
        <f>IFERROR(__xludf.DUMMYFUNCTION("""COMPUTED_VALUE"""),"")</f>
        <v/>
      </c>
      <c r="J4524" s="2">
        <f>IFERROR(__xludf.DUMMYFUNCTION("""COMPUTED_VALUE"""),0.0)</f>
        <v>0</v>
      </c>
      <c r="K4524" s="5" t="str">
        <f>IFERROR(__xludf.DUMMYFUNCTION("""COMPUTED_VALUE"""),"")</f>
        <v/>
      </c>
      <c r="L4524" t="str">
        <f>IFERROR(__xludf.DUMMYFUNCTION("""COMPUTED_VALUE"""),"")</f>
        <v/>
      </c>
      <c r="M4524" t="str">
        <f>IFERROR(__xludf.DUMMYFUNCTION("""COMPUTED_VALUE"""),"")</f>
        <v/>
      </c>
      <c r="N4524" t="str">
        <f>IFERROR(__xludf.DUMMYFUNCTION("""COMPUTED_VALUE"""),"")</f>
        <v/>
      </c>
      <c r="O4524" t="str">
        <f>IFERROR(__xludf.DUMMYFUNCTION("""COMPUTED_VALUE"""),"")</f>
        <v/>
      </c>
      <c r="P4524" t="str">
        <f>IFERROR(__xludf.DUMMYFUNCTION("""COMPUTED_VALUE"""),"ID ")</f>
        <v>ID </v>
      </c>
    </row>
    <row r="4525">
      <c r="A4525" s="6" t="str">
        <f>IFERROR(__xludf.DUMMYFUNCTION("""COMPUTED_VALUE"""),"")</f>
        <v/>
      </c>
      <c r="C4525" t="str">
        <f>IFERROR(__xludf.DUMMYFUNCTION("""COMPUTED_VALUE"""),"")</f>
        <v/>
      </c>
      <c r="D4525" t="str">
        <f>IFERROR(__xludf.DUMMYFUNCTION("""COMPUTED_VALUE"""),"")</f>
        <v/>
      </c>
      <c r="E4525" t="str">
        <f>IFERROR(__xludf.DUMMYFUNCTION("""COMPUTED_VALUE"""),"")</f>
        <v/>
      </c>
      <c r="F4525" t="str">
        <f>IFERROR(__xludf.DUMMYFUNCTION("""COMPUTED_VALUE"""),"")</f>
        <v/>
      </c>
      <c r="G4525" t="str">
        <f>IFERROR(__xludf.DUMMYFUNCTION("""COMPUTED_VALUE"""),"")</f>
        <v/>
      </c>
      <c r="H4525" s="2" t="str">
        <f>IFERROR(__xludf.DUMMYFUNCTION("""COMPUTED_VALUE"""),"")</f>
        <v/>
      </c>
      <c r="I4525" s="2" t="str">
        <f>IFERROR(__xludf.DUMMYFUNCTION("""COMPUTED_VALUE"""),"")</f>
        <v/>
      </c>
      <c r="J4525" s="2">
        <f>IFERROR(__xludf.DUMMYFUNCTION("""COMPUTED_VALUE"""),0.0)</f>
        <v>0</v>
      </c>
      <c r="K4525" s="5" t="str">
        <f>IFERROR(__xludf.DUMMYFUNCTION("""COMPUTED_VALUE"""),"")</f>
        <v/>
      </c>
      <c r="L4525" t="str">
        <f>IFERROR(__xludf.DUMMYFUNCTION("""COMPUTED_VALUE"""),"")</f>
        <v/>
      </c>
      <c r="M4525" t="str">
        <f>IFERROR(__xludf.DUMMYFUNCTION("""COMPUTED_VALUE"""),"")</f>
        <v/>
      </c>
      <c r="N4525" t="str">
        <f>IFERROR(__xludf.DUMMYFUNCTION("""COMPUTED_VALUE"""),"")</f>
        <v/>
      </c>
      <c r="O4525" t="str">
        <f>IFERROR(__xludf.DUMMYFUNCTION("""COMPUTED_VALUE"""),"")</f>
        <v/>
      </c>
      <c r="P4525" t="str">
        <f>IFERROR(__xludf.DUMMYFUNCTION("""COMPUTED_VALUE"""),"ID ")</f>
        <v>ID </v>
      </c>
    </row>
    <row r="4526">
      <c r="A4526" s="6" t="str">
        <f>IFERROR(__xludf.DUMMYFUNCTION("""COMPUTED_VALUE"""),"")</f>
        <v/>
      </c>
      <c r="C4526" t="str">
        <f>IFERROR(__xludf.DUMMYFUNCTION("""COMPUTED_VALUE"""),"")</f>
        <v/>
      </c>
      <c r="D4526" t="str">
        <f>IFERROR(__xludf.DUMMYFUNCTION("""COMPUTED_VALUE"""),"")</f>
        <v/>
      </c>
      <c r="E4526" t="str">
        <f>IFERROR(__xludf.DUMMYFUNCTION("""COMPUTED_VALUE"""),"")</f>
        <v/>
      </c>
      <c r="F4526" t="str">
        <f>IFERROR(__xludf.DUMMYFUNCTION("""COMPUTED_VALUE"""),"")</f>
        <v/>
      </c>
      <c r="G4526" t="str">
        <f>IFERROR(__xludf.DUMMYFUNCTION("""COMPUTED_VALUE"""),"")</f>
        <v/>
      </c>
      <c r="H4526" s="2" t="str">
        <f>IFERROR(__xludf.DUMMYFUNCTION("""COMPUTED_VALUE"""),"")</f>
        <v/>
      </c>
      <c r="I4526" s="2" t="str">
        <f>IFERROR(__xludf.DUMMYFUNCTION("""COMPUTED_VALUE"""),"")</f>
        <v/>
      </c>
      <c r="J4526" s="2">
        <f>IFERROR(__xludf.DUMMYFUNCTION("""COMPUTED_VALUE"""),0.0)</f>
        <v>0</v>
      </c>
      <c r="K4526" s="5" t="str">
        <f>IFERROR(__xludf.DUMMYFUNCTION("""COMPUTED_VALUE"""),"")</f>
        <v/>
      </c>
      <c r="L4526" t="str">
        <f>IFERROR(__xludf.DUMMYFUNCTION("""COMPUTED_VALUE"""),"")</f>
        <v/>
      </c>
      <c r="M4526" t="str">
        <f>IFERROR(__xludf.DUMMYFUNCTION("""COMPUTED_VALUE"""),"")</f>
        <v/>
      </c>
      <c r="N4526" t="str">
        <f>IFERROR(__xludf.DUMMYFUNCTION("""COMPUTED_VALUE"""),"")</f>
        <v/>
      </c>
      <c r="O4526" t="str">
        <f>IFERROR(__xludf.DUMMYFUNCTION("""COMPUTED_VALUE"""),"")</f>
        <v/>
      </c>
      <c r="P4526" t="str">
        <f>IFERROR(__xludf.DUMMYFUNCTION("""COMPUTED_VALUE"""),"ID ")</f>
        <v>ID </v>
      </c>
    </row>
    <row r="4527">
      <c r="A4527" s="6" t="str">
        <f>IFERROR(__xludf.DUMMYFUNCTION("""COMPUTED_VALUE"""),"")</f>
        <v/>
      </c>
      <c r="C4527" t="str">
        <f>IFERROR(__xludf.DUMMYFUNCTION("""COMPUTED_VALUE"""),"")</f>
        <v/>
      </c>
      <c r="D4527" t="str">
        <f>IFERROR(__xludf.DUMMYFUNCTION("""COMPUTED_VALUE"""),"")</f>
        <v/>
      </c>
      <c r="E4527" t="str">
        <f>IFERROR(__xludf.DUMMYFUNCTION("""COMPUTED_VALUE"""),"")</f>
        <v/>
      </c>
      <c r="F4527" t="str">
        <f>IFERROR(__xludf.DUMMYFUNCTION("""COMPUTED_VALUE"""),"")</f>
        <v/>
      </c>
      <c r="G4527" t="str">
        <f>IFERROR(__xludf.DUMMYFUNCTION("""COMPUTED_VALUE"""),"")</f>
        <v/>
      </c>
      <c r="H4527" s="2" t="str">
        <f>IFERROR(__xludf.DUMMYFUNCTION("""COMPUTED_VALUE"""),"")</f>
        <v/>
      </c>
      <c r="I4527" s="2" t="str">
        <f>IFERROR(__xludf.DUMMYFUNCTION("""COMPUTED_VALUE"""),"")</f>
        <v/>
      </c>
      <c r="J4527" s="2">
        <f>IFERROR(__xludf.DUMMYFUNCTION("""COMPUTED_VALUE"""),0.0)</f>
        <v>0</v>
      </c>
      <c r="K4527" s="5" t="str">
        <f>IFERROR(__xludf.DUMMYFUNCTION("""COMPUTED_VALUE"""),"")</f>
        <v/>
      </c>
      <c r="L4527" t="str">
        <f>IFERROR(__xludf.DUMMYFUNCTION("""COMPUTED_VALUE"""),"")</f>
        <v/>
      </c>
      <c r="M4527" t="str">
        <f>IFERROR(__xludf.DUMMYFUNCTION("""COMPUTED_VALUE"""),"")</f>
        <v/>
      </c>
      <c r="N4527" t="str">
        <f>IFERROR(__xludf.DUMMYFUNCTION("""COMPUTED_VALUE"""),"")</f>
        <v/>
      </c>
      <c r="O4527" t="str">
        <f>IFERROR(__xludf.DUMMYFUNCTION("""COMPUTED_VALUE"""),"")</f>
        <v/>
      </c>
      <c r="P4527" t="str">
        <f>IFERROR(__xludf.DUMMYFUNCTION("""COMPUTED_VALUE"""),"ID ")</f>
        <v>ID </v>
      </c>
    </row>
    <row r="4528">
      <c r="A4528" s="6" t="str">
        <f>IFERROR(__xludf.DUMMYFUNCTION("""COMPUTED_VALUE"""),"")</f>
        <v/>
      </c>
      <c r="C4528" t="str">
        <f>IFERROR(__xludf.DUMMYFUNCTION("""COMPUTED_VALUE"""),"")</f>
        <v/>
      </c>
      <c r="D4528" t="str">
        <f>IFERROR(__xludf.DUMMYFUNCTION("""COMPUTED_VALUE"""),"")</f>
        <v/>
      </c>
      <c r="E4528" t="str">
        <f>IFERROR(__xludf.DUMMYFUNCTION("""COMPUTED_VALUE"""),"")</f>
        <v/>
      </c>
      <c r="F4528" t="str">
        <f>IFERROR(__xludf.DUMMYFUNCTION("""COMPUTED_VALUE"""),"")</f>
        <v/>
      </c>
      <c r="G4528" t="str">
        <f>IFERROR(__xludf.DUMMYFUNCTION("""COMPUTED_VALUE"""),"")</f>
        <v/>
      </c>
      <c r="H4528" s="2" t="str">
        <f>IFERROR(__xludf.DUMMYFUNCTION("""COMPUTED_VALUE"""),"")</f>
        <v/>
      </c>
      <c r="I4528" s="2" t="str">
        <f>IFERROR(__xludf.DUMMYFUNCTION("""COMPUTED_VALUE"""),"")</f>
        <v/>
      </c>
      <c r="J4528" s="2">
        <f>IFERROR(__xludf.DUMMYFUNCTION("""COMPUTED_VALUE"""),0.0)</f>
        <v>0</v>
      </c>
      <c r="K4528" s="5" t="str">
        <f>IFERROR(__xludf.DUMMYFUNCTION("""COMPUTED_VALUE"""),"")</f>
        <v/>
      </c>
      <c r="L4528" t="str">
        <f>IFERROR(__xludf.DUMMYFUNCTION("""COMPUTED_VALUE"""),"")</f>
        <v/>
      </c>
      <c r="M4528" t="str">
        <f>IFERROR(__xludf.DUMMYFUNCTION("""COMPUTED_VALUE"""),"")</f>
        <v/>
      </c>
      <c r="N4528" t="str">
        <f>IFERROR(__xludf.DUMMYFUNCTION("""COMPUTED_VALUE"""),"")</f>
        <v/>
      </c>
      <c r="O4528" t="str">
        <f>IFERROR(__xludf.DUMMYFUNCTION("""COMPUTED_VALUE"""),"")</f>
        <v/>
      </c>
      <c r="P4528" t="str">
        <f>IFERROR(__xludf.DUMMYFUNCTION("""COMPUTED_VALUE"""),"ID ")</f>
        <v>ID </v>
      </c>
    </row>
    <row r="4529">
      <c r="A4529" s="6" t="str">
        <f>IFERROR(__xludf.DUMMYFUNCTION("""COMPUTED_VALUE"""),"")</f>
        <v/>
      </c>
      <c r="C4529" t="str">
        <f>IFERROR(__xludf.DUMMYFUNCTION("""COMPUTED_VALUE"""),"")</f>
        <v/>
      </c>
      <c r="D4529" t="str">
        <f>IFERROR(__xludf.DUMMYFUNCTION("""COMPUTED_VALUE"""),"")</f>
        <v/>
      </c>
      <c r="E4529" t="str">
        <f>IFERROR(__xludf.DUMMYFUNCTION("""COMPUTED_VALUE"""),"")</f>
        <v/>
      </c>
      <c r="F4529" t="str">
        <f>IFERROR(__xludf.DUMMYFUNCTION("""COMPUTED_VALUE"""),"")</f>
        <v/>
      </c>
      <c r="G4529" t="str">
        <f>IFERROR(__xludf.DUMMYFUNCTION("""COMPUTED_VALUE"""),"")</f>
        <v/>
      </c>
      <c r="H4529" s="2" t="str">
        <f>IFERROR(__xludf.DUMMYFUNCTION("""COMPUTED_VALUE"""),"")</f>
        <v/>
      </c>
      <c r="I4529" s="2" t="str">
        <f>IFERROR(__xludf.DUMMYFUNCTION("""COMPUTED_VALUE"""),"")</f>
        <v/>
      </c>
      <c r="J4529" s="2">
        <f>IFERROR(__xludf.DUMMYFUNCTION("""COMPUTED_VALUE"""),0.0)</f>
        <v>0</v>
      </c>
      <c r="K4529" s="5" t="str">
        <f>IFERROR(__xludf.DUMMYFUNCTION("""COMPUTED_VALUE"""),"")</f>
        <v/>
      </c>
      <c r="L4529" t="str">
        <f>IFERROR(__xludf.DUMMYFUNCTION("""COMPUTED_VALUE"""),"")</f>
        <v/>
      </c>
      <c r="M4529" t="str">
        <f>IFERROR(__xludf.DUMMYFUNCTION("""COMPUTED_VALUE"""),"")</f>
        <v/>
      </c>
      <c r="N4529" t="str">
        <f>IFERROR(__xludf.DUMMYFUNCTION("""COMPUTED_VALUE"""),"")</f>
        <v/>
      </c>
      <c r="O4529" t="str">
        <f>IFERROR(__xludf.DUMMYFUNCTION("""COMPUTED_VALUE"""),"")</f>
        <v/>
      </c>
      <c r="P4529" t="str">
        <f>IFERROR(__xludf.DUMMYFUNCTION("""COMPUTED_VALUE"""),"ID ")</f>
        <v>ID </v>
      </c>
    </row>
    <row r="4530">
      <c r="A4530" s="6" t="str">
        <f>IFERROR(__xludf.DUMMYFUNCTION("""COMPUTED_VALUE"""),"")</f>
        <v/>
      </c>
      <c r="C4530" t="str">
        <f>IFERROR(__xludf.DUMMYFUNCTION("""COMPUTED_VALUE"""),"")</f>
        <v/>
      </c>
      <c r="D4530" t="str">
        <f>IFERROR(__xludf.DUMMYFUNCTION("""COMPUTED_VALUE"""),"")</f>
        <v/>
      </c>
      <c r="E4530" t="str">
        <f>IFERROR(__xludf.DUMMYFUNCTION("""COMPUTED_VALUE"""),"")</f>
        <v/>
      </c>
      <c r="F4530" t="str">
        <f>IFERROR(__xludf.DUMMYFUNCTION("""COMPUTED_VALUE"""),"")</f>
        <v/>
      </c>
      <c r="G4530" t="str">
        <f>IFERROR(__xludf.DUMMYFUNCTION("""COMPUTED_VALUE"""),"")</f>
        <v/>
      </c>
      <c r="H4530" s="2" t="str">
        <f>IFERROR(__xludf.DUMMYFUNCTION("""COMPUTED_VALUE"""),"")</f>
        <v/>
      </c>
      <c r="I4530" s="2" t="str">
        <f>IFERROR(__xludf.DUMMYFUNCTION("""COMPUTED_VALUE"""),"")</f>
        <v/>
      </c>
      <c r="J4530" s="2">
        <f>IFERROR(__xludf.DUMMYFUNCTION("""COMPUTED_VALUE"""),0.0)</f>
        <v>0</v>
      </c>
      <c r="K4530" s="5" t="str">
        <f>IFERROR(__xludf.DUMMYFUNCTION("""COMPUTED_VALUE"""),"")</f>
        <v/>
      </c>
      <c r="L4530" t="str">
        <f>IFERROR(__xludf.DUMMYFUNCTION("""COMPUTED_VALUE"""),"")</f>
        <v/>
      </c>
      <c r="M4530" t="str">
        <f>IFERROR(__xludf.DUMMYFUNCTION("""COMPUTED_VALUE"""),"")</f>
        <v/>
      </c>
      <c r="N4530" t="str">
        <f>IFERROR(__xludf.DUMMYFUNCTION("""COMPUTED_VALUE"""),"")</f>
        <v/>
      </c>
      <c r="O4530" t="str">
        <f>IFERROR(__xludf.DUMMYFUNCTION("""COMPUTED_VALUE"""),"")</f>
        <v/>
      </c>
      <c r="P4530" t="str">
        <f>IFERROR(__xludf.DUMMYFUNCTION("""COMPUTED_VALUE"""),"ID ")</f>
        <v>ID </v>
      </c>
    </row>
    <row r="4531">
      <c r="A4531" s="6" t="str">
        <f>IFERROR(__xludf.DUMMYFUNCTION("""COMPUTED_VALUE"""),"")</f>
        <v/>
      </c>
      <c r="C4531" t="str">
        <f>IFERROR(__xludf.DUMMYFUNCTION("""COMPUTED_VALUE"""),"")</f>
        <v/>
      </c>
      <c r="D4531" t="str">
        <f>IFERROR(__xludf.DUMMYFUNCTION("""COMPUTED_VALUE"""),"")</f>
        <v/>
      </c>
      <c r="E4531" t="str">
        <f>IFERROR(__xludf.DUMMYFUNCTION("""COMPUTED_VALUE"""),"")</f>
        <v/>
      </c>
      <c r="F4531" t="str">
        <f>IFERROR(__xludf.DUMMYFUNCTION("""COMPUTED_VALUE"""),"")</f>
        <v/>
      </c>
      <c r="G4531" t="str">
        <f>IFERROR(__xludf.DUMMYFUNCTION("""COMPUTED_VALUE"""),"")</f>
        <v/>
      </c>
      <c r="H4531" s="2" t="str">
        <f>IFERROR(__xludf.DUMMYFUNCTION("""COMPUTED_VALUE"""),"")</f>
        <v/>
      </c>
      <c r="I4531" s="2" t="str">
        <f>IFERROR(__xludf.DUMMYFUNCTION("""COMPUTED_VALUE"""),"")</f>
        <v/>
      </c>
      <c r="J4531" s="2">
        <f>IFERROR(__xludf.DUMMYFUNCTION("""COMPUTED_VALUE"""),0.0)</f>
        <v>0</v>
      </c>
      <c r="K4531" s="5" t="str">
        <f>IFERROR(__xludf.DUMMYFUNCTION("""COMPUTED_VALUE"""),"")</f>
        <v/>
      </c>
      <c r="L4531" t="str">
        <f>IFERROR(__xludf.DUMMYFUNCTION("""COMPUTED_VALUE"""),"")</f>
        <v/>
      </c>
      <c r="M4531" t="str">
        <f>IFERROR(__xludf.DUMMYFUNCTION("""COMPUTED_VALUE"""),"")</f>
        <v/>
      </c>
      <c r="N4531" t="str">
        <f>IFERROR(__xludf.DUMMYFUNCTION("""COMPUTED_VALUE"""),"")</f>
        <v/>
      </c>
      <c r="O4531" t="str">
        <f>IFERROR(__xludf.DUMMYFUNCTION("""COMPUTED_VALUE"""),"")</f>
        <v/>
      </c>
      <c r="P4531" t="str">
        <f>IFERROR(__xludf.DUMMYFUNCTION("""COMPUTED_VALUE"""),"ID ")</f>
        <v>ID </v>
      </c>
    </row>
    <row r="4532">
      <c r="A4532" s="6" t="str">
        <f>IFERROR(__xludf.DUMMYFUNCTION("""COMPUTED_VALUE"""),"")</f>
        <v/>
      </c>
      <c r="C4532" t="str">
        <f>IFERROR(__xludf.DUMMYFUNCTION("""COMPUTED_VALUE"""),"")</f>
        <v/>
      </c>
      <c r="D4532" t="str">
        <f>IFERROR(__xludf.DUMMYFUNCTION("""COMPUTED_VALUE"""),"")</f>
        <v/>
      </c>
      <c r="E4532" t="str">
        <f>IFERROR(__xludf.DUMMYFUNCTION("""COMPUTED_VALUE"""),"")</f>
        <v/>
      </c>
      <c r="F4532" t="str">
        <f>IFERROR(__xludf.DUMMYFUNCTION("""COMPUTED_VALUE"""),"")</f>
        <v/>
      </c>
      <c r="G4532" t="str">
        <f>IFERROR(__xludf.DUMMYFUNCTION("""COMPUTED_VALUE"""),"")</f>
        <v/>
      </c>
      <c r="H4532" s="2" t="str">
        <f>IFERROR(__xludf.DUMMYFUNCTION("""COMPUTED_VALUE"""),"")</f>
        <v/>
      </c>
      <c r="I4532" s="2" t="str">
        <f>IFERROR(__xludf.DUMMYFUNCTION("""COMPUTED_VALUE"""),"")</f>
        <v/>
      </c>
      <c r="J4532" s="2">
        <f>IFERROR(__xludf.DUMMYFUNCTION("""COMPUTED_VALUE"""),0.0)</f>
        <v>0</v>
      </c>
      <c r="K4532" s="5" t="str">
        <f>IFERROR(__xludf.DUMMYFUNCTION("""COMPUTED_VALUE"""),"")</f>
        <v/>
      </c>
      <c r="L4532" t="str">
        <f>IFERROR(__xludf.DUMMYFUNCTION("""COMPUTED_VALUE"""),"")</f>
        <v/>
      </c>
      <c r="M4532" t="str">
        <f>IFERROR(__xludf.DUMMYFUNCTION("""COMPUTED_VALUE"""),"")</f>
        <v/>
      </c>
      <c r="N4532" t="str">
        <f>IFERROR(__xludf.DUMMYFUNCTION("""COMPUTED_VALUE"""),"")</f>
        <v/>
      </c>
      <c r="O4532" t="str">
        <f>IFERROR(__xludf.DUMMYFUNCTION("""COMPUTED_VALUE"""),"")</f>
        <v/>
      </c>
      <c r="P4532" t="str">
        <f>IFERROR(__xludf.DUMMYFUNCTION("""COMPUTED_VALUE"""),"ID ")</f>
        <v>ID </v>
      </c>
    </row>
    <row r="4533">
      <c r="A4533" s="6" t="str">
        <f>IFERROR(__xludf.DUMMYFUNCTION("""COMPUTED_VALUE"""),"")</f>
        <v/>
      </c>
      <c r="C4533" t="str">
        <f>IFERROR(__xludf.DUMMYFUNCTION("""COMPUTED_VALUE"""),"")</f>
        <v/>
      </c>
      <c r="D4533" t="str">
        <f>IFERROR(__xludf.DUMMYFUNCTION("""COMPUTED_VALUE"""),"")</f>
        <v/>
      </c>
      <c r="E4533" t="str">
        <f>IFERROR(__xludf.DUMMYFUNCTION("""COMPUTED_VALUE"""),"")</f>
        <v/>
      </c>
      <c r="F4533" t="str">
        <f>IFERROR(__xludf.DUMMYFUNCTION("""COMPUTED_VALUE"""),"")</f>
        <v/>
      </c>
      <c r="G4533" t="str">
        <f>IFERROR(__xludf.DUMMYFUNCTION("""COMPUTED_VALUE"""),"")</f>
        <v/>
      </c>
      <c r="H4533" s="2" t="str">
        <f>IFERROR(__xludf.DUMMYFUNCTION("""COMPUTED_VALUE"""),"")</f>
        <v/>
      </c>
      <c r="I4533" s="2" t="str">
        <f>IFERROR(__xludf.DUMMYFUNCTION("""COMPUTED_VALUE"""),"")</f>
        <v/>
      </c>
      <c r="J4533" s="2">
        <f>IFERROR(__xludf.DUMMYFUNCTION("""COMPUTED_VALUE"""),0.0)</f>
        <v>0</v>
      </c>
      <c r="K4533" s="5" t="str">
        <f>IFERROR(__xludf.DUMMYFUNCTION("""COMPUTED_VALUE"""),"")</f>
        <v/>
      </c>
      <c r="L4533" t="str">
        <f>IFERROR(__xludf.DUMMYFUNCTION("""COMPUTED_VALUE"""),"")</f>
        <v/>
      </c>
      <c r="M4533" t="str">
        <f>IFERROR(__xludf.DUMMYFUNCTION("""COMPUTED_VALUE"""),"")</f>
        <v/>
      </c>
      <c r="N4533" t="str">
        <f>IFERROR(__xludf.DUMMYFUNCTION("""COMPUTED_VALUE"""),"")</f>
        <v/>
      </c>
      <c r="O4533" t="str">
        <f>IFERROR(__xludf.DUMMYFUNCTION("""COMPUTED_VALUE"""),"")</f>
        <v/>
      </c>
      <c r="P4533" t="str">
        <f>IFERROR(__xludf.DUMMYFUNCTION("""COMPUTED_VALUE"""),"ID ")</f>
        <v>ID </v>
      </c>
    </row>
    <row r="4534">
      <c r="A4534" s="6" t="str">
        <f>IFERROR(__xludf.DUMMYFUNCTION("""COMPUTED_VALUE"""),"")</f>
        <v/>
      </c>
      <c r="C4534" t="str">
        <f>IFERROR(__xludf.DUMMYFUNCTION("""COMPUTED_VALUE"""),"")</f>
        <v/>
      </c>
      <c r="D4534" t="str">
        <f>IFERROR(__xludf.DUMMYFUNCTION("""COMPUTED_VALUE"""),"")</f>
        <v/>
      </c>
      <c r="E4534" t="str">
        <f>IFERROR(__xludf.DUMMYFUNCTION("""COMPUTED_VALUE"""),"")</f>
        <v/>
      </c>
      <c r="F4534" t="str">
        <f>IFERROR(__xludf.DUMMYFUNCTION("""COMPUTED_VALUE"""),"")</f>
        <v/>
      </c>
      <c r="G4534" t="str">
        <f>IFERROR(__xludf.DUMMYFUNCTION("""COMPUTED_VALUE"""),"")</f>
        <v/>
      </c>
      <c r="H4534" s="2" t="str">
        <f>IFERROR(__xludf.DUMMYFUNCTION("""COMPUTED_VALUE"""),"")</f>
        <v/>
      </c>
      <c r="I4534" s="2" t="str">
        <f>IFERROR(__xludf.DUMMYFUNCTION("""COMPUTED_VALUE"""),"")</f>
        <v/>
      </c>
      <c r="J4534" s="2">
        <f>IFERROR(__xludf.DUMMYFUNCTION("""COMPUTED_VALUE"""),0.0)</f>
        <v>0</v>
      </c>
      <c r="K4534" s="5" t="str">
        <f>IFERROR(__xludf.DUMMYFUNCTION("""COMPUTED_VALUE"""),"")</f>
        <v/>
      </c>
      <c r="L4534" t="str">
        <f>IFERROR(__xludf.DUMMYFUNCTION("""COMPUTED_VALUE"""),"")</f>
        <v/>
      </c>
      <c r="M4534" t="str">
        <f>IFERROR(__xludf.DUMMYFUNCTION("""COMPUTED_VALUE"""),"")</f>
        <v/>
      </c>
      <c r="N4534" t="str">
        <f>IFERROR(__xludf.DUMMYFUNCTION("""COMPUTED_VALUE"""),"")</f>
        <v/>
      </c>
      <c r="O4534" t="str">
        <f>IFERROR(__xludf.DUMMYFUNCTION("""COMPUTED_VALUE"""),"")</f>
        <v/>
      </c>
      <c r="P4534" t="str">
        <f>IFERROR(__xludf.DUMMYFUNCTION("""COMPUTED_VALUE"""),"ID ")</f>
        <v>ID </v>
      </c>
    </row>
    <row r="4535">
      <c r="A4535" s="6" t="str">
        <f>IFERROR(__xludf.DUMMYFUNCTION("""COMPUTED_VALUE"""),"")</f>
        <v/>
      </c>
      <c r="C4535" t="str">
        <f>IFERROR(__xludf.DUMMYFUNCTION("""COMPUTED_VALUE"""),"")</f>
        <v/>
      </c>
      <c r="D4535" t="str">
        <f>IFERROR(__xludf.DUMMYFUNCTION("""COMPUTED_VALUE"""),"")</f>
        <v/>
      </c>
      <c r="E4535" t="str">
        <f>IFERROR(__xludf.DUMMYFUNCTION("""COMPUTED_VALUE"""),"")</f>
        <v/>
      </c>
      <c r="F4535" t="str">
        <f>IFERROR(__xludf.DUMMYFUNCTION("""COMPUTED_VALUE"""),"")</f>
        <v/>
      </c>
      <c r="G4535" t="str">
        <f>IFERROR(__xludf.DUMMYFUNCTION("""COMPUTED_VALUE"""),"")</f>
        <v/>
      </c>
      <c r="H4535" s="2" t="str">
        <f>IFERROR(__xludf.DUMMYFUNCTION("""COMPUTED_VALUE"""),"")</f>
        <v/>
      </c>
      <c r="I4535" s="2" t="str">
        <f>IFERROR(__xludf.DUMMYFUNCTION("""COMPUTED_VALUE"""),"")</f>
        <v/>
      </c>
      <c r="J4535" s="2">
        <f>IFERROR(__xludf.DUMMYFUNCTION("""COMPUTED_VALUE"""),0.0)</f>
        <v>0</v>
      </c>
      <c r="K4535" s="5" t="str">
        <f>IFERROR(__xludf.DUMMYFUNCTION("""COMPUTED_VALUE"""),"")</f>
        <v/>
      </c>
      <c r="L4535" t="str">
        <f>IFERROR(__xludf.DUMMYFUNCTION("""COMPUTED_VALUE"""),"")</f>
        <v/>
      </c>
      <c r="M4535" t="str">
        <f>IFERROR(__xludf.DUMMYFUNCTION("""COMPUTED_VALUE"""),"")</f>
        <v/>
      </c>
      <c r="N4535" t="str">
        <f>IFERROR(__xludf.DUMMYFUNCTION("""COMPUTED_VALUE"""),"")</f>
        <v/>
      </c>
      <c r="O4535" t="str">
        <f>IFERROR(__xludf.DUMMYFUNCTION("""COMPUTED_VALUE"""),"")</f>
        <v/>
      </c>
      <c r="P4535" t="str">
        <f>IFERROR(__xludf.DUMMYFUNCTION("""COMPUTED_VALUE"""),"ID ")</f>
        <v>ID </v>
      </c>
    </row>
    <row r="4536">
      <c r="A4536" s="6" t="str">
        <f>IFERROR(__xludf.DUMMYFUNCTION("""COMPUTED_VALUE"""),"")</f>
        <v/>
      </c>
      <c r="C4536" t="str">
        <f>IFERROR(__xludf.DUMMYFUNCTION("""COMPUTED_VALUE"""),"")</f>
        <v/>
      </c>
      <c r="D4536" t="str">
        <f>IFERROR(__xludf.DUMMYFUNCTION("""COMPUTED_VALUE"""),"")</f>
        <v/>
      </c>
      <c r="E4536" t="str">
        <f>IFERROR(__xludf.DUMMYFUNCTION("""COMPUTED_VALUE"""),"")</f>
        <v/>
      </c>
      <c r="F4536" t="str">
        <f>IFERROR(__xludf.DUMMYFUNCTION("""COMPUTED_VALUE"""),"")</f>
        <v/>
      </c>
      <c r="G4536" t="str">
        <f>IFERROR(__xludf.DUMMYFUNCTION("""COMPUTED_VALUE"""),"")</f>
        <v/>
      </c>
      <c r="H4536" s="2" t="str">
        <f>IFERROR(__xludf.DUMMYFUNCTION("""COMPUTED_VALUE"""),"")</f>
        <v/>
      </c>
      <c r="I4536" s="2" t="str">
        <f>IFERROR(__xludf.DUMMYFUNCTION("""COMPUTED_VALUE"""),"")</f>
        <v/>
      </c>
      <c r="J4536" s="2">
        <f>IFERROR(__xludf.DUMMYFUNCTION("""COMPUTED_VALUE"""),0.0)</f>
        <v>0</v>
      </c>
      <c r="K4536" s="5" t="str">
        <f>IFERROR(__xludf.DUMMYFUNCTION("""COMPUTED_VALUE"""),"")</f>
        <v/>
      </c>
      <c r="L4536" t="str">
        <f>IFERROR(__xludf.DUMMYFUNCTION("""COMPUTED_VALUE"""),"")</f>
        <v/>
      </c>
      <c r="M4536" t="str">
        <f>IFERROR(__xludf.DUMMYFUNCTION("""COMPUTED_VALUE"""),"")</f>
        <v/>
      </c>
      <c r="N4536" t="str">
        <f>IFERROR(__xludf.DUMMYFUNCTION("""COMPUTED_VALUE"""),"")</f>
        <v/>
      </c>
      <c r="O4536" t="str">
        <f>IFERROR(__xludf.DUMMYFUNCTION("""COMPUTED_VALUE"""),"")</f>
        <v/>
      </c>
      <c r="P4536" t="str">
        <f>IFERROR(__xludf.DUMMYFUNCTION("""COMPUTED_VALUE"""),"ID ")</f>
        <v>ID </v>
      </c>
    </row>
    <row r="4537">
      <c r="A4537" s="6" t="str">
        <f>IFERROR(__xludf.DUMMYFUNCTION("""COMPUTED_VALUE"""),"")</f>
        <v/>
      </c>
      <c r="C4537" t="str">
        <f>IFERROR(__xludf.DUMMYFUNCTION("""COMPUTED_VALUE"""),"")</f>
        <v/>
      </c>
      <c r="D4537" t="str">
        <f>IFERROR(__xludf.DUMMYFUNCTION("""COMPUTED_VALUE"""),"")</f>
        <v/>
      </c>
      <c r="E4537" t="str">
        <f>IFERROR(__xludf.DUMMYFUNCTION("""COMPUTED_VALUE"""),"")</f>
        <v/>
      </c>
      <c r="F4537" t="str">
        <f>IFERROR(__xludf.DUMMYFUNCTION("""COMPUTED_VALUE"""),"")</f>
        <v/>
      </c>
      <c r="G4537" t="str">
        <f>IFERROR(__xludf.DUMMYFUNCTION("""COMPUTED_VALUE"""),"")</f>
        <v/>
      </c>
      <c r="H4537" s="2" t="str">
        <f>IFERROR(__xludf.DUMMYFUNCTION("""COMPUTED_VALUE"""),"")</f>
        <v/>
      </c>
      <c r="I4537" s="2" t="str">
        <f>IFERROR(__xludf.DUMMYFUNCTION("""COMPUTED_VALUE"""),"")</f>
        <v/>
      </c>
      <c r="J4537" s="2">
        <f>IFERROR(__xludf.DUMMYFUNCTION("""COMPUTED_VALUE"""),0.0)</f>
        <v>0</v>
      </c>
      <c r="K4537" s="5" t="str">
        <f>IFERROR(__xludf.DUMMYFUNCTION("""COMPUTED_VALUE"""),"")</f>
        <v/>
      </c>
      <c r="L4537" t="str">
        <f>IFERROR(__xludf.DUMMYFUNCTION("""COMPUTED_VALUE"""),"")</f>
        <v/>
      </c>
      <c r="M4537" t="str">
        <f>IFERROR(__xludf.DUMMYFUNCTION("""COMPUTED_VALUE"""),"")</f>
        <v/>
      </c>
      <c r="N4537" t="str">
        <f>IFERROR(__xludf.DUMMYFUNCTION("""COMPUTED_VALUE"""),"")</f>
        <v/>
      </c>
      <c r="O4537" t="str">
        <f>IFERROR(__xludf.DUMMYFUNCTION("""COMPUTED_VALUE"""),"")</f>
        <v/>
      </c>
      <c r="P4537" t="str">
        <f>IFERROR(__xludf.DUMMYFUNCTION("""COMPUTED_VALUE"""),"ID ")</f>
        <v>ID </v>
      </c>
    </row>
    <row r="4538">
      <c r="A4538" s="6" t="str">
        <f>IFERROR(__xludf.DUMMYFUNCTION("""COMPUTED_VALUE"""),"")</f>
        <v/>
      </c>
      <c r="C4538" t="str">
        <f>IFERROR(__xludf.DUMMYFUNCTION("""COMPUTED_VALUE"""),"")</f>
        <v/>
      </c>
      <c r="D4538" t="str">
        <f>IFERROR(__xludf.DUMMYFUNCTION("""COMPUTED_VALUE"""),"")</f>
        <v/>
      </c>
      <c r="E4538" t="str">
        <f>IFERROR(__xludf.DUMMYFUNCTION("""COMPUTED_VALUE"""),"")</f>
        <v/>
      </c>
      <c r="F4538" t="str">
        <f>IFERROR(__xludf.DUMMYFUNCTION("""COMPUTED_VALUE"""),"")</f>
        <v/>
      </c>
      <c r="G4538" t="str">
        <f>IFERROR(__xludf.DUMMYFUNCTION("""COMPUTED_VALUE"""),"")</f>
        <v/>
      </c>
      <c r="H4538" s="2" t="str">
        <f>IFERROR(__xludf.DUMMYFUNCTION("""COMPUTED_VALUE"""),"")</f>
        <v/>
      </c>
      <c r="I4538" s="2" t="str">
        <f>IFERROR(__xludf.DUMMYFUNCTION("""COMPUTED_VALUE"""),"")</f>
        <v/>
      </c>
      <c r="J4538" s="2">
        <f>IFERROR(__xludf.DUMMYFUNCTION("""COMPUTED_VALUE"""),0.0)</f>
        <v>0</v>
      </c>
      <c r="K4538" s="5" t="str">
        <f>IFERROR(__xludf.DUMMYFUNCTION("""COMPUTED_VALUE"""),"")</f>
        <v/>
      </c>
      <c r="L4538" t="str">
        <f>IFERROR(__xludf.DUMMYFUNCTION("""COMPUTED_VALUE"""),"")</f>
        <v/>
      </c>
      <c r="M4538" t="str">
        <f>IFERROR(__xludf.DUMMYFUNCTION("""COMPUTED_VALUE"""),"")</f>
        <v/>
      </c>
      <c r="N4538" t="str">
        <f>IFERROR(__xludf.DUMMYFUNCTION("""COMPUTED_VALUE"""),"")</f>
        <v/>
      </c>
      <c r="O4538" t="str">
        <f>IFERROR(__xludf.DUMMYFUNCTION("""COMPUTED_VALUE"""),"")</f>
        <v/>
      </c>
      <c r="P4538" t="str">
        <f>IFERROR(__xludf.DUMMYFUNCTION("""COMPUTED_VALUE"""),"ID ")</f>
        <v>ID </v>
      </c>
    </row>
    <row r="4539">
      <c r="A4539" s="6" t="str">
        <f>IFERROR(__xludf.DUMMYFUNCTION("""COMPUTED_VALUE"""),"")</f>
        <v/>
      </c>
      <c r="C4539" t="str">
        <f>IFERROR(__xludf.DUMMYFUNCTION("""COMPUTED_VALUE"""),"")</f>
        <v/>
      </c>
      <c r="D4539" t="str">
        <f>IFERROR(__xludf.DUMMYFUNCTION("""COMPUTED_VALUE"""),"")</f>
        <v/>
      </c>
      <c r="E4539" t="str">
        <f>IFERROR(__xludf.DUMMYFUNCTION("""COMPUTED_VALUE"""),"")</f>
        <v/>
      </c>
      <c r="F4539" t="str">
        <f>IFERROR(__xludf.DUMMYFUNCTION("""COMPUTED_VALUE"""),"")</f>
        <v/>
      </c>
      <c r="G4539" t="str">
        <f>IFERROR(__xludf.DUMMYFUNCTION("""COMPUTED_VALUE"""),"")</f>
        <v/>
      </c>
      <c r="H4539" s="2" t="str">
        <f>IFERROR(__xludf.DUMMYFUNCTION("""COMPUTED_VALUE"""),"")</f>
        <v/>
      </c>
      <c r="I4539" s="2" t="str">
        <f>IFERROR(__xludf.DUMMYFUNCTION("""COMPUTED_VALUE"""),"")</f>
        <v/>
      </c>
      <c r="J4539" s="2">
        <f>IFERROR(__xludf.DUMMYFUNCTION("""COMPUTED_VALUE"""),0.0)</f>
        <v>0</v>
      </c>
      <c r="K4539" s="5" t="str">
        <f>IFERROR(__xludf.DUMMYFUNCTION("""COMPUTED_VALUE"""),"")</f>
        <v/>
      </c>
      <c r="L4539" t="str">
        <f>IFERROR(__xludf.DUMMYFUNCTION("""COMPUTED_VALUE"""),"")</f>
        <v/>
      </c>
      <c r="M4539" t="str">
        <f>IFERROR(__xludf.DUMMYFUNCTION("""COMPUTED_VALUE"""),"")</f>
        <v/>
      </c>
      <c r="N4539" t="str">
        <f>IFERROR(__xludf.DUMMYFUNCTION("""COMPUTED_VALUE"""),"")</f>
        <v/>
      </c>
      <c r="O4539" t="str">
        <f>IFERROR(__xludf.DUMMYFUNCTION("""COMPUTED_VALUE"""),"")</f>
        <v/>
      </c>
      <c r="P4539" t="str">
        <f>IFERROR(__xludf.DUMMYFUNCTION("""COMPUTED_VALUE"""),"ID ")</f>
        <v>ID </v>
      </c>
    </row>
    <row r="4540">
      <c r="A4540" s="6" t="str">
        <f>IFERROR(__xludf.DUMMYFUNCTION("""COMPUTED_VALUE"""),"")</f>
        <v/>
      </c>
      <c r="C4540" t="str">
        <f>IFERROR(__xludf.DUMMYFUNCTION("""COMPUTED_VALUE"""),"")</f>
        <v/>
      </c>
      <c r="D4540" t="str">
        <f>IFERROR(__xludf.DUMMYFUNCTION("""COMPUTED_VALUE"""),"")</f>
        <v/>
      </c>
      <c r="E4540" t="str">
        <f>IFERROR(__xludf.DUMMYFUNCTION("""COMPUTED_VALUE"""),"")</f>
        <v/>
      </c>
      <c r="F4540" t="str">
        <f>IFERROR(__xludf.DUMMYFUNCTION("""COMPUTED_VALUE"""),"")</f>
        <v/>
      </c>
      <c r="G4540" t="str">
        <f>IFERROR(__xludf.DUMMYFUNCTION("""COMPUTED_VALUE"""),"")</f>
        <v/>
      </c>
      <c r="H4540" s="2" t="str">
        <f>IFERROR(__xludf.DUMMYFUNCTION("""COMPUTED_VALUE"""),"")</f>
        <v/>
      </c>
      <c r="I4540" s="2" t="str">
        <f>IFERROR(__xludf.DUMMYFUNCTION("""COMPUTED_VALUE"""),"")</f>
        <v/>
      </c>
      <c r="J4540" s="2">
        <f>IFERROR(__xludf.DUMMYFUNCTION("""COMPUTED_VALUE"""),0.0)</f>
        <v>0</v>
      </c>
      <c r="K4540" s="5" t="str">
        <f>IFERROR(__xludf.DUMMYFUNCTION("""COMPUTED_VALUE"""),"")</f>
        <v/>
      </c>
      <c r="L4540" t="str">
        <f>IFERROR(__xludf.DUMMYFUNCTION("""COMPUTED_VALUE"""),"")</f>
        <v/>
      </c>
      <c r="M4540" t="str">
        <f>IFERROR(__xludf.DUMMYFUNCTION("""COMPUTED_VALUE"""),"")</f>
        <v/>
      </c>
      <c r="N4540" t="str">
        <f>IFERROR(__xludf.DUMMYFUNCTION("""COMPUTED_VALUE"""),"")</f>
        <v/>
      </c>
      <c r="O4540" t="str">
        <f>IFERROR(__xludf.DUMMYFUNCTION("""COMPUTED_VALUE"""),"")</f>
        <v/>
      </c>
      <c r="P4540" t="str">
        <f>IFERROR(__xludf.DUMMYFUNCTION("""COMPUTED_VALUE"""),"ID ")</f>
        <v>ID </v>
      </c>
    </row>
    <row r="4541">
      <c r="A4541" s="6" t="str">
        <f>IFERROR(__xludf.DUMMYFUNCTION("""COMPUTED_VALUE"""),"")</f>
        <v/>
      </c>
      <c r="C4541" t="str">
        <f>IFERROR(__xludf.DUMMYFUNCTION("""COMPUTED_VALUE"""),"")</f>
        <v/>
      </c>
      <c r="D4541" t="str">
        <f>IFERROR(__xludf.DUMMYFUNCTION("""COMPUTED_VALUE"""),"")</f>
        <v/>
      </c>
      <c r="E4541" t="str">
        <f>IFERROR(__xludf.DUMMYFUNCTION("""COMPUTED_VALUE"""),"")</f>
        <v/>
      </c>
      <c r="F4541" t="str">
        <f>IFERROR(__xludf.DUMMYFUNCTION("""COMPUTED_VALUE"""),"")</f>
        <v/>
      </c>
      <c r="G4541" t="str">
        <f>IFERROR(__xludf.DUMMYFUNCTION("""COMPUTED_VALUE"""),"")</f>
        <v/>
      </c>
      <c r="H4541" s="2" t="str">
        <f>IFERROR(__xludf.DUMMYFUNCTION("""COMPUTED_VALUE"""),"")</f>
        <v/>
      </c>
      <c r="I4541" s="2" t="str">
        <f>IFERROR(__xludf.DUMMYFUNCTION("""COMPUTED_VALUE"""),"")</f>
        <v/>
      </c>
      <c r="J4541" s="2">
        <f>IFERROR(__xludf.DUMMYFUNCTION("""COMPUTED_VALUE"""),0.0)</f>
        <v>0</v>
      </c>
      <c r="K4541" s="5" t="str">
        <f>IFERROR(__xludf.DUMMYFUNCTION("""COMPUTED_VALUE"""),"")</f>
        <v/>
      </c>
      <c r="L4541" t="str">
        <f>IFERROR(__xludf.DUMMYFUNCTION("""COMPUTED_VALUE"""),"")</f>
        <v/>
      </c>
      <c r="M4541" t="str">
        <f>IFERROR(__xludf.DUMMYFUNCTION("""COMPUTED_VALUE"""),"")</f>
        <v/>
      </c>
      <c r="N4541" t="str">
        <f>IFERROR(__xludf.DUMMYFUNCTION("""COMPUTED_VALUE"""),"")</f>
        <v/>
      </c>
      <c r="O4541" t="str">
        <f>IFERROR(__xludf.DUMMYFUNCTION("""COMPUTED_VALUE"""),"")</f>
        <v/>
      </c>
      <c r="P4541" t="str">
        <f>IFERROR(__xludf.DUMMYFUNCTION("""COMPUTED_VALUE"""),"ID ")</f>
        <v>ID </v>
      </c>
    </row>
    <row r="4542">
      <c r="A4542" s="6" t="str">
        <f>IFERROR(__xludf.DUMMYFUNCTION("""COMPUTED_VALUE"""),"")</f>
        <v/>
      </c>
      <c r="C4542" t="str">
        <f>IFERROR(__xludf.DUMMYFUNCTION("""COMPUTED_VALUE"""),"")</f>
        <v/>
      </c>
      <c r="D4542" t="str">
        <f>IFERROR(__xludf.DUMMYFUNCTION("""COMPUTED_VALUE"""),"")</f>
        <v/>
      </c>
      <c r="E4542" t="str">
        <f>IFERROR(__xludf.DUMMYFUNCTION("""COMPUTED_VALUE"""),"")</f>
        <v/>
      </c>
      <c r="F4542" t="str">
        <f>IFERROR(__xludf.DUMMYFUNCTION("""COMPUTED_VALUE"""),"")</f>
        <v/>
      </c>
      <c r="G4542" t="str">
        <f>IFERROR(__xludf.DUMMYFUNCTION("""COMPUTED_VALUE"""),"")</f>
        <v/>
      </c>
      <c r="H4542" s="2" t="str">
        <f>IFERROR(__xludf.DUMMYFUNCTION("""COMPUTED_VALUE"""),"")</f>
        <v/>
      </c>
      <c r="I4542" s="2" t="str">
        <f>IFERROR(__xludf.DUMMYFUNCTION("""COMPUTED_VALUE"""),"")</f>
        <v/>
      </c>
      <c r="J4542" s="2">
        <f>IFERROR(__xludf.DUMMYFUNCTION("""COMPUTED_VALUE"""),0.0)</f>
        <v>0</v>
      </c>
      <c r="K4542" s="5" t="str">
        <f>IFERROR(__xludf.DUMMYFUNCTION("""COMPUTED_VALUE"""),"")</f>
        <v/>
      </c>
      <c r="L4542" t="str">
        <f>IFERROR(__xludf.DUMMYFUNCTION("""COMPUTED_VALUE"""),"")</f>
        <v/>
      </c>
      <c r="M4542" t="str">
        <f>IFERROR(__xludf.DUMMYFUNCTION("""COMPUTED_VALUE"""),"")</f>
        <v/>
      </c>
      <c r="N4542" t="str">
        <f>IFERROR(__xludf.DUMMYFUNCTION("""COMPUTED_VALUE"""),"")</f>
        <v/>
      </c>
      <c r="O4542" t="str">
        <f>IFERROR(__xludf.DUMMYFUNCTION("""COMPUTED_VALUE"""),"")</f>
        <v/>
      </c>
      <c r="P4542" t="str">
        <f>IFERROR(__xludf.DUMMYFUNCTION("""COMPUTED_VALUE"""),"ID ")</f>
        <v>ID </v>
      </c>
    </row>
    <row r="4543">
      <c r="A4543" s="6" t="str">
        <f>IFERROR(__xludf.DUMMYFUNCTION("""COMPUTED_VALUE"""),"")</f>
        <v/>
      </c>
      <c r="C4543" t="str">
        <f>IFERROR(__xludf.DUMMYFUNCTION("""COMPUTED_VALUE"""),"")</f>
        <v/>
      </c>
      <c r="D4543" t="str">
        <f>IFERROR(__xludf.DUMMYFUNCTION("""COMPUTED_VALUE"""),"")</f>
        <v/>
      </c>
      <c r="E4543" t="str">
        <f>IFERROR(__xludf.DUMMYFUNCTION("""COMPUTED_VALUE"""),"")</f>
        <v/>
      </c>
      <c r="F4543" t="str">
        <f>IFERROR(__xludf.DUMMYFUNCTION("""COMPUTED_VALUE"""),"")</f>
        <v/>
      </c>
      <c r="G4543" t="str">
        <f>IFERROR(__xludf.DUMMYFUNCTION("""COMPUTED_VALUE"""),"")</f>
        <v/>
      </c>
      <c r="H4543" s="2" t="str">
        <f>IFERROR(__xludf.DUMMYFUNCTION("""COMPUTED_VALUE"""),"")</f>
        <v/>
      </c>
      <c r="I4543" s="2" t="str">
        <f>IFERROR(__xludf.DUMMYFUNCTION("""COMPUTED_VALUE"""),"")</f>
        <v/>
      </c>
      <c r="J4543" s="2">
        <f>IFERROR(__xludf.DUMMYFUNCTION("""COMPUTED_VALUE"""),0.0)</f>
        <v>0</v>
      </c>
      <c r="K4543" s="5" t="str">
        <f>IFERROR(__xludf.DUMMYFUNCTION("""COMPUTED_VALUE"""),"")</f>
        <v/>
      </c>
      <c r="L4543" t="str">
        <f>IFERROR(__xludf.DUMMYFUNCTION("""COMPUTED_VALUE"""),"")</f>
        <v/>
      </c>
      <c r="M4543" t="str">
        <f>IFERROR(__xludf.DUMMYFUNCTION("""COMPUTED_VALUE"""),"")</f>
        <v/>
      </c>
      <c r="N4543" t="str">
        <f>IFERROR(__xludf.DUMMYFUNCTION("""COMPUTED_VALUE"""),"")</f>
        <v/>
      </c>
      <c r="O4543" t="str">
        <f>IFERROR(__xludf.DUMMYFUNCTION("""COMPUTED_VALUE"""),"")</f>
        <v/>
      </c>
      <c r="P4543" t="str">
        <f>IFERROR(__xludf.DUMMYFUNCTION("""COMPUTED_VALUE"""),"ID ")</f>
        <v>ID </v>
      </c>
    </row>
    <row r="4544">
      <c r="A4544" s="6" t="str">
        <f>IFERROR(__xludf.DUMMYFUNCTION("""COMPUTED_VALUE"""),"")</f>
        <v/>
      </c>
      <c r="C4544" t="str">
        <f>IFERROR(__xludf.DUMMYFUNCTION("""COMPUTED_VALUE"""),"")</f>
        <v/>
      </c>
      <c r="D4544" t="str">
        <f>IFERROR(__xludf.DUMMYFUNCTION("""COMPUTED_VALUE"""),"")</f>
        <v/>
      </c>
      <c r="E4544" t="str">
        <f>IFERROR(__xludf.DUMMYFUNCTION("""COMPUTED_VALUE"""),"")</f>
        <v/>
      </c>
      <c r="F4544" t="str">
        <f>IFERROR(__xludf.DUMMYFUNCTION("""COMPUTED_VALUE"""),"")</f>
        <v/>
      </c>
      <c r="G4544" t="str">
        <f>IFERROR(__xludf.DUMMYFUNCTION("""COMPUTED_VALUE"""),"")</f>
        <v/>
      </c>
      <c r="H4544" s="2" t="str">
        <f>IFERROR(__xludf.DUMMYFUNCTION("""COMPUTED_VALUE"""),"")</f>
        <v/>
      </c>
      <c r="I4544" s="2" t="str">
        <f>IFERROR(__xludf.DUMMYFUNCTION("""COMPUTED_VALUE"""),"")</f>
        <v/>
      </c>
      <c r="J4544" s="2">
        <f>IFERROR(__xludf.DUMMYFUNCTION("""COMPUTED_VALUE"""),0.0)</f>
        <v>0</v>
      </c>
      <c r="K4544" s="5" t="str">
        <f>IFERROR(__xludf.DUMMYFUNCTION("""COMPUTED_VALUE"""),"")</f>
        <v/>
      </c>
      <c r="L4544" t="str">
        <f>IFERROR(__xludf.DUMMYFUNCTION("""COMPUTED_VALUE"""),"")</f>
        <v/>
      </c>
      <c r="M4544" t="str">
        <f>IFERROR(__xludf.DUMMYFUNCTION("""COMPUTED_VALUE"""),"")</f>
        <v/>
      </c>
      <c r="N4544" t="str">
        <f>IFERROR(__xludf.DUMMYFUNCTION("""COMPUTED_VALUE"""),"")</f>
        <v/>
      </c>
      <c r="O4544" t="str">
        <f>IFERROR(__xludf.DUMMYFUNCTION("""COMPUTED_VALUE"""),"")</f>
        <v/>
      </c>
      <c r="P4544" t="str">
        <f>IFERROR(__xludf.DUMMYFUNCTION("""COMPUTED_VALUE"""),"ID ")</f>
        <v>ID </v>
      </c>
    </row>
    <row r="4545">
      <c r="A4545" s="6" t="str">
        <f>IFERROR(__xludf.DUMMYFUNCTION("""COMPUTED_VALUE"""),"")</f>
        <v/>
      </c>
      <c r="C4545" t="str">
        <f>IFERROR(__xludf.DUMMYFUNCTION("""COMPUTED_VALUE"""),"")</f>
        <v/>
      </c>
      <c r="D4545" t="str">
        <f>IFERROR(__xludf.DUMMYFUNCTION("""COMPUTED_VALUE"""),"")</f>
        <v/>
      </c>
      <c r="E4545" t="str">
        <f>IFERROR(__xludf.DUMMYFUNCTION("""COMPUTED_VALUE"""),"")</f>
        <v/>
      </c>
      <c r="F4545" t="str">
        <f>IFERROR(__xludf.DUMMYFUNCTION("""COMPUTED_VALUE"""),"")</f>
        <v/>
      </c>
      <c r="G4545" t="str">
        <f>IFERROR(__xludf.DUMMYFUNCTION("""COMPUTED_VALUE"""),"")</f>
        <v/>
      </c>
      <c r="H4545" s="2" t="str">
        <f>IFERROR(__xludf.DUMMYFUNCTION("""COMPUTED_VALUE"""),"")</f>
        <v/>
      </c>
      <c r="I4545" s="2" t="str">
        <f>IFERROR(__xludf.DUMMYFUNCTION("""COMPUTED_VALUE"""),"")</f>
        <v/>
      </c>
      <c r="J4545" s="2">
        <f>IFERROR(__xludf.DUMMYFUNCTION("""COMPUTED_VALUE"""),0.0)</f>
        <v>0</v>
      </c>
      <c r="K4545" s="5" t="str">
        <f>IFERROR(__xludf.DUMMYFUNCTION("""COMPUTED_VALUE"""),"")</f>
        <v/>
      </c>
      <c r="L4545" t="str">
        <f>IFERROR(__xludf.DUMMYFUNCTION("""COMPUTED_VALUE"""),"")</f>
        <v/>
      </c>
      <c r="M4545" t="str">
        <f>IFERROR(__xludf.DUMMYFUNCTION("""COMPUTED_VALUE"""),"")</f>
        <v/>
      </c>
      <c r="N4545" t="str">
        <f>IFERROR(__xludf.DUMMYFUNCTION("""COMPUTED_VALUE"""),"")</f>
        <v/>
      </c>
      <c r="O4545" t="str">
        <f>IFERROR(__xludf.DUMMYFUNCTION("""COMPUTED_VALUE"""),"")</f>
        <v/>
      </c>
      <c r="P4545" t="str">
        <f>IFERROR(__xludf.DUMMYFUNCTION("""COMPUTED_VALUE"""),"ID ")</f>
        <v>ID </v>
      </c>
    </row>
    <row r="4546">
      <c r="A4546" s="6" t="str">
        <f>IFERROR(__xludf.DUMMYFUNCTION("""COMPUTED_VALUE"""),"")</f>
        <v/>
      </c>
      <c r="C4546" t="str">
        <f>IFERROR(__xludf.DUMMYFUNCTION("""COMPUTED_VALUE"""),"")</f>
        <v/>
      </c>
      <c r="D4546" t="str">
        <f>IFERROR(__xludf.DUMMYFUNCTION("""COMPUTED_VALUE"""),"")</f>
        <v/>
      </c>
      <c r="E4546" t="str">
        <f>IFERROR(__xludf.DUMMYFUNCTION("""COMPUTED_VALUE"""),"")</f>
        <v/>
      </c>
      <c r="F4546" t="str">
        <f>IFERROR(__xludf.DUMMYFUNCTION("""COMPUTED_VALUE"""),"")</f>
        <v/>
      </c>
      <c r="G4546" t="str">
        <f>IFERROR(__xludf.DUMMYFUNCTION("""COMPUTED_VALUE"""),"")</f>
        <v/>
      </c>
      <c r="H4546" s="2" t="str">
        <f>IFERROR(__xludf.DUMMYFUNCTION("""COMPUTED_VALUE"""),"")</f>
        <v/>
      </c>
      <c r="I4546" s="2" t="str">
        <f>IFERROR(__xludf.DUMMYFUNCTION("""COMPUTED_VALUE"""),"")</f>
        <v/>
      </c>
      <c r="J4546" s="2">
        <f>IFERROR(__xludf.DUMMYFUNCTION("""COMPUTED_VALUE"""),0.0)</f>
        <v>0</v>
      </c>
      <c r="K4546" s="5" t="str">
        <f>IFERROR(__xludf.DUMMYFUNCTION("""COMPUTED_VALUE"""),"")</f>
        <v/>
      </c>
      <c r="L4546" t="str">
        <f>IFERROR(__xludf.DUMMYFUNCTION("""COMPUTED_VALUE"""),"")</f>
        <v/>
      </c>
      <c r="M4546" t="str">
        <f>IFERROR(__xludf.DUMMYFUNCTION("""COMPUTED_VALUE"""),"")</f>
        <v/>
      </c>
      <c r="N4546" t="str">
        <f>IFERROR(__xludf.DUMMYFUNCTION("""COMPUTED_VALUE"""),"")</f>
        <v/>
      </c>
      <c r="O4546" t="str">
        <f>IFERROR(__xludf.DUMMYFUNCTION("""COMPUTED_VALUE"""),"")</f>
        <v/>
      </c>
      <c r="P4546" t="str">
        <f>IFERROR(__xludf.DUMMYFUNCTION("""COMPUTED_VALUE"""),"ID ")</f>
        <v>ID </v>
      </c>
    </row>
    <row r="4547">
      <c r="A4547" s="6" t="str">
        <f>IFERROR(__xludf.DUMMYFUNCTION("""COMPUTED_VALUE"""),"")</f>
        <v/>
      </c>
      <c r="C4547" t="str">
        <f>IFERROR(__xludf.DUMMYFUNCTION("""COMPUTED_VALUE"""),"")</f>
        <v/>
      </c>
      <c r="D4547" t="str">
        <f>IFERROR(__xludf.DUMMYFUNCTION("""COMPUTED_VALUE"""),"")</f>
        <v/>
      </c>
      <c r="E4547" t="str">
        <f>IFERROR(__xludf.DUMMYFUNCTION("""COMPUTED_VALUE"""),"")</f>
        <v/>
      </c>
      <c r="F4547" t="str">
        <f>IFERROR(__xludf.DUMMYFUNCTION("""COMPUTED_VALUE"""),"")</f>
        <v/>
      </c>
      <c r="G4547" t="str">
        <f>IFERROR(__xludf.DUMMYFUNCTION("""COMPUTED_VALUE"""),"")</f>
        <v/>
      </c>
      <c r="H4547" s="2" t="str">
        <f>IFERROR(__xludf.DUMMYFUNCTION("""COMPUTED_VALUE"""),"")</f>
        <v/>
      </c>
      <c r="I4547" s="2" t="str">
        <f>IFERROR(__xludf.DUMMYFUNCTION("""COMPUTED_VALUE"""),"")</f>
        <v/>
      </c>
      <c r="J4547" s="2">
        <f>IFERROR(__xludf.DUMMYFUNCTION("""COMPUTED_VALUE"""),0.0)</f>
        <v>0</v>
      </c>
      <c r="K4547" s="5" t="str">
        <f>IFERROR(__xludf.DUMMYFUNCTION("""COMPUTED_VALUE"""),"")</f>
        <v/>
      </c>
      <c r="L4547" t="str">
        <f>IFERROR(__xludf.DUMMYFUNCTION("""COMPUTED_VALUE"""),"")</f>
        <v/>
      </c>
      <c r="M4547" t="str">
        <f>IFERROR(__xludf.DUMMYFUNCTION("""COMPUTED_VALUE"""),"")</f>
        <v/>
      </c>
      <c r="N4547" t="str">
        <f>IFERROR(__xludf.DUMMYFUNCTION("""COMPUTED_VALUE"""),"")</f>
        <v/>
      </c>
      <c r="O4547" t="str">
        <f>IFERROR(__xludf.DUMMYFUNCTION("""COMPUTED_VALUE"""),"")</f>
        <v/>
      </c>
      <c r="P4547" t="str">
        <f>IFERROR(__xludf.DUMMYFUNCTION("""COMPUTED_VALUE"""),"ID ")</f>
        <v>ID </v>
      </c>
    </row>
    <row r="4548">
      <c r="A4548" s="6" t="str">
        <f>IFERROR(__xludf.DUMMYFUNCTION("""COMPUTED_VALUE"""),"")</f>
        <v/>
      </c>
      <c r="C4548" t="str">
        <f>IFERROR(__xludf.DUMMYFUNCTION("""COMPUTED_VALUE"""),"")</f>
        <v/>
      </c>
      <c r="D4548" t="str">
        <f>IFERROR(__xludf.DUMMYFUNCTION("""COMPUTED_VALUE"""),"")</f>
        <v/>
      </c>
      <c r="E4548" t="str">
        <f>IFERROR(__xludf.DUMMYFUNCTION("""COMPUTED_VALUE"""),"")</f>
        <v/>
      </c>
      <c r="F4548" t="str">
        <f>IFERROR(__xludf.DUMMYFUNCTION("""COMPUTED_VALUE"""),"")</f>
        <v/>
      </c>
      <c r="G4548" t="str">
        <f>IFERROR(__xludf.DUMMYFUNCTION("""COMPUTED_VALUE"""),"")</f>
        <v/>
      </c>
      <c r="H4548" s="2" t="str">
        <f>IFERROR(__xludf.DUMMYFUNCTION("""COMPUTED_VALUE"""),"")</f>
        <v/>
      </c>
      <c r="I4548" s="2" t="str">
        <f>IFERROR(__xludf.DUMMYFUNCTION("""COMPUTED_VALUE"""),"")</f>
        <v/>
      </c>
      <c r="J4548" s="2">
        <f>IFERROR(__xludf.DUMMYFUNCTION("""COMPUTED_VALUE"""),0.0)</f>
        <v>0</v>
      </c>
      <c r="K4548" s="5" t="str">
        <f>IFERROR(__xludf.DUMMYFUNCTION("""COMPUTED_VALUE"""),"")</f>
        <v/>
      </c>
      <c r="L4548" t="str">
        <f>IFERROR(__xludf.DUMMYFUNCTION("""COMPUTED_VALUE"""),"")</f>
        <v/>
      </c>
      <c r="M4548" t="str">
        <f>IFERROR(__xludf.DUMMYFUNCTION("""COMPUTED_VALUE"""),"")</f>
        <v/>
      </c>
      <c r="N4548" t="str">
        <f>IFERROR(__xludf.DUMMYFUNCTION("""COMPUTED_VALUE"""),"")</f>
        <v/>
      </c>
      <c r="O4548" t="str">
        <f>IFERROR(__xludf.DUMMYFUNCTION("""COMPUTED_VALUE"""),"")</f>
        <v/>
      </c>
      <c r="P4548" t="str">
        <f>IFERROR(__xludf.DUMMYFUNCTION("""COMPUTED_VALUE"""),"ID ")</f>
        <v>ID </v>
      </c>
    </row>
    <row r="4549">
      <c r="A4549" s="6" t="str">
        <f>IFERROR(__xludf.DUMMYFUNCTION("""COMPUTED_VALUE"""),"")</f>
        <v/>
      </c>
      <c r="C4549" t="str">
        <f>IFERROR(__xludf.DUMMYFUNCTION("""COMPUTED_VALUE"""),"")</f>
        <v/>
      </c>
      <c r="D4549" t="str">
        <f>IFERROR(__xludf.DUMMYFUNCTION("""COMPUTED_VALUE"""),"")</f>
        <v/>
      </c>
      <c r="E4549" t="str">
        <f>IFERROR(__xludf.DUMMYFUNCTION("""COMPUTED_VALUE"""),"")</f>
        <v/>
      </c>
      <c r="F4549" t="str">
        <f>IFERROR(__xludf.DUMMYFUNCTION("""COMPUTED_VALUE"""),"")</f>
        <v/>
      </c>
      <c r="G4549" t="str">
        <f>IFERROR(__xludf.DUMMYFUNCTION("""COMPUTED_VALUE"""),"")</f>
        <v/>
      </c>
      <c r="H4549" s="2" t="str">
        <f>IFERROR(__xludf.DUMMYFUNCTION("""COMPUTED_VALUE"""),"")</f>
        <v/>
      </c>
      <c r="I4549" s="2" t="str">
        <f>IFERROR(__xludf.DUMMYFUNCTION("""COMPUTED_VALUE"""),"")</f>
        <v/>
      </c>
      <c r="J4549" s="2">
        <f>IFERROR(__xludf.DUMMYFUNCTION("""COMPUTED_VALUE"""),0.0)</f>
        <v>0</v>
      </c>
      <c r="K4549" s="5" t="str">
        <f>IFERROR(__xludf.DUMMYFUNCTION("""COMPUTED_VALUE"""),"")</f>
        <v/>
      </c>
      <c r="L4549" t="str">
        <f>IFERROR(__xludf.DUMMYFUNCTION("""COMPUTED_VALUE"""),"")</f>
        <v/>
      </c>
      <c r="M4549" t="str">
        <f>IFERROR(__xludf.DUMMYFUNCTION("""COMPUTED_VALUE"""),"")</f>
        <v/>
      </c>
      <c r="N4549" t="str">
        <f>IFERROR(__xludf.DUMMYFUNCTION("""COMPUTED_VALUE"""),"")</f>
        <v/>
      </c>
      <c r="O4549" t="str">
        <f>IFERROR(__xludf.DUMMYFUNCTION("""COMPUTED_VALUE"""),"")</f>
        <v/>
      </c>
      <c r="P4549" t="str">
        <f>IFERROR(__xludf.DUMMYFUNCTION("""COMPUTED_VALUE"""),"ID ")</f>
        <v>ID </v>
      </c>
    </row>
    <row r="4550">
      <c r="A4550" s="6" t="str">
        <f>IFERROR(__xludf.DUMMYFUNCTION("""COMPUTED_VALUE"""),"")</f>
        <v/>
      </c>
      <c r="C4550" t="str">
        <f>IFERROR(__xludf.DUMMYFUNCTION("""COMPUTED_VALUE"""),"")</f>
        <v/>
      </c>
      <c r="D4550" t="str">
        <f>IFERROR(__xludf.DUMMYFUNCTION("""COMPUTED_VALUE"""),"")</f>
        <v/>
      </c>
      <c r="E4550" t="str">
        <f>IFERROR(__xludf.DUMMYFUNCTION("""COMPUTED_VALUE"""),"")</f>
        <v/>
      </c>
      <c r="F4550" t="str">
        <f>IFERROR(__xludf.DUMMYFUNCTION("""COMPUTED_VALUE"""),"")</f>
        <v/>
      </c>
      <c r="G4550" t="str">
        <f>IFERROR(__xludf.DUMMYFUNCTION("""COMPUTED_VALUE"""),"")</f>
        <v/>
      </c>
      <c r="H4550" s="2" t="str">
        <f>IFERROR(__xludf.DUMMYFUNCTION("""COMPUTED_VALUE"""),"")</f>
        <v/>
      </c>
      <c r="I4550" s="2" t="str">
        <f>IFERROR(__xludf.DUMMYFUNCTION("""COMPUTED_VALUE"""),"")</f>
        <v/>
      </c>
      <c r="J4550" s="2">
        <f>IFERROR(__xludf.DUMMYFUNCTION("""COMPUTED_VALUE"""),0.0)</f>
        <v>0</v>
      </c>
      <c r="K4550" s="5" t="str">
        <f>IFERROR(__xludf.DUMMYFUNCTION("""COMPUTED_VALUE"""),"")</f>
        <v/>
      </c>
      <c r="L4550" t="str">
        <f>IFERROR(__xludf.DUMMYFUNCTION("""COMPUTED_VALUE"""),"")</f>
        <v/>
      </c>
      <c r="M4550" t="str">
        <f>IFERROR(__xludf.DUMMYFUNCTION("""COMPUTED_VALUE"""),"")</f>
        <v/>
      </c>
      <c r="N4550" t="str">
        <f>IFERROR(__xludf.DUMMYFUNCTION("""COMPUTED_VALUE"""),"")</f>
        <v/>
      </c>
      <c r="O4550" t="str">
        <f>IFERROR(__xludf.DUMMYFUNCTION("""COMPUTED_VALUE"""),"")</f>
        <v/>
      </c>
      <c r="P4550" t="str">
        <f>IFERROR(__xludf.DUMMYFUNCTION("""COMPUTED_VALUE"""),"ID ")</f>
        <v>ID </v>
      </c>
    </row>
    <row r="4551">
      <c r="A4551" s="6" t="str">
        <f>IFERROR(__xludf.DUMMYFUNCTION("""COMPUTED_VALUE"""),"")</f>
        <v/>
      </c>
      <c r="C4551" t="str">
        <f>IFERROR(__xludf.DUMMYFUNCTION("""COMPUTED_VALUE"""),"")</f>
        <v/>
      </c>
      <c r="D4551" t="str">
        <f>IFERROR(__xludf.DUMMYFUNCTION("""COMPUTED_VALUE"""),"")</f>
        <v/>
      </c>
      <c r="E4551" t="str">
        <f>IFERROR(__xludf.DUMMYFUNCTION("""COMPUTED_VALUE"""),"")</f>
        <v/>
      </c>
      <c r="F4551" t="str">
        <f>IFERROR(__xludf.DUMMYFUNCTION("""COMPUTED_VALUE"""),"")</f>
        <v/>
      </c>
      <c r="G4551" t="str">
        <f>IFERROR(__xludf.DUMMYFUNCTION("""COMPUTED_VALUE"""),"")</f>
        <v/>
      </c>
      <c r="H4551" s="2" t="str">
        <f>IFERROR(__xludf.DUMMYFUNCTION("""COMPUTED_VALUE"""),"")</f>
        <v/>
      </c>
      <c r="I4551" s="2" t="str">
        <f>IFERROR(__xludf.DUMMYFUNCTION("""COMPUTED_VALUE"""),"")</f>
        <v/>
      </c>
      <c r="J4551" s="2">
        <f>IFERROR(__xludf.DUMMYFUNCTION("""COMPUTED_VALUE"""),0.0)</f>
        <v>0</v>
      </c>
      <c r="K4551" s="5" t="str">
        <f>IFERROR(__xludf.DUMMYFUNCTION("""COMPUTED_VALUE"""),"")</f>
        <v/>
      </c>
      <c r="L4551" t="str">
        <f>IFERROR(__xludf.DUMMYFUNCTION("""COMPUTED_VALUE"""),"")</f>
        <v/>
      </c>
      <c r="M4551" t="str">
        <f>IFERROR(__xludf.DUMMYFUNCTION("""COMPUTED_VALUE"""),"")</f>
        <v/>
      </c>
      <c r="N4551" t="str">
        <f>IFERROR(__xludf.DUMMYFUNCTION("""COMPUTED_VALUE"""),"")</f>
        <v/>
      </c>
      <c r="O4551" t="str">
        <f>IFERROR(__xludf.DUMMYFUNCTION("""COMPUTED_VALUE"""),"")</f>
        <v/>
      </c>
      <c r="P4551" t="str">
        <f>IFERROR(__xludf.DUMMYFUNCTION("""COMPUTED_VALUE"""),"ID ")</f>
        <v>ID </v>
      </c>
    </row>
    <row r="4552">
      <c r="A4552" s="6" t="str">
        <f>IFERROR(__xludf.DUMMYFUNCTION("""COMPUTED_VALUE"""),"")</f>
        <v/>
      </c>
      <c r="C4552" t="str">
        <f>IFERROR(__xludf.DUMMYFUNCTION("""COMPUTED_VALUE"""),"")</f>
        <v/>
      </c>
      <c r="D4552" t="str">
        <f>IFERROR(__xludf.DUMMYFUNCTION("""COMPUTED_VALUE"""),"")</f>
        <v/>
      </c>
      <c r="E4552" t="str">
        <f>IFERROR(__xludf.DUMMYFUNCTION("""COMPUTED_VALUE"""),"")</f>
        <v/>
      </c>
      <c r="F4552" t="str">
        <f>IFERROR(__xludf.DUMMYFUNCTION("""COMPUTED_VALUE"""),"")</f>
        <v/>
      </c>
      <c r="G4552" t="str">
        <f>IFERROR(__xludf.DUMMYFUNCTION("""COMPUTED_VALUE"""),"")</f>
        <v/>
      </c>
      <c r="H4552" s="2" t="str">
        <f>IFERROR(__xludf.DUMMYFUNCTION("""COMPUTED_VALUE"""),"")</f>
        <v/>
      </c>
      <c r="I4552" s="2" t="str">
        <f>IFERROR(__xludf.DUMMYFUNCTION("""COMPUTED_VALUE"""),"")</f>
        <v/>
      </c>
      <c r="J4552" s="2">
        <f>IFERROR(__xludf.DUMMYFUNCTION("""COMPUTED_VALUE"""),0.0)</f>
        <v>0</v>
      </c>
      <c r="K4552" s="5" t="str">
        <f>IFERROR(__xludf.DUMMYFUNCTION("""COMPUTED_VALUE"""),"")</f>
        <v/>
      </c>
      <c r="L4552" t="str">
        <f>IFERROR(__xludf.DUMMYFUNCTION("""COMPUTED_VALUE"""),"")</f>
        <v/>
      </c>
      <c r="M4552" t="str">
        <f>IFERROR(__xludf.DUMMYFUNCTION("""COMPUTED_VALUE"""),"")</f>
        <v/>
      </c>
      <c r="N4552" t="str">
        <f>IFERROR(__xludf.DUMMYFUNCTION("""COMPUTED_VALUE"""),"")</f>
        <v/>
      </c>
      <c r="O4552" t="str">
        <f>IFERROR(__xludf.DUMMYFUNCTION("""COMPUTED_VALUE"""),"")</f>
        <v/>
      </c>
      <c r="P4552" t="str">
        <f>IFERROR(__xludf.DUMMYFUNCTION("""COMPUTED_VALUE"""),"ID ")</f>
        <v>ID </v>
      </c>
    </row>
    <row r="4553">
      <c r="A4553" s="6" t="str">
        <f>IFERROR(__xludf.DUMMYFUNCTION("""COMPUTED_VALUE"""),"")</f>
        <v/>
      </c>
      <c r="C4553" t="str">
        <f>IFERROR(__xludf.DUMMYFUNCTION("""COMPUTED_VALUE"""),"")</f>
        <v/>
      </c>
      <c r="D4553" t="str">
        <f>IFERROR(__xludf.DUMMYFUNCTION("""COMPUTED_VALUE"""),"")</f>
        <v/>
      </c>
      <c r="E4553" t="str">
        <f>IFERROR(__xludf.DUMMYFUNCTION("""COMPUTED_VALUE"""),"")</f>
        <v/>
      </c>
      <c r="F4553" t="str">
        <f>IFERROR(__xludf.DUMMYFUNCTION("""COMPUTED_VALUE"""),"")</f>
        <v/>
      </c>
      <c r="G4553" t="str">
        <f>IFERROR(__xludf.DUMMYFUNCTION("""COMPUTED_VALUE"""),"")</f>
        <v/>
      </c>
      <c r="H4553" s="2" t="str">
        <f>IFERROR(__xludf.DUMMYFUNCTION("""COMPUTED_VALUE"""),"")</f>
        <v/>
      </c>
      <c r="I4553" s="2" t="str">
        <f>IFERROR(__xludf.DUMMYFUNCTION("""COMPUTED_VALUE"""),"")</f>
        <v/>
      </c>
      <c r="J4553" s="2">
        <f>IFERROR(__xludf.DUMMYFUNCTION("""COMPUTED_VALUE"""),0.0)</f>
        <v>0</v>
      </c>
      <c r="K4553" s="5" t="str">
        <f>IFERROR(__xludf.DUMMYFUNCTION("""COMPUTED_VALUE"""),"")</f>
        <v/>
      </c>
      <c r="L4553" t="str">
        <f>IFERROR(__xludf.DUMMYFUNCTION("""COMPUTED_VALUE"""),"")</f>
        <v/>
      </c>
      <c r="M4553" t="str">
        <f>IFERROR(__xludf.DUMMYFUNCTION("""COMPUTED_VALUE"""),"")</f>
        <v/>
      </c>
      <c r="N4553" t="str">
        <f>IFERROR(__xludf.DUMMYFUNCTION("""COMPUTED_VALUE"""),"")</f>
        <v/>
      </c>
      <c r="O4553" t="str">
        <f>IFERROR(__xludf.DUMMYFUNCTION("""COMPUTED_VALUE"""),"")</f>
        <v/>
      </c>
      <c r="P4553" t="str">
        <f>IFERROR(__xludf.DUMMYFUNCTION("""COMPUTED_VALUE"""),"ID ")</f>
        <v>ID </v>
      </c>
    </row>
    <row r="4554">
      <c r="A4554" s="6" t="str">
        <f>IFERROR(__xludf.DUMMYFUNCTION("""COMPUTED_VALUE"""),"")</f>
        <v/>
      </c>
      <c r="C4554" t="str">
        <f>IFERROR(__xludf.DUMMYFUNCTION("""COMPUTED_VALUE"""),"")</f>
        <v/>
      </c>
      <c r="D4554" t="str">
        <f>IFERROR(__xludf.DUMMYFUNCTION("""COMPUTED_VALUE"""),"")</f>
        <v/>
      </c>
      <c r="E4554" t="str">
        <f>IFERROR(__xludf.DUMMYFUNCTION("""COMPUTED_VALUE"""),"")</f>
        <v/>
      </c>
      <c r="F4554" t="str">
        <f>IFERROR(__xludf.DUMMYFUNCTION("""COMPUTED_VALUE"""),"")</f>
        <v/>
      </c>
      <c r="G4554" t="str">
        <f>IFERROR(__xludf.DUMMYFUNCTION("""COMPUTED_VALUE"""),"")</f>
        <v/>
      </c>
      <c r="H4554" s="2" t="str">
        <f>IFERROR(__xludf.DUMMYFUNCTION("""COMPUTED_VALUE"""),"")</f>
        <v/>
      </c>
      <c r="I4554" s="2" t="str">
        <f>IFERROR(__xludf.DUMMYFUNCTION("""COMPUTED_VALUE"""),"")</f>
        <v/>
      </c>
      <c r="J4554" s="2">
        <f>IFERROR(__xludf.DUMMYFUNCTION("""COMPUTED_VALUE"""),0.0)</f>
        <v>0</v>
      </c>
      <c r="K4554" s="5" t="str">
        <f>IFERROR(__xludf.DUMMYFUNCTION("""COMPUTED_VALUE"""),"")</f>
        <v/>
      </c>
      <c r="L4554" t="str">
        <f>IFERROR(__xludf.DUMMYFUNCTION("""COMPUTED_VALUE"""),"")</f>
        <v/>
      </c>
      <c r="M4554" t="str">
        <f>IFERROR(__xludf.DUMMYFUNCTION("""COMPUTED_VALUE"""),"")</f>
        <v/>
      </c>
      <c r="N4554" t="str">
        <f>IFERROR(__xludf.DUMMYFUNCTION("""COMPUTED_VALUE"""),"")</f>
        <v/>
      </c>
      <c r="O4554" t="str">
        <f>IFERROR(__xludf.DUMMYFUNCTION("""COMPUTED_VALUE"""),"")</f>
        <v/>
      </c>
      <c r="P4554" t="str">
        <f>IFERROR(__xludf.DUMMYFUNCTION("""COMPUTED_VALUE"""),"ID ")</f>
        <v>ID </v>
      </c>
    </row>
    <row r="4555">
      <c r="A4555" s="6" t="str">
        <f>IFERROR(__xludf.DUMMYFUNCTION("""COMPUTED_VALUE"""),"")</f>
        <v/>
      </c>
      <c r="C4555" t="str">
        <f>IFERROR(__xludf.DUMMYFUNCTION("""COMPUTED_VALUE"""),"")</f>
        <v/>
      </c>
      <c r="D4555" t="str">
        <f>IFERROR(__xludf.DUMMYFUNCTION("""COMPUTED_VALUE"""),"")</f>
        <v/>
      </c>
      <c r="E4555" t="str">
        <f>IFERROR(__xludf.DUMMYFUNCTION("""COMPUTED_VALUE"""),"")</f>
        <v/>
      </c>
      <c r="F4555" t="str">
        <f>IFERROR(__xludf.DUMMYFUNCTION("""COMPUTED_VALUE"""),"")</f>
        <v/>
      </c>
      <c r="G4555" t="str">
        <f>IFERROR(__xludf.DUMMYFUNCTION("""COMPUTED_VALUE"""),"")</f>
        <v/>
      </c>
      <c r="H4555" s="2" t="str">
        <f>IFERROR(__xludf.DUMMYFUNCTION("""COMPUTED_VALUE"""),"")</f>
        <v/>
      </c>
      <c r="I4555" s="2" t="str">
        <f>IFERROR(__xludf.DUMMYFUNCTION("""COMPUTED_VALUE"""),"")</f>
        <v/>
      </c>
      <c r="J4555" s="2">
        <f>IFERROR(__xludf.DUMMYFUNCTION("""COMPUTED_VALUE"""),0.0)</f>
        <v>0</v>
      </c>
      <c r="K4555" s="5" t="str">
        <f>IFERROR(__xludf.DUMMYFUNCTION("""COMPUTED_VALUE"""),"")</f>
        <v/>
      </c>
      <c r="L4555" t="str">
        <f>IFERROR(__xludf.DUMMYFUNCTION("""COMPUTED_VALUE"""),"")</f>
        <v/>
      </c>
      <c r="M4555" t="str">
        <f>IFERROR(__xludf.DUMMYFUNCTION("""COMPUTED_VALUE"""),"")</f>
        <v/>
      </c>
      <c r="N4555" t="str">
        <f>IFERROR(__xludf.DUMMYFUNCTION("""COMPUTED_VALUE"""),"")</f>
        <v/>
      </c>
      <c r="O4555" t="str">
        <f>IFERROR(__xludf.DUMMYFUNCTION("""COMPUTED_VALUE"""),"")</f>
        <v/>
      </c>
      <c r="P4555" t="str">
        <f>IFERROR(__xludf.DUMMYFUNCTION("""COMPUTED_VALUE"""),"ID ")</f>
        <v>ID </v>
      </c>
    </row>
    <row r="4556">
      <c r="A4556" s="6" t="str">
        <f>IFERROR(__xludf.DUMMYFUNCTION("""COMPUTED_VALUE"""),"")</f>
        <v/>
      </c>
      <c r="C4556" t="str">
        <f>IFERROR(__xludf.DUMMYFUNCTION("""COMPUTED_VALUE"""),"")</f>
        <v/>
      </c>
      <c r="D4556" t="str">
        <f>IFERROR(__xludf.DUMMYFUNCTION("""COMPUTED_VALUE"""),"")</f>
        <v/>
      </c>
      <c r="E4556" t="str">
        <f>IFERROR(__xludf.DUMMYFUNCTION("""COMPUTED_VALUE"""),"")</f>
        <v/>
      </c>
      <c r="F4556" t="str">
        <f>IFERROR(__xludf.DUMMYFUNCTION("""COMPUTED_VALUE"""),"")</f>
        <v/>
      </c>
      <c r="G4556" t="str">
        <f>IFERROR(__xludf.DUMMYFUNCTION("""COMPUTED_VALUE"""),"")</f>
        <v/>
      </c>
      <c r="H4556" s="2" t="str">
        <f>IFERROR(__xludf.DUMMYFUNCTION("""COMPUTED_VALUE"""),"")</f>
        <v/>
      </c>
      <c r="I4556" s="2" t="str">
        <f>IFERROR(__xludf.DUMMYFUNCTION("""COMPUTED_VALUE"""),"")</f>
        <v/>
      </c>
      <c r="J4556" s="2">
        <f>IFERROR(__xludf.DUMMYFUNCTION("""COMPUTED_VALUE"""),0.0)</f>
        <v>0</v>
      </c>
      <c r="K4556" s="5" t="str">
        <f>IFERROR(__xludf.DUMMYFUNCTION("""COMPUTED_VALUE"""),"")</f>
        <v/>
      </c>
      <c r="L4556" t="str">
        <f>IFERROR(__xludf.DUMMYFUNCTION("""COMPUTED_VALUE"""),"")</f>
        <v/>
      </c>
      <c r="M4556" t="str">
        <f>IFERROR(__xludf.DUMMYFUNCTION("""COMPUTED_VALUE"""),"")</f>
        <v/>
      </c>
      <c r="N4556" t="str">
        <f>IFERROR(__xludf.DUMMYFUNCTION("""COMPUTED_VALUE"""),"")</f>
        <v/>
      </c>
      <c r="O4556" t="str">
        <f>IFERROR(__xludf.DUMMYFUNCTION("""COMPUTED_VALUE"""),"")</f>
        <v/>
      </c>
      <c r="P4556" t="str">
        <f>IFERROR(__xludf.DUMMYFUNCTION("""COMPUTED_VALUE"""),"ID ")</f>
        <v>ID </v>
      </c>
    </row>
    <row r="4557">
      <c r="A4557" s="6" t="str">
        <f>IFERROR(__xludf.DUMMYFUNCTION("""COMPUTED_VALUE"""),"")</f>
        <v/>
      </c>
      <c r="C4557" t="str">
        <f>IFERROR(__xludf.DUMMYFUNCTION("""COMPUTED_VALUE"""),"")</f>
        <v/>
      </c>
      <c r="D4557" t="str">
        <f>IFERROR(__xludf.DUMMYFUNCTION("""COMPUTED_VALUE"""),"")</f>
        <v/>
      </c>
      <c r="E4557" t="str">
        <f>IFERROR(__xludf.DUMMYFUNCTION("""COMPUTED_VALUE"""),"")</f>
        <v/>
      </c>
      <c r="F4557" t="str">
        <f>IFERROR(__xludf.DUMMYFUNCTION("""COMPUTED_VALUE"""),"")</f>
        <v/>
      </c>
      <c r="G4557" t="str">
        <f>IFERROR(__xludf.DUMMYFUNCTION("""COMPUTED_VALUE"""),"")</f>
        <v/>
      </c>
      <c r="H4557" s="2" t="str">
        <f>IFERROR(__xludf.DUMMYFUNCTION("""COMPUTED_VALUE"""),"")</f>
        <v/>
      </c>
      <c r="I4557" s="2" t="str">
        <f>IFERROR(__xludf.DUMMYFUNCTION("""COMPUTED_VALUE"""),"")</f>
        <v/>
      </c>
      <c r="J4557" s="2">
        <f>IFERROR(__xludf.DUMMYFUNCTION("""COMPUTED_VALUE"""),0.0)</f>
        <v>0</v>
      </c>
      <c r="K4557" s="5" t="str">
        <f>IFERROR(__xludf.DUMMYFUNCTION("""COMPUTED_VALUE"""),"")</f>
        <v/>
      </c>
      <c r="L4557" t="str">
        <f>IFERROR(__xludf.DUMMYFUNCTION("""COMPUTED_VALUE"""),"")</f>
        <v/>
      </c>
      <c r="M4557" t="str">
        <f>IFERROR(__xludf.DUMMYFUNCTION("""COMPUTED_VALUE"""),"")</f>
        <v/>
      </c>
      <c r="N4557" t="str">
        <f>IFERROR(__xludf.DUMMYFUNCTION("""COMPUTED_VALUE"""),"")</f>
        <v/>
      </c>
      <c r="O4557" t="str">
        <f>IFERROR(__xludf.DUMMYFUNCTION("""COMPUTED_VALUE"""),"")</f>
        <v/>
      </c>
      <c r="P4557" t="str">
        <f>IFERROR(__xludf.DUMMYFUNCTION("""COMPUTED_VALUE"""),"ID ")</f>
        <v>ID </v>
      </c>
    </row>
    <row r="4558">
      <c r="A4558" s="6" t="str">
        <f>IFERROR(__xludf.DUMMYFUNCTION("""COMPUTED_VALUE"""),"")</f>
        <v/>
      </c>
      <c r="C4558" t="str">
        <f>IFERROR(__xludf.DUMMYFUNCTION("""COMPUTED_VALUE"""),"")</f>
        <v/>
      </c>
      <c r="D4558" t="str">
        <f>IFERROR(__xludf.DUMMYFUNCTION("""COMPUTED_VALUE"""),"")</f>
        <v/>
      </c>
      <c r="E4558" t="str">
        <f>IFERROR(__xludf.DUMMYFUNCTION("""COMPUTED_VALUE"""),"")</f>
        <v/>
      </c>
      <c r="F4558" t="str">
        <f>IFERROR(__xludf.DUMMYFUNCTION("""COMPUTED_VALUE"""),"")</f>
        <v/>
      </c>
      <c r="G4558" t="str">
        <f>IFERROR(__xludf.DUMMYFUNCTION("""COMPUTED_VALUE"""),"")</f>
        <v/>
      </c>
      <c r="H4558" s="2" t="str">
        <f>IFERROR(__xludf.DUMMYFUNCTION("""COMPUTED_VALUE"""),"")</f>
        <v/>
      </c>
      <c r="I4558" s="2" t="str">
        <f>IFERROR(__xludf.DUMMYFUNCTION("""COMPUTED_VALUE"""),"")</f>
        <v/>
      </c>
      <c r="J4558" s="2">
        <f>IFERROR(__xludf.DUMMYFUNCTION("""COMPUTED_VALUE"""),0.0)</f>
        <v>0</v>
      </c>
      <c r="K4558" s="5" t="str">
        <f>IFERROR(__xludf.DUMMYFUNCTION("""COMPUTED_VALUE"""),"")</f>
        <v/>
      </c>
      <c r="L4558" t="str">
        <f>IFERROR(__xludf.DUMMYFUNCTION("""COMPUTED_VALUE"""),"")</f>
        <v/>
      </c>
      <c r="M4558" t="str">
        <f>IFERROR(__xludf.DUMMYFUNCTION("""COMPUTED_VALUE"""),"")</f>
        <v/>
      </c>
      <c r="N4558" t="str">
        <f>IFERROR(__xludf.DUMMYFUNCTION("""COMPUTED_VALUE"""),"")</f>
        <v/>
      </c>
      <c r="O4558" t="str">
        <f>IFERROR(__xludf.DUMMYFUNCTION("""COMPUTED_VALUE"""),"")</f>
        <v/>
      </c>
      <c r="P4558" t="str">
        <f>IFERROR(__xludf.DUMMYFUNCTION("""COMPUTED_VALUE"""),"ID ")</f>
        <v>ID </v>
      </c>
    </row>
    <row r="4559">
      <c r="A4559" s="6" t="str">
        <f>IFERROR(__xludf.DUMMYFUNCTION("""COMPUTED_VALUE"""),"")</f>
        <v/>
      </c>
      <c r="C4559" t="str">
        <f>IFERROR(__xludf.DUMMYFUNCTION("""COMPUTED_VALUE"""),"")</f>
        <v/>
      </c>
      <c r="D4559" t="str">
        <f>IFERROR(__xludf.DUMMYFUNCTION("""COMPUTED_VALUE"""),"")</f>
        <v/>
      </c>
      <c r="E4559" t="str">
        <f>IFERROR(__xludf.DUMMYFUNCTION("""COMPUTED_VALUE"""),"")</f>
        <v/>
      </c>
      <c r="F4559" t="str">
        <f>IFERROR(__xludf.DUMMYFUNCTION("""COMPUTED_VALUE"""),"")</f>
        <v/>
      </c>
      <c r="G4559" t="str">
        <f>IFERROR(__xludf.DUMMYFUNCTION("""COMPUTED_VALUE"""),"")</f>
        <v/>
      </c>
      <c r="H4559" s="2" t="str">
        <f>IFERROR(__xludf.DUMMYFUNCTION("""COMPUTED_VALUE"""),"")</f>
        <v/>
      </c>
      <c r="I4559" s="2" t="str">
        <f>IFERROR(__xludf.DUMMYFUNCTION("""COMPUTED_VALUE"""),"")</f>
        <v/>
      </c>
      <c r="J4559" s="2">
        <f>IFERROR(__xludf.DUMMYFUNCTION("""COMPUTED_VALUE"""),0.0)</f>
        <v>0</v>
      </c>
      <c r="K4559" s="5" t="str">
        <f>IFERROR(__xludf.DUMMYFUNCTION("""COMPUTED_VALUE"""),"")</f>
        <v/>
      </c>
      <c r="L4559" t="str">
        <f>IFERROR(__xludf.DUMMYFUNCTION("""COMPUTED_VALUE"""),"")</f>
        <v/>
      </c>
      <c r="M4559" t="str">
        <f>IFERROR(__xludf.DUMMYFUNCTION("""COMPUTED_VALUE"""),"")</f>
        <v/>
      </c>
      <c r="N4559" t="str">
        <f>IFERROR(__xludf.DUMMYFUNCTION("""COMPUTED_VALUE"""),"")</f>
        <v/>
      </c>
      <c r="O4559" t="str">
        <f>IFERROR(__xludf.DUMMYFUNCTION("""COMPUTED_VALUE"""),"")</f>
        <v/>
      </c>
      <c r="P4559" t="str">
        <f>IFERROR(__xludf.DUMMYFUNCTION("""COMPUTED_VALUE"""),"ID ")</f>
        <v>ID </v>
      </c>
    </row>
    <row r="4560">
      <c r="A4560" s="6" t="str">
        <f>IFERROR(__xludf.DUMMYFUNCTION("""COMPUTED_VALUE"""),"")</f>
        <v/>
      </c>
      <c r="C4560" t="str">
        <f>IFERROR(__xludf.DUMMYFUNCTION("""COMPUTED_VALUE"""),"")</f>
        <v/>
      </c>
      <c r="D4560" t="str">
        <f>IFERROR(__xludf.DUMMYFUNCTION("""COMPUTED_VALUE"""),"")</f>
        <v/>
      </c>
      <c r="E4560" t="str">
        <f>IFERROR(__xludf.DUMMYFUNCTION("""COMPUTED_VALUE"""),"")</f>
        <v/>
      </c>
      <c r="F4560" t="str">
        <f>IFERROR(__xludf.DUMMYFUNCTION("""COMPUTED_VALUE"""),"")</f>
        <v/>
      </c>
      <c r="G4560" t="str">
        <f>IFERROR(__xludf.DUMMYFUNCTION("""COMPUTED_VALUE"""),"")</f>
        <v/>
      </c>
      <c r="H4560" s="2" t="str">
        <f>IFERROR(__xludf.DUMMYFUNCTION("""COMPUTED_VALUE"""),"")</f>
        <v/>
      </c>
      <c r="I4560" s="2" t="str">
        <f>IFERROR(__xludf.DUMMYFUNCTION("""COMPUTED_VALUE"""),"")</f>
        <v/>
      </c>
      <c r="J4560" s="2">
        <f>IFERROR(__xludf.DUMMYFUNCTION("""COMPUTED_VALUE"""),0.0)</f>
        <v>0</v>
      </c>
      <c r="K4560" s="5" t="str">
        <f>IFERROR(__xludf.DUMMYFUNCTION("""COMPUTED_VALUE"""),"")</f>
        <v/>
      </c>
      <c r="L4560" t="str">
        <f>IFERROR(__xludf.DUMMYFUNCTION("""COMPUTED_VALUE"""),"")</f>
        <v/>
      </c>
      <c r="M4560" t="str">
        <f>IFERROR(__xludf.DUMMYFUNCTION("""COMPUTED_VALUE"""),"")</f>
        <v/>
      </c>
      <c r="N4560" t="str">
        <f>IFERROR(__xludf.DUMMYFUNCTION("""COMPUTED_VALUE"""),"")</f>
        <v/>
      </c>
      <c r="O4560" t="str">
        <f>IFERROR(__xludf.DUMMYFUNCTION("""COMPUTED_VALUE"""),"")</f>
        <v/>
      </c>
      <c r="P4560" t="str">
        <f>IFERROR(__xludf.DUMMYFUNCTION("""COMPUTED_VALUE"""),"ID ")</f>
        <v>ID </v>
      </c>
    </row>
    <row r="4561">
      <c r="A4561" s="6" t="str">
        <f>IFERROR(__xludf.DUMMYFUNCTION("""COMPUTED_VALUE"""),"")</f>
        <v/>
      </c>
      <c r="C4561" t="str">
        <f>IFERROR(__xludf.DUMMYFUNCTION("""COMPUTED_VALUE"""),"")</f>
        <v/>
      </c>
      <c r="D4561" t="str">
        <f>IFERROR(__xludf.DUMMYFUNCTION("""COMPUTED_VALUE"""),"")</f>
        <v/>
      </c>
      <c r="E4561" t="str">
        <f>IFERROR(__xludf.DUMMYFUNCTION("""COMPUTED_VALUE"""),"")</f>
        <v/>
      </c>
      <c r="F4561" t="str">
        <f>IFERROR(__xludf.DUMMYFUNCTION("""COMPUTED_VALUE"""),"")</f>
        <v/>
      </c>
      <c r="G4561" t="str">
        <f>IFERROR(__xludf.DUMMYFUNCTION("""COMPUTED_VALUE"""),"")</f>
        <v/>
      </c>
      <c r="H4561" s="2" t="str">
        <f>IFERROR(__xludf.DUMMYFUNCTION("""COMPUTED_VALUE"""),"")</f>
        <v/>
      </c>
      <c r="I4561" s="2" t="str">
        <f>IFERROR(__xludf.DUMMYFUNCTION("""COMPUTED_VALUE"""),"")</f>
        <v/>
      </c>
      <c r="J4561" s="2">
        <f>IFERROR(__xludf.DUMMYFUNCTION("""COMPUTED_VALUE"""),0.0)</f>
        <v>0</v>
      </c>
      <c r="K4561" s="5" t="str">
        <f>IFERROR(__xludf.DUMMYFUNCTION("""COMPUTED_VALUE"""),"")</f>
        <v/>
      </c>
      <c r="L4561" t="str">
        <f>IFERROR(__xludf.DUMMYFUNCTION("""COMPUTED_VALUE"""),"")</f>
        <v/>
      </c>
      <c r="M4561" t="str">
        <f>IFERROR(__xludf.DUMMYFUNCTION("""COMPUTED_VALUE"""),"")</f>
        <v/>
      </c>
      <c r="N4561" t="str">
        <f>IFERROR(__xludf.DUMMYFUNCTION("""COMPUTED_VALUE"""),"")</f>
        <v/>
      </c>
      <c r="O4561" t="str">
        <f>IFERROR(__xludf.DUMMYFUNCTION("""COMPUTED_VALUE"""),"")</f>
        <v/>
      </c>
      <c r="P4561" t="str">
        <f>IFERROR(__xludf.DUMMYFUNCTION("""COMPUTED_VALUE"""),"ID ")</f>
        <v>ID </v>
      </c>
    </row>
    <row r="4562">
      <c r="A4562" s="6" t="str">
        <f>IFERROR(__xludf.DUMMYFUNCTION("""COMPUTED_VALUE"""),"")</f>
        <v/>
      </c>
      <c r="C4562" t="str">
        <f>IFERROR(__xludf.DUMMYFUNCTION("""COMPUTED_VALUE"""),"")</f>
        <v/>
      </c>
      <c r="D4562" t="str">
        <f>IFERROR(__xludf.DUMMYFUNCTION("""COMPUTED_VALUE"""),"")</f>
        <v/>
      </c>
      <c r="E4562" t="str">
        <f>IFERROR(__xludf.DUMMYFUNCTION("""COMPUTED_VALUE"""),"")</f>
        <v/>
      </c>
      <c r="F4562" t="str">
        <f>IFERROR(__xludf.DUMMYFUNCTION("""COMPUTED_VALUE"""),"")</f>
        <v/>
      </c>
      <c r="G4562" t="str">
        <f>IFERROR(__xludf.DUMMYFUNCTION("""COMPUTED_VALUE"""),"")</f>
        <v/>
      </c>
      <c r="H4562" s="2" t="str">
        <f>IFERROR(__xludf.DUMMYFUNCTION("""COMPUTED_VALUE"""),"")</f>
        <v/>
      </c>
      <c r="I4562" s="2" t="str">
        <f>IFERROR(__xludf.DUMMYFUNCTION("""COMPUTED_VALUE"""),"")</f>
        <v/>
      </c>
      <c r="J4562" s="2">
        <f>IFERROR(__xludf.DUMMYFUNCTION("""COMPUTED_VALUE"""),0.0)</f>
        <v>0</v>
      </c>
      <c r="K4562" s="5" t="str">
        <f>IFERROR(__xludf.DUMMYFUNCTION("""COMPUTED_VALUE"""),"")</f>
        <v/>
      </c>
      <c r="L4562" t="str">
        <f>IFERROR(__xludf.DUMMYFUNCTION("""COMPUTED_VALUE"""),"")</f>
        <v/>
      </c>
      <c r="M4562" t="str">
        <f>IFERROR(__xludf.DUMMYFUNCTION("""COMPUTED_VALUE"""),"")</f>
        <v/>
      </c>
      <c r="N4562" t="str">
        <f>IFERROR(__xludf.DUMMYFUNCTION("""COMPUTED_VALUE"""),"")</f>
        <v/>
      </c>
      <c r="O4562" t="str">
        <f>IFERROR(__xludf.DUMMYFUNCTION("""COMPUTED_VALUE"""),"")</f>
        <v/>
      </c>
      <c r="P4562" t="str">
        <f>IFERROR(__xludf.DUMMYFUNCTION("""COMPUTED_VALUE"""),"ID ")</f>
        <v>ID </v>
      </c>
    </row>
    <row r="4563">
      <c r="A4563" s="6" t="str">
        <f>IFERROR(__xludf.DUMMYFUNCTION("""COMPUTED_VALUE"""),"")</f>
        <v/>
      </c>
      <c r="C4563" t="str">
        <f>IFERROR(__xludf.DUMMYFUNCTION("""COMPUTED_VALUE"""),"")</f>
        <v/>
      </c>
      <c r="D4563" t="str">
        <f>IFERROR(__xludf.DUMMYFUNCTION("""COMPUTED_VALUE"""),"")</f>
        <v/>
      </c>
      <c r="E4563" t="str">
        <f>IFERROR(__xludf.DUMMYFUNCTION("""COMPUTED_VALUE"""),"")</f>
        <v/>
      </c>
      <c r="F4563" t="str">
        <f>IFERROR(__xludf.DUMMYFUNCTION("""COMPUTED_VALUE"""),"")</f>
        <v/>
      </c>
      <c r="G4563" t="str">
        <f>IFERROR(__xludf.DUMMYFUNCTION("""COMPUTED_VALUE"""),"")</f>
        <v/>
      </c>
      <c r="H4563" s="2" t="str">
        <f>IFERROR(__xludf.DUMMYFUNCTION("""COMPUTED_VALUE"""),"")</f>
        <v/>
      </c>
      <c r="I4563" s="2" t="str">
        <f>IFERROR(__xludf.DUMMYFUNCTION("""COMPUTED_VALUE"""),"")</f>
        <v/>
      </c>
      <c r="J4563" s="2">
        <f>IFERROR(__xludf.DUMMYFUNCTION("""COMPUTED_VALUE"""),0.0)</f>
        <v>0</v>
      </c>
      <c r="K4563" s="5" t="str">
        <f>IFERROR(__xludf.DUMMYFUNCTION("""COMPUTED_VALUE"""),"")</f>
        <v/>
      </c>
      <c r="L4563" t="str">
        <f>IFERROR(__xludf.DUMMYFUNCTION("""COMPUTED_VALUE"""),"")</f>
        <v/>
      </c>
      <c r="M4563" t="str">
        <f>IFERROR(__xludf.DUMMYFUNCTION("""COMPUTED_VALUE"""),"")</f>
        <v/>
      </c>
      <c r="N4563" t="str">
        <f>IFERROR(__xludf.DUMMYFUNCTION("""COMPUTED_VALUE"""),"")</f>
        <v/>
      </c>
      <c r="O4563" t="str">
        <f>IFERROR(__xludf.DUMMYFUNCTION("""COMPUTED_VALUE"""),"")</f>
        <v/>
      </c>
      <c r="P4563" t="str">
        <f>IFERROR(__xludf.DUMMYFUNCTION("""COMPUTED_VALUE"""),"ID ")</f>
        <v>ID </v>
      </c>
    </row>
    <row r="4564">
      <c r="A4564" s="6" t="str">
        <f>IFERROR(__xludf.DUMMYFUNCTION("""COMPUTED_VALUE"""),"")</f>
        <v/>
      </c>
      <c r="C4564" t="str">
        <f>IFERROR(__xludf.DUMMYFUNCTION("""COMPUTED_VALUE"""),"")</f>
        <v/>
      </c>
      <c r="D4564" t="str">
        <f>IFERROR(__xludf.DUMMYFUNCTION("""COMPUTED_VALUE"""),"")</f>
        <v/>
      </c>
      <c r="E4564" t="str">
        <f>IFERROR(__xludf.DUMMYFUNCTION("""COMPUTED_VALUE"""),"")</f>
        <v/>
      </c>
      <c r="F4564" t="str">
        <f>IFERROR(__xludf.DUMMYFUNCTION("""COMPUTED_VALUE"""),"")</f>
        <v/>
      </c>
      <c r="G4564" t="str">
        <f>IFERROR(__xludf.DUMMYFUNCTION("""COMPUTED_VALUE"""),"")</f>
        <v/>
      </c>
      <c r="H4564" s="2" t="str">
        <f>IFERROR(__xludf.DUMMYFUNCTION("""COMPUTED_VALUE"""),"")</f>
        <v/>
      </c>
      <c r="I4564" s="2" t="str">
        <f>IFERROR(__xludf.DUMMYFUNCTION("""COMPUTED_VALUE"""),"")</f>
        <v/>
      </c>
      <c r="J4564" s="2">
        <f>IFERROR(__xludf.DUMMYFUNCTION("""COMPUTED_VALUE"""),0.0)</f>
        <v>0</v>
      </c>
      <c r="K4564" s="5" t="str">
        <f>IFERROR(__xludf.DUMMYFUNCTION("""COMPUTED_VALUE"""),"")</f>
        <v/>
      </c>
      <c r="L4564" t="str">
        <f>IFERROR(__xludf.DUMMYFUNCTION("""COMPUTED_VALUE"""),"")</f>
        <v/>
      </c>
      <c r="M4564" t="str">
        <f>IFERROR(__xludf.DUMMYFUNCTION("""COMPUTED_VALUE"""),"")</f>
        <v/>
      </c>
      <c r="N4564" t="str">
        <f>IFERROR(__xludf.DUMMYFUNCTION("""COMPUTED_VALUE"""),"")</f>
        <v/>
      </c>
      <c r="O4564" t="str">
        <f>IFERROR(__xludf.DUMMYFUNCTION("""COMPUTED_VALUE"""),"")</f>
        <v/>
      </c>
      <c r="P4564" t="str">
        <f>IFERROR(__xludf.DUMMYFUNCTION("""COMPUTED_VALUE"""),"ID ")</f>
        <v>ID </v>
      </c>
    </row>
    <row r="4565">
      <c r="A4565" s="6" t="str">
        <f>IFERROR(__xludf.DUMMYFUNCTION("""COMPUTED_VALUE"""),"")</f>
        <v/>
      </c>
      <c r="C4565" t="str">
        <f>IFERROR(__xludf.DUMMYFUNCTION("""COMPUTED_VALUE"""),"")</f>
        <v/>
      </c>
      <c r="D4565" t="str">
        <f>IFERROR(__xludf.DUMMYFUNCTION("""COMPUTED_VALUE"""),"")</f>
        <v/>
      </c>
      <c r="E4565" t="str">
        <f>IFERROR(__xludf.DUMMYFUNCTION("""COMPUTED_VALUE"""),"")</f>
        <v/>
      </c>
      <c r="F4565" t="str">
        <f>IFERROR(__xludf.DUMMYFUNCTION("""COMPUTED_VALUE"""),"")</f>
        <v/>
      </c>
      <c r="G4565" t="str">
        <f>IFERROR(__xludf.DUMMYFUNCTION("""COMPUTED_VALUE"""),"")</f>
        <v/>
      </c>
      <c r="H4565" s="2" t="str">
        <f>IFERROR(__xludf.DUMMYFUNCTION("""COMPUTED_VALUE"""),"")</f>
        <v/>
      </c>
      <c r="I4565" s="2" t="str">
        <f>IFERROR(__xludf.DUMMYFUNCTION("""COMPUTED_VALUE"""),"")</f>
        <v/>
      </c>
      <c r="J4565" s="2">
        <f>IFERROR(__xludf.DUMMYFUNCTION("""COMPUTED_VALUE"""),0.0)</f>
        <v>0</v>
      </c>
      <c r="K4565" s="5" t="str">
        <f>IFERROR(__xludf.DUMMYFUNCTION("""COMPUTED_VALUE"""),"")</f>
        <v/>
      </c>
      <c r="L4565" t="str">
        <f>IFERROR(__xludf.DUMMYFUNCTION("""COMPUTED_VALUE"""),"")</f>
        <v/>
      </c>
      <c r="M4565" t="str">
        <f>IFERROR(__xludf.DUMMYFUNCTION("""COMPUTED_VALUE"""),"")</f>
        <v/>
      </c>
      <c r="N4565" t="str">
        <f>IFERROR(__xludf.DUMMYFUNCTION("""COMPUTED_VALUE"""),"")</f>
        <v/>
      </c>
      <c r="O4565" t="str">
        <f>IFERROR(__xludf.DUMMYFUNCTION("""COMPUTED_VALUE"""),"")</f>
        <v/>
      </c>
      <c r="P4565" t="str">
        <f>IFERROR(__xludf.DUMMYFUNCTION("""COMPUTED_VALUE"""),"ID ")</f>
        <v>ID </v>
      </c>
    </row>
    <row r="4566">
      <c r="A4566" s="6" t="str">
        <f>IFERROR(__xludf.DUMMYFUNCTION("""COMPUTED_VALUE"""),"")</f>
        <v/>
      </c>
      <c r="C4566" t="str">
        <f>IFERROR(__xludf.DUMMYFUNCTION("""COMPUTED_VALUE"""),"")</f>
        <v/>
      </c>
      <c r="D4566" t="str">
        <f>IFERROR(__xludf.DUMMYFUNCTION("""COMPUTED_VALUE"""),"")</f>
        <v/>
      </c>
      <c r="E4566" t="str">
        <f>IFERROR(__xludf.DUMMYFUNCTION("""COMPUTED_VALUE"""),"")</f>
        <v/>
      </c>
      <c r="F4566" t="str">
        <f>IFERROR(__xludf.DUMMYFUNCTION("""COMPUTED_VALUE"""),"")</f>
        <v/>
      </c>
      <c r="G4566" t="str">
        <f>IFERROR(__xludf.DUMMYFUNCTION("""COMPUTED_VALUE"""),"")</f>
        <v/>
      </c>
      <c r="H4566" s="2" t="str">
        <f>IFERROR(__xludf.DUMMYFUNCTION("""COMPUTED_VALUE"""),"")</f>
        <v/>
      </c>
      <c r="I4566" s="2" t="str">
        <f>IFERROR(__xludf.DUMMYFUNCTION("""COMPUTED_VALUE"""),"")</f>
        <v/>
      </c>
      <c r="J4566" s="2">
        <f>IFERROR(__xludf.DUMMYFUNCTION("""COMPUTED_VALUE"""),0.0)</f>
        <v>0</v>
      </c>
      <c r="K4566" s="5" t="str">
        <f>IFERROR(__xludf.DUMMYFUNCTION("""COMPUTED_VALUE"""),"")</f>
        <v/>
      </c>
      <c r="L4566" t="str">
        <f>IFERROR(__xludf.DUMMYFUNCTION("""COMPUTED_VALUE"""),"")</f>
        <v/>
      </c>
      <c r="M4566" t="str">
        <f>IFERROR(__xludf.DUMMYFUNCTION("""COMPUTED_VALUE"""),"")</f>
        <v/>
      </c>
      <c r="N4566" t="str">
        <f>IFERROR(__xludf.DUMMYFUNCTION("""COMPUTED_VALUE"""),"")</f>
        <v/>
      </c>
      <c r="O4566" t="str">
        <f>IFERROR(__xludf.DUMMYFUNCTION("""COMPUTED_VALUE"""),"")</f>
        <v/>
      </c>
      <c r="P4566" t="str">
        <f>IFERROR(__xludf.DUMMYFUNCTION("""COMPUTED_VALUE"""),"ID ")</f>
        <v>ID </v>
      </c>
    </row>
    <row r="4567">
      <c r="A4567" s="6" t="str">
        <f>IFERROR(__xludf.DUMMYFUNCTION("""COMPUTED_VALUE"""),"")</f>
        <v/>
      </c>
      <c r="C4567" t="str">
        <f>IFERROR(__xludf.DUMMYFUNCTION("""COMPUTED_VALUE"""),"")</f>
        <v/>
      </c>
      <c r="D4567" t="str">
        <f>IFERROR(__xludf.DUMMYFUNCTION("""COMPUTED_VALUE"""),"")</f>
        <v/>
      </c>
      <c r="E4567" t="str">
        <f>IFERROR(__xludf.DUMMYFUNCTION("""COMPUTED_VALUE"""),"")</f>
        <v/>
      </c>
      <c r="F4567" t="str">
        <f>IFERROR(__xludf.DUMMYFUNCTION("""COMPUTED_VALUE"""),"")</f>
        <v/>
      </c>
      <c r="G4567" t="str">
        <f>IFERROR(__xludf.DUMMYFUNCTION("""COMPUTED_VALUE"""),"")</f>
        <v/>
      </c>
      <c r="H4567" s="2" t="str">
        <f>IFERROR(__xludf.DUMMYFUNCTION("""COMPUTED_VALUE"""),"")</f>
        <v/>
      </c>
      <c r="I4567" s="2" t="str">
        <f>IFERROR(__xludf.DUMMYFUNCTION("""COMPUTED_VALUE"""),"")</f>
        <v/>
      </c>
      <c r="J4567" s="2">
        <f>IFERROR(__xludf.DUMMYFUNCTION("""COMPUTED_VALUE"""),0.0)</f>
        <v>0</v>
      </c>
      <c r="K4567" s="5" t="str">
        <f>IFERROR(__xludf.DUMMYFUNCTION("""COMPUTED_VALUE"""),"")</f>
        <v/>
      </c>
      <c r="L4567" t="str">
        <f>IFERROR(__xludf.DUMMYFUNCTION("""COMPUTED_VALUE"""),"")</f>
        <v/>
      </c>
      <c r="M4567" t="str">
        <f>IFERROR(__xludf.DUMMYFUNCTION("""COMPUTED_VALUE"""),"")</f>
        <v/>
      </c>
      <c r="N4567" t="str">
        <f>IFERROR(__xludf.DUMMYFUNCTION("""COMPUTED_VALUE"""),"")</f>
        <v/>
      </c>
      <c r="O4567" t="str">
        <f>IFERROR(__xludf.DUMMYFUNCTION("""COMPUTED_VALUE"""),"")</f>
        <v/>
      </c>
      <c r="P4567" t="str">
        <f>IFERROR(__xludf.DUMMYFUNCTION("""COMPUTED_VALUE"""),"ID ")</f>
        <v>ID </v>
      </c>
    </row>
    <row r="4568">
      <c r="A4568" s="6" t="str">
        <f>IFERROR(__xludf.DUMMYFUNCTION("""COMPUTED_VALUE"""),"")</f>
        <v/>
      </c>
      <c r="C4568" t="str">
        <f>IFERROR(__xludf.DUMMYFUNCTION("""COMPUTED_VALUE"""),"")</f>
        <v/>
      </c>
      <c r="D4568" t="str">
        <f>IFERROR(__xludf.DUMMYFUNCTION("""COMPUTED_VALUE"""),"")</f>
        <v/>
      </c>
      <c r="E4568" t="str">
        <f>IFERROR(__xludf.DUMMYFUNCTION("""COMPUTED_VALUE"""),"")</f>
        <v/>
      </c>
      <c r="F4568" t="str">
        <f>IFERROR(__xludf.DUMMYFUNCTION("""COMPUTED_VALUE"""),"")</f>
        <v/>
      </c>
      <c r="G4568" t="str">
        <f>IFERROR(__xludf.DUMMYFUNCTION("""COMPUTED_VALUE"""),"")</f>
        <v/>
      </c>
      <c r="H4568" s="2" t="str">
        <f>IFERROR(__xludf.DUMMYFUNCTION("""COMPUTED_VALUE"""),"")</f>
        <v/>
      </c>
      <c r="I4568" s="2" t="str">
        <f>IFERROR(__xludf.DUMMYFUNCTION("""COMPUTED_VALUE"""),"")</f>
        <v/>
      </c>
      <c r="J4568" s="2">
        <f>IFERROR(__xludf.DUMMYFUNCTION("""COMPUTED_VALUE"""),0.0)</f>
        <v>0</v>
      </c>
      <c r="K4568" s="5" t="str">
        <f>IFERROR(__xludf.DUMMYFUNCTION("""COMPUTED_VALUE"""),"")</f>
        <v/>
      </c>
      <c r="L4568" t="str">
        <f>IFERROR(__xludf.DUMMYFUNCTION("""COMPUTED_VALUE"""),"")</f>
        <v/>
      </c>
      <c r="M4568" t="str">
        <f>IFERROR(__xludf.DUMMYFUNCTION("""COMPUTED_VALUE"""),"")</f>
        <v/>
      </c>
      <c r="N4568" t="str">
        <f>IFERROR(__xludf.DUMMYFUNCTION("""COMPUTED_VALUE"""),"")</f>
        <v/>
      </c>
      <c r="O4568" t="str">
        <f>IFERROR(__xludf.DUMMYFUNCTION("""COMPUTED_VALUE"""),"")</f>
        <v/>
      </c>
      <c r="P4568" t="str">
        <f>IFERROR(__xludf.DUMMYFUNCTION("""COMPUTED_VALUE"""),"ID ")</f>
        <v>ID </v>
      </c>
    </row>
    <row r="4569">
      <c r="A4569" s="6" t="str">
        <f>IFERROR(__xludf.DUMMYFUNCTION("""COMPUTED_VALUE"""),"")</f>
        <v/>
      </c>
      <c r="C4569" t="str">
        <f>IFERROR(__xludf.DUMMYFUNCTION("""COMPUTED_VALUE"""),"")</f>
        <v/>
      </c>
      <c r="D4569" t="str">
        <f>IFERROR(__xludf.DUMMYFUNCTION("""COMPUTED_VALUE"""),"")</f>
        <v/>
      </c>
      <c r="E4569" t="str">
        <f>IFERROR(__xludf.DUMMYFUNCTION("""COMPUTED_VALUE"""),"")</f>
        <v/>
      </c>
      <c r="F4569" t="str">
        <f>IFERROR(__xludf.DUMMYFUNCTION("""COMPUTED_VALUE"""),"")</f>
        <v/>
      </c>
      <c r="G4569" t="str">
        <f>IFERROR(__xludf.DUMMYFUNCTION("""COMPUTED_VALUE"""),"")</f>
        <v/>
      </c>
      <c r="H4569" s="2" t="str">
        <f>IFERROR(__xludf.DUMMYFUNCTION("""COMPUTED_VALUE"""),"")</f>
        <v/>
      </c>
      <c r="I4569" s="2" t="str">
        <f>IFERROR(__xludf.DUMMYFUNCTION("""COMPUTED_VALUE"""),"")</f>
        <v/>
      </c>
      <c r="J4569" s="2">
        <f>IFERROR(__xludf.DUMMYFUNCTION("""COMPUTED_VALUE"""),0.0)</f>
        <v>0</v>
      </c>
      <c r="K4569" s="5" t="str">
        <f>IFERROR(__xludf.DUMMYFUNCTION("""COMPUTED_VALUE"""),"")</f>
        <v/>
      </c>
      <c r="L4569" t="str">
        <f>IFERROR(__xludf.DUMMYFUNCTION("""COMPUTED_VALUE"""),"")</f>
        <v/>
      </c>
      <c r="M4569" t="str">
        <f>IFERROR(__xludf.DUMMYFUNCTION("""COMPUTED_VALUE"""),"")</f>
        <v/>
      </c>
      <c r="N4569" t="str">
        <f>IFERROR(__xludf.DUMMYFUNCTION("""COMPUTED_VALUE"""),"")</f>
        <v/>
      </c>
      <c r="O4569" t="str">
        <f>IFERROR(__xludf.DUMMYFUNCTION("""COMPUTED_VALUE"""),"")</f>
        <v/>
      </c>
      <c r="P4569" t="str">
        <f>IFERROR(__xludf.DUMMYFUNCTION("""COMPUTED_VALUE"""),"ID ")</f>
        <v>ID </v>
      </c>
    </row>
    <row r="4570">
      <c r="A4570" s="6" t="str">
        <f>IFERROR(__xludf.DUMMYFUNCTION("""COMPUTED_VALUE"""),"")</f>
        <v/>
      </c>
      <c r="C4570" t="str">
        <f>IFERROR(__xludf.DUMMYFUNCTION("""COMPUTED_VALUE"""),"")</f>
        <v/>
      </c>
      <c r="D4570" t="str">
        <f>IFERROR(__xludf.DUMMYFUNCTION("""COMPUTED_VALUE"""),"")</f>
        <v/>
      </c>
      <c r="E4570" t="str">
        <f>IFERROR(__xludf.DUMMYFUNCTION("""COMPUTED_VALUE"""),"")</f>
        <v/>
      </c>
      <c r="F4570" t="str">
        <f>IFERROR(__xludf.DUMMYFUNCTION("""COMPUTED_VALUE"""),"")</f>
        <v/>
      </c>
      <c r="G4570" t="str">
        <f>IFERROR(__xludf.DUMMYFUNCTION("""COMPUTED_VALUE"""),"")</f>
        <v/>
      </c>
      <c r="H4570" s="2" t="str">
        <f>IFERROR(__xludf.DUMMYFUNCTION("""COMPUTED_VALUE"""),"")</f>
        <v/>
      </c>
      <c r="I4570" s="2" t="str">
        <f>IFERROR(__xludf.DUMMYFUNCTION("""COMPUTED_VALUE"""),"")</f>
        <v/>
      </c>
      <c r="J4570" s="2">
        <f>IFERROR(__xludf.DUMMYFUNCTION("""COMPUTED_VALUE"""),0.0)</f>
        <v>0</v>
      </c>
      <c r="K4570" s="5" t="str">
        <f>IFERROR(__xludf.DUMMYFUNCTION("""COMPUTED_VALUE"""),"")</f>
        <v/>
      </c>
      <c r="L4570" t="str">
        <f>IFERROR(__xludf.DUMMYFUNCTION("""COMPUTED_VALUE"""),"")</f>
        <v/>
      </c>
      <c r="M4570" t="str">
        <f>IFERROR(__xludf.DUMMYFUNCTION("""COMPUTED_VALUE"""),"")</f>
        <v/>
      </c>
      <c r="N4570" t="str">
        <f>IFERROR(__xludf.DUMMYFUNCTION("""COMPUTED_VALUE"""),"")</f>
        <v/>
      </c>
      <c r="O4570" t="str">
        <f>IFERROR(__xludf.DUMMYFUNCTION("""COMPUTED_VALUE"""),"")</f>
        <v/>
      </c>
      <c r="P4570" t="str">
        <f>IFERROR(__xludf.DUMMYFUNCTION("""COMPUTED_VALUE"""),"ID ")</f>
        <v>ID </v>
      </c>
    </row>
    <row r="4571">
      <c r="A4571" s="6" t="str">
        <f>IFERROR(__xludf.DUMMYFUNCTION("""COMPUTED_VALUE"""),"")</f>
        <v/>
      </c>
      <c r="C4571" t="str">
        <f>IFERROR(__xludf.DUMMYFUNCTION("""COMPUTED_VALUE"""),"")</f>
        <v/>
      </c>
      <c r="D4571" t="str">
        <f>IFERROR(__xludf.DUMMYFUNCTION("""COMPUTED_VALUE"""),"")</f>
        <v/>
      </c>
      <c r="E4571" t="str">
        <f>IFERROR(__xludf.DUMMYFUNCTION("""COMPUTED_VALUE"""),"")</f>
        <v/>
      </c>
      <c r="F4571" t="str">
        <f>IFERROR(__xludf.DUMMYFUNCTION("""COMPUTED_VALUE"""),"")</f>
        <v/>
      </c>
      <c r="G4571" t="str">
        <f>IFERROR(__xludf.DUMMYFUNCTION("""COMPUTED_VALUE"""),"")</f>
        <v/>
      </c>
      <c r="H4571" s="2" t="str">
        <f>IFERROR(__xludf.DUMMYFUNCTION("""COMPUTED_VALUE"""),"")</f>
        <v/>
      </c>
      <c r="I4571" s="2" t="str">
        <f>IFERROR(__xludf.DUMMYFUNCTION("""COMPUTED_VALUE"""),"")</f>
        <v/>
      </c>
      <c r="J4571" s="2">
        <f>IFERROR(__xludf.DUMMYFUNCTION("""COMPUTED_VALUE"""),0.0)</f>
        <v>0</v>
      </c>
      <c r="K4571" s="5" t="str">
        <f>IFERROR(__xludf.DUMMYFUNCTION("""COMPUTED_VALUE"""),"")</f>
        <v/>
      </c>
      <c r="L4571" t="str">
        <f>IFERROR(__xludf.DUMMYFUNCTION("""COMPUTED_VALUE"""),"")</f>
        <v/>
      </c>
      <c r="M4571" t="str">
        <f>IFERROR(__xludf.DUMMYFUNCTION("""COMPUTED_VALUE"""),"")</f>
        <v/>
      </c>
      <c r="N4571" t="str">
        <f>IFERROR(__xludf.DUMMYFUNCTION("""COMPUTED_VALUE"""),"")</f>
        <v/>
      </c>
      <c r="O4571" t="str">
        <f>IFERROR(__xludf.DUMMYFUNCTION("""COMPUTED_VALUE"""),"")</f>
        <v/>
      </c>
      <c r="P4571" t="str">
        <f>IFERROR(__xludf.DUMMYFUNCTION("""COMPUTED_VALUE"""),"ID ")</f>
        <v>ID </v>
      </c>
    </row>
    <row r="4572">
      <c r="A4572" s="6" t="str">
        <f>IFERROR(__xludf.DUMMYFUNCTION("""COMPUTED_VALUE"""),"")</f>
        <v/>
      </c>
      <c r="C4572" t="str">
        <f>IFERROR(__xludf.DUMMYFUNCTION("""COMPUTED_VALUE"""),"")</f>
        <v/>
      </c>
      <c r="D4572" t="str">
        <f>IFERROR(__xludf.DUMMYFUNCTION("""COMPUTED_VALUE"""),"")</f>
        <v/>
      </c>
      <c r="E4572" t="str">
        <f>IFERROR(__xludf.DUMMYFUNCTION("""COMPUTED_VALUE"""),"")</f>
        <v/>
      </c>
      <c r="F4572" t="str">
        <f>IFERROR(__xludf.DUMMYFUNCTION("""COMPUTED_VALUE"""),"")</f>
        <v/>
      </c>
      <c r="G4572" t="str">
        <f>IFERROR(__xludf.DUMMYFUNCTION("""COMPUTED_VALUE"""),"")</f>
        <v/>
      </c>
      <c r="H4572" s="2" t="str">
        <f>IFERROR(__xludf.DUMMYFUNCTION("""COMPUTED_VALUE"""),"")</f>
        <v/>
      </c>
      <c r="I4572" s="2" t="str">
        <f>IFERROR(__xludf.DUMMYFUNCTION("""COMPUTED_VALUE"""),"")</f>
        <v/>
      </c>
      <c r="J4572" s="2">
        <f>IFERROR(__xludf.DUMMYFUNCTION("""COMPUTED_VALUE"""),0.0)</f>
        <v>0</v>
      </c>
      <c r="K4572" s="5" t="str">
        <f>IFERROR(__xludf.DUMMYFUNCTION("""COMPUTED_VALUE"""),"")</f>
        <v/>
      </c>
      <c r="L4572" t="str">
        <f>IFERROR(__xludf.DUMMYFUNCTION("""COMPUTED_VALUE"""),"")</f>
        <v/>
      </c>
      <c r="M4572" t="str">
        <f>IFERROR(__xludf.DUMMYFUNCTION("""COMPUTED_VALUE"""),"")</f>
        <v/>
      </c>
      <c r="N4572" t="str">
        <f>IFERROR(__xludf.DUMMYFUNCTION("""COMPUTED_VALUE"""),"")</f>
        <v/>
      </c>
      <c r="O4572" t="str">
        <f>IFERROR(__xludf.DUMMYFUNCTION("""COMPUTED_VALUE"""),"")</f>
        <v/>
      </c>
      <c r="P4572" t="str">
        <f>IFERROR(__xludf.DUMMYFUNCTION("""COMPUTED_VALUE"""),"ID ")</f>
        <v>ID </v>
      </c>
    </row>
    <row r="4573">
      <c r="A4573" s="6" t="str">
        <f>IFERROR(__xludf.DUMMYFUNCTION("""COMPUTED_VALUE"""),"")</f>
        <v/>
      </c>
      <c r="C4573" t="str">
        <f>IFERROR(__xludf.DUMMYFUNCTION("""COMPUTED_VALUE"""),"")</f>
        <v/>
      </c>
      <c r="D4573" t="str">
        <f>IFERROR(__xludf.DUMMYFUNCTION("""COMPUTED_VALUE"""),"")</f>
        <v/>
      </c>
      <c r="E4573" t="str">
        <f>IFERROR(__xludf.DUMMYFUNCTION("""COMPUTED_VALUE"""),"")</f>
        <v/>
      </c>
      <c r="F4573" t="str">
        <f>IFERROR(__xludf.DUMMYFUNCTION("""COMPUTED_VALUE"""),"")</f>
        <v/>
      </c>
      <c r="G4573" t="str">
        <f>IFERROR(__xludf.DUMMYFUNCTION("""COMPUTED_VALUE"""),"")</f>
        <v/>
      </c>
      <c r="H4573" s="2" t="str">
        <f>IFERROR(__xludf.DUMMYFUNCTION("""COMPUTED_VALUE"""),"")</f>
        <v/>
      </c>
      <c r="I4573" s="2" t="str">
        <f>IFERROR(__xludf.DUMMYFUNCTION("""COMPUTED_VALUE"""),"")</f>
        <v/>
      </c>
      <c r="J4573" s="2">
        <f>IFERROR(__xludf.DUMMYFUNCTION("""COMPUTED_VALUE"""),0.0)</f>
        <v>0</v>
      </c>
      <c r="K4573" s="5" t="str">
        <f>IFERROR(__xludf.DUMMYFUNCTION("""COMPUTED_VALUE"""),"")</f>
        <v/>
      </c>
      <c r="L4573" t="str">
        <f>IFERROR(__xludf.DUMMYFUNCTION("""COMPUTED_VALUE"""),"")</f>
        <v/>
      </c>
      <c r="M4573" t="str">
        <f>IFERROR(__xludf.DUMMYFUNCTION("""COMPUTED_VALUE"""),"")</f>
        <v/>
      </c>
      <c r="N4573" t="str">
        <f>IFERROR(__xludf.DUMMYFUNCTION("""COMPUTED_VALUE"""),"")</f>
        <v/>
      </c>
      <c r="O4573" t="str">
        <f>IFERROR(__xludf.DUMMYFUNCTION("""COMPUTED_VALUE"""),"")</f>
        <v/>
      </c>
      <c r="P4573" t="str">
        <f>IFERROR(__xludf.DUMMYFUNCTION("""COMPUTED_VALUE"""),"ID ")</f>
        <v>ID </v>
      </c>
    </row>
    <row r="4574">
      <c r="A4574" s="6" t="str">
        <f>IFERROR(__xludf.DUMMYFUNCTION("""COMPUTED_VALUE"""),"")</f>
        <v/>
      </c>
      <c r="C4574" t="str">
        <f>IFERROR(__xludf.DUMMYFUNCTION("""COMPUTED_VALUE"""),"")</f>
        <v/>
      </c>
      <c r="D4574" t="str">
        <f>IFERROR(__xludf.DUMMYFUNCTION("""COMPUTED_VALUE"""),"")</f>
        <v/>
      </c>
      <c r="E4574" t="str">
        <f>IFERROR(__xludf.DUMMYFUNCTION("""COMPUTED_VALUE"""),"")</f>
        <v/>
      </c>
      <c r="F4574" t="str">
        <f>IFERROR(__xludf.DUMMYFUNCTION("""COMPUTED_VALUE"""),"")</f>
        <v/>
      </c>
      <c r="G4574" t="str">
        <f>IFERROR(__xludf.DUMMYFUNCTION("""COMPUTED_VALUE"""),"")</f>
        <v/>
      </c>
      <c r="H4574" s="2" t="str">
        <f>IFERROR(__xludf.DUMMYFUNCTION("""COMPUTED_VALUE"""),"")</f>
        <v/>
      </c>
      <c r="I4574" s="2" t="str">
        <f>IFERROR(__xludf.DUMMYFUNCTION("""COMPUTED_VALUE"""),"")</f>
        <v/>
      </c>
      <c r="J4574" s="2">
        <f>IFERROR(__xludf.DUMMYFUNCTION("""COMPUTED_VALUE"""),0.0)</f>
        <v>0</v>
      </c>
      <c r="K4574" s="5" t="str">
        <f>IFERROR(__xludf.DUMMYFUNCTION("""COMPUTED_VALUE"""),"")</f>
        <v/>
      </c>
      <c r="L4574" t="str">
        <f>IFERROR(__xludf.DUMMYFUNCTION("""COMPUTED_VALUE"""),"")</f>
        <v/>
      </c>
      <c r="M4574" t="str">
        <f>IFERROR(__xludf.DUMMYFUNCTION("""COMPUTED_VALUE"""),"")</f>
        <v/>
      </c>
      <c r="N4574" t="str">
        <f>IFERROR(__xludf.DUMMYFUNCTION("""COMPUTED_VALUE"""),"")</f>
        <v/>
      </c>
      <c r="O4574" t="str">
        <f>IFERROR(__xludf.DUMMYFUNCTION("""COMPUTED_VALUE"""),"")</f>
        <v/>
      </c>
      <c r="P4574" t="str">
        <f>IFERROR(__xludf.DUMMYFUNCTION("""COMPUTED_VALUE"""),"ID ")</f>
        <v>ID </v>
      </c>
    </row>
    <row r="4575">
      <c r="A4575" s="6" t="str">
        <f>IFERROR(__xludf.DUMMYFUNCTION("""COMPUTED_VALUE"""),"")</f>
        <v/>
      </c>
      <c r="C4575" t="str">
        <f>IFERROR(__xludf.DUMMYFUNCTION("""COMPUTED_VALUE"""),"")</f>
        <v/>
      </c>
      <c r="D4575" t="str">
        <f>IFERROR(__xludf.DUMMYFUNCTION("""COMPUTED_VALUE"""),"")</f>
        <v/>
      </c>
      <c r="E4575" t="str">
        <f>IFERROR(__xludf.DUMMYFUNCTION("""COMPUTED_VALUE"""),"")</f>
        <v/>
      </c>
      <c r="F4575" t="str">
        <f>IFERROR(__xludf.DUMMYFUNCTION("""COMPUTED_VALUE"""),"")</f>
        <v/>
      </c>
      <c r="G4575" t="str">
        <f>IFERROR(__xludf.DUMMYFUNCTION("""COMPUTED_VALUE"""),"")</f>
        <v/>
      </c>
      <c r="H4575" s="2" t="str">
        <f>IFERROR(__xludf.DUMMYFUNCTION("""COMPUTED_VALUE"""),"")</f>
        <v/>
      </c>
      <c r="I4575" s="2" t="str">
        <f>IFERROR(__xludf.DUMMYFUNCTION("""COMPUTED_VALUE"""),"")</f>
        <v/>
      </c>
      <c r="J4575" s="2">
        <f>IFERROR(__xludf.DUMMYFUNCTION("""COMPUTED_VALUE"""),0.0)</f>
        <v>0</v>
      </c>
      <c r="K4575" s="5" t="str">
        <f>IFERROR(__xludf.DUMMYFUNCTION("""COMPUTED_VALUE"""),"")</f>
        <v/>
      </c>
      <c r="L4575" t="str">
        <f>IFERROR(__xludf.DUMMYFUNCTION("""COMPUTED_VALUE"""),"")</f>
        <v/>
      </c>
      <c r="M4575" t="str">
        <f>IFERROR(__xludf.DUMMYFUNCTION("""COMPUTED_VALUE"""),"")</f>
        <v/>
      </c>
      <c r="N4575" t="str">
        <f>IFERROR(__xludf.DUMMYFUNCTION("""COMPUTED_VALUE"""),"")</f>
        <v/>
      </c>
      <c r="O4575" t="str">
        <f>IFERROR(__xludf.DUMMYFUNCTION("""COMPUTED_VALUE"""),"")</f>
        <v/>
      </c>
      <c r="P4575" t="str">
        <f>IFERROR(__xludf.DUMMYFUNCTION("""COMPUTED_VALUE"""),"ID ")</f>
        <v>ID </v>
      </c>
    </row>
    <row r="4576">
      <c r="A4576" s="6" t="str">
        <f>IFERROR(__xludf.DUMMYFUNCTION("""COMPUTED_VALUE"""),"")</f>
        <v/>
      </c>
      <c r="C4576" t="str">
        <f>IFERROR(__xludf.DUMMYFUNCTION("""COMPUTED_VALUE"""),"")</f>
        <v/>
      </c>
      <c r="D4576" t="str">
        <f>IFERROR(__xludf.DUMMYFUNCTION("""COMPUTED_VALUE"""),"")</f>
        <v/>
      </c>
      <c r="E4576" t="str">
        <f>IFERROR(__xludf.DUMMYFUNCTION("""COMPUTED_VALUE"""),"")</f>
        <v/>
      </c>
      <c r="F4576" t="str">
        <f>IFERROR(__xludf.DUMMYFUNCTION("""COMPUTED_VALUE"""),"")</f>
        <v/>
      </c>
      <c r="G4576" t="str">
        <f>IFERROR(__xludf.DUMMYFUNCTION("""COMPUTED_VALUE"""),"")</f>
        <v/>
      </c>
      <c r="H4576" s="2" t="str">
        <f>IFERROR(__xludf.DUMMYFUNCTION("""COMPUTED_VALUE"""),"")</f>
        <v/>
      </c>
      <c r="I4576" s="2" t="str">
        <f>IFERROR(__xludf.DUMMYFUNCTION("""COMPUTED_VALUE"""),"")</f>
        <v/>
      </c>
      <c r="J4576" s="2">
        <f>IFERROR(__xludf.DUMMYFUNCTION("""COMPUTED_VALUE"""),0.0)</f>
        <v>0</v>
      </c>
      <c r="K4576" s="5" t="str">
        <f>IFERROR(__xludf.DUMMYFUNCTION("""COMPUTED_VALUE"""),"")</f>
        <v/>
      </c>
      <c r="L4576" t="str">
        <f>IFERROR(__xludf.DUMMYFUNCTION("""COMPUTED_VALUE"""),"")</f>
        <v/>
      </c>
      <c r="M4576" t="str">
        <f>IFERROR(__xludf.DUMMYFUNCTION("""COMPUTED_VALUE"""),"")</f>
        <v/>
      </c>
      <c r="N4576" t="str">
        <f>IFERROR(__xludf.DUMMYFUNCTION("""COMPUTED_VALUE"""),"")</f>
        <v/>
      </c>
      <c r="O4576" t="str">
        <f>IFERROR(__xludf.DUMMYFUNCTION("""COMPUTED_VALUE"""),"")</f>
        <v/>
      </c>
      <c r="P4576" t="str">
        <f>IFERROR(__xludf.DUMMYFUNCTION("""COMPUTED_VALUE"""),"ID ")</f>
        <v>ID </v>
      </c>
    </row>
    <row r="4577">
      <c r="A4577" s="6" t="str">
        <f>IFERROR(__xludf.DUMMYFUNCTION("""COMPUTED_VALUE"""),"")</f>
        <v/>
      </c>
      <c r="C4577" t="str">
        <f>IFERROR(__xludf.DUMMYFUNCTION("""COMPUTED_VALUE"""),"")</f>
        <v/>
      </c>
      <c r="D4577" t="str">
        <f>IFERROR(__xludf.DUMMYFUNCTION("""COMPUTED_VALUE"""),"")</f>
        <v/>
      </c>
      <c r="E4577" t="str">
        <f>IFERROR(__xludf.DUMMYFUNCTION("""COMPUTED_VALUE"""),"")</f>
        <v/>
      </c>
      <c r="F4577" t="str">
        <f>IFERROR(__xludf.DUMMYFUNCTION("""COMPUTED_VALUE"""),"")</f>
        <v/>
      </c>
      <c r="G4577" t="str">
        <f>IFERROR(__xludf.DUMMYFUNCTION("""COMPUTED_VALUE"""),"")</f>
        <v/>
      </c>
      <c r="H4577" s="2" t="str">
        <f>IFERROR(__xludf.DUMMYFUNCTION("""COMPUTED_VALUE"""),"")</f>
        <v/>
      </c>
      <c r="I4577" s="2" t="str">
        <f>IFERROR(__xludf.DUMMYFUNCTION("""COMPUTED_VALUE"""),"")</f>
        <v/>
      </c>
      <c r="J4577" s="2">
        <f>IFERROR(__xludf.DUMMYFUNCTION("""COMPUTED_VALUE"""),0.0)</f>
        <v>0</v>
      </c>
      <c r="K4577" s="5" t="str">
        <f>IFERROR(__xludf.DUMMYFUNCTION("""COMPUTED_VALUE"""),"")</f>
        <v/>
      </c>
      <c r="L4577" t="str">
        <f>IFERROR(__xludf.DUMMYFUNCTION("""COMPUTED_VALUE"""),"")</f>
        <v/>
      </c>
      <c r="M4577" t="str">
        <f>IFERROR(__xludf.DUMMYFUNCTION("""COMPUTED_VALUE"""),"")</f>
        <v/>
      </c>
      <c r="N4577" t="str">
        <f>IFERROR(__xludf.DUMMYFUNCTION("""COMPUTED_VALUE"""),"")</f>
        <v/>
      </c>
      <c r="O4577" t="str">
        <f>IFERROR(__xludf.DUMMYFUNCTION("""COMPUTED_VALUE"""),"")</f>
        <v/>
      </c>
      <c r="P4577" t="str">
        <f>IFERROR(__xludf.DUMMYFUNCTION("""COMPUTED_VALUE"""),"ID ")</f>
        <v>ID </v>
      </c>
    </row>
    <row r="4578">
      <c r="A4578" s="6" t="str">
        <f>IFERROR(__xludf.DUMMYFUNCTION("""COMPUTED_VALUE"""),"")</f>
        <v/>
      </c>
      <c r="C4578" t="str">
        <f>IFERROR(__xludf.DUMMYFUNCTION("""COMPUTED_VALUE"""),"")</f>
        <v/>
      </c>
      <c r="D4578" t="str">
        <f>IFERROR(__xludf.DUMMYFUNCTION("""COMPUTED_VALUE"""),"")</f>
        <v/>
      </c>
      <c r="E4578" t="str">
        <f>IFERROR(__xludf.DUMMYFUNCTION("""COMPUTED_VALUE"""),"")</f>
        <v/>
      </c>
      <c r="F4578" t="str">
        <f>IFERROR(__xludf.DUMMYFUNCTION("""COMPUTED_VALUE"""),"")</f>
        <v/>
      </c>
      <c r="G4578" t="str">
        <f>IFERROR(__xludf.DUMMYFUNCTION("""COMPUTED_VALUE"""),"")</f>
        <v/>
      </c>
      <c r="H4578" s="2" t="str">
        <f>IFERROR(__xludf.DUMMYFUNCTION("""COMPUTED_VALUE"""),"")</f>
        <v/>
      </c>
      <c r="I4578" s="2" t="str">
        <f>IFERROR(__xludf.DUMMYFUNCTION("""COMPUTED_VALUE"""),"")</f>
        <v/>
      </c>
      <c r="J4578" s="2">
        <f>IFERROR(__xludf.DUMMYFUNCTION("""COMPUTED_VALUE"""),0.0)</f>
        <v>0</v>
      </c>
      <c r="K4578" s="5" t="str">
        <f>IFERROR(__xludf.DUMMYFUNCTION("""COMPUTED_VALUE"""),"")</f>
        <v/>
      </c>
      <c r="L4578" t="str">
        <f>IFERROR(__xludf.DUMMYFUNCTION("""COMPUTED_VALUE"""),"")</f>
        <v/>
      </c>
      <c r="M4578" t="str">
        <f>IFERROR(__xludf.DUMMYFUNCTION("""COMPUTED_VALUE"""),"")</f>
        <v/>
      </c>
      <c r="N4578" t="str">
        <f>IFERROR(__xludf.DUMMYFUNCTION("""COMPUTED_VALUE"""),"")</f>
        <v/>
      </c>
      <c r="O4578" t="str">
        <f>IFERROR(__xludf.DUMMYFUNCTION("""COMPUTED_VALUE"""),"")</f>
        <v/>
      </c>
      <c r="P4578" t="str">
        <f>IFERROR(__xludf.DUMMYFUNCTION("""COMPUTED_VALUE"""),"ID ")</f>
        <v>ID </v>
      </c>
    </row>
    <row r="4579">
      <c r="A4579" s="6" t="str">
        <f>IFERROR(__xludf.DUMMYFUNCTION("""COMPUTED_VALUE"""),"")</f>
        <v/>
      </c>
      <c r="C4579" t="str">
        <f>IFERROR(__xludf.DUMMYFUNCTION("""COMPUTED_VALUE"""),"")</f>
        <v/>
      </c>
      <c r="D4579" t="str">
        <f>IFERROR(__xludf.DUMMYFUNCTION("""COMPUTED_VALUE"""),"")</f>
        <v/>
      </c>
      <c r="E4579" t="str">
        <f>IFERROR(__xludf.DUMMYFUNCTION("""COMPUTED_VALUE"""),"")</f>
        <v/>
      </c>
      <c r="F4579" t="str">
        <f>IFERROR(__xludf.DUMMYFUNCTION("""COMPUTED_VALUE"""),"")</f>
        <v/>
      </c>
      <c r="G4579" t="str">
        <f>IFERROR(__xludf.DUMMYFUNCTION("""COMPUTED_VALUE"""),"")</f>
        <v/>
      </c>
      <c r="H4579" s="2" t="str">
        <f>IFERROR(__xludf.DUMMYFUNCTION("""COMPUTED_VALUE"""),"")</f>
        <v/>
      </c>
      <c r="I4579" s="2" t="str">
        <f>IFERROR(__xludf.DUMMYFUNCTION("""COMPUTED_VALUE"""),"")</f>
        <v/>
      </c>
      <c r="J4579" s="2">
        <f>IFERROR(__xludf.DUMMYFUNCTION("""COMPUTED_VALUE"""),0.0)</f>
        <v>0</v>
      </c>
      <c r="K4579" s="5" t="str">
        <f>IFERROR(__xludf.DUMMYFUNCTION("""COMPUTED_VALUE"""),"")</f>
        <v/>
      </c>
      <c r="L4579" t="str">
        <f>IFERROR(__xludf.DUMMYFUNCTION("""COMPUTED_VALUE"""),"")</f>
        <v/>
      </c>
      <c r="M4579" t="str">
        <f>IFERROR(__xludf.DUMMYFUNCTION("""COMPUTED_VALUE"""),"")</f>
        <v/>
      </c>
      <c r="N4579" t="str">
        <f>IFERROR(__xludf.DUMMYFUNCTION("""COMPUTED_VALUE"""),"")</f>
        <v/>
      </c>
      <c r="O4579" t="str">
        <f>IFERROR(__xludf.DUMMYFUNCTION("""COMPUTED_VALUE"""),"")</f>
        <v/>
      </c>
      <c r="P4579" t="str">
        <f>IFERROR(__xludf.DUMMYFUNCTION("""COMPUTED_VALUE"""),"ID ")</f>
        <v>ID </v>
      </c>
    </row>
    <row r="4580">
      <c r="A4580" s="6" t="str">
        <f>IFERROR(__xludf.DUMMYFUNCTION("""COMPUTED_VALUE"""),"")</f>
        <v/>
      </c>
      <c r="C4580" t="str">
        <f>IFERROR(__xludf.DUMMYFUNCTION("""COMPUTED_VALUE"""),"")</f>
        <v/>
      </c>
      <c r="D4580" t="str">
        <f>IFERROR(__xludf.DUMMYFUNCTION("""COMPUTED_VALUE"""),"")</f>
        <v/>
      </c>
      <c r="E4580" t="str">
        <f>IFERROR(__xludf.DUMMYFUNCTION("""COMPUTED_VALUE"""),"")</f>
        <v/>
      </c>
      <c r="F4580" t="str">
        <f>IFERROR(__xludf.DUMMYFUNCTION("""COMPUTED_VALUE"""),"")</f>
        <v/>
      </c>
      <c r="G4580" t="str">
        <f>IFERROR(__xludf.DUMMYFUNCTION("""COMPUTED_VALUE"""),"")</f>
        <v/>
      </c>
      <c r="H4580" s="2" t="str">
        <f>IFERROR(__xludf.DUMMYFUNCTION("""COMPUTED_VALUE"""),"")</f>
        <v/>
      </c>
      <c r="I4580" s="2" t="str">
        <f>IFERROR(__xludf.DUMMYFUNCTION("""COMPUTED_VALUE"""),"")</f>
        <v/>
      </c>
      <c r="J4580" s="2">
        <f>IFERROR(__xludf.DUMMYFUNCTION("""COMPUTED_VALUE"""),0.0)</f>
        <v>0</v>
      </c>
      <c r="K4580" s="5" t="str">
        <f>IFERROR(__xludf.DUMMYFUNCTION("""COMPUTED_VALUE"""),"")</f>
        <v/>
      </c>
      <c r="L4580" t="str">
        <f>IFERROR(__xludf.DUMMYFUNCTION("""COMPUTED_VALUE"""),"")</f>
        <v/>
      </c>
      <c r="M4580" t="str">
        <f>IFERROR(__xludf.DUMMYFUNCTION("""COMPUTED_VALUE"""),"")</f>
        <v/>
      </c>
      <c r="N4580" t="str">
        <f>IFERROR(__xludf.DUMMYFUNCTION("""COMPUTED_VALUE"""),"")</f>
        <v/>
      </c>
      <c r="O4580" t="str">
        <f>IFERROR(__xludf.DUMMYFUNCTION("""COMPUTED_VALUE"""),"")</f>
        <v/>
      </c>
      <c r="P4580" t="str">
        <f>IFERROR(__xludf.DUMMYFUNCTION("""COMPUTED_VALUE"""),"ID ")</f>
        <v>ID </v>
      </c>
    </row>
    <row r="4581">
      <c r="A4581" s="6" t="str">
        <f>IFERROR(__xludf.DUMMYFUNCTION("""COMPUTED_VALUE"""),"")</f>
        <v/>
      </c>
      <c r="C4581" t="str">
        <f>IFERROR(__xludf.DUMMYFUNCTION("""COMPUTED_VALUE"""),"")</f>
        <v/>
      </c>
      <c r="D4581" t="str">
        <f>IFERROR(__xludf.DUMMYFUNCTION("""COMPUTED_VALUE"""),"")</f>
        <v/>
      </c>
      <c r="E4581" t="str">
        <f>IFERROR(__xludf.DUMMYFUNCTION("""COMPUTED_VALUE"""),"")</f>
        <v/>
      </c>
      <c r="F4581" t="str">
        <f>IFERROR(__xludf.DUMMYFUNCTION("""COMPUTED_VALUE"""),"")</f>
        <v/>
      </c>
      <c r="G4581" t="str">
        <f>IFERROR(__xludf.DUMMYFUNCTION("""COMPUTED_VALUE"""),"")</f>
        <v/>
      </c>
      <c r="H4581" s="2" t="str">
        <f>IFERROR(__xludf.DUMMYFUNCTION("""COMPUTED_VALUE"""),"")</f>
        <v/>
      </c>
      <c r="I4581" s="2" t="str">
        <f>IFERROR(__xludf.DUMMYFUNCTION("""COMPUTED_VALUE"""),"")</f>
        <v/>
      </c>
      <c r="J4581" s="2">
        <f>IFERROR(__xludf.DUMMYFUNCTION("""COMPUTED_VALUE"""),0.0)</f>
        <v>0</v>
      </c>
      <c r="K4581" s="5" t="str">
        <f>IFERROR(__xludf.DUMMYFUNCTION("""COMPUTED_VALUE"""),"")</f>
        <v/>
      </c>
      <c r="L4581" t="str">
        <f>IFERROR(__xludf.DUMMYFUNCTION("""COMPUTED_VALUE"""),"")</f>
        <v/>
      </c>
      <c r="M4581" t="str">
        <f>IFERROR(__xludf.DUMMYFUNCTION("""COMPUTED_VALUE"""),"")</f>
        <v/>
      </c>
      <c r="N4581" t="str">
        <f>IFERROR(__xludf.DUMMYFUNCTION("""COMPUTED_VALUE"""),"")</f>
        <v/>
      </c>
      <c r="O4581" t="str">
        <f>IFERROR(__xludf.DUMMYFUNCTION("""COMPUTED_VALUE"""),"")</f>
        <v/>
      </c>
      <c r="P4581" t="str">
        <f>IFERROR(__xludf.DUMMYFUNCTION("""COMPUTED_VALUE"""),"ID ")</f>
        <v>ID </v>
      </c>
    </row>
    <row r="4582">
      <c r="A4582" s="6" t="str">
        <f>IFERROR(__xludf.DUMMYFUNCTION("""COMPUTED_VALUE"""),"")</f>
        <v/>
      </c>
      <c r="C4582" t="str">
        <f>IFERROR(__xludf.DUMMYFUNCTION("""COMPUTED_VALUE"""),"")</f>
        <v/>
      </c>
      <c r="D4582" t="str">
        <f>IFERROR(__xludf.DUMMYFUNCTION("""COMPUTED_VALUE"""),"")</f>
        <v/>
      </c>
      <c r="E4582" t="str">
        <f>IFERROR(__xludf.DUMMYFUNCTION("""COMPUTED_VALUE"""),"")</f>
        <v/>
      </c>
      <c r="F4582" t="str">
        <f>IFERROR(__xludf.DUMMYFUNCTION("""COMPUTED_VALUE"""),"")</f>
        <v/>
      </c>
      <c r="G4582" t="str">
        <f>IFERROR(__xludf.DUMMYFUNCTION("""COMPUTED_VALUE"""),"")</f>
        <v/>
      </c>
      <c r="H4582" s="2" t="str">
        <f>IFERROR(__xludf.DUMMYFUNCTION("""COMPUTED_VALUE"""),"")</f>
        <v/>
      </c>
      <c r="I4582" s="2" t="str">
        <f>IFERROR(__xludf.DUMMYFUNCTION("""COMPUTED_VALUE"""),"")</f>
        <v/>
      </c>
      <c r="J4582" s="2">
        <f>IFERROR(__xludf.DUMMYFUNCTION("""COMPUTED_VALUE"""),0.0)</f>
        <v>0</v>
      </c>
      <c r="K4582" s="5" t="str">
        <f>IFERROR(__xludf.DUMMYFUNCTION("""COMPUTED_VALUE"""),"")</f>
        <v/>
      </c>
      <c r="L4582" t="str">
        <f>IFERROR(__xludf.DUMMYFUNCTION("""COMPUTED_VALUE"""),"")</f>
        <v/>
      </c>
      <c r="M4582" t="str">
        <f>IFERROR(__xludf.DUMMYFUNCTION("""COMPUTED_VALUE"""),"")</f>
        <v/>
      </c>
      <c r="N4582" t="str">
        <f>IFERROR(__xludf.DUMMYFUNCTION("""COMPUTED_VALUE"""),"")</f>
        <v/>
      </c>
      <c r="O4582" t="str">
        <f>IFERROR(__xludf.DUMMYFUNCTION("""COMPUTED_VALUE"""),"")</f>
        <v/>
      </c>
      <c r="P4582" t="str">
        <f>IFERROR(__xludf.DUMMYFUNCTION("""COMPUTED_VALUE"""),"ID ")</f>
        <v>ID </v>
      </c>
    </row>
    <row r="4583">
      <c r="A4583" s="6" t="str">
        <f>IFERROR(__xludf.DUMMYFUNCTION("""COMPUTED_VALUE"""),"")</f>
        <v/>
      </c>
      <c r="C4583" t="str">
        <f>IFERROR(__xludf.DUMMYFUNCTION("""COMPUTED_VALUE"""),"")</f>
        <v/>
      </c>
      <c r="D4583" t="str">
        <f>IFERROR(__xludf.DUMMYFUNCTION("""COMPUTED_VALUE"""),"")</f>
        <v/>
      </c>
      <c r="E4583" t="str">
        <f>IFERROR(__xludf.DUMMYFUNCTION("""COMPUTED_VALUE"""),"")</f>
        <v/>
      </c>
      <c r="F4583" t="str">
        <f>IFERROR(__xludf.DUMMYFUNCTION("""COMPUTED_VALUE"""),"")</f>
        <v/>
      </c>
      <c r="G4583" t="str">
        <f>IFERROR(__xludf.DUMMYFUNCTION("""COMPUTED_VALUE"""),"")</f>
        <v/>
      </c>
      <c r="H4583" s="2" t="str">
        <f>IFERROR(__xludf.DUMMYFUNCTION("""COMPUTED_VALUE"""),"")</f>
        <v/>
      </c>
      <c r="I4583" s="2" t="str">
        <f>IFERROR(__xludf.DUMMYFUNCTION("""COMPUTED_VALUE"""),"")</f>
        <v/>
      </c>
      <c r="J4583" s="2">
        <f>IFERROR(__xludf.DUMMYFUNCTION("""COMPUTED_VALUE"""),0.0)</f>
        <v>0</v>
      </c>
      <c r="K4583" s="5" t="str">
        <f>IFERROR(__xludf.DUMMYFUNCTION("""COMPUTED_VALUE"""),"")</f>
        <v/>
      </c>
      <c r="L4583" t="str">
        <f>IFERROR(__xludf.DUMMYFUNCTION("""COMPUTED_VALUE"""),"")</f>
        <v/>
      </c>
      <c r="M4583" t="str">
        <f>IFERROR(__xludf.DUMMYFUNCTION("""COMPUTED_VALUE"""),"")</f>
        <v/>
      </c>
      <c r="N4583" t="str">
        <f>IFERROR(__xludf.DUMMYFUNCTION("""COMPUTED_VALUE"""),"")</f>
        <v/>
      </c>
      <c r="O4583" t="str">
        <f>IFERROR(__xludf.DUMMYFUNCTION("""COMPUTED_VALUE"""),"")</f>
        <v/>
      </c>
      <c r="P4583" t="str">
        <f>IFERROR(__xludf.DUMMYFUNCTION("""COMPUTED_VALUE"""),"ID ")</f>
        <v>ID </v>
      </c>
    </row>
    <row r="4584">
      <c r="A4584" s="6" t="str">
        <f>IFERROR(__xludf.DUMMYFUNCTION("""COMPUTED_VALUE"""),"")</f>
        <v/>
      </c>
      <c r="C4584" t="str">
        <f>IFERROR(__xludf.DUMMYFUNCTION("""COMPUTED_VALUE"""),"")</f>
        <v/>
      </c>
      <c r="D4584" t="str">
        <f>IFERROR(__xludf.DUMMYFUNCTION("""COMPUTED_VALUE"""),"")</f>
        <v/>
      </c>
      <c r="E4584" t="str">
        <f>IFERROR(__xludf.DUMMYFUNCTION("""COMPUTED_VALUE"""),"")</f>
        <v/>
      </c>
      <c r="F4584" t="str">
        <f>IFERROR(__xludf.DUMMYFUNCTION("""COMPUTED_VALUE"""),"")</f>
        <v/>
      </c>
      <c r="G4584" t="str">
        <f>IFERROR(__xludf.DUMMYFUNCTION("""COMPUTED_VALUE"""),"")</f>
        <v/>
      </c>
      <c r="H4584" s="2" t="str">
        <f>IFERROR(__xludf.DUMMYFUNCTION("""COMPUTED_VALUE"""),"")</f>
        <v/>
      </c>
      <c r="I4584" s="2" t="str">
        <f>IFERROR(__xludf.DUMMYFUNCTION("""COMPUTED_VALUE"""),"")</f>
        <v/>
      </c>
      <c r="J4584" s="2">
        <f>IFERROR(__xludf.DUMMYFUNCTION("""COMPUTED_VALUE"""),0.0)</f>
        <v>0</v>
      </c>
      <c r="K4584" s="5" t="str">
        <f>IFERROR(__xludf.DUMMYFUNCTION("""COMPUTED_VALUE"""),"")</f>
        <v/>
      </c>
      <c r="L4584" t="str">
        <f>IFERROR(__xludf.DUMMYFUNCTION("""COMPUTED_VALUE"""),"")</f>
        <v/>
      </c>
      <c r="M4584" t="str">
        <f>IFERROR(__xludf.DUMMYFUNCTION("""COMPUTED_VALUE"""),"")</f>
        <v/>
      </c>
      <c r="N4584" t="str">
        <f>IFERROR(__xludf.DUMMYFUNCTION("""COMPUTED_VALUE"""),"")</f>
        <v/>
      </c>
      <c r="O4584" t="str">
        <f>IFERROR(__xludf.DUMMYFUNCTION("""COMPUTED_VALUE"""),"")</f>
        <v/>
      </c>
      <c r="P4584" t="str">
        <f>IFERROR(__xludf.DUMMYFUNCTION("""COMPUTED_VALUE"""),"ID ")</f>
        <v>ID </v>
      </c>
    </row>
    <row r="4585">
      <c r="A4585" s="6" t="str">
        <f>IFERROR(__xludf.DUMMYFUNCTION("""COMPUTED_VALUE"""),"")</f>
        <v/>
      </c>
      <c r="C4585" t="str">
        <f>IFERROR(__xludf.DUMMYFUNCTION("""COMPUTED_VALUE"""),"")</f>
        <v/>
      </c>
      <c r="D4585" t="str">
        <f>IFERROR(__xludf.DUMMYFUNCTION("""COMPUTED_VALUE"""),"")</f>
        <v/>
      </c>
      <c r="E4585" t="str">
        <f>IFERROR(__xludf.DUMMYFUNCTION("""COMPUTED_VALUE"""),"")</f>
        <v/>
      </c>
      <c r="F4585" t="str">
        <f>IFERROR(__xludf.DUMMYFUNCTION("""COMPUTED_VALUE"""),"")</f>
        <v/>
      </c>
      <c r="G4585" t="str">
        <f>IFERROR(__xludf.DUMMYFUNCTION("""COMPUTED_VALUE"""),"")</f>
        <v/>
      </c>
      <c r="H4585" s="2" t="str">
        <f>IFERROR(__xludf.DUMMYFUNCTION("""COMPUTED_VALUE"""),"")</f>
        <v/>
      </c>
      <c r="I4585" s="2" t="str">
        <f>IFERROR(__xludf.DUMMYFUNCTION("""COMPUTED_VALUE"""),"")</f>
        <v/>
      </c>
      <c r="J4585" s="2">
        <f>IFERROR(__xludf.DUMMYFUNCTION("""COMPUTED_VALUE"""),0.0)</f>
        <v>0</v>
      </c>
      <c r="K4585" s="5" t="str">
        <f>IFERROR(__xludf.DUMMYFUNCTION("""COMPUTED_VALUE"""),"")</f>
        <v/>
      </c>
      <c r="L4585" t="str">
        <f>IFERROR(__xludf.DUMMYFUNCTION("""COMPUTED_VALUE"""),"")</f>
        <v/>
      </c>
      <c r="M4585" t="str">
        <f>IFERROR(__xludf.DUMMYFUNCTION("""COMPUTED_VALUE"""),"")</f>
        <v/>
      </c>
      <c r="N4585" t="str">
        <f>IFERROR(__xludf.DUMMYFUNCTION("""COMPUTED_VALUE"""),"")</f>
        <v/>
      </c>
      <c r="O4585" t="str">
        <f>IFERROR(__xludf.DUMMYFUNCTION("""COMPUTED_VALUE"""),"")</f>
        <v/>
      </c>
      <c r="P4585" t="str">
        <f>IFERROR(__xludf.DUMMYFUNCTION("""COMPUTED_VALUE"""),"ID ")</f>
        <v>ID </v>
      </c>
    </row>
    <row r="4586">
      <c r="A4586" s="6" t="str">
        <f>IFERROR(__xludf.DUMMYFUNCTION("""COMPUTED_VALUE"""),"")</f>
        <v/>
      </c>
      <c r="C4586" t="str">
        <f>IFERROR(__xludf.DUMMYFUNCTION("""COMPUTED_VALUE"""),"")</f>
        <v/>
      </c>
      <c r="D4586" t="str">
        <f>IFERROR(__xludf.DUMMYFUNCTION("""COMPUTED_VALUE"""),"")</f>
        <v/>
      </c>
      <c r="E4586" t="str">
        <f>IFERROR(__xludf.DUMMYFUNCTION("""COMPUTED_VALUE"""),"")</f>
        <v/>
      </c>
      <c r="F4586" t="str">
        <f>IFERROR(__xludf.DUMMYFUNCTION("""COMPUTED_VALUE"""),"")</f>
        <v/>
      </c>
      <c r="G4586" t="str">
        <f>IFERROR(__xludf.DUMMYFUNCTION("""COMPUTED_VALUE"""),"")</f>
        <v/>
      </c>
      <c r="H4586" s="2" t="str">
        <f>IFERROR(__xludf.DUMMYFUNCTION("""COMPUTED_VALUE"""),"")</f>
        <v/>
      </c>
      <c r="I4586" s="2" t="str">
        <f>IFERROR(__xludf.DUMMYFUNCTION("""COMPUTED_VALUE"""),"")</f>
        <v/>
      </c>
      <c r="J4586" s="2">
        <f>IFERROR(__xludf.DUMMYFUNCTION("""COMPUTED_VALUE"""),0.0)</f>
        <v>0</v>
      </c>
      <c r="K4586" s="5" t="str">
        <f>IFERROR(__xludf.DUMMYFUNCTION("""COMPUTED_VALUE"""),"")</f>
        <v/>
      </c>
      <c r="L4586" t="str">
        <f>IFERROR(__xludf.DUMMYFUNCTION("""COMPUTED_VALUE"""),"")</f>
        <v/>
      </c>
      <c r="M4586" t="str">
        <f>IFERROR(__xludf.DUMMYFUNCTION("""COMPUTED_VALUE"""),"")</f>
        <v/>
      </c>
      <c r="N4586" t="str">
        <f>IFERROR(__xludf.DUMMYFUNCTION("""COMPUTED_VALUE"""),"")</f>
        <v/>
      </c>
      <c r="O4586" t="str">
        <f>IFERROR(__xludf.DUMMYFUNCTION("""COMPUTED_VALUE"""),"")</f>
        <v/>
      </c>
      <c r="P4586" t="str">
        <f>IFERROR(__xludf.DUMMYFUNCTION("""COMPUTED_VALUE"""),"ID ")</f>
        <v>ID </v>
      </c>
    </row>
    <row r="4587">
      <c r="A4587" s="6" t="str">
        <f>IFERROR(__xludf.DUMMYFUNCTION("""COMPUTED_VALUE"""),"")</f>
        <v/>
      </c>
      <c r="C4587" t="str">
        <f>IFERROR(__xludf.DUMMYFUNCTION("""COMPUTED_VALUE"""),"")</f>
        <v/>
      </c>
      <c r="D4587" t="str">
        <f>IFERROR(__xludf.DUMMYFUNCTION("""COMPUTED_VALUE"""),"")</f>
        <v/>
      </c>
      <c r="E4587" t="str">
        <f>IFERROR(__xludf.DUMMYFUNCTION("""COMPUTED_VALUE"""),"")</f>
        <v/>
      </c>
      <c r="F4587" t="str">
        <f>IFERROR(__xludf.DUMMYFUNCTION("""COMPUTED_VALUE"""),"")</f>
        <v/>
      </c>
      <c r="G4587" t="str">
        <f>IFERROR(__xludf.DUMMYFUNCTION("""COMPUTED_VALUE"""),"")</f>
        <v/>
      </c>
      <c r="H4587" s="2" t="str">
        <f>IFERROR(__xludf.DUMMYFUNCTION("""COMPUTED_VALUE"""),"")</f>
        <v/>
      </c>
      <c r="I4587" s="2" t="str">
        <f>IFERROR(__xludf.DUMMYFUNCTION("""COMPUTED_VALUE"""),"")</f>
        <v/>
      </c>
      <c r="J4587" s="2">
        <f>IFERROR(__xludf.DUMMYFUNCTION("""COMPUTED_VALUE"""),0.0)</f>
        <v>0</v>
      </c>
      <c r="K4587" s="5" t="str">
        <f>IFERROR(__xludf.DUMMYFUNCTION("""COMPUTED_VALUE"""),"")</f>
        <v/>
      </c>
      <c r="L4587" t="str">
        <f>IFERROR(__xludf.DUMMYFUNCTION("""COMPUTED_VALUE"""),"")</f>
        <v/>
      </c>
      <c r="M4587" t="str">
        <f>IFERROR(__xludf.DUMMYFUNCTION("""COMPUTED_VALUE"""),"")</f>
        <v/>
      </c>
      <c r="N4587" t="str">
        <f>IFERROR(__xludf.DUMMYFUNCTION("""COMPUTED_VALUE"""),"")</f>
        <v/>
      </c>
      <c r="O4587" t="str">
        <f>IFERROR(__xludf.DUMMYFUNCTION("""COMPUTED_VALUE"""),"")</f>
        <v/>
      </c>
      <c r="P4587" t="str">
        <f>IFERROR(__xludf.DUMMYFUNCTION("""COMPUTED_VALUE"""),"ID ")</f>
        <v>ID </v>
      </c>
    </row>
    <row r="4588">
      <c r="A4588" s="6" t="str">
        <f>IFERROR(__xludf.DUMMYFUNCTION("""COMPUTED_VALUE"""),"")</f>
        <v/>
      </c>
      <c r="C4588" t="str">
        <f>IFERROR(__xludf.DUMMYFUNCTION("""COMPUTED_VALUE"""),"")</f>
        <v/>
      </c>
      <c r="D4588" t="str">
        <f>IFERROR(__xludf.DUMMYFUNCTION("""COMPUTED_VALUE"""),"")</f>
        <v/>
      </c>
      <c r="E4588" t="str">
        <f>IFERROR(__xludf.DUMMYFUNCTION("""COMPUTED_VALUE"""),"")</f>
        <v/>
      </c>
      <c r="F4588" t="str">
        <f>IFERROR(__xludf.DUMMYFUNCTION("""COMPUTED_VALUE"""),"")</f>
        <v/>
      </c>
      <c r="G4588" t="str">
        <f>IFERROR(__xludf.DUMMYFUNCTION("""COMPUTED_VALUE"""),"")</f>
        <v/>
      </c>
      <c r="H4588" s="2" t="str">
        <f>IFERROR(__xludf.DUMMYFUNCTION("""COMPUTED_VALUE"""),"")</f>
        <v/>
      </c>
      <c r="I4588" s="2" t="str">
        <f>IFERROR(__xludf.DUMMYFUNCTION("""COMPUTED_VALUE"""),"")</f>
        <v/>
      </c>
      <c r="J4588" s="2">
        <f>IFERROR(__xludf.DUMMYFUNCTION("""COMPUTED_VALUE"""),0.0)</f>
        <v>0</v>
      </c>
      <c r="K4588" s="5" t="str">
        <f>IFERROR(__xludf.DUMMYFUNCTION("""COMPUTED_VALUE"""),"")</f>
        <v/>
      </c>
      <c r="L4588" t="str">
        <f>IFERROR(__xludf.DUMMYFUNCTION("""COMPUTED_VALUE"""),"")</f>
        <v/>
      </c>
      <c r="M4588" t="str">
        <f>IFERROR(__xludf.DUMMYFUNCTION("""COMPUTED_VALUE"""),"")</f>
        <v/>
      </c>
      <c r="N4588" t="str">
        <f>IFERROR(__xludf.DUMMYFUNCTION("""COMPUTED_VALUE"""),"")</f>
        <v/>
      </c>
      <c r="O4588" t="str">
        <f>IFERROR(__xludf.DUMMYFUNCTION("""COMPUTED_VALUE"""),"")</f>
        <v/>
      </c>
      <c r="P4588" t="str">
        <f>IFERROR(__xludf.DUMMYFUNCTION("""COMPUTED_VALUE"""),"ID ")</f>
        <v>ID </v>
      </c>
    </row>
    <row r="4589">
      <c r="A4589" s="6" t="str">
        <f>IFERROR(__xludf.DUMMYFUNCTION("""COMPUTED_VALUE"""),"")</f>
        <v/>
      </c>
      <c r="C4589" t="str">
        <f>IFERROR(__xludf.DUMMYFUNCTION("""COMPUTED_VALUE"""),"")</f>
        <v/>
      </c>
      <c r="D4589" t="str">
        <f>IFERROR(__xludf.DUMMYFUNCTION("""COMPUTED_VALUE"""),"")</f>
        <v/>
      </c>
      <c r="E4589" t="str">
        <f>IFERROR(__xludf.DUMMYFUNCTION("""COMPUTED_VALUE"""),"")</f>
        <v/>
      </c>
      <c r="F4589" t="str">
        <f>IFERROR(__xludf.DUMMYFUNCTION("""COMPUTED_VALUE"""),"")</f>
        <v/>
      </c>
      <c r="G4589" t="str">
        <f>IFERROR(__xludf.DUMMYFUNCTION("""COMPUTED_VALUE"""),"")</f>
        <v/>
      </c>
      <c r="H4589" s="2" t="str">
        <f>IFERROR(__xludf.DUMMYFUNCTION("""COMPUTED_VALUE"""),"")</f>
        <v/>
      </c>
      <c r="I4589" s="2" t="str">
        <f>IFERROR(__xludf.DUMMYFUNCTION("""COMPUTED_VALUE"""),"")</f>
        <v/>
      </c>
      <c r="J4589" s="2">
        <f>IFERROR(__xludf.DUMMYFUNCTION("""COMPUTED_VALUE"""),0.0)</f>
        <v>0</v>
      </c>
      <c r="K4589" s="5" t="str">
        <f>IFERROR(__xludf.DUMMYFUNCTION("""COMPUTED_VALUE"""),"")</f>
        <v/>
      </c>
      <c r="L4589" t="str">
        <f>IFERROR(__xludf.DUMMYFUNCTION("""COMPUTED_VALUE"""),"")</f>
        <v/>
      </c>
      <c r="M4589" t="str">
        <f>IFERROR(__xludf.DUMMYFUNCTION("""COMPUTED_VALUE"""),"")</f>
        <v/>
      </c>
      <c r="N4589" t="str">
        <f>IFERROR(__xludf.DUMMYFUNCTION("""COMPUTED_VALUE"""),"")</f>
        <v/>
      </c>
      <c r="O4589" t="str">
        <f>IFERROR(__xludf.DUMMYFUNCTION("""COMPUTED_VALUE"""),"")</f>
        <v/>
      </c>
      <c r="P4589" t="str">
        <f>IFERROR(__xludf.DUMMYFUNCTION("""COMPUTED_VALUE"""),"ID ")</f>
        <v>ID </v>
      </c>
    </row>
    <row r="4590">
      <c r="A4590" s="6" t="str">
        <f>IFERROR(__xludf.DUMMYFUNCTION("""COMPUTED_VALUE"""),"")</f>
        <v/>
      </c>
      <c r="C4590" t="str">
        <f>IFERROR(__xludf.DUMMYFUNCTION("""COMPUTED_VALUE"""),"")</f>
        <v/>
      </c>
      <c r="D4590" t="str">
        <f>IFERROR(__xludf.DUMMYFUNCTION("""COMPUTED_VALUE"""),"")</f>
        <v/>
      </c>
      <c r="E4590" t="str">
        <f>IFERROR(__xludf.DUMMYFUNCTION("""COMPUTED_VALUE"""),"")</f>
        <v/>
      </c>
      <c r="F4590" t="str">
        <f>IFERROR(__xludf.DUMMYFUNCTION("""COMPUTED_VALUE"""),"")</f>
        <v/>
      </c>
      <c r="G4590" t="str">
        <f>IFERROR(__xludf.DUMMYFUNCTION("""COMPUTED_VALUE"""),"")</f>
        <v/>
      </c>
      <c r="H4590" s="2" t="str">
        <f>IFERROR(__xludf.DUMMYFUNCTION("""COMPUTED_VALUE"""),"")</f>
        <v/>
      </c>
      <c r="I4590" s="2" t="str">
        <f>IFERROR(__xludf.DUMMYFUNCTION("""COMPUTED_VALUE"""),"")</f>
        <v/>
      </c>
      <c r="J4590" s="2">
        <f>IFERROR(__xludf.DUMMYFUNCTION("""COMPUTED_VALUE"""),0.0)</f>
        <v>0</v>
      </c>
      <c r="K4590" s="5" t="str">
        <f>IFERROR(__xludf.DUMMYFUNCTION("""COMPUTED_VALUE"""),"")</f>
        <v/>
      </c>
      <c r="L4590" t="str">
        <f>IFERROR(__xludf.DUMMYFUNCTION("""COMPUTED_VALUE"""),"")</f>
        <v/>
      </c>
      <c r="M4590" t="str">
        <f>IFERROR(__xludf.DUMMYFUNCTION("""COMPUTED_VALUE"""),"")</f>
        <v/>
      </c>
      <c r="N4590" t="str">
        <f>IFERROR(__xludf.DUMMYFUNCTION("""COMPUTED_VALUE"""),"")</f>
        <v/>
      </c>
      <c r="O4590" t="str">
        <f>IFERROR(__xludf.DUMMYFUNCTION("""COMPUTED_VALUE"""),"")</f>
        <v/>
      </c>
      <c r="P4590" t="str">
        <f>IFERROR(__xludf.DUMMYFUNCTION("""COMPUTED_VALUE"""),"ID ")</f>
        <v>ID </v>
      </c>
    </row>
    <row r="4591">
      <c r="A4591" s="6" t="str">
        <f>IFERROR(__xludf.DUMMYFUNCTION("""COMPUTED_VALUE"""),"")</f>
        <v/>
      </c>
      <c r="C4591" t="str">
        <f>IFERROR(__xludf.DUMMYFUNCTION("""COMPUTED_VALUE"""),"")</f>
        <v/>
      </c>
      <c r="D4591" t="str">
        <f>IFERROR(__xludf.DUMMYFUNCTION("""COMPUTED_VALUE"""),"")</f>
        <v/>
      </c>
      <c r="E4591" t="str">
        <f>IFERROR(__xludf.DUMMYFUNCTION("""COMPUTED_VALUE"""),"")</f>
        <v/>
      </c>
      <c r="F4591" t="str">
        <f>IFERROR(__xludf.DUMMYFUNCTION("""COMPUTED_VALUE"""),"")</f>
        <v/>
      </c>
      <c r="G4591" t="str">
        <f>IFERROR(__xludf.DUMMYFUNCTION("""COMPUTED_VALUE"""),"")</f>
        <v/>
      </c>
      <c r="H4591" s="2" t="str">
        <f>IFERROR(__xludf.DUMMYFUNCTION("""COMPUTED_VALUE"""),"")</f>
        <v/>
      </c>
      <c r="I4591" s="2" t="str">
        <f>IFERROR(__xludf.DUMMYFUNCTION("""COMPUTED_VALUE"""),"")</f>
        <v/>
      </c>
      <c r="J4591" s="2">
        <f>IFERROR(__xludf.DUMMYFUNCTION("""COMPUTED_VALUE"""),0.0)</f>
        <v>0</v>
      </c>
      <c r="K4591" s="5" t="str">
        <f>IFERROR(__xludf.DUMMYFUNCTION("""COMPUTED_VALUE"""),"")</f>
        <v/>
      </c>
      <c r="L4591" t="str">
        <f>IFERROR(__xludf.DUMMYFUNCTION("""COMPUTED_VALUE"""),"")</f>
        <v/>
      </c>
      <c r="M4591" t="str">
        <f>IFERROR(__xludf.DUMMYFUNCTION("""COMPUTED_VALUE"""),"")</f>
        <v/>
      </c>
      <c r="N4591" t="str">
        <f>IFERROR(__xludf.DUMMYFUNCTION("""COMPUTED_VALUE"""),"")</f>
        <v/>
      </c>
      <c r="O4591" t="str">
        <f>IFERROR(__xludf.DUMMYFUNCTION("""COMPUTED_VALUE"""),"")</f>
        <v/>
      </c>
      <c r="P4591" t="str">
        <f>IFERROR(__xludf.DUMMYFUNCTION("""COMPUTED_VALUE"""),"ID ")</f>
        <v>ID </v>
      </c>
    </row>
    <row r="4592">
      <c r="A4592" s="6" t="str">
        <f>IFERROR(__xludf.DUMMYFUNCTION("""COMPUTED_VALUE"""),"")</f>
        <v/>
      </c>
      <c r="C4592" t="str">
        <f>IFERROR(__xludf.DUMMYFUNCTION("""COMPUTED_VALUE"""),"")</f>
        <v/>
      </c>
      <c r="D4592" t="str">
        <f>IFERROR(__xludf.DUMMYFUNCTION("""COMPUTED_VALUE"""),"")</f>
        <v/>
      </c>
      <c r="E4592" t="str">
        <f>IFERROR(__xludf.DUMMYFUNCTION("""COMPUTED_VALUE"""),"")</f>
        <v/>
      </c>
      <c r="F4592" t="str">
        <f>IFERROR(__xludf.DUMMYFUNCTION("""COMPUTED_VALUE"""),"")</f>
        <v/>
      </c>
      <c r="G4592" t="str">
        <f>IFERROR(__xludf.DUMMYFUNCTION("""COMPUTED_VALUE"""),"")</f>
        <v/>
      </c>
      <c r="H4592" s="2" t="str">
        <f>IFERROR(__xludf.DUMMYFUNCTION("""COMPUTED_VALUE"""),"")</f>
        <v/>
      </c>
      <c r="I4592" s="2" t="str">
        <f>IFERROR(__xludf.DUMMYFUNCTION("""COMPUTED_VALUE"""),"")</f>
        <v/>
      </c>
      <c r="J4592" s="2">
        <f>IFERROR(__xludf.DUMMYFUNCTION("""COMPUTED_VALUE"""),0.0)</f>
        <v>0</v>
      </c>
      <c r="K4592" s="5" t="str">
        <f>IFERROR(__xludf.DUMMYFUNCTION("""COMPUTED_VALUE"""),"")</f>
        <v/>
      </c>
      <c r="L4592" t="str">
        <f>IFERROR(__xludf.DUMMYFUNCTION("""COMPUTED_VALUE"""),"")</f>
        <v/>
      </c>
      <c r="M4592" t="str">
        <f>IFERROR(__xludf.DUMMYFUNCTION("""COMPUTED_VALUE"""),"")</f>
        <v/>
      </c>
      <c r="N4592" t="str">
        <f>IFERROR(__xludf.DUMMYFUNCTION("""COMPUTED_VALUE"""),"")</f>
        <v/>
      </c>
      <c r="O4592" t="str">
        <f>IFERROR(__xludf.DUMMYFUNCTION("""COMPUTED_VALUE"""),"")</f>
        <v/>
      </c>
      <c r="P4592" t="str">
        <f>IFERROR(__xludf.DUMMYFUNCTION("""COMPUTED_VALUE"""),"ID ")</f>
        <v>ID </v>
      </c>
    </row>
    <row r="4593">
      <c r="A4593" s="6" t="str">
        <f>IFERROR(__xludf.DUMMYFUNCTION("""COMPUTED_VALUE"""),"")</f>
        <v/>
      </c>
      <c r="C4593" t="str">
        <f>IFERROR(__xludf.DUMMYFUNCTION("""COMPUTED_VALUE"""),"")</f>
        <v/>
      </c>
      <c r="D4593" t="str">
        <f>IFERROR(__xludf.DUMMYFUNCTION("""COMPUTED_VALUE"""),"")</f>
        <v/>
      </c>
      <c r="E4593" t="str">
        <f>IFERROR(__xludf.DUMMYFUNCTION("""COMPUTED_VALUE"""),"")</f>
        <v/>
      </c>
      <c r="F4593" t="str">
        <f>IFERROR(__xludf.DUMMYFUNCTION("""COMPUTED_VALUE"""),"")</f>
        <v/>
      </c>
      <c r="G4593" t="str">
        <f>IFERROR(__xludf.DUMMYFUNCTION("""COMPUTED_VALUE"""),"")</f>
        <v/>
      </c>
      <c r="H4593" s="2" t="str">
        <f>IFERROR(__xludf.DUMMYFUNCTION("""COMPUTED_VALUE"""),"")</f>
        <v/>
      </c>
      <c r="I4593" s="2" t="str">
        <f>IFERROR(__xludf.DUMMYFUNCTION("""COMPUTED_VALUE"""),"")</f>
        <v/>
      </c>
      <c r="J4593" s="2">
        <f>IFERROR(__xludf.DUMMYFUNCTION("""COMPUTED_VALUE"""),0.0)</f>
        <v>0</v>
      </c>
      <c r="K4593" s="5" t="str">
        <f>IFERROR(__xludf.DUMMYFUNCTION("""COMPUTED_VALUE"""),"")</f>
        <v/>
      </c>
      <c r="L4593" t="str">
        <f>IFERROR(__xludf.DUMMYFUNCTION("""COMPUTED_VALUE"""),"")</f>
        <v/>
      </c>
      <c r="M4593" t="str">
        <f>IFERROR(__xludf.DUMMYFUNCTION("""COMPUTED_VALUE"""),"")</f>
        <v/>
      </c>
      <c r="N4593" t="str">
        <f>IFERROR(__xludf.DUMMYFUNCTION("""COMPUTED_VALUE"""),"")</f>
        <v/>
      </c>
      <c r="O4593" t="str">
        <f>IFERROR(__xludf.DUMMYFUNCTION("""COMPUTED_VALUE"""),"")</f>
        <v/>
      </c>
      <c r="P4593" t="str">
        <f>IFERROR(__xludf.DUMMYFUNCTION("""COMPUTED_VALUE"""),"ID ")</f>
        <v>ID </v>
      </c>
    </row>
    <row r="4594">
      <c r="A4594" s="6" t="str">
        <f>IFERROR(__xludf.DUMMYFUNCTION("""COMPUTED_VALUE"""),"")</f>
        <v/>
      </c>
      <c r="C4594" t="str">
        <f>IFERROR(__xludf.DUMMYFUNCTION("""COMPUTED_VALUE"""),"")</f>
        <v/>
      </c>
      <c r="D4594" t="str">
        <f>IFERROR(__xludf.DUMMYFUNCTION("""COMPUTED_VALUE"""),"")</f>
        <v/>
      </c>
      <c r="E4594" t="str">
        <f>IFERROR(__xludf.DUMMYFUNCTION("""COMPUTED_VALUE"""),"")</f>
        <v/>
      </c>
      <c r="F4594" t="str">
        <f>IFERROR(__xludf.DUMMYFUNCTION("""COMPUTED_VALUE"""),"")</f>
        <v/>
      </c>
      <c r="G4594" t="str">
        <f>IFERROR(__xludf.DUMMYFUNCTION("""COMPUTED_VALUE"""),"")</f>
        <v/>
      </c>
      <c r="H4594" s="2" t="str">
        <f>IFERROR(__xludf.DUMMYFUNCTION("""COMPUTED_VALUE"""),"")</f>
        <v/>
      </c>
      <c r="I4594" s="2" t="str">
        <f>IFERROR(__xludf.DUMMYFUNCTION("""COMPUTED_VALUE"""),"")</f>
        <v/>
      </c>
      <c r="J4594" s="2">
        <f>IFERROR(__xludf.DUMMYFUNCTION("""COMPUTED_VALUE"""),0.0)</f>
        <v>0</v>
      </c>
      <c r="K4594" s="5" t="str">
        <f>IFERROR(__xludf.DUMMYFUNCTION("""COMPUTED_VALUE"""),"")</f>
        <v/>
      </c>
      <c r="L4594" t="str">
        <f>IFERROR(__xludf.DUMMYFUNCTION("""COMPUTED_VALUE"""),"")</f>
        <v/>
      </c>
      <c r="M4594" t="str">
        <f>IFERROR(__xludf.DUMMYFUNCTION("""COMPUTED_VALUE"""),"")</f>
        <v/>
      </c>
      <c r="N4594" t="str">
        <f>IFERROR(__xludf.DUMMYFUNCTION("""COMPUTED_VALUE"""),"")</f>
        <v/>
      </c>
      <c r="O4594" t="str">
        <f>IFERROR(__xludf.DUMMYFUNCTION("""COMPUTED_VALUE"""),"")</f>
        <v/>
      </c>
      <c r="P4594" t="str">
        <f>IFERROR(__xludf.DUMMYFUNCTION("""COMPUTED_VALUE"""),"ID ")</f>
        <v>ID </v>
      </c>
    </row>
    <row r="4595">
      <c r="A4595" s="6" t="str">
        <f>IFERROR(__xludf.DUMMYFUNCTION("""COMPUTED_VALUE"""),"")</f>
        <v/>
      </c>
      <c r="C4595" t="str">
        <f>IFERROR(__xludf.DUMMYFUNCTION("""COMPUTED_VALUE"""),"")</f>
        <v/>
      </c>
      <c r="D4595" t="str">
        <f>IFERROR(__xludf.DUMMYFUNCTION("""COMPUTED_VALUE"""),"")</f>
        <v/>
      </c>
      <c r="E4595" t="str">
        <f>IFERROR(__xludf.DUMMYFUNCTION("""COMPUTED_VALUE"""),"")</f>
        <v/>
      </c>
      <c r="F4595" t="str">
        <f>IFERROR(__xludf.DUMMYFUNCTION("""COMPUTED_VALUE"""),"")</f>
        <v/>
      </c>
      <c r="G4595" t="str">
        <f>IFERROR(__xludf.DUMMYFUNCTION("""COMPUTED_VALUE"""),"")</f>
        <v/>
      </c>
      <c r="H4595" s="2" t="str">
        <f>IFERROR(__xludf.DUMMYFUNCTION("""COMPUTED_VALUE"""),"")</f>
        <v/>
      </c>
      <c r="I4595" s="2" t="str">
        <f>IFERROR(__xludf.DUMMYFUNCTION("""COMPUTED_VALUE"""),"")</f>
        <v/>
      </c>
      <c r="J4595" s="2">
        <f>IFERROR(__xludf.DUMMYFUNCTION("""COMPUTED_VALUE"""),0.0)</f>
        <v>0</v>
      </c>
      <c r="K4595" s="5" t="str">
        <f>IFERROR(__xludf.DUMMYFUNCTION("""COMPUTED_VALUE"""),"")</f>
        <v/>
      </c>
      <c r="L4595" t="str">
        <f>IFERROR(__xludf.DUMMYFUNCTION("""COMPUTED_VALUE"""),"")</f>
        <v/>
      </c>
      <c r="M4595" t="str">
        <f>IFERROR(__xludf.DUMMYFUNCTION("""COMPUTED_VALUE"""),"")</f>
        <v/>
      </c>
      <c r="N4595" t="str">
        <f>IFERROR(__xludf.DUMMYFUNCTION("""COMPUTED_VALUE"""),"")</f>
        <v/>
      </c>
      <c r="O4595" t="str">
        <f>IFERROR(__xludf.DUMMYFUNCTION("""COMPUTED_VALUE"""),"")</f>
        <v/>
      </c>
      <c r="P4595" t="str">
        <f>IFERROR(__xludf.DUMMYFUNCTION("""COMPUTED_VALUE"""),"ID ")</f>
        <v>ID </v>
      </c>
    </row>
    <row r="4596">
      <c r="A4596" s="6" t="str">
        <f>IFERROR(__xludf.DUMMYFUNCTION("""COMPUTED_VALUE"""),"")</f>
        <v/>
      </c>
      <c r="C4596" t="str">
        <f>IFERROR(__xludf.DUMMYFUNCTION("""COMPUTED_VALUE"""),"")</f>
        <v/>
      </c>
      <c r="D4596" t="str">
        <f>IFERROR(__xludf.DUMMYFUNCTION("""COMPUTED_VALUE"""),"")</f>
        <v/>
      </c>
      <c r="E4596" t="str">
        <f>IFERROR(__xludf.DUMMYFUNCTION("""COMPUTED_VALUE"""),"")</f>
        <v/>
      </c>
      <c r="F4596" t="str">
        <f>IFERROR(__xludf.DUMMYFUNCTION("""COMPUTED_VALUE"""),"")</f>
        <v/>
      </c>
      <c r="G4596" t="str">
        <f>IFERROR(__xludf.DUMMYFUNCTION("""COMPUTED_VALUE"""),"")</f>
        <v/>
      </c>
      <c r="H4596" s="2" t="str">
        <f>IFERROR(__xludf.DUMMYFUNCTION("""COMPUTED_VALUE"""),"")</f>
        <v/>
      </c>
      <c r="I4596" s="2" t="str">
        <f>IFERROR(__xludf.DUMMYFUNCTION("""COMPUTED_VALUE"""),"")</f>
        <v/>
      </c>
      <c r="J4596" s="2">
        <f>IFERROR(__xludf.DUMMYFUNCTION("""COMPUTED_VALUE"""),0.0)</f>
        <v>0</v>
      </c>
      <c r="K4596" s="5" t="str">
        <f>IFERROR(__xludf.DUMMYFUNCTION("""COMPUTED_VALUE"""),"")</f>
        <v/>
      </c>
      <c r="L4596" t="str">
        <f>IFERROR(__xludf.DUMMYFUNCTION("""COMPUTED_VALUE"""),"")</f>
        <v/>
      </c>
      <c r="M4596" t="str">
        <f>IFERROR(__xludf.DUMMYFUNCTION("""COMPUTED_VALUE"""),"")</f>
        <v/>
      </c>
      <c r="N4596" t="str">
        <f>IFERROR(__xludf.DUMMYFUNCTION("""COMPUTED_VALUE"""),"")</f>
        <v/>
      </c>
      <c r="O4596" t="str">
        <f>IFERROR(__xludf.DUMMYFUNCTION("""COMPUTED_VALUE"""),"")</f>
        <v/>
      </c>
      <c r="P4596" t="str">
        <f>IFERROR(__xludf.DUMMYFUNCTION("""COMPUTED_VALUE"""),"ID ")</f>
        <v>ID </v>
      </c>
    </row>
    <row r="4597">
      <c r="A4597" s="6" t="str">
        <f>IFERROR(__xludf.DUMMYFUNCTION("""COMPUTED_VALUE"""),"")</f>
        <v/>
      </c>
      <c r="C4597" t="str">
        <f>IFERROR(__xludf.DUMMYFUNCTION("""COMPUTED_VALUE"""),"")</f>
        <v/>
      </c>
      <c r="D4597" t="str">
        <f>IFERROR(__xludf.DUMMYFUNCTION("""COMPUTED_VALUE"""),"")</f>
        <v/>
      </c>
      <c r="E4597" t="str">
        <f>IFERROR(__xludf.DUMMYFUNCTION("""COMPUTED_VALUE"""),"")</f>
        <v/>
      </c>
      <c r="F4597" t="str">
        <f>IFERROR(__xludf.DUMMYFUNCTION("""COMPUTED_VALUE"""),"")</f>
        <v/>
      </c>
      <c r="G4597" t="str">
        <f>IFERROR(__xludf.DUMMYFUNCTION("""COMPUTED_VALUE"""),"")</f>
        <v/>
      </c>
      <c r="H4597" s="2" t="str">
        <f>IFERROR(__xludf.DUMMYFUNCTION("""COMPUTED_VALUE"""),"")</f>
        <v/>
      </c>
      <c r="I4597" s="2" t="str">
        <f>IFERROR(__xludf.DUMMYFUNCTION("""COMPUTED_VALUE"""),"")</f>
        <v/>
      </c>
      <c r="J4597" s="2">
        <f>IFERROR(__xludf.DUMMYFUNCTION("""COMPUTED_VALUE"""),0.0)</f>
        <v>0</v>
      </c>
      <c r="K4597" s="5" t="str">
        <f>IFERROR(__xludf.DUMMYFUNCTION("""COMPUTED_VALUE"""),"")</f>
        <v/>
      </c>
      <c r="L4597" t="str">
        <f>IFERROR(__xludf.DUMMYFUNCTION("""COMPUTED_VALUE"""),"")</f>
        <v/>
      </c>
      <c r="M4597" t="str">
        <f>IFERROR(__xludf.DUMMYFUNCTION("""COMPUTED_VALUE"""),"")</f>
        <v/>
      </c>
      <c r="N4597" t="str">
        <f>IFERROR(__xludf.DUMMYFUNCTION("""COMPUTED_VALUE"""),"")</f>
        <v/>
      </c>
      <c r="O4597" t="str">
        <f>IFERROR(__xludf.DUMMYFUNCTION("""COMPUTED_VALUE"""),"")</f>
        <v/>
      </c>
      <c r="P4597" t="str">
        <f>IFERROR(__xludf.DUMMYFUNCTION("""COMPUTED_VALUE"""),"ID ")</f>
        <v>ID </v>
      </c>
    </row>
    <row r="4598">
      <c r="A4598" s="6" t="str">
        <f>IFERROR(__xludf.DUMMYFUNCTION("""COMPUTED_VALUE"""),"")</f>
        <v/>
      </c>
      <c r="C4598" t="str">
        <f>IFERROR(__xludf.DUMMYFUNCTION("""COMPUTED_VALUE"""),"")</f>
        <v/>
      </c>
      <c r="D4598" t="str">
        <f>IFERROR(__xludf.DUMMYFUNCTION("""COMPUTED_VALUE"""),"")</f>
        <v/>
      </c>
      <c r="E4598" t="str">
        <f>IFERROR(__xludf.DUMMYFUNCTION("""COMPUTED_VALUE"""),"")</f>
        <v/>
      </c>
      <c r="F4598" t="str">
        <f>IFERROR(__xludf.DUMMYFUNCTION("""COMPUTED_VALUE"""),"")</f>
        <v/>
      </c>
      <c r="G4598" t="str">
        <f>IFERROR(__xludf.DUMMYFUNCTION("""COMPUTED_VALUE"""),"")</f>
        <v/>
      </c>
      <c r="H4598" s="2" t="str">
        <f>IFERROR(__xludf.DUMMYFUNCTION("""COMPUTED_VALUE"""),"")</f>
        <v/>
      </c>
      <c r="I4598" s="2" t="str">
        <f>IFERROR(__xludf.DUMMYFUNCTION("""COMPUTED_VALUE"""),"")</f>
        <v/>
      </c>
      <c r="J4598" s="2">
        <f>IFERROR(__xludf.DUMMYFUNCTION("""COMPUTED_VALUE"""),0.0)</f>
        <v>0</v>
      </c>
      <c r="K4598" s="5" t="str">
        <f>IFERROR(__xludf.DUMMYFUNCTION("""COMPUTED_VALUE"""),"")</f>
        <v/>
      </c>
      <c r="L4598" t="str">
        <f>IFERROR(__xludf.DUMMYFUNCTION("""COMPUTED_VALUE"""),"")</f>
        <v/>
      </c>
      <c r="M4598" t="str">
        <f>IFERROR(__xludf.DUMMYFUNCTION("""COMPUTED_VALUE"""),"")</f>
        <v/>
      </c>
      <c r="N4598" t="str">
        <f>IFERROR(__xludf.DUMMYFUNCTION("""COMPUTED_VALUE"""),"")</f>
        <v/>
      </c>
      <c r="O4598" t="str">
        <f>IFERROR(__xludf.DUMMYFUNCTION("""COMPUTED_VALUE"""),"")</f>
        <v/>
      </c>
      <c r="P4598" t="str">
        <f>IFERROR(__xludf.DUMMYFUNCTION("""COMPUTED_VALUE"""),"ID ")</f>
        <v>ID </v>
      </c>
    </row>
    <row r="4599">
      <c r="A4599" s="6" t="str">
        <f>IFERROR(__xludf.DUMMYFUNCTION("""COMPUTED_VALUE"""),"")</f>
        <v/>
      </c>
      <c r="C4599" t="str">
        <f>IFERROR(__xludf.DUMMYFUNCTION("""COMPUTED_VALUE"""),"")</f>
        <v/>
      </c>
      <c r="D4599" t="str">
        <f>IFERROR(__xludf.DUMMYFUNCTION("""COMPUTED_VALUE"""),"")</f>
        <v/>
      </c>
      <c r="E4599" t="str">
        <f>IFERROR(__xludf.DUMMYFUNCTION("""COMPUTED_VALUE"""),"")</f>
        <v/>
      </c>
      <c r="F4599" t="str">
        <f>IFERROR(__xludf.DUMMYFUNCTION("""COMPUTED_VALUE"""),"")</f>
        <v/>
      </c>
      <c r="G4599" t="str">
        <f>IFERROR(__xludf.DUMMYFUNCTION("""COMPUTED_VALUE"""),"")</f>
        <v/>
      </c>
      <c r="H4599" s="2" t="str">
        <f>IFERROR(__xludf.DUMMYFUNCTION("""COMPUTED_VALUE"""),"")</f>
        <v/>
      </c>
      <c r="I4599" s="2" t="str">
        <f>IFERROR(__xludf.DUMMYFUNCTION("""COMPUTED_VALUE"""),"")</f>
        <v/>
      </c>
      <c r="J4599" s="2">
        <f>IFERROR(__xludf.DUMMYFUNCTION("""COMPUTED_VALUE"""),0.0)</f>
        <v>0</v>
      </c>
      <c r="K4599" s="5" t="str">
        <f>IFERROR(__xludf.DUMMYFUNCTION("""COMPUTED_VALUE"""),"")</f>
        <v/>
      </c>
      <c r="L4599" t="str">
        <f>IFERROR(__xludf.DUMMYFUNCTION("""COMPUTED_VALUE"""),"")</f>
        <v/>
      </c>
      <c r="M4599" t="str">
        <f>IFERROR(__xludf.DUMMYFUNCTION("""COMPUTED_VALUE"""),"")</f>
        <v/>
      </c>
      <c r="N4599" t="str">
        <f>IFERROR(__xludf.DUMMYFUNCTION("""COMPUTED_VALUE"""),"")</f>
        <v/>
      </c>
      <c r="O4599" t="str">
        <f>IFERROR(__xludf.DUMMYFUNCTION("""COMPUTED_VALUE"""),"")</f>
        <v/>
      </c>
      <c r="P4599" t="str">
        <f>IFERROR(__xludf.DUMMYFUNCTION("""COMPUTED_VALUE"""),"ID ")</f>
        <v>ID </v>
      </c>
    </row>
    <row r="4600">
      <c r="A4600" s="6" t="str">
        <f>IFERROR(__xludf.DUMMYFUNCTION("""COMPUTED_VALUE"""),"")</f>
        <v/>
      </c>
      <c r="C4600" t="str">
        <f>IFERROR(__xludf.DUMMYFUNCTION("""COMPUTED_VALUE"""),"")</f>
        <v/>
      </c>
      <c r="D4600" t="str">
        <f>IFERROR(__xludf.DUMMYFUNCTION("""COMPUTED_VALUE"""),"")</f>
        <v/>
      </c>
      <c r="E4600" t="str">
        <f>IFERROR(__xludf.DUMMYFUNCTION("""COMPUTED_VALUE"""),"")</f>
        <v/>
      </c>
      <c r="F4600" t="str">
        <f>IFERROR(__xludf.DUMMYFUNCTION("""COMPUTED_VALUE"""),"")</f>
        <v/>
      </c>
      <c r="G4600" t="str">
        <f>IFERROR(__xludf.DUMMYFUNCTION("""COMPUTED_VALUE"""),"")</f>
        <v/>
      </c>
      <c r="H4600" s="2" t="str">
        <f>IFERROR(__xludf.DUMMYFUNCTION("""COMPUTED_VALUE"""),"")</f>
        <v/>
      </c>
      <c r="I4600" s="2" t="str">
        <f>IFERROR(__xludf.DUMMYFUNCTION("""COMPUTED_VALUE"""),"")</f>
        <v/>
      </c>
      <c r="J4600" s="2">
        <f>IFERROR(__xludf.DUMMYFUNCTION("""COMPUTED_VALUE"""),0.0)</f>
        <v>0</v>
      </c>
      <c r="K4600" s="5" t="str">
        <f>IFERROR(__xludf.DUMMYFUNCTION("""COMPUTED_VALUE"""),"")</f>
        <v/>
      </c>
      <c r="L4600" t="str">
        <f>IFERROR(__xludf.DUMMYFUNCTION("""COMPUTED_VALUE"""),"")</f>
        <v/>
      </c>
      <c r="M4600" t="str">
        <f>IFERROR(__xludf.DUMMYFUNCTION("""COMPUTED_VALUE"""),"")</f>
        <v/>
      </c>
      <c r="N4600" t="str">
        <f>IFERROR(__xludf.DUMMYFUNCTION("""COMPUTED_VALUE"""),"")</f>
        <v/>
      </c>
      <c r="O4600" t="str">
        <f>IFERROR(__xludf.DUMMYFUNCTION("""COMPUTED_VALUE"""),"")</f>
        <v/>
      </c>
      <c r="P4600" t="str">
        <f>IFERROR(__xludf.DUMMYFUNCTION("""COMPUTED_VALUE"""),"ID ")</f>
        <v>ID </v>
      </c>
    </row>
    <row r="4601">
      <c r="A4601" s="6" t="str">
        <f>IFERROR(__xludf.DUMMYFUNCTION("""COMPUTED_VALUE"""),"")</f>
        <v/>
      </c>
      <c r="C4601" t="str">
        <f>IFERROR(__xludf.DUMMYFUNCTION("""COMPUTED_VALUE"""),"")</f>
        <v/>
      </c>
      <c r="D4601" t="str">
        <f>IFERROR(__xludf.DUMMYFUNCTION("""COMPUTED_VALUE"""),"")</f>
        <v/>
      </c>
      <c r="E4601" t="str">
        <f>IFERROR(__xludf.DUMMYFUNCTION("""COMPUTED_VALUE"""),"")</f>
        <v/>
      </c>
      <c r="F4601" t="str">
        <f>IFERROR(__xludf.DUMMYFUNCTION("""COMPUTED_VALUE"""),"")</f>
        <v/>
      </c>
      <c r="G4601" t="str">
        <f>IFERROR(__xludf.DUMMYFUNCTION("""COMPUTED_VALUE"""),"")</f>
        <v/>
      </c>
      <c r="H4601" s="2" t="str">
        <f>IFERROR(__xludf.DUMMYFUNCTION("""COMPUTED_VALUE"""),"")</f>
        <v/>
      </c>
      <c r="I4601" s="2" t="str">
        <f>IFERROR(__xludf.DUMMYFUNCTION("""COMPUTED_VALUE"""),"")</f>
        <v/>
      </c>
      <c r="J4601" s="2">
        <f>IFERROR(__xludf.DUMMYFUNCTION("""COMPUTED_VALUE"""),0.0)</f>
        <v>0</v>
      </c>
      <c r="K4601" s="5" t="str">
        <f>IFERROR(__xludf.DUMMYFUNCTION("""COMPUTED_VALUE"""),"")</f>
        <v/>
      </c>
      <c r="L4601" t="str">
        <f>IFERROR(__xludf.DUMMYFUNCTION("""COMPUTED_VALUE"""),"")</f>
        <v/>
      </c>
      <c r="M4601" t="str">
        <f>IFERROR(__xludf.DUMMYFUNCTION("""COMPUTED_VALUE"""),"")</f>
        <v/>
      </c>
      <c r="N4601" t="str">
        <f>IFERROR(__xludf.DUMMYFUNCTION("""COMPUTED_VALUE"""),"")</f>
        <v/>
      </c>
      <c r="O4601" t="str">
        <f>IFERROR(__xludf.DUMMYFUNCTION("""COMPUTED_VALUE"""),"")</f>
        <v/>
      </c>
      <c r="P4601" t="str">
        <f>IFERROR(__xludf.DUMMYFUNCTION("""COMPUTED_VALUE"""),"ID ")</f>
        <v>ID </v>
      </c>
    </row>
    <row r="4602">
      <c r="A4602" s="6" t="str">
        <f>IFERROR(__xludf.DUMMYFUNCTION("""COMPUTED_VALUE"""),"")</f>
        <v/>
      </c>
      <c r="C4602" t="str">
        <f>IFERROR(__xludf.DUMMYFUNCTION("""COMPUTED_VALUE"""),"")</f>
        <v/>
      </c>
      <c r="D4602" t="str">
        <f>IFERROR(__xludf.DUMMYFUNCTION("""COMPUTED_VALUE"""),"")</f>
        <v/>
      </c>
      <c r="E4602" t="str">
        <f>IFERROR(__xludf.DUMMYFUNCTION("""COMPUTED_VALUE"""),"")</f>
        <v/>
      </c>
      <c r="F4602" t="str">
        <f>IFERROR(__xludf.DUMMYFUNCTION("""COMPUTED_VALUE"""),"")</f>
        <v/>
      </c>
      <c r="G4602" t="str">
        <f>IFERROR(__xludf.DUMMYFUNCTION("""COMPUTED_VALUE"""),"")</f>
        <v/>
      </c>
      <c r="H4602" s="2" t="str">
        <f>IFERROR(__xludf.DUMMYFUNCTION("""COMPUTED_VALUE"""),"")</f>
        <v/>
      </c>
      <c r="I4602" s="2" t="str">
        <f>IFERROR(__xludf.DUMMYFUNCTION("""COMPUTED_VALUE"""),"")</f>
        <v/>
      </c>
      <c r="J4602" s="2">
        <f>IFERROR(__xludf.DUMMYFUNCTION("""COMPUTED_VALUE"""),0.0)</f>
        <v>0</v>
      </c>
      <c r="K4602" s="5" t="str">
        <f>IFERROR(__xludf.DUMMYFUNCTION("""COMPUTED_VALUE"""),"")</f>
        <v/>
      </c>
      <c r="L4602" t="str">
        <f>IFERROR(__xludf.DUMMYFUNCTION("""COMPUTED_VALUE"""),"")</f>
        <v/>
      </c>
      <c r="M4602" t="str">
        <f>IFERROR(__xludf.DUMMYFUNCTION("""COMPUTED_VALUE"""),"")</f>
        <v/>
      </c>
      <c r="N4602" t="str">
        <f>IFERROR(__xludf.DUMMYFUNCTION("""COMPUTED_VALUE"""),"")</f>
        <v/>
      </c>
      <c r="O4602" t="str">
        <f>IFERROR(__xludf.DUMMYFUNCTION("""COMPUTED_VALUE"""),"")</f>
        <v/>
      </c>
      <c r="P4602" t="str">
        <f>IFERROR(__xludf.DUMMYFUNCTION("""COMPUTED_VALUE"""),"ID ")</f>
        <v>ID </v>
      </c>
    </row>
    <row r="4603">
      <c r="A4603" s="6" t="str">
        <f>IFERROR(__xludf.DUMMYFUNCTION("""COMPUTED_VALUE"""),"")</f>
        <v/>
      </c>
      <c r="C4603" t="str">
        <f>IFERROR(__xludf.DUMMYFUNCTION("""COMPUTED_VALUE"""),"")</f>
        <v/>
      </c>
      <c r="D4603" t="str">
        <f>IFERROR(__xludf.DUMMYFUNCTION("""COMPUTED_VALUE"""),"")</f>
        <v/>
      </c>
      <c r="E4603" t="str">
        <f>IFERROR(__xludf.DUMMYFUNCTION("""COMPUTED_VALUE"""),"")</f>
        <v/>
      </c>
      <c r="F4603" t="str">
        <f>IFERROR(__xludf.DUMMYFUNCTION("""COMPUTED_VALUE"""),"")</f>
        <v/>
      </c>
      <c r="G4603" t="str">
        <f>IFERROR(__xludf.DUMMYFUNCTION("""COMPUTED_VALUE"""),"")</f>
        <v/>
      </c>
      <c r="H4603" s="2" t="str">
        <f>IFERROR(__xludf.DUMMYFUNCTION("""COMPUTED_VALUE"""),"")</f>
        <v/>
      </c>
      <c r="I4603" s="2" t="str">
        <f>IFERROR(__xludf.DUMMYFUNCTION("""COMPUTED_VALUE"""),"")</f>
        <v/>
      </c>
      <c r="J4603" s="2">
        <f>IFERROR(__xludf.DUMMYFUNCTION("""COMPUTED_VALUE"""),0.0)</f>
        <v>0</v>
      </c>
      <c r="K4603" s="5" t="str">
        <f>IFERROR(__xludf.DUMMYFUNCTION("""COMPUTED_VALUE"""),"")</f>
        <v/>
      </c>
      <c r="L4603" t="str">
        <f>IFERROR(__xludf.DUMMYFUNCTION("""COMPUTED_VALUE"""),"")</f>
        <v/>
      </c>
      <c r="M4603" t="str">
        <f>IFERROR(__xludf.DUMMYFUNCTION("""COMPUTED_VALUE"""),"")</f>
        <v/>
      </c>
      <c r="N4603" t="str">
        <f>IFERROR(__xludf.DUMMYFUNCTION("""COMPUTED_VALUE"""),"")</f>
        <v/>
      </c>
      <c r="O4603" t="str">
        <f>IFERROR(__xludf.DUMMYFUNCTION("""COMPUTED_VALUE"""),"")</f>
        <v/>
      </c>
      <c r="P4603" t="str">
        <f>IFERROR(__xludf.DUMMYFUNCTION("""COMPUTED_VALUE"""),"ID ")</f>
        <v>ID </v>
      </c>
    </row>
    <row r="4604">
      <c r="A4604" s="6" t="str">
        <f>IFERROR(__xludf.DUMMYFUNCTION("""COMPUTED_VALUE"""),"")</f>
        <v/>
      </c>
      <c r="C4604" t="str">
        <f>IFERROR(__xludf.DUMMYFUNCTION("""COMPUTED_VALUE"""),"")</f>
        <v/>
      </c>
      <c r="D4604" t="str">
        <f>IFERROR(__xludf.DUMMYFUNCTION("""COMPUTED_VALUE"""),"")</f>
        <v/>
      </c>
      <c r="E4604" t="str">
        <f>IFERROR(__xludf.DUMMYFUNCTION("""COMPUTED_VALUE"""),"")</f>
        <v/>
      </c>
      <c r="F4604" t="str">
        <f>IFERROR(__xludf.DUMMYFUNCTION("""COMPUTED_VALUE"""),"")</f>
        <v/>
      </c>
      <c r="G4604" t="str">
        <f>IFERROR(__xludf.DUMMYFUNCTION("""COMPUTED_VALUE"""),"")</f>
        <v/>
      </c>
      <c r="H4604" s="2" t="str">
        <f>IFERROR(__xludf.DUMMYFUNCTION("""COMPUTED_VALUE"""),"")</f>
        <v/>
      </c>
      <c r="I4604" s="2" t="str">
        <f>IFERROR(__xludf.DUMMYFUNCTION("""COMPUTED_VALUE"""),"")</f>
        <v/>
      </c>
      <c r="J4604" s="2">
        <f>IFERROR(__xludf.DUMMYFUNCTION("""COMPUTED_VALUE"""),0.0)</f>
        <v>0</v>
      </c>
      <c r="K4604" s="5" t="str">
        <f>IFERROR(__xludf.DUMMYFUNCTION("""COMPUTED_VALUE"""),"")</f>
        <v/>
      </c>
      <c r="L4604" t="str">
        <f>IFERROR(__xludf.DUMMYFUNCTION("""COMPUTED_VALUE"""),"")</f>
        <v/>
      </c>
      <c r="M4604" t="str">
        <f>IFERROR(__xludf.DUMMYFUNCTION("""COMPUTED_VALUE"""),"")</f>
        <v/>
      </c>
      <c r="N4604" t="str">
        <f>IFERROR(__xludf.DUMMYFUNCTION("""COMPUTED_VALUE"""),"")</f>
        <v/>
      </c>
      <c r="O4604" t="str">
        <f>IFERROR(__xludf.DUMMYFUNCTION("""COMPUTED_VALUE"""),"")</f>
        <v/>
      </c>
      <c r="P4604" t="str">
        <f>IFERROR(__xludf.DUMMYFUNCTION("""COMPUTED_VALUE"""),"ID ")</f>
        <v>ID </v>
      </c>
    </row>
    <row r="4605">
      <c r="A4605" s="6" t="str">
        <f>IFERROR(__xludf.DUMMYFUNCTION("""COMPUTED_VALUE"""),"")</f>
        <v/>
      </c>
      <c r="C4605" t="str">
        <f>IFERROR(__xludf.DUMMYFUNCTION("""COMPUTED_VALUE"""),"")</f>
        <v/>
      </c>
      <c r="D4605" t="str">
        <f>IFERROR(__xludf.DUMMYFUNCTION("""COMPUTED_VALUE"""),"")</f>
        <v/>
      </c>
      <c r="E4605" t="str">
        <f>IFERROR(__xludf.DUMMYFUNCTION("""COMPUTED_VALUE"""),"")</f>
        <v/>
      </c>
      <c r="F4605" t="str">
        <f>IFERROR(__xludf.DUMMYFUNCTION("""COMPUTED_VALUE"""),"")</f>
        <v/>
      </c>
      <c r="G4605" t="str">
        <f>IFERROR(__xludf.DUMMYFUNCTION("""COMPUTED_VALUE"""),"")</f>
        <v/>
      </c>
      <c r="H4605" s="2" t="str">
        <f>IFERROR(__xludf.DUMMYFUNCTION("""COMPUTED_VALUE"""),"")</f>
        <v/>
      </c>
      <c r="I4605" s="2" t="str">
        <f>IFERROR(__xludf.DUMMYFUNCTION("""COMPUTED_VALUE"""),"")</f>
        <v/>
      </c>
      <c r="J4605" s="2">
        <f>IFERROR(__xludf.DUMMYFUNCTION("""COMPUTED_VALUE"""),0.0)</f>
        <v>0</v>
      </c>
      <c r="K4605" s="5" t="str">
        <f>IFERROR(__xludf.DUMMYFUNCTION("""COMPUTED_VALUE"""),"")</f>
        <v/>
      </c>
      <c r="L4605" t="str">
        <f>IFERROR(__xludf.DUMMYFUNCTION("""COMPUTED_VALUE"""),"")</f>
        <v/>
      </c>
      <c r="M4605" t="str">
        <f>IFERROR(__xludf.DUMMYFUNCTION("""COMPUTED_VALUE"""),"")</f>
        <v/>
      </c>
      <c r="N4605" t="str">
        <f>IFERROR(__xludf.DUMMYFUNCTION("""COMPUTED_VALUE"""),"")</f>
        <v/>
      </c>
      <c r="O4605" t="str">
        <f>IFERROR(__xludf.DUMMYFUNCTION("""COMPUTED_VALUE"""),"")</f>
        <v/>
      </c>
      <c r="P4605" t="str">
        <f>IFERROR(__xludf.DUMMYFUNCTION("""COMPUTED_VALUE"""),"ID ")</f>
        <v>ID </v>
      </c>
    </row>
    <row r="4606">
      <c r="A4606" s="6" t="str">
        <f>IFERROR(__xludf.DUMMYFUNCTION("""COMPUTED_VALUE"""),"")</f>
        <v/>
      </c>
      <c r="C4606" t="str">
        <f>IFERROR(__xludf.DUMMYFUNCTION("""COMPUTED_VALUE"""),"")</f>
        <v/>
      </c>
      <c r="D4606" t="str">
        <f>IFERROR(__xludf.DUMMYFUNCTION("""COMPUTED_VALUE"""),"")</f>
        <v/>
      </c>
      <c r="E4606" t="str">
        <f>IFERROR(__xludf.DUMMYFUNCTION("""COMPUTED_VALUE"""),"")</f>
        <v/>
      </c>
      <c r="F4606" t="str">
        <f>IFERROR(__xludf.DUMMYFUNCTION("""COMPUTED_VALUE"""),"")</f>
        <v/>
      </c>
      <c r="G4606" t="str">
        <f>IFERROR(__xludf.DUMMYFUNCTION("""COMPUTED_VALUE"""),"")</f>
        <v/>
      </c>
      <c r="H4606" s="2" t="str">
        <f>IFERROR(__xludf.DUMMYFUNCTION("""COMPUTED_VALUE"""),"")</f>
        <v/>
      </c>
      <c r="I4606" s="2" t="str">
        <f>IFERROR(__xludf.DUMMYFUNCTION("""COMPUTED_VALUE"""),"")</f>
        <v/>
      </c>
      <c r="J4606" s="2">
        <f>IFERROR(__xludf.DUMMYFUNCTION("""COMPUTED_VALUE"""),0.0)</f>
        <v>0</v>
      </c>
      <c r="K4606" s="5" t="str">
        <f>IFERROR(__xludf.DUMMYFUNCTION("""COMPUTED_VALUE"""),"")</f>
        <v/>
      </c>
      <c r="L4606" t="str">
        <f>IFERROR(__xludf.DUMMYFUNCTION("""COMPUTED_VALUE"""),"")</f>
        <v/>
      </c>
      <c r="M4606" t="str">
        <f>IFERROR(__xludf.DUMMYFUNCTION("""COMPUTED_VALUE"""),"")</f>
        <v/>
      </c>
      <c r="N4606" t="str">
        <f>IFERROR(__xludf.DUMMYFUNCTION("""COMPUTED_VALUE"""),"")</f>
        <v/>
      </c>
      <c r="O4606" t="str">
        <f>IFERROR(__xludf.DUMMYFUNCTION("""COMPUTED_VALUE"""),"")</f>
        <v/>
      </c>
      <c r="P4606" t="str">
        <f>IFERROR(__xludf.DUMMYFUNCTION("""COMPUTED_VALUE"""),"ID ")</f>
        <v>ID </v>
      </c>
    </row>
    <row r="4607">
      <c r="A4607" s="6" t="str">
        <f>IFERROR(__xludf.DUMMYFUNCTION("""COMPUTED_VALUE"""),"")</f>
        <v/>
      </c>
      <c r="C4607" t="str">
        <f>IFERROR(__xludf.DUMMYFUNCTION("""COMPUTED_VALUE"""),"")</f>
        <v/>
      </c>
      <c r="D4607" t="str">
        <f>IFERROR(__xludf.DUMMYFUNCTION("""COMPUTED_VALUE"""),"")</f>
        <v/>
      </c>
      <c r="E4607" t="str">
        <f>IFERROR(__xludf.DUMMYFUNCTION("""COMPUTED_VALUE"""),"")</f>
        <v/>
      </c>
      <c r="F4607" t="str">
        <f>IFERROR(__xludf.DUMMYFUNCTION("""COMPUTED_VALUE"""),"")</f>
        <v/>
      </c>
      <c r="G4607" t="str">
        <f>IFERROR(__xludf.DUMMYFUNCTION("""COMPUTED_VALUE"""),"")</f>
        <v/>
      </c>
      <c r="H4607" s="2" t="str">
        <f>IFERROR(__xludf.DUMMYFUNCTION("""COMPUTED_VALUE"""),"")</f>
        <v/>
      </c>
      <c r="I4607" s="2" t="str">
        <f>IFERROR(__xludf.DUMMYFUNCTION("""COMPUTED_VALUE"""),"")</f>
        <v/>
      </c>
      <c r="J4607" s="2">
        <f>IFERROR(__xludf.DUMMYFUNCTION("""COMPUTED_VALUE"""),0.0)</f>
        <v>0</v>
      </c>
      <c r="K4607" s="5" t="str">
        <f>IFERROR(__xludf.DUMMYFUNCTION("""COMPUTED_VALUE"""),"")</f>
        <v/>
      </c>
      <c r="L4607" t="str">
        <f>IFERROR(__xludf.DUMMYFUNCTION("""COMPUTED_VALUE"""),"")</f>
        <v/>
      </c>
      <c r="M4607" t="str">
        <f>IFERROR(__xludf.DUMMYFUNCTION("""COMPUTED_VALUE"""),"")</f>
        <v/>
      </c>
      <c r="N4607" t="str">
        <f>IFERROR(__xludf.DUMMYFUNCTION("""COMPUTED_VALUE"""),"")</f>
        <v/>
      </c>
      <c r="O4607" t="str">
        <f>IFERROR(__xludf.DUMMYFUNCTION("""COMPUTED_VALUE"""),"")</f>
        <v/>
      </c>
      <c r="P4607" t="str">
        <f>IFERROR(__xludf.DUMMYFUNCTION("""COMPUTED_VALUE"""),"ID ")</f>
        <v>ID </v>
      </c>
    </row>
    <row r="4608">
      <c r="A4608" s="6" t="str">
        <f>IFERROR(__xludf.DUMMYFUNCTION("""COMPUTED_VALUE"""),"")</f>
        <v/>
      </c>
      <c r="C4608" t="str">
        <f>IFERROR(__xludf.DUMMYFUNCTION("""COMPUTED_VALUE"""),"")</f>
        <v/>
      </c>
      <c r="D4608" t="str">
        <f>IFERROR(__xludf.DUMMYFUNCTION("""COMPUTED_VALUE"""),"")</f>
        <v/>
      </c>
      <c r="E4608" t="str">
        <f>IFERROR(__xludf.DUMMYFUNCTION("""COMPUTED_VALUE"""),"")</f>
        <v/>
      </c>
      <c r="F4608" t="str">
        <f>IFERROR(__xludf.DUMMYFUNCTION("""COMPUTED_VALUE"""),"")</f>
        <v/>
      </c>
      <c r="G4608" t="str">
        <f>IFERROR(__xludf.DUMMYFUNCTION("""COMPUTED_VALUE"""),"")</f>
        <v/>
      </c>
      <c r="H4608" s="2" t="str">
        <f>IFERROR(__xludf.DUMMYFUNCTION("""COMPUTED_VALUE"""),"")</f>
        <v/>
      </c>
      <c r="I4608" s="2" t="str">
        <f>IFERROR(__xludf.DUMMYFUNCTION("""COMPUTED_VALUE"""),"")</f>
        <v/>
      </c>
      <c r="J4608" s="2">
        <f>IFERROR(__xludf.DUMMYFUNCTION("""COMPUTED_VALUE"""),0.0)</f>
        <v>0</v>
      </c>
      <c r="K4608" s="5" t="str">
        <f>IFERROR(__xludf.DUMMYFUNCTION("""COMPUTED_VALUE"""),"")</f>
        <v/>
      </c>
      <c r="L4608" t="str">
        <f>IFERROR(__xludf.DUMMYFUNCTION("""COMPUTED_VALUE"""),"")</f>
        <v/>
      </c>
      <c r="M4608" t="str">
        <f>IFERROR(__xludf.DUMMYFUNCTION("""COMPUTED_VALUE"""),"")</f>
        <v/>
      </c>
      <c r="N4608" t="str">
        <f>IFERROR(__xludf.DUMMYFUNCTION("""COMPUTED_VALUE"""),"")</f>
        <v/>
      </c>
      <c r="O4608" t="str">
        <f>IFERROR(__xludf.DUMMYFUNCTION("""COMPUTED_VALUE"""),"")</f>
        <v/>
      </c>
      <c r="P4608" t="str">
        <f>IFERROR(__xludf.DUMMYFUNCTION("""COMPUTED_VALUE"""),"ID ")</f>
        <v>ID </v>
      </c>
    </row>
    <row r="4609">
      <c r="A4609" s="6" t="str">
        <f>IFERROR(__xludf.DUMMYFUNCTION("""COMPUTED_VALUE"""),"")</f>
        <v/>
      </c>
      <c r="C4609" t="str">
        <f>IFERROR(__xludf.DUMMYFUNCTION("""COMPUTED_VALUE"""),"")</f>
        <v/>
      </c>
      <c r="D4609" t="str">
        <f>IFERROR(__xludf.DUMMYFUNCTION("""COMPUTED_VALUE"""),"")</f>
        <v/>
      </c>
      <c r="E4609" t="str">
        <f>IFERROR(__xludf.DUMMYFUNCTION("""COMPUTED_VALUE"""),"")</f>
        <v/>
      </c>
      <c r="F4609" t="str">
        <f>IFERROR(__xludf.DUMMYFUNCTION("""COMPUTED_VALUE"""),"")</f>
        <v/>
      </c>
      <c r="G4609" t="str">
        <f>IFERROR(__xludf.DUMMYFUNCTION("""COMPUTED_VALUE"""),"")</f>
        <v/>
      </c>
      <c r="H4609" s="2" t="str">
        <f>IFERROR(__xludf.DUMMYFUNCTION("""COMPUTED_VALUE"""),"")</f>
        <v/>
      </c>
      <c r="I4609" s="2" t="str">
        <f>IFERROR(__xludf.DUMMYFUNCTION("""COMPUTED_VALUE"""),"")</f>
        <v/>
      </c>
      <c r="J4609" s="2">
        <f>IFERROR(__xludf.DUMMYFUNCTION("""COMPUTED_VALUE"""),0.0)</f>
        <v>0</v>
      </c>
      <c r="K4609" s="5" t="str">
        <f>IFERROR(__xludf.DUMMYFUNCTION("""COMPUTED_VALUE"""),"")</f>
        <v/>
      </c>
      <c r="L4609" t="str">
        <f>IFERROR(__xludf.DUMMYFUNCTION("""COMPUTED_VALUE"""),"")</f>
        <v/>
      </c>
      <c r="M4609" t="str">
        <f>IFERROR(__xludf.DUMMYFUNCTION("""COMPUTED_VALUE"""),"")</f>
        <v/>
      </c>
      <c r="N4609" t="str">
        <f>IFERROR(__xludf.DUMMYFUNCTION("""COMPUTED_VALUE"""),"")</f>
        <v/>
      </c>
      <c r="O4609" t="str">
        <f>IFERROR(__xludf.DUMMYFUNCTION("""COMPUTED_VALUE"""),"")</f>
        <v/>
      </c>
      <c r="P4609" t="str">
        <f>IFERROR(__xludf.DUMMYFUNCTION("""COMPUTED_VALUE"""),"ID ")</f>
        <v>ID </v>
      </c>
    </row>
    <row r="4610">
      <c r="A4610" s="6" t="str">
        <f>IFERROR(__xludf.DUMMYFUNCTION("""COMPUTED_VALUE"""),"")</f>
        <v/>
      </c>
      <c r="C4610" t="str">
        <f>IFERROR(__xludf.DUMMYFUNCTION("""COMPUTED_VALUE"""),"")</f>
        <v/>
      </c>
      <c r="D4610" t="str">
        <f>IFERROR(__xludf.DUMMYFUNCTION("""COMPUTED_VALUE"""),"")</f>
        <v/>
      </c>
      <c r="E4610" t="str">
        <f>IFERROR(__xludf.DUMMYFUNCTION("""COMPUTED_VALUE"""),"")</f>
        <v/>
      </c>
      <c r="F4610" t="str">
        <f>IFERROR(__xludf.DUMMYFUNCTION("""COMPUTED_VALUE"""),"")</f>
        <v/>
      </c>
      <c r="G4610" t="str">
        <f>IFERROR(__xludf.DUMMYFUNCTION("""COMPUTED_VALUE"""),"")</f>
        <v/>
      </c>
      <c r="H4610" s="2" t="str">
        <f>IFERROR(__xludf.DUMMYFUNCTION("""COMPUTED_VALUE"""),"")</f>
        <v/>
      </c>
      <c r="I4610" s="2" t="str">
        <f>IFERROR(__xludf.DUMMYFUNCTION("""COMPUTED_VALUE"""),"")</f>
        <v/>
      </c>
      <c r="J4610" s="2">
        <f>IFERROR(__xludf.DUMMYFUNCTION("""COMPUTED_VALUE"""),0.0)</f>
        <v>0</v>
      </c>
      <c r="K4610" s="5" t="str">
        <f>IFERROR(__xludf.DUMMYFUNCTION("""COMPUTED_VALUE"""),"")</f>
        <v/>
      </c>
      <c r="L4610" t="str">
        <f>IFERROR(__xludf.DUMMYFUNCTION("""COMPUTED_VALUE"""),"")</f>
        <v/>
      </c>
      <c r="M4610" t="str">
        <f>IFERROR(__xludf.DUMMYFUNCTION("""COMPUTED_VALUE"""),"")</f>
        <v/>
      </c>
      <c r="N4610" t="str">
        <f>IFERROR(__xludf.DUMMYFUNCTION("""COMPUTED_VALUE"""),"")</f>
        <v/>
      </c>
      <c r="O4610" t="str">
        <f>IFERROR(__xludf.DUMMYFUNCTION("""COMPUTED_VALUE"""),"")</f>
        <v/>
      </c>
      <c r="P4610" t="str">
        <f>IFERROR(__xludf.DUMMYFUNCTION("""COMPUTED_VALUE"""),"ID ")</f>
        <v>ID </v>
      </c>
    </row>
    <row r="4611">
      <c r="A4611" s="6" t="str">
        <f>IFERROR(__xludf.DUMMYFUNCTION("""COMPUTED_VALUE"""),"")</f>
        <v/>
      </c>
      <c r="C4611" t="str">
        <f>IFERROR(__xludf.DUMMYFUNCTION("""COMPUTED_VALUE"""),"")</f>
        <v/>
      </c>
      <c r="D4611" t="str">
        <f>IFERROR(__xludf.DUMMYFUNCTION("""COMPUTED_VALUE"""),"")</f>
        <v/>
      </c>
      <c r="E4611" t="str">
        <f>IFERROR(__xludf.DUMMYFUNCTION("""COMPUTED_VALUE"""),"")</f>
        <v/>
      </c>
      <c r="F4611" t="str">
        <f>IFERROR(__xludf.DUMMYFUNCTION("""COMPUTED_VALUE"""),"")</f>
        <v/>
      </c>
      <c r="G4611" t="str">
        <f>IFERROR(__xludf.DUMMYFUNCTION("""COMPUTED_VALUE"""),"")</f>
        <v/>
      </c>
      <c r="H4611" s="2" t="str">
        <f>IFERROR(__xludf.DUMMYFUNCTION("""COMPUTED_VALUE"""),"")</f>
        <v/>
      </c>
      <c r="I4611" s="2" t="str">
        <f>IFERROR(__xludf.DUMMYFUNCTION("""COMPUTED_VALUE"""),"")</f>
        <v/>
      </c>
      <c r="J4611" s="2">
        <f>IFERROR(__xludf.DUMMYFUNCTION("""COMPUTED_VALUE"""),0.0)</f>
        <v>0</v>
      </c>
      <c r="K4611" s="5" t="str">
        <f>IFERROR(__xludf.DUMMYFUNCTION("""COMPUTED_VALUE"""),"")</f>
        <v/>
      </c>
      <c r="L4611" t="str">
        <f>IFERROR(__xludf.DUMMYFUNCTION("""COMPUTED_VALUE"""),"")</f>
        <v/>
      </c>
      <c r="M4611" t="str">
        <f>IFERROR(__xludf.DUMMYFUNCTION("""COMPUTED_VALUE"""),"")</f>
        <v/>
      </c>
      <c r="N4611" t="str">
        <f>IFERROR(__xludf.DUMMYFUNCTION("""COMPUTED_VALUE"""),"")</f>
        <v/>
      </c>
      <c r="O4611" t="str">
        <f>IFERROR(__xludf.DUMMYFUNCTION("""COMPUTED_VALUE"""),"")</f>
        <v/>
      </c>
      <c r="P4611" t="str">
        <f>IFERROR(__xludf.DUMMYFUNCTION("""COMPUTED_VALUE"""),"ID ")</f>
        <v>ID </v>
      </c>
    </row>
    <row r="4612">
      <c r="A4612" s="6" t="str">
        <f>IFERROR(__xludf.DUMMYFUNCTION("""COMPUTED_VALUE"""),"")</f>
        <v/>
      </c>
      <c r="C4612" t="str">
        <f>IFERROR(__xludf.DUMMYFUNCTION("""COMPUTED_VALUE"""),"")</f>
        <v/>
      </c>
      <c r="D4612" t="str">
        <f>IFERROR(__xludf.DUMMYFUNCTION("""COMPUTED_VALUE"""),"")</f>
        <v/>
      </c>
      <c r="E4612" t="str">
        <f>IFERROR(__xludf.DUMMYFUNCTION("""COMPUTED_VALUE"""),"")</f>
        <v/>
      </c>
      <c r="F4612" t="str">
        <f>IFERROR(__xludf.DUMMYFUNCTION("""COMPUTED_VALUE"""),"")</f>
        <v/>
      </c>
      <c r="G4612" t="str">
        <f>IFERROR(__xludf.DUMMYFUNCTION("""COMPUTED_VALUE"""),"")</f>
        <v/>
      </c>
      <c r="H4612" s="2" t="str">
        <f>IFERROR(__xludf.DUMMYFUNCTION("""COMPUTED_VALUE"""),"")</f>
        <v/>
      </c>
      <c r="I4612" s="2" t="str">
        <f>IFERROR(__xludf.DUMMYFUNCTION("""COMPUTED_VALUE"""),"")</f>
        <v/>
      </c>
      <c r="J4612" s="2">
        <f>IFERROR(__xludf.DUMMYFUNCTION("""COMPUTED_VALUE"""),0.0)</f>
        <v>0</v>
      </c>
      <c r="K4612" s="5" t="str">
        <f>IFERROR(__xludf.DUMMYFUNCTION("""COMPUTED_VALUE"""),"")</f>
        <v/>
      </c>
      <c r="L4612" t="str">
        <f>IFERROR(__xludf.DUMMYFUNCTION("""COMPUTED_VALUE"""),"")</f>
        <v/>
      </c>
      <c r="M4612" t="str">
        <f>IFERROR(__xludf.DUMMYFUNCTION("""COMPUTED_VALUE"""),"")</f>
        <v/>
      </c>
      <c r="N4612" t="str">
        <f>IFERROR(__xludf.DUMMYFUNCTION("""COMPUTED_VALUE"""),"")</f>
        <v/>
      </c>
      <c r="O4612" t="str">
        <f>IFERROR(__xludf.DUMMYFUNCTION("""COMPUTED_VALUE"""),"")</f>
        <v/>
      </c>
      <c r="P4612" t="str">
        <f>IFERROR(__xludf.DUMMYFUNCTION("""COMPUTED_VALUE"""),"ID ")</f>
        <v>ID </v>
      </c>
    </row>
    <row r="4613">
      <c r="A4613" s="6" t="str">
        <f>IFERROR(__xludf.DUMMYFUNCTION("""COMPUTED_VALUE"""),"")</f>
        <v/>
      </c>
      <c r="C4613" t="str">
        <f>IFERROR(__xludf.DUMMYFUNCTION("""COMPUTED_VALUE"""),"")</f>
        <v/>
      </c>
      <c r="D4613" t="str">
        <f>IFERROR(__xludf.DUMMYFUNCTION("""COMPUTED_VALUE"""),"")</f>
        <v/>
      </c>
      <c r="E4613" t="str">
        <f>IFERROR(__xludf.DUMMYFUNCTION("""COMPUTED_VALUE"""),"")</f>
        <v/>
      </c>
      <c r="F4613" t="str">
        <f>IFERROR(__xludf.DUMMYFUNCTION("""COMPUTED_VALUE"""),"")</f>
        <v/>
      </c>
      <c r="G4613" t="str">
        <f>IFERROR(__xludf.DUMMYFUNCTION("""COMPUTED_VALUE"""),"")</f>
        <v/>
      </c>
      <c r="H4613" s="2" t="str">
        <f>IFERROR(__xludf.DUMMYFUNCTION("""COMPUTED_VALUE"""),"")</f>
        <v/>
      </c>
      <c r="I4613" s="2" t="str">
        <f>IFERROR(__xludf.DUMMYFUNCTION("""COMPUTED_VALUE"""),"")</f>
        <v/>
      </c>
      <c r="J4613" s="2">
        <f>IFERROR(__xludf.DUMMYFUNCTION("""COMPUTED_VALUE"""),0.0)</f>
        <v>0</v>
      </c>
      <c r="K4613" s="5" t="str">
        <f>IFERROR(__xludf.DUMMYFUNCTION("""COMPUTED_VALUE"""),"")</f>
        <v/>
      </c>
      <c r="L4613" t="str">
        <f>IFERROR(__xludf.DUMMYFUNCTION("""COMPUTED_VALUE"""),"")</f>
        <v/>
      </c>
      <c r="M4613" t="str">
        <f>IFERROR(__xludf.DUMMYFUNCTION("""COMPUTED_VALUE"""),"")</f>
        <v/>
      </c>
      <c r="N4613" t="str">
        <f>IFERROR(__xludf.DUMMYFUNCTION("""COMPUTED_VALUE"""),"")</f>
        <v/>
      </c>
      <c r="O4613" t="str">
        <f>IFERROR(__xludf.DUMMYFUNCTION("""COMPUTED_VALUE"""),"")</f>
        <v/>
      </c>
      <c r="P4613" t="str">
        <f>IFERROR(__xludf.DUMMYFUNCTION("""COMPUTED_VALUE"""),"ID ")</f>
        <v>ID </v>
      </c>
    </row>
    <row r="4614">
      <c r="A4614" s="6" t="str">
        <f>IFERROR(__xludf.DUMMYFUNCTION("""COMPUTED_VALUE"""),"")</f>
        <v/>
      </c>
      <c r="C4614" t="str">
        <f>IFERROR(__xludf.DUMMYFUNCTION("""COMPUTED_VALUE"""),"")</f>
        <v/>
      </c>
      <c r="D4614" t="str">
        <f>IFERROR(__xludf.DUMMYFUNCTION("""COMPUTED_VALUE"""),"")</f>
        <v/>
      </c>
      <c r="E4614" t="str">
        <f>IFERROR(__xludf.DUMMYFUNCTION("""COMPUTED_VALUE"""),"")</f>
        <v/>
      </c>
      <c r="F4614" t="str">
        <f>IFERROR(__xludf.DUMMYFUNCTION("""COMPUTED_VALUE"""),"")</f>
        <v/>
      </c>
      <c r="G4614" t="str">
        <f>IFERROR(__xludf.DUMMYFUNCTION("""COMPUTED_VALUE"""),"")</f>
        <v/>
      </c>
      <c r="H4614" s="2" t="str">
        <f>IFERROR(__xludf.DUMMYFUNCTION("""COMPUTED_VALUE"""),"")</f>
        <v/>
      </c>
      <c r="I4614" s="2" t="str">
        <f>IFERROR(__xludf.DUMMYFUNCTION("""COMPUTED_VALUE"""),"")</f>
        <v/>
      </c>
      <c r="J4614" s="2">
        <f>IFERROR(__xludf.DUMMYFUNCTION("""COMPUTED_VALUE"""),0.0)</f>
        <v>0</v>
      </c>
      <c r="K4614" s="5" t="str">
        <f>IFERROR(__xludf.DUMMYFUNCTION("""COMPUTED_VALUE"""),"")</f>
        <v/>
      </c>
      <c r="L4614" t="str">
        <f>IFERROR(__xludf.DUMMYFUNCTION("""COMPUTED_VALUE"""),"")</f>
        <v/>
      </c>
      <c r="M4614" t="str">
        <f>IFERROR(__xludf.DUMMYFUNCTION("""COMPUTED_VALUE"""),"")</f>
        <v/>
      </c>
      <c r="N4614" t="str">
        <f>IFERROR(__xludf.DUMMYFUNCTION("""COMPUTED_VALUE"""),"")</f>
        <v/>
      </c>
      <c r="O4614" t="str">
        <f>IFERROR(__xludf.DUMMYFUNCTION("""COMPUTED_VALUE"""),"")</f>
        <v/>
      </c>
      <c r="P4614" t="str">
        <f>IFERROR(__xludf.DUMMYFUNCTION("""COMPUTED_VALUE"""),"ID ")</f>
        <v>ID </v>
      </c>
    </row>
    <row r="4615">
      <c r="A4615" s="6" t="str">
        <f>IFERROR(__xludf.DUMMYFUNCTION("""COMPUTED_VALUE"""),"")</f>
        <v/>
      </c>
      <c r="C4615" t="str">
        <f>IFERROR(__xludf.DUMMYFUNCTION("""COMPUTED_VALUE"""),"")</f>
        <v/>
      </c>
      <c r="D4615" t="str">
        <f>IFERROR(__xludf.DUMMYFUNCTION("""COMPUTED_VALUE"""),"")</f>
        <v/>
      </c>
      <c r="E4615" t="str">
        <f>IFERROR(__xludf.DUMMYFUNCTION("""COMPUTED_VALUE"""),"")</f>
        <v/>
      </c>
      <c r="F4615" t="str">
        <f>IFERROR(__xludf.DUMMYFUNCTION("""COMPUTED_VALUE"""),"")</f>
        <v/>
      </c>
      <c r="G4615" t="str">
        <f>IFERROR(__xludf.DUMMYFUNCTION("""COMPUTED_VALUE"""),"")</f>
        <v/>
      </c>
      <c r="H4615" s="2" t="str">
        <f>IFERROR(__xludf.DUMMYFUNCTION("""COMPUTED_VALUE"""),"")</f>
        <v/>
      </c>
      <c r="I4615" s="2" t="str">
        <f>IFERROR(__xludf.DUMMYFUNCTION("""COMPUTED_VALUE"""),"")</f>
        <v/>
      </c>
      <c r="J4615" s="2">
        <f>IFERROR(__xludf.DUMMYFUNCTION("""COMPUTED_VALUE"""),0.0)</f>
        <v>0</v>
      </c>
      <c r="K4615" s="5" t="str">
        <f>IFERROR(__xludf.DUMMYFUNCTION("""COMPUTED_VALUE"""),"")</f>
        <v/>
      </c>
      <c r="L4615" t="str">
        <f>IFERROR(__xludf.DUMMYFUNCTION("""COMPUTED_VALUE"""),"")</f>
        <v/>
      </c>
      <c r="M4615" t="str">
        <f>IFERROR(__xludf.DUMMYFUNCTION("""COMPUTED_VALUE"""),"")</f>
        <v/>
      </c>
      <c r="N4615" t="str">
        <f>IFERROR(__xludf.DUMMYFUNCTION("""COMPUTED_VALUE"""),"")</f>
        <v/>
      </c>
      <c r="O4615" t="str">
        <f>IFERROR(__xludf.DUMMYFUNCTION("""COMPUTED_VALUE"""),"")</f>
        <v/>
      </c>
      <c r="P4615" t="str">
        <f>IFERROR(__xludf.DUMMYFUNCTION("""COMPUTED_VALUE"""),"ID ")</f>
        <v>ID </v>
      </c>
    </row>
    <row r="4616">
      <c r="A4616" s="6" t="str">
        <f>IFERROR(__xludf.DUMMYFUNCTION("""COMPUTED_VALUE"""),"")</f>
        <v/>
      </c>
      <c r="C4616" t="str">
        <f>IFERROR(__xludf.DUMMYFUNCTION("""COMPUTED_VALUE"""),"")</f>
        <v/>
      </c>
      <c r="D4616" t="str">
        <f>IFERROR(__xludf.DUMMYFUNCTION("""COMPUTED_VALUE"""),"")</f>
        <v/>
      </c>
      <c r="E4616" t="str">
        <f>IFERROR(__xludf.DUMMYFUNCTION("""COMPUTED_VALUE"""),"")</f>
        <v/>
      </c>
      <c r="F4616" t="str">
        <f>IFERROR(__xludf.DUMMYFUNCTION("""COMPUTED_VALUE"""),"")</f>
        <v/>
      </c>
      <c r="G4616" t="str">
        <f>IFERROR(__xludf.DUMMYFUNCTION("""COMPUTED_VALUE"""),"")</f>
        <v/>
      </c>
      <c r="H4616" s="2" t="str">
        <f>IFERROR(__xludf.DUMMYFUNCTION("""COMPUTED_VALUE"""),"")</f>
        <v/>
      </c>
      <c r="I4616" s="2" t="str">
        <f>IFERROR(__xludf.DUMMYFUNCTION("""COMPUTED_VALUE"""),"")</f>
        <v/>
      </c>
      <c r="J4616" s="2">
        <f>IFERROR(__xludf.DUMMYFUNCTION("""COMPUTED_VALUE"""),0.0)</f>
        <v>0</v>
      </c>
      <c r="K4616" s="5" t="str">
        <f>IFERROR(__xludf.DUMMYFUNCTION("""COMPUTED_VALUE"""),"")</f>
        <v/>
      </c>
      <c r="L4616" t="str">
        <f>IFERROR(__xludf.DUMMYFUNCTION("""COMPUTED_VALUE"""),"")</f>
        <v/>
      </c>
      <c r="M4616" t="str">
        <f>IFERROR(__xludf.DUMMYFUNCTION("""COMPUTED_VALUE"""),"")</f>
        <v/>
      </c>
      <c r="N4616" t="str">
        <f>IFERROR(__xludf.DUMMYFUNCTION("""COMPUTED_VALUE"""),"")</f>
        <v/>
      </c>
      <c r="O4616" t="str">
        <f>IFERROR(__xludf.DUMMYFUNCTION("""COMPUTED_VALUE"""),"")</f>
        <v/>
      </c>
      <c r="P4616" t="str">
        <f>IFERROR(__xludf.DUMMYFUNCTION("""COMPUTED_VALUE"""),"ID ")</f>
        <v>ID </v>
      </c>
    </row>
    <row r="4617">
      <c r="A4617" s="6" t="str">
        <f>IFERROR(__xludf.DUMMYFUNCTION("""COMPUTED_VALUE"""),"")</f>
        <v/>
      </c>
      <c r="C4617" t="str">
        <f>IFERROR(__xludf.DUMMYFUNCTION("""COMPUTED_VALUE"""),"")</f>
        <v/>
      </c>
      <c r="D4617" t="str">
        <f>IFERROR(__xludf.DUMMYFUNCTION("""COMPUTED_VALUE"""),"")</f>
        <v/>
      </c>
      <c r="E4617" t="str">
        <f>IFERROR(__xludf.DUMMYFUNCTION("""COMPUTED_VALUE"""),"")</f>
        <v/>
      </c>
      <c r="F4617" t="str">
        <f>IFERROR(__xludf.DUMMYFUNCTION("""COMPUTED_VALUE"""),"")</f>
        <v/>
      </c>
      <c r="G4617" t="str">
        <f>IFERROR(__xludf.DUMMYFUNCTION("""COMPUTED_VALUE"""),"")</f>
        <v/>
      </c>
      <c r="H4617" s="2" t="str">
        <f>IFERROR(__xludf.DUMMYFUNCTION("""COMPUTED_VALUE"""),"")</f>
        <v/>
      </c>
      <c r="I4617" s="2" t="str">
        <f>IFERROR(__xludf.DUMMYFUNCTION("""COMPUTED_VALUE"""),"")</f>
        <v/>
      </c>
      <c r="J4617" s="2">
        <f>IFERROR(__xludf.DUMMYFUNCTION("""COMPUTED_VALUE"""),0.0)</f>
        <v>0</v>
      </c>
      <c r="K4617" s="5" t="str">
        <f>IFERROR(__xludf.DUMMYFUNCTION("""COMPUTED_VALUE"""),"")</f>
        <v/>
      </c>
      <c r="L4617" t="str">
        <f>IFERROR(__xludf.DUMMYFUNCTION("""COMPUTED_VALUE"""),"")</f>
        <v/>
      </c>
      <c r="M4617" t="str">
        <f>IFERROR(__xludf.DUMMYFUNCTION("""COMPUTED_VALUE"""),"")</f>
        <v/>
      </c>
      <c r="N4617" t="str">
        <f>IFERROR(__xludf.DUMMYFUNCTION("""COMPUTED_VALUE"""),"")</f>
        <v/>
      </c>
      <c r="O4617" t="str">
        <f>IFERROR(__xludf.DUMMYFUNCTION("""COMPUTED_VALUE"""),"")</f>
        <v/>
      </c>
      <c r="P4617" t="str">
        <f>IFERROR(__xludf.DUMMYFUNCTION("""COMPUTED_VALUE"""),"ID ")</f>
        <v>ID </v>
      </c>
    </row>
    <row r="4618">
      <c r="A4618" s="6" t="str">
        <f>IFERROR(__xludf.DUMMYFUNCTION("""COMPUTED_VALUE"""),"")</f>
        <v/>
      </c>
      <c r="C4618" t="str">
        <f>IFERROR(__xludf.DUMMYFUNCTION("""COMPUTED_VALUE"""),"")</f>
        <v/>
      </c>
      <c r="D4618" t="str">
        <f>IFERROR(__xludf.DUMMYFUNCTION("""COMPUTED_VALUE"""),"")</f>
        <v/>
      </c>
      <c r="E4618" t="str">
        <f>IFERROR(__xludf.DUMMYFUNCTION("""COMPUTED_VALUE"""),"")</f>
        <v/>
      </c>
      <c r="F4618" t="str">
        <f>IFERROR(__xludf.DUMMYFUNCTION("""COMPUTED_VALUE"""),"")</f>
        <v/>
      </c>
      <c r="G4618" t="str">
        <f>IFERROR(__xludf.DUMMYFUNCTION("""COMPUTED_VALUE"""),"")</f>
        <v/>
      </c>
      <c r="H4618" s="2" t="str">
        <f>IFERROR(__xludf.DUMMYFUNCTION("""COMPUTED_VALUE"""),"")</f>
        <v/>
      </c>
      <c r="I4618" s="2" t="str">
        <f>IFERROR(__xludf.DUMMYFUNCTION("""COMPUTED_VALUE"""),"")</f>
        <v/>
      </c>
      <c r="J4618" s="2">
        <f>IFERROR(__xludf.DUMMYFUNCTION("""COMPUTED_VALUE"""),0.0)</f>
        <v>0</v>
      </c>
      <c r="K4618" s="5" t="str">
        <f>IFERROR(__xludf.DUMMYFUNCTION("""COMPUTED_VALUE"""),"")</f>
        <v/>
      </c>
      <c r="L4618" t="str">
        <f>IFERROR(__xludf.DUMMYFUNCTION("""COMPUTED_VALUE"""),"")</f>
        <v/>
      </c>
      <c r="M4618" t="str">
        <f>IFERROR(__xludf.DUMMYFUNCTION("""COMPUTED_VALUE"""),"")</f>
        <v/>
      </c>
      <c r="N4618" t="str">
        <f>IFERROR(__xludf.DUMMYFUNCTION("""COMPUTED_VALUE"""),"")</f>
        <v/>
      </c>
      <c r="O4618" t="str">
        <f>IFERROR(__xludf.DUMMYFUNCTION("""COMPUTED_VALUE"""),"")</f>
        <v/>
      </c>
      <c r="P4618" t="str">
        <f>IFERROR(__xludf.DUMMYFUNCTION("""COMPUTED_VALUE"""),"ID ")</f>
        <v>ID </v>
      </c>
    </row>
    <row r="4619">
      <c r="A4619" s="6" t="str">
        <f>IFERROR(__xludf.DUMMYFUNCTION("""COMPUTED_VALUE"""),"")</f>
        <v/>
      </c>
      <c r="C4619" t="str">
        <f>IFERROR(__xludf.DUMMYFUNCTION("""COMPUTED_VALUE"""),"")</f>
        <v/>
      </c>
      <c r="D4619" t="str">
        <f>IFERROR(__xludf.DUMMYFUNCTION("""COMPUTED_VALUE"""),"")</f>
        <v/>
      </c>
      <c r="E4619" t="str">
        <f>IFERROR(__xludf.DUMMYFUNCTION("""COMPUTED_VALUE"""),"")</f>
        <v/>
      </c>
      <c r="F4619" t="str">
        <f>IFERROR(__xludf.DUMMYFUNCTION("""COMPUTED_VALUE"""),"")</f>
        <v/>
      </c>
      <c r="G4619" t="str">
        <f>IFERROR(__xludf.DUMMYFUNCTION("""COMPUTED_VALUE"""),"")</f>
        <v/>
      </c>
      <c r="H4619" s="2" t="str">
        <f>IFERROR(__xludf.DUMMYFUNCTION("""COMPUTED_VALUE"""),"")</f>
        <v/>
      </c>
      <c r="I4619" s="2" t="str">
        <f>IFERROR(__xludf.DUMMYFUNCTION("""COMPUTED_VALUE"""),"")</f>
        <v/>
      </c>
      <c r="J4619" s="2">
        <f>IFERROR(__xludf.DUMMYFUNCTION("""COMPUTED_VALUE"""),0.0)</f>
        <v>0</v>
      </c>
      <c r="K4619" s="5" t="str">
        <f>IFERROR(__xludf.DUMMYFUNCTION("""COMPUTED_VALUE"""),"")</f>
        <v/>
      </c>
      <c r="L4619" t="str">
        <f>IFERROR(__xludf.DUMMYFUNCTION("""COMPUTED_VALUE"""),"")</f>
        <v/>
      </c>
      <c r="M4619" t="str">
        <f>IFERROR(__xludf.DUMMYFUNCTION("""COMPUTED_VALUE"""),"")</f>
        <v/>
      </c>
      <c r="N4619" t="str">
        <f>IFERROR(__xludf.DUMMYFUNCTION("""COMPUTED_VALUE"""),"")</f>
        <v/>
      </c>
      <c r="O4619" t="str">
        <f>IFERROR(__xludf.DUMMYFUNCTION("""COMPUTED_VALUE"""),"")</f>
        <v/>
      </c>
      <c r="P4619" t="str">
        <f>IFERROR(__xludf.DUMMYFUNCTION("""COMPUTED_VALUE"""),"ID ")</f>
        <v>ID </v>
      </c>
    </row>
    <row r="4620">
      <c r="A4620" s="6" t="str">
        <f>IFERROR(__xludf.DUMMYFUNCTION("""COMPUTED_VALUE"""),"")</f>
        <v/>
      </c>
      <c r="C4620" t="str">
        <f>IFERROR(__xludf.DUMMYFUNCTION("""COMPUTED_VALUE"""),"")</f>
        <v/>
      </c>
      <c r="D4620" t="str">
        <f>IFERROR(__xludf.DUMMYFUNCTION("""COMPUTED_VALUE"""),"")</f>
        <v/>
      </c>
      <c r="E4620" t="str">
        <f>IFERROR(__xludf.DUMMYFUNCTION("""COMPUTED_VALUE"""),"")</f>
        <v/>
      </c>
      <c r="F4620" t="str">
        <f>IFERROR(__xludf.DUMMYFUNCTION("""COMPUTED_VALUE"""),"")</f>
        <v/>
      </c>
      <c r="G4620" t="str">
        <f>IFERROR(__xludf.DUMMYFUNCTION("""COMPUTED_VALUE"""),"")</f>
        <v/>
      </c>
      <c r="H4620" s="2" t="str">
        <f>IFERROR(__xludf.DUMMYFUNCTION("""COMPUTED_VALUE"""),"")</f>
        <v/>
      </c>
      <c r="I4620" s="2" t="str">
        <f>IFERROR(__xludf.DUMMYFUNCTION("""COMPUTED_VALUE"""),"")</f>
        <v/>
      </c>
      <c r="J4620" s="2">
        <f>IFERROR(__xludf.DUMMYFUNCTION("""COMPUTED_VALUE"""),0.0)</f>
        <v>0</v>
      </c>
      <c r="K4620" s="5" t="str">
        <f>IFERROR(__xludf.DUMMYFUNCTION("""COMPUTED_VALUE"""),"")</f>
        <v/>
      </c>
      <c r="L4620" t="str">
        <f>IFERROR(__xludf.DUMMYFUNCTION("""COMPUTED_VALUE"""),"")</f>
        <v/>
      </c>
      <c r="M4620" t="str">
        <f>IFERROR(__xludf.DUMMYFUNCTION("""COMPUTED_VALUE"""),"")</f>
        <v/>
      </c>
      <c r="N4620" t="str">
        <f>IFERROR(__xludf.DUMMYFUNCTION("""COMPUTED_VALUE"""),"")</f>
        <v/>
      </c>
      <c r="O4620" t="str">
        <f>IFERROR(__xludf.DUMMYFUNCTION("""COMPUTED_VALUE"""),"")</f>
        <v/>
      </c>
      <c r="P4620" t="str">
        <f>IFERROR(__xludf.DUMMYFUNCTION("""COMPUTED_VALUE"""),"ID ")</f>
        <v>ID </v>
      </c>
    </row>
    <row r="4621">
      <c r="A4621" s="6" t="str">
        <f>IFERROR(__xludf.DUMMYFUNCTION("""COMPUTED_VALUE"""),"")</f>
        <v/>
      </c>
      <c r="C4621" t="str">
        <f>IFERROR(__xludf.DUMMYFUNCTION("""COMPUTED_VALUE"""),"")</f>
        <v/>
      </c>
      <c r="D4621" t="str">
        <f>IFERROR(__xludf.DUMMYFUNCTION("""COMPUTED_VALUE"""),"")</f>
        <v/>
      </c>
      <c r="E4621" t="str">
        <f>IFERROR(__xludf.DUMMYFUNCTION("""COMPUTED_VALUE"""),"")</f>
        <v/>
      </c>
      <c r="F4621" t="str">
        <f>IFERROR(__xludf.DUMMYFUNCTION("""COMPUTED_VALUE"""),"")</f>
        <v/>
      </c>
      <c r="G4621" t="str">
        <f>IFERROR(__xludf.DUMMYFUNCTION("""COMPUTED_VALUE"""),"")</f>
        <v/>
      </c>
      <c r="H4621" s="2" t="str">
        <f>IFERROR(__xludf.DUMMYFUNCTION("""COMPUTED_VALUE"""),"")</f>
        <v/>
      </c>
      <c r="I4621" s="2" t="str">
        <f>IFERROR(__xludf.DUMMYFUNCTION("""COMPUTED_VALUE"""),"")</f>
        <v/>
      </c>
      <c r="J4621" s="2">
        <f>IFERROR(__xludf.DUMMYFUNCTION("""COMPUTED_VALUE"""),0.0)</f>
        <v>0</v>
      </c>
      <c r="K4621" s="5" t="str">
        <f>IFERROR(__xludf.DUMMYFUNCTION("""COMPUTED_VALUE"""),"")</f>
        <v/>
      </c>
      <c r="L4621" t="str">
        <f>IFERROR(__xludf.DUMMYFUNCTION("""COMPUTED_VALUE"""),"")</f>
        <v/>
      </c>
      <c r="M4621" t="str">
        <f>IFERROR(__xludf.DUMMYFUNCTION("""COMPUTED_VALUE"""),"")</f>
        <v/>
      </c>
      <c r="N4621" t="str">
        <f>IFERROR(__xludf.DUMMYFUNCTION("""COMPUTED_VALUE"""),"")</f>
        <v/>
      </c>
      <c r="O4621" t="str">
        <f>IFERROR(__xludf.DUMMYFUNCTION("""COMPUTED_VALUE"""),"")</f>
        <v/>
      </c>
      <c r="P4621" t="str">
        <f>IFERROR(__xludf.DUMMYFUNCTION("""COMPUTED_VALUE"""),"ID ")</f>
        <v>ID </v>
      </c>
    </row>
    <row r="4622">
      <c r="A4622" s="6" t="str">
        <f>IFERROR(__xludf.DUMMYFUNCTION("""COMPUTED_VALUE"""),"")</f>
        <v/>
      </c>
      <c r="C4622" t="str">
        <f>IFERROR(__xludf.DUMMYFUNCTION("""COMPUTED_VALUE"""),"")</f>
        <v/>
      </c>
      <c r="D4622" t="str">
        <f>IFERROR(__xludf.DUMMYFUNCTION("""COMPUTED_VALUE"""),"")</f>
        <v/>
      </c>
      <c r="E4622" t="str">
        <f>IFERROR(__xludf.DUMMYFUNCTION("""COMPUTED_VALUE"""),"")</f>
        <v/>
      </c>
      <c r="F4622" t="str">
        <f>IFERROR(__xludf.DUMMYFUNCTION("""COMPUTED_VALUE"""),"")</f>
        <v/>
      </c>
      <c r="G4622" t="str">
        <f>IFERROR(__xludf.DUMMYFUNCTION("""COMPUTED_VALUE"""),"")</f>
        <v/>
      </c>
      <c r="H4622" s="2" t="str">
        <f>IFERROR(__xludf.DUMMYFUNCTION("""COMPUTED_VALUE"""),"")</f>
        <v/>
      </c>
      <c r="I4622" s="2" t="str">
        <f>IFERROR(__xludf.DUMMYFUNCTION("""COMPUTED_VALUE"""),"")</f>
        <v/>
      </c>
      <c r="J4622" s="2">
        <f>IFERROR(__xludf.DUMMYFUNCTION("""COMPUTED_VALUE"""),0.0)</f>
        <v>0</v>
      </c>
      <c r="K4622" s="5" t="str">
        <f>IFERROR(__xludf.DUMMYFUNCTION("""COMPUTED_VALUE"""),"")</f>
        <v/>
      </c>
      <c r="L4622" t="str">
        <f>IFERROR(__xludf.DUMMYFUNCTION("""COMPUTED_VALUE"""),"")</f>
        <v/>
      </c>
      <c r="M4622" t="str">
        <f>IFERROR(__xludf.DUMMYFUNCTION("""COMPUTED_VALUE"""),"")</f>
        <v/>
      </c>
      <c r="N4622" t="str">
        <f>IFERROR(__xludf.DUMMYFUNCTION("""COMPUTED_VALUE"""),"")</f>
        <v/>
      </c>
      <c r="O4622" t="str">
        <f>IFERROR(__xludf.DUMMYFUNCTION("""COMPUTED_VALUE"""),"")</f>
        <v/>
      </c>
      <c r="P4622" t="str">
        <f>IFERROR(__xludf.DUMMYFUNCTION("""COMPUTED_VALUE"""),"ID ")</f>
        <v>ID </v>
      </c>
    </row>
    <row r="4623">
      <c r="A4623" s="6" t="str">
        <f>IFERROR(__xludf.DUMMYFUNCTION("""COMPUTED_VALUE"""),"")</f>
        <v/>
      </c>
      <c r="C4623" t="str">
        <f>IFERROR(__xludf.DUMMYFUNCTION("""COMPUTED_VALUE"""),"")</f>
        <v/>
      </c>
      <c r="D4623" t="str">
        <f>IFERROR(__xludf.DUMMYFUNCTION("""COMPUTED_VALUE"""),"")</f>
        <v/>
      </c>
      <c r="E4623" t="str">
        <f>IFERROR(__xludf.DUMMYFUNCTION("""COMPUTED_VALUE"""),"")</f>
        <v/>
      </c>
      <c r="F4623" t="str">
        <f>IFERROR(__xludf.DUMMYFUNCTION("""COMPUTED_VALUE"""),"")</f>
        <v/>
      </c>
      <c r="G4623" t="str">
        <f>IFERROR(__xludf.DUMMYFUNCTION("""COMPUTED_VALUE"""),"")</f>
        <v/>
      </c>
      <c r="H4623" s="2" t="str">
        <f>IFERROR(__xludf.DUMMYFUNCTION("""COMPUTED_VALUE"""),"")</f>
        <v/>
      </c>
      <c r="I4623" s="2" t="str">
        <f>IFERROR(__xludf.DUMMYFUNCTION("""COMPUTED_VALUE"""),"")</f>
        <v/>
      </c>
      <c r="J4623" s="2">
        <f>IFERROR(__xludf.DUMMYFUNCTION("""COMPUTED_VALUE"""),0.0)</f>
        <v>0</v>
      </c>
      <c r="K4623" s="5" t="str">
        <f>IFERROR(__xludf.DUMMYFUNCTION("""COMPUTED_VALUE"""),"")</f>
        <v/>
      </c>
      <c r="L4623" t="str">
        <f>IFERROR(__xludf.DUMMYFUNCTION("""COMPUTED_VALUE"""),"")</f>
        <v/>
      </c>
      <c r="M4623" t="str">
        <f>IFERROR(__xludf.DUMMYFUNCTION("""COMPUTED_VALUE"""),"")</f>
        <v/>
      </c>
      <c r="N4623" t="str">
        <f>IFERROR(__xludf.DUMMYFUNCTION("""COMPUTED_VALUE"""),"")</f>
        <v/>
      </c>
      <c r="O4623" t="str">
        <f>IFERROR(__xludf.DUMMYFUNCTION("""COMPUTED_VALUE"""),"")</f>
        <v/>
      </c>
      <c r="P4623" t="str">
        <f>IFERROR(__xludf.DUMMYFUNCTION("""COMPUTED_VALUE"""),"ID ")</f>
        <v>ID </v>
      </c>
    </row>
    <row r="4624">
      <c r="A4624" s="6" t="str">
        <f>IFERROR(__xludf.DUMMYFUNCTION("""COMPUTED_VALUE"""),"")</f>
        <v/>
      </c>
      <c r="C4624" t="str">
        <f>IFERROR(__xludf.DUMMYFUNCTION("""COMPUTED_VALUE"""),"")</f>
        <v/>
      </c>
      <c r="D4624" t="str">
        <f>IFERROR(__xludf.DUMMYFUNCTION("""COMPUTED_VALUE"""),"")</f>
        <v/>
      </c>
      <c r="E4624" t="str">
        <f>IFERROR(__xludf.DUMMYFUNCTION("""COMPUTED_VALUE"""),"")</f>
        <v/>
      </c>
      <c r="F4624" t="str">
        <f>IFERROR(__xludf.DUMMYFUNCTION("""COMPUTED_VALUE"""),"")</f>
        <v/>
      </c>
      <c r="G4624" t="str">
        <f>IFERROR(__xludf.DUMMYFUNCTION("""COMPUTED_VALUE"""),"")</f>
        <v/>
      </c>
      <c r="H4624" s="2" t="str">
        <f>IFERROR(__xludf.DUMMYFUNCTION("""COMPUTED_VALUE"""),"")</f>
        <v/>
      </c>
      <c r="I4624" s="2" t="str">
        <f>IFERROR(__xludf.DUMMYFUNCTION("""COMPUTED_VALUE"""),"")</f>
        <v/>
      </c>
      <c r="J4624" s="2">
        <f>IFERROR(__xludf.DUMMYFUNCTION("""COMPUTED_VALUE"""),0.0)</f>
        <v>0</v>
      </c>
      <c r="K4624" s="5" t="str">
        <f>IFERROR(__xludf.DUMMYFUNCTION("""COMPUTED_VALUE"""),"")</f>
        <v/>
      </c>
      <c r="L4624" t="str">
        <f>IFERROR(__xludf.DUMMYFUNCTION("""COMPUTED_VALUE"""),"")</f>
        <v/>
      </c>
      <c r="M4624" t="str">
        <f>IFERROR(__xludf.DUMMYFUNCTION("""COMPUTED_VALUE"""),"")</f>
        <v/>
      </c>
      <c r="N4624" t="str">
        <f>IFERROR(__xludf.DUMMYFUNCTION("""COMPUTED_VALUE"""),"")</f>
        <v/>
      </c>
      <c r="O4624" t="str">
        <f>IFERROR(__xludf.DUMMYFUNCTION("""COMPUTED_VALUE"""),"")</f>
        <v/>
      </c>
      <c r="P4624" t="str">
        <f>IFERROR(__xludf.DUMMYFUNCTION("""COMPUTED_VALUE"""),"ID ")</f>
        <v>ID </v>
      </c>
    </row>
    <row r="4625">
      <c r="A4625" s="6" t="str">
        <f>IFERROR(__xludf.DUMMYFUNCTION("""COMPUTED_VALUE"""),"")</f>
        <v/>
      </c>
      <c r="C4625" t="str">
        <f>IFERROR(__xludf.DUMMYFUNCTION("""COMPUTED_VALUE"""),"")</f>
        <v/>
      </c>
      <c r="D4625" t="str">
        <f>IFERROR(__xludf.DUMMYFUNCTION("""COMPUTED_VALUE"""),"")</f>
        <v/>
      </c>
      <c r="E4625" t="str">
        <f>IFERROR(__xludf.DUMMYFUNCTION("""COMPUTED_VALUE"""),"")</f>
        <v/>
      </c>
      <c r="F4625" t="str">
        <f>IFERROR(__xludf.DUMMYFUNCTION("""COMPUTED_VALUE"""),"")</f>
        <v/>
      </c>
      <c r="G4625" t="str">
        <f>IFERROR(__xludf.DUMMYFUNCTION("""COMPUTED_VALUE"""),"")</f>
        <v/>
      </c>
      <c r="H4625" s="2" t="str">
        <f>IFERROR(__xludf.DUMMYFUNCTION("""COMPUTED_VALUE"""),"")</f>
        <v/>
      </c>
      <c r="I4625" s="2" t="str">
        <f>IFERROR(__xludf.DUMMYFUNCTION("""COMPUTED_VALUE"""),"")</f>
        <v/>
      </c>
      <c r="J4625" s="2">
        <f>IFERROR(__xludf.DUMMYFUNCTION("""COMPUTED_VALUE"""),0.0)</f>
        <v>0</v>
      </c>
      <c r="K4625" s="5" t="str">
        <f>IFERROR(__xludf.DUMMYFUNCTION("""COMPUTED_VALUE"""),"")</f>
        <v/>
      </c>
      <c r="L4625" t="str">
        <f>IFERROR(__xludf.DUMMYFUNCTION("""COMPUTED_VALUE"""),"")</f>
        <v/>
      </c>
      <c r="M4625" t="str">
        <f>IFERROR(__xludf.DUMMYFUNCTION("""COMPUTED_VALUE"""),"")</f>
        <v/>
      </c>
      <c r="N4625" t="str">
        <f>IFERROR(__xludf.DUMMYFUNCTION("""COMPUTED_VALUE"""),"")</f>
        <v/>
      </c>
      <c r="O4625" t="str">
        <f>IFERROR(__xludf.DUMMYFUNCTION("""COMPUTED_VALUE"""),"")</f>
        <v/>
      </c>
      <c r="P4625" t="str">
        <f>IFERROR(__xludf.DUMMYFUNCTION("""COMPUTED_VALUE"""),"ID ")</f>
        <v>ID </v>
      </c>
    </row>
    <row r="4626">
      <c r="A4626" s="6" t="str">
        <f>IFERROR(__xludf.DUMMYFUNCTION("""COMPUTED_VALUE"""),"")</f>
        <v/>
      </c>
      <c r="C4626" t="str">
        <f>IFERROR(__xludf.DUMMYFUNCTION("""COMPUTED_VALUE"""),"")</f>
        <v/>
      </c>
      <c r="D4626" t="str">
        <f>IFERROR(__xludf.DUMMYFUNCTION("""COMPUTED_VALUE"""),"")</f>
        <v/>
      </c>
      <c r="E4626" t="str">
        <f>IFERROR(__xludf.DUMMYFUNCTION("""COMPUTED_VALUE"""),"")</f>
        <v/>
      </c>
      <c r="F4626" t="str">
        <f>IFERROR(__xludf.DUMMYFUNCTION("""COMPUTED_VALUE"""),"")</f>
        <v/>
      </c>
      <c r="G4626" t="str">
        <f>IFERROR(__xludf.DUMMYFUNCTION("""COMPUTED_VALUE"""),"")</f>
        <v/>
      </c>
      <c r="H4626" s="2" t="str">
        <f>IFERROR(__xludf.DUMMYFUNCTION("""COMPUTED_VALUE"""),"")</f>
        <v/>
      </c>
      <c r="I4626" s="2" t="str">
        <f>IFERROR(__xludf.DUMMYFUNCTION("""COMPUTED_VALUE"""),"")</f>
        <v/>
      </c>
      <c r="J4626" s="2">
        <f>IFERROR(__xludf.DUMMYFUNCTION("""COMPUTED_VALUE"""),0.0)</f>
        <v>0</v>
      </c>
      <c r="K4626" s="5" t="str">
        <f>IFERROR(__xludf.DUMMYFUNCTION("""COMPUTED_VALUE"""),"")</f>
        <v/>
      </c>
      <c r="L4626" t="str">
        <f>IFERROR(__xludf.DUMMYFUNCTION("""COMPUTED_VALUE"""),"")</f>
        <v/>
      </c>
      <c r="M4626" t="str">
        <f>IFERROR(__xludf.DUMMYFUNCTION("""COMPUTED_VALUE"""),"")</f>
        <v/>
      </c>
      <c r="N4626" t="str">
        <f>IFERROR(__xludf.DUMMYFUNCTION("""COMPUTED_VALUE"""),"")</f>
        <v/>
      </c>
      <c r="O4626" t="str">
        <f>IFERROR(__xludf.DUMMYFUNCTION("""COMPUTED_VALUE"""),"")</f>
        <v/>
      </c>
      <c r="P4626" t="str">
        <f>IFERROR(__xludf.DUMMYFUNCTION("""COMPUTED_VALUE"""),"ID ")</f>
        <v>ID </v>
      </c>
    </row>
    <row r="4627">
      <c r="A4627" s="6" t="str">
        <f>IFERROR(__xludf.DUMMYFUNCTION("""COMPUTED_VALUE"""),"")</f>
        <v/>
      </c>
      <c r="C4627" t="str">
        <f>IFERROR(__xludf.DUMMYFUNCTION("""COMPUTED_VALUE"""),"")</f>
        <v/>
      </c>
      <c r="D4627" t="str">
        <f>IFERROR(__xludf.DUMMYFUNCTION("""COMPUTED_VALUE"""),"")</f>
        <v/>
      </c>
      <c r="E4627" t="str">
        <f>IFERROR(__xludf.DUMMYFUNCTION("""COMPUTED_VALUE"""),"")</f>
        <v/>
      </c>
      <c r="F4627" t="str">
        <f>IFERROR(__xludf.DUMMYFUNCTION("""COMPUTED_VALUE"""),"")</f>
        <v/>
      </c>
      <c r="G4627" t="str">
        <f>IFERROR(__xludf.DUMMYFUNCTION("""COMPUTED_VALUE"""),"")</f>
        <v/>
      </c>
      <c r="H4627" s="2" t="str">
        <f>IFERROR(__xludf.DUMMYFUNCTION("""COMPUTED_VALUE"""),"")</f>
        <v/>
      </c>
      <c r="I4627" s="2" t="str">
        <f>IFERROR(__xludf.DUMMYFUNCTION("""COMPUTED_VALUE"""),"")</f>
        <v/>
      </c>
      <c r="J4627" s="2">
        <f>IFERROR(__xludf.DUMMYFUNCTION("""COMPUTED_VALUE"""),0.0)</f>
        <v>0</v>
      </c>
      <c r="K4627" s="5" t="str">
        <f>IFERROR(__xludf.DUMMYFUNCTION("""COMPUTED_VALUE"""),"")</f>
        <v/>
      </c>
      <c r="L4627" t="str">
        <f>IFERROR(__xludf.DUMMYFUNCTION("""COMPUTED_VALUE"""),"")</f>
        <v/>
      </c>
      <c r="M4627" t="str">
        <f>IFERROR(__xludf.DUMMYFUNCTION("""COMPUTED_VALUE"""),"")</f>
        <v/>
      </c>
      <c r="N4627" t="str">
        <f>IFERROR(__xludf.DUMMYFUNCTION("""COMPUTED_VALUE"""),"")</f>
        <v/>
      </c>
      <c r="O4627" t="str">
        <f>IFERROR(__xludf.DUMMYFUNCTION("""COMPUTED_VALUE"""),"")</f>
        <v/>
      </c>
      <c r="P4627" t="str">
        <f>IFERROR(__xludf.DUMMYFUNCTION("""COMPUTED_VALUE"""),"ID ")</f>
        <v>ID </v>
      </c>
    </row>
    <row r="4628">
      <c r="A4628" s="6" t="str">
        <f>IFERROR(__xludf.DUMMYFUNCTION("""COMPUTED_VALUE"""),"")</f>
        <v/>
      </c>
      <c r="C4628" t="str">
        <f>IFERROR(__xludf.DUMMYFUNCTION("""COMPUTED_VALUE"""),"")</f>
        <v/>
      </c>
      <c r="D4628" t="str">
        <f>IFERROR(__xludf.DUMMYFUNCTION("""COMPUTED_VALUE"""),"")</f>
        <v/>
      </c>
      <c r="E4628" t="str">
        <f>IFERROR(__xludf.DUMMYFUNCTION("""COMPUTED_VALUE"""),"")</f>
        <v/>
      </c>
      <c r="F4628" t="str">
        <f>IFERROR(__xludf.DUMMYFUNCTION("""COMPUTED_VALUE"""),"")</f>
        <v/>
      </c>
      <c r="G4628" t="str">
        <f>IFERROR(__xludf.DUMMYFUNCTION("""COMPUTED_VALUE"""),"")</f>
        <v/>
      </c>
      <c r="H4628" s="2" t="str">
        <f>IFERROR(__xludf.DUMMYFUNCTION("""COMPUTED_VALUE"""),"")</f>
        <v/>
      </c>
      <c r="I4628" s="2" t="str">
        <f>IFERROR(__xludf.DUMMYFUNCTION("""COMPUTED_VALUE"""),"")</f>
        <v/>
      </c>
      <c r="J4628" s="2">
        <f>IFERROR(__xludf.DUMMYFUNCTION("""COMPUTED_VALUE"""),0.0)</f>
        <v>0</v>
      </c>
      <c r="K4628" s="5" t="str">
        <f>IFERROR(__xludf.DUMMYFUNCTION("""COMPUTED_VALUE"""),"")</f>
        <v/>
      </c>
      <c r="L4628" t="str">
        <f>IFERROR(__xludf.DUMMYFUNCTION("""COMPUTED_VALUE"""),"")</f>
        <v/>
      </c>
      <c r="M4628" t="str">
        <f>IFERROR(__xludf.DUMMYFUNCTION("""COMPUTED_VALUE"""),"")</f>
        <v/>
      </c>
      <c r="N4628" t="str">
        <f>IFERROR(__xludf.DUMMYFUNCTION("""COMPUTED_VALUE"""),"")</f>
        <v/>
      </c>
      <c r="O4628" t="str">
        <f>IFERROR(__xludf.DUMMYFUNCTION("""COMPUTED_VALUE"""),"")</f>
        <v/>
      </c>
      <c r="P4628" t="str">
        <f>IFERROR(__xludf.DUMMYFUNCTION("""COMPUTED_VALUE"""),"ID ")</f>
        <v>ID </v>
      </c>
    </row>
    <row r="4629">
      <c r="A4629" s="6" t="str">
        <f>IFERROR(__xludf.DUMMYFUNCTION("""COMPUTED_VALUE"""),"")</f>
        <v/>
      </c>
      <c r="C4629" t="str">
        <f>IFERROR(__xludf.DUMMYFUNCTION("""COMPUTED_VALUE"""),"")</f>
        <v/>
      </c>
      <c r="D4629" t="str">
        <f>IFERROR(__xludf.DUMMYFUNCTION("""COMPUTED_VALUE"""),"")</f>
        <v/>
      </c>
      <c r="E4629" t="str">
        <f>IFERROR(__xludf.DUMMYFUNCTION("""COMPUTED_VALUE"""),"")</f>
        <v/>
      </c>
      <c r="F4629" t="str">
        <f>IFERROR(__xludf.DUMMYFUNCTION("""COMPUTED_VALUE"""),"")</f>
        <v/>
      </c>
      <c r="G4629" t="str">
        <f>IFERROR(__xludf.DUMMYFUNCTION("""COMPUTED_VALUE"""),"")</f>
        <v/>
      </c>
      <c r="H4629" s="2" t="str">
        <f>IFERROR(__xludf.DUMMYFUNCTION("""COMPUTED_VALUE"""),"")</f>
        <v/>
      </c>
      <c r="I4629" s="2" t="str">
        <f>IFERROR(__xludf.DUMMYFUNCTION("""COMPUTED_VALUE"""),"")</f>
        <v/>
      </c>
      <c r="J4629" s="2">
        <f>IFERROR(__xludf.DUMMYFUNCTION("""COMPUTED_VALUE"""),0.0)</f>
        <v>0</v>
      </c>
      <c r="K4629" s="5" t="str">
        <f>IFERROR(__xludf.DUMMYFUNCTION("""COMPUTED_VALUE"""),"")</f>
        <v/>
      </c>
      <c r="L4629" t="str">
        <f>IFERROR(__xludf.DUMMYFUNCTION("""COMPUTED_VALUE"""),"")</f>
        <v/>
      </c>
      <c r="M4629" t="str">
        <f>IFERROR(__xludf.DUMMYFUNCTION("""COMPUTED_VALUE"""),"")</f>
        <v/>
      </c>
      <c r="N4629" t="str">
        <f>IFERROR(__xludf.DUMMYFUNCTION("""COMPUTED_VALUE"""),"")</f>
        <v/>
      </c>
      <c r="O4629" t="str">
        <f>IFERROR(__xludf.DUMMYFUNCTION("""COMPUTED_VALUE"""),"")</f>
        <v/>
      </c>
      <c r="P4629" t="str">
        <f>IFERROR(__xludf.DUMMYFUNCTION("""COMPUTED_VALUE"""),"ID ")</f>
        <v>ID </v>
      </c>
    </row>
    <row r="4630">
      <c r="A4630" s="6" t="str">
        <f>IFERROR(__xludf.DUMMYFUNCTION("""COMPUTED_VALUE"""),"")</f>
        <v/>
      </c>
      <c r="C4630" t="str">
        <f>IFERROR(__xludf.DUMMYFUNCTION("""COMPUTED_VALUE"""),"")</f>
        <v/>
      </c>
      <c r="D4630" t="str">
        <f>IFERROR(__xludf.DUMMYFUNCTION("""COMPUTED_VALUE"""),"")</f>
        <v/>
      </c>
      <c r="E4630" t="str">
        <f>IFERROR(__xludf.DUMMYFUNCTION("""COMPUTED_VALUE"""),"")</f>
        <v/>
      </c>
      <c r="F4630" t="str">
        <f>IFERROR(__xludf.DUMMYFUNCTION("""COMPUTED_VALUE"""),"")</f>
        <v/>
      </c>
      <c r="G4630" t="str">
        <f>IFERROR(__xludf.DUMMYFUNCTION("""COMPUTED_VALUE"""),"")</f>
        <v/>
      </c>
      <c r="H4630" s="2" t="str">
        <f>IFERROR(__xludf.DUMMYFUNCTION("""COMPUTED_VALUE"""),"")</f>
        <v/>
      </c>
      <c r="I4630" s="2" t="str">
        <f>IFERROR(__xludf.DUMMYFUNCTION("""COMPUTED_VALUE"""),"")</f>
        <v/>
      </c>
      <c r="J4630" s="2">
        <f>IFERROR(__xludf.DUMMYFUNCTION("""COMPUTED_VALUE"""),0.0)</f>
        <v>0</v>
      </c>
      <c r="K4630" s="5" t="str">
        <f>IFERROR(__xludf.DUMMYFUNCTION("""COMPUTED_VALUE"""),"")</f>
        <v/>
      </c>
      <c r="L4630" t="str">
        <f>IFERROR(__xludf.DUMMYFUNCTION("""COMPUTED_VALUE"""),"")</f>
        <v/>
      </c>
      <c r="M4630" t="str">
        <f>IFERROR(__xludf.DUMMYFUNCTION("""COMPUTED_VALUE"""),"")</f>
        <v/>
      </c>
      <c r="N4630" t="str">
        <f>IFERROR(__xludf.DUMMYFUNCTION("""COMPUTED_VALUE"""),"")</f>
        <v/>
      </c>
      <c r="O4630" t="str">
        <f>IFERROR(__xludf.DUMMYFUNCTION("""COMPUTED_VALUE"""),"")</f>
        <v/>
      </c>
      <c r="P4630" t="str">
        <f>IFERROR(__xludf.DUMMYFUNCTION("""COMPUTED_VALUE"""),"ID ")</f>
        <v>ID </v>
      </c>
    </row>
    <row r="4631">
      <c r="A4631" s="6" t="str">
        <f>IFERROR(__xludf.DUMMYFUNCTION("""COMPUTED_VALUE"""),"")</f>
        <v/>
      </c>
      <c r="C4631" t="str">
        <f>IFERROR(__xludf.DUMMYFUNCTION("""COMPUTED_VALUE"""),"")</f>
        <v/>
      </c>
      <c r="D4631" t="str">
        <f>IFERROR(__xludf.DUMMYFUNCTION("""COMPUTED_VALUE"""),"")</f>
        <v/>
      </c>
      <c r="E4631" t="str">
        <f>IFERROR(__xludf.DUMMYFUNCTION("""COMPUTED_VALUE"""),"")</f>
        <v/>
      </c>
      <c r="F4631" t="str">
        <f>IFERROR(__xludf.DUMMYFUNCTION("""COMPUTED_VALUE"""),"")</f>
        <v/>
      </c>
      <c r="G4631" t="str">
        <f>IFERROR(__xludf.DUMMYFUNCTION("""COMPUTED_VALUE"""),"")</f>
        <v/>
      </c>
      <c r="H4631" s="2" t="str">
        <f>IFERROR(__xludf.DUMMYFUNCTION("""COMPUTED_VALUE"""),"")</f>
        <v/>
      </c>
      <c r="I4631" s="2" t="str">
        <f>IFERROR(__xludf.DUMMYFUNCTION("""COMPUTED_VALUE"""),"")</f>
        <v/>
      </c>
      <c r="J4631" s="2">
        <f>IFERROR(__xludf.DUMMYFUNCTION("""COMPUTED_VALUE"""),0.0)</f>
        <v>0</v>
      </c>
      <c r="K4631" s="5" t="str">
        <f>IFERROR(__xludf.DUMMYFUNCTION("""COMPUTED_VALUE"""),"")</f>
        <v/>
      </c>
      <c r="L4631" t="str">
        <f>IFERROR(__xludf.DUMMYFUNCTION("""COMPUTED_VALUE"""),"")</f>
        <v/>
      </c>
      <c r="M4631" t="str">
        <f>IFERROR(__xludf.DUMMYFUNCTION("""COMPUTED_VALUE"""),"")</f>
        <v/>
      </c>
      <c r="N4631" t="str">
        <f>IFERROR(__xludf.DUMMYFUNCTION("""COMPUTED_VALUE"""),"")</f>
        <v/>
      </c>
      <c r="O4631" t="str">
        <f>IFERROR(__xludf.DUMMYFUNCTION("""COMPUTED_VALUE"""),"")</f>
        <v/>
      </c>
      <c r="P4631" t="str">
        <f>IFERROR(__xludf.DUMMYFUNCTION("""COMPUTED_VALUE"""),"ID ")</f>
        <v>ID </v>
      </c>
    </row>
    <row r="4632">
      <c r="A4632" s="6" t="str">
        <f>IFERROR(__xludf.DUMMYFUNCTION("""COMPUTED_VALUE"""),"")</f>
        <v/>
      </c>
      <c r="C4632" t="str">
        <f>IFERROR(__xludf.DUMMYFUNCTION("""COMPUTED_VALUE"""),"")</f>
        <v/>
      </c>
      <c r="D4632" t="str">
        <f>IFERROR(__xludf.DUMMYFUNCTION("""COMPUTED_VALUE"""),"")</f>
        <v/>
      </c>
      <c r="E4632" t="str">
        <f>IFERROR(__xludf.DUMMYFUNCTION("""COMPUTED_VALUE"""),"")</f>
        <v/>
      </c>
      <c r="F4632" t="str">
        <f>IFERROR(__xludf.DUMMYFUNCTION("""COMPUTED_VALUE"""),"")</f>
        <v/>
      </c>
      <c r="G4632" t="str">
        <f>IFERROR(__xludf.DUMMYFUNCTION("""COMPUTED_VALUE"""),"")</f>
        <v/>
      </c>
      <c r="H4632" s="2" t="str">
        <f>IFERROR(__xludf.DUMMYFUNCTION("""COMPUTED_VALUE"""),"")</f>
        <v/>
      </c>
      <c r="I4632" s="2" t="str">
        <f>IFERROR(__xludf.DUMMYFUNCTION("""COMPUTED_VALUE"""),"")</f>
        <v/>
      </c>
      <c r="J4632" s="2">
        <f>IFERROR(__xludf.DUMMYFUNCTION("""COMPUTED_VALUE"""),0.0)</f>
        <v>0</v>
      </c>
      <c r="K4632" s="5" t="str">
        <f>IFERROR(__xludf.DUMMYFUNCTION("""COMPUTED_VALUE"""),"")</f>
        <v/>
      </c>
      <c r="L4632" t="str">
        <f>IFERROR(__xludf.DUMMYFUNCTION("""COMPUTED_VALUE"""),"")</f>
        <v/>
      </c>
      <c r="M4632" t="str">
        <f>IFERROR(__xludf.DUMMYFUNCTION("""COMPUTED_VALUE"""),"")</f>
        <v/>
      </c>
      <c r="N4632" t="str">
        <f>IFERROR(__xludf.DUMMYFUNCTION("""COMPUTED_VALUE"""),"")</f>
        <v/>
      </c>
      <c r="O4632" t="str">
        <f>IFERROR(__xludf.DUMMYFUNCTION("""COMPUTED_VALUE"""),"")</f>
        <v/>
      </c>
      <c r="P4632" t="str">
        <f>IFERROR(__xludf.DUMMYFUNCTION("""COMPUTED_VALUE"""),"ID ")</f>
        <v>ID </v>
      </c>
    </row>
    <row r="4633">
      <c r="A4633" s="6" t="str">
        <f>IFERROR(__xludf.DUMMYFUNCTION("""COMPUTED_VALUE"""),"")</f>
        <v/>
      </c>
      <c r="C4633" t="str">
        <f>IFERROR(__xludf.DUMMYFUNCTION("""COMPUTED_VALUE"""),"")</f>
        <v/>
      </c>
      <c r="D4633" t="str">
        <f>IFERROR(__xludf.DUMMYFUNCTION("""COMPUTED_VALUE"""),"")</f>
        <v/>
      </c>
      <c r="E4633" t="str">
        <f>IFERROR(__xludf.DUMMYFUNCTION("""COMPUTED_VALUE"""),"")</f>
        <v/>
      </c>
      <c r="F4633" t="str">
        <f>IFERROR(__xludf.DUMMYFUNCTION("""COMPUTED_VALUE"""),"")</f>
        <v/>
      </c>
      <c r="G4633" t="str">
        <f>IFERROR(__xludf.DUMMYFUNCTION("""COMPUTED_VALUE"""),"")</f>
        <v/>
      </c>
      <c r="H4633" s="2" t="str">
        <f>IFERROR(__xludf.DUMMYFUNCTION("""COMPUTED_VALUE"""),"")</f>
        <v/>
      </c>
      <c r="I4633" s="2" t="str">
        <f>IFERROR(__xludf.DUMMYFUNCTION("""COMPUTED_VALUE"""),"")</f>
        <v/>
      </c>
      <c r="J4633" s="2">
        <f>IFERROR(__xludf.DUMMYFUNCTION("""COMPUTED_VALUE"""),0.0)</f>
        <v>0</v>
      </c>
      <c r="K4633" s="5" t="str">
        <f>IFERROR(__xludf.DUMMYFUNCTION("""COMPUTED_VALUE"""),"")</f>
        <v/>
      </c>
      <c r="L4633" t="str">
        <f>IFERROR(__xludf.DUMMYFUNCTION("""COMPUTED_VALUE"""),"")</f>
        <v/>
      </c>
      <c r="M4633" t="str">
        <f>IFERROR(__xludf.DUMMYFUNCTION("""COMPUTED_VALUE"""),"")</f>
        <v/>
      </c>
      <c r="N4633" t="str">
        <f>IFERROR(__xludf.DUMMYFUNCTION("""COMPUTED_VALUE"""),"")</f>
        <v/>
      </c>
      <c r="O4633" t="str">
        <f>IFERROR(__xludf.DUMMYFUNCTION("""COMPUTED_VALUE"""),"")</f>
        <v/>
      </c>
      <c r="P4633" t="str">
        <f>IFERROR(__xludf.DUMMYFUNCTION("""COMPUTED_VALUE"""),"ID ")</f>
        <v>ID </v>
      </c>
    </row>
    <row r="4634">
      <c r="A4634" s="6" t="str">
        <f>IFERROR(__xludf.DUMMYFUNCTION("""COMPUTED_VALUE"""),"")</f>
        <v/>
      </c>
      <c r="C4634" t="str">
        <f>IFERROR(__xludf.DUMMYFUNCTION("""COMPUTED_VALUE"""),"")</f>
        <v/>
      </c>
      <c r="D4634" t="str">
        <f>IFERROR(__xludf.DUMMYFUNCTION("""COMPUTED_VALUE"""),"")</f>
        <v/>
      </c>
      <c r="E4634" t="str">
        <f>IFERROR(__xludf.DUMMYFUNCTION("""COMPUTED_VALUE"""),"")</f>
        <v/>
      </c>
      <c r="F4634" t="str">
        <f>IFERROR(__xludf.DUMMYFUNCTION("""COMPUTED_VALUE"""),"")</f>
        <v/>
      </c>
      <c r="G4634" t="str">
        <f>IFERROR(__xludf.DUMMYFUNCTION("""COMPUTED_VALUE"""),"")</f>
        <v/>
      </c>
      <c r="H4634" s="2" t="str">
        <f>IFERROR(__xludf.DUMMYFUNCTION("""COMPUTED_VALUE"""),"")</f>
        <v/>
      </c>
      <c r="I4634" s="2" t="str">
        <f>IFERROR(__xludf.DUMMYFUNCTION("""COMPUTED_VALUE"""),"")</f>
        <v/>
      </c>
      <c r="J4634" s="2">
        <f>IFERROR(__xludf.DUMMYFUNCTION("""COMPUTED_VALUE"""),0.0)</f>
        <v>0</v>
      </c>
      <c r="K4634" s="5" t="str">
        <f>IFERROR(__xludf.DUMMYFUNCTION("""COMPUTED_VALUE"""),"")</f>
        <v/>
      </c>
      <c r="L4634" t="str">
        <f>IFERROR(__xludf.DUMMYFUNCTION("""COMPUTED_VALUE"""),"")</f>
        <v/>
      </c>
      <c r="M4634" t="str">
        <f>IFERROR(__xludf.DUMMYFUNCTION("""COMPUTED_VALUE"""),"")</f>
        <v/>
      </c>
      <c r="N4634" t="str">
        <f>IFERROR(__xludf.DUMMYFUNCTION("""COMPUTED_VALUE"""),"")</f>
        <v/>
      </c>
      <c r="O4634" t="str">
        <f>IFERROR(__xludf.DUMMYFUNCTION("""COMPUTED_VALUE"""),"")</f>
        <v/>
      </c>
      <c r="P4634" t="str">
        <f>IFERROR(__xludf.DUMMYFUNCTION("""COMPUTED_VALUE"""),"ID ")</f>
        <v>ID </v>
      </c>
    </row>
    <row r="4635">
      <c r="A4635" s="6" t="str">
        <f>IFERROR(__xludf.DUMMYFUNCTION("""COMPUTED_VALUE"""),"")</f>
        <v/>
      </c>
      <c r="C4635" t="str">
        <f>IFERROR(__xludf.DUMMYFUNCTION("""COMPUTED_VALUE"""),"")</f>
        <v/>
      </c>
      <c r="D4635" t="str">
        <f>IFERROR(__xludf.DUMMYFUNCTION("""COMPUTED_VALUE"""),"")</f>
        <v/>
      </c>
      <c r="E4635" t="str">
        <f>IFERROR(__xludf.DUMMYFUNCTION("""COMPUTED_VALUE"""),"")</f>
        <v/>
      </c>
      <c r="F4635" t="str">
        <f>IFERROR(__xludf.DUMMYFUNCTION("""COMPUTED_VALUE"""),"")</f>
        <v/>
      </c>
      <c r="G4635" t="str">
        <f>IFERROR(__xludf.DUMMYFUNCTION("""COMPUTED_VALUE"""),"")</f>
        <v/>
      </c>
      <c r="H4635" s="2" t="str">
        <f>IFERROR(__xludf.DUMMYFUNCTION("""COMPUTED_VALUE"""),"")</f>
        <v/>
      </c>
      <c r="I4635" s="2" t="str">
        <f>IFERROR(__xludf.DUMMYFUNCTION("""COMPUTED_VALUE"""),"")</f>
        <v/>
      </c>
      <c r="J4635" s="2">
        <f>IFERROR(__xludf.DUMMYFUNCTION("""COMPUTED_VALUE"""),0.0)</f>
        <v>0</v>
      </c>
      <c r="K4635" s="5" t="str">
        <f>IFERROR(__xludf.DUMMYFUNCTION("""COMPUTED_VALUE"""),"")</f>
        <v/>
      </c>
      <c r="L4635" t="str">
        <f>IFERROR(__xludf.DUMMYFUNCTION("""COMPUTED_VALUE"""),"")</f>
        <v/>
      </c>
      <c r="M4635" t="str">
        <f>IFERROR(__xludf.DUMMYFUNCTION("""COMPUTED_VALUE"""),"")</f>
        <v/>
      </c>
      <c r="N4635" t="str">
        <f>IFERROR(__xludf.DUMMYFUNCTION("""COMPUTED_VALUE"""),"")</f>
        <v/>
      </c>
      <c r="O4635" t="str">
        <f>IFERROR(__xludf.DUMMYFUNCTION("""COMPUTED_VALUE"""),"")</f>
        <v/>
      </c>
      <c r="P4635" t="str">
        <f>IFERROR(__xludf.DUMMYFUNCTION("""COMPUTED_VALUE"""),"ID ")</f>
        <v>ID </v>
      </c>
    </row>
    <row r="4636">
      <c r="A4636" s="6" t="str">
        <f>IFERROR(__xludf.DUMMYFUNCTION("""COMPUTED_VALUE"""),"")</f>
        <v/>
      </c>
      <c r="C4636" t="str">
        <f>IFERROR(__xludf.DUMMYFUNCTION("""COMPUTED_VALUE"""),"")</f>
        <v/>
      </c>
      <c r="D4636" t="str">
        <f>IFERROR(__xludf.DUMMYFUNCTION("""COMPUTED_VALUE"""),"")</f>
        <v/>
      </c>
      <c r="E4636" t="str">
        <f>IFERROR(__xludf.DUMMYFUNCTION("""COMPUTED_VALUE"""),"")</f>
        <v/>
      </c>
      <c r="F4636" t="str">
        <f>IFERROR(__xludf.DUMMYFUNCTION("""COMPUTED_VALUE"""),"")</f>
        <v/>
      </c>
      <c r="G4636" t="str">
        <f>IFERROR(__xludf.DUMMYFUNCTION("""COMPUTED_VALUE"""),"")</f>
        <v/>
      </c>
      <c r="H4636" s="2" t="str">
        <f>IFERROR(__xludf.DUMMYFUNCTION("""COMPUTED_VALUE"""),"")</f>
        <v/>
      </c>
      <c r="I4636" s="2" t="str">
        <f>IFERROR(__xludf.DUMMYFUNCTION("""COMPUTED_VALUE"""),"")</f>
        <v/>
      </c>
      <c r="J4636" s="2">
        <f>IFERROR(__xludf.DUMMYFUNCTION("""COMPUTED_VALUE"""),0.0)</f>
        <v>0</v>
      </c>
      <c r="K4636" s="5" t="str">
        <f>IFERROR(__xludf.DUMMYFUNCTION("""COMPUTED_VALUE"""),"")</f>
        <v/>
      </c>
      <c r="L4636" t="str">
        <f>IFERROR(__xludf.DUMMYFUNCTION("""COMPUTED_VALUE"""),"")</f>
        <v/>
      </c>
      <c r="M4636" t="str">
        <f>IFERROR(__xludf.DUMMYFUNCTION("""COMPUTED_VALUE"""),"")</f>
        <v/>
      </c>
      <c r="N4636" t="str">
        <f>IFERROR(__xludf.DUMMYFUNCTION("""COMPUTED_VALUE"""),"")</f>
        <v/>
      </c>
      <c r="O4636" t="str">
        <f>IFERROR(__xludf.DUMMYFUNCTION("""COMPUTED_VALUE"""),"")</f>
        <v/>
      </c>
      <c r="P4636" t="str">
        <f>IFERROR(__xludf.DUMMYFUNCTION("""COMPUTED_VALUE"""),"ID ")</f>
        <v>ID </v>
      </c>
    </row>
    <row r="4637">
      <c r="A4637" s="6" t="str">
        <f>IFERROR(__xludf.DUMMYFUNCTION("""COMPUTED_VALUE"""),"")</f>
        <v/>
      </c>
      <c r="C4637" t="str">
        <f>IFERROR(__xludf.DUMMYFUNCTION("""COMPUTED_VALUE"""),"")</f>
        <v/>
      </c>
      <c r="D4637" t="str">
        <f>IFERROR(__xludf.DUMMYFUNCTION("""COMPUTED_VALUE"""),"")</f>
        <v/>
      </c>
      <c r="E4637" t="str">
        <f>IFERROR(__xludf.DUMMYFUNCTION("""COMPUTED_VALUE"""),"")</f>
        <v/>
      </c>
      <c r="F4637" t="str">
        <f>IFERROR(__xludf.DUMMYFUNCTION("""COMPUTED_VALUE"""),"")</f>
        <v/>
      </c>
      <c r="G4637" t="str">
        <f>IFERROR(__xludf.DUMMYFUNCTION("""COMPUTED_VALUE"""),"")</f>
        <v/>
      </c>
      <c r="H4637" s="2" t="str">
        <f>IFERROR(__xludf.DUMMYFUNCTION("""COMPUTED_VALUE"""),"")</f>
        <v/>
      </c>
      <c r="I4637" s="2" t="str">
        <f>IFERROR(__xludf.DUMMYFUNCTION("""COMPUTED_VALUE"""),"")</f>
        <v/>
      </c>
      <c r="J4637" s="2">
        <f>IFERROR(__xludf.DUMMYFUNCTION("""COMPUTED_VALUE"""),0.0)</f>
        <v>0</v>
      </c>
      <c r="K4637" s="5" t="str">
        <f>IFERROR(__xludf.DUMMYFUNCTION("""COMPUTED_VALUE"""),"")</f>
        <v/>
      </c>
      <c r="L4637" t="str">
        <f>IFERROR(__xludf.DUMMYFUNCTION("""COMPUTED_VALUE"""),"")</f>
        <v/>
      </c>
      <c r="M4637" t="str">
        <f>IFERROR(__xludf.DUMMYFUNCTION("""COMPUTED_VALUE"""),"")</f>
        <v/>
      </c>
      <c r="N4637" t="str">
        <f>IFERROR(__xludf.DUMMYFUNCTION("""COMPUTED_VALUE"""),"")</f>
        <v/>
      </c>
      <c r="O4637" t="str">
        <f>IFERROR(__xludf.DUMMYFUNCTION("""COMPUTED_VALUE"""),"")</f>
        <v/>
      </c>
      <c r="P4637" t="str">
        <f>IFERROR(__xludf.DUMMYFUNCTION("""COMPUTED_VALUE"""),"ID ")</f>
        <v>ID </v>
      </c>
    </row>
    <row r="4638">
      <c r="A4638" s="6" t="str">
        <f>IFERROR(__xludf.DUMMYFUNCTION("""COMPUTED_VALUE"""),"")</f>
        <v/>
      </c>
      <c r="C4638" t="str">
        <f>IFERROR(__xludf.DUMMYFUNCTION("""COMPUTED_VALUE"""),"")</f>
        <v/>
      </c>
      <c r="D4638" t="str">
        <f>IFERROR(__xludf.DUMMYFUNCTION("""COMPUTED_VALUE"""),"")</f>
        <v/>
      </c>
      <c r="E4638" t="str">
        <f>IFERROR(__xludf.DUMMYFUNCTION("""COMPUTED_VALUE"""),"")</f>
        <v/>
      </c>
      <c r="F4638" t="str">
        <f>IFERROR(__xludf.DUMMYFUNCTION("""COMPUTED_VALUE"""),"")</f>
        <v/>
      </c>
      <c r="G4638" t="str">
        <f>IFERROR(__xludf.DUMMYFUNCTION("""COMPUTED_VALUE"""),"")</f>
        <v/>
      </c>
      <c r="H4638" s="2" t="str">
        <f>IFERROR(__xludf.DUMMYFUNCTION("""COMPUTED_VALUE"""),"")</f>
        <v/>
      </c>
      <c r="I4638" s="2" t="str">
        <f>IFERROR(__xludf.DUMMYFUNCTION("""COMPUTED_VALUE"""),"")</f>
        <v/>
      </c>
      <c r="J4638" s="2">
        <f>IFERROR(__xludf.DUMMYFUNCTION("""COMPUTED_VALUE"""),0.0)</f>
        <v>0</v>
      </c>
      <c r="K4638" s="5" t="str">
        <f>IFERROR(__xludf.DUMMYFUNCTION("""COMPUTED_VALUE"""),"")</f>
        <v/>
      </c>
      <c r="L4638" t="str">
        <f>IFERROR(__xludf.DUMMYFUNCTION("""COMPUTED_VALUE"""),"")</f>
        <v/>
      </c>
      <c r="M4638" t="str">
        <f>IFERROR(__xludf.DUMMYFUNCTION("""COMPUTED_VALUE"""),"")</f>
        <v/>
      </c>
      <c r="N4638" t="str">
        <f>IFERROR(__xludf.DUMMYFUNCTION("""COMPUTED_VALUE"""),"")</f>
        <v/>
      </c>
      <c r="O4638" t="str">
        <f>IFERROR(__xludf.DUMMYFUNCTION("""COMPUTED_VALUE"""),"")</f>
        <v/>
      </c>
      <c r="P4638" t="str">
        <f>IFERROR(__xludf.DUMMYFUNCTION("""COMPUTED_VALUE"""),"ID ")</f>
        <v>ID </v>
      </c>
    </row>
    <row r="4639">
      <c r="A4639" s="6" t="str">
        <f>IFERROR(__xludf.DUMMYFUNCTION("""COMPUTED_VALUE"""),"")</f>
        <v/>
      </c>
      <c r="C4639" t="str">
        <f>IFERROR(__xludf.DUMMYFUNCTION("""COMPUTED_VALUE"""),"")</f>
        <v/>
      </c>
      <c r="D4639" t="str">
        <f>IFERROR(__xludf.DUMMYFUNCTION("""COMPUTED_VALUE"""),"")</f>
        <v/>
      </c>
      <c r="E4639" t="str">
        <f>IFERROR(__xludf.DUMMYFUNCTION("""COMPUTED_VALUE"""),"")</f>
        <v/>
      </c>
      <c r="F4639" t="str">
        <f>IFERROR(__xludf.DUMMYFUNCTION("""COMPUTED_VALUE"""),"")</f>
        <v/>
      </c>
      <c r="G4639" t="str">
        <f>IFERROR(__xludf.DUMMYFUNCTION("""COMPUTED_VALUE"""),"")</f>
        <v/>
      </c>
      <c r="H4639" s="2" t="str">
        <f>IFERROR(__xludf.DUMMYFUNCTION("""COMPUTED_VALUE"""),"")</f>
        <v/>
      </c>
      <c r="I4639" s="2" t="str">
        <f>IFERROR(__xludf.DUMMYFUNCTION("""COMPUTED_VALUE"""),"")</f>
        <v/>
      </c>
      <c r="J4639" s="2">
        <f>IFERROR(__xludf.DUMMYFUNCTION("""COMPUTED_VALUE"""),0.0)</f>
        <v>0</v>
      </c>
      <c r="K4639" s="5" t="str">
        <f>IFERROR(__xludf.DUMMYFUNCTION("""COMPUTED_VALUE"""),"")</f>
        <v/>
      </c>
      <c r="L4639" t="str">
        <f>IFERROR(__xludf.DUMMYFUNCTION("""COMPUTED_VALUE"""),"")</f>
        <v/>
      </c>
      <c r="M4639" t="str">
        <f>IFERROR(__xludf.DUMMYFUNCTION("""COMPUTED_VALUE"""),"")</f>
        <v/>
      </c>
      <c r="N4639" t="str">
        <f>IFERROR(__xludf.DUMMYFUNCTION("""COMPUTED_VALUE"""),"")</f>
        <v/>
      </c>
      <c r="O4639" t="str">
        <f>IFERROR(__xludf.DUMMYFUNCTION("""COMPUTED_VALUE"""),"")</f>
        <v/>
      </c>
      <c r="P4639" t="str">
        <f>IFERROR(__xludf.DUMMYFUNCTION("""COMPUTED_VALUE"""),"ID ")</f>
        <v>ID </v>
      </c>
    </row>
    <row r="4640">
      <c r="A4640" s="6" t="str">
        <f>IFERROR(__xludf.DUMMYFUNCTION("""COMPUTED_VALUE"""),"")</f>
        <v/>
      </c>
      <c r="C4640" t="str">
        <f>IFERROR(__xludf.DUMMYFUNCTION("""COMPUTED_VALUE"""),"")</f>
        <v/>
      </c>
      <c r="D4640" t="str">
        <f>IFERROR(__xludf.DUMMYFUNCTION("""COMPUTED_VALUE"""),"")</f>
        <v/>
      </c>
      <c r="E4640" t="str">
        <f>IFERROR(__xludf.DUMMYFUNCTION("""COMPUTED_VALUE"""),"")</f>
        <v/>
      </c>
      <c r="F4640" t="str">
        <f>IFERROR(__xludf.DUMMYFUNCTION("""COMPUTED_VALUE"""),"")</f>
        <v/>
      </c>
      <c r="G4640" t="str">
        <f>IFERROR(__xludf.DUMMYFUNCTION("""COMPUTED_VALUE"""),"")</f>
        <v/>
      </c>
      <c r="H4640" s="2" t="str">
        <f>IFERROR(__xludf.DUMMYFUNCTION("""COMPUTED_VALUE"""),"")</f>
        <v/>
      </c>
      <c r="I4640" s="2" t="str">
        <f>IFERROR(__xludf.DUMMYFUNCTION("""COMPUTED_VALUE"""),"")</f>
        <v/>
      </c>
      <c r="J4640" s="2">
        <f>IFERROR(__xludf.DUMMYFUNCTION("""COMPUTED_VALUE"""),0.0)</f>
        <v>0</v>
      </c>
      <c r="K4640" s="5" t="str">
        <f>IFERROR(__xludf.DUMMYFUNCTION("""COMPUTED_VALUE"""),"")</f>
        <v/>
      </c>
      <c r="L4640" t="str">
        <f>IFERROR(__xludf.DUMMYFUNCTION("""COMPUTED_VALUE"""),"")</f>
        <v/>
      </c>
      <c r="M4640" t="str">
        <f>IFERROR(__xludf.DUMMYFUNCTION("""COMPUTED_VALUE"""),"")</f>
        <v/>
      </c>
      <c r="N4640" t="str">
        <f>IFERROR(__xludf.DUMMYFUNCTION("""COMPUTED_VALUE"""),"")</f>
        <v/>
      </c>
      <c r="O4640" t="str">
        <f>IFERROR(__xludf.DUMMYFUNCTION("""COMPUTED_VALUE"""),"")</f>
        <v/>
      </c>
      <c r="P4640" t="str">
        <f>IFERROR(__xludf.DUMMYFUNCTION("""COMPUTED_VALUE"""),"ID ")</f>
        <v>ID </v>
      </c>
    </row>
    <row r="4641">
      <c r="A4641" s="6" t="str">
        <f>IFERROR(__xludf.DUMMYFUNCTION("""COMPUTED_VALUE"""),"")</f>
        <v/>
      </c>
      <c r="C4641" t="str">
        <f>IFERROR(__xludf.DUMMYFUNCTION("""COMPUTED_VALUE"""),"")</f>
        <v/>
      </c>
      <c r="D4641" t="str">
        <f>IFERROR(__xludf.DUMMYFUNCTION("""COMPUTED_VALUE"""),"")</f>
        <v/>
      </c>
      <c r="E4641" t="str">
        <f>IFERROR(__xludf.DUMMYFUNCTION("""COMPUTED_VALUE"""),"")</f>
        <v/>
      </c>
      <c r="F4641" t="str">
        <f>IFERROR(__xludf.DUMMYFUNCTION("""COMPUTED_VALUE"""),"")</f>
        <v/>
      </c>
      <c r="G4641" t="str">
        <f>IFERROR(__xludf.DUMMYFUNCTION("""COMPUTED_VALUE"""),"")</f>
        <v/>
      </c>
      <c r="H4641" s="2" t="str">
        <f>IFERROR(__xludf.DUMMYFUNCTION("""COMPUTED_VALUE"""),"")</f>
        <v/>
      </c>
      <c r="I4641" s="2" t="str">
        <f>IFERROR(__xludf.DUMMYFUNCTION("""COMPUTED_VALUE"""),"")</f>
        <v/>
      </c>
      <c r="J4641" s="2">
        <f>IFERROR(__xludf.DUMMYFUNCTION("""COMPUTED_VALUE"""),0.0)</f>
        <v>0</v>
      </c>
      <c r="K4641" s="5" t="str">
        <f>IFERROR(__xludf.DUMMYFUNCTION("""COMPUTED_VALUE"""),"")</f>
        <v/>
      </c>
      <c r="L4641" t="str">
        <f>IFERROR(__xludf.DUMMYFUNCTION("""COMPUTED_VALUE"""),"")</f>
        <v/>
      </c>
      <c r="M4641" t="str">
        <f>IFERROR(__xludf.DUMMYFUNCTION("""COMPUTED_VALUE"""),"")</f>
        <v/>
      </c>
      <c r="N4641" t="str">
        <f>IFERROR(__xludf.DUMMYFUNCTION("""COMPUTED_VALUE"""),"")</f>
        <v/>
      </c>
      <c r="O4641" t="str">
        <f>IFERROR(__xludf.DUMMYFUNCTION("""COMPUTED_VALUE"""),"")</f>
        <v/>
      </c>
      <c r="P4641" t="str">
        <f>IFERROR(__xludf.DUMMYFUNCTION("""COMPUTED_VALUE"""),"ID ")</f>
        <v>ID </v>
      </c>
    </row>
    <row r="4642">
      <c r="A4642" s="6" t="str">
        <f>IFERROR(__xludf.DUMMYFUNCTION("""COMPUTED_VALUE"""),"")</f>
        <v/>
      </c>
      <c r="C4642" t="str">
        <f>IFERROR(__xludf.DUMMYFUNCTION("""COMPUTED_VALUE"""),"")</f>
        <v/>
      </c>
      <c r="D4642" t="str">
        <f>IFERROR(__xludf.DUMMYFUNCTION("""COMPUTED_VALUE"""),"")</f>
        <v/>
      </c>
      <c r="E4642" t="str">
        <f>IFERROR(__xludf.DUMMYFUNCTION("""COMPUTED_VALUE"""),"")</f>
        <v/>
      </c>
      <c r="F4642" t="str">
        <f>IFERROR(__xludf.DUMMYFUNCTION("""COMPUTED_VALUE"""),"")</f>
        <v/>
      </c>
      <c r="G4642" t="str">
        <f>IFERROR(__xludf.DUMMYFUNCTION("""COMPUTED_VALUE"""),"")</f>
        <v/>
      </c>
      <c r="H4642" s="2" t="str">
        <f>IFERROR(__xludf.DUMMYFUNCTION("""COMPUTED_VALUE"""),"")</f>
        <v/>
      </c>
      <c r="I4642" s="2" t="str">
        <f>IFERROR(__xludf.DUMMYFUNCTION("""COMPUTED_VALUE"""),"")</f>
        <v/>
      </c>
      <c r="J4642" s="2">
        <f>IFERROR(__xludf.DUMMYFUNCTION("""COMPUTED_VALUE"""),0.0)</f>
        <v>0</v>
      </c>
      <c r="K4642" s="5" t="str">
        <f>IFERROR(__xludf.DUMMYFUNCTION("""COMPUTED_VALUE"""),"")</f>
        <v/>
      </c>
      <c r="L4642" t="str">
        <f>IFERROR(__xludf.DUMMYFUNCTION("""COMPUTED_VALUE"""),"")</f>
        <v/>
      </c>
      <c r="M4642" t="str">
        <f>IFERROR(__xludf.DUMMYFUNCTION("""COMPUTED_VALUE"""),"")</f>
        <v/>
      </c>
      <c r="N4642" t="str">
        <f>IFERROR(__xludf.DUMMYFUNCTION("""COMPUTED_VALUE"""),"")</f>
        <v/>
      </c>
      <c r="O4642" t="str">
        <f>IFERROR(__xludf.DUMMYFUNCTION("""COMPUTED_VALUE"""),"")</f>
        <v/>
      </c>
      <c r="P4642" t="str">
        <f>IFERROR(__xludf.DUMMYFUNCTION("""COMPUTED_VALUE"""),"ID ")</f>
        <v>ID </v>
      </c>
    </row>
    <row r="4643">
      <c r="A4643" s="6" t="str">
        <f>IFERROR(__xludf.DUMMYFUNCTION("""COMPUTED_VALUE"""),"")</f>
        <v/>
      </c>
      <c r="C4643" t="str">
        <f>IFERROR(__xludf.DUMMYFUNCTION("""COMPUTED_VALUE"""),"")</f>
        <v/>
      </c>
      <c r="D4643" t="str">
        <f>IFERROR(__xludf.DUMMYFUNCTION("""COMPUTED_VALUE"""),"")</f>
        <v/>
      </c>
      <c r="E4643" t="str">
        <f>IFERROR(__xludf.DUMMYFUNCTION("""COMPUTED_VALUE"""),"")</f>
        <v/>
      </c>
      <c r="F4643" t="str">
        <f>IFERROR(__xludf.DUMMYFUNCTION("""COMPUTED_VALUE"""),"")</f>
        <v/>
      </c>
      <c r="G4643" t="str">
        <f>IFERROR(__xludf.DUMMYFUNCTION("""COMPUTED_VALUE"""),"")</f>
        <v/>
      </c>
      <c r="H4643" s="2" t="str">
        <f>IFERROR(__xludf.DUMMYFUNCTION("""COMPUTED_VALUE"""),"")</f>
        <v/>
      </c>
      <c r="I4643" s="2" t="str">
        <f>IFERROR(__xludf.DUMMYFUNCTION("""COMPUTED_VALUE"""),"")</f>
        <v/>
      </c>
      <c r="J4643" s="2">
        <f>IFERROR(__xludf.DUMMYFUNCTION("""COMPUTED_VALUE"""),0.0)</f>
        <v>0</v>
      </c>
      <c r="K4643" s="5" t="str">
        <f>IFERROR(__xludf.DUMMYFUNCTION("""COMPUTED_VALUE"""),"")</f>
        <v/>
      </c>
      <c r="L4643" t="str">
        <f>IFERROR(__xludf.DUMMYFUNCTION("""COMPUTED_VALUE"""),"")</f>
        <v/>
      </c>
      <c r="M4643" t="str">
        <f>IFERROR(__xludf.DUMMYFUNCTION("""COMPUTED_VALUE"""),"")</f>
        <v/>
      </c>
      <c r="N4643" t="str">
        <f>IFERROR(__xludf.DUMMYFUNCTION("""COMPUTED_VALUE"""),"")</f>
        <v/>
      </c>
      <c r="O4643" t="str">
        <f>IFERROR(__xludf.DUMMYFUNCTION("""COMPUTED_VALUE"""),"")</f>
        <v/>
      </c>
      <c r="P4643" t="str">
        <f>IFERROR(__xludf.DUMMYFUNCTION("""COMPUTED_VALUE"""),"ID ")</f>
        <v>ID </v>
      </c>
    </row>
    <row r="4644">
      <c r="A4644" s="6" t="str">
        <f>IFERROR(__xludf.DUMMYFUNCTION("""COMPUTED_VALUE"""),"")</f>
        <v/>
      </c>
      <c r="C4644" t="str">
        <f>IFERROR(__xludf.DUMMYFUNCTION("""COMPUTED_VALUE"""),"")</f>
        <v/>
      </c>
      <c r="D4644" t="str">
        <f>IFERROR(__xludf.DUMMYFUNCTION("""COMPUTED_VALUE"""),"")</f>
        <v/>
      </c>
      <c r="E4644" t="str">
        <f>IFERROR(__xludf.DUMMYFUNCTION("""COMPUTED_VALUE"""),"")</f>
        <v/>
      </c>
      <c r="F4644" t="str">
        <f>IFERROR(__xludf.DUMMYFUNCTION("""COMPUTED_VALUE"""),"")</f>
        <v/>
      </c>
      <c r="G4644" t="str">
        <f>IFERROR(__xludf.DUMMYFUNCTION("""COMPUTED_VALUE"""),"")</f>
        <v/>
      </c>
      <c r="H4644" s="2" t="str">
        <f>IFERROR(__xludf.DUMMYFUNCTION("""COMPUTED_VALUE"""),"")</f>
        <v/>
      </c>
      <c r="I4644" s="2" t="str">
        <f>IFERROR(__xludf.DUMMYFUNCTION("""COMPUTED_VALUE"""),"")</f>
        <v/>
      </c>
      <c r="J4644" s="2">
        <f>IFERROR(__xludf.DUMMYFUNCTION("""COMPUTED_VALUE"""),0.0)</f>
        <v>0</v>
      </c>
      <c r="K4644" s="5" t="str">
        <f>IFERROR(__xludf.DUMMYFUNCTION("""COMPUTED_VALUE"""),"")</f>
        <v/>
      </c>
      <c r="L4644" t="str">
        <f>IFERROR(__xludf.DUMMYFUNCTION("""COMPUTED_VALUE"""),"")</f>
        <v/>
      </c>
      <c r="M4644" t="str">
        <f>IFERROR(__xludf.DUMMYFUNCTION("""COMPUTED_VALUE"""),"")</f>
        <v/>
      </c>
      <c r="N4644" t="str">
        <f>IFERROR(__xludf.DUMMYFUNCTION("""COMPUTED_VALUE"""),"")</f>
        <v/>
      </c>
      <c r="O4644" t="str">
        <f>IFERROR(__xludf.DUMMYFUNCTION("""COMPUTED_VALUE"""),"")</f>
        <v/>
      </c>
      <c r="P4644" t="str">
        <f>IFERROR(__xludf.DUMMYFUNCTION("""COMPUTED_VALUE"""),"ID ")</f>
        <v>ID </v>
      </c>
    </row>
    <row r="4645">
      <c r="A4645" s="6" t="str">
        <f>IFERROR(__xludf.DUMMYFUNCTION("""COMPUTED_VALUE"""),"")</f>
        <v/>
      </c>
      <c r="C4645" t="str">
        <f>IFERROR(__xludf.DUMMYFUNCTION("""COMPUTED_VALUE"""),"")</f>
        <v/>
      </c>
      <c r="D4645" t="str">
        <f>IFERROR(__xludf.DUMMYFUNCTION("""COMPUTED_VALUE"""),"")</f>
        <v/>
      </c>
      <c r="E4645" t="str">
        <f>IFERROR(__xludf.DUMMYFUNCTION("""COMPUTED_VALUE"""),"")</f>
        <v/>
      </c>
      <c r="F4645" t="str">
        <f>IFERROR(__xludf.DUMMYFUNCTION("""COMPUTED_VALUE"""),"")</f>
        <v/>
      </c>
      <c r="G4645" t="str">
        <f>IFERROR(__xludf.DUMMYFUNCTION("""COMPUTED_VALUE"""),"")</f>
        <v/>
      </c>
      <c r="H4645" s="2" t="str">
        <f>IFERROR(__xludf.DUMMYFUNCTION("""COMPUTED_VALUE"""),"")</f>
        <v/>
      </c>
      <c r="I4645" s="2" t="str">
        <f>IFERROR(__xludf.DUMMYFUNCTION("""COMPUTED_VALUE"""),"")</f>
        <v/>
      </c>
      <c r="J4645" s="2">
        <f>IFERROR(__xludf.DUMMYFUNCTION("""COMPUTED_VALUE"""),0.0)</f>
        <v>0</v>
      </c>
      <c r="K4645" s="5" t="str">
        <f>IFERROR(__xludf.DUMMYFUNCTION("""COMPUTED_VALUE"""),"")</f>
        <v/>
      </c>
      <c r="L4645" t="str">
        <f>IFERROR(__xludf.DUMMYFUNCTION("""COMPUTED_VALUE"""),"")</f>
        <v/>
      </c>
      <c r="M4645" t="str">
        <f>IFERROR(__xludf.DUMMYFUNCTION("""COMPUTED_VALUE"""),"")</f>
        <v/>
      </c>
      <c r="N4645" t="str">
        <f>IFERROR(__xludf.DUMMYFUNCTION("""COMPUTED_VALUE"""),"")</f>
        <v/>
      </c>
      <c r="O4645" t="str">
        <f>IFERROR(__xludf.DUMMYFUNCTION("""COMPUTED_VALUE"""),"")</f>
        <v/>
      </c>
      <c r="P4645" t="str">
        <f>IFERROR(__xludf.DUMMYFUNCTION("""COMPUTED_VALUE"""),"ID ")</f>
        <v>ID </v>
      </c>
    </row>
    <row r="4646">
      <c r="A4646" s="6" t="str">
        <f>IFERROR(__xludf.DUMMYFUNCTION("""COMPUTED_VALUE"""),"")</f>
        <v/>
      </c>
      <c r="C4646" t="str">
        <f>IFERROR(__xludf.DUMMYFUNCTION("""COMPUTED_VALUE"""),"")</f>
        <v/>
      </c>
      <c r="D4646" t="str">
        <f>IFERROR(__xludf.DUMMYFUNCTION("""COMPUTED_VALUE"""),"")</f>
        <v/>
      </c>
      <c r="E4646" t="str">
        <f>IFERROR(__xludf.DUMMYFUNCTION("""COMPUTED_VALUE"""),"")</f>
        <v/>
      </c>
      <c r="F4646" t="str">
        <f>IFERROR(__xludf.DUMMYFUNCTION("""COMPUTED_VALUE"""),"")</f>
        <v/>
      </c>
      <c r="G4646" t="str">
        <f>IFERROR(__xludf.DUMMYFUNCTION("""COMPUTED_VALUE"""),"")</f>
        <v/>
      </c>
      <c r="H4646" s="2" t="str">
        <f>IFERROR(__xludf.DUMMYFUNCTION("""COMPUTED_VALUE"""),"")</f>
        <v/>
      </c>
      <c r="I4646" s="2" t="str">
        <f>IFERROR(__xludf.DUMMYFUNCTION("""COMPUTED_VALUE"""),"")</f>
        <v/>
      </c>
      <c r="J4646" s="2">
        <f>IFERROR(__xludf.DUMMYFUNCTION("""COMPUTED_VALUE"""),0.0)</f>
        <v>0</v>
      </c>
      <c r="K4646" s="5" t="str">
        <f>IFERROR(__xludf.DUMMYFUNCTION("""COMPUTED_VALUE"""),"")</f>
        <v/>
      </c>
      <c r="L4646" t="str">
        <f>IFERROR(__xludf.DUMMYFUNCTION("""COMPUTED_VALUE"""),"")</f>
        <v/>
      </c>
      <c r="M4646" t="str">
        <f>IFERROR(__xludf.DUMMYFUNCTION("""COMPUTED_VALUE"""),"")</f>
        <v/>
      </c>
      <c r="N4646" t="str">
        <f>IFERROR(__xludf.DUMMYFUNCTION("""COMPUTED_VALUE"""),"")</f>
        <v/>
      </c>
      <c r="O4646" t="str">
        <f>IFERROR(__xludf.DUMMYFUNCTION("""COMPUTED_VALUE"""),"")</f>
        <v/>
      </c>
      <c r="P4646" t="str">
        <f>IFERROR(__xludf.DUMMYFUNCTION("""COMPUTED_VALUE"""),"ID ")</f>
        <v>ID </v>
      </c>
    </row>
    <row r="4647">
      <c r="A4647" s="6" t="str">
        <f>IFERROR(__xludf.DUMMYFUNCTION("""COMPUTED_VALUE"""),"")</f>
        <v/>
      </c>
      <c r="C4647" t="str">
        <f>IFERROR(__xludf.DUMMYFUNCTION("""COMPUTED_VALUE"""),"")</f>
        <v/>
      </c>
      <c r="D4647" t="str">
        <f>IFERROR(__xludf.DUMMYFUNCTION("""COMPUTED_VALUE"""),"")</f>
        <v/>
      </c>
      <c r="E4647" t="str">
        <f>IFERROR(__xludf.DUMMYFUNCTION("""COMPUTED_VALUE"""),"")</f>
        <v/>
      </c>
      <c r="F4647" t="str">
        <f>IFERROR(__xludf.DUMMYFUNCTION("""COMPUTED_VALUE"""),"")</f>
        <v/>
      </c>
      <c r="G4647" t="str">
        <f>IFERROR(__xludf.DUMMYFUNCTION("""COMPUTED_VALUE"""),"")</f>
        <v/>
      </c>
      <c r="H4647" s="2" t="str">
        <f>IFERROR(__xludf.DUMMYFUNCTION("""COMPUTED_VALUE"""),"")</f>
        <v/>
      </c>
      <c r="I4647" s="2" t="str">
        <f>IFERROR(__xludf.DUMMYFUNCTION("""COMPUTED_VALUE"""),"")</f>
        <v/>
      </c>
      <c r="J4647" s="2">
        <f>IFERROR(__xludf.DUMMYFUNCTION("""COMPUTED_VALUE"""),0.0)</f>
        <v>0</v>
      </c>
      <c r="K4647" s="5" t="str">
        <f>IFERROR(__xludf.DUMMYFUNCTION("""COMPUTED_VALUE"""),"")</f>
        <v/>
      </c>
      <c r="L4647" t="str">
        <f>IFERROR(__xludf.DUMMYFUNCTION("""COMPUTED_VALUE"""),"")</f>
        <v/>
      </c>
      <c r="M4647" t="str">
        <f>IFERROR(__xludf.DUMMYFUNCTION("""COMPUTED_VALUE"""),"")</f>
        <v/>
      </c>
      <c r="N4647" t="str">
        <f>IFERROR(__xludf.DUMMYFUNCTION("""COMPUTED_VALUE"""),"")</f>
        <v/>
      </c>
      <c r="O4647" t="str">
        <f>IFERROR(__xludf.DUMMYFUNCTION("""COMPUTED_VALUE"""),"")</f>
        <v/>
      </c>
      <c r="P4647" t="str">
        <f>IFERROR(__xludf.DUMMYFUNCTION("""COMPUTED_VALUE"""),"ID ")</f>
        <v>ID </v>
      </c>
    </row>
    <row r="4648">
      <c r="A4648" s="6" t="str">
        <f>IFERROR(__xludf.DUMMYFUNCTION("""COMPUTED_VALUE"""),"")</f>
        <v/>
      </c>
      <c r="C4648" t="str">
        <f>IFERROR(__xludf.DUMMYFUNCTION("""COMPUTED_VALUE"""),"")</f>
        <v/>
      </c>
      <c r="D4648" t="str">
        <f>IFERROR(__xludf.DUMMYFUNCTION("""COMPUTED_VALUE"""),"")</f>
        <v/>
      </c>
      <c r="E4648" t="str">
        <f>IFERROR(__xludf.DUMMYFUNCTION("""COMPUTED_VALUE"""),"")</f>
        <v/>
      </c>
      <c r="F4648" t="str">
        <f>IFERROR(__xludf.DUMMYFUNCTION("""COMPUTED_VALUE"""),"")</f>
        <v/>
      </c>
      <c r="G4648" t="str">
        <f>IFERROR(__xludf.DUMMYFUNCTION("""COMPUTED_VALUE"""),"")</f>
        <v/>
      </c>
      <c r="H4648" s="2" t="str">
        <f>IFERROR(__xludf.DUMMYFUNCTION("""COMPUTED_VALUE"""),"")</f>
        <v/>
      </c>
      <c r="I4648" s="2" t="str">
        <f>IFERROR(__xludf.DUMMYFUNCTION("""COMPUTED_VALUE"""),"")</f>
        <v/>
      </c>
      <c r="J4648" s="2">
        <f>IFERROR(__xludf.DUMMYFUNCTION("""COMPUTED_VALUE"""),0.0)</f>
        <v>0</v>
      </c>
      <c r="K4648" s="5" t="str">
        <f>IFERROR(__xludf.DUMMYFUNCTION("""COMPUTED_VALUE"""),"")</f>
        <v/>
      </c>
      <c r="L4648" t="str">
        <f>IFERROR(__xludf.DUMMYFUNCTION("""COMPUTED_VALUE"""),"")</f>
        <v/>
      </c>
      <c r="M4648" t="str">
        <f>IFERROR(__xludf.DUMMYFUNCTION("""COMPUTED_VALUE"""),"")</f>
        <v/>
      </c>
      <c r="N4648" t="str">
        <f>IFERROR(__xludf.DUMMYFUNCTION("""COMPUTED_VALUE"""),"")</f>
        <v/>
      </c>
      <c r="O4648" t="str">
        <f>IFERROR(__xludf.DUMMYFUNCTION("""COMPUTED_VALUE"""),"")</f>
        <v/>
      </c>
      <c r="P4648" t="str">
        <f>IFERROR(__xludf.DUMMYFUNCTION("""COMPUTED_VALUE"""),"ID ")</f>
        <v>ID </v>
      </c>
    </row>
    <row r="4649">
      <c r="A4649" s="6" t="str">
        <f>IFERROR(__xludf.DUMMYFUNCTION("""COMPUTED_VALUE"""),"")</f>
        <v/>
      </c>
      <c r="C4649" t="str">
        <f>IFERROR(__xludf.DUMMYFUNCTION("""COMPUTED_VALUE"""),"")</f>
        <v/>
      </c>
      <c r="D4649" t="str">
        <f>IFERROR(__xludf.DUMMYFUNCTION("""COMPUTED_VALUE"""),"")</f>
        <v/>
      </c>
      <c r="E4649" t="str">
        <f>IFERROR(__xludf.DUMMYFUNCTION("""COMPUTED_VALUE"""),"")</f>
        <v/>
      </c>
      <c r="F4649" t="str">
        <f>IFERROR(__xludf.DUMMYFUNCTION("""COMPUTED_VALUE"""),"")</f>
        <v/>
      </c>
      <c r="G4649" t="str">
        <f>IFERROR(__xludf.DUMMYFUNCTION("""COMPUTED_VALUE"""),"")</f>
        <v/>
      </c>
      <c r="H4649" s="2" t="str">
        <f>IFERROR(__xludf.DUMMYFUNCTION("""COMPUTED_VALUE"""),"")</f>
        <v/>
      </c>
      <c r="I4649" s="2" t="str">
        <f>IFERROR(__xludf.DUMMYFUNCTION("""COMPUTED_VALUE"""),"")</f>
        <v/>
      </c>
      <c r="J4649" s="2">
        <f>IFERROR(__xludf.DUMMYFUNCTION("""COMPUTED_VALUE"""),0.0)</f>
        <v>0</v>
      </c>
      <c r="K4649" s="5" t="str">
        <f>IFERROR(__xludf.DUMMYFUNCTION("""COMPUTED_VALUE"""),"")</f>
        <v/>
      </c>
      <c r="L4649" t="str">
        <f>IFERROR(__xludf.DUMMYFUNCTION("""COMPUTED_VALUE"""),"")</f>
        <v/>
      </c>
      <c r="M4649" t="str">
        <f>IFERROR(__xludf.DUMMYFUNCTION("""COMPUTED_VALUE"""),"")</f>
        <v/>
      </c>
      <c r="N4649" t="str">
        <f>IFERROR(__xludf.DUMMYFUNCTION("""COMPUTED_VALUE"""),"")</f>
        <v/>
      </c>
      <c r="O4649" t="str">
        <f>IFERROR(__xludf.DUMMYFUNCTION("""COMPUTED_VALUE"""),"")</f>
        <v/>
      </c>
      <c r="P4649" t="str">
        <f>IFERROR(__xludf.DUMMYFUNCTION("""COMPUTED_VALUE"""),"ID ")</f>
        <v>ID </v>
      </c>
    </row>
    <row r="4650">
      <c r="A4650" s="6" t="str">
        <f>IFERROR(__xludf.DUMMYFUNCTION("""COMPUTED_VALUE"""),"")</f>
        <v/>
      </c>
      <c r="C4650" t="str">
        <f>IFERROR(__xludf.DUMMYFUNCTION("""COMPUTED_VALUE"""),"")</f>
        <v/>
      </c>
      <c r="D4650" t="str">
        <f>IFERROR(__xludf.DUMMYFUNCTION("""COMPUTED_VALUE"""),"")</f>
        <v/>
      </c>
      <c r="E4650" t="str">
        <f>IFERROR(__xludf.DUMMYFUNCTION("""COMPUTED_VALUE"""),"")</f>
        <v/>
      </c>
      <c r="F4650" t="str">
        <f>IFERROR(__xludf.DUMMYFUNCTION("""COMPUTED_VALUE"""),"")</f>
        <v/>
      </c>
      <c r="G4650" t="str">
        <f>IFERROR(__xludf.DUMMYFUNCTION("""COMPUTED_VALUE"""),"")</f>
        <v/>
      </c>
      <c r="H4650" s="2" t="str">
        <f>IFERROR(__xludf.DUMMYFUNCTION("""COMPUTED_VALUE"""),"")</f>
        <v/>
      </c>
      <c r="I4650" s="2" t="str">
        <f>IFERROR(__xludf.DUMMYFUNCTION("""COMPUTED_VALUE"""),"")</f>
        <v/>
      </c>
      <c r="J4650" s="2">
        <f>IFERROR(__xludf.DUMMYFUNCTION("""COMPUTED_VALUE"""),0.0)</f>
        <v>0</v>
      </c>
      <c r="K4650" s="5" t="str">
        <f>IFERROR(__xludf.DUMMYFUNCTION("""COMPUTED_VALUE"""),"")</f>
        <v/>
      </c>
      <c r="L4650" t="str">
        <f>IFERROR(__xludf.DUMMYFUNCTION("""COMPUTED_VALUE"""),"")</f>
        <v/>
      </c>
      <c r="M4650" t="str">
        <f>IFERROR(__xludf.DUMMYFUNCTION("""COMPUTED_VALUE"""),"")</f>
        <v/>
      </c>
      <c r="N4650" t="str">
        <f>IFERROR(__xludf.DUMMYFUNCTION("""COMPUTED_VALUE"""),"")</f>
        <v/>
      </c>
      <c r="O4650" t="str">
        <f>IFERROR(__xludf.DUMMYFUNCTION("""COMPUTED_VALUE"""),"")</f>
        <v/>
      </c>
      <c r="P4650" t="str">
        <f>IFERROR(__xludf.DUMMYFUNCTION("""COMPUTED_VALUE"""),"ID ")</f>
        <v>ID </v>
      </c>
    </row>
    <row r="4651">
      <c r="A4651" s="6" t="str">
        <f>IFERROR(__xludf.DUMMYFUNCTION("""COMPUTED_VALUE"""),"")</f>
        <v/>
      </c>
      <c r="C4651" t="str">
        <f>IFERROR(__xludf.DUMMYFUNCTION("""COMPUTED_VALUE"""),"")</f>
        <v/>
      </c>
      <c r="D4651" t="str">
        <f>IFERROR(__xludf.DUMMYFUNCTION("""COMPUTED_VALUE"""),"")</f>
        <v/>
      </c>
      <c r="E4651" t="str">
        <f>IFERROR(__xludf.DUMMYFUNCTION("""COMPUTED_VALUE"""),"")</f>
        <v/>
      </c>
      <c r="F4651" t="str">
        <f>IFERROR(__xludf.DUMMYFUNCTION("""COMPUTED_VALUE"""),"")</f>
        <v/>
      </c>
      <c r="G4651" t="str">
        <f>IFERROR(__xludf.DUMMYFUNCTION("""COMPUTED_VALUE"""),"")</f>
        <v/>
      </c>
      <c r="H4651" s="2" t="str">
        <f>IFERROR(__xludf.DUMMYFUNCTION("""COMPUTED_VALUE"""),"")</f>
        <v/>
      </c>
      <c r="I4651" s="2" t="str">
        <f>IFERROR(__xludf.DUMMYFUNCTION("""COMPUTED_VALUE"""),"")</f>
        <v/>
      </c>
      <c r="J4651" s="2">
        <f>IFERROR(__xludf.DUMMYFUNCTION("""COMPUTED_VALUE"""),0.0)</f>
        <v>0</v>
      </c>
      <c r="K4651" s="5" t="str">
        <f>IFERROR(__xludf.DUMMYFUNCTION("""COMPUTED_VALUE"""),"")</f>
        <v/>
      </c>
      <c r="L4651" t="str">
        <f>IFERROR(__xludf.DUMMYFUNCTION("""COMPUTED_VALUE"""),"")</f>
        <v/>
      </c>
      <c r="M4651" t="str">
        <f>IFERROR(__xludf.DUMMYFUNCTION("""COMPUTED_VALUE"""),"")</f>
        <v/>
      </c>
      <c r="N4651" t="str">
        <f>IFERROR(__xludf.DUMMYFUNCTION("""COMPUTED_VALUE"""),"")</f>
        <v/>
      </c>
      <c r="O4651" t="str">
        <f>IFERROR(__xludf.DUMMYFUNCTION("""COMPUTED_VALUE"""),"")</f>
        <v/>
      </c>
      <c r="P4651" t="str">
        <f>IFERROR(__xludf.DUMMYFUNCTION("""COMPUTED_VALUE"""),"ID ")</f>
        <v>ID </v>
      </c>
    </row>
    <row r="4652">
      <c r="A4652" s="6" t="str">
        <f>IFERROR(__xludf.DUMMYFUNCTION("""COMPUTED_VALUE"""),"")</f>
        <v/>
      </c>
      <c r="C4652" t="str">
        <f>IFERROR(__xludf.DUMMYFUNCTION("""COMPUTED_VALUE"""),"")</f>
        <v/>
      </c>
      <c r="D4652" t="str">
        <f>IFERROR(__xludf.DUMMYFUNCTION("""COMPUTED_VALUE"""),"")</f>
        <v/>
      </c>
      <c r="E4652" t="str">
        <f>IFERROR(__xludf.DUMMYFUNCTION("""COMPUTED_VALUE"""),"")</f>
        <v/>
      </c>
      <c r="F4652" t="str">
        <f>IFERROR(__xludf.DUMMYFUNCTION("""COMPUTED_VALUE"""),"")</f>
        <v/>
      </c>
      <c r="G4652" t="str">
        <f>IFERROR(__xludf.DUMMYFUNCTION("""COMPUTED_VALUE"""),"")</f>
        <v/>
      </c>
      <c r="H4652" s="2" t="str">
        <f>IFERROR(__xludf.DUMMYFUNCTION("""COMPUTED_VALUE"""),"")</f>
        <v/>
      </c>
      <c r="I4652" s="2" t="str">
        <f>IFERROR(__xludf.DUMMYFUNCTION("""COMPUTED_VALUE"""),"")</f>
        <v/>
      </c>
      <c r="J4652" s="2">
        <f>IFERROR(__xludf.DUMMYFUNCTION("""COMPUTED_VALUE"""),0.0)</f>
        <v>0</v>
      </c>
      <c r="K4652" s="5" t="str">
        <f>IFERROR(__xludf.DUMMYFUNCTION("""COMPUTED_VALUE"""),"")</f>
        <v/>
      </c>
      <c r="L4652" t="str">
        <f>IFERROR(__xludf.DUMMYFUNCTION("""COMPUTED_VALUE"""),"")</f>
        <v/>
      </c>
      <c r="M4652" t="str">
        <f>IFERROR(__xludf.DUMMYFUNCTION("""COMPUTED_VALUE"""),"")</f>
        <v/>
      </c>
      <c r="N4652" t="str">
        <f>IFERROR(__xludf.DUMMYFUNCTION("""COMPUTED_VALUE"""),"")</f>
        <v/>
      </c>
      <c r="O4652" t="str">
        <f>IFERROR(__xludf.DUMMYFUNCTION("""COMPUTED_VALUE"""),"")</f>
        <v/>
      </c>
      <c r="P4652" t="str">
        <f>IFERROR(__xludf.DUMMYFUNCTION("""COMPUTED_VALUE"""),"ID ")</f>
        <v>ID </v>
      </c>
    </row>
    <row r="4653">
      <c r="A4653" s="6" t="str">
        <f>IFERROR(__xludf.DUMMYFUNCTION("""COMPUTED_VALUE"""),"")</f>
        <v/>
      </c>
      <c r="C4653" t="str">
        <f>IFERROR(__xludf.DUMMYFUNCTION("""COMPUTED_VALUE"""),"")</f>
        <v/>
      </c>
      <c r="D4653" t="str">
        <f>IFERROR(__xludf.DUMMYFUNCTION("""COMPUTED_VALUE"""),"")</f>
        <v/>
      </c>
      <c r="E4653" t="str">
        <f>IFERROR(__xludf.DUMMYFUNCTION("""COMPUTED_VALUE"""),"")</f>
        <v/>
      </c>
      <c r="F4653" t="str">
        <f>IFERROR(__xludf.DUMMYFUNCTION("""COMPUTED_VALUE"""),"")</f>
        <v/>
      </c>
      <c r="G4653" t="str">
        <f>IFERROR(__xludf.DUMMYFUNCTION("""COMPUTED_VALUE"""),"")</f>
        <v/>
      </c>
      <c r="H4653" s="2" t="str">
        <f>IFERROR(__xludf.DUMMYFUNCTION("""COMPUTED_VALUE"""),"")</f>
        <v/>
      </c>
      <c r="I4653" s="2" t="str">
        <f>IFERROR(__xludf.DUMMYFUNCTION("""COMPUTED_VALUE"""),"")</f>
        <v/>
      </c>
      <c r="J4653" s="2">
        <f>IFERROR(__xludf.DUMMYFUNCTION("""COMPUTED_VALUE"""),0.0)</f>
        <v>0</v>
      </c>
      <c r="K4653" s="5" t="str">
        <f>IFERROR(__xludf.DUMMYFUNCTION("""COMPUTED_VALUE"""),"")</f>
        <v/>
      </c>
      <c r="L4653" t="str">
        <f>IFERROR(__xludf.DUMMYFUNCTION("""COMPUTED_VALUE"""),"")</f>
        <v/>
      </c>
      <c r="M4653" t="str">
        <f>IFERROR(__xludf.DUMMYFUNCTION("""COMPUTED_VALUE"""),"")</f>
        <v/>
      </c>
      <c r="N4653" t="str">
        <f>IFERROR(__xludf.DUMMYFUNCTION("""COMPUTED_VALUE"""),"")</f>
        <v/>
      </c>
      <c r="O4653" t="str">
        <f>IFERROR(__xludf.DUMMYFUNCTION("""COMPUTED_VALUE"""),"")</f>
        <v/>
      </c>
      <c r="P4653" t="str">
        <f>IFERROR(__xludf.DUMMYFUNCTION("""COMPUTED_VALUE"""),"ID ")</f>
        <v>ID </v>
      </c>
    </row>
    <row r="4654">
      <c r="A4654" s="6" t="str">
        <f>IFERROR(__xludf.DUMMYFUNCTION("""COMPUTED_VALUE"""),"")</f>
        <v/>
      </c>
      <c r="C4654" t="str">
        <f>IFERROR(__xludf.DUMMYFUNCTION("""COMPUTED_VALUE"""),"")</f>
        <v/>
      </c>
      <c r="D4654" t="str">
        <f>IFERROR(__xludf.DUMMYFUNCTION("""COMPUTED_VALUE"""),"")</f>
        <v/>
      </c>
      <c r="E4654" t="str">
        <f>IFERROR(__xludf.DUMMYFUNCTION("""COMPUTED_VALUE"""),"")</f>
        <v/>
      </c>
      <c r="F4654" t="str">
        <f>IFERROR(__xludf.DUMMYFUNCTION("""COMPUTED_VALUE"""),"")</f>
        <v/>
      </c>
      <c r="G4654" t="str">
        <f>IFERROR(__xludf.DUMMYFUNCTION("""COMPUTED_VALUE"""),"")</f>
        <v/>
      </c>
      <c r="H4654" s="2" t="str">
        <f>IFERROR(__xludf.DUMMYFUNCTION("""COMPUTED_VALUE"""),"")</f>
        <v/>
      </c>
      <c r="I4654" s="2" t="str">
        <f>IFERROR(__xludf.DUMMYFUNCTION("""COMPUTED_VALUE"""),"")</f>
        <v/>
      </c>
      <c r="J4654" s="2">
        <f>IFERROR(__xludf.DUMMYFUNCTION("""COMPUTED_VALUE"""),0.0)</f>
        <v>0</v>
      </c>
      <c r="K4654" s="5" t="str">
        <f>IFERROR(__xludf.DUMMYFUNCTION("""COMPUTED_VALUE"""),"")</f>
        <v/>
      </c>
      <c r="L4654" t="str">
        <f>IFERROR(__xludf.DUMMYFUNCTION("""COMPUTED_VALUE"""),"")</f>
        <v/>
      </c>
      <c r="M4654" t="str">
        <f>IFERROR(__xludf.DUMMYFUNCTION("""COMPUTED_VALUE"""),"")</f>
        <v/>
      </c>
      <c r="N4654" t="str">
        <f>IFERROR(__xludf.DUMMYFUNCTION("""COMPUTED_VALUE"""),"")</f>
        <v/>
      </c>
      <c r="O4654" t="str">
        <f>IFERROR(__xludf.DUMMYFUNCTION("""COMPUTED_VALUE"""),"")</f>
        <v/>
      </c>
      <c r="P4654" t="str">
        <f>IFERROR(__xludf.DUMMYFUNCTION("""COMPUTED_VALUE"""),"ID ")</f>
        <v>ID </v>
      </c>
    </row>
    <row r="4655">
      <c r="A4655" s="6" t="str">
        <f>IFERROR(__xludf.DUMMYFUNCTION("""COMPUTED_VALUE"""),"")</f>
        <v/>
      </c>
      <c r="C4655" t="str">
        <f>IFERROR(__xludf.DUMMYFUNCTION("""COMPUTED_VALUE"""),"")</f>
        <v/>
      </c>
      <c r="D4655" t="str">
        <f>IFERROR(__xludf.DUMMYFUNCTION("""COMPUTED_VALUE"""),"")</f>
        <v/>
      </c>
      <c r="E4655" t="str">
        <f>IFERROR(__xludf.DUMMYFUNCTION("""COMPUTED_VALUE"""),"")</f>
        <v/>
      </c>
      <c r="F4655" t="str">
        <f>IFERROR(__xludf.DUMMYFUNCTION("""COMPUTED_VALUE"""),"")</f>
        <v/>
      </c>
      <c r="G4655" t="str">
        <f>IFERROR(__xludf.DUMMYFUNCTION("""COMPUTED_VALUE"""),"")</f>
        <v/>
      </c>
      <c r="H4655" s="2" t="str">
        <f>IFERROR(__xludf.DUMMYFUNCTION("""COMPUTED_VALUE"""),"")</f>
        <v/>
      </c>
      <c r="I4655" s="2" t="str">
        <f>IFERROR(__xludf.DUMMYFUNCTION("""COMPUTED_VALUE"""),"")</f>
        <v/>
      </c>
      <c r="J4655" s="2">
        <f>IFERROR(__xludf.DUMMYFUNCTION("""COMPUTED_VALUE"""),0.0)</f>
        <v>0</v>
      </c>
      <c r="K4655" s="5" t="str">
        <f>IFERROR(__xludf.DUMMYFUNCTION("""COMPUTED_VALUE"""),"")</f>
        <v/>
      </c>
      <c r="L4655" t="str">
        <f>IFERROR(__xludf.DUMMYFUNCTION("""COMPUTED_VALUE"""),"")</f>
        <v/>
      </c>
      <c r="M4655" t="str">
        <f>IFERROR(__xludf.DUMMYFUNCTION("""COMPUTED_VALUE"""),"")</f>
        <v/>
      </c>
      <c r="N4655" t="str">
        <f>IFERROR(__xludf.DUMMYFUNCTION("""COMPUTED_VALUE"""),"")</f>
        <v/>
      </c>
      <c r="O4655" t="str">
        <f>IFERROR(__xludf.DUMMYFUNCTION("""COMPUTED_VALUE"""),"")</f>
        <v/>
      </c>
      <c r="P4655" t="str">
        <f>IFERROR(__xludf.DUMMYFUNCTION("""COMPUTED_VALUE"""),"ID ")</f>
        <v>ID </v>
      </c>
    </row>
    <row r="4656">
      <c r="A4656" s="6" t="str">
        <f>IFERROR(__xludf.DUMMYFUNCTION("""COMPUTED_VALUE"""),"")</f>
        <v/>
      </c>
      <c r="C4656" t="str">
        <f>IFERROR(__xludf.DUMMYFUNCTION("""COMPUTED_VALUE"""),"")</f>
        <v/>
      </c>
      <c r="D4656" t="str">
        <f>IFERROR(__xludf.DUMMYFUNCTION("""COMPUTED_VALUE"""),"")</f>
        <v/>
      </c>
      <c r="E4656" t="str">
        <f>IFERROR(__xludf.DUMMYFUNCTION("""COMPUTED_VALUE"""),"")</f>
        <v/>
      </c>
      <c r="F4656" t="str">
        <f>IFERROR(__xludf.DUMMYFUNCTION("""COMPUTED_VALUE"""),"")</f>
        <v/>
      </c>
      <c r="G4656" t="str">
        <f>IFERROR(__xludf.DUMMYFUNCTION("""COMPUTED_VALUE"""),"")</f>
        <v/>
      </c>
      <c r="H4656" s="2" t="str">
        <f>IFERROR(__xludf.DUMMYFUNCTION("""COMPUTED_VALUE"""),"")</f>
        <v/>
      </c>
      <c r="I4656" s="2" t="str">
        <f>IFERROR(__xludf.DUMMYFUNCTION("""COMPUTED_VALUE"""),"")</f>
        <v/>
      </c>
      <c r="J4656" s="2">
        <f>IFERROR(__xludf.DUMMYFUNCTION("""COMPUTED_VALUE"""),0.0)</f>
        <v>0</v>
      </c>
      <c r="K4656" s="5" t="str">
        <f>IFERROR(__xludf.DUMMYFUNCTION("""COMPUTED_VALUE"""),"")</f>
        <v/>
      </c>
      <c r="L4656" t="str">
        <f>IFERROR(__xludf.DUMMYFUNCTION("""COMPUTED_VALUE"""),"")</f>
        <v/>
      </c>
      <c r="M4656" t="str">
        <f>IFERROR(__xludf.DUMMYFUNCTION("""COMPUTED_VALUE"""),"")</f>
        <v/>
      </c>
      <c r="N4656" t="str">
        <f>IFERROR(__xludf.DUMMYFUNCTION("""COMPUTED_VALUE"""),"")</f>
        <v/>
      </c>
      <c r="O4656" t="str">
        <f>IFERROR(__xludf.DUMMYFUNCTION("""COMPUTED_VALUE"""),"")</f>
        <v/>
      </c>
      <c r="P4656" t="str">
        <f>IFERROR(__xludf.DUMMYFUNCTION("""COMPUTED_VALUE"""),"ID ")</f>
        <v>ID </v>
      </c>
    </row>
    <row r="4657">
      <c r="A4657" s="6" t="str">
        <f>IFERROR(__xludf.DUMMYFUNCTION("""COMPUTED_VALUE"""),"")</f>
        <v/>
      </c>
      <c r="C4657" t="str">
        <f>IFERROR(__xludf.DUMMYFUNCTION("""COMPUTED_VALUE"""),"")</f>
        <v/>
      </c>
      <c r="D4657" t="str">
        <f>IFERROR(__xludf.DUMMYFUNCTION("""COMPUTED_VALUE"""),"")</f>
        <v/>
      </c>
      <c r="E4657" t="str">
        <f>IFERROR(__xludf.DUMMYFUNCTION("""COMPUTED_VALUE"""),"")</f>
        <v/>
      </c>
      <c r="F4657" t="str">
        <f>IFERROR(__xludf.DUMMYFUNCTION("""COMPUTED_VALUE"""),"")</f>
        <v/>
      </c>
      <c r="G4657" t="str">
        <f>IFERROR(__xludf.DUMMYFUNCTION("""COMPUTED_VALUE"""),"")</f>
        <v/>
      </c>
      <c r="H4657" s="2" t="str">
        <f>IFERROR(__xludf.DUMMYFUNCTION("""COMPUTED_VALUE"""),"")</f>
        <v/>
      </c>
      <c r="I4657" s="2" t="str">
        <f>IFERROR(__xludf.DUMMYFUNCTION("""COMPUTED_VALUE"""),"")</f>
        <v/>
      </c>
      <c r="J4657" s="2">
        <f>IFERROR(__xludf.DUMMYFUNCTION("""COMPUTED_VALUE"""),0.0)</f>
        <v>0</v>
      </c>
      <c r="K4657" s="5" t="str">
        <f>IFERROR(__xludf.DUMMYFUNCTION("""COMPUTED_VALUE"""),"")</f>
        <v/>
      </c>
      <c r="L4657" t="str">
        <f>IFERROR(__xludf.DUMMYFUNCTION("""COMPUTED_VALUE"""),"")</f>
        <v/>
      </c>
      <c r="M4657" t="str">
        <f>IFERROR(__xludf.DUMMYFUNCTION("""COMPUTED_VALUE"""),"")</f>
        <v/>
      </c>
      <c r="N4657" t="str">
        <f>IFERROR(__xludf.DUMMYFUNCTION("""COMPUTED_VALUE"""),"")</f>
        <v/>
      </c>
      <c r="O4657" t="str">
        <f>IFERROR(__xludf.DUMMYFUNCTION("""COMPUTED_VALUE"""),"")</f>
        <v/>
      </c>
      <c r="P4657" t="str">
        <f>IFERROR(__xludf.DUMMYFUNCTION("""COMPUTED_VALUE"""),"ID ")</f>
        <v>ID </v>
      </c>
    </row>
    <row r="4658">
      <c r="A4658" s="6" t="str">
        <f>IFERROR(__xludf.DUMMYFUNCTION("""COMPUTED_VALUE"""),"")</f>
        <v/>
      </c>
      <c r="C4658" t="str">
        <f>IFERROR(__xludf.DUMMYFUNCTION("""COMPUTED_VALUE"""),"")</f>
        <v/>
      </c>
      <c r="D4658" t="str">
        <f>IFERROR(__xludf.DUMMYFUNCTION("""COMPUTED_VALUE"""),"")</f>
        <v/>
      </c>
      <c r="E4658" t="str">
        <f>IFERROR(__xludf.DUMMYFUNCTION("""COMPUTED_VALUE"""),"")</f>
        <v/>
      </c>
      <c r="F4658" t="str">
        <f>IFERROR(__xludf.DUMMYFUNCTION("""COMPUTED_VALUE"""),"")</f>
        <v/>
      </c>
      <c r="G4658" t="str">
        <f>IFERROR(__xludf.DUMMYFUNCTION("""COMPUTED_VALUE"""),"")</f>
        <v/>
      </c>
      <c r="H4658" s="2" t="str">
        <f>IFERROR(__xludf.DUMMYFUNCTION("""COMPUTED_VALUE"""),"")</f>
        <v/>
      </c>
      <c r="I4658" s="2" t="str">
        <f>IFERROR(__xludf.DUMMYFUNCTION("""COMPUTED_VALUE"""),"")</f>
        <v/>
      </c>
      <c r="J4658" s="2">
        <f>IFERROR(__xludf.DUMMYFUNCTION("""COMPUTED_VALUE"""),0.0)</f>
        <v>0</v>
      </c>
      <c r="K4658" s="5" t="str">
        <f>IFERROR(__xludf.DUMMYFUNCTION("""COMPUTED_VALUE"""),"")</f>
        <v/>
      </c>
      <c r="L4658" t="str">
        <f>IFERROR(__xludf.DUMMYFUNCTION("""COMPUTED_VALUE"""),"")</f>
        <v/>
      </c>
      <c r="M4658" t="str">
        <f>IFERROR(__xludf.DUMMYFUNCTION("""COMPUTED_VALUE"""),"")</f>
        <v/>
      </c>
      <c r="N4658" t="str">
        <f>IFERROR(__xludf.DUMMYFUNCTION("""COMPUTED_VALUE"""),"")</f>
        <v/>
      </c>
      <c r="O4658" t="str">
        <f>IFERROR(__xludf.DUMMYFUNCTION("""COMPUTED_VALUE"""),"")</f>
        <v/>
      </c>
      <c r="P4658" t="str">
        <f>IFERROR(__xludf.DUMMYFUNCTION("""COMPUTED_VALUE"""),"ID ")</f>
        <v>ID </v>
      </c>
    </row>
    <row r="4659">
      <c r="A4659" s="6" t="str">
        <f>IFERROR(__xludf.DUMMYFUNCTION("""COMPUTED_VALUE"""),"")</f>
        <v/>
      </c>
      <c r="C4659" t="str">
        <f>IFERROR(__xludf.DUMMYFUNCTION("""COMPUTED_VALUE"""),"")</f>
        <v/>
      </c>
      <c r="D4659" t="str">
        <f>IFERROR(__xludf.DUMMYFUNCTION("""COMPUTED_VALUE"""),"")</f>
        <v/>
      </c>
      <c r="E4659" t="str">
        <f>IFERROR(__xludf.DUMMYFUNCTION("""COMPUTED_VALUE"""),"")</f>
        <v/>
      </c>
      <c r="F4659" t="str">
        <f>IFERROR(__xludf.DUMMYFUNCTION("""COMPUTED_VALUE"""),"")</f>
        <v/>
      </c>
      <c r="G4659" t="str">
        <f>IFERROR(__xludf.DUMMYFUNCTION("""COMPUTED_VALUE"""),"")</f>
        <v/>
      </c>
      <c r="H4659" s="2" t="str">
        <f>IFERROR(__xludf.DUMMYFUNCTION("""COMPUTED_VALUE"""),"")</f>
        <v/>
      </c>
      <c r="I4659" s="2" t="str">
        <f>IFERROR(__xludf.DUMMYFUNCTION("""COMPUTED_VALUE"""),"")</f>
        <v/>
      </c>
      <c r="J4659" s="2">
        <f>IFERROR(__xludf.DUMMYFUNCTION("""COMPUTED_VALUE"""),0.0)</f>
        <v>0</v>
      </c>
      <c r="K4659" s="5" t="str">
        <f>IFERROR(__xludf.DUMMYFUNCTION("""COMPUTED_VALUE"""),"")</f>
        <v/>
      </c>
      <c r="L4659" t="str">
        <f>IFERROR(__xludf.DUMMYFUNCTION("""COMPUTED_VALUE"""),"")</f>
        <v/>
      </c>
      <c r="M4659" t="str">
        <f>IFERROR(__xludf.DUMMYFUNCTION("""COMPUTED_VALUE"""),"")</f>
        <v/>
      </c>
      <c r="N4659" t="str">
        <f>IFERROR(__xludf.DUMMYFUNCTION("""COMPUTED_VALUE"""),"")</f>
        <v/>
      </c>
      <c r="O4659" t="str">
        <f>IFERROR(__xludf.DUMMYFUNCTION("""COMPUTED_VALUE"""),"")</f>
        <v/>
      </c>
      <c r="P4659" t="str">
        <f>IFERROR(__xludf.DUMMYFUNCTION("""COMPUTED_VALUE"""),"ID ")</f>
        <v>ID </v>
      </c>
    </row>
    <row r="4660">
      <c r="A4660" s="6" t="str">
        <f>IFERROR(__xludf.DUMMYFUNCTION("""COMPUTED_VALUE"""),"")</f>
        <v/>
      </c>
      <c r="C4660" t="str">
        <f>IFERROR(__xludf.DUMMYFUNCTION("""COMPUTED_VALUE"""),"")</f>
        <v/>
      </c>
      <c r="D4660" t="str">
        <f>IFERROR(__xludf.DUMMYFUNCTION("""COMPUTED_VALUE"""),"")</f>
        <v/>
      </c>
      <c r="E4660" t="str">
        <f>IFERROR(__xludf.DUMMYFUNCTION("""COMPUTED_VALUE"""),"")</f>
        <v/>
      </c>
      <c r="F4660" t="str">
        <f>IFERROR(__xludf.DUMMYFUNCTION("""COMPUTED_VALUE"""),"")</f>
        <v/>
      </c>
      <c r="G4660" t="str">
        <f>IFERROR(__xludf.DUMMYFUNCTION("""COMPUTED_VALUE"""),"")</f>
        <v/>
      </c>
      <c r="H4660" s="2" t="str">
        <f>IFERROR(__xludf.DUMMYFUNCTION("""COMPUTED_VALUE"""),"")</f>
        <v/>
      </c>
      <c r="I4660" s="2" t="str">
        <f>IFERROR(__xludf.DUMMYFUNCTION("""COMPUTED_VALUE"""),"")</f>
        <v/>
      </c>
      <c r="J4660" s="2">
        <f>IFERROR(__xludf.DUMMYFUNCTION("""COMPUTED_VALUE"""),0.0)</f>
        <v>0</v>
      </c>
      <c r="K4660" s="5" t="str">
        <f>IFERROR(__xludf.DUMMYFUNCTION("""COMPUTED_VALUE"""),"")</f>
        <v/>
      </c>
      <c r="L4660" t="str">
        <f>IFERROR(__xludf.DUMMYFUNCTION("""COMPUTED_VALUE"""),"")</f>
        <v/>
      </c>
      <c r="M4660" t="str">
        <f>IFERROR(__xludf.DUMMYFUNCTION("""COMPUTED_VALUE"""),"")</f>
        <v/>
      </c>
      <c r="N4660" t="str">
        <f>IFERROR(__xludf.DUMMYFUNCTION("""COMPUTED_VALUE"""),"")</f>
        <v/>
      </c>
      <c r="O4660" t="str">
        <f>IFERROR(__xludf.DUMMYFUNCTION("""COMPUTED_VALUE"""),"")</f>
        <v/>
      </c>
      <c r="P4660" t="str">
        <f>IFERROR(__xludf.DUMMYFUNCTION("""COMPUTED_VALUE"""),"ID ")</f>
        <v>ID </v>
      </c>
    </row>
    <row r="4661">
      <c r="A4661" s="6" t="str">
        <f>IFERROR(__xludf.DUMMYFUNCTION("""COMPUTED_VALUE"""),"")</f>
        <v/>
      </c>
      <c r="C4661" t="str">
        <f>IFERROR(__xludf.DUMMYFUNCTION("""COMPUTED_VALUE"""),"")</f>
        <v/>
      </c>
      <c r="D4661" t="str">
        <f>IFERROR(__xludf.DUMMYFUNCTION("""COMPUTED_VALUE"""),"")</f>
        <v/>
      </c>
      <c r="E4661" t="str">
        <f>IFERROR(__xludf.DUMMYFUNCTION("""COMPUTED_VALUE"""),"")</f>
        <v/>
      </c>
      <c r="F4661" t="str">
        <f>IFERROR(__xludf.DUMMYFUNCTION("""COMPUTED_VALUE"""),"")</f>
        <v/>
      </c>
      <c r="G4661" t="str">
        <f>IFERROR(__xludf.DUMMYFUNCTION("""COMPUTED_VALUE"""),"")</f>
        <v/>
      </c>
      <c r="H4661" s="2" t="str">
        <f>IFERROR(__xludf.DUMMYFUNCTION("""COMPUTED_VALUE"""),"")</f>
        <v/>
      </c>
      <c r="I4661" s="2" t="str">
        <f>IFERROR(__xludf.DUMMYFUNCTION("""COMPUTED_VALUE"""),"")</f>
        <v/>
      </c>
      <c r="J4661" s="2">
        <f>IFERROR(__xludf.DUMMYFUNCTION("""COMPUTED_VALUE"""),0.0)</f>
        <v>0</v>
      </c>
      <c r="K4661" s="5" t="str">
        <f>IFERROR(__xludf.DUMMYFUNCTION("""COMPUTED_VALUE"""),"")</f>
        <v/>
      </c>
      <c r="L4661" t="str">
        <f>IFERROR(__xludf.DUMMYFUNCTION("""COMPUTED_VALUE"""),"")</f>
        <v/>
      </c>
      <c r="M4661" t="str">
        <f>IFERROR(__xludf.DUMMYFUNCTION("""COMPUTED_VALUE"""),"")</f>
        <v/>
      </c>
      <c r="N4661" t="str">
        <f>IFERROR(__xludf.DUMMYFUNCTION("""COMPUTED_VALUE"""),"")</f>
        <v/>
      </c>
      <c r="O4661" t="str">
        <f>IFERROR(__xludf.DUMMYFUNCTION("""COMPUTED_VALUE"""),"")</f>
        <v/>
      </c>
      <c r="P4661" t="str">
        <f>IFERROR(__xludf.DUMMYFUNCTION("""COMPUTED_VALUE"""),"ID ")</f>
        <v>ID </v>
      </c>
    </row>
    <row r="4662">
      <c r="A4662" s="6" t="str">
        <f>IFERROR(__xludf.DUMMYFUNCTION("""COMPUTED_VALUE"""),"")</f>
        <v/>
      </c>
      <c r="C4662" t="str">
        <f>IFERROR(__xludf.DUMMYFUNCTION("""COMPUTED_VALUE"""),"")</f>
        <v/>
      </c>
      <c r="D4662" t="str">
        <f>IFERROR(__xludf.DUMMYFUNCTION("""COMPUTED_VALUE"""),"")</f>
        <v/>
      </c>
      <c r="E4662" t="str">
        <f>IFERROR(__xludf.DUMMYFUNCTION("""COMPUTED_VALUE"""),"")</f>
        <v/>
      </c>
      <c r="F4662" t="str">
        <f>IFERROR(__xludf.DUMMYFUNCTION("""COMPUTED_VALUE"""),"")</f>
        <v/>
      </c>
      <c r="G4662" t="str">
        <f>IFERROR(__xludf.DUMMYFUNCTION("""COMPUTED_VALUE"""),"")</f>
        <v/>
      </c>
      <c r="H4662" s="2" t="str">
        <f>IFERROR(__xludf.DUMMYFUNCTION("""COMPUTED_VALUE"""),"")</f>
        <v/>
      </c>
      <c r="I4662" s="2" t="str">
        <f>IFERROR(__xludf.DUMMYFUNCTION("""COMPUTED_VALUE"""),"")</f>
        <v/>
      </c>
      <c r="J4662" s="2">
        <f>IFERROR(__xludf.DUMMYFUNCTION("""COMPUTED_VALUE"""),0.0)</f>
        <v>0</v>
      </c>
      <c r="K4662" s="5" t="str">
        <f>IFERROR(__xludf.DUMMYFUNCTION("""COMPUTED_VALUE"""),"")</f>
        <v/>
      </c>
      <c r="L4662" t="str">
        <f>IFERROR(__xludf.DUMMYFUNCTION("""COMPUTED_VALUE"""),"")</f>
        <v/>
      </c>
      <c r="M4662" t="str">
        <f>IFERROR(__xludf.DUMMYFUNCTION("""COMPUTED_VALUE"""),"")</f>
        <v/>
      </c>
      <c r="N4662" t="str">
        <f>IFERROR(__xludf.DUMMYFUNCTION("""COMPUTED_VALUE"""),"")</f>
        <v/>
      </c>
      <c r="O4662" t="str">
        <f>IFERROR(__xludf.DUMMYFUNCTION("""COMPUTED_VALUE"""),"")</f>
        <v/>
      </c>
      <c r="P4662" t="str">
        <f>IFERROR(__xludf.DUMMYFUNCTION("""COMPUTED_VALUE"""),"ID ")</f>
        <v>ID </v>
      </c>
    </row>
    <row r="4663">
      <c r="A4663" s="6" t="str">
        <f>IFERROR(__xludf.DUMMYFUNCTION("""COMPUTED_VALUE"""),"")</f>
        <v/>
      </c>
      <c r="C4663" t="str">
        <f>IFERROR(__xludf.DUMMYFUNCTION("""COMPUTED_VALUE"""),"")</f>
        <v/>
      </c>
      <c r="D4663" t="str">
        <f>IFERROR(__xludf.DUMMYFUNCTION("""COMPUTED_VALUE"""),"")</f>
        <v/>
      </c>
      <c r="E4663" t="str">
        <f>IFERROR(__xludf.DUMMYFUNCTION("""COMPUTED_VALUE"""),"")</f>
        <v/>
      </c>
      <c r="F4663" t="str">
        <f>IFERROR(__xludf.DUMMYFUNCTION("""COMPUTED_VALUE"""),"")</f>
        <v/>
      </c>
      <c r="G4663" t="str">
        <f>IFERROR(__xludf.DUMMYFUNCTION("""COMPUTED_VALUE"""),"")</f>
        <v/>
      </c>
      <c r="H4663" s="2" t="str">
        <f>IFERROR(__xludf.DUMMYFUNCTION("""COMPUTED_VALUE"""),"")</f>
        <v/>
      </c>
      <c r="I4663" s="2" t="str">
        <f>IFERROR(__xludf.DUMMYFUNCTION("""COMPUTED_VALUE"""),"")</f>
        <v/>
      </c>
      <c r="J4663" s="2">
        <f>IFERROR(__xludf.DUMMYFUNCTION("""COMPUTED_VALUE"""),0.0)</f>
        <v>0</v>
      </c>
      <c r="K4663" s="5" t="str">
        <f>IFERROR(__xludf.DUMMYFUNCTION("""COMPUTED_VALUE"""),"")</f>
        <v/>
      </c>
      <c r="L4663" t="str">
        <f>IFERROR(__xludf.DUMMYFUNCTION("""COMPUTED_VALUE"""),"")</f>
        <v/>
      </c>
      <c r="M4663" t="str">
        <f>IFERROR(__xludf.DUMMYFUNCTION("""COMPUTED_VALUE"""),"")</f>
        <v/>
      </c>
      <c r="N4663" t="str">
        <f>IFERROR(__xludf.DUMMYFUNCTION("""COMPUTED_VALUE"""),"")</f>
        <v/>
      </c>
      <c r="O4663" t="str">
        <f>IFERROR(__xludf.DUMMYFUNCTION("""COMPUTED_VALUE"""),"")</f>
        <v/>
      </c>
      <c r="P4663" t="str">
        <f>IFERROR(__xludf.DUMMYFUNCTION("""COMPUTED_VALUE"""),"ID ")</f>
        <v>ID </v>
      </c>
    </row>
    <row r="4664">
      <c r="A4664" s="6" t="str">
        <f>IFERROR(__xludf.DUMMYFUNCTION("""COMPUTED_VALUE"""),"")</f>
        <v/>
      </c>
      <c r="C4664" t="str">
        <f>IFERROR(__xludf.DUMMYFUNCTION("""COMPUTED_VALUE"""),"")</f>
        <v/>
      </c>
      <c r="D4664" t="str">
        <f>IFERROR(__xludf.DUMMYFUNCTION("""COMPUTED_VALUE"""),"")</f>
        <v/>
      </c>
      <c r="E4664" t="str">
        <f>IFERROR(__xludf.DUMMYFUNCTION("""COMPUTED_VALUE"""),"")</f>
        <v/>
      </c>
      <c r="F4664" t="str">
        <f>IFERROR(__xludf.DUMMYFUNCTION("""COMPUTED_VALUE"""),"")</f>
        <v/>
      </c>
      <c r="G4664" t="str">
        <f>IFERROR(__xludf.DUMMYFUNCTION("""COMPUTED_VALUE"""),"")</f>
        <v/>
      </c>
      <c r="H4664" s="2" t="str">
        <f>IFERROR(__xludf.DUMMYFUNCTION("""COMPUTED_VALUE"""),"")</f>
        <v/>
      </c>
      <c r="I4664" s="2" t="str">
        <f>IFERROR(__xludf.DUMMYFUNCTION("""COMPUTED_VALUE"""),"")</f>
        <v/>
      </c>
      <c r="J4664" s="2">
        <f>IFERROR(__xludf.DUMMYFUNCTION("""COMPUTED_VALUE"""),0.0)</f>
        <v>0</v>
      </c>
      <c r="K4664" s="5" t="str">
        <f>IFERROR(__xludf.DUMMYFUNCTION("""COMPUTED_VALUE"""),"")</f>
        <v/>
      </c>
      <c r="L4664" t="str">
        <f>IFERROR(__xludf.DUMMYFUNCTION("""COMPUTED_VALUE"""),"")</f>
        <v/>
      </c>
      <c r="M4664" t="str">
        <f>IFERROR(__xludf.DUMMYFUNCTION("""COMPUTED_VALUE"""),"")</f>
        <v/>
      </c>
      <c r="N4664" t="str">
        <f>IFERROR(__xludf.DUMMYFUNCTION("""COMPUTED_VALUE"""),"")</f>
        <v/>
      </c>
      <c r="O4664" t="str">
        <f>IFERROR(__xludf.DUMMYFUNCTION("""COMPUTED_VALUE"""),"")</f>
        <v/>
      </c>
      <c r="P4664" t="str">
        <f>IFERROR(__xludf.DUMMYFUNCTION("""COMPUTED_VALUE"""),"ID ")</f>
        <v>ID </v>
      </c>
    </row>
    <row r="4665">
      <c r="A4665" s="6" t="str">
        <f>IFERROR(__xludf.DUMMYFUNCTION("""COMPUTED_VALUE"""),"")</f>
        <v/>
      </c>
      <c r="C4665" t="str">
        <f>IFERROR(__xludf.DUMMYFUNCTION("""COMPUTED_VALUE"""),"")</f>
        <v/>
      </c>
      <c r="D4665" t="str">
        <f>IFERROR(__xludf.DUMMYFUNCTION("""COMPUTED_VALUE"""),"")</f>
        <v/>
      </c>
      <c r="E4665" t="str">
        <f>IFERROR(__xludf.DUMMYFUNCTION("""COMPUTED_VALUE"""),"")</f>
        <v/>
      </c>
      <c r="F4665" t="str">
        <f>IFERROR(__xludf.DUMMYFUNCTION("""COMPUTED_VALUE"""),"")</f>
        <v/>
      </c>
      <c r="G4665" t="str">
        <f>IFERROR(__xludf.DUMMYFUNCTION("""COMPUTED_VALUE"""),"")</f>
        <v/>
      </c>
      <c r="H4665" s="2" t="str">
        <f>IFERROR(__xludf.DUMMYFUNCTION("""COMPUTED_VALUE"""),"")</f>
        <v/>
      </c>
      <c r="I4665" s="2" t="str">
        <f>IFERROR(__xludf.DUMMYFUNCTION("""COMPUTED_VALUE"""),"")</f>
        <v/>
      </c>
      <c r="J4665" s="2">
        <f>IFERROR(__xludf.DUMMYFUNCTION("""COMPUTED_VALUE"""),0.0)</f>
        <v>0</v>
      </c>
      <c r="K4665" s="5" t="str">
        <f>IFERROR(__xludf.DUMMYFUNCTION("""COMPUTED_VALUE"""),"")</f>
        <v/>
      </c>
      <c r="L4665" t="str">
        <f>IFERROR(__xludf.DUMMYFUNCTION("""COMPUTED_VALUE"""),"")</f>
        <v/>
      </c>
      <c r="M4665" t="str">
        <f>IFERROR(__xludf.DUMMYFUNCTION("""COMPUTED_VALUE"""),"")</f>
        <v/>
      </c>
      <c r="N4665" t="str">
        <f>IFERROR(__xludf.DUMMYFUNCTION("""COMPUTED_VALUE"""),"")</f>
        <v/>
      </c>
      <c r="O4665" t="str">
        <f>IFERROR(__xludf.DUMMYFUNCTION("""COMPUTED_VALUE"""),"")</f>
        <v/>
      </c>
      <c r="P4665" t="str">
        <f>IFERROR(__xludf.DUMMYFUNCTION("""COMPUTED_VALUE"""),"ID ")</f>
        <v>ID </v>
      </c>
    </row>
    <row r="4666">
      <c r="A4666" s="6" t="str">
        <f>IFERROR(__xludf.DUMMYFUNCTION("""COMPUTED_VALUE"""),"")</f>
        <v/>
      </c>
      <c r="C4666" t="str">
        <f>IFERROR(__xludf.DUMMYFUNCTION("""COMPUTED_VALUE"""),"")</f>
        <v/>
      </c>
      <c r="D4666" t="str">
        <f>IFERROR(__xludf.DUMMYFUNCTION("""COMPUTED_VALUE"""),"")</f>
        <v/>
      </c>
      <c r="E4666" t="str">
        <f>IFERROR(__xludf.DUMMYFUNCTION("""COMPUTED_VALUE"""),"")</f>
        <v/>
      </c>
      <c r="F4666" t="str">
        <f>IFERROR(__xludf.DUMMYFUNCTION("""COMPUTED_VALUE"""),"")</f>
        <v/>
      </c>
      <c r="G4666" t="str">
        <f>IFERROR(__xludf.DUMMYFUNCTION("""COMPUTED_VALUE"""),"")</f>
        <v/>
      </c>
      <c r="H4666" s="2" t="str">
        <f>IFERROR(__xludf.DUMMYFUNCTION("""COMPUTED_VALUE"""),"")</f>
        <v/>
      </c>
      <c r="I4666" s="2" t="str">
        <f>IFERROR(__xludf.DUMMYFUNCTION("""COMPUTED_VALUE"""),"")</f>
        <v/>
      </c>
      <c r="J4666" s="2">
        <f>IFERROR(__xludf.DUMMYFUNCTION("""COMPUTED_VALUE"""),0.0)</f>
        <v>0</v>
      </c>
      <c r="K4666" s="5" t="str">
        <f>IFERROR(__xludf.DUMMYFUNCTION("""COMPUTED_VALUE"""),"")</f>
        <v/>
      </c>
      <c r="L4666" t="str">
        <f>IFERROR(__xludf.DUMMYFUNCTION("""COMPUTED_VALUE"""),"")</f>
        <v/>
      </c>
      <c r="M4666" t="str">
        <f>IFERROR(__xludf.DUMMYFUNCTION("""COMPUTED_VALUE"""),"")</f>
        <v/>
      </c>
      <c r="N4666" t="str">
        <f>IFERROR(__xludf.DUMMYFUNCTION("""COMPUTED_VALUE"""),"")</f>
        <v/>
      </c>
      <c r="O4666" t="str">
        <f>IFERROR(__xludf.DUMMYFUNCTION("""COMPUTED_VALUE"""),"")</f>
        <v/>
      </c>
      <c r="P4666" t="str">
        <f>IFERROR(__xludf.DUMMYFUNCTION("""COMPUTED_VALUE"""),"ID ")</f>
        <v>ID </v>
      </c>
    </row>
    <row r="4667">
      <c r="A4667" s="6" t="str">
        <f>IFERROR(__xludf.DUMMYFUNCTION("""COMPUTED_VALUE"""),"")</f>
        <v/>
      </c>
      <c r="C4667" t="str">
        <f>IFERROR(__xludf.DUMMYFUNCTION("""COMPUTED_VALUE"""),"")</f>
        <v/>
      </c>
      <c r="D4667" t="str">
        <f>IFERROR(__xludf.DUMMYFUNCTION("""COMPUTED_VALUE"""),"")</f>
        <v/>
      </c>
      <c r="E4667" t="str">
        <f>IFERROR(__xludf.DUMMYFUNCTION("""COMPUTED_VALUE"""),"")</f>
        <v/>
      </c>
      <c r="F4667" t="str">
        <f>IFERROR(__xludf.DUMMYFUNCTION("""COMPUTED_VALUE"""),"")</f>
        <v/>
      </c>
      <c r="G4667" t="str">
        <f>IFERROR(__xludf.DUMMYFUNCTION("""COMPUTED_VALUE"""),"")</f>
        <v/>
      </c>
      <c r="H4667" s="2" t="str">
        <f>IFERROR(__xludf.DUMMYFUNCTION("""COMPUTED_VALUE"""),"")</f>
        <v/>
      </c>
      <c r="I4667" s="2" t="str">
        <f>IFERROR(__xludf.DUMMYFUNCTION("""COMPUTED_VALUE"""),"")</f>
        <v/>
      </c>
      <c r="J4667" s="2">
        <f>IFERROR(__xludf.DUMMYFUNCTION("""COMPUTED_VALUE"""),0.0)</f>
        <v>0</v>
      </c>
      <c r="K4667" s="5" t="str">
        <f>IFERROR(__xludf.DUMMYFUNCTION("""COMPUTED_VALUE"""),"")</f>
        <v/>
      </c>
      <c r="L4667" t="str">
        <f>IFERROR(__xludf.DUMMYFUNCTION("""COMPUTED_VALUE"""),"")</f>
        <v/>
      </c>
      <c r="M4667" t="str">
        <f>IFERROR(__xludf.DUMMYFUNCTION("""COMPUTED_VALUE"""),"")</f>
        <v/>
      </c>
      <c r="N4667" t="str">
        <f>IFERROR(__xludf.DUMMYFUNCTION("""COMPUTED_VALUE"""),"")</f>
        <v/>
      </c>
      <c r="O4667" t="str">
        <f>IFERROR(__xludf.DUMMYFUNCTION("""COMPUTED_VALUE"""),"")</f>
        <v/>
      </c>
      <c r="P4667" t="str">
        <f>IFERROR(__xludf.DUMMYFUNCTION("""COMPUTED_VALUE"""),"ID ")</f>
        <v>ID </v>
      </c>
    </row>
    <row r="4668">
      <c r="A4668" s="6" t="str">
        <f>IFERROR(__xludf.DUMMYFUNCTION("""COMPUTED_VALUE"""),"")</f>
        <v/>
      </c>
      <c r="C4668" t="str">
        <f>IFERROR(__xludf.DUMMYFUNCTION("""COMPUTED_VALUE"""),"")</f>
        <v/>
      </c>
      <c r="D4668" t="str">
        <f>IFERROR(__xludf.DUMMYFUNCTION("""COMPUTED_VALUE"""),"")</f>
        <v/>
      </c>
      <c r="E4668" t="str">
        <f>IFERROR(__xludf.DUMMYFUNCTION("""COMPUTED_VALUE"""),"")</f>
        <v/>
      </c>
      <c r="F4668" t="str">
        <f>IFERROR(__xludf.DUMMYFUNCTION("""COMPUTED_VALUE"""),"")</f>
        <v/>
      </c>
      <c r="G4668" t="str">
        <f>IFERROR(__xludf.DUMMYFUNCTION("""COMPUTED_VALUE"""),"")</f>
        <v/>
      </c>
      <c r="H4668" s="2" t="str">
        <f>IFERROR(__xludf.DUMMYFUNCTION("""COMPUTED_VALUE"""),"")</f>
        <v/>
      </c>
      <c r="I4668" s="2" t="str">
        <f>IFERROR(__xludf.DUMMYFUNCTION("""COMPUTED_VALUE"""),"")</f>
        <v/>
      </c>
      <c r="J4668" s="2">
        <f>IFERROR(__xludf.DUMMYFUNCTION("""COMPUTED_VALUE"""),0.0)</f>
        <v>0</v>
      </c>
      <c r="K4668" s="5" t="str">
        <f>IFERROR(__xludf.DUMMYFUNCTION("""COMPUTED_VALUE"""),"")</f>
        <v/>
      </c>
      <c r="L4668" t="str">
        <f>IFERROR(__xludf.DUMMYFUNCTION("""COMPUTED_VALUE"""),"")</f>
        <v/>
      </c>
      <c r="M4668" t="str">
        <f>IFERROR(__xludf.DUMMYFUNCTION("""COMPUTED_VALUE"""),"")</f>
        <v/>
      </c>
      <c r="N4668" t="str">
        <f>IFERROR(__xludf.DUMMYFUNCTION("""COMPUTED_VALUE"""),"")</f>
        <v/>
      </c>
      <c r="O4668" t="str">
        <f>IFERROR(__xludf.DUMMYFUNCTION("""COMPUTED_VALUE"""),"")</f>
        <v/>
      </c>
      <c r="P4668" t="str">
        <f>IFERROR(__xludf.DUMMYFUNCTION("""COMPUTED_VALUE"""),"ID ")</f>
        <v>ID </v>
      </c>
    </row>
    <row r="4669">
      <c r="A4669" s="6" t="str">
        <f>IFERROR(__xludf.DUMMYFUNCTION("""COMPUTED_VALUE"""),"")</f>
        <v/>
      </c>
      <c r="C4669" t="str">
        <f>IFERROR(__xludf.DUMMYFUNCTION("""COMPUTED_VALUE"""),"")</f>
        <v/>
      </c>
      <c r="D4669" t="str">
        <f>IFERROR(__xludf.DUMMYFUNCTION("""COMPUTED_VALUE"""),"")</f>
        <v/>
      </c>
      <c r="E4669" t="str">
        <f>IFERROR(__xludf.DUMMYFUNCTION("""COMPUTED_VALUE"""),"")</f>
        <v/>
      </c>
      <c r="F4669" t="str">
        <f>IFERROR(__xludf.DUMMYFUNCTION("""COMPUTED_VALUE"""),"")</f>
        <v/>
      </c>
      <c r="G4669" t="str">
        <f>IFERROR(__xludf.DUMMYFUNCTION("""COMPUTED_VALUE"""),"")</f>
        <v/>
      </c>
      <c r="H4669" s="2" t="str">
        <f>IFERROR(__xludf.DUMMYFUNCTION("""COMPUTED_VALUE"""),"")</f>
        <v/>
      </c>
      <c r="I4669" s="2" t="str">
        <f>IFERROR(__xludf.DUMMYFUNCTION("""COMPUTED_VALUE"""),"")</f>
        <v/>
      </c>
      <c r="J4669" s="2">
        <f>IFERROR(__xludf.DUMMYFUNCTION("""COMPUTED_VALUE"""),0.0)</f>
        <v>0</v>
      </c>
      <c r="K4669" s="5" t="str">
        <f>IFERROR(__xludf.DUMMYFUNCTION("""COMPUTED_VALUE"""),"")</f>
        <v/>
      </c>
      <c r="L4669" t="str">
        <f>IFERROR(__xludf.DUMMYFUNCTION("""COMPUTED_VALUE"""),"")</f>
        <v/>
      </c>
      <c r="M4669" t="str">
        <f>IFERROR(__xludf.DUMMYFUNCTION("""COMPUTED_VALUE"""),"")</f>
        <v/>
      </c>
      <c r="N4669" t="str">
        <f>IFERROR(__xludf.DUMMYFUNCTION("""COMPUTED_VALUE"""),"")</f>
        <v/>
      </c>
      <c r="O4669" t="str">
        <f>IFERROR(__xludf.DUMMYFUNCTION("""COMPUTED_VALUE"""),"")</f>
        <v/>
      </c>
      <c r="P4669" t="str">
        <f>IFERROR(__xludf.DUMMYFUNCTION("""COMPUTED_VALUE"""),"ID ")</f>
        <v>ID </v>
      </c>
    </row>
    <row r="4670">
      <c r="A4670" s="6" t="str">
        <f>IFERROR(__xludf.DUMMYFUNCTION("""COMPUTED_VALUE"""),"")</f>
        <v/>
      </c>
      <c r="C4670" t="str">
        <f>IFERROR(__xludf.DUMMYFUNCTION("""COMPUTED_VALUE"""),"")</f>
        <v/>
      </c>
      <c r="D4670" t="str">
        <f>IFERROR(__xludf.DUMMYFUNCTION("""COMPUTED_VALUE"""),"")</f>
        <v/>
      </c>
      <c r="E4670" t="str">
        <f>IFERROR(__xludf.DUMMYFUNCTION("""COMPUTED_VALUE"""),"")</f>
        <v/>
      </c>
      <c r="F4670" t="str">
        <f>IFERROR(__xludf.DUMMYFUNCTION("""COMPUTED_VALUE"""),"")</f>
        <v/>
      </c>
      <c r="G4670" t="str">
        <f>IFERROR(__xludf.DUMMYFUNCTION("""COMPUTED_VALUE"""),"")</f>
        <v/>
      </c>
      <c r="H4670" s="2" t="str">
        <f>IFERROR(__xludf.DUMMYFUNCTION("""COMPUTED_VALUE"""),"")</f>
        <v/>
      </c>
      <c r="I4670" s="2" t="str">
        <f>IFERROR(__xludf.DUMMYFUNCTION("""COMPUTED_VALUE"""),"")</f>
        <v/>
      </c>
      <c r="J4670" s="2">
        <f>IFERROR(__xludf.DUMMYFUNCTION("""COMPUTED_VALUE"""),0.0)</f>
        <v>0</v>
      </c>
      <c r="K4670" s="5" t="str">
        <f>IFERROR(__xludf.DUMMYFUNCTION("""COMPUTED_VALUE"""),"")</f>
        <v/>
      </c>
      <c r="L4670" t="str">
        <f>IFERROR(__xludf.DUMMYFUNCTION("""COMPUTED_VALUE"""),"")</f>
        <v/>
      </c>
      <c r="M4670" t="str">
        <f>IFERROR(__xludf.DUMMYFUNCTION("""COMPUTED_VALUE"""),"")</f>
        <v/>
      </c>
      <c r="N4670" t="str">
        <f>IFERROR(__xludf.DUMMYFUNCTION("""COMPUTED_VALUE"""),"")</f>
        <v/>
      </c>
      <c r="O4670" t="str">
        <f>IFERROR(__xludf.DUMMYFUNCTION("""COMPUTED_VALUE"""),"")</f>
        <v/>
      </c>
      <c r="P4670" t="str">
        <f>IFERROR(__xludf.DUMMYFUNCTION("""COMPUTED_VALUE"""),"ID ")</f>
        <v>ID </v>
      </c>
    </row>
    <row r="4671">
      <c r="A4671" s="6" t="str">
        <f>IFERROR(__xludf.DUMMYFUNCTION("""COMPUTED_VALUE"""),"")</f>
        <v/>
      </c>
      <c r="C4671" t="str">
        <f>IFERROR(__xludf.DUMMYFUNCTION("""COMPUTED_VALUE"""),"")</f>
        <v/>
      </c>
      <c r="D4671" t="str">
        <f>IFERROR(__xludf.DUMMYFUNCTION("""COMPUTED_VALUE"""),"")</f>
        <v/>
      </c>
      <c r="E4671" t="str">
        <f>IFERROR(__xludf.DUMMYFUNCTION("""COMPUTED_VALUE"""),"")</f>
        <v/>
      </c>
      <c r="F4671" t="str">
        <f>IFERROR(__xludf.DUMMYFUNCTION("""COMPUTED_VALUE"""),"")</f>
        <v/>
      </c>
      <c r="G4671" t="str">
        <f>IFERROR(__xludf.DUMMYFUNCTION("""COMPUTED_VALUE"""),"")</f>
        <v/>
      </c>
      <c r="H4671" s="2" t="str">
        <f>IFERROR(__xludf.DUMMYFUNCTION("""COMPUTED_VALUE"""),"")</f>
        <v/>
      </c>
      <c r="I4671" s="2" t="str">
        <f>IFERROR(__xludf.DUMMYFUNCTION("""COMPUTED_VALUE"""),"")</f>
        <v/>
      </c>
      <c r="J4671" s="2">
        <f>IFERROR(__xludf.DUMMYFUNCTION("""COMPUTED_VALUE"""),0.0)</f>
        <v>0</v>
      </c>
      <c r="K4671" s="5" t="str">
        <f>IFERROR(__xludf.DUMMYFUNCTION("""COMPUTED_VALUE"""),"")</f>
        <v/>
      </c>
      <c r="L4671" t="str">
        <f>IFERROR(__xludf.DUMMYFUNCTION("""COMPUTED_VALUE"""),"")</f>
        <v/>
      </c>
      <c r="M4671" t="str">
        <f>IFERROR(__xludf.DUMMYFUNCTION("""COMPUTED_VALUE"""),"")</f>
        <v/>
      </c>
      <c r="N4671" t="str">
        <f>IFERROR(__xludf.DUMMYFUNCTION("""COMPUTED_VALUE"""),"")</f>
        <v/>
      </c>
      <c r="O4671" t="str">
        <f>IFERROR(__xludf.DUMMYFUNCTION("""COMPUTED_VALUE"""),"")</f>
        <v/>
      </c>
      <c r="P4671" t="str">
        <f>IFERROR(__xludf.DUMMYFUNCTION("""COMPUTED_VALUE"""),"ID ")</f>
        <v>ID </v>
      </c>
    </row>
    <row r="4672">
      <c r="A4672" s="6" t="str">
        <f>IFERROR(__xludf.DUMMYFUNCTION("""COMPUTED_VALUE"""),"")</f>
        <v/>
      </c>
      <c r="C4672" t="str">
        <f>IFERROR(__xludf.DUMMYFUNCTION("""COMPUTED_VALUE"""),"")</f>
        <v/>
      </c>
      <c r="D4672" t="str">
        <f>IFERROR(__xludf.DUMMYFUNCTION("""COMPUTED_VALUE"""),"")</f>
        <v/>
      </c>
      <c r="E4672" t="str">
        <f>IFERROR(__xludf.DUMMYFUNCTION("""COMPUTED_VALUE"""),"")</f>
        <v/>
      </c>
      <c r="F4672" t="str">
        <f>IFERROR(__xludf.DUMMYFUNCTION("""COMPUTED_VALUE"""),"")</f>
        <v/>
      </c>
      <c r="G4672" t="str">
        <f>IFERROR(__xludf.DUMMYFUNCTION("""COMPUTED_VALUE"""),"")</f>
        <v/>
      </c>
      <c r="H4672" s="2" t="str">
        <f>IFERROR(__xludf.DUMMYFUNCTION("""COMPUTED_VALUE"""),"")</f>
        <v/>
      </c>
      <c r="I4672" s="2" t="str">
        <f>IFERROR(__xludf.DUMMYFUNCTION("""COMPUTED_VALUE"""),"")</f>
        <v/>
      </c>
      <c r="J4672" s="2">
        <f>IFERROR(__xludf.DUMMYFUNCTION("""COMPUTED_VALUE"""),0.0)</f>
        <v>0</v>
      </c>
      <c r="K4672" s="5" t="str">
        <f>IFERROR(__xludf.DUMMYFUNCTION("""COMPUTED_VALUE"""),"")</f>
        <v/>
      </c>
      <c r="L4672" t="str">
        <f>IFERROR(__xludf.DUMMYFUNCTION("""COMPUTED_VALUE"""),"")</f>
        <v/>
      </c>
      <c r="M4672" t="str">
        <f>IFERROR(__xludf.DUMMYFUNCTION("""COMPUTED_VALUE"""),"")</f>
        <v/>
      </c>
      <c r="N4672" t="str">
        <f>IFERROR(__xludf.DUMMYFUNCTION("""COMPUTED_VALUE"""),"")</f>
        <v/>
      </c>
      <c r="O4672" t="str">
        <f>IFERROR(__xludf.DUMMYFUNCTION("""COMPUTED_VALUE"""),"")</f>
        <v/>
      </c>
      <c r="P4672" t="str">
        <f>IFERROR(__xludf.DUMMYFUNCTION("""COMPUTED_VALUE"""),"ID ")</f>
        <v>ID </v>
      </c>
    </row>
    <row r="4673">
      <c r="A4673" s="6" t="str">
        <f>IFERROR(__xludf.DUMMYFUNCTION("""COMPUTED_VALUE"""),"")</f>
        <v/>
      </c>
      <c r="C4673" t="str">
        <f>IFERROR(__xludf.DUMMYFUNCTION("""COMPUTED_VALUE"""),"")</f>
        <v/>
      </c>
      <c r="D4673" t="str">
        <f>IFERROR(__xludf.DUMMYFUNCTION("""COMPUTED_VALUE"""),"")</f>
        <v/>
      </c>
      <c r="E4673" t="str">
        <f>IFERROR(__xludf.DUMMYFUNCTION("""COMPUTED_VALUE"""),"")</f>
        <v/>
      </c>
      <c r="F4673" t="str">
        <f>IFERROR(__xludf.DUMMYFUNCTION("""COMPUTED_VALUE"""),"")</f>
        <v/>
      </c>
      <c r="G4673" t="str">
        <f>IFERROR(__xludf.DUMMYFUNCTION("""COMPUTED_VALUE"""),"")</f>
        <v/>
      </c>
      <c r="H4673" s="2" t="str">
        <f>IFERROR(__xludf.DUMMYFUNCTION("""COMPUTED_VALUE"""),"")</f>
        <v/>
      </c>
      <c r="I4673" s="2" t="str">
        <f>IFERROR(__xludf.DUMMYFUNCTION("""COMPUTED_VALUE"""),"")</f>
        <v/>
      </c>
      <c r="J4673" s="2">
        <f>IFERROR(__xludf.DUMMYFUNCTION("""COMPUTED_VALUE"""),0.0)</f>
        <v>0</v>
      </c>
      <c r="K4673" s="5" t="str">
        <f>IFERROR(__xludf.DUMMYFUNCTION("""COMPUTED_VALUE"""),"")</f>
        <v/>
      </c>
      <c r="L4673" t="str">
        <f>IFERROR(__xludf.DUMMYFUNCTION("""COMPUTED_VALUE"""),"")</f>
        <v/>
      </c>
      <c r="M4673" t="str">
        <f>IFERROR(__xludf.DUMMYFUNCTION("""COMPUTED_VALUE"""),"")</f>
        <v/>
      </c>
      <c r="N4673" t="str">
        <f>IFERROR(__xludf.DUMMYFUNCTION("""COMPUTED_VALUE"""),"")</f>
        <v/>
      </c>
      <c r="O4673" t="str">
        <f>IFERROR(__xludf.DUMMYFUNCTION("""COMPUTED_VALUE"""),"")</f>
        <v/>
      </c>
      <c r="P4673" t="str">
        <f>IFERROR(__xludf.DUMMYFUNCTION("""COMPUTED_VALUE"""),"ID ")</f>
        <v>ID </v>
      </c>
    </row>
    <row r="4674">
      <c r="A4674" s="6" t="str">
        <f>IFERROR(__xludf.DUMMYFUNCTION("""COMPUTED_VALUE"""),"")</f>
        <v/>
      </c>
      <c r="C4674" t="str">
        <f>IFERROR(__xludf.DUMMYFUNCTION("""COMPUTED_VALUE"""),"")</f>
        <v/>
      </c>
      <c r="D4674" t="str">
        <f>IFERROR(__xludf.DUMMYFUNCTION("""COMPUTED_VALUE"""),"")</f>
        <v/>
      </c>
      <c r="E4674" t="str">
        <f>IFERROR(__xludf.DUMMYFUNCTION("""COMPUTED_VALUE"""),"")</f>
        <v/>
      </c>
      <c r="F4674" t="str">
        <f>IFERROR(__xludf.DUMMYFUNCTION("""COMPUTED_VALUE"""),"")</f>
        <v/>
      </c>
      <c r="G4674" t="str">
        <f>IFERROR(__xludf.DUMMYFUNCTION("""COMPUTED_VALUE"""),"")</f>
        <v/>
      </c>
      <c r="H4674" s="2" t="str">
        <f>IFERROR(__xludf.DUMMYFUNCTION("""COMPUTED_VALUE"""),"")</f>
        <v/>
      </c>
      <c r="I4674" s="2" t="str">
        <f>IFERROR(__xludf.DUMMYFUNCTION("""COMPUTED_VALUE"""),"")</f>
        <v/>
      </c>
      <c r="J4674" s="2">
        <f>IFERROR(__xludf.DUMMYFUNCTION("""COMPUTED_VALUE"""),0.0)</f>
        <v>0</v>
      </c>
      <c r="K4674" s="5" t="str">
        <f>IFERROR(__xludf.DUMMYFUNCTION("""COMPUTED_VALUE"""),"")</f>
        <v/>
      </c>
      <c r="L4674" t="str">
        <f>IFERROR(__xludf.DUMMYFUNCTION("""COMPUTED_VALUE"""),"")</f>
        <v/>
      </c>
      <c r="M4674" t="str">
        <f>IFERROR(__xludf.DUMMYFUNCTION("""COMPUTED_VALUE"""),"")</f>
        <v/>
      </c>
      <c r="N4674" t="str">
        <f>IFERROR(__xludf.DUMMYFUNCTION("""COMPUTED_VALUE"""),"")</f>
        <v/>
      </c>
      <c r="O4674" t="str">
        <f>IFERROR(__xludf.DUMMYFUNCTION("""COMPUTED_VALUE"""),"")</f>
        <v/>
      </c>
      <c r="P4674" t="str">
        <f>IFERROR(__xludf.DUMMYFUNCTION("""COMPUTED_VALUE"""),"ID ")</f>
        <v>ID </v>
      </c>
    </row>
    <row r="4675">
      <c r="A4675" s="6" t="str">
        <f>IFERROR(__xludf.DUMMYFUNCTION("""COMPUTED_VALUE"""),"")</f>
        <v/>
      </c>
      <c r="C4675" t="str">
        <f>IFERROR(__xludf.DUMMYFUNCTION("""COMPUTED_VALUE"""),"")</f>
        <v/>
      </c>
      <c r="D4675" t="str">
        <f>IFERROR(__xludf.DUMMYFUNCTION("""COMPUTED_VALUE"""),"")</f>
        <v/>
      </c>
      <c r="E4675" t="str">
        <f>IFERROR(__xludf.DUMMYFUNCTION("""COMPUTED_VALUE"""),"")</f>
        <v/>
      </c>
      <c r="F4675" t="str">
        <f>IFERROR(__xludf.DUMMYFUNCTION("""COMPUTED_VALUE"""),"")</f>
        <v/>
      </c>
      <c r="G4675" t="str">
        <f>IFERROR(__xludf.DUMMYFUNCTION("""COMPUTED_VALUE"""),"")</f>
        <v/>
      </c>
      <c r="H4675" s="2" t="str">
        <f>IFERROR(__xludf.DUMMYFUNCTION("""COMPUTED_VALUE"""),"")</f>
        <v/>
      </c>
      <c r="I4675" s="2" t="str">
        <f>IFERROR(__xludf.DUMMYFUNCTION("""COMPUTED_VALUE"""),"")</f>
        <v/>
      </c>
      <c r="J4675" s="2">
        <f>IFERROR(__xludf.DUMMYFUNCTION("""COMPUTED_VALUE"""),0.0)</f>
        <v>0</v>
      </c>
      <c r="K4675" s="5" t="str">
        <f>IFERROR(__xludf.DUMMYFUNCTION("""COMPUTED_VALUE"""),"")</f>
        <v/>
      </c>
      <c r="L4675" t="str">
        <f>IFERROR(__xludf.DUMMYFUNCTION("""COMPUTED_VALUE"""),"")</f>
        <v/>
      </c>
      <c r="M4675" t="str">
        <f>IFERROR(__xludf.DUMMYFUNCTION("""COMPUTED_VALUE"""),"")</f>
        <v/>
      </c>
      <c r="N4675" t="str">
        <f>IFERROR(__xludf.DUMMYFUNCTION("""COMPUTED_VALUE"""),"")</f>
        <v/>
      </c>
      <c r="O4675" t="str">
        <f>IFERROR(__xludf.DUMMYFUNCTION("""COMPUTED_VALUE"""),"")</f>
        <v/>
      </c>
      <c r="P4675" t="str">
        <f>IFERROR(__xludf.DUMMYFUNCTION("""COMPUTED_VALUE"""),"ID ")</f>
        <v>ID </v>
      </c>
    </row>
    <row r="4676">
      <c r="A4676" s="6" t="str">
        <f>IFERROR(__xludf.DUMMYFUNCTION("""COMPUTED_VALUE"""),"")</f>
        <v/>
      </c>
      <c r="C4676" t="str">
        <f>IFERROR(__xludf.DUMMYFUNCTION("""COMPUTED_VALUE"""),"")</f>
        <v/>
      </c>
      <c r="D4676" t="str">
        <f>IFERROR(__xludf.DUMMYFUNCTION("""COMPUTED_VALUE"""),"")</f>
        <v/>
      </c>
      <c r="E4676" t="str">
        <f>IFERROR(__xludf.DUMMYFUNCTION("""COMPUTED_VALUE"""),"")</f>
        <v/>
      </c>
      <c r="F4676" t="str">
        <f>IFERROR(__xludf.DUMMYFUNCTION("""COMPUTED_VALUE"""),"")</f>
        <v/>
      </c>
      <c r="G4676" t="str">
        <f>IFERROR(__xludf.DUMMYFUNCTION("""COMPUTED_VALUE"""),"")</f>
        <v/>
      </c>
      <c r="H4676" s="2" t="str">
        <f>IFERROR(__xludf.DUMMYFUNCTION("""COMPUTED_VALUE"""),"")</f>
        <v/>
      </c>
      <c r="I4676" s="2" t="str">
        <f>IFERROR(__xludf.DUMMYFUNCTION("""COMPUTED_VALUE"""),"")</f>
        <v/>
      </c>
      <c r="J4676" s="2">
        <f>IFERROR(__xludf.DUMMYFUNCTION("""COMPUTED_VALUE"""),0.0)</f>
        <v>0</v>
      </c>
      <c r="K4676" s="5" t="str">
        <f>IFERROR(__xludf.DUMMYFUNCTION("""COMPUTED_VALUE"""),"")</f>
        <v/>
      </c>
      <c r="L4676" t="str">
        <f>IFERROR(__xludf.DUMMYFUNCTION("""COMPUTED_VALUE"""),"")</f>
        <v/>
      </c>
      <c r="M4676" t="str">
        <f>IFERROR(__xludf.DUMMYFUNCTION("""COMPUTED_VALUE"""),"")</f>
        <v/>
      </c>
      <c r="N4676" t="str">
        <f>IFERROR(__xludf.DUMMYFUNCTION("""COMPUTED_VALUE"""),"")</f>
        <v/>
      </c>
      <c r="O4676" t="str">
        <f>IFERROR(__xludf.DUMMYFUNCTION("""COMPUTED_VALUE"""),"")</f>
        <v/>
      </c>
      <c r="P4676" t="str">
        <f>IFERROR(__xludf.DUMMYFUNCTION("""COMPUTED_VALUE"""),"ID ")</f>
        <v>ID </v>
      </c>
    </row>
    <row r="4677">
      <c r="A4677" s="6" t="str">
        <f>IFERROR(__xludf.DUMMYFUNCTION("""COMPUTED_VALUE"""),"")</f>
        <v/>
      </c>
      <c r="C4677" t="str">
        <f>IFERROR(__xludf.DUMMYFUNCTION("""COMPUTED_VALUE"""),"")</f>
        <v/>
      </c>
      <c r="D4677" t="str">
        <f>IFERROR(__xludf.DUMMYFUNCTION("""COMPUTED_VALUE"""),"")</f>
        <v/>
      </c>
      <c r="E4677" t="str">
        <f>IFERROR(__xludf.DUMMYFUNCTION("""COMPUTED_VALUE"""),"")</f>
        <v/>
      </c>
      <c r="F4677" t="str">
        <f>IFERROR(__xludf.DUMMYFUNCTION("""COMPUTED_VALUE"""),"")</f>
        <v/>
      </c>
      <c r="G4677" t="str">
        <f>IFERROR(__xludf.DUMMYFUNCTION("""COMPUTED_VALUE"""),"")</f>
        <v/>
      </c>
      <c r="H4677" s="2" t="str">
        <f>IFERROR(__xludf.DUMMYFUNCTION("""COMPUTED_VALUE"""),"")</f>
        <v/>
      </c>
      <c r="I4677" s="2" t="str">
        <f>IFERROR(__xludf.DUMMYFUNCTION("""COMPUTED_VALUE"""),"")</f>
        <v/>
      </c>
      <c r="J4677" s="2">
        <f>IFERROR(__xludf.DUMMYFUNCTION("""COMPUTED_VALUE"""),0.0)</f>
        <v>0</v>
      </c>
      <c r="K4677" s="5" t="str">
        <f>IFERROR(__xludf.DUMMYFUNCTION("""COMPUTED_VALUE"""),"")</f>
        <v/>
      </c>
      <c r="L4677" t="str">
        <f>IFERROR(__xludf.DUMMYFUNCTION("""COMPUTED_VALUE"""),"")</f>
        <v/>
      </c>
      <c r="M4677" t="str">
        <f>IFERROR(__xludf.DUMMYFUNCTION("""COMPUTED_VALUE"""),"")</f>
        <v/>
      </c>
      <c r="N4677" t="str">
        <f>IFERROR(__xludf.DUMMYFUNCTION("""COMPUTED_VALUE"""),"")</f>
        <v/>
      </c>
      <c r="O4677" t="str">
        <f>IFERROR(__xludf.DUMMYFUNCTION("""COMPUTED_VALUE"""),"")</f>
        <v/>
      </c>
      <c r="P4677" t="str">
        <f>IFERROR(__xludf.DUMMYFUNCTION("""COMPUTED_VALUE"""),"ID ")</f>
        <v>ID </v>
      </c>
    </row>
    <row r="4678">
      <c r="A4678" s="6" t="str">
        <f>IFERROR(__xludf.DUMMYFUNCTION("""COMPUTED_VALUE"""),"")</f>
        <v/>
      </c>
      <c r="C4678" t="str">
        <f>IFERROR(__xludf.DUMMYFUNCTION("""COMPUTED_VALUE"""),"")</f>
        <v/>
      </c>
      <c r="D4678" t="str">
        <f>IFERROR(__xludf.DUMMYFUNCTION("""COMPUTED_VALUE"""),"")</f>
        <v/>
      </c>
      <c r="E4678" t="str">
        <f>IFERROR(__xludf.DUMMYFUNCTION("""COMPUTED_VALUE"""),"")</f>
        <v/>
      </c>
      <c r="F4678" t="str">
        <f>IFERROR(__xludf.DUMMYFUNCTION("""COMPUTED_VALUE"""),"")</f>
        <v/>
      </c>
      <c r="G4678" t="str">
        <f>IFERROR(__xludf.DUMMYFUNCTION("""COMPUTED_VALUE"""),"")</f>
        <v/>
      </c>
      <c r="H4678" s="2" t="str">
        <f>IFERROR(__xludf.DUMMYFUNCTION("""COMPUTED_VALUE"""),"")</f>
        <v/>
      </c>
      <c r="I4678" s="2" t="str">
        <f>IFERROR(__xludf.DUMMYFUNCTION("""COMPUTED_VALUE"""),"")</f>
        <v/>
      </c>
      <c r="J4678" s="2">
        <f>IFERROR(__xludf.DUMMYFUNCTION("""COMPUTED_VALUE"""),0.0)</f>
        <v>0</v>
      </c>
      <c r="K4678" s="5" t="str">
        <f>IFERROR(__xludf.DUMMYFUNCTION("""COMPUTED_VALUE"""),"")</f>
        <v/>
      </c>
      <c r="L4678" t="str">
        <f>IFERROR(__xludf.DUMMYFUNCTION("""COMPUTED_VALUE"""),"")</f>
        <v/>
      </c>
      <c r="M4678" t="str">
        <f>IFERROR(__xludf.DUMMYFUNCTION("""COMPUTED_VALUE"""),"")</f>
        <v/>
      </c>
      <c r="N4678" t="str">
        <f>IFERROR(__xludf.DUMMYFUNCTION("""COMPUTED_VALUE"""),"")</f>
        <v/>
      </c>
      <c r="O4678" t="str">
        <f>IFERROR(__xludf.DUMMYFUNCTION("""COMPUTED_VALUE"""),"")</f>
        <v/>
      </c>
      <c r="P4678" t="str">
        <f>IFERROR(__xludf.DUMMYFUNCTION("""COMPUTED_VALUE"""),"ID ")</f>
        <v>ID </v>
      </c>
    </row>
    <row r="4679">
      <c r="A4679" s="6" t="str">
        <f>IFERROR(__xludf.DUMMYFUNCTION("""COMPUTED_VALUE"""),"")</f>
        <v/>
      </c>
      <c r="C4679" t="str">
        <f>IFERROR(__xludf.DUMMYFUNCTION("""COMPUTED_VALUE"""),"")</f>
        <v/>
      </c>
      <c r="D4679" t="str">
        <f>IFERROR(__xludf.DUMMYFUNCTION("""COMPUTED_VALUE"""),"")</f>
        <v/>
      </c>
      <c r="E4679" t="str">
        <f>IFERROR(__xludf.DUMMYFUNCTION("""COMPUTED_VALUE"""),"")</f>
        <v/>
      </c>
      <c r="F4679" t="str">
        <f>IFERROR(__xludf.DUMMYFUNCTION("""COMPUTED_VALUE"""),"")</f>
        <v/>
      </c>
      <c r="G4679" t="str">
        <f>IFERROR(__xludf.DUMMYFUNCTION("""COMPUTED_VALUE"""),"")</f>
        <v/>
      </c>
      <c r="H4679" s="2" t="str">
        <f>IFERROR(__xludf.DUMMYFUNCTION("""COMPUTED_VALUE"""),"")</f>
        <v/>
      </c>
      <c r="I4679" s="2" t="str">
        <f>IFERROR(__xludf.DUMMYFUNCTION("""COMPUTED_VALUE"""),"")</f>
        <v/>
      </c>
      <c r="J4679" s="2">
        <f>IFERROR(__xludf.DUMMYFUNCTION("""COMPUTED_VALUE"""),0.0)</f>
        <v>0</v>
      </c>
      <c r="K4679" s="5" t="str">
        <f>IFERROR(__xludf.DUMMYFUNCTION("""COMPUTED_VALUE"""),"")</f>
        <v/>
      </c>
      <c r="L4679" t="str">
        <f>IFERROR(__xludf.DUMMYFUNCTION("""COMPUTED_VALUE"""),"")</f>
        <v/>
      </c>
      <c r="M4679" t="str">
        <f>IFERROR(__xludf.DUMMYFUNCTION("""COMPUTED_VALUE"""),"")</f>
        <v/>
      </c>
      <c r="N4679" t="str">
        <f>IFERROR(__xludf.DUMMYFUNCTION("""COMPUTED_VALUE"""),"")</f>
        <v/>
      </c>
      <c r="O4679" t="str">
        <f>IFERROR(__xludf.DUMMYFUNCTION("""COMPUTED_VALUE"""),"")</f>
        <v/>
      </c>
      <c r="P4679" t="str">
        <f>IFERROR(__xludf.DUMMYFUNCTION("""COMPUTED_VALUE"""),"ID ")</f>
        <v>ID </v>
      </c>
    </row>
    <row r="4680">
      <c r="A4680" s="6" t="str">
        <f>IFERROR(__xludf.DUMMYFUNCTION("""COMPUTED_VALUE"""),"")</f>
        <v/>
      </c>
      <c r="C4680" t="str">
        <f>IFERROR(__xludf.DUMMYFUNCTION("""COMPUTED_VALUE"""),"")</f>
        <v/>
      </c>
      <c r="D4680" t="str">
        <f>IFERROR(__xludf.DUMMYFUNCTION("""COMPUTED_VALUE"""),"")</f>
        <v/>
      </c>
      <c r="E4680" t="str">
        <f>IFERROR(__xludf.DUMMYFUNCTION("""COMPUTED_VALUE"""),"")</f>
        <v/>
      </c>
      <c r="F4680" t="str">
        <f>IFERROR(__xludf.DUMMYFUNCTION("""COMPUTED_VALUE"""),"")</f>
        <v/>
      </c>
      <c r="G4680" t="str">
        <f>IFERROR(__xludf.DUMMYFUNCTION("""COMPUTED_VALUE"""),"")</f>
        <v/>
      </c>
      <c r="H4680" s="2" t="str">
        <f>IFERROR(__xludf.DUMMYFUNCTION("""COMPUTED_VALUE"""),"")</f>
        <v/>
      </c>
      <c r="I4680" s="2" t="str">
        <f>IFERROR(__xludf.DUMMYFUNCTION("""COMPUTED_VALUE"""),"")</f>
        <v/>
      </c>
      <c r="J4680" s="2">
        <f>IFERROR(__xludf.DUMMYFUNCTION("""COMPUTED_VALUE"""),0.0)</f>
        <v>0</v>
      </c>
      <c r="K4680" s="5" t="str">
        <f>IFERROR(__xludf.DUMMYFUNCTION("""COMPUTED_VALUE"""),"")</f>
        <v/>
      </c>
      <c r="L4680" t="str">
        <f>IFERROR(__xludf.DUMMYFUNCTION("""COMPUTED_VALUE"""),"")</f>
        <v/>
      </c>
      <c r="M4680" t="str">
        <f>IFERROR(__xludf.DUMMYFUNCTION("""COMPUTED_VALUE"""),"")</f>
        <v/>
      </c>
      <c r="N4680" t="str">
        <f>IFERROR(__xludf.DUMMYFUNCTION("""COMPUTED_VALUE"""),"")</f>
        <v/>
      </c>
      <c r="O4680" t="str">
        <f>IFERROR(__xludf.DUMMYFUNCTION("""COMPUTED_VALUE"""),"")</f>
        <v/>
      </c>
      <c r="P4680" t="str">
        <f>IFERROR(__xludf.DUMMYFUNCTION("""COMPUTED_VALUE"""),"ID ")</f>
        <v>ID </v>
      </c>
    </row>
    <row r="4681">
      <c r="A4681" s="6" t="str">
        <f>IFERROR(__xludf.DUMMYFUNCTION("""COMPUTED_VALUE"""),"")</f>
        <v/>
      </c>
      <c r="C4681" t="str">
        <f>IFERROR(__xludf.DUMMYFUNCTION("""COMPUTED_VALUE"""),"")</f>
        <v/>
      </c>
      <c r="D4681" t="str">
        <f>IFERROR(__xludf.DUMMYFUNCTION("""COMPUTED_VALUE"""),"")</f>
        <v/>
      </c>
      <c r="E4681" t="str">
        <f>IFERROR(__xludf.DUMMYFUNCTION("""COMPUTED_VALUE"""),"")</f>
        <v/>
      </c>
      <c r="F4681" t="str">
        <f>IFERROR(__xludf.DUMMYFUNCTION("""COMPUTED_VALUE"""),"")</f>
        <v/>
      </c>
      <c r="G4681" t="str">
        <f>IFERROR(__xludf.DUMMYFUNCTION("""COMPUTED_VALUE"""),"")</f>
        <v/>
      </c>
      <c r="H4681" s="2" t="str">
        <f>IFERROR(__xludf.DUMMYFUNCTION("""COMPUTED_VALUE"""),"")</f>
        <v/>
      </c>
      <c r="I4681" s="2" t="str">
        <f>IFERROR(__xludf.DUMMYFUNCTION("""COMPUTED_VALUE"""),"")</f>
        <v/>
      </c>
      <c r="J4681" s="2">
        <f>IFERROR(__xludf.DUMMYFUNCTION("""COMPUTED_VALUE"""),0.0)</f>
        <v>0</v>
      </c>
      <c r="K4681" s="5" t="str">
        <f>IFERROR(__xludf.DUMMYFUNCTION("""COMPUTED_VALUE"""),"")</f>
        <v/>
      </c>
      <c r="L4681" t="str">
        <f>IFERROR(__xludf.DUMMYFUNCTION("""COMPUTED_VALUE"""),"")</f>
        <v/>
      </c>
      <c r="M4681" t="str">
        <f>IFERROR(__xludf.DUMMYFUNCTION("""COMPUTED_VALUE"""),"")</f>
        <v/>
      </c>
      <c r="N4681" t="str">
        <f>IFERROR(__xludf.DUMMYFUNCTION("""COMPUTED_VALUE"""),"")</f>
        <v/>
      </c>
      <c r="O4681" t="str">
        <f>IFERROR(__xludf.DUMMYFUNCTION("""COMPUTED_VALUE"""),"")</f>
        <v/>
      </c>
      <c r="P4681" t="str">
        <f>IFERROR(__xludf.DUMMYFUNCTION("""COMPUTED_VALUE"""),"ID ")</f>
        <v>ID </v>
      </c>
    </row>
    <row r="4682">
      <c r="A4682" s="6" t="str">
        <f>IFERROR(__xludf.DUMMYFUNCTION("""COMPUTED_VALUE"""),"")</f>
        <v/>
      </c>
      <c r="C4682" t="str">
        <f>IFERROR(__xludf.DUMMYFUNCTION("""COMPUTED_VALUE"""),"")</f>
        <v/>
      </c>
      <c r="D4682" t="str">
        <f>IFERROR(__xludf.DUMMYFUNCTION("""COMPUTED_VALUE"""),"")</f>
        <v/>
      </c>
      <c r="E4682" t="str">
        <f>IFERROR(__xludf.DUMMYFUNCTION("""COMPUTED_VALUE"""),"")</f>
        <v/>
      </c>
      <c r="F4682" t="str">
        <f>IFERROR(__xludf.DUMMYFUNCTION("""COMPUTED_VALUE"""),"")</f>
        <v/>
      </c>
      <c r="G4682" t="str">
        <f>IFERROR(__xludf.DUMMYFUNCTION("""COMPUTED_VALUE"""),"")</f>
        <v/>
      </c>
      <c r="H4682" s="2" t="str">
        <f>IFERROR(__xludf.DUMMYFUNCTION("""COMPUTED_VALUE"""),"")</f>
        <v/>
      </c>
      <c r="I4682" s="2" t="str">
        <f>IFERROR(__xludf.DUMMYFUNCTION("""COMPUTED_VALUE"""),"")</f>
        <v/>
      </c>
      <c r="J4682" s="2">
        <f>IFERROR(__xludf.DUMMYFUNCTION("""COMPUTED_VALUE"""),0.0)</f>
        <v>0</v>
      </c>
      <c r="K4682" s="5" t="str">
        <f>IFERROR(__xludf.DUMMYFUNCTION("""COMPUTED_VALUE"""),"")</f>
        <v/>
      </c>
      <c r="L4682" t="str">
        <f>IFERROR(__xludf.DUMMYFUNCTION("""COMPUTED_VALUE"""),"")</f>
        <v/>
      </c>
      <c r="M4682" t="str">
        <f>IFERROR(__xludf.DUMMYFUNCTION("""COMPUTED_VALUE"""),"")</f>
        <v/>
      </c>
      <c r="N4682" t="str">
        <f>IFERROR(__xludf.DUMMYFUNCTION("""COMPUTED_VALUE"""),"")</f>
        <v/>
      </c>
      <c r="O4682" t="str">
        <f>IFERROR(__xludf.DUMMYFUNCTION("""COMPUTED_VALUE"""),"")</f>
        <v/>
      </c>
      <c r="P4682" t="str">
        <f>IFERROR(__xludf.DUMMYFUNCTION("""COMPUTED_VALUE"""),"ID ")</f>
        <v>ID </v>
      </c>
    </row>
    <row r="4683">
      <c r="A4683" s="6" t="str">
        <f>IFERROR(__xludf.DUMMYFUNCTION("""COMPUTED_VALUE"""),"")</f>
        <v/>
      </c>
      <c r="C4683" t="str">
        <f>IFERROR(__xludf.DUMMYFUNCTION("""COMPUTED_VALUE"""),"")</f>
        <v/>
      </c>
      <c r="D4683" t="str">
        <f>IFERROR(__xludf.DUMMYFUNCTION("""COMPUTED_VALUE"""),"")</f>
        <v/>
      </c>
      <c r="E4683" t="str">
        <f>IFERROR(__xludf.DUMMYFUNCTION("""COMPUTED_VALUE"""),"")</f>
        <v/>
      </c>
      <c r="F4683" t="str">
        <f>IFERROR(__xludf.DUMMYFUNCTION("""COMPUTED_VALUE"""),"")</f>
        <v/>
      </c>
      <c r="G4683" t="str">
        <f>IFERROR(__xludf.DUMMYFUNCTION("""COMPUTED_VALUE"""),"")</f>
        <v/>
      </c>
      <c r="H4683" s="2" t="str">
        <f>IFERROR(__xludf.DUMMYFUNCTION("""COMPUTED_VALUE"""),"")</f>
        <v/>
      </c>
      <c r="I4683" s="2" t="str">
        <f>IFERROR(__xludf.DUMMYFUNCTION("""COMPUTED_VALUE"""),"")</f>
        <v/>
      </c>
      <c r="J4683" s="2">
        <f>IFERROR(__xludf.DUMMYFUNCTION("""COMPUTED_VALUE"""),0.0)</f>
        <v>0</v>
      </c>
      <c r="K4683" s="5" t="str">
        <f>IFERROR(__xludf.DUMMYFUNCTION("""COMPUTED_VALUE"""),"")</f>
        <v/>
      </c>
      <c r="L4683" t="str">
        <f>IFERROR(__xludf.DUMMYFUNCTION("""COMPUTED_VALUE"""),"")</f>
        <v/>
      </c>
      <c r="M4683" t="str">
        <f>IFERROR(__xludf.DUMMYFUNCTION("""COMPUTED_VALUE"""),"")</f>
        <v/>
      </c>
      <c r="N4683" t="str">
        <f>IFERROR(__xludf.DUMMYFUNCTION("""COMPUTED_VALUE"""),"")</f>
        <v/>
      </c>
      <c r="O4683" t="str">
        <f>IFERROR(__xludf.DUMMYFUNCTION("""COMPUTED_VALUE"""),"")</f>
        <v/>
      </c>
      <c r="P4683" t="str">
        <f>IFERROR(__xludf.DUMMYFUNCTION("""COMPUTED_VALUE"""),"ID ")</f>
        <v>ID </v>
      </c>
    </row>
    <row r="4684">
      <c r="A4684" s="6" t="str">
        <f>IFERROR(__xludf.DUMMYFUNCTION("""COMPUTED_VALUE"""),"")</f>
        <v/>
      </c>
      <c r="C4684" t="str">
        <f>IFERROR(__xludf.DUMMYFUNCTION("""COMPUTED_VALUE"""),"")</f>
        <v/>
      </c>
      <c r="D4684" t="str">
        <f>IFERROR(__xludf.DUMMYFUNCTION("""COMPUTED_VALUE"""),"")</f>
        <v/>
      </c>
      <c r="E4684" t="str">
        <f>IFERROR(__xludf.DUMMYFUNCTION("""COMPUTED_VALUE"""),"")</f>
        <v/>
      </c>
      <c r="F4684" t="str">
        <f>IFERROR(__xludf.DUMMYFUNCTION("""COMPUTED_VALUE"""),"")</f>
        <v/>
      </c>
      <c r="G4684" t="str">
        <f>IFERROR(__xludf.DUMMYFUNCTION("""COMPUTED_VALUE"""),"")</f>
        <v/>
      </c>
      <c r="H4684" s="2" t="str">
        <f>IFERROR(__xludf.DUMMYFUNCTION("""COMPUTED_VALUE"""),"")</f>
        <v/>
      </c>
      <c r="I4684" s="2" t="str">
        <f>IFERROR(__xludf.DUMMYFUNCTION("""COMPUTED_VALUE"""),"")</f>
        <v/>
      </c>
      <c r="J4684" s="2">
        <f>IFERROR(__xludf.DUMMYFUNCTION("""COMPUTED_VALUE"""),0.0)</f>
        <v>0</v>
      </c>
      <c r="K4684" s="5" t="str">
        <f>IFERROR(__xludf.DUMMYFUNCTION("""COMPUTED_VALUE"""),"")</f>
        <v/>
      </c>
      <c r="L4684" t="str">
        <f>IFERROR(__xludf.DUMMYFUNCTION("""COMPUTED_VALUE"""),"")</f>
        <v/>
      </c>
      <c r="M4684" t="str">
        <f>IFERROR(__xludf.DUMMYFUNCTION("""COMPUTED_VALUE"""),"")</f>
        <v/>
      </c>
      <c r="N4684" t="str">
        <f>IFERROR(__xludf.DUMMYFUNCTION("""COMPUTED_VALUE"""),"")</f>
        <v/>
      </c>
      <c r="O4684" t="str">
        <f>IFERROR(__xludf.DUMMYFUNCTION("""COMPUTED_VALUE"""),"")</f>
        <v/>
      </c>
      <c r="P4684" t="str">
        <f>IFERROR(__xludf.DUMMYFUNCTION("""COMPUTED_VALUE"""),"ID ")</f>
        <v>ID </v>
      </c>
    </row>
    <row r="4685">
      <c r="A4685" s="6" t="str">
        <f>IFERROR(__xludf.DUMMYFUNCTION("""COMPUTED_VALUE"""),"")</f>
        <v/>
      </c>
      <c r="C4685" t="str">
        <f>IFERROR(__xludf.DUMMYFUNCTION("""COMPUTED_VALUE"""),"")</f>
        <v/>
      </c>
      <c r="D4685" t="str">
        <f>IFERROR(__xludf.DUMMYFUNCTION("""COMPUTED_VALUE"""),"")</f>
        <v/>
      </c>
      <c r="E4685" t="str">
        <f>IFERROR(__xludf.DUMMYFUNCTION("""COMPUTED_VALUE"""),"")</f>
        <v/>
      </c>
      <c r="F4685" t="str">
        <f>IFERROR(__xludf.DUMMYFUNCTION("""COMPUTED_VALUE"""),"")</f>
        <v/>
      </c>
      <c r="G4685" t="str">
        <f>IFERROR(__xludf.DUMMYFUNCTION("""COMPUTED_VALUE"""),"")</f>
        <v/>
      </c>
      <c r="H4685" s="2" t="str">
        <f>IFERROR(__xludf.DUMMYFUNCTION("""COMPUTED_VALUE"""),"")</f>
        <v/>
      </c>
      <c r="I4685" s="2" t="str">
        <f>IFERROR(__xludf.DUMMYFUNCTION("""COMPUTED_VALUE"""),"")</f>
        <v/>
      </c>
      <c r="J4685" s="2">
        <f>IFERROR(__xludf.DUMMYFUNCTION("""COMPUTED_VALUE"""),0.0)</f>
        <v>0</v>
      </c>
      <c r="K4685" s="5" t="str">
        <f>IFERROR(__xludf.DUMMYFUNCTION("""COMPUTED_VALUE"""),"")</f>
        <v/>
      </c>
      <c r="L4685" t="str">
        <f>IFERROR(__xludf.DUMMYFUNCTION("""COMPUTED_VALUE"""),"")</f>
        <v/>
      </c>
      <c r="M4685" t="str">
        <f>IFERROR(__xludf.DUMMYFUNCTION("""COMPUTED_VALUE"""),"")</f>
        <v/>
      </c>
      <c r="N4685" t="str">
        <f>IFERROR(__xludf.DUMMYFUNCTION("""COMPUTED_VALUE"""),"")</f>
        <v/>
      </c>
      <c r="O4685" t="str">
        <f>IFERROR(__xludf.DUMMYFUNCTION("""COMPUTED_VALUE"""),"")</f>
        <v/>
      </c>
      <c r="P4685" t="str">
        <f>IFERROR(__xludf.DUMMYFUNCTION("""COMPUTED_VALUE"""),"ID ")</f>
        <v>ID </v>
      </c>
    </row>
    <row r="4686">
      <c r="A4686" s="6" t="str">
        <f>IFERROR(__xludf.DUMMYFUNCTION("""COMPUTED_VALUE"""),"")</f>
        <v/>
      </c>
      <c r="C4686" t="str">
        <f>IFERROR(__xludf.DUMMYFUNCTION("""COMPUTED_VALUE"""),"")</f>
        <v/>
      </c>
      <c r="D4686" t="str">
        <f>IFERROR(__xludf.DUMMYFUNCTION("""COMPUTED_VALUE"""),"")</f>
        <v/>
      </c>
      <c r="E4686" t="str">
        <f>IFERROR(__xludf.DUMMYFUNCTION("""COMPUTED_VALUE"""),"")</f>
        <v/>
      </c>
      <c r="F4686" t="str">
        <f>IFERROR(__xludf.DUMMYFUNCTION("""COMPUTED_VALUE"""),"")</f>
        <v/>
      </c>
      <c r="G4686" t="str">
        <f>IFERROR(__xludf.DUMMYFUNCTION("""COMPUTED_VALUE"""),"")</f>
        <v/>
      </c>
      <c r="H4686" s="2" t="str">
        <f>IFERROR(__xludf.DUMMYFUNCTION("""COMPUTED_VALUE"""),"")</f>
        <v/>
      </c>
      <c r="I4686" s="2" t="str">
        <f>IFERROR(__xludf.DUMMYFUNCTION("""COMPUTED_VALUE"""),"")</f>
        <v/>
      </c>
      <c r="J4686" s="2">
        <f>IFERROR(__xludf.DUMMYFUNCTION("""COMPUTED_VALUE"""),0.0)</f>
        <v>0</v>
      </c>
      <c r="K4686" s="5" t="str">
        <f>IFERROR(__xludf.DUMMYFUNCTION("""COMPUTED_VALUE"""),"")</f>
        <v/>
      </c>
      <c r="L4686" t="str">
        <f>IFERROR(__xludf.DUMMYFUNCTION("""COMPUTED_VALUE"""),"")</f>
        <v/>
      </c>
      <c r="M4686" t="str">
        <f>IFERROR(__xludf.DUMMYFUNCTION("""COMPUTED_VALUE"""),"")</f>
        <v/>
      </c>
      <c r="N4686" t="str">
        <f>IFERROR(__xludf.DUMMYFUNCTION("""COMPUTED_VALUE"""),"")</f>
        <v/>
      </c>
      <c r="O4686" t="str">
        <f>IFERROR(__xludf.DUMMYFUNCTION("""COMPUTED_VALUE"""),"")</f>
        <v/>
      </c>
      <c r="P4686" t="str">
        <f>IFERROR(__xludf.DUMMYFUNCTION("""COMPUTED_VALUE"""),"ID ")</f>
        <v>ID </v>
      </c>
    </row>
    <row r="4687">
      <c r="A4687" s="6" t="str">
        <f>IFERROR(__xludf.DUMMYFUNCTION("""COMPUTED_VALUE"""),"")</f>
        <v/>
      </c>
      <c r="C4687" t="str">
        <f>IFERROR(__xludf.DUMMYFUNCTION("""COMPUTED_VALUE"""),"")</f>
        <v/>
      </c>
      <c r="D4687" t="str">
        <f>IFERROR(__xludf.DUMMYFUNCTION("""COMPUTED_VALUE"""),"")</f>
        <v/>
      </c>
      <c r="E4687" t="str">
        <f>IFERROR(__xludf.DUMMYFUNCTION("""COMPUTED_VALUE"""),"")</f>
        <v/>
      </c>
      <c r="F4687" t="str">
        <f>IFERROR(__xludf.DUMMYFUNCTION("""COMPUTED_VALUE"""),"")</f>
        <v/>
      </c>
      <c r="G4687" t="str">
        <f>IFERROR(__xludf.DUMMYFUNCTION("""COMPUTED_VALUE"""),"")</f>
        <v/>
      </c>
      <c r="H4687" s="2" t="str">
        <f>IFERROR(__xludf.DUMMYFUNCTION("""COMPUTED_VALUE"""),"")</f>
        <v/>
      </c>
      <c r="I4687" s="2" t="str">
        <f>IFERROR(__xludf.DUMMYFUNCTION("""COMPUTED_VALUE"""),"")</f>
        <v/>
      </c>
      <c r="J4687" s="2">
        <f>IFERROR(__xludf.DUMMYFUNCTION("""COMPUTED_VALUE"""),0.0)</f>
        <v>0</v>
      </c>
      <c r="K4687" s="5" t="str">
        <f>IFERROR(__xludf.DUMMYFUNCTION("""COMPUTED_VALUE"""),"")</f>
        <v/>
      </c>
      <c r="L4687" t="str">
        <f>IFERROR(__xludf.DUMMYFUNCTION("""COMPUTED_VALUE"""),"")</f>
        <v/>
      </c>
      <c r="M4687" t="str">
        <f>IFERROR(__xludf.DUMMYFUNCTION("""COMPUTED_VALUE"""),"")</f>
        <v/>
      </c>
      <c r="N4687" t="str">
        <f>IFERROR(__xludf.DUMMYFUNCTION("""COMPUTED_VALUE"""),"")</f>
        <v/>
      </c>
      <c r="O4687" t="str">
        <f>IFERROR(__xludf.DUMMYFUNCTION("""COMPUTED_VALUE"""),"")</f>
        <v/>
      </c>
      <c r="P4687" t="str">
        <f>IFERROR(__xludf.DUMMYFUNCTION("""COMPUTED_VALUE"""),"ID ")</f>
        <v>ID </v>
      </c>
    </row>
    <row r="4688">
      <c r="A4688" s="6" t="str">
        <f>IFERROR(__xludf.DUMMYFUNCTION("""COMPUTED_VALUE"""),"")</f>
        <v/>
      </c>
      <c r="C4688" t="str">
        <f>IFERROR(__xludf.DUMMYFUNCTION("""COMPUTED_VALUE"""),"")</f>
        <v/>
      </c>
      <c r="D4688" t="str">
        <f>IFERROR(__xludf.DUMMYFUNCTION("""COMPUTED_VALUE"""),"")</f>
        <v/>
      </c>
      <c r="E4688" t="str">
        <f>IFERROR(__xludf.DUMMYFUNCTION("""COMPUTED_VALUE"""),"")</f>
        <v/>
      </c>
      <c r="F4688" t="str">
        <f>IFERROR(__xludf.DUMMYFUNCTION("""COMPUTED_VALUE"""),"")</f>
        <v/>
      </c>
      <c r="G4688" t="str">
        <f>IFERROR(__xludf.DUMMYFUNCTION("""COMPUTED_VALUE"""),"")</f>
        <v/>
      </c>
      <c r="H4688" s="2" t="str">
        <f>IFERROR(__xludf.DUMMYFUNCTION("""COMPUTED_VALUE"""),"")</f>
        <v/>
      </c>
      <c r="I4688" s="2" t="str">
        <f>IFERROR(__xludf.DUMMYFUNCTION("""COMPUTED_VALUE"""),"")</f>
        <v/>
      </c>
      <c r="J4688" s="2">
        <f>IFERROR(__xludf.DUMMYFUNCTION("""COMPUTED_VALUE"""),0.0)</f>
        <v>0</v>
      </c>
      <c r="K4688" s="5" t="str">
        <f>IFERROR(__xludf.DUMMYFUNCTION("""COMPUTED_VALUE"""),"")</f>
        <v/>
      </c>
      <c r="L4688" t="str">
        <f>IFERROR(__xludf.DUMMYFUNCTION("""COMPUTED_VALUE"""),"")</f>
        <v/>
      </c>
      <c r="M4688" t="str">
        <f>IFERROR(__xludf.DUMMYFUNCTION("""COMPUTED_VALUE"""),"")</f>
        <v/>
      </c>
      <c r="N4688" t="str">
        <f>IFERROR(__xludf.DUMMYFUNCTION("""COMPUTED_VALUE"""),"")</f>
        <v/>
      </c>
      <c r="O4688" t="str">
        <f>IFERROR(__xludf.DUMMYFUNCTION("""COMPUTED_VALUE"""),"")</f>
        <v/>
      </c>
      <c r="P4688" t="str">
        <f>IFERROR(__xludf.DUMMYFUNCTION("""COMPUTED_VALUE"""),"ID ")</f>
        <v>ID </v>
      </c>
    </row>
    <row r="4689">
      <c r="A4689" s="6" t="str">
        <f>IFERROR(__xludf.DUMMYFUNCTION("""COMPUTED_VALUE"""),"")</f>
        <v/>
      </c>
      <c r="C4689" t="str">
        <f>IFERROR(__xludf.DUMMYFUNCTION("""COMPUTED_VALUE"""),"")</f>
        <v/>
      </c>
      <c r="D4689" t="str">
        <f>IFERROR(__xludf.DUMMYFUNCTION("""COMPUTED_VALUE"""),"")</f>
        <v/>
      </c>
      <c r="E4689" t="str">
        <f>IFERROR(__xludf.DUMMYFUNCTION("""COMPUTED_VALUE"""),"")</f>
        <v/>
      </c>
      <c r="F4689" t="str">
        <f>IFERROR(__xludf.DUMMYFUNCTION("""COMPUTED_VALUE"""),"")</f>
        <v/>
      </c>
      <c r="G4689" t="str">
        <f>IFERROR(__xludf.DUMMYFUNCTION("""COMPUTED_VALUE"""),"")</f>
        <v/>
      </c>
      <c r="H4689" s="2" t="str">
        <f>IFERROR(__xludf.DUMMYFUNCTION("""COMPUTED_VALUE"""),"")</f>
        <v/>
      </c>
      <c r="I4689" s="2" t="str">
        <f>IFERROR(__xludf.DUMMYFUNCTION("""COMPUTED_VALUE"""),"")</f>
        <v/>
      </c>
      <c r="J4689" s="2">
        <f>IFERROR(__xludf.DUMMYFUNCTION("""COMPUTED_VALUE"""),0.0)</f>
        <v>0</v>
      </c>
      <c r="K4689" s="5" t="str">
        <f>IFERROR(__xludf.DUMMYFUNCTION("""COMPUTED_VALUE"""),"")</f>
        <v/>
      </c>
      <c r="L4689" t="str">
        <f>IFERROR(__xludf.DUMMYFUNCTION("""COMPUTED_VALUE"""),"")</f>
        <v/>
      </c>
      <c r="M4689" t="str">
        <f>IFERROR(__xludf.DUMMYFUNCTION("""COMPUTED_VALUE"""),"")</f>
        <v/>
      </c>
      <c r="N4689" t="str">
        <f>IFERROR(__xludf.DUMMYFUNCTION("""COMPUTED_VALUE"""),"")</f>
        <v/>
      </c>
      <c r="O4689" t="str">
        <f>IFERROR(__xludf.DUMMYFUNCTION("""COMPUTED_VALUE"""),"")</f>
        <v/>
      </c>
      <c r="P4689" t="str">
        <f>IFERROR(__xludf.DUMMYFUNCTION("""COMPUTED_VALUE"""),"ID ")</f>
        <v>ID </v>
      </c>
    </row>
    <row r="4690">
      <c r="A4690" s="6" t="str">
        <f>IFERROR(__xludf.DUMMYFUNCTION("""COMPUTED_VALUE"""),"")</f>
        <v/>
      </c>
      <c r="C4690" t="str">
        <f>IFERROR(__xludf.DUMMYFUNCTION("""COMPUTED_VALUE"""),"")</f>
        <v/>
      </c>
      <c r="D4690" t="str">
        <f>IFERROR(__xludf.DUMMYFUNCTION("""COMPUTED_VALUE"""),"")</f>
        <v/>
      </c>
      <c r="E4690" t="str">
        <f>IFERROR(__xludf.DUMMYFUNCTION("""COMPUTED_VALUE"""),"")</f>
        <v/>
      </c>
      <c r="F4690" t="str">
        <f>IFERROR(__xludf.DUMMYFUNCTION("""COMPUTED_VALUE"""),"")</f>
        <v/>
      </c>
      <c r="G4690" t="str">
        <f>IFERROR(__xludf.DUMMYFUNCTION("""COMPUTED_VALUE"""),"")</f>
        <v/>
      </c>
      <c r="H4690" s="2" t="str">
        <f>IFERROR(__xludf.DUMMYFUNCTION("""COMPUTED_VALUE"""),"")</f>
        <v/>
      </c>
      <c r="I4690" s="2" t="str">
        <f>IFERROR(__xludf.DUMMYFUNCTION("""COMPUTED_VALUE"""),"")</f>
        <v/>
      </c>
      <c r="J4690" s="2">
        <f>IFERROR(__xludf.DUMMYFUNCTION("""COMPUTED_VALUE"""),0.0)</f>
        <v>0</v>
      </c>
      <c r="K4690" s="5" t="str">
        <f>IFERROR(__xludf.DUMMYFUNCTION("""COMPUTED_VALUE"""),"")</f>
        <v/>
      </c>
      <c r="L4690" t="str">
        <f>IFERROR(__xludf.DUMMYFUNCTION("""COMPUTED_VALUE"""),"")</f>
        <v/>
      </c>
      <c r="M4690" t="str">
        <f>IFERROR(__xludf.DUMMYFUNCTION("""COMPUTED_VALUE"""),"")</f>
        <v/>
      </c>
      <c r="N4690" t="str">
        <f>IFERROR(__xludf.DUMMYFUNCTION("""COMPUTED_VALUE"""),"")</f>
        <v/>
      </c>
      <c r="O4690" t="str">
        <f>IFERROR(__xludf.DUMMYFUNCTION("""COMPUTED_VALUE"""),"")</f>
        <v/>
      </c>
      <c r="P4690" t="str">
        <f>IFERROR(__xludf.DUMMYFUNCTION("""COMPUTED_VALUE"""),"ID ")</f>
        <v>ID </v>
      </c>
    </row>
    <row r="4691">
      <c r="A4691" s="6" t="str">
        <f>IFERROR(__xludf.DUMMYFUNCTION("""COMPUTED_VALUE"""),"")</f>
        <v/>
      </c>
      <c r="C4691" t="str">
        <f>IFERROR(__xludf.DUMMYFUNCTION("""COMPUTED_VALUE"""),"")</f>
        <v/>
      </c>
      <c r="D4691" t="str">
        <f>IFERROR(__xludf.DUMMYFUNCTION("""COMPUTED_VALUE"""),"")</f>
        <v/>
      </c>
      <c r="E4691" t="str">
        <f>IFERROR(__xludf.DUMMYFUNCTION("""COMPUTED_VALUE"""),"")</f>
        <v/>
      </c>
      <c r="F4691" t="str">
        <f>IFERROR(__xludf.DUMMYFUNCTION("""COMPUTED_VALUE"""),"")</f>
        <v/>
      </c>
      <c r="G4691" t="str">
        <f>IFERROR(__xludf.DUMMYFUNCTION("""COMPUTED_VALUE"""),"")</f>
        <v/>
      </c>
      <c r="H4691" s="2" t="str">
        <f>IFERROR(__xludf.DUMMYFUNCTION("""COMPUTED_VALUE"""),"")</f>
        <v/>
      </c>
      <c r="I4691" s="2" t="str">
        <f>IFERROR(__xludf.DUMMYFUNCTION("""COMPUTED_VALUE"""),"")</f>
        <v/>
      </c>
      <c r="J4691" s="2">
        <f>IFERROR(__xludf.DUMMYFUNCTION("""COMPUTED_VALUE"""),0.0)</f>
        <v>0</v>
      </c>
      <c r="K4691" s="5" t="str">
        <f>IFERROR(__xludf.DUMMYFUNCTION("""COMPUTED_VALUE"""),"")</f>
        <v/>
      </c>
      <c r="L4691" t="str">
        <f>IFERROR(__xludf.DUMMYFUNCTION("""COMPUTED_VALUE"""),"")</f>
        <v/>
      </c>
      <c r="M4691" t="str">
        <f>IFERROR(__xludf.DUMMYFUNCTION("""COMPUTED_VALUE"""),"")</f>
        <v/>
      </c>
      <c r="N4691" t="str">
        <f>IFERROR(__xludf.DUMMYFUNCTION("""COMPUTED_VALUE"""),"")</f>
        <v/>
      </c>
      <c r="O4691" t="str">
        <f>IFERROR(__xludf.DUMMYFUNCTION("""COMPUTED_VALUE"""),"")</f>
        <v/>
      </c>
      <c r="P4691" t="str">
        <f>IFERROR(__xludf.DUMMYFUNCTION("""COMPUTED_VALUE"""),"ID ")</f>
        <v>ID </v>
      </c>
    </row>
    <row r="4692">
      <c r="A4692" s="6" t="str">
        <f>IFERROR(__xludf.DUMMYFUNCTION("""COMPUTED_VALUE"""),"")</f>
        <v/>
      </c>
      <c r="C4692" t="str">
        <f>IFERROR(__xludf.DUMMYFUNCTION("""COMPUTED_VALUE"""),"")</f>
        <v/>
      </c>
      <c r="D4692" t="str">
        <f>IFERROR(__xludf.DUMMYFUNCTION("""COMPUTED_VALUE"""),"")</f>
        <v/>
      </c>
      <c r="E4692" t="str">
        <f>IFERROR(__xludf.DUMMYFUNCTION("""COMPUTED_VALUE"""),"")</f>
        <v/>
      </c>
      <c r="F4692" t="str">
        <f>IFERROR(__xludf.DUMMYFUNCTION("""COMPUTED_VALUE"""),"")</f>
        <v/>
      </c>
      <c r="G4692" t="str">
        <f>IFERROR(__xludf.DUMMYFUNCTION("""COMPUTED_VALUE"""),"")</f>
        <v/>
      </c>
      <c r="H4692" s="2" t="str">
        <f>IFERROR(__xludf.DUMMYFUNCTION("""COMPUTED_VALUE"""),"")</f>
        <v/>
      </c>
      <c r="I4692" s="2" t="str">
        <f>IFERROR(__xludf.DUMMYFUNCTION("""COMPUTED_VALUE"""),"")</f>
        <v/>
      </c>
      <c r="J4692" s="2">
        <f>IFERROR(__xludf.DUMMYFUNCTION("""COMPUTED_VALUE"""),0.0)</f>
        <v>0</v>
      </c>
      <c r="K4692" s="5" t="str">
        <f>IFERROR(__xludf.DUMMYFUNCTION("""COMPUTED_VALUE"""),"")</f>
        <v/>
      </c>
      <c r="L4692" t="str">
        <f>IFERROR(__xludf.DUMMYFUNCTION("""COMPUTED_VALUE"""),"")</f>
        <v/>
      </c>
      <c r="M4692" t="str">
        <f>IFERROR(__xludf.DUMMYFUNCTION("""COMPUTED_VALUE"""),"")</f>
        <v/>
      </c>
      <c r="N4692" t="str">
        <f>IFERROR(__xludf.DUMMYFUNCTION("""COMPUTED_VALUE"""),"")</f>
        <v/>
      </c>
      <c r="O4692" t="str">
        <f>IFERROR(__xludf.DUMMYFUNCTION("""COMPUTED_VALUE"""),"")</f>
        <v/>
      </c>
      <c r="P4692" t="str">
        <f>IFERROR(__xludf.DUMMYFUNCTION("""COMPUTED_VALUE"""),"ID ")</f>
        <v>ID </v>
      </c>
    </row>
    <row r="4693">
      <c r="A4693" s="6" t="str">
        <f>IFERROR(__xludf.DUMMYFUNCTION("""COMPUTED_VALUE"""),"")</f>
        <v/>
      </c>
      <c r="C4693" t="str">
        <f>IFERROR(__xludf.DUMMYFUNCTION("""COMPUTED_VALUE"""),"")</f>
        <v/>
      </c>
      <c r="D4693" t="str">
        <f>IFERROR(__xludf.DUMMYFUNCTION("""COMPUTED_VALUE"""),"")</f>
        <v/>
      </c>
      <c r="E4693" t="str">
        <f>IFERROR(__xludf.DUMMYFUNCTION("""COMPUTED_VALUE"""),"")</f>
        <v/>
      </c>
      <c r="F4693" t="str">
        <f>IFERROR(__xludf.DUMMYFUNCTION("""COMPUTED_VALUE"""),"")</f>
        <v/>
      </c>
      <c r="G4693" t="str">
        <f>IFERROR(__xludf.DUMMYFUNCTION("""COMPUTED_VALUE"""),"")</f>
        <v/>
      </c>
      <c r="H4693" s="2" t="str">
        <f>IFERROR(__xludf.DUMMYFUNCTION("""COMPUTED_VALUE"""),"")</f>
        <v/>
      </c>
      <c r="I4693" s="2" t="str">
        <f>IFERROR(__xludf.DUMMYFUNCTION("""COMPUTED_VALUE"""),"")</f>
        <v/>
      </c>
      <c r="J4693" s="2">
        <f>IFERROR(__xludf.DUMMYFUNCTION("""COMPUTED_VALUE"""),0.0)</f>
        <v>0</v>
      </c>
      <c r="K4693" s="5" t="str">
        <f>IFERROR(__xludf.DUMMYFUNCTION("""COMPUTED_VALUE"""),"")</f>
        <v/>
      </c>
      <c r="L4693" t="str">
        <f>IFERROR(__xludf.DUMMYFUNCTION("""COMPUTED_VALUE"""),"")</f>
        <v/>
      </c>
      <c r="M4693" t="str">
        <f>IFERROR(__xludf.DUMMYFUNCTION("""COMPUTED_VALUE"""),"")</f>
        <v/>
      </c>
      <c r="N4693" t="str">
        <f>IFERROR(__xludf.DUMMYFUNCTION("""COMPUTED_VALUE"""),"")</f>
        <v/>
      </c>
      <c r="O4693" t="str">
        <f>IFERROR(__xludf.DUMMYFUNCTION("""COMPUTED_VALUE"""),"")</f>
        <v/>
      </c>
      <c r="P4693" t="str">
        <f>IFERROR(__xludf.DUMMYFUNCTION("""COMPUTED_VALUE"""),"ID ")</f>
        <v>ID </v>
      </c>
    </row>
    <row r="4694">
      <c r="A4694" s="6" t="str">
        <f>IFERROR(__xludf.DUMMYFUNCTION("""COMPUTED_VALUE"""),"")</f>
        <v/>
      </c>
      <c r="C4694" t="str">
        <f>IFERROR(__xludf.DUMMYFUNCTION("""COMPUTED_VALUE"""),"")</f>
        <v/>
      </c>
      <c r="D4694" t="str">
        <f>IFERROR(__xludf.DUMMYFUNCTION("""COMPUTED_VALUE"""),"")</f>
        <v/>
      </c>
      <c r="E4694" t="str">
        <f>IFERROR(__xludf.DUMMYFUNCTION("""COMPUTED_VALUE"""),"")</f>
        <v/>
      </c>
      <c r="F4694" t="str">
        <f>IFERROR(__xludf.DUMMYFUNCTION("""COMPUTED_VALUE"""),"")</f>
        <v/>
      </c>
      <c r="G4694" t="str">
        <f>IFERROR(__xludf.DUMMYFUNCTION("""COMPUTED_VALUE"""),"")</f>
        <v/>
      </c>
      <c r="H4694" s="2" t="str">
        <f>IFERROR(__xludf.DUMMYFUNCTION("""COMPUTED_VALUE"""),"")</f>
        <v/>
      </c>
      <c r="I4694" s="2" t="str">
        <f>IFERROR(__xludf.DUMMYFUNCTION("""COMPUTED_VALUE"""),"")</f>
        <v/>
      </c>
      <c r="J4694" s="2">
        <f>IFERROR(__xludf.DUMMYFUNCTION("""COMPUTED_VALUE"""),0.0)</f>
        <v>0</v>
      </c>
      <c r="K4694" s="5" t="str">
        <f>IFERROR(__xludf.DUMMYFUNCTION("""COMPUTED_VALUE"""),"")</f>
        <v/>
      </c>
      <c r="L4694" t="str">
        <f>IFERROR(__xludf.DUMMYFUNCTION("""COMPUTED_VALUE"""),"")</f>
        <v/>
      </c>
      <c r="M4694" t="str">
        <f>IFERROR(__xludf.DUMMYFUNCTION("""COMPUTED_VALUE"""),"")</f>
        <v/>
      </c>
      <c r="N4694" t="str">
        <f>IFERROR(__xludf.DUMMYFUNCTION("""COMPUTED_VALUE"""),"")</f>
        <v/>
      </c>
      <c r="O4694" t="str">
        <f>IFERROR(__xludf.DUMMYFUNCTION("""COMPUTED_VALUE"""),"")</f>
        <v/>
      </c>
      <c r="P4694" t="str">
        <f>IFERROR(__xludf.DUMMYFUNCTION("""COMPUTED_VALUE"""),"ID ")</f>
        <v>ID </v>
      </c>
    </row>
    <row r="4695">
      <c r="A4695" s="6" t="str">
        <f>IFERROR(__xludf.DUMMYFUNCTION("""COMPUTED_VALUE"""),"")</f>
        <v/>
      </c>
      <c r="C4695" t="str">
        <f>IFERROR(__xludf.DUMMYFUNCTION("""COMPUTED_VALUE"""),"")</f>
        <v/>
      </c>
      <c r="D4695" t="str">
        <f>IFERROR(__xludf.DUMMYFUNCTION("""COMPUTED_VALUE"""),"")</f>
        <v/>
      </c>
      <c r="E4695" t="str">
        <f>IFERROR(__xludf.DUMMYFUNCTION("""COMPUTED_VALUE"""),"")</f>
        <v/>
      </c>
      <c r="F4695" t="str">
        <f>IFERROR(__xludf.DUMMYFUNCTION("""COMPUTED_VALUE"""),"")</f>
        <v/>
      </c>
      <c r="G4695" t="str">
        <f>IFERROR(__xludf.DUMMYFUNCTION("""COMPUTED_VALUE"""),"")</f>
        <v/>
      </c>
      <c r="H4695" s="2" t="str">
        <f>IFERROR(__xludf.DUMMYFUNCTION("""COMPUTED_VALUE"""),"")</f>
        <v/>
      </c>
      <c r="I4695" s="2" t="str">
        <f>IFERROR(__xludf.DUMMYFUNCTION("""COMPUTED_VALUE"""),"")</f>
        <v/>
      </c>
      <c r="J4695" s="2">
        <f>IFERROR(__xludf.DUMMYFUNCTION("""COMPUTED_VALUE"""),0.0)</f>
        <v>0</v>
      </c>
      <c r="K4695" s="5" t="str">
        <f>IFERROR(__xludf.DUMMYFUNCTION("""COMPUTED_VALUE"""),"")</f>
        <v/>
      </c>
      <c r="L4695" t="str">
        <f>IFERROR(__xludf.DUMMYFUNCTION("""COMPUTED_VALUE"""),"")</f>
        <v/>
      </c>
      <c r="M4695" t="str">
        <f>IFERROR(__xludf.DUMMYFUNCTION("""COMPUTED_VALUE"""),"")</f>
        <v/>
      </c>
      <c r="N4695" t="str">
        <f>IFERROR(__xludf.DUMMYFUNCTION("""COMPUTED_VALUE"""),"")</f>
        <v/>
      </c>
      <c r="O4695" t="str">
        <f>IFERROR(__xludf.DUMMYFUNCTION("""COMPUTED_VALUE"""),"")</f>
        <v/>
      </c>
      <c r="P4695" t="str">
        <f>IFERROR(__xludf.DUMMYFUNCTION("""COMPUTED_VALUE"""),"ID ")</f>
        <v>ID </v>
      </c>
    </row>
    <row r="4696">
      <c r="A4696" s="6" t="str">
        <f>IFERROR(__xludf.DUMMYFUNCTION("""COMPUTED_VALUE"""),"")</f>
        <v/>
      </c>
      <c r="C4696" t="str">
        <f>IFERROR(__xludf.DUMMYFUNCTION("""COMPUTED_VALUE"""),"")</f>
        <v/>
      </c>
      <c r="D4696" t="str">
        <f>IFERROR(__xludf.DUMMYFUNCTION("""COMPUTED_VALUE"""),"")</f>
        <v/>
      </c>
      <c r="E4696" t="str">
        <f>IFERROR(__xludf.DUMMYFUNCTION("""COMPUTED_VALUE"""),"")</f>
        <v/>
      </c>
      <c r="F4696" t="str">
        <f>IFERROR(__xludf.DUMMYFUNCTION("""COMPUTED_VALUE"""),"")</f>
        <v/>
      </c>
      <c r="G4696" t="str">
        <f>IFERROR(__xludf.DUMMYFUNCTION("""COMPUTED_VALUE"""),"")</f>
        <v/>
      </c>
      <c r="H4696" s="2" t="str">
        <f>IFERROR(__xludf.DUMMYFUNCTION("""COMPUTED_VALUE"""),"")</f>
        <v/>
      </c>
      <c r="I4696" s="2" t="str">
        <f>IFERROR(__xludf.DUMMYFUNCTION("""COMPUTED_VALUE"""),"")</f>
        <v/>
      </c>
      <c r="J4696" s="2">
        <f>IFERROR(__xludf.DUMMYFUNCTION("""COMPUTED_VALUE"""),0.0)</f>
        <v>0</v>
      </c>
      <c r="K4696" s="5" t="str">
        <f>IFERROR(__xludf.DUMMYFUNCTION("""COMPUTED_VALUE"""),"")</f>
        <v/>
      </c>
      <c r="L4696" t="str">
        <f>IFERROR(__xludf.DUMMYFUNCTION("""COMPUTED_VALUE"""),"")</f>
        <v/>
      </c>
      <c r="M4696" t="str">
        <f>IFERROR(__xludf.DUMMYFUNCTION("""COMPUTED_VALUE"""),"")</f>
        <v/>
      </c>
      <c r="N4696" t="str">
        <f>IFERROR(__xludf.DUMMYFUNCTION("""COMPUTED_VALUE"""),"")</f>
        <v/>
      </c>
      <c r="O4696" t="str">
        <f>IFERROR(__xludf.DUMMYFUNCTION("""COMPUTED_VALUE"""),"")</f>
        <v/>
      </c>
      <c r="P4696" t="str">
        <f>IFERROR(__xludf.DUMMYFUNCTION("""COMPUTED_VALUE"""),"ID ")</f>
        <v>ID </v>
      </c>
    </row>
    <row r="4697">
      <c r="A4697" s="6" t="str">
        <f>IFERROR(__xludf.DUMMYFUNCTION("""COMPUTED_VALUE"""),"")</f>
        <v/>
      </c>
      <c r="C4697" t="str">
        <f>IFERROR(__xludf.DUMMYFUNCTION("""COMPUTED_VALUE"""),"")</f>
        <v/>
      </c>
      <c r="D4697" t="str">
        <f>IFERROR(__xludf.DUMMYFUNCTION("""COMPUTED_VALUE"""),"")</f>
        <v/>
      </c>
      <c r="E4697" t="str">
        <f>IFERROR(__xludf.DUMMYFUNCTION("""COMPUTED_VALUE"""),"")</f>
        <v/>
      </c>
      <c r="F4697" t="str">
        <f>IFERROR(__xludf.DUMMYFUNCTION("""COMPUTED_VALUE"""),"")</f>
        <v/>
      </c>
      <c r="G4697" t="str">
        <f>IFERROR(__xludf.DUMMYFUNCTION("""COMPUTED_VALUE"""),"")</f>
        <v/>
      </c>
      <c r="H4697" s="2" t="str">
        <f>IFERROR(__xludf.DUMMYFUNCTION("""COMPUTED_VALUE"""),"")</f>
        <v/>
      </c>
      <c r="I4697" s="2" t="str">
        <f>IFERROR(__xludf.DUMMYFUNCTION("""COMPUTED_VALUE"""),"")</f>
        <v/>
      </c>
      <c r="J4697" s="2">
        <f>IFERROR(__xludf.DUMMYFUNCTION("""COMPUTED_VALUE"""),0.0)</f>
        <v>0</v>
      </c>
      <c r="K4697" s="5" t="str">
        <f>IFERROR(__xludf.DUMMYFUNCTION("""COMPUTED_VALUE"""),"")</f>
        <v/>
      </c>
      <c r="L4697" t="str">
        <f>IFERROR(__xludf.DUMMYFUNCTION("""COMPUTED_VALUE"""),"")</f>
        <v/>
      </c>
      <c r="M4697" t="str">
        <f>IFERROR(__xludf.DUMMYFUNCTION("""COMPUTED_VALUE"""),"")</f>
        <v/>
      </c>
      <c r="N4697" t="str">
        <f>IFERROR(__xludf.DUMMYFUNCTION("""COMPUTED_VALUE"""),"")</f>
        <v/>
      </c>
      <c r="O4697" t="str">
        <f>IFERROR(__xludf.DUMMYFUNCTION("""COMPUTED_VALUE"""),"")</f>
        <v/>
      </c>
      <c r="P4697" t="str">
        <f>IFERROR(__xludf.DUMMYFUNCTION("""COMPUTED_VALUE"""),"ID ")</f>
        <v>ID </v>
      </c>
    </row>
    <row r="4698">
      <c r="A4698" s="6" t="str">
        <f>IFERROR(__xludf.DUMMYFUNCTION("""COMPUTED_VALUE"""),"")</f>
        <v/>
      </c>
      <c r="C4698" t="str">
        <f>IFERROR(__xludf.DUMMYFUNCTION("""COMPUTED_VALUE"""),"")</f>
        <v/>
      </c>
      <c r="D4698" t="str">
        <f>IFERROR(__xludf.DUMMYFUNCTION("""COMPUTED_VALUE"""),"")</f>
        <v/>
      </c>
      <c r="E4698" t="str">
        <f>IFERROR(__xludf.DUMMYFUNCTION("""COMPUTED_VALUE"""),"")</f>
        <v/>
      </c>
      <c r="F4698" t="str">
        <f>IFERROR(__xludf.DUMMYFUNCTION("""COMPUTED_VALUE"""),"")</f>
        <v/>
      </c>
      <c r="G4698" t="str">
        <f>IFERROR(__xludf.DUMMYFUNCTION("""COMPUTED_VALUE"""),"")</f>
        <v/>
      </c>
      <c r="H4698" s="2" t="str">
        <f>IFERROR(__xludf.DUMMYFUNCTION("""COMPUTED_VALUE"""),"")</f>
        <v/>
      </c>
      <c r="I4698" s="2" t="str">
        <f>IFERROR(__xludf.DUMMYFUNCTION("""COMPUTED_VALUE"""),"")</f>
        <v/>
      </c>
      <c r="J4698" s="2">
        <f>IFERROR(__xludf.DUMMYFUNCTION("""COMPUTED_VALUE"""),0.0)</f>
        <v>0</v>
      </c>
      <c r="K4698" s="5" t="str">
        <f>IFERROR(__xludf.DUMMYFUNCTION("""COMPUTED_VALUE"""),"")</f>
        <v/>
      </c>
      <c r="L4698" t="str">
        <f>IFERROR(__xludf.DUMMYFUNCTION("""COMPUTED_VALUE"""),"")</f>
        <v/>
      </c>
      <c r="M4698" t="str">
        <f>IFERROR(__xludf.DUMMYFUNCTION("""COMPUTED_VALUE"""),"")</f>
        <v/>
      </c>
      <c r="N4698" t="str">
        <f>IFERROR(__xludf.DUMMYFUNCTION("""COMPUTED_VALUE"""),"")</f>
        <v/>
      </c>
      <c r="O4698" t="str">
        <f>IFERROR(__xludf.DUMMYFUNCTION("""COMPUTED_VALUE"""),"")</f>
        <v/>
      </c>
      <c r="P4698" t="str">
        <f>IFERROR(__xludf.DUMMYFUNCTION("""COMPUTED_VALUE"""),"ID ")</f>
        <v>ID </v>
      </c>
    </row>
    <row r="4699">
      <c r="A4699" s="6" t="str">
        <f>IFERROR(__xludf.DUMMYFUNCTION("""COMPUTED_VALUE"""),"")</f>
        <v/>
      </c>
      <c r="C4699" t="str">
        <f>IFERROR(__xludf.DUMMYFUNCTION("""COMPUTED_VALUE"""),"")</f>
        <v/>
      </c>
      <c r="D4699" t="str">
        <f>IFERROR(__xludf.DUMMYFUNCTION("""COMPUTED_VALUE"""),"")</f>
        <v/>
      </c>
      <c r="E4699" t="str">
        <f>IFERROR(__xludf.DUMMYFUNCTION("""COMPUTED_VALUE"""),"")</f>
        <v/>
      </c>
      <c r="F4699" t="str">
        <f>IFERROR(__xludf.DUMMYFUNCTION("""COMPUTED_VALUE"""),"")</f>
        <v/>
      </c>
      <c r="G4699" t="str">
        <f>IFERROR(__xludf.DUMMYFUNCTION("""COMPUTED_VALUE"""),"")</f>
        <v/>
      </c>
      <c r="H4699" s="2" t="str">
        <f>IFERROR(__xludf.DUMMYFUNCTION("""COMPUTED_VALUE"""),"")</f>
        <v/>
      </c>
      <c r="I4699" s="2" t="str">
        <f>IFERROR(__xludf.DUMMYFUNCTION("""COMPUTED_VALUE"""),"")</f>
        <v/>
      </c>
      <c r="J4699" s="2">
        <f>IFERROR(__xludf.DUMMYFUNCTION("""COMPUTED_VALUE"""),0.0)</f>
        <v>0</v>
      </c>
      <c r="K4699" s="5" t="str">
        <f>IFERROR(__xludf.DUMMYFUNCTION("""COMPUTED_VALUE"""),"")</f>
        <v/>
      </c>
      <c r="L4699" t="str">
        <f>IFERROR(__xludf.DUMMYFUNCTION("""COMPUTED_VALUE"""),"")</f>
        <v/>
      </c>
      <c r="M4699" t="str">
        <f>IFERROR(__xludf.DUMMYFUNCTION("""COMPUTED_VALUE"""),"")</f>
        <v/>
      </c>
      <c r="N4699" t="str">
        <f>IFERROR(__xludf.DUMMYFUNCTION("""COMPUTED_VALUE"""),"")</f>
        <v/>
      </c>
      <c r="O4699" t="str">
        <f>IFERROR(__xludf.DUMMYFUNCTION("""COMPUTED_VALUE"""),"")</f>
        <v/>
      </c>
      <c r="P4699" t="str">
        <f>IFERROR(__xludf.DUMMYFUNCTION("""COMPUTED_VALUE"""),"ID ")</f>
        <v>ID </v>
      </c>
    </row>
    <row r="4700">
      <c r="A4700" s="6" t="str">
        <f>IFERROR(__xludf.DUMMYFUNCTION("""COMPUTED_VALUE"""),"")</f>
        <v/>
      </c>
      <c r="C4700" t="str">
        <f>IFERROR(__xludf.DUMMYFUNCTION("""COMPUTED_VALUE"""),"")</f>
        <v/>
      </c>
      <c r="D4700" t="str">
        <f>IFERROR(__xludf.DUMMYFUNCTION("""COMPUTED_VALUE"""),"")</f>
        <v/>
      </c>
      <c r="E4700" t="str">
        <f>IFERROR(__xludf.DUMMYFUNCTION("""COMPUTED_VALUE"""),"")</f>
        <v/>
      </c>
      <c r="F4700" t="str">
        <f>IFERROR(__xludf.DUMMYFUNCTION("""COMPUTED_VALUE"""),"")</f>
        <v/>
      </c>
      <c r="G4700" t="str">
        <f>IFERROR(__xludf.DUMMYFUNCTION("""COMPUTED_VALUE"""),"")</f>
        <v/>
      </c>
      <c r="H4700" s="2" t="str">
        <f>IFERROR(__xludf.DUMMYFUNCTION("""COMPUTED_VALUE"""),"")</f>
        <v/>
      </c>
      <c r="I4700" s="2" t="str">
        <f>IFERROR(__xludf.DUMMYFUNCTION("""COMPUTED_VALUE"""),"")</f>
        <v/>
      </c>
      <c r="J4700" s="2">
        <f>IFERROR(__xludf.DUMMYFUNCTION("""COMPUTED_VALUE"""),0.0)</f>
        <v>0</v>
      </c>
      <c r="K4700" s="5" t="str">
        <f>IFERROR(__xludf.DUMMYFUNCTION("""COMPUTED_VALUE"""),"")</f>
        <v/>
      </c>
      <c r="L4700" t="str">
        <f>IFERROR(__xludf.DUMMYFUNCTION("""COMPUTED_VALUE"""),"")</f>
        <v/>
      </c>
      <c r="M4700" t="str">
        <f>IFERROR(__xludf.DUMMYFUNCTION("""COMPUTED_VALUE"""),"")</f>
        <v/>
      </c>
      <c r="N4700" t="str">
        <f>IFERROR(__xludf.DUMMYFUNCTION("""COMPUTED_VALUE"""),"")</f>
        <v/>
      </c>
      <c r="O4700" t="str">
        <f>IFERROR(__xludf.DUMMYFUNCTION("""COMPUTED_VALUE"""),"")</f>
        <v/>
      </c>
      <c r="P4700" t="str">
        <f>IFERROR(__xludf.DUMMYFUNCTION("""COMPUTED_VALUE"""),"ID ")</f>
        <v>ID </v>
      </c>
    </row>
    <row r="4701">
      <c r="A4701" s="6" t="str">
        <f>IFERROR(__xludf.DUMMYFUNCTION("""COMPUTED_VALUE"""),"")</f>
        <v/>
      </c>
      <c r="C4701" t="str">
        <f>IFERROR(__xludf.DUMMYFUNCTION("""COMPUTED_VALUE"""),"")</f>
        <v/>
      </c>
      <c r="D4701" t="str">
        <f>IFERROR(__xludf.DUMMYFUNCTION("""COMPUTED_VALUE"""),"")</f>
        <v/>
      </c>
      <c r="E4701" t="str">
        <f>IFERROR(__xludf.DUMMYFUNCTION("""COMPUTED_VALUE"""),"")</f>
        <v/>
      </c>
      <c r="F4701" t="str">
        <f>IFERROR(__xludf.DUMMYFUNCTION("""COMPUTED_VALUE"""),"")</f>
        <v/>
      </c>
      <c r="G4701" t="str">
        <f>IFERROR(__xludf.DUMMYFUNCTION("""COMPUTED_VALUE"""),"")</f>
        <v/>
      </c>
      <c r="H4701" s="2" t="str">
        <f>IFERROR(__xludf.DUMMYFUNCTION("""COMPUTED_VALUE"""),"")</f>
        <v/>
      </c>
      <c r="I4701" s="2" t="str">
        <f>IFERROR(__xludf.DUMMYFUNCTION("""COMPUTED_VALUE"""),"")</f>
        <v/>
      </c>
      <c r="J4701" s="2">
        <f>IFERROR(__xludf.DUMMYFUNCTION("""COMPUTED_VALUE"""),0.0)</f>
        <v>0</v>
      </c>
      <c r="K4701" s="5" t="str">
        <f>IFERROR(__xludf.DUMMYFUNCTION("""COMPUTED_VALUE"""),"")</f>
        <v/>
      </c>
      <c r="L4701" t="str">
        <f>IFERROR(__xludf.DUMMYFUNCTION("""COMPUTED_VALUE"""),"")</f>
        <v/>
      </c>
      <c r="M4701" t="str">
        <f>IFERROR(__xludf.DUMMYFUNCTION("""COMPUTED_VALUE"""),"")</f>
        <v/>
      </c>
      <c r="N4701" t="str">
        <f>IFERROR(__xludf.DUMMYFUNCTION("""COMPUTED_VALUE"""),"")</f>
        <v/>
      </c>
      <c r="O4701" t="str">
        <f>IFERROR(__xludf.DUMMYFUNCTION("""COMPUTED_VALUE"""),"")</f>
        <v/>
      </c>
      <c r="P4701" t="str">
        <f>IFERROR(__xludf.DUMMYFUNCTION("""COMPUTED_VALUE"""),"ID ")</f>
        <v>ID </v>
      </c>
    </row>
    <row r="4702">
      <c r="A4702" s="6" t="str">
        <f>IFERROR(__xludf.DUMMYFUNCTION("""COMPUTED_VALUE"""),"")</f>
        <v/>
      </c>
      <c r="C4702" t="str">
        <f>IFERROR(__xludf.DUMMYFUNCTION("""COMPUTED_VALUE"""),"")</f>
        <v/>
      </c>
      <c r="D4702" t="str">
        <f>IFERROR(__xludf.DUMMYFUNCTION("""COMPUTED_VALUE"""),"")</f>
        <v/>
      </c>
      <c r="E4702" t="str">
        <f>IFERROR(__xludf.DUMMYFUNCTION("""COMPUTED_VALUE"""),"")</f>
        <v/>
      </c>
      <c r="F4702" t="str">
        <f>IFERROR(__xludf.DUMMYFUNCTION("""COMPUTED_VALUE"""),"")</f>
        <v/>
      </c>
      <c r="G4702" t="str">
        <f>IFERROR(__xludf.DUMMYFUNCTION("""COMPUTED_VALUE"""),"")</f>
        <v/>
      </c>
      <c r="H4702" s="2" t="str">
        <f>IFERROR(__xludf.DUMMYFUNCTION("""COMPUTED_VALUE"""),"")</f>
        <v/>
      </c>
      <c r="I4702" s="2" t="str">
        <f>IFERROR(__xludf.DUMMYFUNCTION("""COMPUTED_VALUE"""),"")</f>
        <v/>
      </c>
      <c r="J4702" s="2">
        <f>IFERROR(__xludf.DUMMYFUNCTION("""COMPUTED_VALUE"""),0.0)</f>
        <v>0</v>
      </c>
      <c r="K4702" s="5" t="str">
        <f>IFERROR(__xludf.DUMMYFUNCTION("""COMPUTED_VALUE"""),"")</f>
        <v/>
      </c>
      <c r="L4702" t="str">
        <f>IFERROR(__xludf.DUMMYFUNCTION("""COMPUTED_VALUE"""),"")</f>
        <v/>
      </c>
      <c r="M4702" t="str">
        <f>IFERROR(__xludf.DUMMYFUNCTION("""COMPUTED_VALUE"""),"")</f>
        <v/>
      </c>
      <c r="N4702" t="str">
        <f>IFERROR(__xludf.DUMMYFUNCTION("""COMPUTED_VALUE"""),"")</f>
        <v/>
      </c>
      <c r="O4702" t="str">
        <f>IFERROR(__xludf.DUMMYFUNCTION("""COMPUTED_VALUE"""),"")</f>
        <v/>
      </c>
      <c r="P4702" t="str">
        <f>IFERROR(__xludf.DUMMYFUNCTION("""COMPUTED_VALUE"""),"ID ")</f>
        <v>ID </v>
      </c>
    </row>
    <row r="4703">
      <c r="A4703" s="6" t="str">
        <f>IFERROR(__xludf.DUMMYFUNCTION("""COMPUTED_VALUE"""),"")</f>
        <v/>
      </c>
      <c r="C4703" t="str">
        <f>IFERROR(__xludf.DUMMYFUNCTION("""COMPUTED_VALUE"""),"")</f>
        <v/>
      </c>
      <c r="D4703" t="str">
        <f>IFERROR(__xludf.DUMMYFUNCTION("""COMPUTED_VALUE"""),"")</f>
        <v/>
      </c>
      <c r="E4703" t="str">
        <f>IFERROR(__xludf.DUMMYFUNCTION("""COMPUTED_VALUE"""),"")</f>
        <v/>
      </c>
      <c r="F4703" t="str">
        <f>IFERROR(__xludf.DUMMYFUNCTION("""COMPUTED_VALUE"""),"")</f>
        <v/>
      </c>
      <c r="G4703" t="str">
        <f>IFERROR(__xludf.DUMMYFUNCTION("""COMPUTED_VALUE"""),"")</f>
        <v/>
      </c>
      <c r="H4703" s="2" t="str">
        <f>IFERROR(__xludf.DUMMYFUNCTION("""COMPUTED_VALUE"""),"")</f>
        <v/>
      </c>
      <c r="I4703" s="2" t="str">
        <f>IFERROR(__xludf.DUMMYFUNCTION("""COMPUTED_VALUE"""),"")</f>
        <v/>
      </c>
      <c r="J4703" s="2">
        <f>IFERROR(__xludf.DUMMYFUNCTION("""COMPUTED_VALUE"""),0.0)</f>
        <v>0</v>
      </c>
      <c r="K4703" s="5" t="str">
        <f>IFERROR(__xludf.DUMMYFUNCTION("""COMPUTED_VALUE"""),"")</f>
        <v/>
      </c>
      <c r="L4703" t="str">
        <f>IFERROR(__xludf.DUMMYFUNCTION("""COMPUTED_VALUE"""),"")</f>
        <v/>
      </c>
      <c r="M4703" t="str">
        <f>IFERROR(__xludf.DUMMYFUNCTION("""COMPUTED_VALUE"""),"")</f>
        <v/>
      </c>
      <c r="N4703" t="str">
        <f>IFERROR(__xludf.DUMMYFUNCTION("""COMPUTED_VALUE"""),"")</f>
        <v/>
      </c>
      <c r="O4703" t="str">
        <f>IFERROR(__xludf.DUMMYFUNCTION("""COMPUTED_VALUE"""),"")</f>
        <v/>
      </c>
      <c r="P4703" t="str">
        <f>IFERROR(__xludf.DUMMYFUNCTION("""COMPUTED_VALUE"""),"ID ")</f>
        <v>ID </v>
      </c>
    </row>
    <row r="4704">
      <c r="A4704" s="6" t="str">
        <f>IFERROR(__xludf.DUMMYFUNCTION("""COMPUTED_VALUE"""),"")</f>
        <v/>
      </c>
      <c r="C4704" t="str">
        <f>IFERROR(__xludf.DUMMYFUNCTION("""COMPUTED_VALUE"""),"")</f>
        <v/>
      </c>
      <c r="D4704" t="str">
        <f>IFERROR(__xludf.DUMMYFUNCTION("""COMPUTED_VALUE"""),"")</f>
        <v/>
      </c>
      <c r="E4704" t="str">
        <f>IFERROR(__xludf.DUMMYFUNCTION("""COMPUTED_VALUE"""),"")</f>
        <v/>
      </c>
      <c r="F4704" t="str">
        <f>IFERROR(__xludf.DUMMYFUNCTION("""COMPUTED_VALUE"""),"")</f>
        <v/>
      </c>
      <c r="G4704" t="str">
        <f>IFERROR(__xludf.DUMMYFUNCTION("""COMPUTED_VALUE"""),"")</f>
        <v/>
      </c>
      <c r="H4704" s="2" t="str">
        <f>IFERROR(__xludf.DUMMYFUNCTION("""COMPUTED_VALUE"""),"")</f>
        <v/>
      </c>
      <c r="I4704" s="2" t="str">
        <f>IFERROR(__xludf.DUMMYFUNCTION("""COMPUTED_VALUE"""),"")</f>
        <v/>
      </c>
      <c r="J4704" s="2">
        <f>IFERROR(__xludf.DUMMYFUNCTION("""COMPUTED_VALUE"""),0.0)</f>
        <v>0</v>
      </c>
      <c r="K4704" s="5" t="str">
        <f>IFERROR(__xludf.DUMMYFUNCTION("""COMPUTED_VALUE"""),"")</f>
        <v/>
      </c>
      <c r="L4704" t="str">
        <f>IFERROR(__xludf.DUMMYFUNCTION("""COMPUTED_VALUE"""),"")</f>
        <v/>
      </c>
      <c r="M4704" t="str">
        <f>IFERROR(__xludf.DUMMYFUNCTION("""COMPUTED_VALUE"""),"")</f>
        <v/>
      </c>
      <c r="N4704" t="str">
        <f>IFERROR(__xludf.DUMMYFUNCTION("""COMPUTED_VALUE"""),"")</f>
        <v/>
      </c>
      <c r="O4704" t="str">
        <f>IFERROR(__xludf.DUMMYFUNCTION("""COMPUTED_VALUE"""),"")</f>
        <v/>
      </c>
      <c r="P4704" t="str">
        <f>IFERROR(__xludf.DUMMYFUNCTION("""COMPUTED_VALUE"""),"ID ")</f>
        <v>ID </v>
      </c>
    </row>
    <row r="4705">
      <c r="A4705" s="6" t="str">
        <f>IFERROR(__xludf.DUMMYFUNCTION("""COMPUTED_VALUE"""),"")</f>
        <v/>
      </c>
      <c r="C4705" t="str">
        <f>IFERROR(__xludf.DUMMYFUNCTION("""COMPUTED_VALUE"""),"")</f>
        <v/>
      </c>
      <c r="D4705" t="str">
        <f>IFERROR(__xludf.DUMMYFUNCTION("""COMPUTED_VALUE"""),"")</f>
        <v/>
      </c>
      <c r="E4705" t="str">
        <f>IFERROR(__xludf.DUMMYFUNCTION("""COMPUTED_VALUE"""),"")</f>
        <v/>
      </c>
      <c r="F4705" t="str">
        <f>IFERROR(__xludf.DUMMYFUNCTION("""COMPUTED_VALUE"""),"")</f>
        <v/>
      </c>
      <c r="G4705" t="str">
        <f>IFERROR(__xludf.DUMMYFUNCTION("""COMPUTED_VALUE"""),"")</f>
        <v/>
      </c>
      <c r="H4705" s="2" t="str">
        <f>IFERROR(__xludf.DUMMYFUNCTION("""COMPUTED_VALUE"""),"")</f>
        <v/>
      </c>
      <c r="I4705" s="2" t="str">
        <f>IFERROR(__xludf.DUMMYFUNCTION("""COMPUTED_VALUE"""),"")</f>
        <v/>
      </c>
      <c r="J4705" s="2">
        <f>IFERROR(__xludf.DUMMYFUNCTION("""COMPUTED_VALUE"""),0.0)</f>
        <v>0</v>
      </c>
      <c r="K4705" s="5" t="str">
        <f>IFERROR(__xludf.DUMMYFUNCTION("""COMPUTED_VALUE"""),"")</f>
        <v/>
      </c>
      <c r="L4705" t="str">
        <f>IFERROR(__xludf.DUMMYFUNCTION("""COMPUTED_VALUE"""),"")</f>
        <v/>
      </c>
      <c r="M4705" t="str">
        <f>IFERROR(__xludf.DUMMYFUNCTION("""COMPUTED_VALUE"""),"")</f>
        <v/>
      </c>
      <c r="N4705" t="str">
        <f>IFERROR(__xludf.DUMMYFUNCTION("""COMPUTED_VALUE"""),"")</f>
        <v/>
      </c>
      <c r="O4705" t="str">
        <f>IFERROR(__xludf.DUMMYFUNCTION("""COMPUTED_VALUE"""),"")</f>
        <v/>
      </c>
      <c r="P4705" t="str">
        <f>IFERROR(__xludf.DUMMYFUNCTION("""COMPUTED_VALUE"""),"ID ")</f>
        <v>ID </v>
      </c>
    </row>
    <row r="4706">
      <c r="A4706" s="6" t="str">
        <f>IFERROR(__xludf.DUMMYFUNCTION("""COMPUTED_VALUE"""),"")</f>
        <v/>
      </c>
      <c r="C4706" t="str">
        <f>IFERROR(__xludf.DUMMYFUNCTION("""COMPUTED_VALUE"""),"")</f>
        <v/>
      </c>
      <c r="D4706" t="str">
        <f>IFERROR(__xludf.DUMMYFUNCTION("""COMPUTED_VALUE"""),"")</f>
        <v/>
      </c>
      <c r="E4706" t="str">
        <f>IFERROR(__xludf.DUMMYFUNCTION("""COMPUTED_VALUE"""),"")</f>
        <v/>
      </c>
      <c r="F4706" t="str">
        <f>IFERROR(__xludf.DUMMYFUNCTION("""COMPUTED_VALUE"""),"")</f>
        <v/>
      </c>
      <c r="G4706" t="str">
        <f>IFERROR(__xludf.DUMMYFUNCTION("""COMPUTED_VALUE"""),"")</f>
        <v/>
      </c>
      <c r="H4706" s="2" t="str">
        <f>IFERROR(__xludf.DUMMYFUNCTION("""COMPUTED_VALUE"""),"")</f>
        <v/>
      </c>
      <c r="I4706" s="2" t="str">
        <f>IFERROR(__xludf.DUMMYFUNCTION("""COMPUTED_VALUE"""),"")</f>
        <v/>
      </c>
      <c r="J4706" s="2">
        <f>IFERROR(__xludf.DUMMYFUNCTION("""COMPUTED_VALUE"""),0.0)</f>
        <v>0</v>
      </c>
      <c r="K4706" s="5" t="str">
        <f>IFERROR(__xludf.DUMMYFUNCTION("""COMPUTED_VALUE"""),"")</f>
        <v/>
      </c>
      <c r="L4706" t="str">
        <f>IFERROR(__xludf.DUMMYFUNCTION("""COMPUTED_VALUE"""),"")</f>
        <v/>
      </c>
      <c r="M4706" t="str">
        <f>IFERROR(__xludf.DUMMYFUNCTION("""COMPUTED_VALUE"""),"")</f>
        <v/>
      </c>
      <c r="N4706" t="str">
        <f>IFERROR(__xludf.DUMMYFUNCTION("""COMPUTED_VALUE"""),"")</f>
        <v/>
      </c>
      <c r="O4706" t="str">
        <f>IFERROR(__xludf.DUMMYFUNCTION("""COMPUTED_VALUE"""),"")</f>
        <v/>
      </c>
      <c r="P4706" t="str">
        <f>IFERROR(__xludf.DUMMYFUNCTION("""COMPUTED_VALUE"""),"ID ")</f>
        <v>ID </v>
      </c>
    </row>
    <row r="4707">
      <c r="A4707" s="6" t="str">
        <f>IFERROR(__xludf.DUMMYFUNCTION("""COMPUTED_VALUE"""),"")</f>
        <v/>
      </c>
      <c r="C4707" t="str">
        <f>IFERROR(__xludf.DUMMYFUNCTION("""COMPUTED_VALUE"""),"")</f>
        <v/>
      </c>
      <c r="D4707" t="str">
        <f>IFERROR(__xludf.DUMMYFUNCTION("""COMPUTED_VALUE"""),"")</f>
        <v/>
      </c>
      <c r="E4707" t="str">
        <f>IFERROR(__xludf.DUMMYFUNCTION("""COMPUTED_VALUE"""),"")</f>
        <v/>
      </c>
      <c r="F4707" t="str">
        <f>IFERROR(__xludf.DUMMYFUNCTION("""COMPUTED_VALUE"""),"")</f>
        <v/>
      </c>
      <c r="G4707" t="str">
        <f>IFERROR(__xludf.DUMMYFUNCTION("""COMPUTED_VALUE"""),"")</f>
        <v/>
      </c>
      <c r="H4707" s="2" t="str">
        <f>IFERROR(__xludf.DUMMYFUNCTION("""COMPUTED_VALUE"""),"")</f>
        <v/>
      </c>
      <c r="I4707" s="2" t="str">
        <f>IFERROR(__xludf.DUMMYFUNCTION("""COMPUTED_VALUE"""),"")</f>
        <v/>
      </c>
      <c r="J4707" s="2">
        <f>IFERROR(__xludf.DUMMYFUNCTION("""COMPUTED_VALUE"""),0.0)</f>
        <v>0</v>
      </c>
      <c r="K4707" s="5" t="str">
        <f>IFERROR(__xludf.DUMMYFUNCTION("""COMPUTED_VALUE"""),"")</f>
        <v/>
      </c>
      <c r="L4707" t="str">
        <f>IFERROR(__xludf.DUMMYFUNCTION("""COMPUTED_VALUE"""),"")</f>
        <v/>
      </c>
      <c r="M4707" t="str">
        <f>IFERROR(__xludf.DUMMYFUNCTION("""COMPUTED_VALUE"""),"")</f>
        <v/>
      </c>
      <c r="N4707" t="str">
        <f>IFERROR(__xludf.DUMMYFUNCTION("""COMPUTED_VALUE"""),"")</f>
        <v/>
      </c>
      <c r="O4707" t="str">
        <f>IFERROR(__xludf.DUMMYFUNCTION("""COMPUTED_VALUE"""),"")</f>
        <v/>
      </c>
      <c r="P4707" t="str">
        <f>IFERROR(__xludf.DUMMYFUNCTION("""COMPUTED_VALUE"""),"ID ")</f>
        <v>ID </v>
      </c>
    </row>
    <row r="4708">
      <c r="A4708" s="6" t="str">
        <f>IFERROR(__xludf.DUMMYFUNCTION("""COMPUTED_VALUE"""),"")</f>
        <v/>
      </c>
      <c r="C4708" t="str">
        <f>IFERROR(__xludf.DUMMYFUNCTION("""COMPUTED_VALUE"""),"")</f>
        <v/>
      </c>
      <c r="D4708" t="str">
        <f>IFERROR(__xludf.DUMMYFUNCTION("""COMPUTED_VALUE"""),"")</f>
        <v/>
      </c>
      <c r="E4708" t="str">
        <f>IFERROR(__xludf.DUMMYFUNCTION("""COMPUTED_VALUE"""),"")</f>
        <v/>
      </c>
      <c r="F4708" t="str">
        <f>IFERROR(__xludf.DUMMYFUNCTION("""COMPUTED_VALUE"""),"")</f>
        <v/>
      </c>
      <c r="G4708" t="str">
        <f>IFERROR(__xludf.DUMMYFUNCTION("""COMPUTED_VALUE"""),"")</f>
        <v/>
      </c>
      <c r="H4708" s="2" t="str">
        <f>IFERROR(__xludf.DUMMYFUNCTION("""COMPUTED_VALUE"""),"")</f>
        <v/>
      </c>
      <c r="I4708" s="2" t="str">
        <f>IFERROR(__xludf.DUMMYFUNCTION("""COMPUTED_VALUE"""),"")</f>
        <v/>
      </c>
      <c r="J4708" s="2">
        <f>IFERROR(__xludf.DUMMYFUNCTION("""COMPUTED_VALUE"""),0.0)</f>
        <v>0</v>
      </c>
      <c r="K4708" s="5" t="str">
        <f>IFERROR(__xludf.DUMMYFUNCTION("""COMPUTED_VALUE"""),"")</f>
        <v/>
      </c>
      <c r="L4708" t="str">
        <f>IFERROR(__xludf.DUMMYFUNCTION("""COMPUTED_VALUE"""),"")</f>
        <v/>
      </c>
      <c r="M4708" t="str">
        <f>IFERROR(__xludf.DUMMYFUNCTION("""COMPUTED_VALUE"""),"")</f>
        <v/>
      </c>
      <c r="N4708" t="str">
        <f>IFERROR(__xludf.DUMMYFUNCTION("""COMPUTED_VALUE"""),"")</f>
        <v/>
      </c>
      <c r="O4708" t="str">
        <f>IFERROR(__xludf.DUMMYFUNCTION("""COMPUTED_VALUE"""),"")</f>
        <v/>
      </c>
      <c r="P4708" t="str">
        <f>IFERROR(__xludf.DUMMYFUNCTION("""COMPUTED_VALUE"""),"ID ")</f>
        <v>ID </v>
      </c>
    </row>
    <row r="4709">
      <c r="A4709" s="6" t="str">
        <f>IFERROR(__xludf.DUMMYFUNCTION("""COMPUTED_VALUE"""),"")</f>
        <v/>
      </c>
      <c r="C4709" t="str">
        <f>IFERROR(__xludf.DUMMYFUNCTION("""COMPUTED_VALUE"""),"")</f>
        <v/>
      </c>
      <c r="D4709" t="str">
        <f>IFERROR(__xludf.DUMMYFUNCTION("""COMPUTED_VALUE"""),"")</f>
        <v/>
      </c>
      <c r="E4709" t="str">
        <f>IFERROR(__xludf.DUMMYFUNCTION("""COMPUTED_VALUE"""),"")</f>
        <v/>
      </c>
      <c r="F4709" t="str">
        <f>IFERROR(__xludf.DUMMYFUNCTION("""COMPUTED_VALUE"""),"")</f>
        <v/>
      </c>
      <c r="G4709" t="str">
        <f>IFERROR(__xludf.DUMMYFUNCTION("""COMPUTED_VALUE"""),"")</f>
        <v/>
      </c>
      <c r="H4709" s="2" t="str">
        <f>IFERROR(__xludf.DUMMYFUNCTION("""COMPUTED_VALUE"""),"")</f>
        <v/>
      </c>
      <c r="I4709" s="2" t="str">
        <f>IFERROR(__xludf.DUMMYFUNCTION("""COMPUTED_VALUE"""),"")</f>
        <v/>
      </c>
      <c r="J4709" s="2">
        <f>IFERROR(__xludf.DUMMYFUNCTION("""COMPUTED_VALUE"""),0.0)</f>
        <v>0</v>
      </c>
      <c r="K4709" s="5" t="str">
        <f>IFERROR(__xludf.DUMMYFUNCTION("""COMPUTED_VALUE"""),"")</f>
        <v/>
      </c>
      <c r="L4709" t="str">
        <f>IFERROR(__xludf.DUMMYFUNCTION("""COMPUTED_VALUE"""),"")</f>
        <v/>
      </c>
      <c r="M4709" t="str">
        <f>IFERROR(__xludf.DUMMYFUNCTION("""COMPUTED_VALUE"""),"")</f>
        <v/>
      </c>
      <c r="N4709" t="str">
        <f>IFERROR(__xludf.DUMMYFUNCTION("""COMPUTED_VALUE"""),"")</f>
        <v/>
      </c>
      <c r="O4709" t="str">
        <f>IFERROR(__xludf.DUMMYFUNCTION("""COMPUTED_VALUE"""),"")</f>
        <v/>
      </c>
      <c r="P4709" t="str">
        <f>IFERROR(__xludf.DUMMYFUNCTION("""COMPUTED_VALUE"""),"ID ")</f>
        <v>ID </v>
      </c>
    </row>
    <row r="4710">
      <c r="A4710" s="6" t="str">
        <f>IFERROR(__xludf.DUMMYFUNCTION("""COMPUTED_VALUE"""),"")</f>
        <v/>
      </c>
      <c r="C4710" t="str">
        <f>IFERROR(__xludf.DUMMYFUNCTION("""COMPUTED_VALUE"""),"")</f>
        <v/>
      </c>
      <c r="D4710" t="str">
        <f>IFERROR(__xludf.DUMMYFUNCTION("""COMPUTED_VALUE"""),"")</f>
        <v/>
      </c>
      <c r="E4710" t="str">
        <f>IFERROR(__xludf.DUMMYFUNCTION("""COMPUTED_VALUE"""),"")</f>
        <v/>
      </c>
      <c r="F4710" t="str">
        <f>IFERROR(__xludf.DUMMYFUNCTION("""COMPUTED_VALUE"""),"")</f>
        <v/>
      </c>
      <c r="G4710" t="str">
        <f>IFERROR(__xludf.DUMMYFUNCTION("""COMPUTED_VALUE"""),"")</f>
        <v/>
      </c>
      <c r="H4710" s="2" t="str">
        <f>IFERROR(__xludf.DUMMYFUNCTION("""COMPUTED_VALUE"""),"")</f>
        <v/>
      </c>
      <c r="I4710" s="2" t="str">
        <f>IFERROR(__xludf.DUMMYFUNCTION("""COMPUTED_VALUE"""),"")</f>
        <v/>
      </c>
      <c r="J4710" s="2">
        <f>IFERROR(__xludf.DUMMYFUNCTION("""COMPUTED_VALUE"""),0.0)</f>
        <v>0</v>
      </c>
      <c r="K4710" s="5" t="str">
        <f>IFERROR(__xludf.DUMMYFUNCTION("""COMPUTED_VALUE"""),"")</f>
        <v/>
      </c>
      <c r="L4710" t="str">
        <f>IFERROR(__xludf.DUMMYFUNCTION("""COMPUTED_VALUE"""),"")</f>
        <v/>
      </c>
      <c r="M4710" t="str">
        <f>IFERROR(__xludf.DUMMYFUNCTION("""COMPUTED_VALUE"""),"")</f>
        <v/>
      </c>
      <c r="N4710" t="str">
        <f>IFERROR(__xludf.DUMMYFUNCTION("""COMPUTED_VALUE"""),"")</f>
        <v/>
      </c>
      <c r="O4710" t="str">
        <f>IFERROR(__xludf.DUMMYFUNCTION("""COMPUTED_VALUE"""),"")</f>
        <v/>
      </c>
      <c r="P4710" t="str">
        <f>IFERROR(__xludf.DUMMYFUNCTION("""COMPUTED_VALUE"""),"ID ")</f>
        <v>ID </v>
      </c>
    </row>
    <row r="4711">
      <c r="A4711" s="6" t="str">
        <f>IFERROR(__xludf.DUMMYFUNCTION("""COMPUTED_VALUE"""),"")</f>
        <v/>
      </c>
      <c r="C4711" t="str">
        <f>IFERROR(__xludf.DUMMYFUNCTION("""COMPUTED_VALUE"""),"")</f>
        <v/>
      </c>
      <c r="D4711" t="str">
        <f>IFERROR(__xludf.DUMMYFUNCTION("""COMPUTED_VALUE"""),"")</f>
        <v/>
      </c>
      <c r="E4711" t="str">
        <f>IFERROR(__xludf.DUMMYFUNCTION("""COMPUTED_VALUE"""),"")</f>
        <v/>
      </c>
      <c r="F4711" t="str">
        <f>IFERROR(__xludf.DUMMYFUNCTION("""COMPUTED_VALUE"""),"")</f>
        <v/>
      </c>
      <c r="G4711" t="str">
        <f>IFERROR(__xludf.DUMMYFUNCTION("""COMPUTED_VALUE"""),"")</f>
        <v/>
      </c>
      <c r="H4711" s="2" t="str">
        <f>IFERROR(__xludf.DUMMYFUNCTION("""COMPUTED_VALUE"""),"")</f>
        <v/>
      </c>
      <c r="I4711" s="2" t="str">
        <f>IFERROR(__xludf.DUMMYFUNCTION("""COMPUTED_VALUE"""),"")</f>
        <v/>
      </c>
      <c r="J4711" s="2">
        <f>IFERROR(__xludf.DUMMYFUNCTION("""COMPUTED_VALUE"""),0.0)</f>
        <v>0</v>
      </c>
      <c r="K4711" s="5" t="str">
        <f>IFERROR(__xludf.DUMMYFUNCTION("""COMPUTED_VALUE"""),"")</f>
        <v/>
      </c>
      <c r="L4711" t="str">
        <f>IFERROR(__xludf.DUMMYFUNCTION("""COMPUTED_VALUE"""),"")</f>
        <v/>
      </c>
      <c r="M4711" t="str">
        <f>IFERROR(__xludf.DUMMYFUNCTION("""COMPUTED_VALUE"""),"")</f>
        <v/>
      </c>
      <c r="N4711" t="str">
        <f>IFERROR(__xludf.DUMMYFUNCTION("""COMPUTED_VALUE"""),"")</f>
        <v/>
      </c>
      <c r="O4711" t="str">
        <f>IFERROR(__xludf.DUMMYFUNCTION("""COMPUTED_VALUE"""),"")</f>
        <v/>
      </c>
      <c r="P4711" t="str">
        <f>IFERROR(__xludf.DUMMYFUNCTION("""COMPUTED_VALUE"""),"ID ")</f>
        <v>ID </v>
      </c>
    </row>
    <row r="4712">
      <c r="A4712" s="6" t="str">
        <f>IFERROR(__xludf.DUMMYFUNCTION("""COMPUTED_VALUE"""),"")</f>
        <v/>
      </c>
      <c r="C4712" t="str">
        <f>IFERROR(__xludf.DUMMYFUNCTION("""COMPUTED_VALUE"""),"")</f>
        <v/>
      </c>
      <c r="D4712" t="str">
        <f>IFERROR(__xludf.DUMMYFUNCTION("""COMPUTED_VALUE"""),"")</f>
        <v/>
      </c>
      <c r="E4712" t="str">
        <f>IFERROR(__xludf.DUMMYFUNCTION("""COMPUTED_VALUE"""),"")</f>
        <v/>
      </c>
      <c r="F4712" t="str">
        <f>IFERROR(__xludf.DUMMYFUNCTION("""COMPUTED_VALUE"""),"")</f>
        <v/>
      </c>
      <c r="G4712" t="str">
        <f>IFERROR(__xludf.DUMMYFUNCTION("""COMPUTED_VALUE"""),"")</f>
        <v/>
      </c>
      <c r="H4712" s="2" t="str">
        <f>IFERROR(__xludf.DUMMYFUNCTION("""COMPUTED_VALUE"""),"")</f>
        <v/>
      </c>
      <c r="I4712" s="2" t="str">
        <f>IFERROR(__xludf.DUMMYFUNCTION("""COMPUTED_VALUE"""),"")</f>
        <v/>
      </c>
      <c r="J4712" s="2">
        <f>IFERROR(__xludf.DUMMYFUNCTION("""COMPUTED_VALUE"""),0.0)</f>
        <v>0</v>
      </c>
      <c r="K4712" s="5" t="str">
        <f>IFERROR(__xludf.DUMMYFUNCTION("""COMPUTED_VALUE"""),"")</f>
        <v/>
      </c>
      <c r="L4712" t="str">
        <f>IFERROR(__xludf.DUMMYFUNCTION("""COMPUTED_VALUE"""),"")</f>
        <v/>
      </c>
      <c r="M4712" t="str">
        <f>IFERROR(__xludf.DUMMYFUNCTION("""COMPUTED_VALUE"""),"")</f>
        <v/>
      </c>
      <c r="N4712" t="str">
        <f>IFERROR(__xludf.DUMMYFUNCTION("""COMPUTED_VALUE"""),"")</f>
        <v/>
      </c>
      <c r="O4712" t="str">
        <f>IFERROR(__xludf.DUMMYFUNCTION("""COMPUTED_VALUE"""),"")</f>
        <v/>
      </c>
      <c r="P4712" t="str">
        <f>IFERROR(__xludf.DUMMYFUNCTION("""COMPUTED_VALUE"""),"ID ")</f>
        <v>ID </v>
      </c>
    </row>
    <row r="4713">
      <c r="A4713" s="6" t="str">
        <f>IFERROR(__xludf.DUMMYFUNCTION("""COMPUTED_VALUE"""),"")</f>
        <v/>
      </c>
      <c r="C4713" t="str">
        <f>IFERROR(__xludf.DUMMYFUNCTION("""COMPUTED_VALUE"""),"")</f>
        <v/>
      </c>
      <c r="D4713" t="str">
        <f>IFERROR(__xludf.DUMMYFUNCTION("""COMPUTED_VALUE"""),"")</f>
        <v/>
      </c>
      <c r="E4713" t="str">
        <f>IFERROR(__xludf.DUMMYFUNCTION("""COMPUTED_VALUE"""),"")</f>
        <v/>
      </c>
      <c r="F4713" t="str">
        <f>IFERROR(__xludf.DUMMYFUNCTION("""COMPUTED_VALUE"""),"")</f>
        <v/>
      </c>
      <c r="G4713" t="str">
        <f>IFERROR(__xludf.DUMMYFUNCTION("""COMPUTED_VALUE"""),"")</f>
        <v/>
      </c>
      <c r="H4713" s="2" t="str">
        <f>IFERROR(__xludf.DUMMYFUNCTION("""COMPUTED_VALUE"""),"")</f>
        <v/>
      </c>
      <c r="I4713" s="2" t="str">
        <f>IFERROR(__xludf.DUMMYFUNCTION("""COMPUTED_VALUE"""),"")</f>
        <v/>
      </c>
      <c r="J4713" s="2">
        <f>IFERROR(__xludf.DUMMYFUNCTION("""COMPUTED_VALUE"""),0.0)</f>
        <v>0</v>
      </c>
      <c r="K4713" s="5" t="str">
        <f>IFERROR(__xludf.DUMMYFUNCTION("""COMPUTED_VALUE"""),"")</f>
        <v/>
      </c>
      <c r="L4713" t="str">
        <f>IFERROR(__xludf.DUMMYFUNCTION("""COMPUTED_VALUE"""),"")</f>
        <v/>
      </c>
      <c r="M4713" t="str">
        <f>IFERROR(__xludf.DUMMYFUNCTION("""COMPUTED_VALUE"""),"")</f>
        <v/>
      </c>
      <c r="N4713" t="str">
        <f>IFERROR(__xludf.DUMMYFUNCTION("""COMPUTED_VALUE"""),"")</f>
        <v/>
      </c>
      <c r="O4713" t="str">
        <f>IFERROR(__xludf.DUMMYFUNCTION("""COMPUTED_VALUE"""),"")</f>
        <v/>
      </c>
      <c r="P4713" t="str">
        <f>IFERROR(__xludf.DUMMYFUNCTION("""COMPUTED_VALUE"""),"ID ")</f>
        <v>ID </v>
      </c>
    </row>
    <row r="4714">
      <c r="A4714" s="6" t="str">
        <f>IFERROR(__xludf.DUMMYFUNCTION("""COMPUTED_VALUE"""),"")</f>
        <v/>
      </c>
      <c r="C4714" t="str">
        <f>IFERROR(__xludf.DUMMYFUNCTION("""COMPUTED_VALUE"""),"")</f>
        <v/>
      </c>
      <c r="D4714" t="str">
        <f>IFERROR(__xludf.DUMMYFUNCTION("""COMPUTED_VALUE"""),"")</f>
        <v/>
      </c>
      <c r="E4714" t="str">
        <f>IFERROR(__xludf.DUMMYFUNCTION("""COMPUTED_VALUE"""),"")</f>
        <v/>
      </c>
      <c r="F4714" t="str">
        <f>IFERROR(__xludf.DUMMYFUNCTION("""COMPUTED_VALUE"""),"")</f>
        <v/>
      </c>
      <c r="G4714" t="str">
        <f>IFERROR(__xludf.DUMMYFUNCTION("""COMPUTED_VALUE"""),"")</f>
        <v/>
      </c>
      <c r="H4714" s="2" t="str">
        <f>IFERROR(__xludf.DUMMYFUNCTION("""COMPUTED_VALUE"""),"")</f>
        <v/>
      </c>
      <c r="I4714" s="2" t="str">
        <f>IFERROR(__xludf.DUMMYFUNCTION("""COMPUTED_VALUE"""),"")</f>
        <v/>
      </c>
      <c r="J4714" s="2">
        <f>IFERROR(__xludf.DUMMYFUNCTION("""COMPUTED_VALUE"""),0.0)</f>
        <v>0</v>
      </c>
      <c r="K4714" s="5" t="str">
        <f>IFERROR(__xludf.DUMMYFUNCTION("""COMPUTED_VALUE"""),"")</f>
        <v/>
      </c>
      <c r="L4714" t="str">
        <f>IFERROR(__xludf.DUMMYFUNCTION("""COMPUTED_VALUE"""),"")</f>
        <v/>
      </c>
      <c r="M4714" t="str">
        <f>IFERROR(__xludf.DUMMYFUNCTION("""COMPUTED_VALUE"""),"")</f>
        <v/>
      </c>
      <c r="N4714" t="str">
        <f>IFERROR(__xludf.DUMMYFUNCTION("""COMPUTED_VALUE"""),"")</f>
        <v/>
      </c>
      <c r="O4714" t="str">
        <f>IFERROR(__xludf.DUMMYFUNCTION("""COMPUTED_VALUE"""),"")</f>
        <v/>
      </c>
      <c r="P4714" t="str">
        <f>IFERROR(__xludf.DUMMYFUNCTION("""COMPUTED_VALUE"""),"ID ")</f>
        <v>ID </v>
      </c>
    </row>
    <row r="4715">
      <c r="A4715" s="6" t="str">
        <f>IFERROR(__xludf.DUMMYFUNCTION("""COMPUTED_VALUE"""),"")</f>
        <v/>
      </c>
      <c r="C4715" t="str">
        <f>IFERROR(__xludf.DUMMYFUNCTION("""COMPUTED_VALUE"""),"")</f>
        <v/>
      </c>
      <c r="D4715" t="str">
        <f>IFERROR(__xludf.DUMMYFUNCTION("""COMPUTED_VALUE"""),"")</f>
        <v/>
      </c>
      <c r="E4715" t="str">
        <f>IFERROR(__xludf.DUMMYFUNCTION("""COMPUTED_VALUE"""),"")</f>
        <v/>
      </c>
      <c r="F4715" t="str">
        <f>IFERROR(__xludf.DUMMYFUNCTION("""COMPUTED_VALUE"""),"")</f>
        <v/>
      </c>
      <c r="G4715" t="str">
        <f>IFERROR(__xludf.DUMMYFUNCTION("""COMPUTED_VALUE"""),"")</f>
        <v/>
      </c>
      <c r="H4715" s="2" t="str">
        <f>IFERROR(__xludf.DUMMYFUNCTION("""COMPUTED_VALUE"""),"")</f>
        <v/>
      </c>
      <c r="I4715" s="2" t="str">
        <f>IFERROR(__xludf.DUMMYFUNCTION("""COMPUTED_VALUE"""),"")</f>
        <v/>
      </c>
      <c r="J4715" s="2">
        <f>IFERROR(__xludf.DUMMYFUNCTION("""COMPUTED_VALUE"""),0.0)</f>
        <v>0</v>
      </c>
      <c r="K4715" s="5" t="str">
        <f>IFERROR(__xludf.DUMMYFUNCTION("""COMPUTED_VALUE"""),"")</f>
        <v/>
      </c>
      <c r="L4715" t="str">
        <f>IFERROR(__xludf.DUMMYFUNCTION("""COMPUTED_VALUE"""),"")</f>
        <v/>
      </c>
      <c r="M4715" t="str">
        <f>IFERROR(__xludf.DUMMYFUNCTION("""COMPUTED_VALUE"""),"")</f>
        <v/>
      </c>
      <c r="N4715" t="str">
        <f>IFERROR(__xludf.DUMMYFUNCTION("""COMPUTED_VALUE"""),"")</f>
        <v/>
      </c>
      <c r="O4715" t="str">
        <f>IFERROR(__xludf.DUMMYFUNCTION("""COMPUTED_VALUE"""),"")</f>
        <v/>
      </c>
      <c r="P4715" t="str">
        <f>IFERROR(__xludf.DUMMYFUNCTION("""COMPUTED_VALUE"""),"ID ")</f>
        <v>ID </v>
      </c>
    </row>
    <row r="4716">
      <c r="A4716" s="6" t="str">
        <f>IFERROR(__xludf.DUMMYFUNCTION("""COMPUTED_VALUE"""),"")</f>
        <v/>
      </c>
      <c r="C4716" t="str">
        <f>IFERROR(__xludf.DUMMYFUNCTION("""COMPUTED_VALUE"""),"")</f>
        <v/>
      </c>
      <c r="D4716" t="str">
        <f>IFERROR(__xludf.DUMMYFUNCTION("""COMPUTED_VALUE"""),"")</f>
        <v/>
      </c>
      <c r="E4716" t="str">
        <f>IFERROR(__xludf.DUMMYFUNCTION("""COMPUTED_VALUE"""),"")</f>
        <v/>
      </c>
      <c r="F4716" t="str">
        <f>IFERROR(__xludf.DUMMYFUNCTION("""COMPUTED_VALUE"""),"")</f>
        <v/>
      </c>
      <c r="G4716" t="str">
        <f>IFERROR(__xludf.DUMMYFUNCTION("""COMPUTED_VALUE"""),"")</f>
        <v/>
      </c>
      <c r="H4716" s="2" t="str">
        <f>IFERROR(__xludf.DUMMYFUNCTION("""COMPUTED_VALUE"""),"")</f>
        <v/>
      </c>
      <c r="I4716" s="2" t="str">
        <f>IFERROR(__xludf.DUMMYFUNCTION("""COMPUTED_VALUE"""),"")</f>
        <v/>
      </c>
      <c r="J4716" s="2">
        <f>IFERROR(__xludf.DUMMYFUNCTION("""COMPUTED_VALUE"""),0.0)</f>
        <v>0</v>
      </c>
      <c r="K4716" s="5" t="str">
        <f>IFERROR(__xludf.DUMMYFUNCTION("""COMPUTED_VALUE"""),"")</f>
        <v/>
      </c>
      <c r="L4716" t="str">
        <f>IFERROR(__xludf.DUMMYFUNCTION("""COMPUTED_VALUE"""),"")</f>
        <v/>
      </c>
      <c r="M4716" t="str">
        <f>IFERROR(__xludf.DUMMYFUNCTION("""COMPUTED_VALUE"""),"")</f>
        <v/>
      </c>
      <c r="N4716" t="str">
        <f>IFERROR(__xludf.DUMMYFUNCTION("""COMPUTED_VALUE"""),"")</f>
        <v/>
      </c>
      <c r="O4716" t="str">
        <f>IFERROR(__xludf.DUMMYFUNCTION("""COMPUTED_VALUE"""),"")</f>
        <v/>
      </c>
      <c r="P4716" t="str">
        <f>IFERROR(__xludf.DUMMYFUNCTION("""COMPUTED_VALUE"""),"ID ")</f>
        <v>ID </v>
      </c>
    </row>
    <row r="4717">
      <c r="A4717" s="6" t="str">
        <f>IFERROR(__xludf.DUMMYFUNCTION("""COMPUTED_VALUE"""),"")</f>
        <v/>
      </c>
      <c r="C4717" t="str">
        <f>IFERROR(__xludf.DUMMYFUNCTION("""COMPUTED_VALUE"""),"")</f>
        <v/>
      </c>
      <c r="D4717" t="str">
        <f>IFERROR(__xludf.DUMMYFUNCTION("""COMPUTED_VALUE"""),"")</f>
        <v/>
      </c>
      <c r="E4717" t="str">
        <f>IFERROR(__xludf.DUMMYFUNCTION("""COMPUTED_VALUE"""),"")</f>
        <v/>
      </c>
      <c r="F4717" t="str">
        <f>IFERROR(__xludf.DUMMYFUNCTION("""COMPUTED_VALUE"""),"")</f>
        <v/>
      </c>
      <c r="G4717" t="str">
        <f>IFERROR(__xludf.DUMMYFUNCTION("""COMPUTED_VALUE"""),"")</f>
        <v/>
      </c>
      <c r="H4717" s="2" t="str">
        <f>IFERROR(__xludf.DUMMYFUNCTION("""COMPUTED_VALUE"""),"")</f>
        <v/>
      </c>
      <c r="I4717" s="2" t="str">
        <f>IFERROR(__xludf.DUMMYFUNCTION("""COMPUTED_VALUE"""),"")</f>
        <v/>
      </c>
      <c r="J4717" s="2">
        <f>IFERROR(__xludf.DUMMYFUNCTION("""COMPUTED_VALUE"""),0.0)</f>
        <v>0</v>
      </c>
      <c r="K4717" s="5" t="str">
        <f>IFERROR(__xludf.DUMMYFUNCTION("""COMPUTED_VALUE"""),"")</f>
        <v/>
      </c>
      <c r="L4717" t="str">
        <f>IFERROR(__xludf.DUMMYFUNCTION("""COMPUTED_VALUE"""),"")</f>
        <v/>
      </c>
      <c r="M4717" t="str">
        <f>IFERROR(__xludf.DUMMYFUNCTION("""COMPUTED_VALUE"""),"")</f>
        <v/>
      </c>
      <c r="N4717" t="str">
        <f>IFERROR(__xludf.DUMMYFUNCTION("""COMPUTED_VALUE"""),"")</f>
        <v/>
      </c>
      <c r="O4717" t="str">
        <f>IFERROR(__xludf.DUMMYFUNCTION("""COMPUTED_VALUE"""),"")</f>
        <v/>
      </c>
      <c r="P4717" t="str">
        <f>IFERROR(__xludf.DUMMYFUNCTION("""COMPUTED_VALUE"""),"ID ")</f>
        <v>ID </v>
      </c>
    </row>
    <row r="4718">
      <c r="A4718" s="6" t="str">
        <f>IFERROR(__xludf.DUMMYFUNCTION("""COMPUTED_VALUE"""),"")</f>
        <v/>
      </c>
      <c r="C4718" t="str">
        <f>IFERROR(__xludf.DUMMYFUNCTION("""COMPUTED_VALUE"""),"")</f>
        <v/>
      </c>
      <c r="D4718" t="str">
        <f>IFERROR(__xludf.DUMMYFUNCTION("""COMPUTED_VALUE"""),"")</f>
        <v/>
      </c>
      <c r="E4718" t="str">
        <f>IFERROR(__xludf.DUMMYFUNCTION("""COMPUTED_VALUE"""),"")</f>
        <v/>
      </c>
      <c r="F4718" t="str">
        <f>IFERROR(__xludf.DUMMYFUNCTION("""COMPUTED_VALUE"""),"")</f>
        <v/>
      </c>
      <c r="G4718" t="str">
        <f>IFERROR(__xludf.DUMMYFUNCTION("""COMPUTED_VALUE"""),"")</f>
        <v/>
      </c>
      <c r="H4718" s="2" t="str">
        <f>IFERROR(__xludf.DUMMYFUNCTION("""COMPUTED_VALUE"""),"")</f>
        <v/>
      </c>
      <c r="I4718" s="2" t="str">
        <f>IFERROR(__xludf.DUMMYFUNCTION("""COMPUTED_VALUE"""),"")</f>
        <v/>
      </c>
      <c r="J4718" s="2">
        <f>IFERROR(__xludf.DUMMYFUNCTION("""COMPUTED_VALUE"""),0.0)</f>
        <v>0</v>
      </c>
      <c r="K4718" s="5" t="str">
        <f>IFERROR(__xludf.DUMMYFUNCTION("""COMPUTED_VALUE"""),"")</f>
        <v/>
      </c>
      <c r="L4718" t="str">
        <f>IFERROR(__xludf.DUMMYFUNCTION("""COMPUTED_VALUE"""),"")</f>
        <v/>
      </c>
      <c r="M4718" t="str">
        <f>IFERROR(__xludf.DUMMYFUNCTION("""COMPUTED_VALUE"""),"")</f>
        <v/>
      </c>
      <c r="N4718" t="str">
        <f>IFERROR(__xludf.DUMMYFUNCTION("""COMPUTED_VALUE"""),"")</f>
        <v/>
      </c>
      <c r="O4718" t="str">
        <f>IFERROR(__xludf.DUMMYFUNCTION("""COMPUTED_VALUE"""),"")</f>
        <v/>
      </c>
      <c r="P4718" t="str">
        <f>IFERROR(__xludf.DUMMYFUNCTION("""COMPUTED_VALUE"""),"ID ")</f>
        <v>ID </v>
      </c>
    </row>
    <row r="4719">
      <c r="A4719" s="6" t="str">
        <f>IFERROR(__xludf.DUMMYFUNCTION("""COMPUTED_VALUE"""),"")</f>
        <v/>
      </c>
      <c r="C4719" t="str">
        <f>IFERROR(__xludf.DUMMYFUNCTION("""COMPUTED_VALUE"""),"")</f>
        <v/>
      </c>
      <c r="D4719" t="str">
        <f>IFERROR(__xludf.DUMMYFUNCTION("""COMPUTED_VALUE"""),"")</f>
        <v/>
      </c>
      <c r="E4719" t="str">
        <f>IFERROR(__xludf.DUMMYFUNCTION("""COMPUTED_VALUE"""),"")</f>
        <v/>
      </c>
      <c r="F4719" t="str">
        <f>IFERROR(__xludf.DUMMYFUNCTION("""COMPUTED_VALUE"""),"")</f>
        <v/>
      </c>
      <c r="G4719" t="str">
        <f>IFERROR(__xludf.DUMMYFUNCTION("""COMPUTED_VALUE"""),"")</f>
        <v/>
      </c>
      <c r="H4719" s="2" t="str">
        <f>IFERROR(__xludf.DUMMYFUNCTION("""COMPUTED_VALUE"""),"")</f>
        <v/>
      </c>
      <c r="I4719" s="2" t="str">
        <f>IFERROR(__xludf.DUMMYFUNCTION("""COMPUTED_VALUE"""),"")</f>
        <v/>
      </c>
      <c r="J4719" s="2">
        <f>IFERROR(__xludf.DUMMYFUNCTION("""COMPUTED_VALUE"""),0.0)</f>
        <v>0</v>
      </c>
      <c r="K4719" s="5" t="str">
        <f>IFERROR(__xludf.DUMMYFUNCTION("""COMPUTED_VALUE"""),"")</f>
        <v/>
      </c>
      <c r="L4719" t="str">
        <f>IFERROR(__xludf.DUMMYFUNCTION("""COMPUTED_VALUE"""),"")</f>
        <v/>
      </c>
      <c r="M4719" t="str">
        <f>IFERROR(__xludf.DUMMYFUNCTION("""COMPUTED_VALUE"""),"")</f>
        <v/>
      </c>
      <c r="N4719" t="str">
        <f>IFERROR(__xludf.DUMMYFUNCTION("""COMPUTED_VALUE"""),"")</f>
        <v/>
      </c>
      <c r="O4719" t="str">
        <f>IFERROR(__xludf.DUMMYFUNCTION("""COMPUTED_VALUE"""),"")</f>
        <v/>
      </c>
      <c r="P4719" t="str">
        <f>IFERROR(__xludf.DUMMYFUNCTION("""COMPUTED_VALUE"""),"ID ")</f>
        <v>ID </v>
      </c>
    </row>
    <row r="4720">
      <c r="A4720" s="6" t="str">
        <f>IFERROR(__xludf.DUMMYFUNCTION("""COMPUTED_VALUE"""),"")</f>
        <v/>
      </c>
      <c r="C4720" t="str">
        <f>IFERROR(__xludf.DUMMYFUNCTION("""COMPUTED_VALUE"""),"")</f>
        <v/>
      </c>
      <c r="D4720" t="str">
        <f>IFERROR(__xludf.DUMMYFUNCTION("""COMPUTED_VALUE"""),"")</f>
        <v/>
      </c>
      <c r="E4720" t="str">
        <f>IFERROR(__xludf.DUMMYFUNCTION("""COMPUTED_VALUE"""),"")</f>
        <v/>
      </c>
      <c r="F4720" t="str">
        <f>IFERROR(__xludf.DUMMYFUNCTION("""COMPUTED_VALUE"""),"")</f>
        <v/>
      </c>
      <c r="G4720" t="str">
        <f>IFERROR(__xludf.DUMMYFUNCTION("""COMPUTED_VALUE"""),"")</f>
        <v/>
      </c>
      <c r="H4720" s="2" t="str">
        <f>IFERROR(__xludf.DUMMYFUNCTION("""COMPUTED_VALUE"""),"")</f>
        <v/>
      </c>
      <c r="I4720" s="2" t="str">
        <f>IFERROR(__xludf.DUMMYFUNCTION("""COMPUTED_VALUE"""),"")</f>
        <v/>
      </c>
      <c r="J4720" s="2">
        <f>IFERROR(__xludf.DUMMYFUNCTION("""COMPUTED_VALUE"""),0.0)</f>
        <v>0</v>
      </c>
      <c r="K4720" s="5" t="str">
        <f>IFERROR(__xludf.DUMMYFUNCTION("""COMPUTED_VALUE"""),"")</f>
        <v/>
      </c>
      <c r="L4720" t="str">
        <f>IFERROR(__xludf.DUMMYFUNCTION("""COMPUTED_VALUE"""),"")</f>
        <v/>
      </c>
      <c r="M4720" t="str">
        <f>IFERROR(__xludf.DUMMYFUNCTION("""COMPUTED_VALUE"""),"")</f>
        <v/>
      </c>
      <c r="N4720" t="str">
        <f>IFERROR(__xludf.DUMMYFUNCTION("""COMPUTED_VALUE"""),"")</f>
        <v/>
      </c>
      <c r="O4720" t="str">
        <f>IFERROR(__xludf.DUMMYFUNCTION("""COMPUTED_VALUE"""),"")</f>
        <v/>
      </c>
      <c r="P4720" t="str">
        <f>IFERROR(__xludf.DUMMYFUNCTION("""COMPUTED_VALUE"""),"ID ")</f>
        <v>ID </v>
      </c>
    </row>
    <row r="4721">
      <c r="A4721" s="6" t="str">
        <f>IFERROR(__xludf.DUMMYFUNCTION("""COMPUTED_VALUE"""),"")</f>
        <v/>
      </c>
      <c r="C4721" t="str">
        <f>IFERROR(__xludf.DUMMYFUNCTION("""COMPUTED_VALUE"""),"")</f>
        <v/>
      </c>
      <c r="D4721" t="str">
        <f>IFERROR(__xludf.DUMMYFUNCTION("""COMPUTED_VALUE"""),"")</f>
        <v/>
      </c>
      <c r="E4721" t="str">
        <f>IFERROR(__xludf.DUMMYFUNCTION("""COMPUTED_VALUE"""),"")</f>
        <v/>
      </c>
      <c r="F4721" t="str">
        <f>IFERROR(__xludf.DUMMYFUNCTION("""COMPUTED_VALUE"""),"")</f>
        <v/>
      </c>
      <c r="G4721" t="str">
        <f>IFERROR(__xludf.DUMMYFUNCTION("""COMPUTED_VALUE"""),"")</f>
        <v/>
      </c>
      <c r="H4721" s="2" t="str">
        <f>IFERROR(__xludf.DUMMYFUNCTION("""COMPUTED_VALUE"""),"")</f>
        <v/>
      </c>
      <c r="I4721" s="2" t="str">
        <f>IFERROR(__xludf.DUMMYFUNCTION("""COMPUTED_VALUE"""),"")</f>
        <v/>
      </c>
      <c r="J4721" s="2">
        <f>IFERROR(__xludf.DUMMYFUNCTION("""COMPUTED_VALUE"""),0.0)</f>
        <v>0</v>
      </c>
      <c r="K4721" s="5" t="str">
        <f>IFERROR(__xludf.DUMMYFUNCTION("""COMPUTED_VALUE"""),"")</f>
        <v/>
      </c>
      <c r="L4721" t="str">
        <f>IFERROR(__xludf.DUMMYFUNCTION("""COMPUTED_VALUE"""),"")</f>
        <v/>
      </c>
      <c r="M4721" t="str">
        <f>IFERROR(__xludf.DUMMYFUNCTION("""COMPUTED_VALUE"""),"")</f>
        <v/>
      </c>
      <c r="N4721" t="str">
        <f>IFERROR(__xludf.DUMMYFUNCTION("""COMPUTED_VALUE"""),"")</f>
        <v/>
      </c>
      <c r="O4721" t="str">
        <f>IFERROR(__xludf.DUMMYFUNCTION("""COMPUTED_VALUE"""),"")</f>
        <v/>
      </c>
      <c r="P4721" t="str">
        <f>IFERROR(__xludf.DUMMYFUNCTION("""COMPUTED_VALUE"""),"ID ")</f>
        <v>ID </v>
      </c>
    </row>
    <row r="4722">
      <c r="A4722" s="6" t="str">
        <f>IFERROR(__xludf.DUMMYFUNCTION("""COMPUTED_VALUE"""),"")</f>
        <v/>
      </c>
      <c r="C4722" t="str">
        <f>IFERROR(__xludf.DUMMYFUNCTION("""COMPUTED_VALUE"""),"")</f>
        <v/>
      </c>
      <c r="D4722" t="str">
        <f>IFERROR(__xludf.DUMMYFUNCTION("""COMPUTED_VALUE"""),"")</f>
        <v/>
      </c>
      <c r="E4722" t="str">
        <f>IFERROR(__xludf.DUMMYFUNCTION("""COMPUTED_VALUE"""),"")</f>
        <v/>
      </c>
      <c r="F4722" t="str">
        <f>IFERROR(__xludf.DUMMYFUNCTION("""COMPUTED_VALUE"""),"")</f>
        <v/>
      </c>
      <c r="G4722" t="str">
        <f>IFERROR(__xludf.DUMMYFUNCTION("""COMPUTED_VALUE"""),"")</f>
        <v/>
      </c>
      <c r="H4722" s="2" t="str">
        <f>IFERROR(__xludf.DUMMYFUNCTION("""COMPUTED_VALUE"""),"")</f>
        <v/>
      </c>
      <c r="I4722" s="2" t="str">
        <f>IFERROR(__xludf.DUMMYFUNCTION("""COMPUTED_VALUE"""),"")</f>
        <v/>
      </c>
      <c r="J4722" s="2">
        <f>IFERROR(__xludf.DUMMYFUNCTION("""COMPUTED_VALUE"""),0.0)</f>
        <v>0</v>
      </c>
      <c r="K4722" s="5" t="str">
        <f>IFERROR(__xludf.DUMMYFUNCTION("""COMPUTED_VALUE"""),"")</f>
        <v/>
      </c>
      <c r="L4722" t="str">
        <f>IFERROR(__xludf.DUMMYFUNCTION("""COMPUTED_VALUE"""),"")</f>
        <v/>
      </c>
      <c r="M4722" t="str">
        <f>IFERROR(__xludf.DUMMYFUNCTION("""COMPUTED_VALUE"""),"")</f>
        <v/>
      </c>
      <c r="N4722" t="str">
        <f>IFERROR(__xludf.DUMMYFUNCTION("""COMPUTED_VALUE"""),"")</f>
        <v/>
      </c>
      <c r="O4722" t="str">
        <f>IFERROR(__xludf.DUMMYFUNCTION("""COMPUTED_VALUE"""),"")</f>
        <v/>
      </c>
      <c r="P4722" t="str">
        <f>IFERROR(__xludf.DUMMYFUNCTION("""COMPUTED_VALUE"""),"ID ")</f>
        <v>ID </v>
      </c>
    </row>
    <row r="4723">
      <c r="A4723" s="6" t="str">
        <f>IFERROR(__xludf.DUMMYFUNCTION("""COMPUTED_VALUE"""),"")</f>
        <v/>
      </c>
      <c r="C4723" t="str">
        <f>IFERROR(__xludf.DUMMYFUNCTION("""COMPUTED_VALUE"""),"")</f>
        <v/>
      </c>
      <c r="D4723" t="str">
        <f>IFERROR(__xludf.DUMMYFUNCTION("""COMPUTED_VALUE"""),"")</f>
        <v/>
      </c>
      <c r="E4723" t="str">
        <f>IFERROR(__xludf.DUMMYFUNCTION("""COMPUTED_VALUE"""),"")</f>
        <v/>
      </c>
      <c r="F4723" t="str">
        <f>IFERROR(__xludf.DUMMYFUNCTION("""COMPUTED_VALUE"""),"")</f>
        <v/>
      </c>
      <c r="G4723" t="str">
        <f>IFERROR(__xludf.DUMMYFUNCTION("""COMPUTED_VALUE"""),"")</f>
        <v/>
      </c>
      <c r="H4723" s="2" t="str">
        <f>IFERROR(__xludf.DUMMYFUNCTION("""COMPUTED_VALUE"""),"")</f>
        <v/>
      </c>
      <c r="I4723" s="2" t="str">
        <f>IFERROR(__xludf.DUMMYFUNCTION("""COMPUTED_VALUE"""),"")</f>
        <v/>
      </c>
      <c r="J4723" s="2">
        <f>IFERROR(__xludf.DUMMYFUNCTION("""COMPUTED_VALUE"""),0.0)</f>
        <v>0</v>
      </c>
      <c r="K4723" s="5" t="str">
        <f>IFERROR(__xludf.DUMMYFUNCTION("""COMPUTED_VALUE"""),"")</f>
        <v/>
      </c>
      <c r="L4723" t="str">
        <f>IFERROR(__xludf.DUMMYFUNCTION("""COMPUTED_VALUE"""),"")</f>
        <v/>
      </c>
      <c r="M4723" t="str">
        <f>IFERROR(__xludf.DUMMYFUNCTION("""COMPUTED_VALUE"""),"")</f>
        <v/>
      </c>
      <c r="N4723" t="str">
        <f>IFERROR(__xludf.DUMMYFUNCTION("""COMPUTED_VALUE"""),"")</f>
        <v/>
      </c>
      <c r="O4723" t="str">
        <f>IFERROR(__xludf.DUMMYFUNCTION("""COMPUTED_VALUE"""),"")</f>
        <v/>
      </c>
      <c r="P4723" t="str">
        <f>IFERROR(__xludf.DUMMYFUNCTION("""COMPUTED_VALUE"""),"ID ")</f>
        <v>ID </v>
      </c>
    </row>
    <row r="4724">
      <c r="A4724" s="6" t="str">
        <f>IFERROR(__xludf.DUMMYFUNCTION("""COMPUTED_VALUE"""),"")</f>
        <v/>
      </c>
      <c r="C4724" t="str">
        <f>IFERROR(__xludf.DUMMYFUNCTION("""COMPUTED_VALUE"""),"")</f>
        <v/>
      </c>
      <c r="D4724" t="str">
        <f>IFERROR(__xludf.DUMMYFUNCTION("""COMPUTED_VALUE"""),"")</f>
        <v/>
      </c>
      <c r="E4724" t="str">
        <f>IFERROR(__xludf.DUMMYFUNCTION("""COMPUTED_VALUE"""),"")</f>
        <v/>
      </c>
      <c r="F4724" t="str">
        <f>IFERROR(__xludf.DUMMYFUNCTION("""COMPUTED_VALUE"""),"")</f>
        <v/>
      </c>
      <c r="G4724" t="str">
        <f>IFERROR(__xludf.DUMMYFUNCTION("""COMPUTED_VALUE"""),"")</f>
        <v/>
      </c>
      <c r="H4724" s="2" t="str">
        <f>IFERROR(__xludf.DUMMYFUNCTION("""COMPUTED_VALUE"""),"")</f>
        <v/>
      </c>
      <c r="I4724" s="2" t="str">
        <f>IFERROR(__xludf.DUMMYFUNCTION("""COMPUTED_VALUE"""),"")</f>
        <v/>
      </c>
      <c r="J4724" s="2">
        <f>IFERROR(__xludf.DUMMYFUNCTION("""COMPUTED_VALUE"""),0.0)</f>
        <v>0</v>
      </c>
      <c r="K4724" s="5" t="str">
        <f>IFERROR(__xludf.DUMMYFUNCTION("""COMPUTED_VALUE"""),"")</f>
        <v/>
      </c>
      <c r="L4724" t="str">
        <f>IFERROR(__xludf.DUMMYFUNCTION("""COMPUTED_VALUE"""),"")</f>
        <v/>
      </c>
      <c r="M4724" t="str">
        <f>IFERROR(__xludf.DUMMYFUNCTION("""COMPUTED_VALUE"""),"")</f>
        <v/>
      </c>
      <c r="N4724" t="str">
        <f>IFERROR(__xludf.DUMMYFUNCTION("""COMPUTED_VALUE"""),"")</f>
        <v/>
      </c>
      <c r="O4724" t="str">
        <f>IFERROR(__xludf.DUMMYFUNCTION("""COMPUTED_VALUE"""),"")</f>
        <v/>
      </c>
      <c r="P4724" t="str">
        <f>IFERROR(__xludf.DUMMYFUNCTION("""COMPUTED_VALUE"""),"ID ")</f>
        <v>ID </v>
      </c>
    </row>
    <row r="4725">
      <c r="A4725" s="6" t="str">
        <f>IFERROR(__xludf.DUMMYFUNCTION("""COMPUTED_VALUE"""),"")</f>
        <v/>
      </c>
      <c r="C4725" t="str">
        <f>IFERROR(__xludf.DUMMYFUNCTION("""COMPUTED_VALUE"""),"")</f>
        <v/>
      </c>
      <c r="D4725" t="str">
        <f>IFERROR(__xludf.DUMMYFUNCTION("""COMPUTED_VALUE"""),"")</f>
        <v/>
      </c>
      <c r="E4725" t="str">
        <f>IFERROR(__xludf.DUMMYFUNCTION("""COMPUTED_VALUE"""),"")</f>
        <v/>
      </c>
      <c r="F4725" t="str">
        <f>IFERROR(__xludf.DUMMYFUNCTION("""COMPUTED_VALUE"""),"")</f>
        <v/>
      </c>
      <c r="G4725" t="str">
        <f>IFERROR(__xludf.DUMMYFUNCTION("""COMPUTED_VALUE"""),"")</f>
        <v/>
      </c>
      <c r="H4725" s="2" t="str">
        <f>IFERROR(__xludf.DUMMYFUNCTION("""COMPUTED_VALUE"""),"")</f>
        <v/>
      </c>
      <c r="I4725" s="2" t="str">
        <f>IFERROR(__xludf.DUMMYFUNCTION("""COMPUTED_VALUE"""),"")</f>
        <v/>
      </c>
      <c r="J4725" s="2">
        <f>IFERROR(__xludf.DUMMYFUNCTION("""COMPUTED_VALUE"""),0.0)</f>
        <v>0</v>
      </c>
      <c r="K4725" s="5" t="str">
        <f>IFERROR(__xludf.DUMMYFUNCTION("""COMPUTED_VALUE"""),"")</f>
        <v/>
      </c>
      <c r="L4725" t="str">
        <f>IFERROR(__xludf.DUMMYFUNCTION("""COMPUTED_VALUE"""),"")</f>
        <v/>
      </c>
      <c r="M4725" t="str">
        <f>IFERROR(__xludf.DUMMYFUNCTION("""COMPUTED_VALUE"""),"")</f>
        <v/>
      </c>
      <c r="N4725" t="str">
        <f>IFERROR(__xludf.DUMMYFUNCTION("""COMPUTED_VALUE"""),"")</f>
        <v/>
      </c>
      <c r="O4725" t="str">
        <f>IFERROR(__xludf.DUMMYFUNCTION("""COMPUTED_VALUE"""),"")</f>
        <v/>
      </c>
      <c r="P4725" t="str">
        <f>IFERROR(__xludf.DUMMYFUNCTION("""COMPUTED_VALUE"""),"ID ")</f>
        <v>ID </v>
      </c>
    </row>
    <row r="4726">
      <c r="A4726" s="6" t="str">
        <f>IFERROR(__xludf.DUMMYFUNCTION("""COMPUTED_VALUE"""),"")</f>
        <v/>
      </c>
      <c r="C4726" t="str">
        <f>IFERROR(__xludf.DUMMYFUNCTION("""COMPUTED_VALUE"""),"")</f>
        <v/>
      </c>
      <c r="D4726" t="str">
        <f>IFERROR(__xludf.DUMMYFUNCTION("""COMPUTED_VALUE"""),"")</f>
        <v/>
      </c>
      <c r="E4726" t="str">
        <f>IFERROR(__xludf.DUMMYFUNCTION("""COMPUTED_VALUE"""),"")</f>
        <v/>
      </c>
      <c r="F4726" t="str">
        <f>IFERROR(__xludf.DUMMYFUNCTION("""COMPUTED_VALUE"""),"")</f>
        <v/>
      </c>
      <c r="G4726" t="str">
        <f>IFERROR(__xludf.DUMMYFUNCTION("""COMPUTED_VALUE"""),"")</f>
        <v/>
      </c>
      <c r="H4726" s="2" t="str">
        <f>IFERROR(__xludf.DUMMYFUNCTION("""COMPUTED_VALUE"""),"")</f>
        <v/>
      </c>
      <c r="I4726" s="2" t="str">
        <f>IFERROR(__xludf.DUMMYFUNCTION("""COMPUTED_VALUE"""),"")</f>
        <v/>
      </c>
      <c r="J4726" s="2">
        <f>IFERROR(__xludf.DUMMYFUNCTION("""COMPUTED_VALUE"""),0.0)</f>
        <v>0</v>
      </c>
      <c r="K4726" s="5" t="str">
        <f>IFERROR(__xludf.DUMMYFUNCTION("""COMPUTED_VALUE"""),"")</f>
        <v/>
      </c>
      <c r="L4726" t="str">
        <f>IFERROR(__xludf.DUMMYFUNCTION("""COMPUTED_VALUE"""),"")</f>
        <v/>
      </c>
      <c r="M4726" t="str">
        <f>IFERROR(__xludf.DUMMYFUNCTION("""COMPUTED_VALUE"""),"")</f>
        <v/>
      </c>
      <c r="N4726" t="str">
        <f>IFERROR(__xludf.DUMMYFUNCTION("""COMPUTED_VALUE"""),"")</f>
        <v/>
      </c>
      <c r="O4726" t="str">
        <f>IFERROR(__xludf.DUMMYFUNCTION("""COMPUTED_VALUE"""),"")</f>
        <v/>
      </c>
      <c r="P4726" t="str">
        <f>IFERROR(__xludf.DUMMYFUNCTION("""COMPUTED_VALUE"""),"ID ")</f>
        <v>ID </v>
      </c>
    </row>
    <row r="4727">
      <c r="A4727" s="6" t="str">
        <f>IFERROR(__xludf.DUMMYFUNCTION("""COMPUTED_VALUE"""),"")</f>
        <v/>
      </c>
      <c r="C4727" t="str">
        <f>IFERROR(__xludf.DUMMYFUNCTION("""COMPUTED_VALUE"""),"")</f>
        <v/>
      </c>
      <c r="D4727" t="str">
        <f>IFERROR(__xludf.DUMMYFUNCTION("""COMPUTED_VALUE"""),"")</f>
        <v/>
      </c>
      <c r="E4727" t="str">
        <f>IFERROR(__xludf.DUMMYFUNCTION("""COMPUTED_VALUE"""),"")</f>
        <v/>
      </c>
      <c r="F4727" t="str">
        <f>IFERROR(__xludf.DUMMYFUNCTION("""COMPUTED_VALUE"""),"")</f>
        <v/>
      </c>
      <c r="G4727" t="str">
        <f>IFERROR(__xludf.DUMMYFUNCTION("""COMPUTED_VALUE"""),"")</f>
        <v/>
      </c>
      <c r="H4727" s="2" t="str">
        <f>IFERROR(__xludf.DUMMYFUNCTION("""COMPUTED_VALUE"""),"")</f>
        <v/>
      </c>
      <c r="I4727" s="2" t="str">
        <f>IFERROR(__xludf.DUMMYFUNCTION("""COMPUTED_VALUE"""),"")</f>
        <v/>
      </c>
      <c r="J4727" s="2">
        <f>IFERROR(__xludf.DUMMYFUNCTION("""COMPUTED_VALUE"""),0.0)</f>
        <v>0</v>
      </c>
      <c r="K4727" s="5" t="str">
        <f>IFERROR(__xludf.DUMMYFUNCTION("""COMPUTED_VALUE"""),"")</f>
        <v/>
      </c>
      <c r="L4727" t="str">
        <f>IFERROR(__xludf.DUMMYFUNCTION("""COMPUTED_VALUE"""),"")</f>
        <v/>
      </c>
      <c r="M4727" t="str">
        <f>IFERROR(__xludf.DUMMYFUNCTION("""COMPUTED_VALUE"""),"")</f>
        <v/>
      </c>
      <c r="N4727" t="str">
        <f>IFERROR(__xludf.DUMMYFUNCTION("""COMPUTED_VALUE"""),"")</f>
        <v/>
      </c>
      <c r="O4727" t="str">
        <f>IFERROR(__xludf.DUMMYFUNCTION("""COMPUTED_VALUE"""),"")</f>
        <v/>
      </c>
      <c r="P4727" t="str">
        <f>IFERROR(__xludf.DUMMYFUNCTION("""COMPUTED_VALUE"""),"ID ")</f>
        <v>ID </v>
      </c>
    </row>
    <row r="4728">
      <c r="A4728" s="6" t="str">
        <f>IFERROR(__xludf.DUMMYFUNCTION("""COMPUTED_VALUE"""),"")</f>
        <v/>
      </c>
      <c r="C4728" t="str">
        <f>IFERROR(__xludf.DUMMYFUNCTION("""COMPUTED_VALUE"""),"")</f>
        <v/>
      </c>
      <c r="D4728" t="str">
        <f>IFERROR(__xludf.DUMMYFUNCTION("""COMPUTED_VALUE"""),"")</f>
        <v/>
      </c>
      <c r="E4728" t="str">
        <f>IFERROR(__xludf.DUMMYFUNCTION("""COMPUTED_VALUE"""),"")</f>
        <v/>
      </c>
      <c r="F4728" t="str">
        <f>IFERROR(__xludf.DUMMYFUNCTION("""COMPUTED_VALUE"""),"")</f>
        <v/>
      </c>
      <c r="G4728" t="str">
        <f>IFERROR(__xludf.DUMMYFUNCTION("""COMPUTED_VALUE"""),"")</f>
        <v/>
      </c>
      <c r="H4728" s="2" t="str">
        <f>IFERROR(__xludf.DUMMYFUNCTION("""COMPUTED_VALUE"""),"")</f>
        <v/>
      </c>
      <c r="I4728" s="2" t="str">
        <f>IFERROR(__xludf.DUMMYFUNCTION("""COMPUTED_VALUE"""),"")</f>
        <v/>
      </c>
      <c r="J4728" s="2">
        <f>IFERROR(__xludf.DUMMYFUNCTION("""COMPUTED_VALUE"""),0.0)</f>
        <v>0</v>
      </c>
      <c r="K4728" s="5" t="str">
        <f>IFERROR(__xludf.DUMMYFUNCTION("""COMPUTED_VALUE"""),"")</f>
        <v/>
      </c>
      <c r="L4728" t="str">
        <f>IFERROR(__xludf.DUMMYFUNCTION("""COMPUTED_VALUE"""),"")</f>
        <v/>
      </c>
      <c r="M4728" t="str">
        <f>IFERROR(__xludf.DUMMYFUNCTION("""COMPUTED_VALUE"""),"")</f>
        <v/>
      </c>
      <c r="N4728" t="str">
        <f>IFERROR(__xludf.DUMMYFUNCTION("""COMPUTED_VALUE"""),"")</f>
        <v/>
      </c>
      <c r="O4728" t="str">
        <f>IFERROR(__xludf.DUMMYFUNCTION("""COMPUTED_VALUE"""),"")</f>
        <v/>
      </c>
      <c r="P4728" t="str">
        <f>IFERROR(__xludf.DUMMYFUNCTION("""COMPUTED_VALUE"""),"ID ")</f>
        <v>ID </v>
      </c>
    </row>
    <row r="4729">
      <c r="A4729" s="6" t="str">
        <f>IFERROR(__xludf.DUMMYFUNCTION("""COMPUTED_VALUE"""),"")</f>
        <v/>
      </c>
      <c r="C4729" t="str">
        <f>IFERROR(__xludf.DUMMYFUNCTION("""COMPUTED_VALUE"""),"")</f>
        <v/>
      </c>
      <c r="D4729" t="str">
        <f>IFERROR(__xludf.DUMMYFUNCTION("""COMPUTED_VALUE"""),"")</f>
        <v/>
      </c>
      <c r="E4729" t="str">
        <f>IFERROR(__xludf.DUMMYFUNCTION("""COMPUTED_VALUE"""),"")</f>
        <v/>
      </c>
      <c r="F4729" t="str">
        <f>IFERROR(__xludf.DUMMYFUNCTION("""COMPUTED_VALUE"""),"")</f>
        <v/>
      </c>
      <c r="G4729" t="str">
        <f>IFERROR(__xludf.DUMMYFUNCTION("""COMPUTED_VALUE"""),"")</f>
        <v/>
      </c>
      <c r="H4729" s="2" t="str">
        <f>IFERROR(__xludf.DUMMYFUNCTION("""COMPUTED_VALUE"""),"")</f>
        <v/>
      </c>
      <c r="I4729" s="2" t="str">
        <f>IFERROR(__xludf.DUMMYFUNCTION("""COMPUTED_VALUE"""),"")</f>
        <v/>
      </c>
      <c r="J4729" s="2">
        <f>IFERROR(__xludf.DUMMYFUNCTION("""COMPUTED_VALUE"""),0.0)</f>
        <v>0</v>
      </c>
      <c r="K4729" s="5" t="str">
        <f>IFERROR(__xludf.DUMMYFUNCTION("""COMPUTED_VALUE"""),"")</f>
        <v/>
      </c>
      <c r="L4729" t="str">
        <f>IFERROR(__xludf.DUMMYFUNCTION("""COMPUTED_VALUE"""),"")</f>
        <v/>
      </c>
      <c r="M4729" t="str">
        <f>IFERROR(__xludf.DUMMYFUNCTION("""COMPUTED_VALUE"""),"")</f>
        <v/>
      </c>
      <c r="N4729" t="str">
        <f>IFERROR(__xludf.DUMMYFUNCTION("""COMPUTED_VALUE"""),"")</f>
        <v/>
      </c>
      <c r="O4729" t="str">
        <f>IFERROR(__xludf.DUMMYFUNCTION("""COMPUTED_VALUE"""),"")</f>
        <v/>
      </c>
      <c r="P4729" t="str">
        <f>IFERROR(__xludf.DUMMYFUNCTION("""COMPUTED_VALUE"""),"ID ")</f>
        <v>ID </v>
      </c>
    </row>
    <row r="4730">
      <c r="A4730" s="6" t="str">
        <f>IFERROR(__xludf.DUMMYFUNCTION("""COMPUTED_VALUE"""),"")</f>
        <v/>
      </c>
      <c r="C4730" t="str">
        <f>IFERROR(__xludf.DUMMYFUNCTION("""COMPUTED_VALUE"""),"")</f>
        <v/>
      </c>
      <c r="D4730" t="str">
        <f>IFERROR(__xludf.DUMMYFUNCTION("""COMPUTED_VALUE"""),"")</f>
        <v/>
      </c>
      <c r="E4730" t="str">
        <f>IFERROR(__xludf.DUMMYFUNCTION("""COMPUTED_VALUE"""),"")</f>
        <v/>
      </c>
      <c r="F4730" t="str">
        <f>IFERROR(__xludf.DUMMYFUNCTION("""COMPUTED_VALUE"""),"")</f>
        <v/>
      </c>
      <c r="G4730" t="str">
        <f>IFERROR(__xludf.DUMMYFUNCTION("""COMPUTED_VALUE"""),"")</f>
        <v/>
      </c>
      <c r="H4730" s="2" t="str">
        <f>IFERROR(__xludf.DUMMYFUNCTION("""COMPUTED_VALUE"""),"")</f>
        <v/>
      </c>
      <c r="I4730" s="2" t="str">
        <f>IFERROR(__xludf.DUMMYFUNCTION("""COMPUTED_VALUE"""),"")</f>
        <v/>
      </c>
      <c r="J4730" s="2">
        <f>IFERROR(__xludf.DUMMYFUNCTION("""COMPUTED_VALUE"""),0.0)</f>
        <v>0</v>
      </c>
      <c r="K4730" s="5" t="str">
        <f>IFERROR(__xludf.DUMMYFUNCTION("""COMPUTED_VALUE"""),"")</f>
        <v/>
      </c>
      <c r="L4730" t="str">
        <f>IFERROR(__xludf.DUMMYFUNCTION("""COMPUTED_VALUE"""),"")</f>
        <v/>
      </c>
      <c r="M4730" t="str">
        <f>IFERROR(__xludf.DUMMYFUNCTION("""COMPUTED_VALUE"""),"")</f>
        <v/>
      </c>
      <c r="N4730" t="str">
        <f>IFERROR(__xludf.DUMMYFUNCTION("""COMPUTED_VALUE"""),"")</f>
        <v/>
      </c>
      <c r="O4730" t="str">
        <f>IFERROR(__xludf.DUMMYFUNCTION("""COMPUTED_VALUE"""),"")</f>
        <v/>
      </c>
      <c r="P4730" t="str">
        <f>IFERROR(__xludf.DUMMYFUNCTION("""COMPUTED_VALUE"""),"ID ")</f>
        <v>ID </v>
      </c>
    </row>
    <row r="4731">
      <c r="A4731" s="6" t="str">
        <f>IFERROR(__xludf.DUMMYFUNCTION("""COMPUTED_VALUE"""),"")</f>
        <v/>
      </c>
      <c r="C4731" t="str">
        <f>IFERROR(__xludf.DUMMYFUNCTION("""COMPUTED_VALUE"""),"")</f>
        <v/>
      </c>
      <c r="D4731" t="str">
        <f>IFERROR(__xludf.DUMMYFUNCTION("""COMPUTED_VALUE"""),"")</f>
        <v/>
      </c>
      <c r="E4731" t="str">
        <f>IFERROR(__xludf.DUMMYFUNCTION("""COMPUTED_VALUE"""),"")</f>
        <v/>
      </c>
      <c r="F4731" t="str">
        <f>IFERROR(__xludf.DUMMYFUNCTION("""COMPUTED_VALUE"""),"")</f>
        <v/>
      </c>
      <c r="G4731" t="str">
        <f>IFERROR(__xludf.DUMMYFUNCTION("""COMPUTED_VALUE"""),"")</f>
        <v/>
      </c>
      <c r="H4731" s="2" t="str">
        <f>IFERROR(__xludf.DUMMYFUNCTION("""COMPUTED_VALUE"""),"")</f>
        <v/>
      </c>
      <c r="I4731" s="2" t="str">
        <f>IFERROR(__xludf.DUMMYFUNCTION("""COMPUTED_VALUE"""),"")</f>
        <v/>
      </c>
      <c r="J4731" s="2">
        <f>IFERROR(__xludf.DUMMYFUNCTION("""COMPUTED_VALUE"""),0.0)</f>
        <v>0</v>
      </c>
      <c r="K4731" s="5" t="str">
        <f>IFERROR(__xludf.DUMMYFUNCTION("""COMPUTED_VALUE"""),"")</f>
        <v/>
      </c>
      <c r="L4731" t="str">
        <f>IFERROR(__xludf.DUMMYFUNCTION("""COMPUTED_VALUE"""),"")</f>
        <v/>
      </c>
      <c r="M4731" t="str">
        <f>IFERROR(__xludf.DUMMYFUNCTION("""COMPUTED_VALUE"""),"")</f>
        <v/>
      </c>
      <c r="N4731" t="str">
        <f>IFERROR(__xludf.DUMMYFUNCTION("""COMPUTED_VALUE"""),"")</f>
        <v/>
      </c>
      <c r="O4731" t="str">
        <f>IFERROR(__xludf.DUMMYFUNCTION("""COMPUTED_VALUE"""),"")</f>
        <v/>
      </c>
      <c r="P4731" t="str">
        <f>IFERROR(__xludf.DUMMYFUNCTION("""COMPUTED_VALUE"""),"ID ")</f>
        <v>ID </v>
      </c>
    </row>
    <row r="4732">
      <c r="A4732" s="6" t="str">
        <f>IFERROR(__xludf.DUMMYFUNCTION("""COMPUTED_VALUE"""),"")</f>
        <v/>
      </c>
      <c r="C4732" t="str">
        <f>IFERROR(__xludf.DUMMYFUNCTION("""COMPUTED_VALUE"""),"")</f>
        <v/>
      </c>
      <c r="D4732" t="str">
        <f>IFERROR(__xludf.DUMMYFUNCTION("""COMPUTED_VALUE"""),"")</f>
        <v/>
      </c>
      <c r="E4732" t="str">
        <f>IFERROR(__xludf.DUMMYFUNCTION("""COMPUTED_VALUE"""),"")</f>
        <v/>
      </c>
      <c r="F4732" t="str">
        <f>IFERROR(__xludf.DUMMYFUNCTION("""COMPUTED_VALUE"""),"")</f>
        <v/>
      </c>
      <c r="G4732" t="str">
        <f>IFERROR(__xludf.DUMMYFUNCTION("""COMPUTED_VALUE"""),"")</f>
        <v/>
      </c>
      <c r="H4732" s="2" t="str">
        <f>IFERROR(__xludf.DUMMYFUNCTION("""COMPUTED_VALUE"""),"")</f>
        <v/>
      </c>
      <c r="I4732" s="2" t="str">
        <f>IFERROR(__xludf.DUMMYFUNCTION("""COMPUTED_VALUE"""),"")</f>
        <v/>
      </c>
      <c r="J4732" s="2">
        <f>IFERROR(__xludf.DUMMYFUNCTION("""COMPUTED_VALUE"""),0.0)</f>
        <v>0</v>
      </c>
      <c r="K4732" s="5" t="str">
        <f>IFERROR(__xludf.DUMMYFUNCTION("""COMPUTED_VALUE"""),"")</f>
        <v/>
      </c>
      <c r="L4732" t="str">
        <f>IFERROR(__xludf.DUMMYFUNCTION("""COMPUTED_VALUE"""),"")</f>
        <v/>
      </c>
      <c r="M4732" t="str">
        <f>IFERROR(__xludf.DUMMYFUNCTION("""COMPUTED_VALUE"""),"")</f>
        <v/>
      </c>
      <c r="N4732" t="str">
        <f>IFERROR(__xludf.DUMMYFUNCTION("""COMPUTED_VALUE"""),"")</f>
        <v/>
      </c>
      <c r="O4732" t="str">
        <f>IFERROR(__xludf.DUMMYFUNCTION("""COMPUTED_VALUE"""),"")</f>
        <v/>
      </c>
      <c r="P4732" t="str">
        <f>IFERROR(__xludf.DUMMYFUNCTION("""COMPUTED_VALUE"""),"ID ")</f>
        <v>ID </v>
      </c>
    </row>
    <row r="4733">
      <c r="A4733" s="6" t="str">
        <f>IFERROR(__xludf.DUMMYFUNCTION("""COMPUTED_VALUE"""),"")</f>
        <v/>
      </c>
      <c r="C4733" t="str">
        <f>IFERROR(__xludf.DUMMYFUNCTION("""COMPUTED_VALUE"""),"")</f>
        <v/>
      </c>
      <c r="D4733" t="str">
        <f>IFERROR(__xludf.DUMMYFUNCTION("""COMPUTED_VALUE"""),"")</f>
        <v/>
      </c>
      <c r="E4733" t="str">
        <f>IFERROR(__xludf.DUMMYFUNCTION("""COMPUTED_VALUE"""),"")</f>
        <v/>
      </c>
      <c r="F4733" t="str">
        <f>IFERROR(__xludf.DUMMYFUNCTION("""COMPUTED_VALUE"""),"")</f>
        <v/>
      </c>
      <c r="G4733" t="str">
        <f>IFERROR(__xludf.DUMMYFUNCTION("""COMPUTED_VALUE"""),"")</f>
        <v/>
      </c>
      <c r="H4733" s="2" t="str">
        <f>IFERROR(__xludf.DUMMYFUNCTION("""COMPUTED_VALUE"""),"")</f>
        <v/>
      </c>
      <c r="I4733" s="2" t="str">
        <f>IFERROR(__xludf.DUMMYFUNCTION("""COMPUTED_VALUE"""),"")</f>
        <v/>
      </c>
      <c r="J4733" s="2">
        <f>IFERROR(__xludf.DUMMYFUNCTION("""COMPUTED_VALUE"""),0.0)</f>
        <v>0</v>
      </c>
      <c r="K4733" s="5" t="str">
        <f>IFERROR(__xludf.DUMMYFUNCTION("""COMPUTED_VALUE"""),"")</f>
        <v/>
      </c>
      <c r="L4733" t="str">
        <f>IFERROR(__xludf.DUMMYFUNCTION("""COMPUTED_VALUE"""),"")</f>
        <v/>
      </c>
      <c r="M4733" t="str">
        <f>IFERROR(__xludf.DUMMYFUNCTION("""COMPUTED_VALUE"""),"")</f>
        <v/>
      </c>
      <c r="N4733" t="str">
        <f>IFERROR(__xludf.DUMMYFUNCTION("""COMPUTED_VALUE"""),"")</f>
        <v/>
      </c>
      <c r="O4733" t="str">
        <f>IFERROR(__xludf.DUMMYFUNCTION("""COMPUTED_VALUE"""),"")</f>
        <v/>
      </c>
      <c r="P4733" t="str">
        <f>IFERROR(__xludf.DUMMYFUNCTION("""COMPUTED_VALUE"""),"ID ")</f>
        <v>ID </v>
      </c>
    </row>
    <row r="4734">
      <c r="A4734" s="6" t="str">
        <f>IFERROR(__xludf.DUMMYFUNCTION("""COMPUTED_VALUE"""),"")</f>
        <v/>
      </c>
      <c r="C4734" t="str">
        <f>IFERROR(__xludf.DUMMYFUNCTION("""COMPUTED_VALUE"""),"")</f>
        <v/>
      </c>
      <c r="D4734" t="str">
        <f>IFERROR(__xludf.DUMMYFUNCTION("""COMPUTED_VALUE"""),"")</f>
        <v/>
      </c>
      <c r="E4734" t="str">
        <f>IFERROR(__xludf.DUMMYFUNCTION("""COMPUTED_VALUE"""),"")</f>
        <v/>
      </c>
      <c r="F4734" t="str">
        <f>IFERROR(__xludf.DUMMYFUNCTION("""COMPUTED_VALUE"""),"")</f>
        <v/>
      </c>
      <c r="G4734" t="str">
        <f>IFERROR(__xludf.DUMMYFUNCTION("""COMPUTED_VALUE"""),"")</f>
        <v/>
      </c>
      <c r="H4734" s="2" t="str">
        <f>IFERROR(__xludf.DUMMYFUNCTION("""COMPUTED_VALUE"""),"")</f>
        <v/>
      </c>
      <c r="I4734" s="2" t="str">
        <f>IFERROR(__xludf.DUMMYFUNCTION("""COMPUTED_VALUE"""),"")</f>
        <v/>
      </c>
      <c r="J4734" s="2">
        <f>IFERROR(__xludf.DUMMYFUNCTION("""COMPUTED_VALUE"""),0.0)</f>
        <v>0</v>
      </c>
      <c r="K4734" s="5" t="str">
        <f>IFERROR(__xludf.DUMMYFUNCTION("""COMPUTED_VALUE"""),"")</f>
        <v/>
      </c>
      <c r="L4734" t="str">
        <f>IFERROR(__xludf.DUMMYFUNCTION("""COMPUTED_VALUE"""),"")</f>
        <v/>
      </c>
      <c r="M4734" t="str">
        <f>IFERROR(__xludf.DUMMYFUNCTION("""COMPUTED_VALUE"""),"")</f>
        <v/>
      </c>
      <c r="N4734" t="str">
        <f>IFERROR(__xludf.DUMMYFUNCTION("""COMPUTED_VALUE"""),"")</f>
        <v/>
      </c>
      <c r="O4734" t="str">
        <f>IFERROR(__xludf.DUMMYFUNCTION("""COMPUTED_VALUE"""),"")</f>
        <v/>
      </c>
      <c r="P4734" t="str">
        <f>IFERROR(__xludf.DUMMYFUNCTION("""COMPUTED_VALUE"""),"ID ")</f>
        <v>ID </v>
      </c>
    </row>
    <row r="4735">
      <c r="A4735" s="6" t="str">
        <f>IFERROR(__xludf.DUMMYFUNCTION("""COMPUTED_VALUE"""),"")</f>
        <v/>
      </c>
      <c r="C4735" t="str">
        <f>IFERROR(__xludf.DUMMYFUNCTION("""COMPUTED_VALUE"""),"")</f>
        <v/>
      </c>
      <c r="D4735" t="str">
        <f>IFERROR(__xludf.DUMMYFUNCTION("""COMPUTED_VALUE"""),"")</f>
        <v/>
      </c>
      <c r="E4735" t="str">
        <f>IFERROR(__xludf.DUMMYFUNCTION("""COMPUTED_VALUE"""),"")</f>
        <v/>
      </c>
      <c r="F4735" t="str">
        <f>IFERROR(__xludf.DUMMYFUNCTION("""COMPUTED_VALUE"""),"")</f>
        <v/>
      </c>
      <c r="G4735" t="str">
        <f>IFERROR(__xludf.DUMMYFUNCTION("""COMPUTED_VALUE"""),"")</f>
        <v/>
      </c>
      <c r="H4735" s="2" t="str">
        <f>IFERROR(__xludf.DUMMYFUNCTION("""COMPUTED_VALUE"""),"")</f>
        <v/>
      </c>
      <c r="I4735" s="2" t="str">
        <f>IFERROR(__xludf.DUMMYFUNCTION("""COMPUTED_VALUE"""),"")</f>
        <v/>
      </c>
      <c r="J4735" s="2">
        <f>IFERROR(__xludf.DUMMYFUNCTION("""COMPUTED_VALUE"""),0.0)</f>
        <v>0</v>
      </c>
      <c r="K4735" s="5" t="str">
        <f>IFERROR(__xludf.DUMMYFUNCTION("""COMPUTED_VALUE"""),"")</f>
        <v/>
      </c>
      <c r="L4735" t="str">
        <f>IFERROR(__xludf.DUMMYFUNCTION("""COMPUTED_VALUE"""),"")</f>
        <v/>
      </c>
      <c r="M4735" t="str">
        <f>IFERROR(__xludf.DUMMYFUNCTION("""COMPUTED_VALUE"""),"")</f>
        <v/>
      </c>
      <c r="N4735" t="str">
        <f>IFERROR(__xludf.DUMMYFUNCTION("""COMPUTED_VALUE"""),"")</f>
        <v/>
      </c>
      <c r="O4735" t="str">
        <f>IFERROR(__xludf.DUMMYFUNCTION("""COMPUTED_VALUE"""),"")</f>
        <v/>
      </c>
      <c r="P4735" t="str">
        <f>IFERROR(__xludf.DUMMYFUNCTION("""COMPUTED_VALUE"""),"ID ")</f>
        <v>ID </v>
      </c>
    </row>
    <row r="4736">
      <c r="A4736" s="6" t="str">
        <f>IFERROR(__xludf.DUMMYFUNCTION("""COMPUTED_VALUE"""),"")</f>
        <v/>
      </c>
      <c r="C4736" t="str">
        <f>IFERROR(__xludf.DUMMYFUNCTION("""COMPUTED_VALUE"""),"")</f>
        <v/>
      </c>
      <c r="D4736" t="str">
        <f>IFERROR(__xludf.DUMMYFUNCTION("""COMPUTED_VALUE"""),"")</f>
        <v/>
      </c>
      <c r="E4736" t="str">
        <f>IFERROR(__xludf.DUMMYFUNCTION("""COMPUTED_VALUE"""),"")</f>
        <v/>
      </c>
      <c r="F4736" t="str">
        <f>IFERROR(__xludf.DUMMYFUNCTION("""COMPUTED_VALUE"""),"")</f>
        <v/>
      </c>
      <c r="G4736" t="str">
        <f>IFERROR(__xludf.DUMMYFUNCTION("""COMPUTED_VALUE"""),"")</f>
        <v/>
      </c>
      <c r="H4736" s="2" t="str">
        <f>IFERROR(__xludf.DUMMYFUNCTION("""COMPUTED_VALUE"""),"")</f>
        <v/>
      </c>
      <c r="I4736" s="2" t="str">
        <f>IFERROR(__xludf.DUMMYFUNCTION("""COMPUTED_VALUE"""),"")</f>
        <v/>
      </c>
      <c r="J4736" s="2">
        <f>IFERROR(__xludf.DUMMYFUNCTION("""COMPUTED_VALUE"""),0.0)</f>
        <v>0</v>
      </c>
      <c r="K4736" s="5" t="str">
        <f>IFERROR(__xludf.DUMMYFUNCTION("""COMPUTED_VALUE"""),"")</f>
        <v/>
      </c>
      <c r="L4736" t="str">
        <f>IFERROR(__xludf.DUMMYFUNCTION("""COMPUTED_VALUE"""),"")</f>
        <v/>
      </c>
      <c r="M4736" t="str">
        <f>IFERROR(__xludf.DUMMYFUNCTION("""COMPUTED_VALUE"""),"")</f>
        <v/>
      </c>
      <c r="N4736" t="str">
        <f>IFERROR(__xludf.DUMMYFUNCTION("""COMPUTED_VALUE"""),"")</f>
        <v/>
      </c>
      <c r="O4736" t="str">
        <f>IFERROR(__xludf.DUMMYFUNCTION("""COMPUTED_VALUE"""),"")</f>
        <v/>
      </c>
      <c r="P4736" t="str">
        <f>IFERROR(__xludf.DUMMYFUNCTION("""COMPUTED_VALUE"""),"ID ")</f>
        <v>ID </v>
      </c>
    </row>
    <row r="4737">
      <c r="A4737" s="6" t="str">
        <f>IFERROR(__xludf.DUMMYFUNCTION("""COMPUTED_VALUE"""),"")</f>
        <v/>
      </c>
      <c r="C4737" t="str">
        <f>IFERROR(__xludf.DUMMYFUNCTION("""COMPUTED_VALUE"""),"")</f>
        <v/>
      </c>
      <c r="D4737" t="str">
        <f>IFERROR(__xludf.DUMMYFUNCTION("""COMPUTED_VALUE"""),"")</f>
        <v/>
      </c>
      <c r="E4737" t="str">
        <f>IFERROR(__xludf.DUMMYFUNCTION("""COMPUTED_VALUE"""),"")</f>
        <v/>
      </c>
      <c r="F4737" t="str">
        <f>IFERROR(__xludf.DUMMYFUNCTION("""COMPUTED_VALUE"""),"")</f>
        <v/>
      </c>
      <c r="G4737" t="str">
        <f>IFERROR(__xludf.DUMMYFUNCTION("""COMPUTED_VALUE"""),"")</f>
        <v/>
      </c>
      <c r="H4737" s="2" t="str">
        <f>IFERROR(__xludf.DUMMYFUNCTION("""COMPUTED_VALUE"""),"")</f>
        <v/>
      </c>
      <c r="I4737" s="2" t="str">
        <f>IFERROR(__xludf.DUMMYFUNCTION("""COMPUTED_VALUE"""),"")</f>
        <v/>
      </c>
      <c r="J4737" s="2">
        <f>IFERROR(__xludf.DUMMYFUNCTION("""COMPUTED_VALUE"""),0.0)</f>
        <v>0</v>
      </c>
      <c r="K4737" s="5" t="str">
        <f>IFERROR(__xludf.DUMMYFUNCTION("""COMPUTED_VALUE"""),"")</f>
        <v/>
      </c>
      <c r="L4737" t="str">
        <f>IFERROR(__xludf.DUMMYFUNCTION("""COMPUTED_VALUE"""),"")</f>
        <v/>
      </c>
      <c r="M4737" t="str">
        <f>IFERROR(__xludf.DUMMYFUNCTION("""COMPUTED_VALUE"""),"")</f>
        <v/>
      </c>
      <c r="N4737" t="str">
        <f>IFERROR(__xludf.DUMMYFUNCTION("""COMPUTED_VALUE"""),"")</f>
        <v/>
      </c>
      <c r="O4737" t="str">
        <f>IFERROR(__xludf.DUMMYFUNCTION("""COMPUTED_VALUE"""),"")</f>
        <v/>
      </c>
      <c r="P4737" t="str">
        <f>IFERROR(__xludf.DUMMYFUNCTION("""COMPUTED_VALUE"""),"ID ")</f>
        <v>ID </v>
      </c>
    </row>
    <row r="4738">
      <c r="A4738" s="6" t="str">
        <f>IFERROR(__xludf.DUMMYFUNCTION("""COMPUTED_VALUE"""),"")</f>
        <v/>
      </c>
      <c r="C4738" t="str">
        <f>IFERROR(__xludf.DUMMYFUNCTION("""COMPUTED_VALUE"""),"")</f>
        <v/>
      </c>
      <c r="D4738" t="str">
        <f>IFERROR(__xludf.DUMMYFUNCTION("""COMPUTED_VALUE"""),"")</f>
        <v/>
      </c>
      <c r="E4738" t="str">
        <f>IFERROR(__xludf.DUMMYFUNCTION("""COMPUTED_VALUE"""),"")</f>
        <v/>
      </c>
      <c r="F4738" t="str">
        <f>IFERROR(__xludf.DUMMYFUNCTION("""COMPUTED_VALUE"""),"")</f>
        <v/>
      </c>
      <c r="G4738" t="str">
        <f>IFERROR(__xludf.DUMMYFUNCTION("""COMPUTED_VALUE"""),"")</f>
        <v/>
      </c>
      <c r="H4738" s="2" t="str">
        <f>IFERROR(__xludf.DUMMYFUNCTION("""COMPUTED_VALUE"""),"")</f>
        <v/>
      </c>
      <c r="I4738" s="2" t="str">
        <f>IFERROR(__xludf.DUMMYFUNCTION("""COMPUTED_VALUE"""),"")</f>
        <v/>
      </c>
      <c r="J4738" s="2">
        <f>IFERROR(__xludf.DUMMYFUNCTION("""COMPUTED_VALUE"""),0.0)</f>
        <v>0</v>
      </c>
      <c r="K4738" s="5" t="str">
        <f>IFERROR(__xludf.DUMMYFUNCTION("""COMPUTED_VALUE"""),"")</f>
        <v/>
      </c>
      <c r="L4738" t="str">
        <f>IFERROR(__xludf.DUMMYFUNCTION("""COMPUTED_VALUE"""),"")</f>
        <v/>
      </c>
      <c r="M4738" t="str">
        <f>IFERROR(__xludf.DUMMYFUNCTION("""COMPUTED_VALUE"""),"")</f>
        <v/>
      </c>
      <c r="N4738" t="str">
        <f>IFERROR(__xludf.DUMMYFUNCTION("""COMPUTED_VALUE"""),"")</f>
        <v/>
      </c>
      <c r="O4738" t="str">
        <f>IFERROR(__xludf.DUMMYFUNCTION("""COMPUTED_VALUE"""),"")</f>
        <v/>
      </c>
      <c r="P4738" t="str">
        <f>IFERROR(__xludf.DUMMYFUNCTION("""COMPUTED_VALUE"""),"ID ")</f>
        <v>ID </v>
      </c>
    </row>
    <row r="4739">
      <c r="A4739" s="6" t="str">
        <f>IFERROR(__xludf.DUMMYFUNCTION("""COMPUTED_VALUE"""),"")</f>
        <v/>
      </c>
      <c r="C4739" t="str">
        <f>IFERROR(__xludf.DUMMYFUNCTION("""COMPUTED_VALUE"""),"")</f>
        <v/>
      </c>
      <c r="D4739" t="str">
        <f>IFERROR(__xludf.DUMMYFUNCTION("""COMPUTED_VALUE"""),"")</f>
        <v/>
      </c>
      <c r="E4739" t="str">
        <f>IFERROR(__xludf.DUMMYFUNCTION("""COMPUTED_VALUE"""),"")</f>
        <v/>
      </c>
      <c r="F4739" t="str">
        <f>IFERROR(__xludf.DUMMYFUNCTION("""COMPUTED_VALUE"""),"")</f>
        <v/>
      </c>
      <c r="G4739" t="str">
        <f>IFERROR(__xludf.DUMMYFUNCTION("""COMPUTED_VALUE"""),"")</f>
        <v/>
      </c>
      <c r="H4739" s="2" t="str">
        <f>IFERROR(__xludf.DUMMYFUNCTION("""COMPUTED_VALUE"""),"")</f>
        <v/>
      </c>
      <c r="I4739" s="2" t="str">
        <f>IFERROR(__xludf.DUMMYFUNCTION("""COMPUTED_VALUE"""),"")</f>
        <v/>
      </c>
      <c r="J4739" s="2">
        <f>IFERROR(__xludf.DUMMYFUNCTION("""COMPUTED_VALUE"""),0.0)</f>
        <v>0</v>
      </c>
      <c r="K4739" s="5" t="str">
        <f>IFERROR(__xludf.DUMMYFUNCTION("""COMPUTED_VALUE"""),"")</f>
        <v/>
      </c>
      <c r="L4739" t="str">
        <f>IFERROR(__xludf.DUMMYFUNCTION("""COMPUTED_VALUE"""),"")</f>
        <v/>
      </c>
      <c r="M4739" t="str">
        <f>IFERROR(__xludf.DUMMYFUNCTION("""COMPUTED_VALUE"""),"")</f>
        <v/>
      </c>
      <c r="N4739" t="str">
        <f>IFERROR(__xludf.DUMMYFUNCTION("""COMPUTED_VALUE"""),"")</f>
        <v/>
      </c>
      <c r="O4739" t="str">
        <f>IFERROR(__xludf.DUMMYFUNCTION("""COMPUTED_VALUE"""),"")</f>
        <v/>
      </c>
      <c r="P4739" t="str">
        <f>IFERROR(__xludf.DUMMYFUNCTION("""COMPUTED_VALUE"""),"ID ")</f>
        <v>ID </v>
      </c>
    </row>
    <row r="4740">
      <c r="A4740" s="6" t="str">
        <f>IFERROR(__xludf.DUMMYFUNCTION("""COMPUTED_VALUE"""),"")</f>
        <v/>
      </c>
      <c r="C4740" t="str">
        <f>IFERROR(__xludf.DUMMYFUNCTION("""COMPUTED_VALUE"""),"")</f>
        <v/>
      </c>
      <c r="D4740" t="str">
        <f>IFERROR(__xludf.DUMMYFUNCTION("""COMPUTED_VALUE"""),"")</f>
        <v/>
      </c>
      <c r="E4740" t="str">
        <f>IFERROR(__xludf.DUMMYFUNCTION("""COMPUTED_VALUE"""),"")</f>
        <v/>
      </c>
      <c r="F4740" t="str">
        <f>IFERROR(__xludf.DUMMYFUNCTION("""COMPUTED_VALUE"""),"")</f>
        <v/>
      </c>
      <c r="G4740" t="str">
        <f>IFERROR(__xludf.DUMMYFUNCTION("""COMPUTED_VALUE"""),"")</f>
        <v/>
      </c>
      <c r="H4740" s="2" t="str">
        <f>IFERROR(__xludf.DUMMYFUNCTION("""COMPUTED_VALUE"""),"")</f>
        <v/>
      </c>
      <c r="I4740" s="2" t="str">
        <f>IFERROR(__xludf.DUMMYFUNCTION("""COMPUTED_VALUE"""),"")</f>
        <v/>
      </c>
      <c r="J4740" s="2">
        <f>IFERROR(__xludf.DUMMYFUNCTION("""COMPUTED_VALUE"""),0.0)</f>
        <v>0</v>
      </c>
      <c r="K4740" s="5" t="str">
        <f>IFERROR(__xludf.DUMMYFUNCTION("""COMPUTED_VALUE"""),"")</f>
        <v/>
      </c>
      <c r="L4740" t="str">
        <f>IFERROR(__xludf.DUMMYFUNCTION("""COMPUTED_VALUE"""),"")</f>
        <v/>
      </c>
      <c r="M4740" t="str">
        <f>IFERROR(__xludf.DUMMYFUNCTION("""COMPUTED_VALUE"""),"")</f>
        <v/>
      </c>
      <c r="N4740" t="str">
        <f>IFERROR(__xludf.DUMMYFUNCTION("""COMPUTED_VALUE"""),"")</f>
        <v/>
      </c>
      <c r="O4740" t="str">
        <f>IFERROR(__xludf.DUMMYFUNCTION("""COMPUTED_VALUE"""),"")</f>
        <v/>
      </c>
      <c r="P4740" t="str">
        <f>IFERROR(__xludf.DUMMYFUNCTION("""COMPUTED_VALUE"""),"ID ")</f>
        <v>ID </v>
      </c>
    </row>
    <row r="4741">
      <c r="A4741" s="6" t="str">
        <f>IFERROR(__xludf.DUMMYFUNCTION("""COMPUTED_VALUE"""),"")</f>
        <v/>
      </c>
      <c r="C4741" t="str">
        <f>IFERROR(__xludf.DUMMYFUNCTION("""COMPUTED_VALUE"""),"")</f>
        <v/>
      </c>
      <c r="D4741" t="str">
        <f>IFERROR(__xludf.DUMMYFUNCTION("""COMPUTED_VALUE"""),"")</f>
        <v/>
      </c>
      <c r="E4741" t="str">
        <f>IFERROR(__xludf.DUMMYFUNCTION("""COMPUTED_VALUE"""),"")</f>
        <v/>
      </c>
      <c r="F4741" t="str">
        <f>IFERROR(__xludf.DUMMYFUNCTION("""COMPUTED_VALUE"""),"")</f>
        <v/>
      </c>
      <c r="G4741" t="str">
        <f>IFERROR(__xludf.DUMMYFUNCTION("""COMPUTED_VALUE"""),"")</f>
        <v/>
      </c>
      <c r="H4741" s="2" t="str">
        <f>IFERROR(__xludf.DUMMYFUNCTION("""COMPUTED_VALUE"""),"")</f>
        <v/>
      </c>
      <c r="I4741" s="2" t="str">
        <f>IFERROR(__xludf.DUMMYFUNCTION("""COMPUTED_VALUE"""),"")</f>
        <v/>
      </c>
      <c r="J4741" s="2">
        <f>IFERROR(__xludf.DUMMYFUNCTION("""COMPUTED_VALUE"""),0.0)</f>
        <v>0</v>
      </c>
      <c r="K4741" s="5" t="str">
        <f>IFERROR(__xludf.DUMMYFUNCTION("""COMPUTED_VALUE"""),"")</f>
        <v/>
      </c>
      <c r="L4741" t="str">
        <f>IFERROR(__xludf.DUMMYFUNCTION("""COMPUTED_VALUE"""),"")</f>
        <v/>
      </c>
      <c r="M4741" t="str">
        <f>IFERROR(__xludf.DUMMYFUNCTION("""COMPUTED_VALUE"""),"")</f>
        <v/>
      </c>
      <c r="N4741" t="str">
        <f>IFERROR(__xludf.DUMMYFUNCTION("""COMPUTED_VALUE"""),"")</f>
        <v/>
      </c>
      <c r="O4741" t="str">
        <f>IFERROR(__xludf.DUMMYFUNCTION("""COMPUTED_VALUE"""),"")</f>
        <v/>
      </c>
      <c r="P4741" t="str">
        <f>IFERROR(__xludf.DUMMYFUNCTION("""COMPUTED_VALUE"""),"ID ")</f>
        <v>ID </v>
      </c>
    </row>
    <row r="4742">
      <c r="A4742" s="6" t="str">
        <f>IFERROR(__xludf.DUMMYFUNCTION("""COMPUTED_VALUE"""),"")</f>
        <v/>
      </c>
      <c r="C4742" t="str">
        <f>IFERROR(__xludf.DUMMYFUNCTION("""COMPUTED_VALUE"""),"")</f>
        <v/>
      </c>
      <c r="D4742" t="str">
        <f>IFERROR(__xludf.DUMMYFUNCTION("""COMPUTED_VALUE"""),"")</f>
        <v/>
      </c>
      <c r="E4742" t="str">
        <f>IFERROR(__xludf.DUMMYFUNCTION("""COMPUTED_VALUE"""),"")</f>
        <v/>
      </c>
      <c r="F4742" t="str">
        <f>IFERROR(__xludf.DUMMYFUNCTION("""COMPUTED_VALUE"""),"")</f>
        <v/>
      </c>
      <c r="G4742" t="str">
        <f>IFERROR(__xludf.DUMMYFUNCTION("""COMPUTED_VALUE"""),"")</f>
        <v/>
      </c>
      <c r="H4742" s="2" t="str">
        <f>IFERROR(__xludf.DUMMYFUNCTION("""COMPUTED_VALUE"""),"")</f>
        <v/>
      </c>
      <c r="I4742" s="2" t="str">
        <f>IFERROR(__xludf.DUMMYFUNCTION("""COMPUTED_VALUE"""),"")</f>
        <v/>
      </c>
      <c r="J4742" s="2">
        <f>IFERROR(__xludf.DUMMYFUNCTION("""COMPUTED_VALUE"""),0.0)</f>
        <v>0</v>
      </c>
      <c r="K4742" s="5" t="str">
        <f>IFERROR(__xludf.DUMMYFUNCTION("""COMPUTED_VALUE"""),"")</f>
        <v/>
      </c>
      <c r="L4742" t="str">
        <f>IFERROR(__xludf.DUMMYFUNCTION("""COMPUTED_VALUE"""),"")</f>
        <v/>
      </c>
      <c r="M4742" t="str">
        <f>IFERROR(__xludf.DUMMYFUNCTION("""COMPUTED_VALUE"""),"")</f>
        <v/>
      </c>
      <c r="N4742" t="str">
        <f>IFERROR(__xludf.DUMMYFUNCTION("""COMPUTED_VALUE"""),"")</f>
        <v/>
      </c>
      <c r="O4742" t="str">
        <f>IFERROR(__xludf.DUMMYFUNCTION("""COMPUTED_VALUE"""),"")</f>
        <v/>
      </c>
      <c r="P4742" t="str">
        <f>IFERROR(__xludf.DUMMYFUNCTION("""COMPUTED_VALUE"""),"ID ")</f>
        <v>ID </v>
      </c>
    </row>
    <row r="4743">
      <c r="A4743" s="6" t="str">
        <f>IFERROR(__xludf.DUMMYFUNCTION("""COMPUTED_VALUE"""),"")</f>
        <v/>
      </c>
      <c r="C4743" t="str">
        <f>IFERROR(__xludf.DUMMYFUNCTION("""COMPUTED_VALUE"""),"")</f>
        <v/>
      </c>
      <c r="D4743" t="str">
        <f>IFERROR(__xludf.DUMMYFUNCTION("""COMPUTED_VALUE"""),"")</f>
        <v/>
      </c>
      <c r="E4743" t="str">
        <f>IFERROR(__xludf.DUMMYFUNCTION("""COMPUTED_VALUE"""),"")</f>
        <v/>
      </c>
      <c r="F4743" t="str">
        <f>IFERROR(__xludf.DUMMYFUNCTION("""COMPUTED_VALUE"""),"")</f>
        <v/>
      </c>
      <c r="G4743" t="str">
        <f>IFERROR(__xludf.DUMMYFUNCTION("""COMPUTED_VALUE"""),"")</f>
        <v/>
      </c>
      <c r="H4743" s="2" t="str">
        <f>IFERROR(__xludf.DUMMYFUNCTION("""COMPUTED_VALUE"""),"")</f>
        <v/>
      </c>
      <c r="I4743" s="2" t="str">
        <f>IFERROR(__xludf.DUMMYFUNCTION("""COMPUTED_VALUE"""),"")</f>
        <v/>
      </c>
      <c r="J4743" s="2">
        <f>IFERROR(__xludf.DUMMYFUNCTION("""COMPUTED_VALUE"""),0.0)</f>
        <v>0</v>
      </c>
      <c r="K4743" s="5" t="str">
        <f>IFERROR(__xludf.DUMMYFUNCTION("""COMPUTED_VALUE"""),"")</f>
        <v/>
      </c>
      <c r="L4743" t="str">
        <f>IFERROR(__xludf.DUMMYFUNCTION("""COMPUTED_VALUE"""),"")</f>
        <v/>
      </c>
      <c r="M4743" t="str">
        <f>IFERROR(__xludf.DUMMYFUNCTION("""COMPUTED_VALUE"""),"")</f>
        <v/>
      </c>
      <c r="N4743" t="str">
        <f>IFERROR(__xludf.DUMMYFUNCTION("""COMPUTED_VALUE"""),"")</f>
        <v/>
      </c>
      <c r="O4743" t="str">
        <f>IFERROR(__xludf.DUMMYFUNCTION("""COMPUTED_VALUE"""),"")</f>
        <v/>
      </c>
      <c r="P4743" t="str">
        <f>IFERROR(__xludf.DUMMYFUNCTION("""COMPUTED_VALUE"""),"ID ")</f>
        <v>ID </v>
      </c>
    </row>
    <row r="4744">
      <c r="A4744" s="6" t="str">
        <f>IFERROR(__xludf.DUMMYFUNCTION("""COMPUTED_VALUE"""),"")</f>
        <v/>
      </c>
      <c r="C4744" t="str">
        <f>IFERROR(__xludf.DUMMYFUNCTION("""COMPUTED_VALUE"""),"")</f>
        <v/>
      </c>
      <c r="D4744" t="str">
        <f>IFERROR(__xludf.DUMMYFUNCTION("""COMPUTED_VALUE"""),"")</f>
        <v/>
      </c>
      <c r="E4744" t="str">
        <f>IFERROR(__xludf.DUMMYFUNCTION("""COMPUTED_VALUE"""),"")</f>
        <v/>
      </c>
      <c r="F4744" t="str">
        <f>IFERROR(__xludf.DUMMYFUNCTION("""COMPUTED_VALUE"""),"")</f>
        <v/>
      </c>
      <c r="G4744" t="str">
        <f>IFERROR(__xludf.DUMMYFUNCTION("""COMPUTED_VALUE"""),"")</f>
        <v/>
      </c>
      <c r="H4744" s="2" t="str">
        <f>IFERROR(__xludf.DUMMYFUNCTION("""COMPUTED_VALUE"""),"")</f>
        <v/>
      </c>
      <c r="I4744" s="2" t="str">
        <f>IFERROR(__xludf.DUMMYFUNCTION("""COMPUTED_VALUE"""),"")</f>
        <v/>
      </c>
      <c r="J4744" s="2">
        <f>IFERROR(__xludf.DUMMYFUNCTION("""COMPUTED_VALUE"""),0.0)</f>
        <v>0</v>
      </c>
      <c r="K4744" s="5" t="str">
        <f>IFERROR(__xludf.DUMMYFUNCTION("""COMPUTED_VALUE"""),"")</f>
        <v/>
      </c>
      <c r="L4744" t="str">
        <f>IFERROR(__xludf.DUMMYFUNCTION("""COMPUTED_VALUE"""),"")</f>
        <v/>
      </c>
      <c r="M4744" t="str">
        <f>IFERROR(__xludf.DUMMYFUNCTION("""COMPUTED_VALUE"""),"")</f>
        <v/>
      </c>
      <c r="N4744" t="str">
        <f>IFERROR(__xludf.DUMMYFUNCTION("""COMPUTED_VALUE"""),"")</f>
        <v/>
      </c>
      <c r="O4744" t="str">
        <f>IFERROR(__xludf.DUMMYFUNCTION("""COMPUTED_VALUE"""),"")</f>
        <v/>
      </c>
      <c r="P4744" t="str">
        <f>IFERROR(__xludf.DUMMYFUNCTION("""COMPUTED_VALUE"""),"ID ")</f>
        <v>ID </v>
      </c>
    </row>
    <row r="4745">
      <c r="A4745" s="6" t="str">
        <f>IFERROR(__xludf.DUMMYFUNCTION("""COMPUTED_VALUE"""),"")</f>
        <v/>
      </c>
      <c r="C4745" t="str">
        <f>IFERROR(__xludf.DUMMYFUNCTION("""COMPUTED_VALUE"""),"")</f>
        <v/>
      </c>
      <c r="D4745" t="str">
        <f>IFERROR(__xludf.DUMMYFUNCTION("""COMPUTED_VALUE"""),"")</f>
        <v/>
      </c>
      <c r="E4745" t="str">
        <f>IFERROR(__xludf.DUMMYFUNCTION("""COMPUTED_VALUE"""),"")</f>
        <v/>
      </c>
      <c r="F4745" t="str">
        <f>IFERROR(__xludf.DUMMYFUNCTION("""COMPUTED_VALUE"""),"")</f>
        <v/>
      </c>
      <c r="G4745" t="str">
        <f>IFERROR(__xludf.DUMMYFUNCTION("""COMPUTED_VALUE"""),"")</f>
        <v/>
      </c>
      <c r="H4745" s="2" t="str">
        <f>IFERROR(__xludf.DUMMYFUNCTION("""COMPUTED_VALUE"""),"")</f>
        <v/>
      </c>
      <c r="I4745" s="2" t="str">
        <f>IFERROR(__xludf.DUMMYFUNCTION("""COMPUTED_VALUE"""),"")</f>
        <v/>
      </c>
      <c r="J4745" s="2">
        <f>IFERROR(__xludf.DUMMYFUNCTION("""COMPUTED_VALUE"""),0.0)</f>
        <v>0</v>
      </c>
      <c r="K4745" s="5" t="str">
        <f>IFERROR(__xludf.DUMMYFUNCTION("""COMPUTED_VALUE"""),"")</f>
        <v/>
      </c>
      <c r="L4745" t="str">
        <f>IFERROR(__xludf.DUMMYFUNCTION("""COMPUTED_VALUE"""),"")</f>
        <v/>
      </c>
      <c r="M4745" t="str">
        <f>IFERROR(__xludf.DUMMYFUNCTION("""COMPUTED_VALUE"""),"")</f>
        <v/>
      </c>
      <c r="N4745" t="str">
        <f>IFERROR(__xludf.DUMMYFUNCTION("""COMPUTED_VALUE"""),"")</f>
        <v/>
      </c>
      <c r="O4745" t="str">
        <f>IFERROR(__xludf.DUMMYFUNCTION("""COMPUTED_VALUE"""),"")</f>
        <v/>
      </c>
      <c r="P4745" t="str">
        <f>IFERROR(__xludf.DUMMYFUNCTION("""COMPUTED_VALUE"""),"ID ")</f>
        <v>ID </v>
      </c>
    </row>
    <row r="4746">
      <c r="A4746" s="6" t="str">
        <f>IFERROR(__xludf.DUMMYFUNCTION("""COMPUTED_VALUE"""),"")</f>
        <v/>
      </c>
      <c r="C4746" t="str">
        <f>IFERROR(__xludf.DUMMYFUNCTION("""COMPUTED_VALUE"""),"")</f>
        <v/>
      </c>
      <c r="D4746" t="str">
        <f>IFERROR(__xludf.DUMMYFUNCTION("""COMPUTED_VALUE"""),"")</f>
        <v/>
      </c>
      <c r="E4746" t="str">
        <f>IFERROR(__xludf.DUMMYFUNCTION("""COMPUTED_VALUE"""),"")</f>
        <v/>
      </c>
      <c r="F4746" t="str">
        <f>IFERROR(__xludf.DUMMYFUNCTION("""COMPUTED_VALUE"""),"")</f>
        <v/>
      </c>
      <c r="G4746" t="str">
        <f>IFERROR(__xludf.DUMMYFUNCTION("""COMPUTED_VALUE"""),"")</f>
        <v/>
      </c>
      <c r="H4746" s="2" t="str">
        <f>IFERROR(__xludf.DUMMYFUNCTION("""COMPUTED_VALUE"""),"")</f>
        <v/>
      </c>
      <c r="I4746" s="2" t="str">
        <f>IFERROR(__xludf.DUMMYFUNCTION("""COMPUTED_VALUE"""),"")</f>
        <v/>
      </c>
      <c r="J4746" s="2">
        <f>IFERROR(__xludf.DUMMYFUNCTION("""COMPUTED_VALUE"""),0.0)</f>
        <v>0</v>
      </c>
      <c r="K4746" s="5" t="str">
        <f>IFERROR(__xludf.DUMMYFUNCTION("""COMPUTED_VALUE"""),"")</f>
        <v/>
      </c>
      <c r="L4746" t="str">
        <f>IFERROR(__xludf.DUMMYFUNCTION("""COMPUTED_VALUE"""),"")</f>
        <v/>
      </c>
      <c r="M4746" t="str">
        <f>IFERROR(__xludf.DUMMYFUNCTION("""COMPUTED_VALUE"""),"")</f>
        <v/>
      </c>
      <c r="N4746" t="str">
        <f>IFERROR(__xludf.DUMMYFUNCTION("""COMPUTED_VALUE"""),"")</f>
        <v/>
      </c>
      <c r="O4746" t="str">
        <f>IFERROR(__xludf.DUMMYFUNCTION("""COMPUTED_VALUE"""),"")</f>
        <v/>
      </c>
      <c r="P4746" t="str">
        <f>IFERROR(__xludf.DUMMYFUNCTION("""COMPUTED_VALUE"""),"ID ")</f>
        <v>ID </v>
      </c>
    </row>
    <row r="4747">
      <c r="A4747" s="6" t="str">
        <f>IFERROR(__xludf.DUMMYFUNCTION("""COMPUTED_VALUE"""),"")</f>
        <v/>
      </c>
      <c r="C4747" t="str">
        <f>IFERROR(__xludf.DUMMYFUNCTION("""COMPUTED_VALUE"""),"")</f>
        <v/>
      </c>
      <c r="D4747" t="str">
        <f>IFERROR(__xludf.DUMMYFUNCTION("""COMPUTED_VALUE"""),"")</f>
        <v/>
      </c>
      <c r="E4747" t="str">
        <f>IFERROR(__xludf.DUMMYFUNCTION("""COMPUTED_VALUE"""),"")</f>
        <v/>
      </c>
      <c r="F4747" t="str">
        <f>IFERROR(__xludf.DUMMYFUNCTION("""COMPUTED_VALUE"""),"")</f>
        <v/>
      </c>
      <c r="G4747" t="str">
        <f>IFERROR(__xludf.DUMMYFUNCTION("""COMPUTED_VALUE"""),"")</f>
        <v/>
      </c>
      <c r="H4747" s="2" t="str">
        <f>IFERROR(__xludf.DUMMYFUNCTION("""COMPUTED_VALUE"""),"")</f>
        <v/>
      </c>
      <c r="I4747" s="2" t="str">
        <f>IFERROR(__xludf.DUMMYFUNCTION("""COMPUTED_VALUE"""),"")</f>
        <v/>
      </c>
      <c r="J4747" s="2">
        <f>IFERROR(__xludf.DUMMYFUNCTION("""COMPUTED_VALUE"""),0.0)</f>
        <v>0</v>
      </c>
      <c r="K4747" s="5" t="str">
        <f>IFERROR(__xludf.DUMMYFUNCTION("""COMPUTED_VALUE"""),"")</f>
        <v/>
      </c>
      <c r="L4747" t="str">
        <f>IFERROR(__xludf.DUMMYFUNCTION("""COMPUTED_VALUE"""),"")</f>
        <v/>
      </c>
      <c r="M4747" t="str">
        <f>IFERROR(__xludf.DUMMYFUNCTION("""COMPUTED_VALUE"""),"")</f>
        <v/>
      </c>
      <c r="N4747" t="str">
        <f>IFERROR(__xludf.DUMMYFUNCTION("""COMPUTED_VALUE"""),"")</f>
        <v/>
      </c>
      <c r="O4747" t="str">
        <f>IFERROR(__xludf.DUMMYFUNCTION("""COMPUTED_VALUE"""),"")</f>
        <v/>
      </c>
      <c r="P4747" t="str">
        <f>IFERROR(__xludf.DUMMYFUNCTION("""COMPUTED_VALUE"""),"ID ")</f>
        <v>ID </v>
      </c>
    </row>
    <row r="4748">
      <c r="A4748" s="6" t="str">
        <f>IFERROR(__xludf.DUMMYFUNCTION("""COMPUTED_VALUE"""),"")</f>
        <v/>
      </c>
      <c r="C4748" t="str">
        <f>IFERROR(__xludf.DUMMYFUNCTION("""COMPUTED_VALUE"""),"")</f>
        <v/>
      </c>
      <c r="D4748" t="str">
        <f>IFERROR(__xludf.DUMMYFUNCTION("""COMPUTED_VALUE"""),"")</f>
        <v/>
      </c>
      <c r="E4748" t="str">
        <f>IFERROR(__xludf.DUMMYFUNCTION("""COMPUTED_VALUE"""),"")</f>
        <v/>
      </c>
      <c r="F4748" t="str">
        <f>IFERROR(__xludf.DUMMYFUNCTION("""COMPUTED_VALUE"""),"")</f>
        <v/>
      </c>
      <c r="G4748" t="str">
        <f>IFERROR(__xludf.DUMMYFUNCTION("""COMPUTED_VALUE"""),"")</f>
        <v/>
      </c>
      <c r="H4748" s="2" t="str">
        <f>IFERROR(__xludf.DUMMYFUNCTION("""COMPUTED_VALUE"""),"")</f>
        <v/>
      </c>
      <c r="I4748" s="2" t="str">
        <f>IFERROR(__xludf.DUMMYFUNCTION("""COMPUTED_VALUE"""),"")</f>
        <v/>
      </c>
      <c r="J4748" s="2">
        <f>IFERROR(__xludf.DUMMYFUNCTION("""COMPUTED_VALUE"""),0.0)</f>
        <v>0</v>
      </c>
      <c r="K4748" s="5" t="str">
        <f>IFERROR(__xludf.DUMMYFUNCTION("""COMPUTED_VALUE"""),"")</f>
        <v/>
      </c>
      <c r="L4748" t="str">
        <f>IFERROR(__xludf.DUMMYFUNCTION("""COMPUTED_VALUE"""),"")</f>
        <v/>
      </c>
      <c r="M4748" t="str">
        <f>IFERROR(__xludf.DUMMYFUNCTION("""COMPUTED_VALUE"""),"")</f>
        <v/>
      </c>
      <c r="N4748" t="str">
        <f>IFERROR(__xludf.DUMMYFUNCTION("""COMPUTED_VALUE"""),"")</f>
        <v/>
      </c>
      <c r="O4748" t="str">
        <f>IFERROR(__xludf.DUMMYFUNCTION("""COMPUTED_VALUE"""),"")</f>
        <v/>
      </c>
      <c r="P4748" t="str">
        <f>IFERROR(__xludf.DUMMYFUNCTION("""COMPUTED_VALUE"""),"ID ")</f>
        <v>ID </v>
      </c>
    </row>
    <row r="4749">
      <c r="A4749" s="6" t="str">
        <f>IFERROR(__xludf.DUMMYFUNCTION("""COMPUTED_VALUE"""),"")</f>
        <v/>
      </c>
      <c r="C4749" t="str">
        <f>IFERROR(__xludf.DUMMYFUNCTION("""COMPUTED_VALUE"""),"")</f>
        <v/>
      </c>
      <c r="D4749" t="str">
        <f>IFERROR(__xludf.DUMMYFUNCTION("""COMPUTED_VALUE"""),"")</f>
        <v/>
      </c>
      <c r="E4749" t="str">
        <f>IFERROR(__xludf.DUMMYFUNCTION("""COMPUTED_VALUE"""),"")</f>
        <v/>
      </c>
      <c r="F4749" t="str">
        <f>IFERROR(__xludf.DUMMYFUNCTION("""COMPUTED_VALUE"""),"")</f>
        <v/>
      </c>
      <c r="G4749" t="str">
        <f>IFERROR(__xludf.DUMMYFUNCTION("""COMPUTED_VALUE"""),"")</f>
        <v/>
      </c>
      <c r="H4749" s="2" t="str">
        <f>IFERROR(__xludf.DUMMYFUNCTION("""COMPUTED_VALUE"""),"")</f>
        <v/>
      </c>
      <c r="I4749" s="2" t="str">
        <f>IFERROR(__xludf.DUMMYFUNCTION("""COMPUTED_VALUE"""),"")</f>
        <v/>
      </c>
      <c r="J4749" s="2">
        <f>IFERROR(__xludf.DUMMYFUNCTION("""COMPUTED_VALUE"""),0.0)</f>
        <v>0</v>
      </c>
      <c r="K4749" s="5" t="str">
        <f>IFERROR(__xludf.DUMMYFUNCTION("""COMPUTED_VALUE"""),"")</f>
        <v/>
      </c>
      <c r="L4749" t="str">
        <f>IFERROR(__xludf.DUMMYFUNCTION("""COMPUTED_VALUE"""),"")</f>
        <v/>
      </c>
      <c r="M4749" t="str">
        <f>IFERROR(__xludf.DUMMYFUNCTION("""COMPUTED_VALUE"""),"")</f>
        <v/>
      </c>
      <c r="N4749" t="str">
        <f>IFERROR(__xludf.DUMMYFUNCTION("""COMPUTED_VALUE"""),"")</f>
        <v/>
      </c>
      <c r="O4749" t="str">
        <f>IFERROR(__xludf.DUMMYFUNCTION("""COMPUTED_VALUE"""),"")</f>
        <v/>
      </c>
      <c r="P4749" t="str">
        <f>IFERROR(__xludf.DUMMYFUNCTION("""COMPUTED_VALUE"""),"ID ")</f>
        <v>ID </v>
      </c>
    </row>
    <row r="4750">
      <c r="A4750" s="6" t="str">
        <f>IFERROR(__xludf.DUMMYFUNCTION("""COMPUTED_VALUE"""),"")</f>
        <v/>
      </c>
      <c r="C4750" t="str">
        <f>IFERROR(__xludf.DUMMYFUNCTION("""COMPUTED_VALUE"""),"")</f>
        <v/>
      </c>
      <c r="D4750" t="str">
        <f>IFERROR(__xludf.DUMMYFUNCTION("""COMPUTED_VALUE"""),"")</f>
        <v/>
      </c>
      <c r="E4750" t="str">
        <f>IFERROR(__xludf.DUMMYFUNCTION("""COMPUTED_VALUE"""),"")</f>
        <v/>
      </c>
      <c r="F4750" t="str">
        <f>IFERROR(__xludf.DUMMYFUNCTION("""COMPUTED_VALUE"""),"")</f>
        <v/>
      </c>
      <c r="G4750" t="str">
        <f>IFERROR(__xludf.DUMMYFUNCTION("""COMPUTED_VALUE"""),"")</f>
        <v/>
      </c>
      <c r="H4750" s="2" t="str">
        <f>IFERROR(__xludf.DUMMYFUNCTION("""COMPUTED_VALUE"""),"")</f>
        <v/>
      </c>
      <c r="I4750" s="2" t="str">
        <f>IFERROR(__xludf.DUMMYFUNCTION("""COMPUTED_VALUE"""),"")</f>
        <v/>
      </c>
      <c r="J4750" s="2">
        <f>IFERROR(__xludf.DUMMYFUNCTION("""COMPUTED_VALUE"""),0.0)</f>
        <v>0</v>
      </c>
      <c r="K4750" s="5" t="str">
        <f>IFERROR(__xludf.DUMMYFUNCTION("""COMPUTED_VALUE"""),"")</f>
        <v/>
      </c>
      <c r="L4750" t="str">
        <f>IFERROR(__xludf.DUMMYFUNCTION("""COMPUTED_VALUE"""),"")</f>
        <v/>
      </c>
      <c r="M4750" t="str">
        <f>IFERROR(__xludf.DUMMYFUNCTION("""COMPUTED_VALUE"""),"")</f>
        <v/>
      </c>
      <c r="N4750" t="str">
        <f>IFERROR(__xludf.DUMMYFUNCTION("""COMPUTED_VALUE"""),"")</f>
        <v/>
      </c>
      <c r="O4750" t="str">
        <f>IFERROR(__xludf.DUMMYFUNCTION("""COMPUTED_VALUE"""),"")</f>
        <v/>
      </c>
      <c r="P4750" t="str">
        <f>IFERROR(__xludf.DUMMYFUNCTION("""COMPUTED_VALUE"""),"ID ")</f>
        <v>ID </v>
      </c>
    </row>
    <row r="4751">
      <c r="A4751" s="6" t="str">
        <f>IFERROR(__xludf.DUMMYFUNCTION("""COMPUTED_VALUE"""),"")</f>
        <v/>
      </c>
      <c r="C4751" t="str">
        <f>IFERROR(__xludf.DUMMYFUNCTION("""COMPUTED_VALUE"""),"")</f>
        <v/>
      </c>
      <c r="D4751" t="str">
        <f>IFERROR(__xludf.DUMMYFUNCTION("""COMPUTED_VALUE"""),"")</f>
        <v/>
      </c>
      <c r="E4751" t="str">
        <f>IFERROR(__xludf.DUMMYFUNCTION("""COMPUTED_VALUE"""),"")</f>
        <v/>
      </c>
      <c r="F4751" t="str">
        <f>IFERROR(__xludf.DUMMYFUNCTION("""COMPUTED_VALUE"""),"")</f>
        <v/>
      </c>
      <c r="G4751" t="str">
        <f>IFERROR(__xludf.DUMMYFUNCTION("""COMPUTED_VALUE"""),"")</f>
        <v/>
      </c>
      <c r="H4751" s="2" t="str">
        <f>IFERROR(__xludf.DUMMYFUNCTION("""COMPUTED_VALUE"""),"")</f>
        <v/>
      </c>
      <c r="I4751" s="2" t="str">
        <f>IFERROR(__xludf.DUMMYFUNCTION("""COMPUTED_VALUE"""),"")</f>
        <v/>
      </c>
      <c r="J4751" s="2">
        <f>IFERROR(__xludf.DUMMYFUNCTION("""COMPUTED_VALUE"""),0.0)</f>
        <v>0</v>
      </c>
      <c r="K4751" s="5" t="str">
        <f>IFERROR(__xludf.DUMMYFUNCTION("""COMPUTED_VALUE"""),"")</f>
        <v/>
      </c>
      <c r="L4751" t="str">
        <f>IFERROR(__xludf.DUMMYFUNCTION("""COMPUTED_VALUE"""),"")</f>
        <v/>
      </c>
      <c r="M4751" t="str">
        <f>IFERROR(__xludf.DUMMYFUNCTION("""COMPUTED_VALUE"""),"")</f>
        <v/>
      </c>
      <c r="N4751" t="str">
        <f>IFERROR(__xludf.DUMMYFUNCTION("""COMPUTED_VALUE"""),"")</f>
        <v/>
      </c>
      <c r="O4751" t="str">
        <f>IFERROR(__xludf.DUMMYFUNCTION("""COMPUTED_VALUE"""),"")</f>
        <v/>
      </c>
      <c r="P4751" t="str">
        <f>IFERROR(__xludf.DUMMYFUNCTION("""COMPUTED_VALUE"""),"ID ")</f>
        <v>ID </v>
      </c>
    </row>
    <row r="4752">
      <c r="A4752" s="6" t="str">
        <f>IFERROR(__xludf.DUMMYFUNCTION("""COMPUTED_VALUE"""),"")</f>
        <v/>
      </c>
      <c r="C4752" t="str">
        <f>IFERROR(__xludf.DUMMYFUNCTION("""COMPUTED_VALUE"""),"")</f>
        <v/>
      </c>
      <c r="D4752" t="str">
        <f>IFERROR(__xludf.DUMMYFUNCTION("""COMPUTED_VALUE"""),"")</f>
        <v/>
      </c>
      <c r="E4752" t="str">
        <f>IFERROR(__xludf.DUMMYFUNCTION("""COMPUTED_VALUE"""),"")</f>
        <v/>
      </c>
      <c r="F4752" t="str">
        <f>IFERROR(__xludf.DUMMYFUNCTION("""COMPUTED_VALUE"""),"")</f>
        <v/>
      </c>
      <c r="G4752" t="str">
        <f>IFERROR(__xludf.DUMMYFUNCTION("""COMPUTED_VALUE"""),"")</f>
        <v/>
      </c>
      <c r="H4752" s="2" t="str">
        <f>IFERROR(__xludf.DUMMYFUNCTION("""COMPUTED_VALUE"""),"")</f>
        <v/>
      </c>
      <c r="I4752" s="2" t="str">
        <f>IFERROR(__xludf.DUMMYFUNCTION("""COMPUTED_VALUE"""),"")</f>
        <v/>
      </c>
      <c r="J4752" s="2">
        <f>IFERROR(__xludf.DUMMYFUNCTION("""COMPUTED_VALUE"""),0.0)</f>
        <v>0</v>
      </c>
      <c r="K4752" s="5" t="str">
        <f>IFERROR(__xludf.DUMMYFUNCTION("""COMPUTED_VALUE"""),"")</f>
        <v/>
      </c>
      <c r="L4752" t="str">
        <f>IFERROR(__xludf.DUMMYFUNCTION("""COMPUTED_VALUE"""),"")</f>
        <v/>
      </c>
      <c r="M4752" t="str">
        <f>IFERROR(__xludf.DUMMYFUNCTION("""COMPUTED_VALUE"""),"")</f>
        <v/>
      </c>
      <c r="N4752" t="str">
        <f>IFERROR(__xludf.DUMMYFUNCTION("""COMPUTED_VALUE"""),"")</f>
        <v/>
      </c>
      <c r="O4752" t="str">
        <f>IFERROR(__xludf.DUMMYFUNCTION("""COMPUTED_VALUE"""),"")</f>
        <v/>
      </c>
      <c r="P4752" t="str">
        <f>IFERROR(__xludf.DUMMYFUNCTION("""COMPUTED_VALUE"""),"ID ")</f>
        <v>ID </v>
      </c>
    </row>
    <row r="4753">
      <c r="A4753" s="6" t="str">
        <f>IFERROR(__xludf.DUMMYFUNCTION("""COMPUTED_VALUE"""),"")</f>
        <v/>
      </c>
      <c r="C4753" t="str">
        <f>IFERROR(__xludf.DUMMYFUNCTION("""COMPUTED_VALUE"""),"")</f>
        <v/>
      </c>
      <c r="D4753" t="str">
        <f>IFERROR(__xludf.DUMMYFUNCTION("""COMPUTED_VALUE"""),"")</f>
        <v/>
      </c>
      <c r="E4753" t="str">
        <f>IFERROR(__xludf.DUMMYFUNCTION("""COMPUTED_VALUE"""),"")</f>
        <v/>
      </c>
      <c r="F4753" t="str">
        <f>IFERROR(__xludf.DUMMYFUNCTION("""COMPUTED_VALUE"""),"")</f>
        <v/>
      </c>
      <c r="G4753" t="str">
        <f>IFERROR(__xludf.DUMMYFUNCTION("""COMPUTED_VALUE"""),"")</f>
        <v/>
      </c>
      <c r="H4753" s="2" t="str">
        <f>IFERROR(__xludf.DUMMYFUNCTION("""COMPUTED_VALUE"""),"")</f>
        <v/>
      </c>
      <c r="I4753" s="2" t="str">
        <f>IFERROR(__xludf.DUMMYFUNCTION("""COMPUTED_VALUE"""),"")</f>
        <v/>
      </c>
      <c r="J4753" s="2">
        <f>IFERROR(__xludf.DUMMYFUNCTION("""COMPUTED_VALUE"""),0.0)</f>
        <v>0</v>
      </c>
      <c r="K4753" s="5" t="str">
        <f>IFERROR(__xludf.DUMMYFUNCTION("""COMPUTED_VALUE"""),"")</f>
        <v/>
      </c>
      <c r="L4753" t="str">
        <f>IFERROR(__xludf.DUMMYFUNCTION("""COMPUTED_VALUE"""),"")</f>
        <v/>
      </c>
      <c r="M4753" t="str">
        <f>IFERROR(__xludf.DUMMYFUNCTION("""COMPUTED_VALUE"""),"")</f>
        <v/>
      </c>
      <c r="N4753" t="str">
        <f>IFERROR(__xludf.DUMMYFUNCTION("""COMPUTED_VALUE"""),"")</f>
        <v/>
      </c>
      <c r="O4753" t="str">
        <f>IFERROR(__xludf.DUMMYFUNCTION("""COMPUTED_VALUE"""),"")</f>
        <v/>
      </c>
      <c r="P4753" t="str">
        <f>IFERROR(__xludf.DUMMYFUNCTION("""COMPUTED_VALUE"""),"ID ")</f>
        <v>ID </v>
      </c>
    </row>
    <row r="4754">
      <c r="A4754" s="6" t="str">
        <f>IFERROR(__xludf.DUMMYFUNCTION("""COMPUTED_VALUE"""),"")</f>
        <v/>
      </c>
      <c r="C4754" t="str">
        <f>IFERROR(__xludf.DUMMYFUNCTION("""COMPUTED_VALUE"""),"")</f>
        <v/>
      </c>
      <c r="D4754" t="str">
        <f>IFERROR(__xludf.DUMMYFUNCTION("""COMPUTED_VALUE"""),"")</f>
        <v/>
      </c>
      <c r="E4754" t="str">
        <f>IFERROR(__xludf.DUMMYFUNCTION("""COMPUTED_VALUE"""),"")</f>
        <v/>
      </c>
      <c r="F4754" t="str">
        <f>IFERROR(__xludf.DUMMYFUNCTION("""COMPUTED_VALUE"""),"")</f>
        <v/>
      </c>
      <c r="G4754" t="str">
        <f>IFERROR(__xludf.DUMMYFUNCTION("""COMPUTED_VALUE"""),"")</f>
        <v/>
      </c>
      <c r="H4754" s="2" t="str">
        <f>IFERROR(__xludf.DUMMYFUNCTION("""COMPUTED_VALUE"""),"")</f>
        <v/>
      </c>
      <c r="I4754" s="2" t="str">
        <f>IFERROR(__xludf.DUMMYFUNCTION("""COMPUTED_VALUE"""),"")</f>
        <v/>
      </c>
      <c r="J4754" s="2">
        <f>IFERROR(__xludf.DUMMYFUNCTION("""COMPUTED_VALUE"""),0.0)</f>
        <v>0</v>
      </c>
      <c r="K4754" s="5" t="str">
        <f>IFERROR(__xludf.DUMMYFUNCTION("""COMPUTED_VALUE"""),"")</f>
        <v/>
      </c>
      <c r="L4754" t="str">
        <f>IFERROR(__xludf.DUMMYFUNCTION("""COMPUTED_VALUE"""),"")</f>
        <v/>
      </c>
      <c r="M4754" t="str">
        <f>IFERROR(__xludf.DUMMYFUNCTION("""COMPUTED_VALUE"""),"")</f>
        <v/>
      </c>
      <c r="N4754" t="str">
        <f>IFERROR(__xludf.DUMMYFUNCTION("""COMPUTED_VALUE"""),"")</f>
        <v/>
      </c>
      <c r="O4754" t="str">
        <f>IFERROR(__xludf.DUMMYFUNCTION("""COMPUTED_VALUE"""),"")</f>
        <v/>
      </c>
      <c r="P4754" t="str">
        <f>IFERROR(__xludf.DUMMYFUNCTION("""COMPUTED_VALUE"""),"ID ")</f>
        <v>ID </v>
      </c>
    </row>
    <row r="4755">
      <c r="A4755" s="6" t="str">
        <f>IFERROR(__xludf.DUMMYFUNCTION("""COMPUTED_VALUE"""),"")</f>
        <v/>
      </c>
      <c r="C4755" t="str">
        <f>IFERROR(__xludf.DUMMYFUNCTION("""COMPUTED_VALUE"""),"")</f>
        <v/>
      </c>
      <c r="D4755" t="str">
        <f>IFERROR(__xludf.DUMMYFUNCTION("""COMPUTED_VALUE"""),"")</f>
        <v/>
      </c>
      <c r="E4755" t="str">
        <f>IFERROR(__xludf.DUMMYFUNCTION("""COMPUTED_VALUE"""),"")</f>
        <v/>
      </c>
      <c r="F4755" t="str">
        <f>IFERROR(__xludf.DUMMYFUNCTION("""COMPUTED_VALUE"""),"")</f>
        <v/>
      </c>
      <c r="G4755" t="str">
        <f>IFERROR(__xludf.DUMMYFUNCTION("""COMPUTED_VALUE"""),"")</f>
        <v/>
      </c>
      <c r="H4755" s="2" t="str">
        <f>IFERROR(__xludf.DUMMYFUNCTION("""COMPUTED_VALUE"""),"")</f>
        <v/>
      </c>
      <c r="I4755" s="2" t="str">
        <f>IFERROR(__xludf.DUMMYFUNCTION("""COMPUTED_VALUE"""),"")</f>
        <v/>
      </c>
      <c r="J4755" s="2">
        <f>IFERROR(__xludf.DUMMYFUNCTION("""COMPUTED_VALUE"""),0.0)</f>
        <v>0</v>
      </c>
      <c r="K4755" s="5" t="str">
        <f>IFERROR(__xludf.DUMMYFUNCTION("""COMPUTED_VALUE"""),"")</f>
        <v/>
      </c>
      <c r="L4755" t="str">
        <f>IFERROR(__xludf.DUMMYFUNCTION("""COMPUTED_VALUE"""),"")</f>
        <v/>
      </c>
      <c r="M4755" t="str">
        <f>IFERROR(__xludf.DUMMYFUNCTION("""COMPUTED_VALUE"""),"")</f>
        <v/>
      </c>
      <c r="N4755" t="str">
        <f>IFERROR(__xludf.DUMMYFUNCTION("""COMPUTED_VALUE"""),"")</f>
        <v/>
      </c>
      <c r="O4755" t="str">
        <f>IFERROR(__xludf.DUMMYFUNCTION("""COMPUTED_VALUE"""),"")</f>
        <v/>
      </c>
      <c r="P4755" t="str">
        <f>IFERROR(__xludf.DUMMYFUNCTION("""COMPUTED_VALUE"""),"ID ")</f>
        <v>ID </v>
      </c>
    </row>
    <row r="4756">
      <c r="A4756" s="6" t="str">
        <f>IFERROR(__xludf.DUMMYFUNCTION("""COMPUTED_VALUE"""),"")</f>
        <v/>
      </c>
      <c r="C4756" t="str">
        <f>IFERROR(__xludf.DUMMYFUNCTION("""COMPUTED_VALUE"""),"")</f>
        <v/>
      </c>
      <c r="D4756" t="str">
        <f>IFERROR(__xludf.DUMMYFUNCTION("""COMPUTED_VALUE"""),"")</f>
        <v/>
      </c>
      <c r="E4756" t="str">
        <f>IFERROR(__xludf.DUMMYFUNCTION("""COMPUTED_VALUE"""),"")</f>
        <v/>
      </c>
      <c r="F4756" t="str">
        <f>IFERROR(__xludf.DUMMYFUNCTION("""COMPUTED_VALUE"""),"")</f>
        <v/>
      </c>
      <c r="G4756" t="str">
        <f>IFERROR(__xludf.DUMMYFUNCTION("""COMPUTED_VALUE"""),"")</f>
        <v/>
      </c>
      <c r="H4756" s="2" t="str">
        <f>IFERROR(__xludf.DUMMYFUNCTION("""COMPUTED_VALUE"""),"")</f>
        <v/>
      </c>
      <c r="I4756" s="2" t="str">
        <f>IFERROR(__xludf.DUMMYFUNCTION("""COMPUTED_VALUE"""),"")</f>
        <v/>
      </c>
      <c r="J4756" s="2">
        <f>IFERROR(__xludf.DUMMYFUNCTION("""COMPUTED_VALUE"""),0.0)</f>
        <v>0</v>
      </c>
      <c r="K4756" s="5" t="str">
        <f>IFERROR(__xludf.DUMMYFUNCTION("""COMPUTED_VALUE"""),"")</f>
        <v/>
      </c>
      <c r="L4756" t="str">
        <f>IFERROR(__xludf.DUMMYFUNCTION("""COMPUTED_VALUE"""),"")</f>
        <v/>
      </c>
      <c r="M4756" t="str">
        <f>IFERROR(__xludf.DUMMYFUNCTION("""COMPUTED_VALUE"""),"")</f>
        <v/>
      </c>
      <c r="N4756" t="str">
        <f>IFERROR(__xludf.DUMMYFUNCTION("""COMPUTED_VALUE"""),"")</f>
        <v/>
      </c>
      <c r="O4756" t="str">
        <f>IFERROR(__xludf.DUMMYFUNCTION("""COMPUTED_VALUE"""),"")</f>
        <v/>
      </c>
      <c r="P4756" t="str">
        <f>IFERROR(__xludf.DUMMYFUNCTION("""COMPUTED_VALUE"""),"ID ")</f>
        <v>ID </v>
      </c>
    </row>
    <row r="4757">
      <c r="A4757" s="6" t="str">
        <f>IFERROR(__xludf.DUMMYFUNCTION("""COMPUTED_VALUE"""),"")</f>
        <v/>
      </c>
      <c r="C4757" t="str">
        <f>IFERROR(__xludf.DUMMYFUNCTION("""COMPUTED_VALUE"""),"")</f>
        <v/>
      </c>
      <c r="D4757" t="str">
        <f>IFERROR(__xludf.DUMMYFUNCTION("""COMPUTED_VALUE"""),"")</f>
        <v/>
      </c>
      <c r="E4757" t="str">
        <f>IFERROR(__xludf.DUMMYFUNCTION("""COMPUTED_VALUE"""),"")</f>
        <v/>
      </c>
      <c r="F4757" t="str">
        <f>IFERROR(__xludf.DUMMYFUNCTION("""COMPUTED_VALUE"""),"")</f>
        <v/>
      </c>
      <c r="G4757" t="str">
        <f>IFERROR(__xludf.DUMMYFUNCTION("""COMPUTED_VALUE"""),"")</f>
        <v/>
      </c>
      <c r="H4757" s="2" t="str">
        <f>IFERROR(__xludf.DUMMYFUNCTION("""COMPUTED_VALUE"""),"")</f>
        <v/>
      </c>
      <c r="I4757" s="2" t="str">
        <f>IFERROR(__xludf.DUMMYFUNCTION("""COMPUTED_VALUE"""),"")</f>
        <v/>
      </c>
      <c r="J4757" s="2">
        <f>IFERROR(__xludf.DUMMYFUNCTION("""COMPUTED_VALUE"""),0.0)</f>
        <v>0</v>
      </c>
      <c r="K4757" s="5" t="str">
        <f>IFERROR(__xludf.DUMMYFUNCTION("""COMPUTED_VALUE"""),"")</f>
        <v/>
      </c>
      <c r="L4757" t="str">
        <f>IFERROR(__xludf.DUMMYFUNCTION("""COMPUTED_VALUE"""),"")</f>
        <v/>
      </c>
      <c r="M4757" t="str">
        <f>IFERROR(__xludf.DUMMYFUNCTION("""COMPUTED_VALUE"""),"")</f>
        <v/>
      </c>
      <c r="N4757" t="str">
        <f>IFERROR(__xludf.DUMMYFUNCTION("""COMPUTED_VALUE"""),"")</f>
        <v/>
      </c>
      <c r="O4757" t="str">
        <f>IFERROR(__xludf.DUMMYFUNCTION("""COMPUTED_VALUE"""),"")</f>
        <v/>
      </c>
      <c r="P4757" t="str">
        <f>IFERROR(__xludf.DUMMYFUNCTION("""COMPUTED_VALUE"""),"ID ")</f>
        <v>ID </v>
      </c>
    </row>
    <row r="4758">
      <c r="A4758" s="6" t="str">
        <f>IFERROR(__xludf.DUMMYFUNCTION("""COMPUTED_VALUE"""),"")</f>
        <v/>
      </c>
      <c r="C4758" t="str">
        <f>IFERROR(__xludf.DUMMYFUNCTION("""COMPUTED_VALUE"""),"")</f>
        <v/>
      </c>
      <c r="D4758" t="str">
        <f>IFERROR(__xludf.DUMMYFUNCTION("""COMPUTED_VALUE"""),"")</f>
        <v/>
      </c>
      <c r="E4758" t="str">
        <f>IFERROR(__xludf.DUMMYFUNCTION("""COMPUTED_VALUE"""),"")</f>
        <v/>
      </c>
      <c r="F4758" t="str">
        <f>IFERROR(__xludf.DUMMYFUNCTION("""COMPUTED_VALUE"""),"")</f>
        <v/>
      </c>
      <c r="G4758" t="str">
        <f>IFERROR(__xludf.DUMMYFUNCTION("""COMPUTED_VALUE"""),"")</f>
        <v/>
      </c>
      <c r="H4758" s="2" t="str">
        <f>IFERROR(__xludf.DUMMYFUNCTION("""COMPUTED_VALUE"""),"")</f>
        <v/>
      </c>
      <c r="I4758" s="2" t="str">
        <f>IFERROR(__xludf.DUMMYFUNCTION("""COMPUTED_VALUE"""),"")</f>
        <v/>
      </c>
      <c r="J4758" s="2">
        <f>IFERROR(__xludf.DUMMYFUNCTION("""COMPUTED_VALUE"""),0.0)</f>
        <v>0</v>
      </c>
      <c r="K4758" s="5" t="str">
        <f>IFERROR(__xludf.DUMMYFUNCTION("""COMPUTED_VALUE"""),"")</f>
        <v/>
      </c>
      <c r="L4758" t="str">
        <f>IFERROR(__xludf.DUMMYFUNCTION("""COMPUTED_VALUE"""),"")</f>
        <v/>
      </c>
      <c r="M4758" t="str">
        <f>IFERROR(__xludf.DUMMYFUNCTION("""COMPUTED_VALUE"""),"")</f>
        <v/>
      </c>
      <c r="N4758" t="str">
        <f>IFERROR(__xludf.DUMMYFUNCTION("""COMPUTED_VALUE"""),"")</f>
        <v/>
      </c>
      <c r="O4758" t="str">
        <f>IFERROR(__xludf.DUMMYFUNCTION("""COMPUTED_VALUE"""),"")</f>
        <v/>
      </c>
      <c r="P4758" t="str">
        <f>IFERROR(__xludf.DUMMYFUNCTION("""COMPUTED_VALUE"""),"ID ")</f>
        <v>ID </v>
      </c>
    </row>
    <row r="4759">
      <c r="A4759" s="6" t="str">
        <f>IFERROR(__xludf.DUMMYFUNCTION("""COMPUTED_VALUE"""),"")</f>
        <v/>
      </c>
      <c r="C4759" t="str">
        <f>IFERROR(__xludf.DUMMYFUNCTION("""COMPUTED_VALUE"""),"")</f>
        <v/>
      </c>
      <c r="D4759" t="str">
        <f>IFERROR(__xludf.DUMMYFUNCTION("""COMPUTED_VALUE"""),"")</f>
        <v/>
      </c>
      <c r="E4759" t="str">
        <f>IFERROR(__xludf.DUMMYFUNCTION("""COMPUTED_VALUE"""),"")</f>
        <v/>
      </c>
      <c r="F4759" t="str">
        <f>IFERROR(__xludf.DUMMYFUNCTION("""COMPUTED_VALUE"""),"")</f>
        <v/>
      </c>
      <c r="G4759" t="str">
        <f>IFERROR(__xludf.DUMMYFUNCTION("""COMPUTED_VALUE"""),"")</f>
        <v/>
      </c>
      <c r="H4759" s="2" t="str">
        <f>IFERROR(__xludf.DUMMYFUNCTION("""COMPUTED_VALUE"""),"")</f>
        <v/>
      </c>
      <c r="I4759" s="2" t="str">
        <f>IFERROR(__xludf.DUMMYFUNCTION("""COMPUTED_VALUE"""),"")</f>
        <v/>
      </c>
      <c r="J4759" s="2">
        <f>IFERROR(__xludf.DUMMYFUNCTION("""COMPUTED_VALUE"""),0.0)</f>
        <v>0</v>
      </c>
      <c r="K4759" s="5" t="str">
        <f>IFERROR(__xludf.DUMMYFUNCTION("""COMPUTED_VALUE"""),"")</f>
        <v/>
      </c>
      <c r="L4759" t="str">
        <f>IFERROR(__xludf.DUMMYFUNCTION("""COMPUTED_VALUE"""),"")</f>
        <v/>
      </c>
      <c r="M4759" t="str">
        <f>IFERROR(__xludf.DUMMYFUNCTION("""COMPUTED_VALUE"""),"")</f>
        <v/>
      </c>
      <c r="N4759" t="str">
        <f>IFERROR(__xludf.DUMMYFUNCTION("""COMPUTED_VALUE"""),"")</f>
        <v/>
      </c>
      <c r="O4759" t="str">
        <f>IFERROR(__xludf.DUMMYFUNCTION("""COMPUTED_VALUE"""),"")</f>
        <v/>
      </c>
      <c r="P4759" t="str">
        <f>IFERROR(__xludf.DUMMYFUNCTION("""COMPUTED_VALUE"""),"ID ")</f>
        <v>ID </v>
      </c>
    </row>
    <row r="4760">
      <c r="A4760" s="6" t="str">
        <f>IFERROR(__xludf.DUMMYFUNCTION("""COMPUTED_VALUE"""),"")</f>
        <v/>
      </c>
      <c r="C4760" t="str">
        <f>IFERROR(__xludf.DUMMYFUNCTION("""COMPUTED_VALUE"""),"")</f>
        <v/>
      </c>
      <c r="D4760" t="str">
        <f>IFERROR(__xludf.DUMMYFUNCTION("""COMPUTED_VALUE"""),"")</f>
        <v/>
      </c>
      <c r="E4760" t="str">
        <f>IFERROR(__xludf.DUMMYFUNCTION("""COMPUTED_VALUE"""),"")</f>
        <v/>
      </c>
      <c r="F4760" t="str">
        <f>IFERROR(__xludf.DUMMYFUNCTION("""COMPUTED_VALUE"""),"")</f>
        <v/>
      </c>
      <c r="G4760" t="str">
        <f>IFERROR(__xludf.DUMMYFUNCTION("""COMPUTED_VALUE"""),"")</f>
        <v/>
      </c>
      <c r="H4760" s="2" t="str">
        <f>IFERROR(__xludf.DUMMYFUNCTION("""COMPUTED_VALUE"""),"")</f>
        <v/>
      </c>
      <c r="I4760" s="2" t="str">
        <f>IFERROR(__xludf.DUMMYFUNCTION("""COMPUTED_VALUE"""),"")</f>
        <v/>
      </c>
      <c r="J4760" s="2">
        <f>IFERROR(__xludf.DUMMYFUNCTION("""COMPUTED_VALUE"""),0.0)</f>
        <v>0</v>
      </c>
      <c r="K4760" s="5" t="str">
        <f>IFERROR(__xludf.DUMMYFUNCTION("""COMPUTED_VALUE"""),"")</f>
        <v/>
      </c>
      <c r="L4760" t="str">
        <f>IFERROR(__xludf.DUMMYFUNCTION("""COMPUTED_VALUE"""),"")</f>
        <v/>
      </c>
      <c r="M4760" t="str">
        <f>IFERROR(__xludf.DUMMYFUNCTION("""COMPUTED_VALUE"""),"")</f>
        <v/>
      </c>
      <c r="N4760" t="str">
        <f>IFERROR(__xludf.DUMMYFUNCTION("""COMPUTED_VALUE"""),"")</f>
        <v/>
      </c>
      <c r="O4760" t="str">
        <f>IFERROR(__xludf.DUMMYFUNCTION("""COMPUTED_VALUE"""),"")</f>
        <v/>
      </c>
      <c r="P4760" t="str">
        <f>IFERROR(__xludf.DUMMYFUNCTION("""COMPUTED_VALUE"""),"ID ")</f>
        <v>ID </v>
      </c>
    </row>
    <row r="4761">
      <c r="A4761" s="6" t="str">
        <f>IFERROR(__xludf.DUMMYFUNCTION("""COMPUTED_VALUE"""),"")</f>
        <v/>
      </c>
      <c r="C4761" t="str">
        <f>IFERROR(__xludf.DUMMYFUNCTION("""COMPUTED_VALUE"""),"")</f>
        <v/>
      </c>
      <c r="D4761" t="str">
        <f>IFERROR(__xludf.DUMMYFUNCTION("""COMPUTED_VALUE"""),"")</f>
        <v/>
      </c>
      <c r="E4761" t="str">
        <f>IFERROR(__xludf.DUMMYFUNCTION("""COMPUTED_VALUE"""),"")</f>
        <v/>
      </c>
      <c r="F4761" t="str">
        <f>IFERROR(__xludf.DUMMYFUNCTION("""COMPUTED_VALUE"""),"")</f>
        <v/>
      </c>
      <c r="G4761" t="str">
        <f>IFERROR(__xludf.DUMMYFUNCTION("""COMPUTED_VALUE"""),"")</f>
        <v/>
      </c>
      <c r="H4761" s="2" t="str">
        <f>IFERROR(__xludf.DUMMYFUNCTION("""COMPUTED_VALUE"""),"")</f>
        <v/>
      </c>
      <c r="I4761" s="2" t="str">
        <f>IFERROR(__xludf.DUMMYFUNCTION("""COMPUTED_VALUE"""),"")</f>
        <v/>
      </c>
      <c r="J4761" s="2">
        <f>IFERROR(__xludf.DUMMYFUNCTION("""COMPUTED_VALUE"""),0.0)</f>
        <v>0</v>
      </c>
      <c r="K4761" s="5" t="str">
        <f>IFERROR(__xludf.DUMMYFUNCTION("""COMPUTED_VALUE"""),"")</f>
        <v/>
      </c>
      <c r="L4761" t="str">
        <f>IFERROR(__xludf.DUMMYFUNCTION("""COMPUTED_VALUE"""),"")</f>
        <v/>
      </c>
      <c r="M4761" t="str">
        <f>IFERROR(__xludf.DUMMYFUNCTION("""COMPUTED_VALUE"""),"")</f>
        <v/>
      </c>
      <c r="N4761" t="str">
        <f>IFERROR(__xludf.DUMMYFUNCTION("""COMPUTED_VALUE"""),"")</f>
        <v/>
      </c>
      <c r="O4761" t="str">
        <f>IFERROR(__xludf.DUMMYFUNCTION("""COMPUTED_VALUE"""),"")</f>
        <v/>
      </c>
      <c r="P4761" t="str">
        <f>IFERROR(__xludf.DUMMYFUNCTION("""COMPUTED_VALUE"""),"ID ")</f>
        <v>ID </v>
      </c>
    </row>
    <row r="4762">
      <c r="A4762" s="6" t="str">
        <f>IFERROR(__xludf.DUMMYFUNCTION("""COMPUTED_VALUE"""),"")</f>
        <v/>
      </c>
      <c r="C4762" t="str">
        <f>IFERROR(__xludf.DUMMYFUNCTION("""COMPUTED_VALUE"""),"")</f>
        <v/>
      </c>
      <c r="D4762" t="str">
        <f>IFERROR(__xludf.DUMMYFUNCTION("""COMPUTED_VALUE"""),"")</f>
        <v/>
      </c>
      <c r="E4762" t="str">
        <f>IFERROR(__xludf.DUMMYFUNCTION("""COMPUTED_VALUE"""),"")</f>
        <v/>
      </c>
      <c r="F4762" t="str">
        <f>IFERROR(__xludf.DUMMYFUNCTION("""COMPUTED_VALUE"""),"")</f>
        <v/>
      </c>
      <c r="G4762" t="str">
        <f>IFERROR(__xludf.DUMMYFUNCTION("""COMPUTED_VALUE"""),"")</f>
        <v/>
      </c>
      <c r="H4762" s="2" t="str">
        <f>IFERROR(__xludf.DUMMYFUNCTION("""COMPUTED_VALUE"""),"")</f>
        <v/>
      </c>
      <c r="I4762" s="2" t="str">
        <f>IFERROR(__xludf.DUMMYFUNCTION("""COMPUTED_VALUE"""),"")</f>
        <v/>
      </c>
      <c r="J4762" s="2">
        <f>IFERROR(__xludf.DUMMYFUNCTION("""COMPUTED_VALUE"""),0.0)</f>
        <v>0</v>
      </c>
      <c r="K4762" s="5" t="str">
        <f>IFERROR(__xludf.DUMMYFUNCTION("""COMPUTED_VALUE"""),"")</f>
        <v/>
      </c>
      <c r="L4762" t="str">
        <f>IFERROR(__xludf.DUMMYFUNCTION("""COMPUTED_VALUE"""),"")</f>
        <v/>
      </c>
      <c r="M4762" t="str">
        <f>IFERROR(__xludf.DUMMYFUNCTION("""COMPUTED_VALUE"""),"")</f>
        <v/>
      </c>
      <c r="N4762" t="str">
        <f>IFERROR(__xludf.DUMMYFUNCTION("""COMPUTED_VALUE"""),"")</f>
        <v/>
      </c>
      <c r="O4762" t="str">
        <f>IFERROR(__xludf.DUMMYFUNCTION("""COMPUTED_VALUE"""),"")</f>
        <v/>
      </c>
      <c r="P4762" t="str">
        <f>IFERROR(__xludf.DUMMYFUNCTION("""COMPUTED_VALUE"""),"ID ")</f>
        <v>ID </v>
      </c>
    </row>
    <row r="4763">
      <c r="A4763" s="6" t="str">
        <f>IFERROR(__xludf.DUMMYFUNCTION("""COMPUTED_VALUE"""),"")</f>
        <v/>
      </c>
      <c r="C4763" t="str">
        <f>IFERROR(__xludf.DUMMYFUNCTION("""COMPUTED_VALUE"""),"")</f>
        <v/>
      </c>
      <c r="D4763" t="str">
        <f>IFERROR(__xludf.DUMMYFUNCTION("""COMPUTED_VALUE"""),"")</f>
        <v/>
      </c>
      <c r="E4763" t="str">
        <f>IFERROR(__xludf.DUMMYFUNCTION("""COMPUTED_VALUE"""),"")</f>
        <v/>
      </c>
      <c r="F4763" t="str">
        <f>IFERROR(__xludf.DUMMYFUNCTION("""COMPUTED_VALUE"""),"")</f>
        <v/>
      </c>
      <c r="G4763" t="str">
        <f>IFERROR(__xludf.DUMMYFUNCTION("""COMPUTED_VALUE"""),"")</f>
        <v/>
      </c>
      <c r="H4763" s="2" t="str">
        <f>IFERROR(__xludf.DUMMYFUNCTION("""COMPUTED_VALUE"""),"")</f>
        <v/>
      </c>
      <c r="I4763" s="2" t="str">
        <f>IFERROR(__xludf.DUMMYFUNCTION("""COMPUTED_VALUE"""),"")</f>
        <v/>
      </c>
      <c r="J4763" s="2">
        <f>IFERROR(__xludf.DUMMYFUNCTION("""COMPUTED_VALUE"""),0.0)</f>
        <v>0</v>
      </c>
      <c r="K4763" s="5" t="str">
        <f>IFERROR(__xludf.DUMMYFUNCTION("""COMPUTED_VALUE"""),"")</f>
        <v/>
      </c>
      <c r="L4763" t="str">
        <f>IFERROR(__xludf.DUMMYFUNCTION("""COMPUTED_VALUE"""),"")</f>
        <v/>
      </c>
      <c r="M4763" t="str">
        <f>IFERROR(__xludf.DUMMYFUNCTION("""COMPUTED_VALUE"""),"")</f>
        <v/>
      </c>
      <c r="N4763" t="str">
        <f>IFERROR(__xludf.DUMMYFUNCTION("""COMPUTED_VALUE"""),"")</f>
        <v/>
      </c>
      <c r="O4763" t="str">
        <f>IFERROR(__xludf.DUMMYFUNCTION("""COMPUTED_VALUE"""),"")</f>
        <v/>
      </c>
      <c r="P4763" t="str">
        <f>IFERROR(__xludf.DUMMYFUNCTION("""COMPUTED_VALUE"""),"ID ")</f>
        <v>ID </v>
      </c>
    </row>
    <row r="4764">
      <c r="A4764" s="6" t="str">
        <f>IFERROR(__xludf.DUMMYFUNCTION("""COMPUTED_VALUE"""),"")</f>
        <v/>
      </c>
      <c r="C4764" t="str">
        <f>IFERROR(__xludf.DUMMYFUNCTION("""COMPUTED_VALUE"""),"")</f>
        <v/>
      </c>
      <c r="D4764" t="str">
        <f>IFERROR(__xludf.DUMMYFUNCTION("""COMPUTED_VALUE"""),"")</f>
        <v/>
      </c>
      <c r="E4764" t="str">
        <f>IFERROR(__xludf.DUMMYFUNCTION("""COMPUTED_VALUE"""),"")</f>
        <v/>
      </c>
      <c r="F4764" t="str">
        <f>IFERROR(__xludf.DUMMYFUNCTION("""COMPUTED_VALUE"""),"")</f>
        <v/>
      </c>
      <c r="G4764" t="str">
        <f>IFERROR(__xludf.DUMMYFUNCTION("""COMPUTED_VALUE"""),"")</f>
        <v/>
      </c>
      <c r="H4764" s="2" t="str">
        <f>IFERROR(__xludf.DUMMYFUNCTION("""COMPUTED_VALUE"""),"")</f>
        <v/>
      </c>
      <c r="I4764" s="2" t="str">
        <f>IFERROR(__xludf.DUMMYFUNCTION("""COMPUTED_VALUE"""),"")</f>
        <v/>
      </c>
      <c r="J4764" s="2">
        <f>IFERROR(__xludf.DUMMYFUNCTION("""COMPUTED_VALUE"""),0.0)</f>
        <v>0</v>
      </c>
      <c r="K4764" s="5" t="str">
        <f>IFERROR(__xludf.DUMMYFUNCTION("""COMPUTED_VALUE"""),"")</f>
        <v/>
      </c>
      <c r="L4764" t="str">
        <f>IFERROR(__xludf.DUMMYFUNCTION("""COMPUTED_VALUE"""),"")</f>
        <v/>
      </c>
      <c r="M4764" t="str">
        <f>IFERROR(__xludf.DUMMYFUNCTION("""COMPUTED_VALUE"""),"")</f>
        <v/>
      </c>
      <c r="N4764" t="str">
        <f>IFERROR(__xludf.DUMMYFUNCTION("""COMPUTED_VALUE"""),"")</f>
        <v/>
      </c>
      <c r="O4764" t="str">
        <f>IFERROR(__xludf.DUMMYFUNCTION("""COMPUTED_VALUE"""),"")</f>
        <v/>
      </c>
      <c r="P4764" t="str">
        <f>IFERROR(__xludf.DUMMYFUNCTION("""COMPUTED_VALUE"""),"ID ")</f>
        <v>ID </v>
      </c>
    </row>
    <row r="4765">
      <c r="A4765" s="6" t="str">
        <f>IFERROR(__xludf.DUMMYFUNCTION("""COMPUTED_VALUE"""),"")</f>
        <v/>
      </c>
      <c r="C4765" t="str">
        <f>IFERROR(__xludf.DUMMYFUNCTION("""COMPUTED_VALUE"""),"")</f>
        <v/>
      </c>
      <c r="D4765" t="str">
        <f>IFERROR(__xludf.DUMMYFUNCTION("""COMPUTED_VALUE"""),"")</f>
        <v/>
      </c>
      <c r="E4765" t="str">
        <f>IFERROR(__xludf.DUMMYFUNCTION("""COMPUTED_VALUE"""),"")</f>
        <v/>
      </c>
      <c r="F4765" t="str">
        <f>IFERROR(__xludf.DUMMYFUNCTION("""COMPUTED_VALUE"""),"")</f>
        <v/>
      </c>
      <c r="G4765" t="str">
        <f>IFERROR(__xludf.DUMMYFUNCTION("""COMPUTED_VALUE"""),"")</f>
        <v/>
      </c>
      <c r="H4765" s="2" t="str">
        <f>IFERROR(__xludf.DUMMYFUNCTION("""COMPUTED_VALUE"""),"")</f>
        <v/>
      </c>
      <c r="I4765" s="2" t="str">
        <f>IFERROR(__xludf.DUMMYFUNCTION("""COMPUTED_VALUE"""),"")</f>
        <v/>
      </c>
      <c r="J4765" s="2">
        <f>IFERROR(__xludf.DUMMYFUNCTION("""COMPUTED_VALUE"""),0.0)</f>
        <v>0</v>
      </c>
      <c r="K4765" s="5" t="str">
        <f>IFERROR(__xludf.DUMMYFUNCTION("""COMPUTED_VALUE"""),"")</f>
        <v/>
      </c>
      <c r="L4765" t="str">
        <f>IFERROR(__xludf.DUMMYFUNCTION("""COMPUTED_VALUE"""),"")</f>
        <v/>
      </c>
      <c r="M4765" t="str">
        <f>IFERROR(__xludf.DUMMYFUNCTION("""COMPUTED_VALUE"""),"")</f>
        <v/>
      </c>
      <c r="N4765" t="str">
        <f>IFERROR(__xludf.DUMMYFUNCTION("""COMPUTED_VALUE"""),"")</f>
        <v/>
      </c>
      <c r="O4765" t="str">
        <f>IFERROR(__xludf.DUMMYFUNCTION("""COMPUTED_VALUE"""),"")</f>
        <v/>
      </c>
      <c r="P4765" t="str">
        <f>IFERROR(__xludf.DUMMYFUNCTION("""COMPUTED_VALUE"""),"ID ")</f>
        <v>ID </v>
      </c>
    </row>
    <row r="4766">
      <c r="A4766" s="6" t="str">
        <f>IFERROR(__xludf.DUMMYFUNCTION("""COMPUTED_VALUE"""),"")</f>
        <v/>
      </c>
      <c r="C4766" t="str">
        <f>IFERROR(__xludf.DUMMYFUNCTION("""COMPUTED_VALUE"""),"")</f>
        <v/>
      </c>
      <c r="D4766" t="str">
        <f>IFERROR(__xludf.DUMMYFUNCTION("""COMPUTED_VALUE"""),"")</f>
        <v/>
      </c>
      <c r="E4766" t="str">
        <f>IFERROR(__xludf.DUMMYFUNCTION("""COMPUTED_VALUE"""),"")</f>
        <v/>
      </c>
      <c r="F4766" t="str">
        <f>IFERROR(__xludf.DUMMYFUNCTION("""COMPUTED_VALUE"""),"")</f>
        <v/>
      </c>
      <c r="G4766" t="str">
        <f>IFERROR(__xludf.DUMMYFUNCTION("""COMPUTED_VALUE"""),"")</f>
        <v/>
      </c>
      <c r="H4766" s="2" t="str">
        <f>IFERROR(__xludf.DUMMYFUNCTION("""COMPUTED_VALUE"""),"")</f>
        <v/>
      </c>
      <c r="I4766" s="2" t="str">
        <f>IFERROR(__xludf.DUMMYFUNCTION("""COMPUTED_VALUE"""),"")</f>
        <v/>
      </c>
      <c r="J4766" s="2">
        <f>IFERROR(__xludf.DUMMYFUNCTION("""COMPUTED_VALUE"""),0.0)</f>
        <v>0</v>
      </c>
      <c r="K4766" s="5" t="str">
        <f>IFERROR(__xludf.DUMMYFUNCTION("""COMPUTED_VALUE"""),"")</f>
        <v/>
      </c>
      <c r="L4766" t="str">
        <f>IFERROR(__xludf.DUMMYFUNCTION("""COMPUTED_VALUE"""),"")</f>
        <v/>
      </c>
      <c r="M4766" t="str">
        <f>IFERROR(__xludf.DUMMYFUNCTION("""COMPUTED_VALUE"""),"")</f>
        <v/>
      </c>
      <c r="N4766" t="str">
        <f>IFERROR(__xludf.DUMMYFUNCTION("""COMPUTED_VALUE"""),"")</f>
        <v/>
      </c>
      <c r="O4766" t="str">
        <f>IFERROR(__xludf.DUMMYFUNCTION("""COMPUTED_VALUE"""),"")</f>
        <v/>
      </c>
      <c r="P4766" t="str">
        <f>IFERROR(__xludf.DUMMYFUNCTION("""COMPUTED_VALUE"""),"ID ")</f>
        <v>ID </v>
      </c>
    </row>
    <row r="4767">
      <c r="A4767" s="6" t="str">
        <f>IFERROR(__xludf.DUMMYFUNCTION("""COMPUTED_VALUE"""),"")</f>
        <v/>
      </c>
      <c r="C4767" t="str">
        <f>IFERROR(__xludf.DUMMYFUNCTION("""COMPUTED_VALUE"""),"")</f>
        <v/>
      </c>
      <c r="D4767" t="str">
        <f>IFERROR(__xludf.DUMMYFUNCTION("""COMPUTED_VALUE"""),"")</f>
        <v/>
      </c>
      <c r="E4767" t="str">
        <f>IFERROR(__xludf.DUMMYFUNCTION("""COMPUTED_VALUE"""),"")</f>
        <v/>
      </c>
      <c r="F4767" t="str">
        <f>IFERROR(__xludf.DUMMYFUNCTION("""COMPUTED_VALUE"""),"")</f>
        <v/>
      </c>
      <c r="G4767" t="str">
        <f>IFERROR(__xludf.DUMMYFUNCTION("""COMPUTED_VALUE"""),"")</f>
        <v/>
      </c>
      <c r="H4767" s="2" t="str">
        <f>IFERROR(__xludf.DUMMYFUNCTION("""COMPUTED_VALUE"""),"")</f>
        <v/>
      </c>
      <c r="I4767" s="2" t="str">
        <f>IFERROR(__xludf.DUMMYFUNCTION("""COMPUTED_VALUE"""),"")</f>
        <v/>
      </c>
      <c r="J4767" s="2">
        <f>IFERROR(__xludf.DUMMYFUNCTION("""COMPUTED_VALUE"""),0.0)</f>
        <v>0</v>
      </c>
      <c r="K4767" s="5" t="str">
        <f>IFERROR(__xludf.DUMMYFUNCTION("""COMPUTED_VALUE"""),"")</f>
        <v/>
      </c>
      <c r="L4767" t="str">
        <f>IFERROR(__xludf.DUMMYFUNCTION("""COMPUTED_VALUE"""),"")</f>
        <v/>
      </c>
      <c r="M4767" t="str">
        <f>IFERROR(__xludf.DUMMYFUNCTION("""COMPUTED_VALUE"""),"")</f>
        <v/>
      </c>
      <c r="N4767" t="str">
        <f>IFERROR(__xludf.DUMMYFUNCTION("""COMPUTED_VALUE"""),"")</f>
        <v/>
      </c>
      <c r="O4767" t="str">
        <f>IFERROR(__xludf.DUMMYFUNCTION("""COMPUTED_VALUE"""),"")</f>
        <v/>
      </c>
      <c r="P4767" t="str">
        <f>IFERROR(__xludf.DUMMYFUNCTION("""COMPUTED_VALUE"""),"ID ")</f>
        <v>ID </v>
      </c>
    </row>
    <row r="4768">
      <c r="A4768" s="6" t="str">
        <f>IFERROR(__xludf.DUMMYFUNCTION("""COMPUTED_VALUE"""),"")</f>
        <v/>
      </c>
      <c r="C4768" t="str">
        <f>IFERROR(__xludf.DUMMYFUNCTION("""COMPUTED_VALUE"""),"")</f>
        <v/>
      </c>
      <c r="D4768" t="str">
        <f>IFERROR(__xludf.DUMMYFUNCTION("""COMPUTED_VALUE"""),"")</f>
        <v/>
      </c>
      <c r="E4768" t="str">
        <f>IFERROR(__xludf.DUMMYFUNCTION("""COMPUTED_VALUE"""),"")</f>
        <v/>
      </c>
      <c r="F4768" t="str">
        <f>IFERROR(__xludf.DUMMYFUNCTION("""COMPUTED_VALUE"""),"")</f>
        <v/>
      </c>
      <c r="G4768" t="str">
        <f>IFERROR(__xludf.DUMMYFUNCTION("""COMPUTED_VALUE"""),"")</f>
        <v/>
      </c>
      <c r="H4768" s="2" t="str">
        <f>IFERROR(__xludf.DUMMYFUNCTION("""COMPUTED_VALUE"""),"")</f>
        <v/>
      </c>
      <c r="I4768" s="2" t="str">
        <f>IFERROR(__xludf.DUMMYFUNCTION("""COMPUTED_VALUE"""),"")</f>
        <v/>
      </c>
      <c r="J4768" s="2">
        <f>IFERROR(__xludf.DUMMYFUNCTION("""COMPUTED_VALUE"""),0.0)</f>
        <v>0</v>
      </c>
      <c r="K4768" s="5" t="str">
        <f>IFERROR(__xludf.DUMMYFUNCTION("""COMPUTED_VALUE"""),"")</f>
        <v/>
      </c>
      <c r="L4768" t="str">
        <f>IFERROR(__xludf.DUMMYFUNCTION("""COMPUTED_VALUE"""),"")</f>
        <v/>
      </c>
      <c r="M4768" t="str">
        <f>IFERROR(__xludf.DUMMYFUNCTION("""COMPUTED_VALUE"""),"")</f>
        <v/>
      </c>
      <c r="N4768" t="str">
        <f>IFERROR(__xludf.DUMMYFUNCTION("""COMPUTED_VALUE"""),"")</f>
        <v/>
      </c>
      <c r="O4768" t="str">
        <f>IFERROR(__xludf.DUMMYFUNCTION("""COMPUTED_VALUE"""),"")</f>
        <v/>
      </c>
      <c r="P4768" t="str">
        <f>IFERROR(__xludf.DUMMYFUNCTION("""COMPUTED_VALUE"""),"ID ")</f>
        <v>ID </v>
      </c>
    </row>
    <row r="4769">
      <c r="A4769" s="6" t="str">
        <f>IFERROR(__xludf.DUMMYFUNCTION("""COMPUTED_VALUE"""),"")</f>
        <v/>
      </c>
      <c r="C4769" t="str">
        <f>IFERROR(__xludf.DUMMYFUNCTION("""COMPUTED_VALUE"""),"")</f>
        <v/>
      </c>
      <c r="D4769" t="str">
        <f>IFERROR(__xludf.DUMMYFUNCTION("""COMPUTED_VALUE"""),"")</f>
        <v/>
      </c>
      <c r="E4769" t="str">
        <f>IFERROR(__xludf.DUMMYFUNCTION("""COMPUTED_VALUE"""),"")</f>
        <v/>
      </c>
      <c r="F4769" t="str">
        <f>IFERROR(__xludf.DUMMYFUNCTION("""COMPUTED_VALUE"""),"")</f>
        <v/>
      </c>
      <c r="G4769" t="str">
        <f>IFERROR(__xludf.DUMMYFUNCTION("""COMPUTED_VALUE"""),"")</f>
        <v/>
      </c>
      <c r="H4769" s="2" t="str">
        <f>IFERROR(__xludf.DUMMYFUNCTION("""COMPUTED_VALUE"""),"")</f>
        <v/>
      </c>
      <c r="I4769" s="2" t="str">
        <f>IFERROR(__xludf.DUMMYFUNCTION("""COMPUTED_VALUE"""),"")</f>
        <v/>
      </c>
      <c r="J4769" s="2">
        <f>IFERROR(__xludf.DUMMYFUNCTION("""COMPUTED_VALUE"""),0.0)</f>
        <v>0</v>
      </c>
      <c r="K4769" s="5" t="str">
        <f>IFERROR(__xludf.DUMMYFUNCTION("""COMPUTED_VALUE"""),"")</f>
        <v/>
      </c>
      <c r="L4769" t="str">
        <f>IFERROR(__xludf.DUMMYFUNCTION("""COMPUTED_VALUE"""),"")</f>
        <v/>
      </c>
      <c r="M4769" t="str">
        <f>IFERROR(__xludf.DUMMYFUNCTION("""COMPUTED_VALUE"""),"")</f>
        <v/>
      </c>
      <c r="N4769" t="str">
        <f>IFERROR(__xludf.DUMMYFUNCTION("""COMPUTED_VALUE"""),"")</f>
        <v/>
      </c>
      <c r="O4769" t="str">
        <f>IFERROR(__xludf.DUMMYFUNCTION("""COMPUTED_VALUE"""),"")</f>
        <v/>
      </c>
      <c r="P4769" t="str">
        <f>IFERROR(__xludf.DUMMYFUNCTION("""COMPUTED_VALUE"""),"ID ")</f>
        <v>ID </v>
      </c>
    </row>
    <row r="4770">
      <c r="A4770" s="6" t="str">
        <f>IFERROR(__xludf.DUMMYFUNCTION("""COMPUTED_VALUE"""),"")</f>
        <v/>
      </c>
      <c r="C4770" t="str">
        <f>IFERROR(__xludf.DUMMYFUNCTION("""COMPUTED_VALUE"""),"")</f>
        <v/>
      </c>
      <c r="D4770" t="str">
        <f>IFERROR(__xludf.DUMMYFUNCTION("""COMPUTED_VALUE"""),"")</f>
        <v/>
      </c>
      <c r="E4770" t="str">
        <f>IFERROR(__xludf.DUMMYFUNCTION("""COMPUTED_VALUE"""),"")</f>
        <v/>
      </c>
      <c r="F4770" t="str">
        <f>IFERROR(__xludf.DUMMYFUNCTION("""COMPUTED_VALUE"""),"")</f>
        <v/>
      </c>
      <c r="G4770" t="str">
        <f>IFERROR(__xludf.DUMMYFUNCTION("""COMPUTED_VALUE"""),"")</f>
        <v/>
      </c>
      <c r="H4770" s="2" t="str">
        <f>IFERROR(__xludf.DUMMYFUNCTION("""COMPUTED_VALUE"""),"")</f>
        <v/>
      </c>
      <c r="I4770" s="2" t="str">
        <f>IFERROR(__xludf.DUMMYFUNCTION("""COMPUTED_VALUE"""),"")</f>
        <v/>
      </c>
      <c r="J4770" s="2">
        <f>IFERROR(__xludf.DUMMYFUNCTION("""COMPUTED_VALUE"""),0.0)</f>
        <v>0</v>
      </c>
      <c r="K4770" s="5" t="str">
        <f>IFERROR(__xludf.DUMMYFUNCTION("""COMPUTED_VALUE"""),"")</f>
        <v/>
      </c>
      <c r="L4770" t="str">
        <f>IFERROR(__xludf.DUMMYFUNCTION("""COMPUTED_VALUE"""),"")</f>
        <v/>
      </c>
      <c r="M4770" t="str">
        <f>IFERROR(__xludf.DUMMYFUNCTION("""COMPUTED_VALUE"""),"")</f>
        <v/>
      </c>
      <c r="N4770" t="str">
        <f>IFERROR(__xludf.DUMMYFUNCTION("""COMPUTED_VALUE"""),"")</f>
        <v/>
      </c>
      <c r="O4770" t="str">
        <f>IFERROR(__xludf.DUMMYFUNCTION("""COMPUTED_VALUE"""),"")</f>
        <v/>
      </c>
      <c r="P4770" t="str">
        <f>IFERROR(__xludf.DUMMYFUNCTION("""COMPUTED_VALUE"""),"ID ")</f>
        <v>ID </v>
      </c>
    </row>
    <row r="4771">
      <c r="A4771" s="6" t="str">
        <f>IFERROR(__xludf.DUMMYFUNCTION("""COMPUTED_VALUE"""),"")</f>
        <v/>
      </c>
      <c r="C4771" t="str">
        <f>IFERROR(__xludf.DUMMYFUNCTION("""COMPUTED_VALUE"""),"")</f>
        <v/>
      </c>
      <c r="D4771" t="str">
        <f>IFERROR(__xludf.DUMMYFUNCTION("""COMPUTED_VALUE"""),"")</f>
        <v/>
      </c>
      <c r="E4771" t="str">
        <f>IFERROR(__xludf.DUMMYFUNCTION("""COMPUTED_VALUE"""),"")</f>
        <v/>
      </c>
      <c r="F4771" t="str">
        <f>IFERROR(__xludf.DUMMYFUNCTION("""COMPUTED_VALUE"""),"")</f>
        <v/>
      </c>
      <c r="G4771" t="str">
        <f>IFERROR(__xludf.DUMMYFUNCTION("""COMPUTED_VALUE"""),"")</f>
        <v/>
      </c>
      <c r="H4771" s="2" t="str">
        <f>IFERROR(__xludf.DUMMYFUNCTION("""COMPUTED_VALUE"""),"")</f>
        <v/>
      </c>
      <c r="I4771" s="2" t="str">
        <f>IFERROR(__xludf.DUMMYFUNCTION("""COMPUTED_VALUE"""),"")</f>
        <v/>
      </c>
      <c r="J4771" s="2">
        <f>IFERROR(__xludf.DUMMYFUNCTION("""COMPUTED_VALUE"""),0.0)</f>
        <v>0</v>
      </c>
      <c r="K4771" s="5" t="str">
        <f>IFERROR(__xludf.DUMMYFUNCTION("""COMPUTED_VALUE"""),"")</f>
        <v/>
      </c>
      <c r="L4771" t="str">
        <f>IFERROR(__xludf.DUMMYFUNCTION("""COMPUTED_VALUE"""),"")</f>
        <v/>
      </c>
      <c r="M4771" t="str">
        <f>IFERROR(__xludf.DUMMYFUNCTION("""COMPUTED_VALUE"""),"")</f>
        <v/>
      </c>
      <c r="N4771" t="str">
        <f>IFERROR(__xludf.DUMMYFUNCTION("""COMPUTED_VALUE"""),"")</f>
        <v/>
      </c>
      <c r="O4771" t="str">
        <f>IFERROR(__xludf.DUMMYFUNCTION("""COMPUTED_VALUE"""),"")</f>
        <v/>
      </c>
      <c r="P4771" t="str">
        <f>IFERROR(__xludf.DUMMYFUNCTION("""COMPUTED_VALUE"""),"ID ")</f>
        <v>ID </v>
      </c>
    </row>
    <row r="4772">
      <c r="A4772" s="6" t="str">
        <f>IFERROR(__xludf.DUMMYFUNCTION("""COMPUTED_VALUE"""),"")</f>
        <v/>
      </c>
      <c r="C4772" t="str">
        <f>IFERROR(__xludf.DUMMYFUNCTION("""COMPUTED_VALUE"""),"")</f>
        <v/>
      </c>
      <c r="D4772" t="str">
        <f>IFERROR(__xludf.DUMMYFUNCTION("""COMPUTED_VALUE"""),"")</f>
        <v/>
      </c>
      <c r="E4772" t="str">
        <f>IFERROR(__xludf.DUMMYFUNCTION("""COMPUTED_VALUE"""),"")</f>
        <v/>
      </c>
      <c r="F4772" t="str">
        <f>IFERROR(__xludf.DUMMYFUNCTION("""COMPUTED_VALUE"""),"")</f>
        <v/>
      </c>
      <c r="G4772" t="str">
        <f>IFERROR(__xludf.DUMMYFUNCTION("""COMPUTED_VALUE"""),"")</f>
        <v/>
      </c>
      <c r="H4772" s="2" t="str">
        <f>IFERROR(__xludf.DUMMYFUNCTION("""COMPUTED_VALUE"""),"")</f>
        <v/>
      </c>
      <c r="I4772" s="2" t="str">
        <f>IFERROR(__xludf.DUMMYFUNCTION("""COMPUTED_VALUE"""),"")</f>
        <v/>
      </c>
      <c r="J4772" s="2">
        <f>IFERROR(__xludf.DUMMYFUNCTION("""COMPUTED_VALUE"""),0.0)</f>
        <v>0</v>
      </c>
      <c r="K4772" s="5" t="str">
        <f>IFERROR(__xludf.DUMMYFUNCTION("""COMPUTED_VALUE"""),"")</f>
        <v/>
      </c>
      <c r="L4772" t="str">
        <f>IFERROR(__xludf.DUMMYFUNCTION("""COMPUTED_VALUE"""),"")</f>
        <v/>
      </c>
      <c r="M4772" t="str">
        <f>IFERROR(__xludf.DUMMYFUNCTION("""COMPUTED_VALUE"""),"")</f>
        <v/>
      </c>
      <c r="N4772" t="str">
        <f>IFERROR(__xludf.DUMMYFUNCTION("""COMPUTED_VALUE"""),"")</f>
        <v/>
      </c>
      <c r="O4772" t="str">
        <f>IFERROR(__xludf.DUMMYFUNCTION("""COMPUTED_VALUE"""),"")</f>
        <v/>
      </c>
      <c r="P4772" t="str">
        <f>IFERROR(__xludf.DUMMYFUNCTION("""COMPUTED_VALUE"""),"ID ")</f>
        <v>ID </v>
      </c>
    </row>
    <row r="4773">
      <c r="A4773" s="6" t="str">
        <f>IFERROR(__xludf.DUMMYFUNCTION("""COMPUTED_VALUE"""),"")</f>
        <v/>
      </c>
      <c r="C4773" t="str">
        <f>IFERROR(__xludf.DUMMYFUNCTION("""COMPUTED_VALUE"""),"")</f>
        <v/>
      </c>
      <c r="D4773" t="str">
        <f>IFERROR(__xludf.DUMMYFUNCTION("""COMPUTED_VALUE"""),"")</f>
        <v/>
      </c>
      <c r="E4773" t="str">
        <f>IFERROR(__xludf.DUMMYFUNCTION("""COMPUTED_VALUE"""),"")</f>
        <v/>
      </c>
      <c r="F4773" t="str">
        <f>IFERROR(__xludf.DUMMYFUNCTION("""COMPUTED_VALUE"""),"")</f>
        <v/>
      </c>
      <c r="G4773" t="str">
        <f>IFERROR(__xludf.DUMMYFUNCTION("""COMPUTED_VALUE"""),"")</f>
        <v/>
      </c>
      <c r="H4773" s="2" t="str">
        <f>IFERROR(__xludf.DUMMYFUNCTION("""COMPUTED_VALUE"""),"")</f>
        <v/>
      </c>
      <c r="I4773" s="2" t="str">
        <f>IFERROR(__xludf.DUMMYFUNCTION("""COMPUTED_VALUE"""),"")</f>
        <v/>
      </c>
      <c r="J4773" s="2">
        <f>IFERROR(__xludf.DUMMYFUNCTION("""COMPUTED_VALUE"""),0.0)</f>
        <v>0</v>
      </c>
      <c r="K4773" s="5" t="str">
        <f>IFERROR(__xludf.DUMMYFUNCTION("""COMPUTED_VALUE"""),"")</f>
        <v/>
      </c>
      <c r="L4773" t="str">
        <f>IFERROR(__xludf.DUMMYFUNCTION("""COMPUTED_VALUE"""),"")</f>
        <v/>
      </c>
      <c r="M4773" t="str">
        <f>IFERROR(__xludf.DUMMYFUNCTION("""COMPUTED_VALUE"""),"")</f>
        <v/>
      </c>
      <c r="N4773" t="str">
        <f>IFERROR(__xludf.DUMMYFUNCTION("""COMPUTED_VALUE"""),"")</f>
        <v/>
      </c>
      <c r="O4773" t="str">
        <f>IFERROR(__xludf.DUMMYFUNCTION("""COMPUTED_VALUE"""),"")</f>
        <v/>
      </c>
      <c r="P4773" t="str">
        <f>IFERROR(__xludf.DUMMYFUNCTION("""COMPUTED_VALUE"""),"ID ")</f>
        <v>ID </v>
      </c>
    </row>
    <row r="4774">
      <c r="A4774" s="6" t="str">
        <f>IFERROR(__xludf.DUMMYFUNCTION("""COMPUTED_VALUE"""),"")</f>
        <v/>
      </c>
      <c r="C4774" t="str">
        <f>IFERROR(__xludf.DUMMYFUNCTION("""COMPUTED_VALUE"""),"")</f>
        <v/>
      </c>
      <c r="D4774" t="str">
        <f>IFERROR(__xludf.DUMMYFUNCTION("""COMPUTED_VALUE"""),"")</f>
        <v/>
      </c>
      <c r="E4774" t="str">
        <f>IFERROR(__xludf.DUMMYFUNCTION("""COMPUTED_VALUE"""),"")</f>
        <v/>
      </c>
      <c r="F4774" t="str">
        <f>IFERROR(__xludf.DUMMYFUNCTION("""COMPUTED_VALUE"""),"")</f>
        <v/>
      </c>
      <c r="G4774" t="str">
        <f>IFERROR(__xludf.DUMMYFUNCTION("""COMPUTED_VALUE"""),"")</f>
        <v/>
      </c>
      <c r="H4774" s="2" t="str">
        <f>IFERROR(__xludf.DUMMYFUNCTION("""COMPUTED_VALUE"""),"")</f>
        <v/>
      </c>
      <c r="I4774" s="2" t="str">
        <f>IFERROR(__xludf.DUMMYFUNCTION("""COMPUTED_VALUE"""),"")</f>
        <v/>
      </c>
      <c r="J4774" s="2">
        <f>IFERROR(__xludf.DUMMYFUNCTION("""COMPUTED_VALUE"""),0.0)</f>
        <v>0</v>
      </c>
      <c r="K4774" s="5" t="str">
        <f>IFERROR(__xludf.DUMMYFUNCTION("""COMPUTED_VALUE"""),"")</f>
        <v/>
      </c>
      <c r="L4774" t="str">
        <f>IFERROR(__xludf.DUMMYFUNCTION("""COMPUTED_VALUE"""),"")</f>
        <v/>
      </c>
      <c r="M4774" t="str">
        <f>IFERROR(__xludf.DUMMYFUNCTION("""COMPUTED_VALUE"""),"")</f>
        <v/>
      </c>
      <c r="N4774" t="str">
        <f>IFERROR(__xludf.DUMMYFUNCTION("""COMPUTED_VALUE"""),"")</f>
        <v/>
      </c>
      <c r="O4774" t="str">
        <f>IFERROR(__xludf.DUMMYFUNCTION("""COMPUTED_VALUE"""),"")</f>
        <v/>
      </c>
      <c r="P4774" t="str">
        <f>IFERROR(__xludf.DUMMYFUNCTION("""COMPUTED_VALUE"""),"ID ")</f>
        <v>ID </v>
      </c>
    </row>
    <row r="4775">
      <c r="A4775" s="6" t="str">
        <f>IFERROR(__xludf.DUMMYFUNCTION("""COMPUTED_VALUE"""),"")</f>
        <v/>
      </c>
      <c r="C4775" t="str">
        <f>IFERROR(__xludf.DUMMYFUNCTION("""COMPUTED_VALUE"""),"")</f>
        <v/>
      </c>
      <c r="D4775" t="str">
        <f>IFERROR(__xludf.DUMMYFUNCTION("""COMPUTED_VALUE"""),"")</f>
        <v/>
      </c>
      <c r="E4775" t="str">
        <f>IFERROR(__xludf.DUMMYFUNCTION("""COMPUTED_VALUE"""),"")</f>
        <v/>
      </c>
      <c r="F4775" t="str">
        <f>IFERROR(__xludf.DUMMYFUNCTION("""COMPUTED_VALUE"""),"")</f>
        <v/>
      </c>
      <c r="G4775" t="str">
        <f>IFERROR(__xludf.DUMMYFUNCTION("""COMPUTED_VALUE"""),"")</f>
        <v/>
      </c>
      <c r="H4775" s="2" t="str">
        <f>IFERROR(__xludf.DUMMYFUNCTION("""COMPUTED_VALUE"""),"")</f>
        <v/>
      </c>
      <c r="I4775" s="2" t="str">
        <f>IFERROR(__xludf.DUMMYFUNCTION("""COMPUTED_VALUE"""),"")</f>
        <v/>
      </c>
      <c r="J4775" s="2">
        <f>IFERROR(__xludf.DUMMYFUNCTION("""COMPUTED_VALUE"""),0.0)</f>
        <v>0</v>
      </c>
      <c r="K4775" s="5" t="str">
        <f>IFERROR(__xludf.DUMMYFUNCTION("""COMPUTED_VALUE"""),"")</f>
        <v/>
      </c>
      <c r="L4775" t="str">
        <f>IFERROR(__xludf.DUMMYFUNCTION("""COMPUTED_VALUE"""),"")</f>
        <v/>
      </c>
      <c r="M4775" t="str">
        <f>IFERROR(__xludf.DUMMYFUNCTION("""COMPUTED_VALUE"""),"")</f>
        <v/>
      </c>
      <c r="N4775" t="str">
        <f>IFERROR(__xludf.DUMMYFUNCTION("""COMPUTED_VALUE"""),"")</f>
        <v/>
      </c>
      <c r="O4775" t="str">
        <f>IFERROR(__xludf.DUMMYFUNCTION("""COMPUTED_VALUE"""),"")</f>
        <v/>
      </c>
      <c r="P4775" t="str">
        <f>IFERROR(__xludf.DUMMYFUNCTION("""COMPUTED_VALUE"""),"ID ")</f>
        <v>ID </v>
      </c>
    </row>
    <row r="4776">
      <c r="A4776" s="6" t="str">
        <f>IFERROR(__xludf.DUMMYFUNCTION("""COMPUTED_VALUE"""),"")</f>
        <v/>
      </c>
      <c r="C4776" t="str">
        <f>IFERROR(__xludf.DUMMYFUNCTION("""COMPUTED_VALUE"""),"")</f>
        <v/>
      </c>
      <c r="D4776" t="str">
        <f>IFERROR(__xludf.DUMMYFUNCTION("""COMPUTED_VALUE"""),"")</f>
        <v/>
      </c>
      <c r="E4776" t="str">
        <f>IFERROR(__xludf.DUMMYFUNCTION("""COMPUTED_VALUE"""),"")</f>
        <v/>
      </c>
      <c r="F4776" t="str">
        <f>IFERROR(__xludf.DUMMYFUNCTION("""COMPUTED_VALUE"""),"")</f>
        <v/>
      </c>
      <c r="G4776" t="str">
        <f>IFERROR(__xludf.DUMMYFUNCTION("""COMPUTED_VALUE"""),"")</f>
        <v/>
      </c>
      <c r="H4776" s="2" t="str">
        <f>IFERROR(__xludf.DUMMYFUNCTION("""COMPUTED_VALUE"""),"")</f>
        <v/>
      </c>
      <c r="I4776" s="2" t="str">
        <f>IFERROR(__xludf.DUMMYFUNCTION("""COMPUTED_VALUE"""),"")</f>
        <v/>
      </c>
      <c r="J4776" s="2">
        <f>IFERROR(__xludf.DUMMYFUNCTION("""COMPUTED_VALUE"""),0.0)</f>
        <v>0</v>
      </c>
      <c r="K4776" s="5" t="str">
        <f>IFERROR(__xludf.DUMMYFUNCTION("""COMPUTED_VALUE"""),"")</f>
        <v/>
      </c>
      <c r="L4776" t="str">
        <f>IFERROR(__xludf.DUMMYFUNCTION("""COMPUTED_VALUE"""),"")</f>
        <v/>
      </c>
      <c r="M4776" t="str">
        <f>IFERROR(__xludf.DUMMYFUNCTION("""COMPUTED_VALUE"""),"")</f>
        <v/>
      </c>
      <c r="N4776" t="str">
        <f>IFERROR(__xludf.DUMMYFUNCTION("""COMPUTED_VALUE"""),"")</f>
        <v/>
      </c>
      <c r="O4776" t="str">
        <f>IFERROR(__xludf.DUMMYFUNCTION("""COMPUTED_VALUE"""),"")</f>
        <v/>
      </c>
      <c r="P4776" t="str">
        <f>IFERROR(__xludf.DUMMYFUNCTION("""COMPUTED_VALUE"""),"ID ")</f>
        <v>ID </v>
      </c>
    </row>
    <row r="4777">
      <c r="A4777" s="6" t="str">
        <f>IFERROR(__xludf.DUMMYFUNCTION("""COMPUTED_VALUE"""),"")</f>
        <v/>
      </c>
      <c r="C4777" t="str">
        <f>IFERROR(__xludf.DUMMYFUNCTION("""COMPUTED_VALUE"""),"")</f>
        <v/>
      </c>
      <c r="D4777" t="str">
        <f>IFERROR(__xludf.DUMMYFUNCTION("""COMPUTED_VALUE"""),"")</f>
        <v/>
      </c>
      <c r="E4777" t="str">
        <f>IFERROR(__xludf.DUMMYFUNCTION("""COMPUTED_VALUE"""),"")</f>
        <v/>
      </c>
      <c r="F4777" t="str">
        <f>IFERROR(__xludf.DUMMYFUNCTION("""COMPUTED_VALUE"""),"")</f>
        <v/>
      </c>
      <c r="G4777" t="str">
        <f>IFERROR(__xludf.DUMMYFUNCTION("""COMPUTED_VALUE"""),"")</f>
        <v/>
      </c>
      <c r="H4777" s="2" t="str">
        <f>IFERROR(__xludf.DUMMYFUNCTION("""COMPUTED_VALUE"""),"")</f>
        <v/>
      </c>
      <c r="I4777" s="2" t="str">
        <f>IFERROR(__xludf.DUMMYFUNCTION("""COMPUTED_VALUE"""),"")</f>
        <v/>
      </c>
      <c r="J4777" s="2">
        <f>IFERROR(__xludf.DUMMYFUNCTION("""COMPUTED_VALUE"""),0.0)</f>
        <v>0</v>
      </c>
      <c r="K4777" s="5" t="str">
        <f>IFERROR(__xludf.DUMMYFUNCTION("""COMPUTED_VALUE"""),"")</f>
        <v/>
      </c>
      <c r="L4777" t="str">
        <f>IFERROR(__xludf.DUMMYFUNCTION("""COMPUTED_VALUE"""),"")</f>
        <v/>
      </c>
      <c r="M4777" t="str">
        <f>IFERROR(__xludf.DUMMYFUNCTION("""COMPUTED_VALUE"""),"")</f>
        <v/>
      </c>
      <c r="N4777" t="str">
        <f>IFERROR(__xludf.DUMMYFUNCTION("""COMPUTED_VALUE"""),"")</f>
        <v/>
      </c>
      <c r="O4777" t="str">
        <f>IFERROR(__xludf.DUMMYFUNCTION("""COMPUTED_VALUE"""),"")</f>
        <v/>
      </c>
      <c r="P4777" t="str">
        <f>IFERROR(__xludf.DUMMYFUNCTION("""COMPUTED_VALUE"""),"ID ")</f>
        <v>ID </v>
      </c>
    </row>
    <row r="4778">
      <c r="A4778" s="6" t="str">
        <f>IFERROR(__xludf.DUMMYFUNCTION("""COMPUTED_VALUE"""),"")</f>
        <v/>
      </c>
      <c r="C4778" t="str">
        <f>IFERROR(__xludf.DUMMYFUNCTION("""COMPUTED_VALUE"""),"")</f>
        <v/>
      </c>
      <c r="D4778" t="str">
        <f>IFERROR(__xludf.DUMMYFUNCTION("""COMPUTED_VALUE"""),"")</f>
        <v/>
      </c>
      <c r="E4778" t="str">
        <f>IFERROR(__xludf.DUMMYFUNCTION("""COMPUTED_VALUE"""),"")</f>
        <v/>
      </c>
      <c r="F4778" t="str">
        <f>IFERROR(__xludf.DUMMYFUNCTION("""COMPUTED_VALUE"""),"")</f>
        <v/>
      </c>
      <c r="G4778" t="str">
        <f>IFERROR(__xludf.DUMMYFUNCTION("""COMPUTED_VALUE"""),"")</f>
        <v/>
      </c>
      <c r="H4778" s="2" t="str">
        <f>IFERROR(__xludf.DUMMYFUNCTION("""COMPUTED_VALUE"""),"")</f>
        <v/>
      </c>
      <c r="I4778" s="2" t="str">
        <f>IFERROR(__xludf.DUMMYFUNCTION("""COMPUTED_VALUE"""),"")</f>
        <v/>
      </c>
      <c r="J4778" s="2">
        <f>IFERROR(__xludf.DUMMYFUNCTION("""COMPUTED_VALUE"""),0.0)</f>
        <v>0</v>
      </c>
      <c r="K4778" s="5" t="str">
        <f>IFERROR(__xludf.DUMMYFUNCTION("""COMPUTED_VALUE"""),"")</f>
        <v/>
      </c>
      <c r="L4778" t="str">
        <f>IFERROR(__xludf.DUMMYFUNCTION("""COMPUTED_VALUE"""),"")</f>
        <v/>
      </c>
      <c r="M4778" t="str">
        <f>IFERROR(__xludf.DUMMYFUNCTION("""COMPUTED_VALUE"""),"")</f>
        <v/>
      </c>
      <c r="N4778" t="str">
        <f>IFERROR(__xludf.DUMMYFUNCTION("""COMPUTED_VALUE"""),"")</f>
        <v/>
      </c>
      <c r="O4778" t="str">
        <f>IFERROR(__xludf.DUMMYFUNCTION("""COMPUTED_VALUE"""),"")</f>
        <v/>
      </c>
      <c r="P4778" t="str">
        <f>IFERROR(__xludf.DUMMYFUNCTION("""COMPUTED_VALUE"""),"ID ")</f>
        <v>ID </v>
      </c>
    </row>
    <row r="4779">
      <c r="A4779" s="6" t="str">
        <f>IFERROR(__xludf.DUMMYFUNCTION("""COMPUTED_VALUE"""),"")</f>
        <v/>
      </c>
      <c r="C4779" t="str">
        <f>IFERROR(__xludf.DUMMYFUNCTION("""COMPUTED_VALUE"""),"")</f>
        <v/>
      </c>
      <c r="D4779" t="str">
        <f>IFERROR(__xludf.DUMMYFUNCTION("""COMPUTED_VALUE"""),"")</f>
        <v/>
      </c>
      <c r="E4779" t="str">
        <f>IFERROR(__xludf.DUMMYFUNCTION("""COMPUTED_VALUE"""),"")</f>
        <v/>
      </c>
      <c r="F4779" t="str">
        <f>IFERROR(__xludf.DUMMYFUNCTION("""COMPUTED_VALUE"""),"")</f>
        <v/>
      </c>
      <c r="G4779" t="str">
        <f>IFERROR(__xludf.DUMMYFUNCTION("""COMPUTED_VALUE"""),"")</f>
        <v/>
      </c>
      <c r="H4779" s="2" t="str">
        <f>IFERROR(__xludf.DUMMYFUNCTION("""COMPUTED_VALUE"""),"")</f>
        <v/>
      </c>
      <c r="I4779" s="2" t="str">
        <f>IFERROR(__xludf.DUMMYFUNCTION("""COMPUTED_VALUE"""),"")</f>
        <v/>
      </c>
      <c r="J4779" s="2">
        <f>IFERROR(__xludf.DUMMYFUNCTION("""COMPUTED_VALUE"""),0.0)</f>
        <v>0</v>
      </c>
      <c r="K4779" s="5" t="str">
        <f>IFERROR(__xludf.DUMMYFUNCTION("""COMPUTED_VALUE"""),"")</f>
        <v/>
      </c>
      <c r="L4779" t="str">
        <f>IFERROR(__xludf.DUMMYFUNCTION("""COMPUTED_VALUE"""),"")</f>
        <v/>
      </c>
      <c r="M4779" t="str">
        <f>IFERROR(__xludf.DUMMYFUNCTION("""COMPUTED_VALUE"""),"")</f>
        <v/>
      </c>
      <c r="N4779" t="str">
        <f>IFERROR(__xludf.DUMMYFUNCTION("""COMPUTED_VALUE"""),"")</f>
        <v/>
      </c>
      <c r="O4779" t="str">
        <f>IFERROR(__xludf.DUMMYFUNCTION("""COMPUTED_VALUE"""),"")</f>
        <v/>
      </c>
      <c r="P4779" t="str">
        <f>IFERROR(__xludf.DUMMYFUNCTION("""COMPUTED_VALUE"""),"ID ")</f>
        <v>ID </v>
      </c>
    </row>
    <row r="4780">
      <c r="A4780" s="6" t="str">
        <f>IFERROR(__xludf.DUMMYFUNCTION("""COMPUTED_VALUE"""),"")</f>
        <v/>
      </c>
      <c r="C4780" t="str">
        <f>IFERROR(__xludf.DUMMYFUNCTION("""COMPUTED_VALUE"""),"")</f>
        <v/>
      </c>
      <c r="D4780" t="str">
        <f>IFERROR(__xludf.DUMMYFUNCTION("""COMPUTED_VALUE"""),"")</f>
        <v/>
      </c>
      <c r="E4780" t="str">
        <f>IFERROR(__xludf.DUMMYFUNCTION("""COMPUTED_VALUE"""),"")</f>
        <v/>
      </c>
      <c r="F4780" t="str">
        <f>IFERROR(__xludf.DUMMYFUNCTION("""COMPUTED_VALUE"""),"")</f>
        <v/>
      </c>
      <c r="G4780" t="str">
        <f>IFERROR(__xludf.DUMMYFUNCTION("""COMPUTED_VALUE"""),"")</f>
        <v/>
      </c>
      <c r="H4780" s="2" t="str">
        <f>IFERROR(__xludf.DUMMYFUNCTION("""COMPUTED_VALUE"""),"")</f>
        <v/>
      </c>
      <c r="I4780" s="2" t="str">
        <f>IFERROR(__xludf.DUMMYFUNCTION("""COMPUTED_VALUE"""),"")</f>
        <v/>
      </c>
      <c r="J4780" s="2">
        <f>IFERROR(__xludf.DUMMYFUNCTION("""COMPUTED_VALUE"""),0.0)</f>
        <v>0</v>
      </c>
      <c r="K4780" s="5" t="str">
        <f>IFERROR(__xludf.DUMMYFUNCTION("""COMPUTED_VALUE"""),"")</f>
        <v/>
      </c>
      <c r="L4780" t="str">
        <f>IFERROR(__xludf.DUMMYFUNCTION("""COMPUTED_VALUE"""),"")</f>
        <v/>
      </c>
      <c r="M4780" t="str">
        <f>IFERROR(__xludf.DUMMYFUNCTION("""COMPUTED_VALUE"""),"")</f>
        <v/>
      </c>
      <c r="N4780" t="str">
        <f>IFERROR(__xludf.DUMMYFUNCTION("""COMPUTED_VALUE"""),"")</f>
        <v/>
      </c>
      <c r="O4780" t="str">
        <f>IFERROR(__xludf.DUMMYFUNCTION("""COMPUTED_VALUE"""),"")</f>
        <v/>
      </c>
      <c r="P4780" t="str">
        <f>IFERROR(__xludf.DUMMYFUNCTION("""COMPUTED_VALUE"""),"ID ")</f>
        <v>ID </v>
      </c>
    </row>
    <row r="4781">
      <c r="A4781" s="6" t="str">
        <f>IFERROR(__xludf.DUMMYFUNCTION("""COMPUTED_VALUE"""),"")</f>
        <v/>
      </c>
      <c r="C4781" t="str">
        <f>IFERROR(__xludf.DUMMYFUNCTION("""COMPUTED_VALUE"""),"")</f>
        <v/>
      </c>
      <c r="D4781" t="str">
        <f>IFERROR(__xludf.DUMMYFUNCTION("""COMPUTED_VALUE"""),"")</f>
        <v/>
      </c>
      <c r="E4781" t="str">
        <f>IFERROR(__xludf.DUMMYFUNCTION("""COMPUTED_VALUE"""),"")</f>
        <v/>
      </c>
      <c r="F4781" t="str">
        <f>IFERROR(__xludf.DUMMYFUNCTION("""COMPUTED_VALUE"""),"")</f>
        <v/>
      </c>
      <c r="G4781" t="str">
        <f>IFERROR(__xludf.DUMMYFUNCTION("""COMPUTED_VALUE"""),"")</f>
        <v/>
      </c>
      <c r="H4781" s="2" t="str">
        <f>IFERROR(__xludf.DUMMYFUNCTION("""COMPUTED_VALUE"""),"")</f>
        <v/>
      </c>
      <c r="I4781" s="2" t="str">
        <f>IFERROR(__xludf.DUMMYFUNCTION("""COMPUTED_VALUE"""),"")</f>
        <v/>
      </c>
      <c r="J4781" s="2">
        <f>IFERROR(__xludf.DUMMYFUNCTION("""COMPUTED_VALUE"""),0.0)</f>
        <v>0</v>
      </c>
      <c r="K4781" s="5" t="str">
        <f>IFERROR(__xludf.DUMMYFUNCTION("""COMPUTED_VALUE"""),"")</f>
        <v/>
      </c>
      <c r="L4781" t="str">
        <f>IFERROR(__xludf.DUMMYFUNCTION("""COMPUTED_VALUE"""),"")</f>
        <v/>
      </c>
      <c r="M4781" t="str">
        <f>IFERROR(__xludf.DUMMYFUNCTION("""COMPUTED_VALUE"""),"")</f>
        <v/>
      </c>
      <c r="N4781" t="str">
        <f>IFERROR(__xludf.DUMMYFUNCTION("""COMPUTED_VALUE"""),"")</f>
        <v/>
      </c>
      <c r="O4781" t="str">
        <f>IFERROR(__xludf.DUMMYFUNCTION("""COMPUTED_VALUE"""),"")</f>
        <v/>
      </c>
      <c r="P4781" t="str">
        <f>IFERROR(__xludf.DUMMYFUNCTION("""COMPUTED_VALUE"""),"ID ")</f>
        <v>ID </v>
      </c>
    </row>
    <row r="4782">
      <c r="A4782" s="6" t="str">
        <f>IFERROR(__xludf.DUMMYFUNCTION("""COMPUTED_VALUE"""),"")</f>
        <v/>
      </c>
      <c r="C4782" t="str">
        <f>IFERROR(__xludf.DUMMYFUNCTION("""COMPUTED_VALUE"""),"")</f>
        <v/>
      </c>
      <c r="D4782" t="str">
        <f>IFERROR(__xludf.DUMMYFUNCTION("""COMPUTED_VALUE"""),"")</f>
        <v/>
      </c>
      <c r="E4782" t="str">
        <f>IFERROR(__xludf.DUMMYFUNCTION("""COMPUTED_VALUE"""),"")</f>
        <v/>
      </c>
      <c r="F4782" t="str">
        <f>IFERROR(__xludf.DUMMYFUNCTION("""COMPUTED_VALUE"""),"")</f>
        <v/>
      </c>
      <c r="G4782" t="str">
        <f>IFERROR(__xludf.DUMMYFUNCTION("""COMPUTED_VALUE"""),"")</f>
        <v/>
      </c>
      <c r="H4782" s="2" t="str">
        <f>IFERROR(__xludf.DUMMYFUNCTION("""COMPUTED_VALUE"""),"")</f>
        <v/>
      </c>
      <c r="I4782" s="2" t="str">
        <f>IFERROR(__xludf.DUMMYFUNCTION("""COMPUTED_VALUE"""),"")</f>
        <v/>
      </c>
      <c r="J4782" s="2">
        <f>IFERROR(__xludf.DUMMYFUNCTION("""COMPUTED_VALUE"""),0.0)</f>
        <v>0</v>
      </c>
      <c r="K4782" s="5" t="str">
        <f>IFERROR(__xludf.DUMMYFUNCTION("""COMPUTED_VALUE"""),"")</f>
        <v/>
      </c>
      <c r="L4782" t="str">
        <f>IFERROR(__xludf.DUMMYFUNCTION("""COMPUTED_VALUE"""),"")</f>
        <v/>
      </c>
      <c r="M4782" t="str">
        <f>IFERROR(__xludf.DUMMYFUNCTION("""COMPUTED_VALUE"""),"")</f>
        <v/>
      </c>
      <c r="N4782" t="str">
        <f>IFERROR(__xludf.DUMMYFUNCTION("""COMPUTED_VALUE"""),"")</f>
        <v/>
      </c>
      <c r="O4782" t="str">
        <f>IFERROR(__xludf.DUMMYFUNCTION("""COMPUTED_VALUE"""),"")</f>
        <v/>
      </c>
      <c r="P4782" t="str">
        <f>IFERROR(__xludf.DUMMYFUNCTION("""COMPUTED_VALUE"""),"ID ")</f>
        <v>ID </v>
      </c>
    </row>
    <row r="4783">
      <c r="A4783" s="6" t="str">
        <f>IFERROR(__xludf.DUMMYFUNCTION("""COMPUTED_VALUE"""),"")</f>
        <v/>
      </c>
      <c r="C4783" t="str">
        <f>IFERROR(__xludf.DUMMYFUNCTION("""COMPUTED_VALUE"""),"")</f>
        <v/>
      </c>
      <c r="D4783" t="str">
        <f>IFERROR(__xludf.DUMMYFUNCTION("""COMPUTED_VALUE"""),"")</f>
        <v/>
      </c>
      <c r="E4783" t="str">
        <f>IFERROR(__xludf.DUMMYFUNCTION("""COMPUTED_VALUE"""),"")</f>
        <v/>
      </c>
      <c r="F4783" t="str">
        <f>IFERROR(__xludf.DUMMYFUNCTION("""COMPUTED_VALUE"""),"")</f>
        <v/>
      </c>
      <c r="G4783" t="str">
        <f>IFERROR(__xludf.DUMMYFUNCTION("""COMPUTED_VALUE"""),"")</f>
        <v/>
      </c>
      <c r="H4783" s="2" t="str">
        <f>IFERROR(__xludf.DUMMYFUNCTION("""COMPUTED_VALUE"""),"")</f>
        <v/>
      </c>
      <c r="I4783" s="2" t="str">
        <f>IFERROR(__xludf.DUMMYFUNCTION("""COMPUTED_VALUE"""),"")</f>
        <v/>
      </c>
      <c r="J4783" s="2">
        <f>IFERROR(__xludf.DUMMYFUNCTION("""COMPUTED_VALUE"""),0.0)</f>
        <v>0</v>
      </c>
      <c r="K4783" s="5" t="str">
        <f>IFERROR(__xludf.DUMMYFUNCTION("""COMPUTED_VALUE"""),"")</f>
        <v/>
      </c>
      <c r="L4783" t="str">
        <f>IFERROR(__xludf.DUMMYFUNCTION("""COMPUTED_VALUE"""),"")</f>
        <v/>
      </c>
      <c r="M4783" t="str">
        <f>IFERROR(__xludf.DUMMYFUNCTION("""COMPUTED_VALUE"""),"")</f>
        <v/>
      </c>
      <c r="N4783" t="str">
        <f>IFERROR(__xludf.DUMMYFUNCTION("""COMPUTED_VALUE"""),"")</f>
        <v/>
      </c>
      <c r="O4783" t="str">
        <f>IFERROR(__xludf.DUMMYFUNCTION("""COMPUTED_VALUE"""),"")</f>
        <v/>
      </c>
      <c r="P4783" t="str">
        <f>IFERROR(__xludf.DUMMYFUNCTION("""COMPUTED_VALUE"""),"ID ")</f>
        <v>ID </v>
      </c>
    </row>
    <row r="4784">
      <c r="A4784" s="6" t="str">
        <f>IFERROR(__xludf.DUMMYFUNCTION("""COMPUTED_VALUE"""),"")</f>
        <v/>
      </c>
      <c r="C4784" t="str">
        <f>IFERROR(__xludf.DUMMYFUNCTION("""COMPUTED_VALUE"""),"")</f>
        <v/>
      </c>
      <c r="D4784" t="str">
        <f>IFERROR(__xludf.DUMMYFUNCTION("""COMPUTED_VALUE"""),"")</f>
        <v/>
      </c>
      <c r="E4784" t="str">
        <f>IFERROR(__xludf.DUMMYFUNCTION("""COMPUTED_VALUE"""),"")</f>
        <v/>
      </c>
      <c r="F4784" t="str">
        <f>IFERROR(__xludf.DUMMYFUNCTION("""COMPUTED_VALUE"""),"")</f>
        <v/>
      </c>
      <c r="G4784" t="str">
        <f>IFERROR(__xludf.DUMMYFUNCTION("""COMPUTED_VALUE"""),"")</f>
        <v/>
      </c>
      <c r="H4784" s="2" t="str">
        <f>IFERROR(__xludf.DUMMYFUNCTION("""COMPUTED_VALUE"""),"")</f>
        <v/>
      </c>
      <c r="I4784" s="2" t="str">
        <f>IFERROR(__xludf.DUMMYFUNCTION("""COMPUTED_VALUE"""),"")</f>
        <v/>
      </c>
      <c r="J4784" s="2">
        <f>IFERROR(__xludf.DUMMYFUNCTION("""COMPUTED_VALUE"""),0.0)</f>
        <v>0</v>
      </c>
      <c r="K4784" s="5" t="str">
        <f>IFERROR(__xludf.DUMMYFUNCTION("""COMPUTED_VALUE"""),"")</f>
        <v/>
      </c>
      <c r="L4784" t="str">
        <f>IFERROR(__xludf.DUMMYFUNCTION("""COMPUTED_VALUE"""),"")</f>
        <v/>
      </c>
      <c r="M4784" t="str">
        <f>IFERROR(__xludf.DUMMYFUNCTION("""COMPUTED_VALUE"""),"")</f>
        <v/>
      </c>
      <c r="N4784" t="str">
        <f>IFERROR(__xludf.DUMMYFUNCTION("""COMPUTED_VALUE"""),"")</f>
        <v/>
      </c>
      <c r="O4784" t="str">
        <f>IFERROR(__xludf.DUMMYFUNCTION("""COMPUTED_VALUE"""),"")</f>
        <v/>
      </c>
      <c r="P4784" t="str">
        <f>IFERROR(__xludf.DUMMYFUNCTION("""COMPUTED_VALUE"""),"ID ")</f>
        <v>ID </v>
      </c>
    </row>
    <row r="4785">
      <c r="A4785" s="6" t="str">
        <f>IFERROR(__xludf.DUMMYFUNCTION("""COMPUTED_VALUE"""),"")</f>
        <v/>
      </c>
      <c r="C4785" t="str">
        <f>IFERROR(__xludf.DUMMYFUNCTION("""COMPUTED_VALUE"""),"")</f>
        <v/>
      </c>
      <c r="D4785" t="str">
        <f>IFERROR(__xludf.DUMMYFUNCTION("""COMPUTED_VALUE"""),"")</f>
        <v/>
      </c>
      <c r="E4785" t="str">
        <f>IFERROR(__xludf.DUMMYFUNCTION("""COMPUTED_VALUE"""),"")</f>
        <v/>
      </c>
      <c r="F4785" t="str">
        <f>IFERROR(__xludf.DUMMYFUNCTION("""COMPUTED_VALUE"""),"")</f>
        <v/>
      </c>
      <c r="G4785" t="str">
        <f>IFERROR(__xludf.DUMMYFUNCTION("""COMPUTED_VALUE"""),"")</f>
        <v/>
      </c>
      <c r="H4785" s="2" t="str">
        <f>IFERROR(__xludf.DUMMYFUNCTION("""COMPUTED_VALUE"""),"")</f>
        <v/>
      </c>
      <c r="I4785" s="2" t="str">
        <f>IFERROR(__xludf.DUMMYFUNCTION("""COMPUTED_VALUE"""),"")</f>
        <v/>
      </c>
      <c r="J4785" s="2">
        <f>IFERROR(__xludf.DUMMYFUNCTION("""COMPUTED_VALUE"""),0.0)</f>
        <v>0</v>
      </c>
      <c r="K4785" s="5" t="str">
        <f>IFERROR(__xludf.DUMMYFUNCTION("""COMPUTED_VALUE"""),"")</f>
        <v/>
      </c>
      <c r="L4785" t="str">
        <f>IFERROR(__xludf.DUMMYFUNCTION("""COMPUTED_VALUE"""),"")</f>
        <v/>
      </c>
      <c r="M4785" t="str">
        <f>IFERROR(__xludf.DUMMYFUNCTION("""COMPUTED_VALUE"""),"")</f>
        <v/>
      </c>
      <c r="N4785" t="str">
        <f>IFERROR(__xludf.DUMMYFUNCTION("""COMPUTED_VALUE"""),"")</f>
        <v/>
      </c>
      <c r="O4785" t="str">
        <f>IFERROR(__xludf.DUMMYFUNCTION("""COMPUTED_VALUE"""),"")</f>
        <v/>
      </c>
      <c r="P4785" t="str">
        <f>IFERROR(__xludf.DUMMYFUNCTION("""COMPUTED_VALUE"""),"ID ")</f>
        <v>ID </v>
      </c>
    </row>
    <row r="4786">
      <c r="A4786" s="6" t="str">
        <f>IFERROR(__xludf.DUMMYFUNCTION("""COMPUTED_VALUE"""),"")</f>
        <v/>
      </c>
      <c r="C4786" t="str">
        <f>IFERROR(__xludf.DUMMYFUNCTION("""COMPUTED_VALUE"""),"")</f>
        <v/>
      </c>
      <c r="D4786" t="str">
        <f>IFERROR(__xludf.DUMMYFUNCTION("""COMPUTED_VALUE"""),"")</f>
        <v/>
      </c>
      <c r="E4786" t="str">
        <f>IFERROR(__xludf.DUMMYFUNCTION("""COMPUTED_VALUE"""),"")</f>
        <v/>
      </c>
      <c r="F4786" t="str">
        <f>IFERROR(__xludf.DUMMYFUNCTION("""COMPUTED_VALUE"""),"")</f>
        <v/>
      </c>
      <c r="G4786" t="str">
        <f>IFERROR(__xludf.DUMMYFUNCTION("""COMPUTED_VALUE"""),"")</f>
        <v/>
      </c>
      <c r="H4786" s="2" t="str">
        <f>IFERROR(__xludf.DUMMYFUNCTION("""COMPUTED_VALUE"""),"")</f>
        <v/>
      </c>
      <c r="I4786" s="2" t="str">
        <f>IFERROR(__xludf.DUMMYFUNCTION("""COMPUTED_VALUE"""),"")</f>
        <v/>
      </c>
      <c r="J4786" s="2">
        <f>IFERROR(__xludf.DUMMYFUNCTION("""COMPUTED_VALUE"""),0.0)</f>
        <v>0</v>
      </c>
      <c r="K4786" s="5" t="str">
        <f>IFERROR(__xludf.DUMMYFUNCTION("""COMPUTED_VALUE"""),"")</f>
        <v/>
      </c>
      <c r="L4786" t="str">
        <f>IFERROR(__xludf.DUMMYFUNCTION("""COMPUTED_VALUE"""),"")</f>
        <v/>
      </c>
      <c r="M4786" t="str">
        <f>IFERROR(__xludf.DUMMYFUNCTION("""COMPUTED_VALUE"""),"")</f>
        <v/>
      </c>
      <c r="N4786" t="str">
        <f>IFERROR(__xludf.DUMMYFUNCTION("""COMPUTED_VALUE"""),"")</f>
        <v/>
      </c>
      <c r="O4786" t="str">
        <f>IFERROR(__xludf.DUMMYFUNCTION("""COMPUTED_VALUE"""),"")</f>
        <v/>
      </c>
      <c r="P4786" t="str">
        <f>IFERROR(__xludf.DUMMYFUNCTION("""COMPUTED_VALUE"""),"ID ")</f>
        <v>ID </v>
      </c>
    </row>
    <row r="4787">
      <c r="A4787" s="6" t="str">
        <f>IFERROR(__xludf.DUMMYFUNCTION("""COMPUTED_VALUE"""),"")</f>
        <v/>
      </c>
      <c r="C4787" t="str">
        <f>IFERROR(__xludf.DUMMYFUNCTION("""COMPUTED_VALUE"""),"")</f>
        <v/>
      </c>
      <c r="D4787" t="str">
        <f>IFERROR(__xludf.DUMMYFUNCTION("""COMPUTED_VALUE"""),"")</f>
        <v/>
      </c>
      <c r="E4787" t="str">
        <f>IFERROR(__xludf.DUMMYFUNCTION("""COMPUTED_VALUE"""),"")</f>
        <v/>
      </c>
      <c r="F4787" t="str">
        <f>IFERROR(__xludf.DUMMYFUNCTION("""COMPUTED_VALUE"""),"")</f>
        <v/>
      </c>
      <c r="G4787" t="str">
        <f>IFERROR(__xludf.DUMMYFUNCTION("""COMPUTED_VALUE"""),"")</f>
        <v/>
      </c>
      <c r="H4787" s="2" t="str">
        <f>IFERROR(__xludf.DUMMYFUNCTION("""COMPUTED_VALUE"""),"")</f>
        <v/>
      </c>
      <c r="I4787" s="2" t="str">
        <f>IFERROR(__xludf.DUMMYFUNCTION("""COMPUTED_VALUE"""),"")</f>
        <v/>
      </c>
      <c r="J4787" s="2">
        <f>IFERROR(__xludf.DUMMYFUNCTION("""COMPUTED_VALUE"""),0.0)</f>
        <v>0</v>
      </c>
      <c r="K4787" s="5" t="str">
        <f>IFERROR(__xludf.DUMMYFUNCTION("""COMPUTED_VALUE"""),"")</f>
        <v/>
      </c>
      <c r="L4787" t="str">
        <f>IFERROR(__xludf.DUMMYFUNCTION("""COMPUTED_VALUE"""),"")</f>
        <v/>
      </c>
      <c r="M4787" t="str">
        <f>IFERROR(__xludf.DUMMYFUNCTION("""COMPUTED_VALUE"""),"")</f>
        <v/>
      </c>
      <c r="N4787" t="str">
        <f>IFERROR(__xludf.DUMMYFUNCTION("""COMPUTED_VALUE"""),"")</f>
        <v/>
      </c>
      <c r="O4787" t="str">
        <f>IFERROR(__xludf.DUMMYFUNCTION("""COMPUTED_VALUE"""),"")</f>
        <v/>
      </c>
      <c r="P4787" t="str">
        <f>IFERROR(__xludf.DUMMYFUNCTION("""COMPUTED_VALUE"""),"ID ")</f>
        <v>ID </v>
      </c>
    </row>
    <row r="4788">
      <c r="A4788" s="6" t="str">
        <f>IFERROR(__xludf.DUMMYFUNCTION("""COMPUTED_VALUE"""),"")</f>
        <v/>
      </c>
      <c r="C4788" t="str">
        <f>IFERROR(__xludf.DUMMYFUNCTION("""COMPUTED_VALUE"""),"")</f>
        <v/>
      </c>
      <c r="D4788" t="str">
        <f>IFERROR(__xludf.DUMMYFUNCTION("""COMPUTED_VALUE"""),"")</f>
        <v/>
      </c>
      <c r="E4788" t="str">
        <f>IFERROR(__xludf.DUMMYFUNCTION("""COMPUTED_VALUE"""),"")</f>
        <v/>
      </c>
      <c r="F4788" t="str">
        <f>IFERROR(__xludf.DUMMYFUNCTION("""COMPUTED_VALUE"""),"")</f>
        <v/>
      </c>
      <c r="G4788" t="str">
        <f>IFERROR(__xludf.DUMMYFUNCTION("""COMPUTED_VALUE"""),"")</f>
        <v/>
      </c>
      <c r="H4788" s="2" t="str">
        <f>IFERROR(__xludf.DUMMYFUNCTION("""COMPUTED_VALUE"""),"")</f>
        <v/>
      </c>
      <c r="I4788" s="2" t="str">
        <f>IFERROR(__xludf.DUMMYFUNCTION("""COMPUTED_VALUE"""),"")</f>
        <v/>
      </c>
      <c r="J4788" s="2">
        <f>IFERROR(__xludf.DUMMYFUNCTION("""COMPUTED_VALUE"""),0.0)</f>
        <v>0</v>
      </c>
      <c r="K4788" s="5" t="str">
        <f>IFERROR(__xludf.DUMMYFUNCTION("""COMPUTED_VALUE"""),"")</f>
        <v/>
      </c>
      <c r="L4788" t="str">
        <f>IFERROR(__xludf.DUMMYFUNCTION("""COMPUTED_VALUE"""),"")</f>
        <v/>
      </c>
      <c r="M4788" t="str">
        <f>IFERROR(__xludf.DUMMYFUNCTION("""COMPUTED_VALUE"""),"")</f>
        <v/>
      </c>
      <c r="N4788" t="str">
        <f>IFERROR(__xludf.DUMMYFUNCTION("""COMPUTED_VALUE"""),"")</f>
        <v/>
      </c>
      <c r="O4788" t="str">
        <f>IFERROR(__xludf.DUMMYFUNCTION("""COMPUTED_VALUE"""),"")</f>
        <v/>
      </c>
      <c r="P4788" t="str">
        <f>IFERROR(__xludf.DUMMYFUNCTION("""COMPUTED_VALUE"""),"ID ")</f>
        <v>ID </v>
      </c>
    </row>
    <row r="4789">
      <c r="A4789" s="6" t="str">
        <f>IFERROR(__xludf.DUMMYFUNCTION("""COMPUTED_VALUE"""),"")</f>
        <v/>
      </c>
      <c r="C4789" t="str">
        <f>IFERROR(__xludf.DUMMYFUNCTION("""COMPUTED_VALUE"""),"")</f>
        <v/>
      </c>
      <c r="D4789" t="str">
        <f>IFERROR(__xludf.DUMMYFUNCTION("""COMPUTED_VALUE"""),"")</f>
        <v/>
      </c>
      <c r="E4789" t="str">
        <f>IFERROR(__xludf.DUMMYFUNCTION("""COMPUTED_VALUE"""),"")</f>
        <v/>
      </c>
      <c r="F4789" t="str">
        <f>IFERROR(__xludf.DUMMYFUNCTION("""COMPUTED_VALUE"""),"")</f>
        <v/>
      </c>
      <c r="G4789" t="str">
        <f>IFERROR(__xludf.DUMMYFUNCTION("""COMPUTED_VALUE"""),"")</f>
        <v/>
      </c>
      <c r="H4789" s="2" t="str">
        <f>IFERROR(__xludf.DUMMYFUNCTION("""COMPUTED_VALUE"""),"")</f>
        <v/>
      </c>
      <c r="I4789" s="2" t="str">
        <f>IFERROR(__xludf.DUMMYFUNCTION("""COMPUTED_VALUE"""),"")</f>
        <v/>
      </c>
      <c r="J4789" s="2">
        <f>IFERROR(__xludf.DUMMYFUNCTION("""COMPUTED_VALUE"""),0.0)</f>
        <v>0</v>
      </c>
      <c r="K4789" s="5" t="str">
        <f>IFERROR(__xludf.DUMMYFUNCTION("""COMPUTED_VALUE"""),"")</f>
        <v/>
      </c>
      <c r="L4789" t="str">
        <f>IFERROR(__xludf.DUMMYFUNCTION("""COMPUTED_VALUE"""),"")</f>
        <v/>
      </c>
      <c r="M4789" t="str">
        <f>IFERROR(__xludf.DUMMYFUNCTION("""COMPUTED_VALUE"""),"")</f>
        <v/>
      </c>
      <c r="N4789" t="str">
        <f>IFERROR(__xludf.DUMMYFUNCTION("""COMPUTED_VALUE"""),"")</f>
        <v/>
      </c>
      <c r="O4789" t="str">
        <f>IFERROR(__xludf.DUMMYFUNCTION("""COMPUTED_VALUE"""),"")</f>
        <v/>
      </c>
      <c r="P4789" t="str">
        <f>IFERROR(__xludf.DUMMYFUNCTION("""COMPUTED_VALUE"""),"ID ")</f>
        <v>ID </v>
      </c>
    </row>
    <row r="4790">
      <c r="A4790" s="6" t="str">
        <f>IFERROR(__xludf.DUMMYFUNCTION("""COMPUTED_VALUE"""),"")</f>
        <v/>
      </c>
      <c r="C4790" t="str">
        <f>IFERROR(__xludf.DUMMYFUNCTION("""COMPUTED_VALUE"""),"")</f>
        <v/>
      </c>
      <c r="D4790" t="str">
        <f>IFERROR(__xludf.DUMMYFUNCTION("""COMPUTED_VALUE"""),"")</f>
        <v/>
      </c>
      <c r="E4790" t="str">
        <f>IFERROR(__xludf.DUMMYFUNCTION("""COMPUTED_VALUE"""),"")</f>
        <v/>
      </c>
      <c r="F4790" t="str">
        <f>IFERROR(__xludf.DUMMYFUNCTION("""COMPUTED_VALUE"""),"")</f>
        <v/>
      </c>
      <c r="G4790" t="str">
        <f>IFERROR(__xludf.DUMMYFUNCTION("""COMPUTED_VALUE"""),"")</f>
        <v/>
      </c>
      <c r="H4790" s="2" t="str">
        <f>IFERROR(__xludf.DUMMYFUNCTION("""COMPUTED_VALUE"""),"")</f>
        <v/>
      </c>
      <c r="I4790" s="2" t="str">
        <f>IFERROR(__xludf.DUMMYFUNCTION("""COMPUTED_VALUE"""),"")</f>
        <v/>
      </c>
      <c r="J4790" s="2">
        <f>IFERROR(__xludf.DUMMYFUNCTION("""COMPUTED_VALUE"""),0.0)</f>
        <v>0</v>
      </c>
      <c r="K4790" s="5" t="str">
        <f>IFERROR(__xludf.DUMMYFUNCTION("""COMPUTED_VALUE"""),"")</f>
        <v/>
      </c>
      <c r="L4790" t="str">
        <f>IFERROR(__xludf.DUMMYFUNCTION("""COMPUTED_VALUE"""),"")</f>
        <v/>
      </c>
      <c r="M4790" t="str">
        <f>IFERROR(__xludf.DUMMYFUNCTION("""COMPUTED_VALUE"""),"")</f>
        <v/>
      </c>
      <c r="N4790" t="str">
        <f>IFERROR(__xludf.DUMMYFUNCTION("""COMPUTED_VALUE"""),"")</f>
        <v/>
      </c>
      <c r="O4790" t="str">
        <f>IFERROR(__xludf.DUMMYFUNCTION("""COMPUTED_VALUE"""),"")</f>
        <v/>
      </c>
      <c r="P4790" t="str">
        <f>IFERROR(__xludf.DUMMYFUNCTION("""COMPUTED_VALUE"""),"ID ")</f>
        <v>ID </v>
      </c>
    </row>
    <row r="4791">
      <c r="A4791" s="6" t="str">
        <f>IFERROR(__xludf.DUMMYFUNCTION("""COMPUTED_VALUE"""),"")</f>
        <v/>
      </c>
      <c r="C4791" t="str">
        <f>IFERROR(__xludf.DUMMYFUNCTION("""COMPUTED_VALUE"""),"")</f>
        <v/>
      </c>
      <c r="D4791" t="str">
        <f>IFERROR(__xludf.DUMMYFUNCTION("""COMPUTED_VALUE"""),"")</f>
        <v/>
      </c>
      <c r="E4791" t="str">
        <f>IFERROR(__xludf.DUMMYFUNCTION("""COMPUTED_VALUE"""),"")</f>
        <v/>
      </c>
      <c r="F4791" t="str">
        <f>IFERROR(__xludf.DUMMYFUNCTION("""COMPUTED_VALUE"""),"")</f>
        <v/>
      </c>
      <c r="G4791" t="str">
        <f>IFERROR(__xludf.DUMMYFUNCTION("""COMPUTED_VALUE"""),"")</f>
        <v/>
      </c>
      <c r="H4791" s="2" t="str">
        <f>IFERROR(__xludf.DUMMYFUNCTION("""COMPUTED_VALUE"""),"")</f>
        <v/>
      </c>
      <c r="I4791" s="2" t="str">
        <f>IFERROR(__xludf.DUMMYFUNCTION("""COMPUTED_VALUE"""),"")</f>
        <v/>
      </c>
      <c r="J4791" s="2">
        <f>IFERROR(__xludf.DUMMYFUNCTION("""COMPUTED_VALUE"""),0.0)</f>
        <v>0</v>
      </c>
      <c r="K4791" s="5" t="str">
        <f>IFERROR(__xludf.DUMMYFUNCTION("""COMPUTED_VALUE"""),"")</f>
        <v/>
      </c>
      <c r="L4791" t="str">
        <f>IFERROR(__xludf.DUMMYFUNCTION("""COMPUTED_VALUE"""),"")</f>
        <v/>
      </c>
      <c r="M4791" t="str">
        <f>IFERROR(__xludf.DUMMYFUNCTION("""COMPUTED_VALUE"""),"")</f>
        <v/>
      </c>
      <c r="N4791" t="str">
        <f>IFERROR(__xludf.DUMMYFUNCTION("""COMPUTED_VALUE"""),"")</f>
        <v/>
      </c>
      <c r="O4791" t="str">
        <f>IFERROR(__xludf.DUMMYFUNCTION("""COMPUTED_VALUE"""),"")</f>
        <v/>
      </c>
      <c r="P4791" t="str">
        <f>IFERROR(__xludf.DUMMYFUNCTION("""COMPUTED_VALUE"""),"ID ")</f>
        <v>ID </v>
      </c>
    </row>
    <row r="4792">
      <c r="A4792" s="6" t="str">
        <f>IFERROR(__xludf.DUMMYFUNCTION("""COMPUTED_VALUE"""),"")</f>
        <v/>
      </c>
      <c r="C4792" t="str">
        <f>IFERROR(__xludf.DUMMYFUNCTION("""COMPUTED_VALUE"""),"")</f>
        <v/>
      </c>
      <c r="D4792" t="str">
        <f>IFERROR(__xludf.DUMMYFUNCTION("""COMPUTED_VALUE"""),"")</f>
        <v/>
      </c>
      <c r="E4792" t="str">
        <f>IFERROR(__xludf.DUMMYFUNCTION("""COMPUTED_VALUE"""),"")</f>
        <v/>
      </c>
      <c r="F4792" t="str">
        <f>IFERROR(__xludf.DUMMYFUNCTION("""COMPUTED_VALUE"""),"")</f>
        <v/>
      </c>
      <c r="G4792" t="str">
        <f>IFERROR(__xludf.DUMMYFUNCTION("""COMPUTED_VALUE"""),"")</f>
        <v/>
      </c>
      <c r="H4792" s="2" t="str">
        <f>IFERROR(__xludf.DUMMYFUNCTION("""COMPUTED_VALUE"""),"")</f>
        <v/>
      </c>
      <c r="I4792" s="2" t="str">
        <f>IFERROR(__xludf.DUMMYFUNCTION("""COMPUTED_VALUE"""),"")</f>
        <v/>
      </c>
      <c r="J4792" s="2">
        <f>IFERROR(__xludf.DUMMYFUNCTION("""COMPUTED_VALUE"""),0.0)</f>
        <v>0</v>
      </c>
      <c r="K4792" s="5" t="str">
        <f>IFERROR(__xludf.DUMMYFUNCTION("""COMPUTED_VALUE"""),"")</f>
        <v/>
      </c>
      <c r="L4792" t="str">
        <f>IFERROR(__xludf.DUMMYFUNCTION("""COMPUTED_VALUE"""),"")</f>
        <v/>
      </c>
      <c r="M4792" t="str">
        <f>IFERROR(__xludf.DUMMYFUNCTION("""COMPUTED_VALUE"""),"")</f>
        <v/>
      </c>
      <c r="N4792" t="str">
        <f>IFERROR(__xludf.DUMMYFUNCTION("""COMPUTED_VALUE"""),"")</f>
        <v/>
      </c>
      <c r="O4792" t="str">
        <f>IFERROR(__xludf.DUMMYFUNCTION("""COMPUTED_VALUE"""),"")</f>
        <v/>
      </c>
      <c r="P4792" t="str">
        <f>IFERROR(__xludf.DUMMYFUNCTION("""COMPUTED_VALUE"""),"ID ")</f>
        <v>ID </v>
      </c>
    </row>
    <row r="4793">
      <c r="A4793" s="6" t="str">
        <f>IFERROR(__xludf.DUMMYFUNCTION("""COMPUTED_VALUE"""),"")</f>
        <v/>
      </c>
      <c r="C4793" t="str">
        <f>IFERROR(__xludf.DUMMYFUNCTION("""COMPUTED_VALUE"""),"")</f>
        <v/>
      </c>
      <c r="D4793" t="str">
        <f>IFERROR(__xludf.DUMMYFUNCTION("""COMPUTED_VALUE"""),"")</f>
        <v/>
      </c>
      <c r="E4793" t="str">
        <f>IFERROR(__xludf.DUMMYFUNCTION("""COMPUTED_VALUE"""),"")</f>
        <v/>
      </c>
      <c r="F4793" t="str">
        <f>IFERROR(__xludf.DUMMYFUNCTION("""COMPUTED_VALUE"""),"")</f>
        <v/>
      </c>
      <c r="G4793" t="str">
        <f>IFERROR(__xludf.DUMMYFUNCTION("""COMPUTED_VALUE"""),"")</f>
        <v/>
      </c>
      <c r="H4793" s="2" t="str">
        <f>IFERROR(__xludf.DUMMYFUNCTION("""COMPUTED_VALUE"""),"")</f>
        <v/>
      </c>
      <c r="I4793" s="2" t="str">
        <f>IFERROR(__xludf.DUMMYFUNCTION("""COMPUTED_VALUE"""),"")</f>
        <v/>
      </c>
      <c r="J4793" s="2">
        <f>IFERROR(__xludf.DUMMYFUNCTION("""COMPUTED_VALUE"""),0.0)</f>
        <v>0</v>
      </c>
      <c r="K4793" s="5" t="str">
        <f>IFERROR(__xludf.DUMMYFUNCTION("""COMPUTED_VALUE"""),"")</f>
        <v/>
      </c>
      <c r="L4793" t="str">
        <f>IFERROR(__xludf.DUMMYFUNCTION("""COMPUTED_VALUE"""),"")</f>
        <v/>
      </c>
      <c r="M4793" t="str">
        <f>IFERROR(__xludf.DUMMYFUNCTION("""COMPUTED_VALUE"""),"")</f>
        <v/>
      </c>
      <c r="N4793" t="str">
        <f>IFERROR(__xludf.DUMMYFUNCTION("""COMPUTED_VALUE"""),"")</f>
        <v/>
      </c>
      <c r="O4793" t="str">
        <f>IFERROR(__xludf.DUMMYFUNCTION("""COMPUTED_VALUE"""),"")</f>
        <v/>
      </c>
      <c r="P4793" t="str">
        <f>IFERROR(__xludf.DUMMYFUNCTION("""COMPUTED_VALUE"""),"ID ")</f>
        <v>ID </v>
      </c>
    </row>
    <row r="4794">
      <c r="A4794" s="6" t="str">
        <f>IFERROR(__xludf.DUMMYFUNCTION("""COMPUTED_VALUE"""),"")</f>
        <v/>
      </c>
      <c r="C4794" t="str">
        <f>IFERROR(__xludf.DUMMYFUNCTION("""COMPUTED_VALUE"""),"")</f>
        <v/>
      </c>
      <c r="D4794" t="str">
        <f>IFERROR(__xludf.DUMMYFUNCTION("""COMPUTED_VALUE"""),"")</f>
        <v/>
      </c>
      <c r="E4794" t="str">
        <f>IFERROR(__xludf.DUMMYFUNCTION("""COMPUTED_VALUE"""),"")</f>
        <v/>
      </c>
      <c r="F4794" t="str">
        <f>IFERROR(__xludf.DUMMYFUNCTION("""COMPUTED_VALUE"""),"")</f>
        <v/>
      </c>
      <c r="G4794" t="str">
        <f>IFERROR(__xludf.DUMMYFUNCTION("""COMPUTED_VALUE"""),"")</f>
        <v/>
      </c>
      <c r="H4794" s="2" t="str">
        <f>IFERROR(__xludf.DUMMYFUNCTION("""COMPUTED_VALUE"""),"")</f>
        <v/>
      </c>
      <c r="I4794" s="2" t="str">
        <f>IFERROR(__xludf.DUMMYFUNCTION("""COMPUTED_VALUE"""),"")</f>
        <v/>
      </c>
      <c r="J4794" s="2">
        <f>IFERROR(__xludf.DUMMYFUNCTION("""COMPUTED_VALUE"""),0.0)</f>
        <v>0</v>
      </c>
      <c r="K4794" s="5" t="str">
        <f>IFERROR(__xludf.DUMMYFUNCTION("""COMPUTED_VALUE"""),"")</f>
        <v/>
      </c>
      <c r="L4794" t="str">
        <f>IFERROR(__xludf.DUMMYFUNCTION("""COMPUTED_VALUE"""),"")</f>
        <v/>
      </c>
      <c r="M4794" t="str">
        <f>IFERROR(__xludf.DUMMYFUNCTION("""COMPUTED_VALUE"""),"")</f>
        <v/>
      </c>
      <c r="N4794" t="str">
        <f>IFERROR(__xludf.DUMMYFUNCTION("""COMPUTED_VALUE"""),"")</f>
        <v/>
      </c>
      <c r="O4794" t="str">
        <f>IFERROR(__xludf.DUMMYFUNCTION("""COMPUTED_VALUE"""),"")</f>
        <v/>
      </c>
      <c r="P4794" t="str">
        <f>IFERROR(__xludf.DUMMYFUNCTION("""COMPUTED_VALUE"""),"ID ")</f>
        <v>ID </v>
      </c>
    </row>
    <row r="4795">
      <c r="A4795" s="6" t="str">
        <f>IFERROR(__xludf.DUMMYFUNCTION("""COMPUTED_VALUE"""),"")</f>
        <v/>
      </c>
      <c r="C4795" t="str">
        <f>IFERROR(__xludf.DUMMYFUNCTION("""COMPUTED_VALUE"""),"")</f>
        <v/>
      </c>
      <c r="D4795" t="str">
        <f>IFERROR(__xludf.DUMMYFUNCTION("""COMPUTED_VALUE"""),"")</f>
        <v/>
      </c>
      <c r="E4795" t="str">
        <f>IFERROR(__xludf.DUMMYFUNCTION("""COMPUTED_VALUE"""),"")</f>
        <v/>
      </c>
      <c r="F4795" t="str">
        <f>IFERROR(__xludf.DUMMYFUNCTION("""COMPUTED_VALUE"""),"")</f>
        <v/>
      </c>
      <c r="G4795" t="str">
        <f>IFERROR(__xludf.DUMMYFUNCTION("""COMPUTED_VALUE"""),"")</f>
        <v/>
      </c>
      <c r="H4795" s="2" t="str">
        <f>IFERROR(__xludf.DUMMYFUNCTION("""COMPUTED_VALUE"""),"")</f>
        <v/>
      </c>
      <c r="I4795" s="2" t="str">
        <f>IFERROR(__xludf.DUMMYFUNCTION("""COMPUTED_VALUE"""),"")</f>
        <v/>
      </c>
      <c r="J4795" s="2">
        <f>IFERROR(__xludf.DUMMYFUNCTION("""COMPUTED_VALUE"""),0.0)</f>
        <v>0</v>
      </c>
      <c r="K4795" s="5" t="str">
        <f>IFERROR(__xludf.DUMMYFUNCTION("""COMPUTED_VALUE"""),"")</f>
        <v/>
      </c>
      <c r="L4795" t="str">
        <f>IFERROR(__xludf.DUMMYFUNCTION("""COMPUTED_VALUE"""),"")</f>
        <v/>
      </c>
      <c r="M4795" t="str">
        <f>IFERROR(__xludf.DUMMYFUNCTION("""COMPUTED_VALUE"""),"")</f>
        <v/>
      </c>
      <c r="N4795" t="str">
        <f>IFERROR(__xludf.DUMMYFUNCTION("""COMPUTED_VALUE"""),"")</f>
        <v/>
      </c>
      <c r="O4795" t="str">
        <f>IFERROR(__xludf.DUMMYFUNCTION("""COMPUTED_VALUE"""),"")</f>
        <v/>
      </c>
      <c r="P4795" t="str">
        <f>IFERROR(__xludf.DUMMYFUNCTION("""COMPUTED_VALUE"""),"ID ")</f>
        <v>ID </v>
      </c>
    </row>
    <row r="4796">
      <c r="A4796" s="6" t="str">
        <f>IFERROR(__xludf.DUMMYFUNCTION("""COMPUTED_VALUE"""),"")</f>
        <v/>
      </c>
      <c r="C4796" t="str">
        <f>IFERROR(__xludf.DUMMYFUNCTION("""COMPUTED_VALUE"""),"")</f>
        <v/>
      </c>
      <c r="D4796" t="str">
        <f>IFERROR(__xludf.DUMMYFUNCTION("""COMPUTED_VALUE"""),"")</f>
        <v/>
      </c>
      <c r="E4796" t="str">
        <f>IFERROR(__xludf.DUMMYFUNCTION("""COMPUTED_VALUE"""),"")</f>
        <v/>
      </c>
      <c r="F4796" t="str">
        <f>IFERROR(__xludf.DUMMYFUNCTION("""COMPUTED_VALUE"""),"")</f>
        <v/>
      </c>
      <c r="G4796" t="str">
        <f>IFERROR(__xludf.DUMMYFUNCTION("""COMPUTED_VALUE"""),"")</f>
        <v/>
      </c>
      <c r="H4796" s="2" t="str">
        <f>IFERROR(__xludf.DUMMYFUNCTION("""COMPUTED_VALUE"""),"")</f>
        <v/>
      </c>
      <c r="I4796" s="2" t="str">
        <f>IFERROR(__xludf.DUMMYFUNCTION("""COMPUTED_VALUE"""),"")</f>
        <v/>
      </c>
      <c r="J4796" s="2">
        <f>IFERROR(__xludf.DUMMYFUNCTION("""COMPUTED_VALUE"""),0.0)</f>
        <v>0</v>
      </c>
      <c r="K4796" s="5" t="str">
        <f>IFERROR(__xludf.DUMMYFUNCTION("""COMPUTED_VALUE"""),"")</f>
        <v/>
      </c>
      <c r="L4796" t="str">
        <f>IFERROR(__xludf.DUMMYFUNCTION("""COMPUTED_VALUE"""),"")</f>
        <v/>
      </c>
      <c r="M4796" t="str">
        <f>IFERROR(__xludf.DUMMYFUNCTION("""COMPUTED_VALUE"""),"")</f>
        <v/>
      </c>
      <c r="N4796" t="str">
        <f>IFERROR(__xludf.DUMMYFUNCTION("""COMPUTED_VALUE"""),"")</f>
        <v/>
      </c>
      <c r="O4796" t="str">
        <f>IFERROR(__xludf.DUMMYFUNCTION("""COMPUTED_VALUE"""),"")</f>
        <v/>
      </c>
      <c r="P4796" t="str">
        <f>IFERROR(__xludf.DUMMYFUNCTION("""COMPUTED_VALUE"""),"ID ")</f>
        <v>ID </v>
      </c>
    </row>
    <row r="4797">
      <c r="A4797" s="6" t="str">
        <f>IFERROR(__xludf.DUMMYFUNCTION("""COMPUTED_VALUE"""),"")</f>
        <v/>
      </c>
      <c r="C4797" t="str">
        <f>IFERROR(__xludf.DUMMYFUNCTION("""COMPUTED_VALUE"""),"")</f>
        <v/>
      </c>
      <c r="D4797" t="str">
        <f>IFERROR(__xludf.DUMMYFUNCTION("""COMPUTED_VALUE"""),"")</f>
        <v/>
      </c>
      <c r="E4797" t="str">
        <f>IFERROR(__xludf.DUMMYFUNCTION("""COMPUTED_VALUE"""),"")</f>
        <v/>
      </c>
      <c r="F4797" t="str">
        <f>IFERROR(__xludf.DUMMYFUNCTION("""COMPUTED_VALUE"""),"")</f>
        <v/>
      </c>
      <c r="G4797" t="str">
        <f>IFERROR(__xludf.DUMMYFUNCTION("""COMPUTED_VALUE"""),"")</f>
        <v/>
      </c>
      <c r="H4797" s="2" t="str">
        <f>IFERROR(__xludf.DUMMYFUNCTION("""COMPUTED_VALUE"""),"")</f>
        <v/>
      </c>
      <c r="I4797" s="2" t="str">
        <f>IFERROR(__xludf.DUMMYFUNCTION("""COMPUTED_VALUE"""),"")</f>
        <v/>
      </c>
      <c r="J4797" s="2">
        <f>IFERROR(__xludf.DUMMYFUNCTION("""COMPUTED_VALUE"""),0.0)</f>
        <v>0</v>
      </c>
      <c r="K4797" s="5" t="str">
        <f>IFERROR(__xludf.DUMMYFUNCTION("""COMPUTED_VALUE"""),"")</f>
        <v/>
      </c>
      <c r="L4797" t="str">
        <f>IFERROR(__xludf.DUMMYFUNCTION("""COMPUTED_VALUE"""),"")</f>
        <v/>
      </c>
      <c r="M4797" t="str">
        <f>IFERROR(__xludf.DUMMYFUNCTION("""COMPUTED_VALUE"""),"")</f>
        <v/>
      </c>
      <c r="N4797" t="str">
        <f>IFERROR(__xludf.DUMMYFUNCTION("""COMPUTED_VALUE"""),"")</f>
        <v/>
      </c>
      <c r="O4797" t="str">
        <f>IFERROR(__xludf.DUMMYFUNCTION("""COMPUTED_VALUE"""),"")</f>
        <v/>
      </c>
      <c r="P4797" t="str">
        <f>IFERROR(__xludf.DUMMYFUNCTION("""COMPUTED_VALUE"""),"ID ")</f>
        <v>ID </v>
      </c>
    </row>
    <row r="4798">
      <c r="A4798" s="6" t="str">
        <f>IFERROR(__xludf.DUMMYFUNCTION("""COMPUTED_VALUE"""),"")</f>
        <v/>
      </c>
      <c r="C4798" t="str">
        <f>IFERROR(__xludf.DUMMYFUNCTION("""COMPUTED_VALUE"""),"")</f>
        <v/>
      </c>
      <c r="D4798" t="str">
        <f>IFERROR(__xludf.DUMMYFUNCTION("""COMPUTED_VALUE"""),"")</f>
        <v/>
      </c>
      <c r="E4798" t="str">
        <f>IFERROR(__xludf.DUMMYFUNCTION("""COMPUTED_VALUE"""),"")</f>
        <v/>
      </c>
      <c r="F4798" t="str">
        <f>IFERROR(__xludf.DUMMYFUNCTION("""COMPUTED_VALUE"""),"")</f>
        <v/>
      </c>
      <c r="G4798" t="str">
        <f>IFERROR(__xludf.DUMMYFUNCTION("""COMPUTED_VALUE"""),"")</f>
        <v/>
      </c>
      <c r="H4798" s="2" t="str">
        <f>IFERROR(__xludf.DUMMYFUNCTION("""COMPUTED_VALUE"""),"")</f>
        <v/>
      </c>
      <c r="I4798" s="2" t="str">
        <f>IFERROR(__xludf.DUMMYFUNCTION("""COMPUTED_VALUE"""),"")</f>
        <v/>
      </c>
      <c r="J4798" s="2">
        <f>IFERROR(__xludf.DUMMYFUNCTION("""COMPUTED_VALUE"""),0.0)</f>
        <v>0</v>
      </c>
      <c r="K4798" s="5" t="str">
        <f>IFERROR(__xludf.DUMMYFUNCTION("""COMPUTED_VALUE"""),"")</f>
        <v/>
      </c>
      <c r="L4798" t="str">
        <f>IFERROR(__xludf.DUMMYFUNCTION("""COMPUTED_VALUE"""),"")</f>
        <v/>
      </c>
      <c r="M4798" t="str">
        <f>IFERROR(__xludf.DUMMYFUNCTION("""COMPUTED_VALUE"""),"")</f>
        <v/>
      </c>
      <c r="N4798" t="str">
        <f>IFERROR(__xludf.DUMMYFUNCTION("""COMPUTED_VALUE"""),"")</f>
        <v/>
      </c>
      <c r="O4798" t="str">
        <f>IFERROR(__xludf.DUMMYFUNCTION("""COMPUTED_VALUE"""),"")</f>
        <v/>
      </c>
      <c r="P4798" t="str">
        <f>IFERROR(__xludf.DUMMYFUNCTION("""COMPUTED_VALUE"""),"ID ")</f>
        <v>ID </v>
      </c>
    </row>
    <row r="4799">
      <c r="A4799" s="6" t="str">
        <f>IFERROR(__xludf.DUMMYFUNCTION("""COMPUTED_VALUE"""),"")</f>
        <v/>
      </c>
      <c r="C4799" t="str">
        <f>IFERROR(__xludf.DUMMYFUNCTION("""COMPUTED_VALUE"""),"")</f>
        <v/>
      </c>
      <c r="D4799" t="str">
        <f>IFERROR(__xludf.DUMMYFUNCTION("""COMPUTED_VALUE"""),"")</f>
        <v/>
      </c>
      <c r="E4799" t="str">
        <f>IFERROR(__xludf.DUMMYFUNCTION("""COMPUTED_VALUE"""),"")</f>
        <v/>
      </c>
      <c r="F4799" t="str">
        <f>IFERROR(__xludf.DUMMYFUNCTION("""COMPUTED_VALUE"""),"")</f>
        <v/>
      </c>
      <c r="G4799" t="str">
        <f>IFERROR(__xludf.DUMMYFUNCTION("""COMPUTED_VALUE"""),"")</f>
        <v/>
      </c>
      <c r="H4799" s="2" t="str">
        <f>IFERROR(__xludf.DUMMYFUNCTION("""COMPUTED_VALUE"""),"")</f>
        <v/>
      </c>
      <c r="I4799" s="2" t="str">
        <f>IFERROR(__xludf.DUMMYFUNCTION("""COMPUTED_VALUE"""),"")</f>
        <v/>
      </c>
      <c r="J4799" s="2">
        <f>IFERROR(__xludf.DUMMYFUNCTION("""COMPUTED_VALUE"""),0.0)</f>
        <v>0</v>
      </c>
      <c r="K4799" s="5" t="str">
        <f>IFERROR(__xludf.DUMMYFUNCTION("""COMPUTED_VALUE"""),"")</f>
        <v/>
      </c>
      <c r="L4799" t="str">
        <f>IFERROR(__xludf.DUMMYFUNCTION("""COMPUTED_VALUE"""),"")</f>
        <v/>
      </c>
      <c r="M4799" t="str">
        <f>IFERROR(__xludf.DUMMYFUNCTION("""COMPUTED_VALUE"""),"")</f>
        <v/>
      </c>
      <c r="N4799" t="str">
        <f>IFERROR(__xludf.DUMMYFUNCTION("""COMPUTED_VALUE"""),"")</f>
        <v/>
      </c>
      <c r="O4799" t="str">
        <f>IFERROR(__xludf.DUMMYFUNCTION("""COMPUTED_VALUE"""),"")</f>
        <v/>
      </c>
      <c r="P4799" t="str">
        <f>IFERROR(__xludf.DUMMYFUNCTION("""COMPUTED_VALUE"""),"ID ")</f>
        <v>ID </v>
      </c>
    </row>
    <row r="4800">
      <c r="A4800" s="6" t="str">
        <f>IFERROR(__xludf.DUMMYFUNCTION("""COMPUTED_VALUE"""),"")</f>
        <v/>
      </c>
      <c r="C4800" t="str">
        <f>IFERROR(__xludf.DUMMYFUNCTION("""COMPUTED_VALUE"""),"")</f>
        <v/>
      </c>
      <c r="D4800" t="str">
        <f>IFERROR(__xludf.DUMMYFUNCTION("""COMPUTED_VALUE"""),"")</f>
        <v/>
      </c>
      <c r="E4800" t="str">
        <f>IFERROR(__xludf.DUMMYFUNCTION("""COMPUTED_VALUE"""),"")</f>
        <v/>
      </c>
      <c r="F4800" t="str">
        <f>IFERROR(__xludf.DUMMYFUNCTION("""COMPUTED_VALUE"""),"")</f>
        <v/>
      </c>
      <c r="G4800" t="str">
        <f>IFERROR(__xludf.DUMMYFUNCTION("""COMPUTED_VALUE"""),"")</f>
        <v/>
      </c>
      <c r="H4800" s="2" t="str">
        <f>IFERROR(__xludf.DUMMYFUNCTION("""COMPUTED_VALUE"""),"")</f>
        <v/>
      </c>
      <c r="I4800" s="2" t="str">
        <f>IFERROR(__xludf.DUMMYFUNCTION("""COMPUTED_VALUE"""),"")</f>
        <v/>
      </c>
      <c r="J4800" s="2">
        <f>IFERROR(__xludf.DUMMYFUNCTION("""COMPUTED_VALUE"""),0.0)</f>
        <v>0</v>
      </c>
      <c r="K4800" s="5" t="str">
        <f>IFERROR(__xludf.DUMMYFUNCTION("""COMPUTED_VALUE"""),"")</f>
        <v/>
      </c>
      <c r="L4800" t="str">
        <f>IFERROR(__xludf.DUMMYFUNCTION("""COMPUTED_VALUE"""),"")</f>
        <v/>
      </c>
      <c r="M4800" t="str">
        <f>IFERROR(__xludf.DUMMYFUNCTION("""COMPUTED_VALUE"""),"")</f>
        <v/>
      </c>
      <c r="N4800" t="str">
        <f>IFERROR(__xludf.DUMMYFUNCTION("""COMPUTED_VALUE"""),"")</f>
        <v/>
      </c>
      <c r="O4800" t="str">
        <f>IFERROR(__xludf.DUMMYFUNCTION("""COMPUTED_VALUE"""),"")</f>
        <v/>
      </c>
      <c r="P4800" t="str">
        <f>IFERROR(__xludf.DUMMYFUNCTION("""COMPUTED_VALUE"""),"ID ")</f>
        <v>ID </v>
      </c>
    </row>
    <row r="4801">
      <c r="A4801" s="6" t="str">
        <f>IFERROR(__xludf.DUMMYFUNCTION("""COMPUTED_VALUE"""),"")</f>
        <v/>
      </c>
      <c r="C4801" t="str">
        <f>IFERROR(__xludf.DUMMYFUNCTION("""COMPUTED_VALUE"""),"")</f>
        <v/>
      </c>
      <c r="D4801" t="str">
        <f>IFERROR(__xludf.DUMMYFUNCTION("""COMPUTED_VALUE"""),"")</f>
        <v/>
      </c>
      <c r="E4801" t="str">
        <f>IFERROR(__xludf.DUMMYFUNCTION("""COMPUTED_VALUE"""),"")</f>
        <v/>
      </c>
      <c r="F4801" t="str">
        <f>IFERROR(__xludf.DUMMYFUNCTION("""COMPUTED_VALUE"""),"")</f>
        <v/>
      </c>
      <c r="G4801" t="str">
        <f>IFERROR(__xludf.DUMMYFUNCTION("""COMPUTED_VALUE"""),"")</f>
        <v/>
      </c>
      <c r="H4801" s="2" t="str">
        <f>IFERROR(__xludf.DUMMYFUNCTION("""COMPUTED_VALUE"""),"")</f>
        <v/>
      </c>
      <c r="I4801" s="2" t="str">
        <f>IFERROR(__xludf.DUMMYFUNCTION("""COMPUTED_VALUE"""),"")</f>
        <v/>
      </c>
      <c r="J4801" s="2">
        <f>IFERROR(__xludf.DUMMYFUNCTION("""COMPUTED_VALUE"""),0.0)</f>
        <v>0</v>
      </c>
      <c r="K4801" s="5" t="str">
        <f>IFERROR(__xludf.DUMMYFUNCTION("""COMPUTED_VALUE"""),"")</f>
        <v/>
      </c>
      <c r="L4801" t="str">
        <f>IFERROR(__xludf.DUMMYFUNCTION("""COMPUTED_VALUE"""),"")</f>
        <v/>
      </c>
      <c r="M4801" t="str">
        <f>IFERROR(__xludf.DUMMYFUNCTION("""COMPUTED_VALUE"""),"")</f>
        <v/>
      </c>
      <c r="N4801" t="str">
        <f>IFERROR(__xludf.DUMMYFUNCTION("""COMPUTED_VALUE"""),"")</f>
        <v/>
      </c>
      <c r="O4801" t="str">
        <f>IFERROR(__xludf.DUMMYFUNCTION("""COMPUTED_VALUE"""),"")</f>
        <v/>
      </c>
      <c r="P4801" t="str">
        <f>IFERROR(__xludf.DUMMYFUNCTION("""COMPUTED_VALUE"""),"ID ")</f>
        <v>ID </v>
      </c>
    </row>
    <row r="4802">
      <c r="A4802" s="6" t="str">
        <f>IFERROR(__xludf.DUMMYFUNCTION("""COMPUTED_VALUE"""),"")</f>
        <v/>
      </c>
      <c r="C4802" t="str">
        <f>IFERROR(__xludf.DUMMYFUNCTION("""COMPUTED_VALUE"""),"")</f>
        <v/>
      </c>
      <c r="D4802" t="str">
        <f>IFERROR(__xludf.DUMMYFUNCTION("""COMPUTED_VALUE"""),"")</f>
        <v/>
      </c>
      <c r="E4802" t="str">
        <f>IFERROR(__xludf.DUMMYFUNCTION("""COMPUTED_VALUE"""),"")</f>
        <v/>
      </c>
      <c r="F4802" t="str">
        <f>IFERROR(__xludf.DUMMYFUNCTION("""COMPUTED_VALUE"""),"")</f>
        <v/>
      </c>
      <c r="G4802" t="str">
        <f>IFERROR(__xludf.DUMMYFUNCTION("""COMPUTED_VALUE"""),"")</f>
        <v/>
      </c>
      <c r="H4802" s="2" t="str">
        <f>IFERROR(__xludf.DUMMYFUNCTION("""COMPUTED_VALUE"""),"")</f>
        <v/>
      </c>
      <c r="I4802" s="2" t="str">
        <f>IFERROR(__xludf.DUMMYFUNCTION("""COMPUTED_VALUE"""),"")</f>
        <v/>
      </c>
      <c r="J4802" s="2">
        <f>IFERROR(__xludf.DUMMYFUNCTION("""COMPUTED_VALUE"""),0.0)</f>
        <v>0</v>
      </c>
      <c r="K4802" s="5" t="str">
        <f>IFERROR(__xludf.DUMMYFUNCTION("""COMPUTED_VALUE"""),"")</f>
        <v/>
      </c>
      <c r="L4802" t="str">
        <f>IFERROR(__xludf.DUMMYFUNCTION("""COMPUTED_VALUE"""),"")</f>
        <v/>
      </c>
      <c r="M4802" t="str">
        <f>IFERROR(__xludf.DUMMYFUNCTION("""COMPUTED_VALUE"""),"")</f>
        <v/>
      </c>
      <c r="N4802" t="str">
        <f>IFERROR(__xludf.DUMMYFUNCTION("""COMPUTED_VALUE"""),"")</f>
        <v/>
      </c>
      <c r="O4802" t="str">
        <f>IFERROR(__xludf.DUMMYFUNCTION("""COMPUTED_VALUE"""),"")</f>
        <v/>
      </c>
      <c r="P4802" t="str">
        <f>IFERROR(__xludf.DUMMYFUNCTION("""COMPUTED_VALUE"""),"ID ")</f>
        <v>ID </v>
      </c>
    </row>
    <row r="4803">
      <c r="A4803" s="6" t="str">
        <f>IFERROR(__xludf.DUMMYFUNCTION("""COMPUTED_VALUE"""),"")</f>
        <v/>
      </c>
      <c r="C4803" t="str">
        <f>IFERROR(__xludf.DUMMYFUNCTION("""COMPUTED_VALUE"""),"")</f>
        <v/>
      </c>
      <c r="D4803" t="str">
        <f>IFERROR(__xludf.DUMMYFUNCTION("""COMPUTED_VALUE"""),"")</f>
        <v/>
      </c>
      <c r="E4803" t="str">
        <f>IFERROR(__xludf.DUMMYFUNCTION("""COMPUTED_VALUE"""),"")</f>
        <v/>
      </c>
      <c r="F4803" t="str">
        <f>IFERROR(__xludf.DUMMYFUNCTION("""COMPUTED_VALUE"""),"")</f>
        <v/>
      </c>
      <c r="G4803" t="str">
        <f>IFERROR(__xludf.DUMMYFUNCTION("""COMPUTED_VALUE"""),"")</f>
        <v/>
      </c>
      <c r="H4803" s="2" t="str">
        <f>IFERROR(__xludf.DUMMYFUNCTION("""COMPUTED_VALUE"""),"")</f>
        <v/>
      </c>
      <c r="I4803" s="2" t="str">
        <f>IFERROR(__xludf.DUMMYFUNCTION("""COMPUTED_VALUE"""),"")</f>
        <v/>
      </c>
      <c r="J4803" s="2">
        <f>IFERROR(__xludf.DUMMYFUNCTION("""COMPUTED_VALUE"""),0.0)</f>
        <v>0</v>
      </c>
      <c r="K4803" s="5" t="str">
        <f>IFERROR(__xludf.DUMMYFUNCTION("""COMPUTED_VALUE"""),"")</f>
        <v/>
      </c>
      <c r="L4803" t="str">
        <f>IFERROR(__xludf.DUMMYFUNCTION("""COMPUTED_VALUE"""),"")</f>
        <v/>
      </c>
      <c r="M4803" t="str">
        <f>IFERROR(__xludf.DUMMYFUNCTION("""COMPUTED_VALUE"""),"")</f>
        <v/>
      </c>
      <c r="N4803" t="str">
        <f>IFERROR(__xludf.DUMMYFUNCTION("""COMPUTED_VALUE"""),"")</f>
        <v/>
      </c>
      <c r="O4803" t="str">
        <f>IFERROR(__xludf.DUMMYFUNCTION("""COMPUTED_VALUE"""),"")</f>
        <v/>
      </c>
      <c r="P4803" t="str">
        <f>IFERROR(__xludf.DUMMYFUNCTION("""COMPUTED_VALUE"""),"ID ")</f>
        <v>ID </v>
      </c>
    </row>
    <row r="4804">
      <c r="A4804" s="6" t="str">
        <f>IFERROR(__xludf.DUMMYFUNCTION("""COMPUTED_VALUE"""),"")</f>
        <v/>
      </c>
      <c r="C4804" t="str">
        <f>IFERROR(__xludf.DUMMYFUNCTION("""COMPUTED_VALUE"""),"")</f>
        <v/>
      </c>
      <c r="D4804" t="str">
        <f>IFERROR(__xludf.DUMMYFUNCTION("""COMPUTED_VALUE"""),"")</f>
        <v/>
      </c>
      <c r="E4804" t="str">
        <f>IFERROR(__xludf.DUMMYFUNCTION("""COMPUTED_VALUE"""),"")</f>
        <v/>
      </c>
      <c r="F4804" t="str">
        <f>IFERROR(__xludf.DUMMYFUNCTION("""COMPUTED_VALUE"""),"")</f>
        <v/>
      </c>
      <c r="G4804" t="str">
        <f>IFERROR(__xludf.DUMMYFUNCTION("""COMPUTED_VALUE"""),"")</f>
        <v/>
      </c>
      <c r="H4804" s="2" t="str">
        <f>IFERROR(__xludf.DUMMYFUNCTION("""COMPUTED_VALUE"""),"")</f>
        <v/>
      </c>
      <c r="I4804" s="2" t="str">
        <f>IFERROR(__xludf.DUMMYFUNCTION("""COMPUTED_VALUE"""),"")</f>
        <v/>
      </c>
      <c r="J4804" s="2">
        <f>IFERROR(__xludf.DUMMYFUNCTION("""COMPUTED_VALUE"""),0.0)</f>
        <v>0</v>
      </c>
      <c r="K4804" s="5" t="str">
        <f>IFERROR(__xludf.DUMMYFUNCTION("""COMPUTED_VALUE"""),"")</f>
        <v/>
      </c>
      <c r="L4804" t="str">
        <f>IFERROR(__xludf.DUMMYFUNCTION("""COMPUTED_VALUE"""),"")</f>
        <v/>
      </c>
      <c r="M4804" t="str">
        <f>IFERROR(__xludf.DUMMYFUNCTION("""COMPUTED_VALUE"""),"")</f>
        <v/>
      </c>
      <c r="N4804" t="str">
        <f>IFERROR(__xludf.DUMMYFUNCTION("""COMPUTED_VALUE"""),"")</f>
        <v/>
      </c>
      <c r="O4804" t="str">
        <f>IFERROR(__xludf.DUMMYFUNCTION("""COMPUTED_VALUE"""),"")</f>
        <v/>
      </c>
      <c r="P4804" t="str">
        <f>IFERROR(__xludf.DUMMYFUNCTION("""COMPUTED_VALUE"""),"ID ")</f>
        <v>ID </v>
      </c>
    </row>
    <row r="4805">
      <c r="A4805" s="6" t="str">
        <f>IFERROR(__xludf.DUMMYFUNCTION("""COMPUTED_VALUE"""),"")</f>
        <v/>
      </c>
      <c r="C4805" t="str">
        <f>IFERROR(__xludf.DUMMYFUNCTION("""COMPUTED_VALUE"""),"")</f>
        <v/>
      </c>
      <c r="D4805" t="str">
        <f>IFERROR(__xludf.DUMMYFUNCTION("""COMPUTED_VALUE"""),"")</f>
        <v/>
      </c>
      <c r="E4805" t="str">
        <f>IFERROR(__xludf.DUMMYFUNCTION("""COMPUTED_VALUE"""),"")</f>
        <v/>
      </c>
      <c r="F4805" t="str">
        <f>IFERROR(__xludf.DUMMYFUNCTION("""COMPUTED_VALUE"""),"")</f>
        <v/>
      </c>
      <c r="G4805" t="str">
        <f>IFERROR(__xludf.DUMMYFUNCTION("""COMPUTED_VALUE"""),"")</f>
        <v/>
      </c>
      <c r="H4805" s="2" t="str">
        <f>IFERROR(__xludf.DUMMYFUNCTION("""COMPUTED_VALUE"""),"")</f>
        <v/>
      </c>
      <c r="I4805" s="2" t="str">
        <f>IFERROR(__xludf.DUMMYFUNCTION("""COMPUTED_VALUE"""),"")</f>
        <v/>
      </c>
      <c r="J4805" s="2">
        <f>IFERROR(__xludf.DUMMYFUNCTION("""COMPUTED_VALUE"""),0.0)</f>
        <v>0</v>
      </c>
      <c r="K4805" s="5" t="str">
        <f>IFERROR(__xludf.DUMMYFUNCTION("""COMPUTED_VALUE"""),"")</f>
        <v/>
      </c>
      <c r="L4805" t="str">
        <f>IFERROR(__xludf.DUMMYFUNCTION("""COMPUTED_VALUE"""),"")</f>
        <v/>
      </c>
      <c r="M4805" t="str">
        <f>IFERROR(__xludf.DUMMYFUNCTION("""COMPUTED_VALUE"""),"")</f>
        <v/>
      </c>
      <c r="N4805" t="str">
        <f>IFERROR(__xludf.DUMMYFUNCTION("""COMPUTED_VALUE"""),"")</f>
        <v/>
      </c>
      <c r="O4805" t="str">
        <f>IFERROR(__xludf.DUMMYFUNCTION("""COMPUTED_VALUE"""),"")</f>
        <v/>
      </c>
      <c r="P4805" t="str">
        <f>IFERROR(__xludf.DUMMYFUNCTION("""COMPUTED_VALUE"""),"ID ")</f>
        <v>ID </v>
      </c>
    </row>
    <row r="4806">
      <c r="A4806" s="6" t="str">
        <f>IFERROR(__xludf.DUMMYFUNCTION("""COMPUTED_VALUE"""),"")</f>
        <v/>
      </c>
      <c r="C4806" t="str">
        <f>IFERROR(__xludf.DUMMYFUNCTION("""COMPUTED_VALUE"""),"")</f>
        <v/>
      </c>
      <c r="D4806" t="str">
        <f>IFERROR(__xludf.DUMMYFUNCTION("""COMPUTED_VALUE"""),"")</f>
        <v/>
      </c>
      <c r="E4806" t="str">
        <f>IFERROR(__xludf.DUMMYFUNCTION("""COMPUTED_VALUE"""),"")</f>
        <v/>
      </c>
      <c r="F4806" t="str">
        <f>IFERROR(__xludf.DUMMYFUNCTION("""COMPUTED_VALUE"""),"")</f>
        <v/>
      </c>
      <c r="G4806" t="str">
        <f>IFERROR(__xludf.DUMMYFUNCTION("""COMPUTED_VALUE"""),"")</f>
        <v/>
      </c>
      <c r="H4806" s="2" t="str">
        <f>IFERROR(__xludf.DUMMYFUNCTION("""COMPUTED_VALUE"""),"")</f>
        <v/>
      </c>
      <c r="I4806" s="2" t="str">
        <f>IFERROR(__xludf.DUMMYFUNCTION("""COMPUTED_VALUE"""),"")</f>
        <v/>
      </c>
      <c r="J4806" s="2">
        <f>IFERROR(__xludf.DUMMYFUNCTION("""COMPUTED_VALUE"""),0.0)</f>
        <v>0</v>
      </c>
      <c r="K4806" s="5" t="str">
        <f>IFERROR(__xludf.DUMMYFUNCTION("""COMPUTED_VALUE"""),"")</f>
        <v/>
      </c>
      <c r="L4806" t="str">
        <f>IFERROR(__xludf.DUMMYFUNCTION("""COMPUTED_VALUE"""),"")</f>
        <v/>
      </c>
      <c r="M4806" t="str">
        <f>IFERROR(__xludf.DUMMYFUNCTION("""COMPUTED_VALUE"""),"")</f>
        <v/>
      </c>
      <c r="N4806" t="str">
        <f>IFERROR(__xludf.DUMMYFUNCTION("""COMPUTED_VALUE"""),"")</f>
        <v/>
      </c>
      <c r="O4806" t="str">
        <f>IFERROR(__xludf.DUMMYFUNCTION("""COMPUTED_VALUE"""),"")</f>
        <v/>
      </c>
      <c r="P4806" t="str">
        <f>IFERROR(__xludf.DUMMYFUNCTION("""COMPUTED_VALUE"""),"ID ")</f>
        <v>ID </v>
      </c>
    </row>
    <row r="4807">
      <c r="A4807" s="6" t="str">
        <f>IFERROR(__xludf.DUMMYFUNCTION("""COMPUTED_VALUE"""),"")</f>
        <v/>
      </c>
      <c r="C4807" t="str">
        <f>IFERROR(__xludf.DUMMYFUNCTION("""COMPUTED_VALUE"""),"")</f>
        <v/>
      </c>
      <c r="D4807" t="str">
        <f>IFERROR(__xludf.DUMMYFUNCTION("""COMPUTED_VALUE"""),"")</f>
        <v/>
      </c>
      <c r="E4807" t="str">
        <f>IFERROR(__xludf.DUMMYFUNCTION("""COMPUTED_VALUE"""),"")</f>
        <v/>
      </c>
      <c r="F4807" t="str">
        <f>IFERROR(__xludf.DUMMYFUNCTION("""COMPUTED_VALUE"""),"")</f>
        <v/>
      </c>
      <c r="G4807" t="str">
        <f>IFERROR(__xludf.DUMMYFUNCTION("""COMPUTED_VALUE"""),"")</f>
        <v/>
      </c>
      <c r="H4807" s="2" t="str">
        <f>IFERROR(__xludf.DUMMYFUNCTION("""COMPUTED_VALUE"""),"")</f>
        <v/>
      </c>
      <c r="I4807" s="2" t="str">
        <f>IFERROR(__xludf.DUMMYFUNCTION("""COMPUTED_VALUE"""),"")</f>
        <v/>
      </c>
      <c r="J4807" s="2">
        <f>IFERROR(__xludf.DUMMYFUNCTION("""COMPUTED_VALUE"""),0.0)</f>
        <v>0</v>
      </c>
      <c r="K4807" s="5" t="str">
        <f>IFERROR(__xludf.DUMMYFUNCTION("""COMPUTED_VALUE"""),"")</f>
        <v/>
      </c>
      <c r="L4807" t="str">
        <f>IFERROR(__xludf.DUMMYFUNCTION("""COMPUTED_VALUE"""),"")</f>
        <v/>
      </c>
      <c r="M4807" t="str">
        <f>IFERROR(__xludf.DUMMYFUNCTION("""COMPUTED_VALUE"""),"")</f>
        <v/>
      </c>
      <c r="N4807" t="str">
        <f>IFERROR(__xludf.DUMMYFUNCTION("""COMPUTED_VALUE"""),"")</f>
        <v/>
      </c>
      <c r="O4807" t="str">
        <f>IFERROR(__xludf.DUMMYFUNCTION("""COMPUTED_VALUE"""),"")</f>
        <v/>
      </c>
      <c r="P4807" t="str">
        <f>IFERROR(__xludf.DUMMYFUNCTION("""COMPUTED_VALUE"""),"ID ")</f>
        <v>ID </v>
      </c>
    </row>
    <row r="4808">
      <c r="A4808" s="6" t="str">
        <f>IFERROR(__xludf.DUMMYFUNCTION("""COMPUTED_VALUE"""),"")</f>
        <v/>
      </c>
      <c r="C4808" t="str">
        <f>IFERROR(__xludf.DUMMYFUNCTION("""COMPUTED_VALUE"""),"")</f>
        <v/>
      </c>
      <c r="D4808" t="str">
        <f>IFERROR(__xludf.DUMMYFUNCTION("""COMPUTED_VALUE"""),"")</f>
        <v/>
      </c>
      <c r="E4808" t="str">
        <f>IFERROR(__xludf.DUMMYFUNCTION("""COMPUTED_VALUE"""),"")</f>
        <v/>
      </c>
      <c r="F4808" t="str">
        <f>IFERROR(__xludf.DUMMYFUNCTION("""COMPUTED_VALUE"""),"")</f>
        <v/>
      </c>
      <c r="G4808" t="str">
        <f>IFERROR(__xludf.DUMMYFUNCTION("""COMPUTED_VALUE"""),"")</f>
        <v/>
      </c>
      <c r="H4808" s="2" t="str">
        <f>IFERROR(__xludf.DUMMYFUNCTION("""COMPUTED_VALUE"""),"")</f>
        <v/>
      </c>
      <c r="I4808" s="2" t="str">
        <f>IFERROR(__xludf.DUMMYFUNCTION("""COMPUTED_VALUE"""),"")</f>
        <v/>
      </c>
      <c r="J4808" s="2">
        <f>IFERROR(__xludf.DUMMYFUNCTION("""COMPUTED_VALUE"""),0.0)</f>
        <v>0</v>
      </c>
      <c r="K4808" s="5" t="str">
        <f>IFERROR(__xludf.DUMMYFUNCTION("""COMPUTED_VALUE"""),"")</f>
        <v/>
      </c>
      <c r="L4808" t="str">
        <f>IFERROR(__xludf.DUMMYFUNCTION("""COMPUTED_VALUE"""),"")</f>
        <v/>
      </c>
      <c r="M4808" t="str">
        <f>IFERROR(__xludf.DUMMYFUNCTION("""COMPUTED_VALUE"""),"")</f>
        <v/>
      </c>
      <c r="N4808" t="str">
        <f>IFERROR(__xludf.DUMMYFUNCTION("""COMPUTED_VALUE"""),"")</f>
        <v/>
      </c>
      <c r="O4808" t="str">
        <f>IFERROR(__xludf.DUMMYFUNCTION("""COMPUTED_VALUE"""),"")</f>
        <v/>
      </c>
      <c r="P4808" t="str">
        <f>IFERROR(__xludf.DUMMYFUNCTION("""COMPUTED_VALUE"""),"ID ")</f>
        <v>ID </v>
      </c>
    </row>
    <row r="4809">
      <c r="A4809" s="6" t="str">
        <f>IFERROR(__xludf.DUMMYFUNCTION("""COMPUTED_VALUE"""),"")</f>
        <v/>
      </c>
      <c r="C4809" t="str">
        <f>IFERROR(__xludf.DUMMYFUNCTION("""COMPUTED_VALUE"""),"")</f>
        <v/>
      </c>
      <c r="D4809" t="str">
        <f>IFERROR(__xludf.DUMMYFUNCTION("""COMPUTED_VALUE"""),"")</f>
        <v/>
      </c>
      <c r="E4809" t="str">
        <f>IFERROR(__xludf.DUMMYFUNCTION("""COMPUTED_VALUE"""),"")</f>
        <v/>
      </c>
      <c r="F4809" t="str">
        <f>IFERROR(__xludf.DUMMYFUNCTION("""COMPUTED_VALUE"""),"")</f>
        <v/>
      </c>
      <c r="G4809" t="str">
        <f>IFERROR(__xludf.DUMMYFUNCTION("""COMPUTED_VALUE"""),"")</f>
        <v/>
      </c>
      <c r="H4809" s="2" t="str">
        <f>IFERROR(__xludf.DUMMYFUNCTION("""COMPUTED_VALUE"""),"")</f>
        <v/>
      </c>
      <c r="I4809" s="2" t="str">
        <f>IFERROR(__xludf.DUMMYFUNCTION("""COMPUTED_VALUE"""),"")</f>
        <v/>
      </c>
      <c r="J4809" s="2">
        <f>IFERROR(__xludf.DUMMYFUNCTION("""COMPUTED_VALUE"""),0.0)</f>
        <v>0</v>
      </c>
      <c r="K4809" s="5" t="str">
        <f>IFERROR(__xludf.DUMMYFUNCTION("""COMPUTED_VALUE"""),"")</f>
        <v/>
      </c>
      <c r="L4809" t="str">
        <f>IFERROR(__xludf.DUMMYFUNCTION("""COMPUTED_VALUE"""),"")</f>
        <v/>
      </c>
      <c r="M4809" t="str">
        <f>IFERROR(__xludf.DUMMYFUNCTION("""COMPUTED_VALUE"""),"")</f>
        <v/>
      </c>
      <c r="N4809" t="str">
        <f>IFERROR(__xludf.DUMMYFUNCTION("""COMPUTED_VALUE"""),"")</f>
        <v/>
      </c>
      <c r="O4809" t="str">
        <f>IFERROR(__xludf.DUMMYFUNCTION("""COMPUTED_VALUE"""),"")</f>
        <v/>
      </c>
      <c r="P4809" t="str">
        <f>IFERROR(__xludf.DUMMYFUNCTION("""COMPUTED_VALUE"""),"ID ")</f>
        <v>ID </v>
      </c>
    </row>
    <row r="4810">
      <c r="A4810" s="6" t="str">
        <f>IFERROR(__xludf.DUMMYFUNCTION("""COMPUTED_VALUE"""),"")</f>
        <v/>
      </c>
      <c r="C4810" t="str">
        <f>IFERROR(__xludf.DUMMYFUNCTION("""COMPUTED_VALUE"""),"")</f>
        <v/>
      </c>
      <c r="D4810" t="str">
        <f>IFERROR(__xludf.DUMMYFUNCTION("""COMPUTED_VALUE"""),"")</f>
        <v/>
      </c>
      <c r="E4810" t="str">
        <f>IFERROR(__xludf.DUMMYFUNCTION("""COMPUTED_VALUE"""),"")</f>
        <v/>
      </c>
      <c r="F4810" t="str">
        <f>IFERROR(__xludf.DUMMYFUNCTION("""COMPUTED_VALUE"""),"")</f>
        <v/>
      </c>
      <c r="G4810" t="str">
        <f>IFERROR(__xludf.DUMMYFUNCTION("""COMPUTED_VALUE"""),"")</f>
        <v/>
      </c>
      <c r="H4810" s="2" t="str">
        <f>IFERROR(__xludf.DUMMYFUNCTION("""COMPUTED_VALUE"""),"")</f>
        <v/>
      </c>
      <c r="I4810" s="2" t="str">
        <f>IFERROR(__xludf.DUMMYFUNCTION("""COMPUTED_VALUE"""),"")</f>
        <v/>
      </c>
      <c r="J4810" s="2">
        <f>IFERROR(__xludf.DUMMYFUNCTION("""COMPUTED_VALUE"""),0.0)</f>
        <v>0</v>
      </c>
      <c r="K4810" s="5" t="str">
        <f>IFERROR(__xludf.DUMMYFUNCTION("""COMPUTED_VALUE"""),"")</f>
        <v/>
      </c>
      <c r="L4810" t="str">
        <f>IFERROR(__xludf.DUMMYFUNCTION("""COMPUTED_VALUE"""),"")</f>
        <v/>
      </c>
      <c r="M4810" t="str">
        <f>IFERROR(__xludf.DUMMYFUNCTION("""COMPUTED_VALUE"""),"")</f>
        <v/>
      </c>
      <c r="N4810" t="str">
        <f>IFERROR(__xludf.DUMMYFUNCTION("""COMPUTED_VALUE"""),"")</f>
        <v/>
      </c>
      <c r="O4810" t="str">
        <f>IFERROR(__xludf.DUMMYFUNCTION("""COMPUTED_VALUE"""),"")</f>
        <v/>
      </c>
      <c r="P4810" t="str">
        <f>IFERROR(__xludf.DUMMYFUNCTION("""COMPUTED_VALUE"""),"ID ")</f>
        <v>ID </v>
      </c>
    </row>
    <row r="4811">
      <c r="A4811" s="6" t="str">
        <f>IFERROR(__xludf.DUMMYFUNCTION("""COMPUTED_VALUE"""),"")</f>
        <v/>
      </c>
      <c r="C4811" t="str">
        <f>IFERROR(__xludf.DUMMYFUNCTION("""COMPUTED_VALUE"""),"")</f>
        <v/>
      </c>
      <c r="D4811" t="str">
        <f>IFERROR(__xludf.DUMMYFUNCTION("""COMPUTED_VALUE"""),"")</f>
        <v/>
      </c>
      <c r="E4811" t="str">
        <f>IFERROR(__xludf.DUMMYFUNCTION("""COMPUTED_VALUE"""),"")</f>
        <v/>
      </c>
      <c r="F4811" t="str">
        <f>IFERROR(__xludf.DUMMYFUNCTION("""COMPUTED_VALUE"""),"")</f>
        <v/>
      </c>
      <c r="G4811" t="str">
        <f>IFERROR(__xludf.DUMMYFUNCTION("""COMPUTED_VALUE"""),"")</f>
        <v/>
      </c>
      <c r="H4811" s="2" t="str">
        <f>IFERROR(__xludf.DUMMYFUNCTION("""COMPUTED_VALUE"""),"")</f>
        <v/>
      </c>
      <c r="I4811" s="2" t="str">
        <f>IFERROR(__xludf.DUMMYFUNCTION("""COMPUTED_VALUE"""),"")</f>
        <v/>
      </c>
      <c r="J4811" s="2">
        <f>IFERROR(__xludf.DUMMYFUNCTION("""COMPUTED_VALUE"""),0.0)</f>
        <v>0</v>
      </c>
      <c r="K4811" s="5" t="str">
        <f>IFERROR(__xludf.DUMMYFUNCTION("""COMPUTED_VALUE"""),"")</f>
        <v/>
      </c>
      <c r="L4811" t="str">
        <f>IFERROR(__xludf.DUMMYFUNCTION("""COMPUTED_VALUE"""),"")</f>
        <v/>
      </c>
      <c r="M4811" t="str">
        <f>IFERROR(__xludf.DUMMYFUNCTION("""COMPUTED_VALUE"""),"")</f>
        <v/>
      </c>
      <c r="N4811" t="str">
        <f>IFERROR(__xludf.DUMMYFUNCTION("""COMPUTED_VALUE"""),"")</f>
        <v/>
      </c>
      <c r="O4811" t="str">
        <f>IFERROR(__xludf.DUMMYFUNCTION("""COMPUTED_VALUE"""),"")</f>
        <v/>
      </c>
      <c r="P4811" t="str">
        <f>IFERROR(__xludf.DUMMYFUNCTION("""COMPUTED_VALUE"""),"ID ")</f>
        <v>ID </v>
      </c>
    </row>
    <row r="4812">
      <c r="A4812" s="6" t="str">
        <f>IFERROR(__xludf.DUMMYFUNCTION("""COMPUTED_VALUE"""),"")</f>
        <v/>
      </c>
      <c r="C4812" t="str">
        <f>IFERROR(__xludf.DUMMYFUNCTION("""COMPUTED_VALUE"""),"")</f>
        <v/>
      </c>
      <c r="D4812" t="str">
        <f>IFERROR(__xludf.DUMMYFUNCTION("""COMPUTED_VALUE"""),"")</f>
        <v/>
      </c>
      <c r="E4812" t="str">
        <f>IFERROR(__xludf.DUMMYFUNCTION("""COMPUTED_VALUE"""),"")</f>
        <v/>
      </c>
      <c r="F4812" t="str">
        <f>IFERROR(__xludf.DUMMYFUNCTION("""COMPUTED_VALUE"""),"")</f>
        <v/>
      </c>
      <c r="G4812" t="str">
        <f>IFERROR(__xludf.DUMMYFUNCTION("""COMPUTED_VALUE"""),"")</f>
        <v/>
      </c>
      <c r="H4812" s="2" t="str">
        <f>IFERROR(__xludf.DUMMYFUNCTION("""COMPUTED_VALUE"""),"")</f>
        <v/>
      </c>
      <c r="I4812" s="2" t="str">
        <f>IFERROR(__xludf.DUMMYFUNCTION("""COMPUTED_VALUE"""),"")</f>
        <v/>
      </c>
      <c r="J4812" s="2">
        <f>IFERROR(__xludf.DUMMYFUNCTION("""COMPUTED_VALUE"""),0.0)</f>
        <v>0</v>
      </c>
      <c r="K4812" s="5" t="str">
        <f>IFERROR(__xludf.DUMMYFUNCTION("""COMPUTED_VALUE"""),"")</f>
        <v/>
      </c>
      <c r="L4812" t="str">
        <f>IFERROR(__xludf.DUMMYFUNCTION("""COMPUTED_VALUE"""),"")</f>
        <v/>
      </c>
      <c r="M4812" t="str">
        <f>IFERROR(__xludf.DUMMYFUNCTION("""COMPUTED_VALUE"""),"")</f>
        <v/>
      </c>
      <c r="N4812" t="str">
        <f>IFERROR(__xludf.DUMMYFUNCTION("""COMPUTED_VALUE"""),"")</f>
        <v/>
      </c>
      <c r="O4812" t="str">
        <f>IFERROR(__xludf.DUMMYFUNCTION("""COMPUTED_VALUE"""),"")</f>
        <v/>
      </c>
      <c r="P4812" t="str">
        <f>IFERROR(__xludf.DUMMYFUNCTION("""COMPUTED_VALUE"""),"ID ")</f>
        <v>ID </v>
      </c>
    </row>
    <row r="4813">
      <c r="A4813" s="6" t="str">
        <f>IFERROR(__xludf.DUMMYFUNCTION("""COMPUTED_VALUE"""),"")</f>
        <v/>
      </c>
      <c r="C4813" t="str">
        <f>IFERROR(__xludf.DUMMYFUNCTION("""COMPUTED_VALUE"""),"")</f>
        <v/>
      </c>
      <c r="D4813" t="str">
        <f>IFERROR(__xludf.DUMMYFUNCTION("""COMPUTED_VALUE"""),"")</f>
        <v/>
      </c>
      <c r="E4813" t="str">
        <f>IFERROR(__xludf.DUMMYFUNCTION("""COMPUTED_VALUE"""),"")</f>
        <v/>
      </c>
      <c r="F4813" t="str">
        <f>IFERROR(__xludf.DUMMYFUNCTION("""COMPUTED_VALUE"""),"")</f>
        <v/>
      </c>
      <c r="G4813" t="str">
        <f>IFERROR(__xludf.DUMMYFUNCTION("""COMPUTED_VALUE"""),"")</f>
        <v/>
      </c>
      <c r="H4813" s="2" t="str">
        <f>IFERROR(__xludf.DUMMYFUNCTION("""COMPUTED_VALUE"""),"")</f>
        <v/>
      </c>
      <c r="I4813" s="2" t="str">
        <f>IFERROR(__xludf.DUMMYFUNCTION("""COMPUTED_VALUE"""),"")</f>
        <v/>
      </c>
      <c r="J4813" s="2">
        <f>IFERROR(__xludf.DUMMYFUNCTION("""COMPUTED_VALUE"""),0.0)</f>
        <v>0</v>
      </c>
      <c r="K4813" s="5" t="str">
        <f>IFERROR(__xludf.DUMMYFUNCTION("""COMPUTED_VALUE"""),"")</f>
        <v/>
      </c>
      <c r="L4813" t="str">
        <f>IFERROR(__xludf.DUMMYFUNCTION("""COMPUTED_VALUE"""),"")</f>
        <v/>
      </c>
      <c r="M4813" t="str">
        <f>IFERROR(__xludf.DUMMYFUNCTION("""COMPUTED_VALUE"""),"")</f>
        <v/>
      </c>
      <c r="N4813" t="str">
        <f>IFERROR(__xludf.DUMMYFUNCTION("""COMPUTED_VALUE"""),"")</f>
        <v/>
      </c>
      <c r="O4813" t="str">
        <f>IFERROR(__xludf.DUMMYFUNCTION("""COMPUTED_VALUE"""),"")</f>
        <v/>
      </c>
      <c r="P4813" t="str">
        <f>IFERROR(__xludf.DUMMYFUNCTION("""COMPUTED_VALUE"""),"ID ")</f>
        <v>ID </v>
      </c>
    </row>
    <row r="4814">
      <c r="A4814" s="6" t="str">
        <f>IFERROR(__xludf.DUMMYFUNCTION("""COMPUTED_VALUE"""),"")</f>
        <v/>
      </c>
      <c r="C4814" t="str">
        <f>IFERROR(__xludf.DUMMYFUNCTION("""COMPUTED_VALUE"""),"")</f>
        <v/>
      </c>
      <c r="D4814" t="str">
        <f>IFERROR(__xludf.DUMMYFUNCTION("""COMPUTED_VALUE"""),"")</f>
        <v/>
      </c>
      <c r="E4814" t="str">
        <f>IFERROR(__xludf.DUMMYFUNCTION("""COMPUTED_VALUE"""),"")</f>
        <v/>
      </c>
      <c r="F4814" t="str">
        <f>IFERROR(__xludf.DUMMYFUNCTION("""COMPUTED_VALUE"""),"")</f>
        <v/>
      </c>
      <c r="G4814" t="str">
        <f>IFERROR(__xludf.DUMMYFUNCTION("""COMPUTED_VALUE"""),"")</f>
        <v/>
      </c>
      <c r="H4814" s="2" t="str">
        <f>IFERROR(__xludf.DUMMYFUNCTION("""COMPUTED_VALUE"""),"")</f>
        <v/>
      </c>
      <c r="I4814" s="2" t="str">
        <f>IFERROR(__xludf.DUMMYFUNCTION("""COMPUTED_VALUE"""),"")</f>
        <v/>
      </c>
      <c r="J4814" s="2">
        <f>IFERROR(__xludf.DUMMYFUNCTION("""COMPUTED_VALUE"""),0.0)</f>
        <v>0</v>
      </c>
      <c r="K4814" s="5" t="str">
        <f>IFERROR(__xludf.DUMMYFUNCTION("""COMPUTED_VALUE"""),"")</f>
        <v/>
      </c>
      <c r="L4814" t="str">
        <f>IFERROR(__xludf.DUMMYFUNCTION("""COMPUTED_VALUE"""),"")</f>
        <v/>
      </c>
      <c r="M4814" t="str">
        <f>IFERROR(__xludf.DUMMYFUNCTION("""COMPUTED_VALUE"""),"")</f>
        <v/>
      </c>
      <c r="N4814" t="str">
        <f>IFERROR(__xludf.DUMMYFUNCTION("""COMPUTED_VALUE"""),"")</f>
        <v/>
      </c>
      <c r="O4814" t="str">
        <f>IFERROR(__xludf.DUMMYFUNCTION("""COMPUTED_VALUE"""),"")</f>
        <v/>
      </c>
      <c r="P4814" t="str">
        <f>IFERROR(__xludf.DUMMYFUNCTION("""COMPUTED_VALUE"""),"ID ")</f>
        <v>ID </v>
      </c>
    </row>
    <row r="4815">
      <c r="A4815" s="6" t="str">
        <f>IFERROR(__xludf.DUMMYFUNCTION("""COMPUTED_VALUE"""),"")</f>
        <v/>
      </c>
      <c r="C4815" t="str">
        <f>IFERROR(__xludf.DUMMYFUNCTION("""COMPUTED_VALUE"""),"")</f>
        <v/>
      </c>
      <c r="D4815" t="str">
        <f>IFERROR(__xludf.DUMMYFUNCTION("""COMPUTED_VALUE"""),"")</f>
        <v/>
      </c>
      <c r="E4815" t="str">
        <f>IFERROR(__xludf.DUMMYFUNCTION("""COMPUTED_VALUE"""),"")</f>
        <v/>
      </c>
      <c r="F4815" t="str">
        <f>IFERROR(__xludf.DUMMYFUNCTION("""COMPUTED_VALUE"""),"")</f>
        <v/>
      </c>
      <c r="G4815" t="str">
        <f>IFERROR(__xludf.DUMMYFUNCTION("""COMPUTED_VALUE"""),"")</f>
        <v/>
      </c>
      <c r="H4815" s="2" t="str">
        <f>IFERROR(__xludf.DUMMYFUNCTION("""COMPUTED_VALUE"""),"")</f>
        <v/>
      </c>
      <c r="I4815" s="2" t="str">
        <f>IFERROR(__xludf.DUMMYFUNCTION("""COMPUTED_VALUE"""),"")</f>
        <v/>
      </c>
      <c r="J4815" s="2">
        <f>IFERROR(__xludf.DUMMYFUNCTION("""COMPUTED_VALUE"""),0.0)</f>
        <v>0</v>
      </c>
      <c r="K4815" s="5" t="str">
        <f>IFERROR(__xludf.DUMMYFUNCTION("""COMPUTED_VALUE"""),"")</f>
        <v/>
      </c>
      <c r="L4815" t="str">
        <f>IFERROR(__xludf.DUMMYFUNCTION("""COMPUTED_VALUE"""),"")</f>
        <v/>
      </c>
      <c r="M4815" t="str">
        <f>IFERROR(__xludf.DUMMYFUNCTION("""COMPUTED_VALUE"""),"")</f>
        <v/>
      </c>
      <c r="N4815" t="str">
        <f>IFERROR(__xludf.DUMMYFUNCTION("""COMPUTED_VALUE"""),"")</f>
        <v/>
      </c>
      <c r="O4815" t="str">
        <f>IFERROR(__xludf.DUMMYFUNCTION("""COMPUTED_VALUE"""),"")</f>
        <v/>
      </c>
      <c r="P4815" t="str">
        <f>IFERROR(__xludf.DUMMYFUNCTION("""COMPUTED_VALUE"""),"ID ")</f>
        <v>ID </v>
      </c>
    </row>
    <row r="4816">
      <c r="A4816" s="6" t="str">
        <f>IFERROR(__xludf.DUMMYFUNCTION("""COMPUTED_VALUE"""),"")</f>
        <v/>
      </c>
      <c r="C4816" t="str">
        <f>IFERROR(__xludf.DUMMYFUNCTION("""COMPUTED_VALUE"""),"")</f>
        <v/>
      </c>
      <c r="D4816" t="str">
        <f>IFERROR(__xludf.DUMMYFUNCTION("""COMPUTED_VALUE"""),"")</f>
        <v/>
      </c>
      <c r="E4816" t="str">
        <f>IFERROR(__xludf.DUMMYFUNCTION("""COMPUTED_VALUE"""),"")</f>
        <v/>
      </c>
      <c r="F4816" t="str">
        <f>IFERROR(__xludf.DUMMYFUNCTION("""COMPUTED_VALUE"""),"")</f>
        <v/>
      </c>
      <c r="G4816" t="str">
        <f>IFERROR(__xludf.DUMMYFUNCTION("""COMPUTED_VALUE"""),"")</f>
        <v/>
      </c>
      <c r="H4816" s="2" t="str">
        <f>IFERROR(__xludf.DUMMYFUNCTION("""COMPUTED_VALUE"""),"")</f>
        <v/>
      </c>
      <c r="I4816" s="2" t="str">
        <f>IFERROR(__xludf.DUMMYFUNCTION("""COMPUTED_VALUE"""),"")</f>
        <v/>
      </c>
      <c r="J4816" s="2">
        <f>IFERROR(__xludf.DUMMYFUNCTION("""COMPUTED_VALUE"""),0.0)</f>
        <v>0</v>
      </c>
      <c r="K4816" s="5" t="str">
        <f>IFERROR(__xludf.DUMMYFUNCTION("""COMPUTED_VALUE"""),"")</f>
        <v/>
      </c>
      <c r="L4816" t="str">
        <f>IFERROR(__xludf.DUMMYFUNCTION("""COMPUTED_VALUE"""),"")</f>
        <v/>
      </c>
      <c r="M4816" t="str">
        <f>IFERROR(__xludf.DUMMYFUNCTION("""COMPUTED_VALUE"""),"")</f>
        <v/>
      </c>
      <c r="N4816" t="str">
        <f>IFERROR(__xludf.DUMMYFUNCTION("""COMPUTED_VALUE"""),"")</f>
        <v/>
      </c>
      <c r="O4816" t="str">
        <f>IFERROR(__xludf.DUMMYFUNCTION("""COMPUTED_VALUE"""),"")</f>
        <v/>
      </c>
      <c r="P4816" t="str">
        <f>IFERROR(__xludf.DUMMYFUNCTION("""COMPUTED_VALUE"""),"ID ")</f>
        <v>ID </v>
      </c>
    </row>
    <row r="4817">
      <c r="A4817" s="6" t="str">
        <f>IFERROR(__xludf.DUMMYFUNCTION("""COMPUTED_VALUE"""),"")</f>
        <v/>
      </c>
      <c r="C4817" t="str">
        <f>IFERROR(__xludf.DUMMYFUNCTION("""COMPUTED_VALUE"""),"")</f>
        <v/>
      </c>
      <c r="D4817" t="str">
        <f>IFERROR(__xludf.DUMMYFUNCTION("""COMPUTED_VALUE"""),"")</f>
        <v/>
      </c>
      <c r="E4817" t="str">
        <f>IFERROR(__xludf.DUMMYFUNCTION("""COMPUTED_VALUE"""),"")</f>
        <v/>
      </c>
      <c r="F4817" t="str">
        <f>IFERROR(__xludf.DUMMYFUNCTION("""COMPUTED_VALUE"""),"")</f>
        <v/>
      </c>
      <c r="G4817" t="str">
        <f>IFERROR(__xludf.DUMMYFUNCTION("""COMPUTED_VALUE"""),"")</f>
        <v/>
      </c>
      <c r="H4817" s="2" t="str">
        <f>IFERROR(__xludf.DUMMYFUNCTION("""COMPUTED_VALUE"""),"")</f>
        <v/>
      </c>
      <c r="I4817" s="2" t="str">
        <f>IFERROR(__xludf.DUMMYFUNCTION("""COMPUTED_VALUE"""),"")</f>
        <v/>
      </c>
      <c r="J4817" s="2">
        <f>IFERROR(__xludf.DUMMYFUNCTION("""COMPUTED_VALUE"""),0.0)</f>
        <v>0</v>
      </c>
      <c r="K4817" s="5" t="str">
        <f>IFERROR(__xludf.DUMMYFUNCTION("""COMPUTED_VALUE"""),"")</f>
        <v/>
      </c>
      <c r="L4817" t="str">
        <f>IFERROR(__xludf.DUMMYFUNCTION("""COMPUTED_VALUE"""),"")</f>
        <v/>
      </c>
      <c r="M4817" t="str">
        <f>IFERROR(__xludf.DUMMYFUNCTION("""COMPUTED_VALUE"""),"")</f>
        <v/>
      </c>
      <c r="N4817" t="str">
        <f>IFERROR(__xludf.DUMMYFUNCTION("""COMPUTED_VALUE"""),"")</f>
        <v/>
      </c>
      <c r="O4817" t="str">
        <f>IFERROR(__xludf.DUMMYFUNCTION("""COMPUTED_VALUE"""),"")</f>
        <v/>
      </c>
      <c r="P4817" t="str">
        <f>IFERROR(__xludf.DUMMYFUNCTION("""COMPUTED_VALUE"""),"ID ")</f>
        <v>ID </v>
      </c>
    </row>
    <row r="4818">
      <c r="A4818" s="6" t="str">
        <f>IFERROR(__xludf.DUMMYFUNCTION("""COMPUTED_VALUE"""),"")</f>
        <v/>
      </c>
      <c r="C4818" t="str">
        <f>IFERROR(__xludf.DUMMYFUNCTION("""COMPUTED_VALUE"""),"")</f>
        <v/>
      </c>
      <c r="D4818" t="str">
        <f>IFERROR(__xludf.DUMMYFUNCTION("""COMPUTED_VALUE"""),"")</f>
        <v/>
      </c>
      <c r="E4818" t="str">
        <f>IFERROR(__xludf.DUMMYFUNCTION("""COMPUTED_VALUE"""),"")</f>
        <v/>
      </c>
      <c r="F4818" t="str">
        <f>IFERROR(__xludf.DUMMYFUNCTION("""COMPUTED_VALUE"""),"")</f>
        <v/>
      </c>
      <c r="G4818" t="str">
        <f>IFERROR(__xludf.DUMMYFUNCTION("""COMPUTED_VALUE"""),"")</f>
        <v/>
      </c>
      <c r="H4818" s="2" t="str">
        <f>IFERROR(__xludf.DUMMYFUNCTION("""COMPUTED_VALUE"""),"")</f>
        <v/>
      </c>
      <c r="I4818" s="2" t="str">
        <f>IFERROR(__xludf.DUMMYFUNCTION("""COMPUTED_VALUE"""),"")</f>
        <v/>
      </c>
      <c r="J4818" s="2">
        <f>IFERROR(__xludf.DUMMYFUNCTION("""COMPUTED_VALUE"""),0.0)</f>
        <v>0</v>
      </c>
      <c r="K4818" s="5" t="str">
        <f>IFERROR(__xludf.DUMMYFUNCTION("""COMPUTED_VALUE"""),"")</f>
        <v/>
      </c>
      <c r="L4818" t="str">
        <f>IFERROR(__xludf.DUMMYFUNCTION("""COMPUTED_VALUE"""),"")</f>
        <v/>
      </c>
      <c r="M4818" t="str">
        <f>IFERROR(__xludf.DUMMYFUNCTION("""COMPUTED_VALUE"""),"")</f>
        <v/>
      </c>
      <c r="N4818" t="str">
        <f>IFERROR(__xludf.DUMMYFUNCTION("""COMPUTED_VALUE"""),"")</f>
        <v/>
      </c>
      <c r="O4818" t="str">
        <f>IFERROR(__xludf.DUMMYFUNCTION("""COMPUTED_VALUE"""),"")</f>
        <v/>
      </c>
      <c r="P4818" t="str">
        <f>IFERROR(__xludf.DUMMYFUNCTION("""COMPUTED_VALUE"""),"ID ")</f>
        <v>ID </v>
      </c>
    </row>
    <row r="4819">
      <c r="A4819" s="6" t="str">
        <f>IFERROR(__xludf.DUMMYFUNCTION("""COMPUTED_VALUE"""),"")</f>
        <v/>
      </c>
      <c r="C4819" t="str">
        <f>IFERROR(__xludf.DUMMYFUNCTION("""COMPUTED_VALUE"""),"")</f>
        <v/>
      </c>
      <c r="D4819" t="str">
        <f>IFERROR(__xludf.DUMMYFUNCTION("""COMPUTED_VALUE"""),"")</f>
        <v/>
      </c>
      <c r="E4819" t="str">
        <f>IFERROR(__xludf.DUMMYFUNCTION("""COMPUTED_VALUE"""),"")</f>
        <v/>
      </c>
      <c r="F4819" t="str">
        <f>IFERROR(__xludf.DUMMYFUNCTION("""COMPUTED_VALUE"""),"")</f>
        <v/>
      </c>
      <c r="G4819" t="str">
        <f>IFERROR(__xludf.DUMMYFUNCTION("""COMPUTED_VALUE"""),"")</f>
        <v/>
      </c>
      <c r="H4819" s="2" t="str">
        <f>IFERROR(__xludf.DUMMYFUNCTION("""COMPUTED_VALUE"""),"")</f>
        <v/>
      </c>
      <c r="I4819" s="2" t="str">
        <f>IFERROR(__xludf.DUMMYFUNCTION("""COMPUTED_VALUE"""),"")</f>
        <v/>
      </c>
      <c r="J4819" s="2">
        <f>IFERROR(__xludf.DUMMYFUNCTION("""COMPUTED_VALUE"""),0.0)</f>
        <v>0</v>
      </c>
      <c r="K4819" s="5" t="str">
        <f>IFERROR(__xludf.DUMMYFUNCTION("""COMPUTED_VALUE"""),"")</f>
        <v/>
      </c>
      <c r="L4819" t="str">
        <f>IFERROR(__xludf.DUMMYFUNCTION("""COMPUTED_VALUE"""),"")</f>
        <v/>
      </c>
      <c r="M4819" t="str">
        <f>IFERROR(__xludf.DUMMYFUNCTION("""COMPUTED_VALUE"""),"")</f>
        <v/>
      </c>
      <c r="N4819" t="str">
        <f>IFERROR(__xludf.DUMMYFUNCTION("""COMPUTED_VALUE"""),"")</f>
        <v/>
      </c>
      <c r="O4819" t="str">
        <f>IFERROR(__xludf.DUMMYFUNCTION("""COMPUTED_VALUE"""),"")</f>
        <v/>
      </c>
      <c r="P4819" t="str">
        <f>IFERROR(__xludf.DUMMYFUNCTION("""COMPUTED_VALUE"""),"ID ")</f>
        <v>ID </v>
      </c>
    </row>
    <row r="4820">
      <c r="A4820" s="6" t="str">
        <f>IFERROR(__xludf.DUMMYFUNCTION("""COMPUTED_VALUE"""),"")</f>
        <v/>
      </c>
      <c r="C4820" t="str">
        <f>IFERROR(__xludf.DUMMYFUNCTION("""COMPUTED_VALUE"""),"")</f>
        <v/>
      </c>
      <c r="D4820" t="str">
        <f>IFERROR(__xludf.DUMMYFUNCTION("""COMPUTED_VALUE"""),"")</f>
        <v/>
      </c>
      <c r="E4820" t="str">
        <f>IFERROR(__xludf.DUMMYFUNCTION("""COMPUTED_VALUE"""),"")</f>
        <v/>
      </c>
      <c r="F4820" t="str">
        <f>IFERROR(__xludf.DUMMYFUNCTION("""COMPUTED_VALUE"""),"")</f>
        <v/>
      </c>
      <c r="G4820" t="str">
        <f>IFERROR(__xludf.DUMMYFUNCTION("""COMPUTED_VALUE"""),"")</f>
        <v/>
      </c>
      <c r="H4820" s="2" t="str">
        <f>IFERROR(__xludf.DUMMYFUNCTION("""COMPUTED_VALUE"""),"")</f>
        <v/>
      </c>
      <c r="I4820" s="2" t="str">
        <f>IFERROR(__xludf.DUMMYFUNCTION("""COMPUTED_VALUE"""),"")</f>
        <v/>
      </c>
      <c r="J4820" s="2">
        <f>IFERROR(__xludf.DUMMYFUNCTION("""COMPUTED_VALUE"""),0.0)</f>
        <v>0</v>
      </c>
      <c r="K4820" s="5" t="str">
        <f>IFERROR(__xludf.DUMMYFUNCTION("""COMPUTED_VALUE"""),"")</f>
        <v/>
      </c>
      <c r="L4820" t="str">
        <f>IFERROR(__xludf.DUMMYFUNCTION("""COMPUTED_VALUE"""),"")</f>
        <v/>
      </c>
      <c r="M4820" t="str">
        <f>IFERROR(__xludf.DUMMYFUNCTION("""COMPUTED_VALUE"""),"")</f>
        <v/>
      </c>
      <c r="N4820" t="str">
        <f>IFERROR(__xludf.DUMMYFUNCTION("""COMPUTED_VALUE"""),"")</f>
        <v/>
      </c>
      <c r="O4820" t="str">
        <f>IFERROR(__xludf.DUMMYFUNCTION("""COMPUTED_VALUE"""),"")</f>
        <v/>
      </c>
      <c r="P4820" t="str">
        <f>IFERROR(__xludf.DUMMYFUNCTION("""COMPUTED_VALUE"""),"ID ")</f>
        <v>ID </v>
      </c>
    </row>
    <row r="4821">
      <c r="A4821" s="6" t="str">
        <f>IFERROR(__xludf.DUMMYFUNCTION("""COMPUTED_VALUE"""),"")</f>
        <v/>
      </c>
      <c r="C4821" t="str">
        <f>IFERROR(__xludf.DUMMYFUNCTION("""COMPUTED_VALUE"""),"")</f>
        <v/>
      </c>
      <c r="D4821" t="str">
        <f>IFERROR(__xludf.DUMMYFUNCTION("""COMPUTED_VALUE"""),"")</f>
        <v/>
      </c>
      <c r="E4821" t="str">
        <f>IFERROR(__xludf.DUMMYFUNCTION("""COMPUTED_VALUE"""),"")</f>
        <v/>
      </c>
      <c r="F4821" t="str">
        <f>IFERROR(__xludf.DUMMYFUNCTION("""COMPUTED_VALUE"""),"")</f>
        <v/>
      </c>
      <c r="G4821" t="str">
        <f>IFERROR(__xludf.DUMMYFUNCTION("""COMPUTED_VALUE"""),"")</f>
        <v/>
      </c>
      <c r="H4821" s="2" t="str">
        <f>IFERROR(__xludf.DUMMYFUNCTION("""COMPUTED_VALUE"""),"")</f>
        <v/>
      </c>
      <c r="I4821" s="2" t="str">
        <f>IFERROR(__xludf.DUMMYFUNCTION("""COMPUTED_VALUE"""),"")</f>
        <v/>
      </c>
      <c r="J4821" s="2">
        <f>IFERROR(__xludf.DUMMYFUNCTION("""COMPUTED_VALUE"""),0.0)</f>
        <v>0</v>
      </c>
      <c r="K4821" s="5" t="str">
        <f>IFERROR(__xludf.DUMMYFUNCTION("""COMPUTED_VALUE"""),"")</f>
        <v/>
      </c>
      <c r="L4821" t="str">
        <f>IFERROR(__xludf.DUMMYFUNCTION("""COMPUTED_VALUE"""),"")</f>
        <v/>
      </c>
      <c r="M4821" t="str">
        <f>IFERROR(__xludf.DUMMYFUNCTION("""COMPUTED_VALUE"""),"")</f>
        <v/>
      </c>
      <c r="N4821" t="str">
        <f>IFERROR(__xludf.DUMMYFUNCTION("""COMPUTED_VALUE"""),"")</f>
        <v/>
      </c>
      <c r="O4821" t="str">
        <f>IFERROR(__xludf.DUMMYFUNCTION("""COMPUTED_VALUE"""),"")</f>
        <v/>
      </c>
      <c r="P4821" t="str">
        <f>IFERROR(__xludf.DUMMYFUNCTION("""COMPUTED_VALUE"""),"ID ")</f>
        <v>ID </v>
      </c>
    </row>
    <row r="4822">
      <c r="A4822" s="6" t="str">
        <f>IFERROR(__xludf.DUMMYFUNCTION("""COMPUTED_VALUE"""),"")</f>
        <v/>
      </c>
      <c r="C4822" t="str">
        <f>IFERROR(__xludf.DUMMYFUNCTION("""COMPUTED_VALUE"""),"")</f>
        <v/>
      </c>
      <c r="D4822" t="str">
        <f>IFERROR(__xludf.DUMMYFUNCTION("""COMPUTED_VALUE"""),"")</f>
        <v/>
      </c>
      <c r="E4822" t="str">
        <f>IFERROR(__xludf.DUMMYFUNCTION("""COMPUTED_VALUE"""),"")</f>
        <v/>
      </c>
      <c r="F4822" t="str">
        <f>IFERROR(__xludf.DUMMYFUNCTION("""COMPUTED_VALUE"""),"")</f>
        <v/>
      </c>
      <c r="G4822" t="str">
        <f>IFERROR(__xludf.DUMMYFUNCTION("""COMPUTED_VALUE"""),"")</f>
        <v/>
      </c>
      <c r="H4822" s="2" t="str">
        <f>IFERROR(__xludf.DUMMYFUNCTION("""COMPUTED_VALUE"""),"")</f>
        <v/>
      </c>
      <c r="I4822" s="2" t="str">
        <f>IFERROR(__xludf.DUMMYFUNCTION("""COMPUTED_VALUE"""),"")</f>
        <v/>
      </c>
      <c r="J4822" s="2">
        <f>IFERROR(__xludf.DUMMYFUNCTION("""COMPUTED_VALUE"""),0.0)</f>
        <v>0</v>
      </c>
      <c r="K4822" s="5" t="str">
        <f>IFERROR(__xludf.DUMMYFUNCTION("""COMPUTED_VALUE"""),"")</f>
        <v/>
      </c>
      <c r="L4822" t="str">
        <f>IFERROR(__xludf.DUMMYFUNCTION("""COMPUTED_VALUE"""),"")</f>
        <v/>
      </c>
      <c r="M4822" t="str">
        <f>IFERROR(__xludf.DUMMYFUNCTION("""COMPUTED_VALUE"""),"")</f>
        <v/>
      </c>
      <c r="N4822" t="str">
        <f>IFERROR(__xludf.DUMMYFUNCTION("""COMPUTED_VALUE"""),"")</f>
        <v/>
      </c>
      <c r="O4822" t="str">
        <f>IFERROR(__xludf.DUMMYFUNCTION("""COMPUTED_VALUE"""),"")</f>
        <v/>
      </c>
      <c r="P4822" t="str">
        <f>IFERROR(__xludf.DUMMYFUNCTION("""COMPUTED_VALUE"""),"ID ")</f>
        <v>ID </v>
      </c>
    </row>
    <row r="4823">
      <c r="A4823" s="6" t="str">
        <f>IFERROR(__xludf.DUMMYFUNCTION("""COMPUTED_VALUE"""),"")</f>
        <v/>
      </c>
      <c r="C4823" t="str">
        <f>IFERROR(__xludf.DUMMYFUNCTION("""COMPUTED_VALUE"""),"")</f>
        <v/>
      </c>
      <c r="D4823" t="str">
        <f>IFERROR(__xludf.DUMMYFUNCTION("""COMPUTED_VALUE"""),"")</f>
        <v/>
      </c>
      <c r="E4823" t="str">
        <f>IFERROR(__xludf.DUMMYFUNCTION("""COMPUTED_VALUE"""),"")</f>
        <v/>
      </c>
      <c r="F4823" t="str">
        <f>IFERROR(__xludf.DUMMYFUNCTION("""COMPUTED_VALUE"""),"")</f>
        <v/>
      </c>
      <c r="G4823" t="str">
        <f>IFERROR(__xludf.DUMMYFUNCTION("""COMPUTED_VALUE"""),"")</f>
        <v/>
      </c>
      <c r="H4823" s="2" t="str">
        <f>IFERROR(__xludf.DUMMYFUNCTION("""COMPUTED_VALUE"""),"")</f>
        <v/>
      </c>
      <c r="I4823" s="2" t="str">
        <f>IFERROR(__xludf.DUMMYFUNCTION("""COMPUTED_VALUE"""),"")</f>
        <v/>
      </c>
      <c r="J4823" s="2">
        <f>IFERROR(__xludf.DUMMYFUNCTION("""COMPUTED_VALUE"""),0.0)</f>
        <v>0</v>
      </c>
      <c r="K4823" s="5" t="str">
        <f>IFERROR(__xludf.DUMMYFUNCTION("""COMPUTED_VALUE"""),"")</f>
        <v/>
      </c>
      <c r="L4823" t="str">
        <f>IFERROR(__xludf.DUMMYFUNCTION("""COMPUTED_VALUE"""),"")</f>
        <v/>
      </c>
      <c r="M4823" t="str">
        <f>IFERROR(__xludf.DUMMYFUNCTION("""COMPUTED_VALUE"""),"")</f>
        <v/>
      </c>
      <c r="N4823" t="str">
        <f>IFERROR(__xludf.DUMMYFUNCTION("""COMPUTED_VALUE"""),"")</f>
        <v/>
      </c>
      <c r="O4823" t="str">
        <f>IFERROR(__xludf.DUMMYFUNCTION("""COMPUTED_VALUE"""),"")</f>
        <v/>
      </c>
      <c r="P4823" t="str">
        <f>IFERROR(__xludf.DUMMYFUNCTION("""COMPUTED_VALUE"""),"ID ")</f>
        <v>ID </v>
      </c>
    </row>
    <row r="4824">
      <c r="A4824" s="6" t="str">
        <f>IFERROR(__xludf.DUMMYFUNCTION("""COMPUTED_VALUE"""),"")</f>
        <v/>
      </c>
      <c r="C4824" t="str">
        <f>IFERROR(__xludf.DUMMYFUNCTION("""COMPUTED_VALUE"""),"")</f>
        <v/>
      </c>
      <c r="D4824" t="str">
        <f>IFERROR(__xludf.DUMMYFUNCTION("""COMPUTED_VALUE"""),"")</f>
        <v/>
      </c>
      <c r="E4824" t="str">
        <f>IFERROR(__xludf.DUMMYFUNCTION("""COMPUTED_VALUE"""),"")</f>
        <v/>
      </c>
      <c r="F4824" t="str">
        <f>IFERROR(__xludf.DUMMYFUNCTION("""COMPUTED_VALUE"""),"")</f>
        <v/>
      </c>
      <c r="G4824" t="str">
        <f>IFERROR(__xludf.DUMMYFUNCTION("""COMPUTED_VALUE"""),"")</f>
        <v/>
      </c>
      <c r="H4824" s="2" t="str">
        <f>IFERROR(__xludf.DUMMYFUNCTION("""COMPUTED_VALUE"""),"")</f>
        <v/>
      </c>
      <c r="I4824" s="2" t="str">
        <f>IFERROR(__xludf.DUMMYFUNCTION("""COMPUTED_VALUE"""),"")</f>
        <v/>
      </c>
      <c r="J4824" s="2">
        <f>IFERROR(__xludf.DUMMYFUNCTION("""COMPUTED_VALUE"""),0.0)</f>
        <v>0</v>
      </c>
      <c r="K4824" s="5" t="str">
        <f>IFERROR(__xludf.DUMMYFUNCTION("""COMPUTED_VALUE"""),"")</f>
        <v/>
      </c>
      <c r="L4824" t="str">
        <f>IFERROR(__xludf.DUMMYFUNCTION("""COMPUTED_VALUE"""),"")</f>
        <v/>
      </c>
      <c r="M4824" t="str">
        <f>IFERROR(__xludf.DUMMYFUNCTION("""COMPUTED_VALUE"""),"")</f>
        <v/>
      </c>
      <c r="N4824" t="str">
        <f>IFERROR(__xludf.DUMMYFUNCTION("""COMPUTED_VALUE"""),"")</f>
        <v/>
      </c>
      <c r="O4824" t="str">
        <f>IFERROR(__xludf.DUMMYFUNCTION("""COMPUTED_VALUE"""),"")</f>
        <v/>
      </c>
      <c r="P4824" t="str">
        <f>IFERROR(__xludf.DUMMYFUNCTION("""COMPUTED_VALUE"""),"ID ")</f>
        <v>ID </v>
      </c>
    </row>
    <row r="4825">
      <c r="A4825" s="6" t="str">
        <f>IFERROR(__xludf.DUMMYFUNCTION("""COMPUTED_VALUE"""),"")</f>
        <v/>
      </c>
      <c r="C4825" t="str">
        <f>IFERROR(__xludf.DUMMYFUNCTION("""COMPUTED_VALUE"""),"")</f>
        <v/>
      </c>
      <c r="D4825" t="str">
        <f>IFERROR(__xludf.DUMMYFUNCTION("""COMPUTED_VALUE"""),"")</f>
        <v/>
      </c>
      <c r="E4825" t="str">
        <f>IFERROR(__xludf.DUMMYFUNCTION("""COMPUTED_VALUE"""),"")</f>
        <v/>
      </c>
      <c r="F4825" t="str">
        <f>IFERROR(__xludf.DUMMYFUNCTION("""COMPUTED_VALUE"""),"")</f>
        <v/>
      </c>
      <c r="G4825" t="str">
        <f>IFERROR(__xludf.DUMMYFUNCTION("""COMPUTED_VALUE"""),"")</f>
        <v/>
      </c>
      <c r="H4825" s="2" t="str">
        <f>IFERROR(__xludf.DUMMYFUNCTION("""COMPUTED_VALUE"""),"")</f>
        <v/>
      </c>
      <c r="I4825" s="2" t="str">
        <f>IFERROR(__xludf.DUMMYFUNCTION("""COMPUTED_VALUE"""),"")</f>
        <v/>
      </c>
      <c r="J4825" s="2">
        <f>IFERROR(__xludf.DUMMYFUNCTION("""COMPUTED_VALUE"""),0.0)</f>
        <v>0</v>
      </c>
      <c r="K4825" s="5" t="str">
        <f>IFERROR(__xludf.DUMMYFUNCTION("""COMPUTED_VALUE"""),"")</f>
        <v/>
      </c>
      <c r="L4825" t="str">
        <f>IFERROR(__xludf.DUMMYFUNCTION("""COMPUTED_VALUE"""),"")</f>
        <v/>
      </c>
      <c r="M4825" t="str">
        <f>IFERROR(__xludf.DUMMYFUNCTION("""COMPUTED_VALUE"""),"")</f>
        <v/>
      </c>
      <c r="N4825" t="str">
        <f>IFERROR(__xludf.DUMMYFUNCTION("""COMPUTED_VALUE"""),"")</f>
        <v/>
      </c>
      <c r="O4825" t="str">
        <f>IFERROR(__xludf.DUMMYFUNCTION("""COMPUTED_VALUE"""),"")</f>
        <v/>
      </c>
      <c r="P4825" t="str">
        <f>IFERROR(__xludf.DUMMYFUNCTION("""COMPUTED_VALUE"""),"ID ")</f>
        <v>ID </v>
      </c>
    </row>
    <row r="4826">
      <c r="A4826" s="6" t="str">
        <f>IFERROR(__xludf.DUMMYFUNCTION("""COMPUTED_VALUE"""),"")</f>
        <v/>
      </c>
      <c r="C4826" t="str">
        <f>IFERROR(__xludf.DUMMYFUNCTION("""COMPUTED_VALUE"""),"")</f>
        <v/>
      </c>
      <c r="D4826" t="str">
        <f>IFERROR(__xludf.DUMMYFUNCTION("""COMPUTED_VALUE"""),"")</f>
        <v/>
      </c>
      <c r="E4826" t="str">
        <f>IFERROR(__xludf.DUMMYFUNCTION("""COMPUTED_VALUE"""),"")</f>
        <v/>
      </c>
      <c r="F4826" t="str">
        <f>IFERROR(__xludf.DUMMYFUNCTION("""COMPUTED_VALUE"""),"")</f>
        <v/>
      </c>
      <c r="G4826" t="str">
        <f>IFERROR(__xludf.DUMMYFUNCTION("""COMPUTED_VALUE"""),"")</f>
        <v/>
      </c>
      <c r="H4826" s="2" t="str">
        <f>IFERROR(__xludf.DUMMYFUNCTION("""COMPUTED_VALUE"""),"")</f>
        <v/>
      </c>
      <c r="I4826" s="2" t="str">
        <f>IFERROR(__xludf.DUMMYFUNCTION("""COMPUTED_VALUE"""),"")</f>
        <v/>
      </c>
      <c r="J4826" s="2">
        <f>IFERROR(__xludf.DUMMYFUNCTION("""COMPUTED_VALUE"""),0.0)</f>
        <v>0</v>
      </c>
      <c r="K4826" s="5" t="str">
        <f>IFERROR(__xludf.DUMMYFUNCTION("""COMPUTED_VALUE"""),"")</f>
        <v/>
      </c>
      <c r="L4826" t="str">
        <f>IFERROR(__xludf.DUMMYFUNCTION("""COMPUTED_VALUE"""),"")</f>
        <v/>
      </c>
      <c r="M4826" t="str">
        <f>IFERROR(__xludf.DUMMYFUNCTION("""COMPUTED_VALUE"""),"")</f>
        <v/>
      </c>
      <c r="N4826" t="str">
        <f>IFERROR(__xludf.DUMMYFUNCTION("""COMPUTED_VALUE"""),"")</f>
        <v/>
      </c>
      <c r="O4826" t="str">
        <f>IFERROR(__xludf.DUMMYFUNCTION("""COMPUTED_VALUE"""),"")</f>
        <v/>
      </c>
      <c r="P4826" t="str">
        <f>IFERROR(__xludf.DUMMYFUNCTION("""COMPUTED_VALUE"""),"ID ")</f>
        <v>ID </v>
      </c>
    </row>
    <row r="4827">
      <c r="A4827" s="6" t="str">
        <f>IFERROR(__xludf.DUMMYFUNCTION("""COMPUTED_VALUE"""),"")</f>
        <v/>
      </c>
      <c r="C4827" t="str">
        <f>IFERROR(__xludf.DUMMYFUNCTION("""COMPUTED_VALUE"""),"")</f>
        <v/>
      </c>
      <c r="D4827" t="str">
        <f>IFERROR(__xludf.DUMMYFUNCTION("""COMPUTED_VALUE"""),"")</f>
        <v/>
      </c>
      <c r="E4827" t="str">
        <f>IFERROR(__xludf.DUMMYFUNCTION("""COMPUTED_VALUE"""),"")</f>
        <v/>
      </c>
      <c r="F4827" t="str">
        <f>IFERROR(__xludf.DUMMYFUNCTION("""COMPUTED_VALUE"""),"")</f>
        <v/>
      </c>
      <c r="G4827" t="str">
        <f>IFERROR(__xludf.DUMMYFUNCTION("""COMPUTED_VALUE"""),"")</f>
        <v/>
      </c>
      <c r="H4827" s="2" t="str">
        <f>IFERROR(__xludf.DUMMYFUNCTION("""COMPUTED_VALUE"""),"")</f>
        <v/>
      </c>
      <c r="I4827" s="2" t="str">
        <f>IFERROR(__xludf.DUMMYFUNCTION("""COMPUTED_VALUE"""),"")</f>
        <v/>
      </c>
      <c r="J4827" s="2">
        <f>IFERROR(__xludf.DUMMYFUNCTION("""COMPUTED_VALUE"""),0.0)</f>
        <v>0</v>
      </c>
      <c r="K4827" s="5" t="str">
        <f>IFERROR(__xludf.DUMMYFUNCTION("""COMPUTED_VALUE"""),"")</f>
        <v/>
      </c>
      <c r="L4827" t="str">
        <f>IFERROR(__xludf.DUMMYFUNCTION("""COMPUTED_VALUE"""),"")</f>
        <v/>
      </c>
      <c r="M4827" t="str">
        <f>IFERROR(__xludf.DUMMYFUNCTION("""COMPUTED_VALUE"""),"")</f>
        <v/>
      </c>
      <c r="N4827" t="str">
        <f>IFERROR(__xludf.DUMMYFUNCTION("""COMPUTED_VALUE"""),"")</f>
        <v/>
      </c>
      <c r="O4827" t="str">
        <f>IFERROR(__xludf.DUMMYFUNCTION("""COMPUTED_VALUE"""),"")</f>
        <v/>
      </c>
      <c r="P4827" t="str">
        <f>IFERROR(__xludf.DUMMYFUNCTION("""COMPUTED_VALUE"""),"ID ")</f>
        <v>ID </v>
      </c>
    </row>
    <row r="4828">
      <c r="A4828" s="6" t="str">
        <f>IFERROR(__xludf.DUMMYFUNCTION("""COMPUTED_VALUE"""),"")</f>
        <v/>
      </c>
      <c r="C4828" t="str">
        <f>IFERROR(__xludf.DUMMYFUNCTION("""COMPUTED_VALUE"""),"")</f>
        <v/>
      </c>
      <c r="D4828" t="str">
        <f>IFERROR(__xludf.DUMMYFUNCTION("""COMPUTED_VALUE"""),"")</f>
        <v/>
      </c>
      <c r="E4828" t="str">
        <f>IFERROR(__xludf.DUMMYFUNCTION("""COMPUTED_VALUE"""),"")</f>
        <v/>
      </c>
      <c r="F4828" t="str">
        <f>IFERROR(__xludf.DUMMYFUNCTION("""COMPUTED_VALUE"""),"")</f>
        <v/>
      </c>
      <c r="G4828" t="str">
        <f>IFERROR(__xludf.DUMMYFUNCTION("""COMPUTED_VALUE"""),"")</f>
        <v/>
      </c>
      <c r="H4828" s="2" t="str">
        <f>IFERROR(__xludf.DUMMYFUNCTION("""COMPUTED_VALUE"""),"")</f>
        <v/>
      </c>
      <c r="I4828" s="2" t="str">
        <f>IFERROR(__xludf.DUMMYFUNCTION("""COMPUTED_VALUE"""),"")</f>
        <v/>
      </c>
      <c r="J4828" s="2">
        <f>IFERROR(__xludf.DUMMYFUNCTION("""COMPUTED_VALUE"""),0.0)</f>
        <v>0</v>
      </c>
      <c r="K4828" s="5" t="str">
        <f>IFERROR(__xludf.DUMMYFUNCTION("""COMPUTED_VALUE"""),"")</f>
        <v/>
      </c>
      <c r="L4828" t="str">
        <f>IFERROR(__xludf.DUMMYFUNCTION("""COMPUTED_VALUE"""),"")</f>
        <v/>
      </c>
      <c r="M4828" t="str">
        <f>IFERROR(__xludf.DUMMYFUNCTION("""COMPUTED_VALUE"""),"")</f>
        <v/>
      </c>
      <c r="N4828" t="str">
        <f>IFERROR(__xludf.DUMMYFUNCTION("""COMPUTED_VALUE"""),"")</f>
        <v/>
      </c>
      <c r="O4828" t="str">
        <f>IFERROR(__xludf.DUMMYFUNCTION("""COMPUTED_VALUE"""),"")</f>
        <v/>
      </c>
      <c r="P4828" t="str">
        <f>IFERROR(__xludf.DUMMYFUNCTION("""COMPUTED_VALUE"""),"ID ")</f>
        <v>ID </v>
      </c>
    </row>
    <row r="4829">
      <c r="A4829" s="6" t="str">
        <f>IFERROR(__xludf.DUMMYFUNCTION("""COMPUTED_VALUE"""),"")</f>
        <v/>
      </c>
      <c r="C4829" t="str">
        <f>IFERROR(__xludf.DUMMYFUNCTION("""COMPUTED_VALUE"""),"")</f>
        <v/>
      </c>
      <c r="D4829" t="str">
        <f>IFERROR(__xludf.DUMMYFUNCTION("""COMPUTED_VALUE"""),"")</f>
        <v/>
      </c>
      <c r="E4829" t="str">
        <f>IFERROR(__xludf.DUMMYFUNCTION("""COMPUTED_VALUE"""),"")</f>
        <v/>
      </c>
      <c r="F4829" t="str">
        <f>IFERROR(__xludf.DUMMYFUNCTION("""COMPUTED_VALUE"""),"")</f>
        <v/>
      </c>
      <c r="G4829" t="str">
        <f>IFERROR(__xludf.DUMMYFUNCTION("""COMPUTED_VALUE"""),"")</f>
        <v/>
      </c>
      <c r="H4829" s="2" t="str">
        <f>IFERROR(__xludf.DUMMYFUNCTION("""COMPUTED_VALUE"""),"")</f>
        <v/>
      </c>
      <c r="I4829" s="2" t="str">
        <f>IFERROR(__xludf.DUMMYFUNCTION("""COMPUTED_VALUE"""),"")</f>
        <v/>
      </c>
      <c r="J4829" s="2">
        <f>IFERROR(__xludf.DUMMYFUNCTION("""COMPUTED_VALUE"""),0.0)</f>
        <v>0</v>
      </c>
      <c r="K4829" s="5" t="str">
        <f>IFERROR(__xludf.DUMMYFUNCTION("""COMPUTED_VALUE"""),"")</f>
        <v/>
      </c>
      <c r="L4829" t="str">
        <f>IFERROR(__xludf.DUMMYFUNCTION("""COMPUTED_VALUE"""),"")</f>
        <v/>
      </c>
      <c r="M4829" t="str">
        <f>IFERROR(__xludf.DUMMYFUNCTION("""COMPUTED_VALUE"""),"")</f>
        <v/>
      </c>
      <c r="N4829" t="str">
        <f>IFERROR(__xludf.DUMMYFUNCTION("""COMPUTED_VALUE"""),"")</f>
        <v/>
      </c>
      <c r="O4829" t="str">
        <f>IFERROR(__xludf.DUMMYFUNCTION("""COMPUTED_VALUE"""),"")</f>
        <v/>
      </c>
      <c r="P4829" t="str">
        <f>IFERROR(__xludf.DUMMYFUNCTION("""COMPUTED_VALUE"""),"ID ")</f>
        <v>ID </v>
      </c>
    </row>
    <row r="4830">
      <c r="A4830" s="6" t="str">
        <f>IFERROR(__xludf.DUMMYFUNCTION("""COMPUTED_VALUE"""),"")</f>
        <v/>
      </c>
      <c r="C4830" t="str">
        <f>IFERROR(__xludf.DUMMYFUNCTION("""COMPUTED_VALUE"""),"")</f>
        <v/>
      </c>
      <c r="D4830" t="str">
        <f>IFERROR(__xludf.DUMMYFUNCTION("""COMPUTED_VALUE"""),"")</f>
        <v/>
      </c>
      <c r="E4830" t="str">
        <f>IFERROR(__xludf.DUMMYFUNCTION("""COMPUTED_VALUE"""),"")</f>
        <v/>
      </c>
      <c r="F4830" t="str">
        <f>IFERROR(__xludf.DUMMYFUNCTION("""COMPUTED_VALUE"""),"")</f>
        <v/>
      </c>
      <c r="G4830" t="str">
        <f>IFERROR(__xludf.DUMMYFUNCTION("""COMPUTED_VALUE"""),"")</f>
        <v/>
      </c>
      <c r="H4830" s="2" t="str">
        <f>IFERROR(__xludf.DUMMYFUNCTION("""COMPUTED_VALUE"""),"")</f>
        <v/>
      </c>
      <c r="I4830" s="2" t="str">
        <f>IFERROR(__xludf.DUMMYFUNCTION("""COMPUTED_VALUE"""),"")</f>
        <v/>
      </c>
      <c r="J4830" s="2">
        <f>IFERROR(__xludf.DUMMYFUNCTION("""COMPUTED_VALUE"""),0.0)</f>
        <v>0</v>
      </c>
      <c r="K4830" s="5" t="str">
        <f>IFERROR(__xludf.DUMMYFUNCTION("""COMPUTED_VALUE"""),"")</f>
        <v/>
      </c>
      <c r="L4830" t="str">
        <f>IFERROR(__xludf.DUMMYFUNCTION("""COMPUTED_VALUE"""),"")</f>
        <v/>
      </c>
      <c r="M4830" t="str">
        <f>IFERROR(__xludf.DUMMYFUNCTION("""COMPUTED_VALUE"""),"")</f>
        <v/>
      </c>
      <c r="N4830" t="str">
        <f>IFERROR(__xludf.DUMMYFUNCTION("""COMPUTED_VALUE"""),"")</f>
        <v/>
      </c>
      <c r="O4830" t="str">
        <f>IFERROR(__xludf.DUMMYFUNCTION("""COMPUTED_VALUE"""),"")</f>
        <v/>
      </c>
      <c r="P4830" t="str">
        <f>IFERROR(__xludf.DUMMYFUNCTION("""COMPUTED_VALUE"""),"ID ")</f>
        <v>ID </v>
      </c>
    </row>
    <row r="4831">
      <c r="A4831" s="6" t="str">
        <f>IFERROR(__xludf.DUMMYFUNCTION("""COMPUTED_VALUE"""),"")</f>
        <v/>
      </c>
      <c r="C4831" t="str">
        <f>IFERROR(__xludf.DUMMYFUNCTION("""COMPUTED_VALUE"""),"")</f>
        <v/>
      </c>
      <c r="D4831" t="str">
        <f>IFERROR(__xludf.DUMMYFUNCTION("""COMPUTED_VALUE"""),"")</f>
        <v/>
      </c>
      <c r="E4831" t="str">
        <f>IFERROR(__xludf.DUMMYFUNCTION("""COMPUTED_VALUE"""),"")</f>
        <v/>
      </c>
      <c r="F4831" t="str">
        <f>IFERROR(__xludf.DUMMYFUNCTION("""COMPUTED_VALUE"""),"")</f>
        <v/>
      </c>
      <c r="G4831" t="str">
        <f>IFERROR(__xludf.DUMMYFUNCTION("""COMPUTED_VALUE"""),"")</f>
        <v/>
      </c>
      <c r="H4831" s="2" t="str">
        <f>IFERROR(__xludf.DUMMYFUNCTION("""COMPUTED_VALUE"""),"")</f>
        <v/>
      </c>
      <c r="I4831" s="2" t="str">
        <f>IFERROR(__xludf.DUMMYFUNCTION("""COMPUTED_VALUE"""),"")</f>
        <v/>
      </c>
      <c r="J4831" s="2">
        <f>IFERROR(__xludf.DUMMYFUNCTION("""COMPUTED_VALUE"""),0.0)</f>
        <v>0</v>
      </c>
      <c r="K4831" s="5" t="str">
        <f>IFERROR(__xludf.DUMMYFUNCTION("""COMPUTED_VALUE"""),"")</f>
        <v/>
      </c>
      <c r="L4831" t="str">
        <f>IFERROR(__xludf.DUMMYFUNCTION("""COMPUTED_VALUE"""),"")</f>
        <v/>
      </c>
      <c r="M4831" t="str">
        <f>IFERROR(__xludf.DUMMYFUNCTION("""COMPUTED_VALUE"""),"")</f>
        <v/>
      </c>
      <c r="N4831" t="str">
        <f>IFERROR(__xludf.DUMMYFUNCTION("""COMPUTED_VALUE"""),"")</f>
        <v/>
      </c>
      <c r="O4831" t="str">
        <f>IFERROR(__xludf.DUMMYFUNCTION("""COMPUTED_VALUE"""),"")</f>
        <v/>
      </c>
      <c r="P4831" t="str">
        <f>IFERROR(__xludf.DUMMYFUNCTION("""COMPUTED_VALUE"""),"ID ")</f>
        <v>ID </v>
      </c>
    </row>
    <row r="4832">
      <c r="A4832" s="6" t="str">
        <f>IFERROR(__xludf.DUMMYFUNCTION("""COMPUTED_VALUE"""),"")</f>
        <v/>
      </c>
      <c r="C4832" t="str">
        <f>IFERROR(__xludf.DUMMYFUNCTION("""COMPUTED_VALUE"""),"")</f>
        <v/>
      </c>
      <c r="D4832" t="str">
        <f>IFERROR(__xludf.DUMMYFUNCTION("""COMPUTED_VALUE"""),"")</f>
        <v/>
      </c>
      <c r="E4832" t="str">
        <f>IFERROR(__xludf.DUMMYFUNCTION("""COMPUTED_VALUE"""),"")</f>
        <v/>
      </c>
      <c r="F4832" t="str">
        <f>IFERROR(__xludf.DUMMYFUNCTION("""COMPUTED_VALUE"""),"")</f>
        <v/>
      </c>
      <c r="G4832" t="str">
        <f>IFERROR(__xludf.DUMMYFUNCTION("""COMPUTED_VALUE"""),"")</f>
        <v/>
      </c>
      <c r="H4832" s="2" t="str">
        <f>IFERROR(__xludf.DUMMYFUNCTION("""COMPUTED_VALUE"""),"")</f>
        <v/>
      </c>
      <c r="I4832" s="2" t="str">
        <f>IFERROR(__xludf.DUMMYFUNCTION("""COMPUTED_VALUE"""),"")</f>
        <v/>
      </c>
      <c r="J4832" s="2">
        <f>IFERROR(__xludf.DUMMYFUNCTION("""COMPUTED_VALUE"""),0.0)</f>
        <v>0</v>
      </c>
      <c r="K4832" s="5" t="str">
        <f>IFERROR(__xludf.DUMMYFUNCTION("""COMPUTED_VALUE"""),"")</f>
        <v/>
      </c>
      <c r="L4832" t="str">
        <f>IFERROR(__xludf.DUMMYFUNCTION("""COMPUTED_VALUE"""),"")</f>
        <v/>
      </c>
      <c r="M4832" t="str">
        <f>IFERROR(__xludf.DUMMYFUNCTION("""COMPUTED_VALUE"""),"")</f>
        <v/>
      </c>
      <c r="N4832" t="str">
        <f>IFERROR(__xludf.DUMMYFUNCTION("""COMPUTED_VALUE"""),"")</f>
        <v/>
      </c>
      <c r="O4832" t="str">
        <f>IFERROR(__xludf.DUMMYFUNCTION("""COMPUTED_VALUE"""),"")</f>
        <v/>
      </c>
      <c r="P4832" t="str">
        <f>IFERROR(__xludf.DUMMYFUNCTION("""COMPUTED_VALUE"""),"ID ")</f>
        <v>ID </v>
      </c>
    </row>
    <row r="4833">
      <c r="A4833" s="6" t="str">
        <f>IFERROR(__xludf.DUMMYFUNCTION("""COMPUTED_VALUE"""),"")</f>
        <v/>
      </c>
      <c r="C4833" t="str">
        <f>IFERROR(__xludf.DUMMYFUNCTION("""COMPUTED_VALUE"""),"")</f>
        <v/>
      </c>
      <c r="D4833" t="str">
        <f>IFERROR(__xludf.DUMMYFUNCTION("""COMPUTED_VALUE"""),"")</f>
        <v/>
      </c>
      <c r="E4833" t="str">
        <f>IFERROR(__xludf.DUMMYFUNCTION("""COMPUTED_VALUE"""),"")</f>
        <v/>
      </c>
      <c r="F4833" t="str">
        <f>IFERROR(__xludf.DUMMYFUNCTION("""COMPUTED_VALUE"""),"")</f>
        <v/>
      </c>
      <c r="G4833" t="str">
        <f>IFERROR(__xludf.DUMMYFUNCTION("""COMPUTED_VALUE"""),"")</f>
        <v/>
      </c>
      <c r="H4833" s="2" t="str">
        <f>IFERROR(__xludf.DUMMYFUNCTION("""COMPUTED_VALUE"""),"")</f>
        <v/>
      </c>
      <c r="I4833" s="2" t="str">
        <f>IFERROR(__xludf.DUMMYFUNCTION("""COMPUTED_VALUE"""),"")</f>
        <v/>
      </c>
      <c r="J4833" s="2">
        <f>IFERROR(__xludf.DUMMYFUNCTION("""COMPUTED_VALUE"""),0.0)</f>
        <v>0</v>
      </c>
      <c r="K4833" s="5" t="str">
        <f>IFERROR(__xludf.DUMMYFUNCTION("""COMPUTED_VALUE"""),"")</f>
        <v/>
      </c>
      <c r="L4833" t="str">
        <f>IFERROR(__xludf.DUMMYFUNCTION("""COMPUTED_VALUE"""),"")</f>
        <v/>
      </c>
      <c r="M4833" t="str">
        <f>IFERROR(__xludf.DUMMYFUNCTION("""COMPUTED_VALUE"""),"")</f>
        <v/>
      </c>
      <c r="N4833" t="str">
        <f>IFERROR(__xludf.DUMMYFUNCTION("""COMPUTED_VALUE"""),"")</f>
        <v/>
      </c>
      <c r="O4833" t="str">
        <f>IFERROR(__xludf.DUMMYFUNCTION("""COMPUTED_VALUE"""),"")</f>
        <v/>
      </c>
      <c r="P4833" t="str">
        <f>IFERROR(__xludf.DUMMYFUNCTION("""COMPUTED_VALUE"""),"ID ")</f>
        <v>ID </v>
      </c>
    </row>
    <row r="4834">
      <c r="A4834" s="6" t="str">
        <f>IFERROR(__xludf.DUMMYFUNCTION("""COMPUTED_VALUE"""),"")</f>
        <v/>
      </c>
      <c r="C4834" t="str">
        <f>IFERROR(__xludf.DUMMYFUNCTION("""COMPUTED_VALUE"""),"")</f>
        <v/>
      </c>
      <c r="D4834" t="str">
        <f>IFERROR(__xludf.DUMMYFUNCTION("""COMPUTED_VALUE"""),"")</f>
        <v/>
      </c>
      <c r="E4834" t="str">
        <f>IFERROR(__xludf.DUMMYFUNCTION("""COMPUTED_VALUE"""),"")</f>
        <v/>
      </c>
      <c r="F4834" t="str">
        <f>IFERROR(__xludf.DUMMYFUNCTION("""COMPUTED_VALUE"""),"")</f>
        <v/>
      </c>
      <c r="G4834" t="str">
        <f>IFERROR(__xludf.DUMMYFUNCTION("""COMPUTED_VALUE"""),"")</f>
        <v/>
      </c>
      <c r="H4834" s="2" t="str">
        <f>IFERROR(__xludf.DUMMYFUNCTION("""COMPUTED_VALUE"""),"")</f>
        <v/>
      </c>
      <c r="I4834" s="2" t="str">
        <f>IFERROR(__xludf.DUMMYFUNCTION("""COMPUTED_VALUE"""),"")</f>
        <v/>
      </c>
      <c r="J4834" s="2">
        <f>IFERROR(__xludf.DUMMYFUNCTION("""COMPUTED_VALUE"""),0.0)</f>
        <v>0</v>
      </c>
      <c r="K4834" s="5" t="str">
        <f>IFERROR(__xludf.DUMMYFUNCTION("""COMPUTED_VALUE"""),"")</f>
        <v/>
      </c>
      <c r="L4834" t="str">
        <f>IFERROR(__xludf.DUMMYFUNCTION("""COMPUTED_VALUE"""),"")</f>
        <v/>
      </c>
      <c r="M4834" t="str">
        <f>IFERROR(__xludf.DUMMYFUNCTION("""COMPUTED_VALUE"""),"")</f>
        <v/>
      </c>
      <c r="N4834" t="str">
        <f>IFERROR(__xludf.DUMMYFUNCTION("""COMPUTED_VALUE"""),"")</f>
        <v/>
      </c>
      <c r="O4834" t="str">
        <f>IFERROR(__xludf.DUMMYFUNCTION("""COMPUTED_VALUE"""),"")</f>
        <v/>
      </c>
      <c r="P4834" t="str">
        <f>IFERROR(__xludf.DUMMYFUNCTION("""COMPUTED_VALUE"""),"ID ")</f>
        <v>ID </v>
      </c>
    </row>
    <row r="4835">
      <c r="A4835" s="6" t="str">
        <f>IFERROR(__xludf.DUMMYFUNCTION("""COMPUTED_VALUE"""),"")</f>
        <v/>
      </c>
      <c r="C4835" t="str">
        <f>IFERROR(__xludf.DUMMYFUNCTION("""COMPUTED_VALUE"""),"")</f>
        <v/>
      </c>
      <c r="D4835" t="str">
        <f>IFERROR(__xludf.DUMMYFUNCTION("""COMPUTED_VALUE"""),"")</f>
        <v/>
      </c>
      <c r="E4835" t="str">
        <f>IFERROR(__xludf.DUMMYFUNCTION("""COMPUTED_VALUE"""),"")</f>
        <v/>
      </c>
      <c r="F4835" t="str">
        <f>IFERROR(__xludf.DUMMYFUNCTION("""COMPUTED_VALUE"""),"")</f>
        <v/>
      </c>
      <c r="G4835" t="str">
        <f>IFERROR(__xludf.DUMMYFUNCTION("""COMPUTED_VALUE"""),"")</f>
        <v/>
      </c>
      <c r="H4835" s="2" t="str">
        <f>IFERROR(__xludf.DUMMYFUNCTION("""COMPUTED_VALUE"""),"")</f>
        <v/>
      </c>
      <c r="I4835" s="2" t="str">
        <f>IFERROR(__xludf.DUMMYFUNCTION("""COMPUTED_VALUE"""),"")</f>
        <v/>
      </c>
      <c r="J4835" s="2">
        <f>IFERROR(__xludf.DUMMYFUNCTION("""COMPUTED_VALUE"""),0.0)</f>
        <v>0</v>
      </c>
      <c r="K4835" s="5" t="str">
        <f>IFERROR(__xludf.DUMMYFUNCTION("""COMPUTED_VALUE"""),"")</f>
        <v/>
      </c>
      <c r="L4835" t="str">
        <f>IFERROR(__xludf.DUMMYFUNCTION("""COMPUTED_VALUE"""),"")</f>
        <v/>
      </c>
      <c r="M4835" t="str">
        <f>IFERROR(__xludf.DUMMYFUNCTION("""COMPUTED_VALUE"""),"")</f>
        <v/>
      </c>
      <c r="N4835" t="str">
        <f>IFERROR(__xludf.DUMMYFUNCTION("""COMPUTED_VALUE"""),"")</f>
        <v/>
      </c>
      <c r="O4835" t="str">
        <f>IFERROR(__xludf.DUMMYFUNCTION("""COMPUTED_VALUE"""),"")</f>
        <v/>
      </c>
      <c r="P4835" t="str">
        <f>IFERROR(__xludf.DUMMYFUNCTION("""COMPUTED_VALUE"""),"ID ")</f>
        <v>ID </v>
      </c>
    </row>
    <row r="4836">
      <c r="A4836" s="6" t="str">
        <f>IFERROR(__xludf.DUMMYFUNCTION("""COMPUTED_VALUE"""),"")</f>
        <v/>
      </c>
      <c r="C4836" t="str">
        <f>IFERROR(__xludf.DUMMYFUNCTION("""COMPUTED_VALUE"""),"")</f>
        <v/>
      </c>
      <c r="D4836" t="str">
        <f>IFERROR(__xludf.DUMMYFUNCTION("""COMPUTED_VALUE"""),"")</f>
        <v/>
      </c>
      <c r="E4836" t="str">
        <f>IFERROR(__xludf.DUMMYFUNCTION("""COMPUTED_VALUE"""),"")</f>
        <v/>
      </c>
      <c r="F4836" t="str">
        <f>IFERROR(__xludf.DUMMYFUNCTION("""COMPUTED_VALUE"""),"")</f>
        <v/>
      </c>
      <c r="G4836" t="str">
        <f>IFERROR(__xludf.DUMMYFUNCTION("""COMPUTED_VALUE"""),"")</f>
        <v/>
      </c>
      <c r="H4836" s="2" t="str">
        <f>IFERROR(__xludf.DUMMYFUNCTION("""COMPUTED_VALUE"""),"")</f>
        <v/>
      </c>
      <c r="I4836" s="2" t="str">
        <f>IFERROR(__xludf.DUMMYFUNCTION("""COMPUTED_VALUE"""),"")</f>
        <v/>
      </c>
      <c r="J4836" s="2">
        <f>IFERROR(__xludf.DUMMYFUNCTION("""COMPUTED_VALUE"""),0.0)</f>
        <v>0</v>
      </c>
      <c r="K4836" s="5" t="str">
        <f>IFERROR(__xludf.DUMMYFUNCTION("""COMPUTED_VALUE"""),"")</f>
        <v/>
      </c>
      <c r="L4836" t="str">
        <f>IFERROR(__xludf.DUMMYFUNCTION("""COMPUTED_VALUE"""),"")</f>
        <v/>
      </c>
      <c r="M4836" t="str">
        <f>IFERROR(__xludf.DUMMYFUNCTION("""COMPUTED_VALUE"""),"")</f>
        <v/>
      </c>
      <c r="N4836" t="str">
        <f>IFERROR(__xludf.DUMMYFUNCTION("""COMPUTED_VALUE"""),"")</f>
        <v/>
      </c>
      <c r="O4836" t="str">
        <f>IFERROR(__xludf.DUMMYFUNCTION("""COMPUTED_VALUE"""),"")</f>
        <v/>
      </c>
      <c r="P4836" t="str">
        <f>IFERROR(__xludf.DUMMYFUNCTION("""COMPUTED_VALUE"""),"ID ")</f>
        <v>ID </v>
      </c>
    </row>
    <row r="4837">
      <c r="A4837" s="6" t="str">
        <f>IFERROR(__xludf.DUMMYFUNCTION("""COMPUTED_VALUE"""),"")</f>
        <v/>
      </c>
      <c r="C4837" t="str">
        <f>IFERROR(__xludf.DUMMYFUNCTION("""COMPUTED_VALUE"""),"")</f>
        <v/>
      </c>
      <c r="D4837" t="str">
        <f>IFERROR(__xludf.DUMMYFUNCTION("""COMPUTED_VALUE"""),"")</f>
        <v/>
      </c>
      <c r="E4837" t="str">
        <f>IFERROR(__xludf.DUMMYFUNCTION("""COMPUTED_VALUE"""),"")</f>
        <v/>
      </c>
      <c r="F4837" t="str">
        <f>IFERROR(__xludf.DUMMYFUNCTION("""COMPUTED_VALUE"""),"")</f>
        <v/>
      </c>
      <c r="G4837" t="str">
        <f>IFERROR(__xludf.DUMMYFUNCTION("""COMPUTED_VALUE"""),"")</f>
        <v/>
      </c>
      <c r="H4837" s="2" t="str">
        <f>IFERROR(__xludf.DUMMYFUNCTION("""COMPUTED_VALUE"""),"")</f>
        <v/>
      </c>
      <c r="I4837" s="2" t="str">
        <f>IFERROR(__xludf.DUMMYFUNCTION("""COMPUTED_VALUE"""),"")</f>
        <v/>
      </c>
      <c r="J4837" s="2">
        <f>IFERROR(__xludf.DUMMYFUNCTION("""COMPUTED_VALUE"""),0.0)</f>
        <v>0</v>
      </c>
      <c r="K4837" s="5" t="str">
        <f>IFERROR(__xludf.DUMMYFUNCTION("""COMPUTED_VALUE"""),"")</f>
        <v/>
      </c>
      <c r="L4837" t="str">
        <f>IFERROR(__xludf.DUMMYFUNCTION("""COMPUTED_VALUE"""),"")</f>
        <v/>
      </c>
      <c r="M4837" t="str">
        <f>IFERROR(__xludf.DUMMYFUNCTION("""COMPUTED_VALUE"""),"")</f>
        <v/>
      </c>
      <c r="N4837" t="str">
        <f>IFERROR(__xludf.DUMMYFUNCTION("""COMPUTED_VALUE"""),"")</f>
        <v/>
      </c>
      <c r="O4837" t="str">
        <f>IFERROR(__xludf.DUMMYFUNCTION("""COMPUTED_VALUE"""),"")</f>
        <v/>
      </c>
      <c r="P4837" t="str">
        <f>IFERROR(__xludf.DUMMYFUNCTION("""COMPUTED_VALUE"""),"ID ")</f>
        <v>ID </v>
      </c>
    </row>
    <row r="4838">
      <c r="A4838" s="6" t="str">
        <f>IFERROR(__xludf.DUMMYFUNCTION("""COMPUTED_VALUE"""),"")</f>
        <v/>
      </c>
      <c r="C4838" t="str">
        <f>IFERROR(__xludf.DUMMYFUNCTION("""COMPUTED_VALUE"""),"")</f>
        <v/>
      </c>
      <c r="D4838" t="str">
        <f>IFERROR(__xludf.DUMMYFUNCTION("""COMPUTED_VALUE"""),"")</f>
        <v/>
      </c>
      <c r="E4838" t="str">
        <f>IFERROR(__xludf.DUMMYFUNCTION("""COMPUTED_VALUE"""),"")</f>
        <v/>
      </c>
      <c r="F4838" t="str">
        <f>IFERROR(__xludf.DUMMYFUNCTION("""COMPUTED_VALUE"""),"")</f>
        <v/>
      </c>
      <c r="G4838" t="str">
        <f>IFERROR(__xludf.DUMMYFUNCTION("""COMPUTED_VALUE"""),"")</f>
        <v/>
      </c>
      <c r="H4838" s="2" t="str">
        <f>IFERROR(__xludf.DUMMYFUNCTION("""COMPUTED_VALUE"""),"")</f>
        <v/>
      </c>
      <c r="I4838" s="2" t="str">
        <f>IFERROR(__xludf.DUMMYFUNCTION("""COMPUTED_VALUE"""),"")</f>
        <v/>
      </c>
      <c r="J4838" s="2">
        <f>IFERROR(__xludf.DUMMYFUNCTION("""COMPUTED_VALUE"""),0.0)</f>
        <v>0</v>
      </c>
      <c r="K4838" s="5" t="str">
        <f>IFERROR(__xludf.DUMMYFUNCTION("""COMPUTED_VALUE"""),"")</f>
        <v/>
      </c>
      <c r="L4838" t="str">
        <f>IFERROR(__xludf.DUMMYFUNCTION("""COMPUTED_VALUE"""),"")</f>
        <v/>
      </c>
      <c r="M4838" t="str">
        <f>IFERROR(__xludf.DUMMYFUNCTION("""COMPUTED_VALUE"""),"")</f>
        <v/>
      </c>
      <c r="N4838" t="str">
        <f>IFERROR(__xludf.DUMMYFUNCTION("""COMPUTED_VALUE"""),"")</f>
        <v/>
      </c>
      <c r="O4838" t="str">
        <f>IFERROR(__xludf.DUMMYFUNCTION("""COMPUTED_VALUE"""),"")</f>
        <v/>
      </c>
      <c r="P4838" t="str">
        <f>IFERROR(__xludf.DUMMYFUNCTION("""COMPUTED_VALUE"""),"ID ")</f>
        <v>ID </v>
      </c>
    </row>
    <row r="4839">
      <c r="A4839" s="6" t="str">
        <f>IFERROR(__xludf.DUMMYFUNCTION("""COMPUTED_VALUE"""),"")</f>
        <v/>
      </c>
      <c r="C4839" t="str">
        <f>IFERROR(__xludf.DUMMYFUNCTION("""COMPUTED_VALUE"""),"")</f>
        <v/>
      </c>
      <c r="D4839" t="str">
        <f>IFERROR(__xludf.DUMMYFUNCTION("""COMPUTED_VALUE"""),"")</f>
        <v/>
      </c>
      <c r="E4839" t="str">
        <f>IFERROR(__xludf.DUMMYFUNCTION("""COMPUTED_VALUE"""),"")</f>
        <v/>
      </c>
      <c r="F4839" t="str">
        <f>IFERROR(__xludf.DUMMYFUNCTION("""COMPUTED_VALUE"""),"")</f>
        <v/>
      </c>
      <c r="G4839" t="str">
        <f>IFERROR(__xludf.DUMMYFUNCTION("""COMPUTED_VALUE"""),"")</f>
        <v/>
      </c>
      <c r="H4839" s="2" t="str">
        <f>IFERROR(__xludf.DUMMYFUNCTION("""COMPUTED_VALUE"""),"")</f>
        <v/>
      </c>
      <c r="I4839" s="2" t="str">
        <f>IFERROR(__xludf.DUMMYFUNCTION("""COMPUTED_VALUE"""),"")</f>
        <v/>
      </c>
      <c r="J4839" s="2">
        <f>IFERROR(__xludf.DUMMYFUNCTION("""COMPUTED_VALUE"""),0.0)</f>
        <v>0</v>
      </c>
      <c r="K4839" s="5" t="str">
        <f>IFERROR(__xludf.DUMMYFUNCTION("""COMPUTED_VALUE"""),"")</f>
        <v/>
      </c>
      <c r="L4839" t="str">
        <f>IFERROR(__xludf.DUMMYFUNCTION("""COMPUTED_VALUE"""),"")</f>
        <v/>
      </c>
      <c r="M4839" t="str">
        <f>IFERROR(__xludf.DUMMYFUNCTION("""COMPUTED_VALUE"""),"")</f>
        <v/>
      </c>
      <c r="N4839" t="str">
        <f>IFERROR(__xludf.DUMMYFUNCTION("""COMPUTED_VALUE"""),"")</f>
        <v/>
      </c>
      <c r="O4839" t="str">
        <f>IFERROR(__xludf.DUMMYFUNCTION("""COMPUTED_VALUE"""),"")</f>
        <v/>
      </c>
      <c r="P4839" t="str">
        <f>IFERROR(__xludf.DUMMYFUNCTION("""COMPUTED_VALUE"""),"ID ")</f>
        <v>ID </v>
      </c>
    </row>
    <row r="4840">
      <c r="A4840" s="6" t="str">
        <f>IFERROR(__xludf.DUMMYFUNCTION("""COMPUTED_VALUE"""),"")</f>
        <v/>
      </c>
      <c r="C4840" t="str">
        <f>IFERROR(__xludf.DUMMYFUNCTION("""COMPUTED_VALUE"""),"")</f>
        <v/>
      </c>
      <c r="D4840" t="str">
        <f>IFERROR(__xludf.DUMMYFUNCTION("""COMPUTED_VALUE"""),"")</f>
        <v/>
      </c>
      <c r="E4840" t="str">
        <f>IFERROR(__xludf.DUMMYFUNCTION("""COMPUTED_VALUE"""),"")</f>
        <v/>
      </c>
      <c r="F4840" t="str">
        <f>IFERROR(__xludf.DUMMYFUNCTION("""COMPUTED_VALUE"""),"")</f>
        <v/>
      </c>
      <c r="G4840" t="str">
        <f>IFERROR(__xludf.DUMMYFUNCTION("""COMPUTED_VALUE"""),"")</f>
        <v/>
      </c>
      <c r="H4840" s="2" t="str">
        <f>IFERROR(__xludf.DUMMYFUNCTION("""COMPUTED_VALUE"""),"")</f>
        <v/>
      </c>
      <c r="I4840" s="2" t="str">
        <f>IFERROR(__xludf.DUMMYFUNCTION("""COMPUTED_VALUE"""),"")</f>
        <v/>
      </c>
      <c r="J4840" s="2">
        <f>IFERROR(__xludf.DUMMYFUNCTION("""COMPUTED_VALUE"""),0.0)</f>
        <v>0</v>
      </c>
      <c r="K4840" s="5" t="str">
        <f>IFERROR(__xludf.DUMMYFUNCTION("""COMPUTED_VALUE"""),"")</f>
        <v/>
      </c>
      <c r="L4840" t="str">
        <f>IFERROR(__xludf.DUMMYFUNCTION("""COMPUTED_VALUE"""),"")</f>
        <v/>
      </c>
      <c r="M4840" t="str">
        <f>IFERROR(__xludf.DUMMYFUNCTION("""COMPUTED_VALUE"""),"")</f>
        <v/>
      </c>
      <c r="N4840" t="str">
        <f>IFERROR(__xludf.DUMMYFUNCTION("""COMPUTED_VALUE"""),"")</f>
        <v/>
      </c>
      <c r="O4840" t="str">
        <f>IFERROR(__xludf.DUMMYFUNCTION("""COMPUTED_VALUE"""),"")</f>
        <v/>
      </c>
      <c r="P4840" t="str">
        <f>IFERROR(__xludf.DUMMYFUNCTION("""COMPUTED_VALUE"""),"ID ")</f>
        <v>ID </v>
      </c>
    </row>
    <row r="4841">
      <c r="A4841" s="6" t="str">
        <f>IFERROR(__xludf.DUMMYFUNCTION("""COMPUTED_VALUE"""),"")</f>
        <v/>
      </c>
      <c r="C4841" t="str">
        <f>IFERROR(__xludf.DUMMYFUNCTION("""COMPUTED_VALUE"""),"")</f>
        <v/>
      </c>
      <c r="D4841" t="str">
        <f>IFERROR(__xludf.DUMMYFUNCTION("""COMPUTED_VALUE"""),"")</f>
        <v/>
      </c>
      <c r="E4841" t="str">
        <f>IFERROR(__xludf.DUMMYFUNCTION("""COMPUTED_VALUE"""),"")</f>
        <v/>
      </c>
      <c r="F4841" t="str">
        <f>IFERROR(__xludf.DUMMYFUNCTION("""COMPUTED_VALUE"""),"")</f>
        <v/>
      </c>
      <c r="G4841" t="str">
        <f>IFERROR(__xludf.DUMMYFUNCTION("""COMPUTED_VALUE"""),"")</f>
        <v/>
      </c>
      <c r="H4841" s="2" t="str">
        <f>IFERROR(__xludf.DUMMYFUNCTION("""COMPUTED_VALUE"""),"")</f>
        <v/>
      </c>
      <c r="I4841" s="2" t="str">
        <f>IFERROR(__xludf.DUMMYFUNCTION("""COMPUTED_VALUE"""),"")</f>
        <v/>
      </c>
      <c r="J4841" s="2">
        <f>IFERROR(__xludf.DUMMYFUNCTION("""COMPUTED_VALUE"""),0.0)</f>
        <v>0</v>
      </c>
      <c r="K4841" s="5" t="str">
        <f>IFERROR(__xludf.DUMMYFUNCTION("""COMPUTED_VALUE"""),"")</f>
        <v/>
      </c>
      <c r="L4841" t="str">
        <f>IFERROR(__xludf.DUMMYFUNCTION("""COMPUTED_VALUE"""),"")</f>
        <v/>
      </c>
      <c r="M4841" t="str">
        <f>IFERROR(__xludf.DUMMYFUNCTION("""COMPUTED_VALUE"""),"")</f>
        <v/>
      </c>
      <c r="N4841" t="str">
        <f>IFERROR(__xludf.DUMMYFUNCTION("""COMPUTED_VALUE"""),"")</f>
        <v/>
      </c>
      <c r="O4841" t="str">
        <f>IFERROR(__xludf.DUMMYFUNCTION("""COMPUTED_VALUE"""),"")</f>
        <v/>
      </c>
      <c r="P4841" t="str">
        <f>IFERROR(__xludf.DUMMYFUNCTION("""COMPUTED_VALUE"""),"ID ")</f>
        <v>ID </v>
      </c>
    </row>
    <row r="4842">
      <c r="A4842" s="6" t="str">
        <f>IFERROR(__xludf.DUMMYFUNCTION("""COMPUTED_VALUE"""),"")</f>
        <v/>
      </c>
      <c r="C4842" t="str">
        <f>IFERROR(__xludf.DUMMYFUNCTION("""COMPUTED_VALUE"""),"")</f>
        <v/>
      </c>
      <c r="D4842" t="str">
        <f>IFERROR(__xludf.DUMMYFUNCTION("""COMPUTED_VALUE"""),"")</f>
        <v/>
      </c>
      <c r="E4842" t="str">
        <f>IFERROR(__xludf.DUMMYFUNCTION("""COMPUTED_VALUE"""),"")</f>
        <v/>
      </c>
      <c r="F4842" t="str">
        <f>IFERROR(__xludf.DUMMYFUNCTION("""COMPUTED_VALUE"""),"")</f>
        <v/>
      </c>
      <c r="G4842" t="str">
        <f>IFERROR(__xludf.DUMMYFUNCTION("""COMPUTED_VALUE"""),"")</f>
        <v/>
      </c>
      <c r="H4842" s="2" t="str">
        <f>IFERROR(__xludf.DUMMYFUNCTION("""COMPUTED_VALUE"""),"")</f>
        <v/>
      </c>
      <c r="I4842" s="2" t="str">
        <f>IFERROR(__xludf.DUMMYFUNCTION("""COMPUTED_VALUE"""),"")</f>
        <v/>
      </c>
      <c r="J4842" s="2">
        <f>IFERROR(__xludf.DUMMYFUNCTION("""COMPUTED_VALUE"""),0.0)</f>
        <v>0</v>
      </c>
      <c r="K4842" s="5" t="str">
        <f>IFERROR(__xludf.DUMMYFUNCTION("""COMPUTED_VALUE"""),"")</f>
        <v/>
      </c>
      <c r="L4842" t="str">
        <f>IFERROR(__xludf.DUMMYFUNCTION("""COMPUTED_VALUE"""),"")</f>
        <v/>
      </c>
      <c r="M4842" t="str">
        <f>IFERROR(__xludf.DUMMYFUNCTION("""COMPUTED_VALUE"""),"")</f>
        <v/>
      </c>
      <c r="N4842" t="str">
        <f>IFERROR(__xludf.DUMMYFUNCTION("""COMPUTED_VALUE"""),"")</f>
        <v/>
      </c>
      <c r="O4842" t="str">
        <f>IFERROR(__xludf.DUMMYFUNCTION("""COMPUTED_VALUE"""),"")</f>
        <v/>
      </c>
      <c r="P4842" t="str">
        <f>IFERROR(__xludf.DUMMYFUNCTION("""COMPUTED_VALUE"""),"ID ")</f>
        <v>ID </v>
      </c>
    </row>
    <row r="4843">
      <c r="A4843" s="6" t="str">
        <f>IFERROR(__xludf.DUMMYFUNCTION("""COMPUTED_VALUE"""),"")</f>
        <v/>
      </c>
      <c r="C4843" t="str">
        <f>IFERROR(__xludf.DUMMYFUNCTION("""COMPUTED_VALUE"""),"")</f>
        <v/>
      </c>
      <c r="D4843" t="str">
        <f>IFERROR(__xludf.DUMMYFUNCTION("""COMPUTED_VALUE"""),"")</f>
        <v/>
      </c>
      <c r="E4843" t="str">
        <f>IFERROR(__xludf.DUMMYFUNCTION("""COMPUTED_VALUE"""),"")</f>
        <v/>
      </c>
      <c r="F4843" t="str">
        <f>IFERROR(__xludf.DUMMYFUNCTION("""COMPUTED_VALUE"""),"")</f>
        <v/>
      </c>
      <c r="G4843" t="str">
        <f>IFERROR(__xludf.DUMMYFUNCTION("""COMPUTED_VALUE"""),"")</f>
        <v/>
      </c>
      <c r="H4843" s="2" t="str">
        <f>IFERROR(__xludf.DUMMYFUNCTION("""COMPUTED_VALUE"""),"")</f>
        <v/>
      </c>
      <c r="I4843" s="2" t="str">
        <f>IFERROR(__xludf.DUMMYFUNCTION("""COMPUTED_VALUE"""),"")</f>
        <v/>
      </c>
      <c r="J4843" s="2">
        <f>IFERROR(__xludf.DUMMYFUNCTION("""COMPUTED_VALUE"""),0.0)</f>
        <v>0</v>
      </c>
      <c r="K4843" s="5" t="str">
        <f>IFERROR(__xludf.DUMMYFUNCTION("""COMPUTED_VALUE"""),"")</f>
        <v/>
      </c>
      <c r="L4843" t="str">
        <f>IFERROR(__xludf.DUMMYFUNCTION("""COMPUTED_VALUE"""),"")</f>
        <v/>
      </c>
      <c r="M4843" t="str">
        <f>IFERROR(__xludf.DUMMYFUNCTION("""COMPUTED_VALUE"""),"")</f>
        <v/>
      </c>
      <c r="N4843" t="str">
        <f>IFERROR(__xludf.DUMMYFUNCTION("""COMPUTED_VALUE"""),"")</f>
        <v/>
      </c>
      <c r="O4843" t="str">
        <f>IFERROR(__xludf.DUMMYFUNCTION("""COMPUTED_VALUE"""),"")</f>
        <v/>
      </c>
      <c r="P4843" t="str">
        <f>IFERROR(__xludf.DUMMYFUNCTION("""COMPUTED_VALUE"""),"ID ")</f>
        <v>ID </v>
      </c>
    </row>
    <row r="4844">
      <c r="A4844" s="6" t="str">
        <f>IFERROR(__xludf.DUMMYFUNCTION("""COMPUTED_VALUE"""),"")</f>
        <v/>
      </c>
      <c r="C4844" t="str">
        <f>IFERROR(__xludf.DUMMYFUNCTION("""COMPUTED_VALUE"""),"")</f>
        <v/>
      </c>
      <c r="D4844" t="str">
        <f>IFERROR(__xludf.DUMMYFUNCTION("""COMPUTED_VALUE"""),"")</f>
        <v/>
      </c>
      <c r="E4844" t="str">
        <f>IFERROR(__xludf.DUMMYFUNCTION("""COMPUTED_VALUE"""),"")</f>
        <v/>
      </c>
      <c r="F4844" t="str">
        <f>IFERROR(__xludf.DUMMYFUNCTION("""COMPUTED_VALUE"""),"")</f>
        <v/>
      </c>
      <c r="G4844" t="str">
        <f>IFERROR(__xludf.DUMMYFUNCTION("""COMPUTED_VALUE"""),"")</f>
        <v/>
      </c>
      <c r="H4844" s="2" t="str">
        <f>IFERROR(__xludf.DUMMYFUNCTION("""COMPUTED_VALUE"""),"")</f>
        <v/>
      </c>
      <c r="I4844" s="2" t="str">
        <f>IFERROR(__xludf.DUMMYFUNCTION("""COMPUTED_VALUE"""),"")</f>
        <v/>
      </c>
      <c r="J4844" s="2">
        <f>IFERROR(__xludf.DUMMYFUNCTION("""COMPUTED_VALUE"""),0.0)</f>
        <v>0</v>
      </c>
      <c r="K4844" s="5" t="str">
        <f>IFERROR(__xludf.DUMMYFUNCTION("""COMPUTED_VALUE"""),"")</f>
        <v/>
      </c>
      <c r="L4844" t="str">
        <f>IFERROR(__xludf.DUMMYFUNCTION("""COMPUTED_VALUE"""),"")</f>
        <v/>
      </c>
      <c r="M4844" t="str">
        <f>IFERROR(__xludf.DUMMYFUNCTION("""COMPUTED_VALUE"""),"")</f>
        <v/>
      </c>
      <c r="N4844" t="str">
        <f>IFERROR(__xludf.DUMMYFUNCTION("""COMPUTED_VALUE"""),"")</f>
        <v/>
      </c>
      <c r="O4844" t="str">
        <f>IFERROR(__xludf.DUMMYFUNCTION("""COMPUTED_VALUE"""),"")</f>
        <v/>
      </c>
      <c r="P4844" t="str">
        <f>IFERROR(__xludf.DUMMYFUNCTION("""COMPUTED_VALUE"""),"ID ")</f>
        <v>ID </v>
      </c>
    </row>
    <row r="4845">
      <c r="A4845" s="6" t="str">
        <f>IFERROR(__xludf.DUMMYFUNCTION("""COMPUTED_VALUE"""),"")</f>
        <v/>
      </c>
      <c r="C4845" t="str">
        <f>IFERROR(__xludf.DUMMYFUNCTION("""COMPUTED_VALUE"""),"")</f>
        <v/>
      </c>
      <c r="D4845" t="str">
        <f>IFERROR(__xludf.DUMMYFUNCTION("""COMPUTED_VALUE"""),"")</f>
        <v/>
      </c>
      <c r="E4845" t="str">
        <f>IFERROR(__xludf.DUMMYFUNCTION("""COMPUTED_VALUE"""),"")</f>
        <v/>
      </c>
      <c r="F4845" t="str">
        <f>IFERROR(__xludf.DUMMYFUNCTION("""COMPUTED_VALUE"""),"")</f>
        <v/>
      </c>
      <c r="G4845" t="str">
        <f>IFERROR(__xludf.DUMMYFUNCTION("""COMPUTED_VALUE"""),"")</f>
        <v/>
      </c>
      <c r="H4845" s="2" t="str">
        <f>IFERROR(__xludf.DUMMYFUNCTION("""COMPUTED_VALUE"""),"")</f>
        <v/>
      </c>
      <c r="I4845" s="2" t="str">
        <f>IFERROR(__xludf.DUMMYFUNCTION("""COMPUTED_VALUE"""),"")</f>
        <v/>
      </c>
      <c r="J4845" s="2">
        <f>IFERROR(__xludf.DUMMYFUNCTION("""COMPUTED_VALUE"""),0.0)</f>
        <v>0</v>
      </c>
      <c r="K4845" s="5" t="str">
        <f>IFERROR(__xludf.DUMMYFUNCTION("""COMPUTED_VALUE"""),"")</f>
        <v/>
      </c>
      <c r="L4845" t="str">
        <f>IFERROR(__xludf.DUMMYFUNCTION("""COMPUTED_VALUE"""),"")</f>
        <v/>
      </c>
      <c r="M4845" t="str">
        <f>IFERROR(__xludf.DUMMYFUNCTION("""COMPUTED_VALUE"""),"")</f>
        <v/>
      </c>
      <c r="N4845" t="str">
        <f>IFERROR(__xludf.DUMMYFUNCTION("""COMPUTED_VALUE"""),"")</f>
        <v/>
      </c>
      <c r="O4845" t="str">
        <f>IFERROR(__xludf.DUMMYFUNCTION("""COMPUTED_VALUE"""),"")</f>
        <v/>
      </c>
      <c r="P4845" t="str">
        <f>IFERROR(__xludf.DUMMYFUNCTION("""COMPUTED_VALUE"""),"ID ")</f>
        <v>ID </v>
      </c>
    </row>
    <row r="4846">
      <c r="A4846" s="6" t="str">
        <f>IFERROR(__xludf.DUMMYFUNCTION("""COMPUTED_VALUE"""),"")</f>
        <v/>
      </c>
      <c r="C4846" t="str">
        <f>IFERROR(__xludf.DUMMYFUNCTION("""COMPUTED_VALUE"""),"")</f>
        <v/>
      </c>
      <c r="D4846" t="str">
        <f>IFERROR(__xludf.DUMMYFUNCTION("""COMPUTED_VALUE"""),"")</f>
        <v/>
      </c>
      <c r="E4846" t="str">
        <f>IFERROR(__xludf.DUMMYFUNCTION("""COMPUTED_VALUE"""),"")</f>
        <v/>
      </c>
      <c r="F4846" t="str">
        <f>IFERROR(__xludf.DUMMYFUNCTION("""COMPUTED_VALUE"""),"")</f>
        <v/>
      </c>
      <c r="G4846" t="str">
        <f>IFERROR(__xludf.DUMMYFUNCTION("""COMPUTED_VALUE"""),"")</f>
        <v/>
      </c>
      <c r="H4846" s="2" t="str">
        <f>IFERROR(__xludf.DUMMYFUNCTION("""COMPUTED_VALUE"""),"")</f>
        <v/>
      </c>
      <c r="I4846" s="2" t="str">
        <f>IFERROR(__xludf.DUMMYFUNCTION("""COMPUTED_VALUE"""),"")</f>
        <v/>
      </c>
      <c r="J4846" s="2">
        <f>IFERROR(__xludf.DUMMYFUNCTION("""COMPUTED_VALUE"""),0.0)</f>
        <v>0</v>
      </c>
      <c r="K4846" s="5" t="str">
        <f>IFERROR(__xludf.DUMMYFUNCTION("""COMPUTED_VALUE"""),"")</f>
        <v/>
      </c>
      <c r="L4846" t="str">
        <f>IFERROR(__xludf.DUMMYFUNCTION("""COMPUTED_VALUE"""),"")</f>
        <v/>
      </c>
      <c r="M4846" t="str">
        <f>IFERROR(__xludf.DUMMYFUNCTION("""COMPUTED_VALUE"""),"")</f>
        <v/>
      </c>
      <c r="N4846" t="str">
        <f>IFERROR(__xludf.DUMMYFUNCTION("""COMPUTED_VALUE"""),"")</f>
        <v/>
      </c>
      <c r="O4846" t="str">
        <f>IFERROR(__xludf.DUMMYFUNCTION("""COMPUTED_VALUE"""),"")</f>
        <v/>
      </c>
      <c r="P4846" t="str">
        <f>IFERROR(__xludf.DUMMYFUNCTION("""COMPUTED_VALUE"""),"ID ")</f>
        <v>ID </v>
      </c>
    </row>
    <row r="4847">
      <c r="A4847" s="6" t="str">
        <f>IFERROR(__xludf.DUMMYFUNCTION("""COMPUTED_VALUE"""),"")</f>
        <v/>
      </c>
      <c r="C4847" t="str">
        <f>IFERROR(__xludf.DUMMYFUNCTION("""COMPUTED_VALUE"""),"")</f>
        <v/>
      </c>
      <c r="D4847" t="str">
        <f>IFERROR(__xludf.DUMMYFUNCTION("""COMPUTED_VALUE"""),"")</f>
        <v/>
      </c>
      <c r="E4847" t="str">
        <f>IFERROR(__xludf.DUMMYFUNCTION("""COMPUTED_VALUE"""),"")</f>
        <v/>
      </c>
      <c r="F4847" t="str">
        <f>IFERROR(__xludf.DUMMYFUNCTION("""COMPUTED_VALUE"""),"")</f>
        <v/>
      </c>
      <c r="G4847" t="str">
        <f>IFERROR(__xludf.DUMMYFUNCTION("""COMPUTED_VALUE"""),"")</f>
        <v/>
      </c>
      <c r="H4847" s="2" t="str">
        <f>IFERROR(__xludf.DUMMYFUNCTION("""COMPUTED_VALUE"""),"")</f>
        <v/>
      </c>
      <c r="I4847" s="2" t="str">
        <f>IFERROR(__xludf.DUMMYFUNCTION("""COMPUTED_VALUE"""),"")</f>
        <v/>
      </c>
      <c r="J4847" s="2">
        <f>IFERROR(__xludf.DUMMYFUNCTION("""COMPUTED_VALUE"""),0.0)</f>
        <v>0</v>
      </c>
      <c r="K4847" s="5" t="str">
        <f>IFERROR(__xludf.DUMMYFUNCTION("""COMPUTED_VALUE"""),"")</f>
        <v/>
      </c>
      <c r="L4847" t="str">
        <f>IFERROR(__xludf.DUMMYFUNCTION("""COMPUTED_VALUE"""),"")</f>
        <v/>
      </c>
      <c r="M4847" t="str">
        <f>IFERROR(__xludf.DUMMYFUNCTION("""COMPUTED_VALUE"""),"")</f>
        <v/>
      </c>
      <c r="N4847" t="str">
        <f>IFERROR(__xludf.DUMMYFUNCTION("""COMPUTED_VALUE"""),"")</f>
        <v/>
      </c>
      <c r="O4847" t="str">
        <f>IFERROR(__xludf.DUMMYFUNCTION("""COMPUTED_VALUE"""),"")</f>
        <v/>
      </c>
      <c r="P4847" t="str">
        <f>IFERROR(__xludf.DUMMYFUNCTION("""COMPUTED_VALUE"""),"ID ")</f>
        <v>ID </v>
      </c>
    </row>
    <row r="4848">
      <c r="A4848" s="6" t="str">
        <f>IFERROR(__xludf.DUMMYFUNCTION("""COMPUTED_VALUE"""),"")</f>
        <v/>
      </c>
      <c r="C4848" t="str">
        <f>IFERROR(__xludf.DUMMYFUNCTION("""COMPUTED_VALUE"""),"")</f>
        <v/>
      </c>
      <c r="D4848" t="str">
        <f>IFERROR(__xludf.DUMMYFUNCTION("""COMPUTED_VALUE"""),"")</f>
        <v/>
      </c>
      <c r="E4848" t="str">
        <f>IFERROR(__xludf.DUMMYFUNCTION("""COMPUTED_VALUE"""),"")</f>
        <v/>
      </c>
      <c r="F4848" t="str">
        <f>IFERROR(__xludf.DUMMYFUNCTION("""COMPUTED_VALUE"""),"")</f>
        <v/>
      </c>
      <c r="G4848" t="str">
        <f>IFERROR(__xludf.DUMMYFUNCTION("""COMPUTED_VALUE"""),"")</f>
        <v/>
      </c>
      <c r="H4848" s="2" t="str">
        <f>IFERROR(__xludf.DUMMYFUNCTION("""COMPUTED_VALUE"""),"")</f>
        <v/>
      </c>
      <c r="I4848" s="2" t="str">
        <f>IFERROR(__xludf.DUMMYFUNCTION("""COMPUTED_VALUE"""),"")</f>
        <v/>
      </c>
      <c r="J4848" s="2">
        <f>IFERROR(__xludf.DUMMYFUNCTION("""COMPUTED_VALUE"""),0.0)</f>
        <v>0</v>
      </c>
      <c r="K4848" s="5" t="str">
        <f>IFERROR(__xludf.DUMMYFUNCTION("""COMPUTED_VALUE"""),"")</f>
        <v/>
      </c>
      <c r="L4848" t="str">
        <f>IFERROR(__xludf.DUMMYFUNCTION("""COMPUTED_VALUE"""),"")</f>
        <v/>
      </c>
      <c r="M4848" t="str">
        <f>IFERROR(__xludf.DUMMYFUNCTION("""COMPUTED_VALUE"""),"")</f>
        <v/>
      </c>
      <c r="N4848" t="str">
        <f>IFERROR(__xludf.DUMMYFUNCTION("""COMPUTED_VALUE"""),"")</f>
        <v/>
      </c>
      <c r="O4848" t="str">
        <f>IFERROR(__xludf.DUMMYFUNCTION("""COMPUTED_VALUE"""),"")</f>
        <v/>
      </c>
      <c r="P4848" t="str">
        <f>IFERROR(__xludf.DUMMYFUNCTION("""COMPUTED_VALUE"""),"ID ")</f>
        <v>ID </v>
      </c>
    </row>
    <row r="4849">
      <c r="A4849" s="6" t="str">
        <f>IFERROR(__xludf.DUMMYFUNCTION("""COMPUTED_VALUE"""),"")</f>
        <v/>
      </c>
      <c r="C4849" t="str">
        <f>IFERROR(__xludf.DUMMYFUNCTION("""COMPUTED_VALUE"""),"")</f>
        <v/>
      </c>
      <c r="D4849" t="str">
        <f>IFERROR(__xludf.DUMMYFUNCTION("""COMPUTED_VALUE"""),"")</f>
        <v/>
      </c>
      <c r="E4849" t="str">
        <f>IFERROR(__xludf.DUMMYFUNCTION("""COMPUTED_VALUE"""),"")</f>
        <v/>
      </c>
      <c r="F4849" t="str">
        <f>IFERROR(__xludf.DUMMYFUNCTION("""COMPUTED_VALUE"""),"")</f>
        <v/>
      </c>
      <c r="G4849" t="str">
        <f>IFERROR(__xludf.DUMMYFUNCTION("""COMPUTED_VALUE"""),"")</f>
        <v/>
      </c>
      <c r="H4849" s="2" t="str">
        <f>IFERROR(__xludf.DUMMYFUNCTION("""COMPUTED_VALUE"""),"")</f>
        <v/>
      </c>
      <c r="I4849" s="2" t="str">
        <f>IFERROR(__xludf.DUMMYFUNCTION("""COMPUTED_VALUE"""),"")</f>
        <v/>
      </c>
      <c r="J4849" s="2">
        <f>IFERROR(__xludf.DUMMYFUNCTION("""COMPUTED_VALUE"""),0.0)</f>
        <v>0</v>
      </c>
      <c r="K4849" s="5" t="str">
        <f>IFERROR(__xludf.DUMMYFUNCTION("""COMPUTED_VALUE"""),"")</f>
        <v/>
      </c>
      <c r="L4849" t="str">
        <f>IFERROR(__xludf.DUMMYFUNCTION("""COMPUTED_VALUE"""),"")</f>
        <v/>
      </c>
      <c r="M4849" t="str">
        <f>IFERROR(__xludf.DUMMYFUNCTION("""COMPUTED_VALUE"""),"")</f>
        <v/>
      </c>
      <c r="N4849" t="str">
        <f>IFERROR(__xludf.DUMMYFUNCTION("""COMPUTED_VALUE"""),"")</f>
        <v/>
      </c>
      <c r="O4849" t="str">
        <f>IFERROR(__xludf.DUMMYFUNCTION("""COMPUTED_VALUE"""),"")</f>
        <v/>
      </c>
      <c r="P4849" t="str">
        <f>IFERROR(__xludf.DUMMYFUNCTION("""COMPUTED_VALUE"""),"ID ")</f>
        <v>ID </v>
      </c>
    </row>
    <row r="4850">
      <c r="A4850" s="6" t="str">
        <f>IFERROR(__xludf.DUMMYFUNCTION("""COMPUTED_VALUE"""),"")</f>
        <v/>
      </c>
      <c r="C4850" t="str">
        <f>IFERROR(__xludf.DUMMYFUNCTION("""COMPUTED_VALUE"""),"")</f>
        <v/>
      </c>
      <c r="D4850" t="str">
        <f>IFERROR(__xludf.DUMMYFUNCTION("""COMPUTED_VALUE"""),"")</f>
        <v/>
      </c>
      <c r="E4850" t="str">
        <f>IFERROR(__xludf.DUMMYFUNCTION("""COMPUTED_VALUE"""),"")</f>
        <v/>
      </c>
      <c r="F4850" t="str">
        <f>IFERROR(__xludf.DUMMYFUNCTION("""COMPUTED_VALUE"""),"")</f>
        <v/>
      </c>
      <c r="G4850" t="str">
        <f>IFERROR(__xludf.DUMMYFUNCTION("""COMPUTED_VALUE"""),"")</f>
        <v/>
      </c>
      <c r="H4850" s="2" t="str">
        <f>IFERROR(__xludf.DUMMYFUNCTION("""COMPUTED_VALUE"""),"")</f>
        <v/>
      </c>
      <c r="I4850" s="2" t="str">
        <f>IFERROR(__xludf.DUMMYFUNCTION("""COMPUTED_VALUE"""),"")</f>
        <v/>
      </c>
      <c r="J4850" s="2">
        <f>IFERROR(__xludf.DUMMYFUNCTION("""COMPUTED_VALUE"""),0.0)</f>
        <v>0</v>
      </c>
      <c r="K4850" s="5" t="str">
        <f>IFERROR(__xludf.DUMMYFUNCTION("""COMPUTED_VALUE"""),"")</f>
        <v/>
      </c>
      <c r="L4850" t="str">
        <f>IFERROR(__xludf.DUMMYFUNCTION("""COMPUTED_VALUE"""),"")</f>
        <v/>
      </c>
      <c r="M4850" t="str">
        <f>IFERROR(__xludf.DUMMYFUNCTION("""COMPUTED_VALUE"""),"")</f>
        <v/>
      </c>
      <c r="N4850" t="str">
        <f>IFERROR(__xludf.DUMMYFUNCTION("""COMPUTED_VALUE"""),"")</f>
        <v/>
      </c>
      <c r="O4850" t="str">
        <f>IFERROR(__xludf.DUMMYFUNCTION("""COMPUTED_VALUE"""),"")</f>
        <v/>
      </c>
      <c r="P4850" t="str">
        <f>IFERROR(__xludf.DUMMYFUNCTION("""COMPUTED_VALUE"""),"ID ")</f>
        <v>ID </v>
      </c>
    </row>
    <row r="4851">
      <c r="A4851" s="6" t="str">
        <f>IFERROR(__xludf.DUMMYFUNCTION("""COMPUTED_VALUE"""),"")</f>
        <v/>
      </c>
      <c r="C4851" t="str">
        <f>IFERROR(__xludf.DUMMYFUNCTION("""COMPUTED_VALUE"""),"")</f>
        <v/>
      </c>
      <c r="D4851" t="str">
        <f>IFERROR(__xludf.DUMMYFUNCTION("""COMPUTED_VALUE"""),"")</f>
        <v/>
      </c>
      <c r="E4851" t="str">
        <f>IFERROR(__xludf.DUMMYFUNCTION("""COMPUTED_VALUE"""),"")</f>
        <v/>
      </c>
      <c r="F4851" t="str">
        <f>IFERROR(__xludf.DUMMYFUNCTION("""COMPUTED_VALUE"""),"")</f>
        <v/>
      </c>
      <c r="G4851" t="str">
        <f>IFERROR(__xludf.DUMMYFUNCTION("""COMPUTED_VALUE"""),"")</f>
        <v/>
      </c>
      <c r="H4851" s="2" t="str">
        <f>IFERROR(__xludf.DUMMYFUNCTION("""COMPUTED_VALUE"""),"")</f>
        <v/>
      </c>
      <c r="I4851" s="2" t="str">
        <f>IFERROR(__xludf.DUMMYFUNCTION("""COMPUTED_VALUE"""),"")</f>
        <v/>
      </c>
      <c r="J4851" s="2">
        <f>IFERROR(__xludf.DUMMYFUNCTION("""COMPUTED_VALUE"""),0.0)</f>
        <v>0</v>
      </c>
      <c r="K4851" s="5" t="str">
        <f>IFERROR(__xludf.DUMMYFUNCTION("""COMPUTED_VALUE"""),"")</f>
        <v/>
      </c>
      <c r="L4851" t="str">
        <f>IFERROR(__xludf.DUMMYFUNCTION("""COMPUTED_VALUE"""),"")</f>
        <v/>
      </c>
      <c r="M4851" t="str">
        <f>IFERROR(__xludf.DUMMYFUNCTION("""COMPUTED_VALUE"""),"")</f>
        <v/>
      </c>
      <c r="N4851" t="str">
        <f>IFERROR(__xludf.DUMMYFUNCTION("""COMPUTED_VALUE"""),"")</f>
        <v/>
      </c>
      <c r="O4851" t="str">
        <f>IFERROR(__xludf.DUMMYFUNCTION("""COMPUTED_VALUE"""),"")</f>
        <v/>
      </c>
      <c r="P4851" t="str">
        <f>IFERROR(__xludf.DUMMYFUNCTION("""COMPUTED_VALUE"""),"ID ")</f>
        <v>ID </v>
      </c>
    </row>
    <row r="4852">
      <c r="A4852" s="6" t="str">
        <f>IFERROR(__xludf.DUMMYFUNCTION("""COMPUTED_VALUE"""),"")</f>
        <v/>
      </c>
      <c r="C4852" t="str">
        <f>IFERROR(__xludf.DUMMYFUNCTION("""COMPUTED_VALUE"""),"")</f>
        <v/>
      </c>
      <c r="D4852" t="str">
        <f>IFERROR(__xludf.DUMMYFUNCTION("""COMPUTED_VALUE"""),"")</f>
        <v/>
      </c>
      <c r="E4852" t="str">
        <f>IFERROR(__xludf.DUMMYFUNCTION("""COMPUTED_VALUE"""),"")</f>
        <v/>
      </c>
      <c r="F4852" t="str">
        <f>IFERROR(__xludf.DUMMYFUNCTION("""COMPUTED_VALUE"""),"")</f>
        <v/>
      </c>
      <c r="G4852" t="str">
        <f>IFERROR(__xludf.DUMMYFUNCTION("""COMPUTED_VALUE"""),"")</f>
        <v/>
      </c>
      <c r="H4852" s="2" t="str">
        <f>IFERROR(__xludf.DUMMYFUNCTION("""COMPUTED_VALUE"""),"")</f>
        <v/>
      </c>
      <c r="I4852" s="2" t="str">
        <f>IFERROR(__xludf.DUMMYFUNCTION("""COMPUTED_VALUE"""),"")</f>
        <v/>
      </c>
      <c r="J4852" s="2">
        <f>IFERROR(__xludf.DUMMYFUNCTION("""COMPUTED_VALUE"""),0.0)</f>
        <v>0</v>
      </c>
      <c r="K4852" s="5" t="str">
        <f>IFERROR(__xludf.DUMMYFUNCTION("""COMPUTED_VALUE"""),"")</f>
        <v/>
      </c>
      <c r="L4852" t="str">
        <f>IFERROR(__xludf.DUMMYFUNCTION("""COMPUTED_VALUE"""),"")</f>
        <v/>
      </c>
      <c r="M4852" t="str">
        <f>IFERROR(__xludf.DUMMYFUNCTION("""COMPUTED_VALUE"""),"")</f>
        <v/>
      </c>
      <c r="N4852" t="str">
        <f>IFERROR(__xludf.DUMMYFUNCTION("""COMPUTED_VALUE"""),"")</f>
        <v/>
      </c>
      <c r="O4852" t="str">
        <f>IFERROR(__xludf.DUMMYFUNCTION("""COMPUTED_VALUE"""),"")</f>
        <v/>
      </c>
      <c r="P4852" t="str">
        <f>IFERROR(__xludf.DUMMYFUNCTION("""COMPUTED_VALUE"""),"ID ")</f>
        <v>ID </v>
      </c>
    </row>
    <row r="4853">
      <c r="A4853" s="6" t="str">
        <f>IFERROR(__xludf.DUMMYFUNCTION("""COMPUTED_VALUE"""),"")</f>
        <v/>
      </c>
      <c r="C4853" t="str">
        <f>IFERROR(__xludf.DUMMYFUNCTION("""COMPUTED_VALUE"""),"")</f>
        <v/>
      </c>
      <c r="D4853" t="str">
        <f>IFERROR(__xludf.DUMMYFUNCTION("""COMPUTED_VALUE"""),"")</f>
        <v/>
      </c>
      <c r="E4853" t="str">
        <f>IFERROR(__xludf.DUMMYFUNCTION("""COMPUTED_VALUE"""),"")</f>
        <v/>
      </c>
      <c r="F4853" t="str">
        <f>IFERROR(__xludf.DUMMYFUNCTION("""COMPUTED_VALUE"""),"")</f>
        <v/>
      </c>
      <c r="G4853" t="str">
        <f>IFERROR(__xludf.DUMMYFUNCTION("""COMPUTED_VALUE"""),"")</f>
        <v/>
      </c>
      <c r="H4853" s="2" t="str">
        <f>IFERROR(__xludf.DUMMYFUNCTION("""COMPUTED_VALUE"""),"")</f>
        <v/>
      </c>
      <c r="I4853" s="2" t="str">
        <f>IFERROR(__xludf.DUMMYFUNCTION("""COMPUTED_VALUE"""),"")</f>
        <v/>
      </c>
      <c r="J4853" s="2">
        <f>IFERROR(__xludf.DUMMYFUNCTION("""COMPUTED_VALUE"""),0.0)</f>
        <v>0</v>
      </c>
      <c r="K4853" s="5" t="str">
        <f>IFERROR(__xludf.DUMMYFUNCTION("""COMPUTED_VALUE"""),"")</f>
        <v/>
      </c>
      <c r="L4853" t="str">
        <f>IFERROR(__xludf.DUMMYFUNCTION("""COMPUTED_VALUE"""),"")</f>
        <v/>
      </c>
      <c r="M4853" t="str">
        <f>IFERROR(__xludf.DUMMYFUNCTION("""COMPUTED_VALUE"""),"")</f>
        <v/>
      </c>
      <c r="N4853" t="str">
        <f>IFERROR(__xludf.DUMMYFUNCTION("""COMPUTED_VALUE"""),"")</f>
        <v/>
      </c>
      <c r="O4853" t="str">
        <f>IFERROR(__xludf.DUMMYFUNCTION("""COMPUTED_VALUE"""),"")</f>
        <v/>
      </c>
      <c r="P4853" t="str">
        <f>IFERROR(__xludf.DUMMYFUNCTION("""COMPUTED_VALUE"""),"ID ")</f>
        <v>ID </v>
      </c>
    </row>
    <row r="4854">
      <c r="A4854" s="6" t="str">
        <f>IFERROR(__xludf.DUMMYFUNCTION("""COMPUTED_VALUE"""),"")</f>
        <v/>
      </c>
      <c r="C4854" t="str">
        <f>IFERROR(__xludf.DUMMYFUNCTION("""COMPUTED_VALUE"""),"")</f>
        <v/>
      </c>
      <c r="D4854" t="str">
        <f>IFERROR(__xludf.DUMMYFUNCTION("""COMPUTED_VALUE"""),"")</f>
        <v/>
      </c>
      <c r="E4854" t="str">
        <f>IFERROR(__xludf.DUMMYFUNCTION("""COMPUTED_VALUE"""),"")</f>
        <v/>
      </c>
      <c r="F4854" t="str">
        <f>IFERROR(__xludf.DUMMYFUNCTION("""COMPUTED_VALUE"""),"")</f>
        <v/>
      </c>
      <c r="G4854" t="str">
        <f>IFERROR(__xludf.DUMMYFUNCTION("""COMPUTED_VALUE"""),"")</f>
        <v/>
      </c>
      <c r="H4854" s="2" t="str">
        <f>IFERROR(__xludf.DUMMYFUNCTION("""COMPUTED_VALUE"""),"")</f>
        <v/>
      </c>
      <c r="I4854" s="2" t="str">
        <f>IFERROR(__xludf.DUMMYFUNCTION("""COMPUTED_VALUE"""),"")</f>
        <v/>
      </c>
      <c r="J4854" s="2">
        <f>IFERROR(__xludf.DUMMYFUNCTION("""COMPUTED_VALUE"""),0.0)</f>
        <v>0</v>
      </c>
      <c r="K4854" s="5" t="str">
        <f>IFERROR(__xludf.DUMMYFUNCTION("""COMPUTED_VALUE"""),"")</f>
        <v/>
      </c>
      <c r="L4854" t="str">
        <f>IFERROR(__xludf.DUMMYFUNCTION("""COMPUTED_VALUE"""),"")</f>
        <v/>
      </c>
      <c r="M4854" t="str">
        <f>IFERROR(__xludf.DUMMYFUNCTION("""COMPUTED_VALUE"""),"")</f>
        <v/>
      </c>
      <c r="N4854" t="str">
        <f>IFERROR(__xludf.DUMMYFUNCTION("""COMPUTED_VALUE"""),"")</f>
        <v/>
      </c>
      <c r="O4854" t="str">
        <f>IFERROR(__xludf.DUMMYFUNCTION("""COMPUTED_VALUE"""),"")</f>
        <v/>
      </c>
      <c r="P4854" t="str">
        <f>IFERROR(__xludf.DUMMYFUNCTION("""COMPUTED_VALUE"""),"ID ")</f>
        <v>ID </v>
      </c>
    </row>
    <row r="4855">
      <c r="A4855" s="6" t="str">
        <f>IFERROR(__xludf.DUMMYFUNCTION("""COMPUTED_VALUE"""),"")</f>
        <v/>
      </c>
      <c r="C4855" t="str">
        <f>IFERROR(__xludf.DUMMYFUNCTION("""COMPUTED_VALUE"""),"")</f>
        <v/>
      </c>
      <c r="D4855" t="str">
        <f>IFERROR(__xludf.DUMMYFUNCTION("""COMPUTED_VALUE"""),"")</f>
        <v/>
      </c>
      <c r="E4855" t="str">
        <f>IFERROR(__xludf.DUMMYFUNCTION("""COMPUTED_VALUE"""),"")</f>
        <v/>
      </c>
      <c r="F4855" t="str">
        <f>IFERROR(__xludf.DUMMYFUNCTION("""COMPUTED_VALUE"""),"")</f>
        <v/>
      </c>
      <c r="G4855" t="str">
        <f>IFERROR(__xludf.DUMMYFUNCTION("""COMPUTED_VALUE"""),"")</f>
        <v/>
      </c>
      <c r="H4855" s="2" t="str">
        <f>IFERROR(__xludf.DUMMYFUNCTION("""COMPUTED_VALUE"""),"")</f>
        <v/>
      </c>
      <c r="I4855" s="2" t="str">
        <f>IFERROR(__xludf.DUMMYFUNCTION("""COMPUTED_VALUE"""),"")</f>
        <v/>
      </c>
      <c r="J4855" s="2">
        <f>IFERROR(__xludf.DUMMYFUNCTION("""COMPUTED_VALUE"""),0.0)</f>
        <v>0</v>
      </c>
      <c r="K4855" s="5" t="str">
        <f>IFERROR(__xludf.DUMMYFUNCTION("""COMPUTED_VALUE"""),"")</f>
        <v/>
      </c>
      <c r="L4855" t="str">
        <f>IFERROR(__xludf.DUMMYFUNCTION("""COMPUTED_VALUE"""),"")</f>
        <v/>
      </c>
      <c r="M4855" t="str">
        <f>IFERROR(__xludf.DUMMYFUNCTION("""COMPUTED_VALUE"""),"")</f>
        <v/>
      </c>
      <c r="N4855" t="str">
        <f>IFERROR(__xludf.DUMMYFUNCTION("""COMPUTED_VALUE"""),"")</f>
        <v/>
      </c>
      <c r="O4855" t="str">
        <f>IFERROR(__xludf.DUMMYFUNCTION("""COMPUTED_VALUE"""),"")</f>
        <v/>
      </c>
      <c r="P4855" t="str">
        <f>IFERROR(__xludf.DUMMYFUNCTION("""COMPUTED_VALUE"""),"ID ")</f>
        <v>ID </v>
      </c>
    </row>
    <row r="4856">
      <c r="A4856" s="6" t="str">
        <f>IFERROR(__xludf.DUMMYFUNCTION("""COMPUTED_VALUE"""),"")</f>
        <v/>
      </c>
      <c r="C4856" t="str">
        <f>IFERROR(__xludf.DUMMYFUNCTION("""COMPUTED_VALUE"""),"")</f>
        <v/>
      </c>
      <c r="D4856" t="str">
        <f>IFERROR(__xludf.DUMMYFUNCTION("""COMPUTED_VALUE"""),"")</f>
        <v/>
      </c>
      <c r="E4856" t="str">
        <f>IFERROR(__xludf.DUMMYFUNCTION("""COMPUTED_VALUE"""),"")</f>
        <v/>
      </c>
      <c r="F4856" t="str">
        <f>IFERROR(__xludf.DUMMYFUNCTION("""COMPUTED_VALUE"""),"")</f>
        <v/>
      </c>
      <c r="G4856" t="str">
        <f>IFERROR(__xludf.DUMMYFUNCTION("""COMPUTED_VALUE"""),"")</f>
        <v/>
      </c>
      <c r="H4856" s="2" t="str">
        <f>IFERROR(__xludf.DUMMYFUNCTION("""COMPUTED_VALUE"""),"")</f>
        <v/>
      </c>
      <c r="I4856" s="2" t="str">
        <f>IFERROR(__xludf.DUMMYFUNCTION("""COMPUTED_VALUE"""),"")</f>
        <v/>
      </c>
      <c r="J4856" s="2">
        <f>IFERROR(__xludf.DUMMYFUNCTION("""COMPUTED_VALUE"""),0.0)</f>
        <v>0</v>
      </c>
      <c r="K4856" s="5" t="str">
        <f>IFERROR(__xludf.DUMMYFUNCTION("""COMPUTED_VALUE"""),"")</f>
        <v/>
      </c>
      <c r="L4856" t="str">
        <f>IFERROR(__xludf.DUMMYFUNCTION("""COMPUTED_VALUE"""),"")</f>
        <v/>
      </c>
      <c r="M4856" t="str">
        <f>IFERROR(__xludf.DUMMYFUNCTION("""COMPUTED_VALUE"""),"")</f>
        <v/>
      </c>
      <c r="N4856" t="str">
        <f>IFERROR(__xludf.DUMMYFUNCTION("""COMPUTED_VALUE"""),"")</f>
        <v/>
      </c>
      <c r="O4856" t="str">
        <f>IFERROR(__xludf.DUMMYFUNCTION("""COMPUTED_VALUE"""),"")</f>
        <v/>
      </c>
      <c r="P4856" t="str">
        <f>IFERROR(__xludf.DUMMYFUNCTION("""COMPUTED_VALUE"""),"ID ")</f>
        <v>ID </v>
      </c>
    </row>
    <row r="4857">
      <c r="A4857" s="6" t="str">
        <f>IFERROR(__xludf.DUMMYFUNCTION("""COMPUTED_VALUE"""),"")</f>
        <v/>
      </c>
      <c r="C4857" t="str">
        <f>IFERROR(__xludf.DUMMYFUNCTION("""COMPUTED_VALUE"""),"")</f>
        <v/>
      </c>
      <c r="D4857" t="str">
        <f>IFERROR(__xludf.DUMMYFUNCTION("""COMPUTED_VALUE"""),"")</f>
        <v/>
      </c>
      <c r="E4857" t="str">
        <f>IFERROR(__xludf.DUMMYFUNCTION("""COMPUTED_VALUE"""),"")</f>
        <v/>
      </c>
      <c r="F4857" t="str">
        <f>IFERROR(__xludf.DUMMYFUNCTION("""COMPUTED_VALUE"""),"")</f>
        <v/>
      </c>
      <c r="G4857" t="str">
        <f>IFERROR(__xludf.DUMMYFUNCTION("""COMPUTED_VALUE"""),"")</f>
        <v/>
      </c>
      <c r="H4857" s="2" t="str">
        <f>IFERROR(__xludf.DUMMYFUNCTION("""COMPUTED_VALUE"""),"")</f>
        <v/>
      </c>
      <c r="I4857" s="2" t="str">
        <f>IFERROR(__xludf.DUMMYFUNCTION("""COMPUTED_VALUE"""),"")</f>
        <v/>
      </c>
      <c r="J4857" s="2">
        <f>IFERROR(__xludf.DUMMYFUNCTION("""COMPUTED_VALUE"""),0.0)</f>
        <v>0</v>
      </c>
      <c r="K4857" s="5" t="str">
        <f>IFERROR(__xludf.DUMMYFUNCTION("""COMPUTED_VALUE"""),"")</f>
        <v/>
      </c>
      <c r="L4857" t="str">
        <f>IFERROR(__xludf.DUMMYFUNCTION("""COMPUTED_VALUE"""),"")</f>
        <v/>
      </c>
      <c r="M4857" t="str">
        <f>IFERROR(__xludf.DUMMYFUNCTION("""COMPUTED_VALUE"""),"")</f>
        <v/>
      </c>
      <c r="N4857" t="str">
        <f>IFERROR(__xludf.DUMMYFUNCTION("""COMPUTED_VALUE"""),"")</f>
        <v/>
      </c>
      <c r="O4857" t="str">
        <f>IFERROR(__xludf.DUMMYFUNCTION("""COMPUTED_VALUE"""),"")</f>
        <v/>
      </c>
      <c r="P4857" t="str">
        <f>IFERROR(__xludf.DUMMYFUNCTION("""COMPUTED_VALUE"""),"ID ")</f>
        <v>ID </v>
      </c>
    </row>
    <row r="4858">
      <c r="A4858" s="6" t="str">
        <f>IFERROR(__xludf.DUMMYFUNCTION("""COMPUTED_VALUE"""),"")</f>
        <v/>
      </c>
      <c r="C4858" t="str">
        <f>IFERROR(__xludf.DUMMYFUNCTION("""COMPUTED_VALUE"""),"")</f>
        <v/>
      </c>
      <c r="D4858" t="str">
        <f>IFERROR(__xludf.DUMMYFUNCTION("""COMPUTED_VALUE"""),"")</f>
        <v/>
      </c>
      <c r="E4858" t="str">
        <f>IFERROR(__xludf.DUMMYFUNCTION("""COMPUTED_VALUE"""),"")</f>
        <v/>
      </c>
      <c r="F4858" t="str">
        <f>IFERROR(__xludf.DUMMYFUNCTION("""COMPUTED_VALUE"""),"")</f>
        <v/>
      </c>
      <c r="G4858" t="str">
        <f>IFERROR(__xludf.DUMMYFUNCTION("""COMPUTED_VALUE"""),"")</f>
        <v/>
      </c>
      <c r="H4858" s="2" t="str">
        <f>IFERROR(__xludf.DUMMYFUNCTION("""COMPUTED_VALUE"""),"")</f>
        <v/>
      </c>
      <c r="I4858" s="2" t="str">
        <f>IFERROR(__xludf.DUMMYFUNCTION("""COMPUTED_VALUE"""),"")</f>
        <v/>
      </c>
      <c r="J4858" s="2">
        <f>IFERROR(__xludf.DUMMYFUNCTION("""COMPUTED_VALUE"""),0.0)</f>
        <v>0</v>
      </c>
      <c r="K4858" s="5" t="str">
        <f>IFERROR(__xludf.DUMMYFUNCTION("""COMPUTED_VALUE"""),"")</f>
        <v/>
      </c>
      <c r="L4858" t="str">
        <f>IFERROR(__xludf.DUMMYFUNCTION("""COMPUTED_VALUE"""),"")</f>
        <v/>
      </c>
      <c r="M4858" t="str">
        <f>IFERROR(__xludf.DUMMYFUNCTION("""COMPUTED_VALUE"""),"")</f>
        <v/>
      </c>
      <c r="N4858" t="str">
        <f>IFERROR(__xludf.DUMMYFUNCTION("""COMPUTED_VALUE"""),"")</f>
        <v/>
      </c>
      <c r="O4858" t="str">
        <f>IFERROR(__xludf.DUMMYFUNCTION("""COMPUTED_VALUE"""),"")</f>
        <v/>
      </c>
      <c r="P4858" t="str">
        <f>IFERROR(__xludf.DUMMYFUNCTION("""COMPUTED_VALUE"""),"ID ")</f>
        <v>ID </v>
      </c>
    </row>
    <row r="4859">
      <c r="A4859" s="6" t="str">
        <f>IFERROR(__xludf.DUMMYFUNCTION("""COMPUTED_VALUE"""),"")</f>
        <v/>
      </c>
      <c r="C4859" t="str">
        <f>IFERROR(__xludf.DUMMYFUNCTION("""COMPUTED_VALUE"""),"")</f>
        <v/>
      </c>
      <c r="D4859" t="str">
        <f>IFERROR(__xludf.DUMMYFUNCTION("""COMPUTED_VALUE"""),"")</f>
        <v/>
      </c>
      <c r="E4859" t="str">
        <f>IFERROR(__xludf.DUMMYFUNCTION("""COMPUTED_VALUE"""),"")</f>
        <v/>
      </c>
      <c r="F4859" t="str">
        <f>IFERROR(__xludf.DUMMYFUNCTION("""COMPUTED_VALUE"""),"")</f>
        <v/>
      </c>
      <c r="G4859" t="str">
        <f>IFERROR(__xludf.DUMMYFUNCTION("""COMPUTED_VALUE"""),"")</f>
        <v/>
      </c>
      <c r="H4859" s="2" t="str">
        <f>IFERROR(__xludf.DUMMYFUNCTION("""COMPUTED_VALUE"""),"")</f>
        <v/>
      </c>
      <c r="I4859" s="2" t="str">
        <f>IFERROR(__xludf.DUMMYFUNCTION("""COMPUTED_VALUE"""),"")</f>
        <v/>
      </c>
      <c r="J4859" s="2">
        <f>IFERROR(__xludf.DUMMYFUNCTION("""COMPUTED_VALUE"""),0.0)</f>
        <v>0</v>
      </c>
      <c r="K4859" s="5" t="str">
        <f>IFERROR(__xludf.DUMMYFUNCTION("""COMPUTED_VALUE"""),"")</f>
        <v/>
      </c>
      <c r="L4859" t="str">
        <f>IFERROR(__xludf.DUMMYFUNCTION("""COMPUTED_VALUE"""),"")</f>
        <v/>
      </c>
      <c r="M4859" t="str">
        <f>IFERROR(__xludf.DUMMYFUNCTION("""COMPUTED_VALUE"""),"")</f>
        <v/>
      </c>
      <c r="N4859" t="str">
        <f>IFERROR(__xludf.DUMMYFUNCTION("""COMPUTED_VALUE"""),"")</f>
        <v/>
      </c>
      <c r="O4859" t="str">
        <f>IFERROR(__xludf.DUMMYFUNCTION("""COMPUTED_VALUE"""),"")</f>
        <v/>
      </c>
      <c r="P4859" t="str">
        <f>IFERROR(__xludf.DUMMYFUNCTION("""COMPUTED_VALUE"""),"ID ")</f>
        <v>ID </v>
      </c>
    </row>
    <row r="4860">
      <c r="A4860" s="6" t="str">
        <f>IFERROR(__xludf.DUMMYFUNCTION("""COMPUTED_VALUE"""),"")</f>
        <v/>
      </c>
      <c r="C4860" t="str">
        <f>IFERROR(__xludf.DUMMYFUNCTION("""COMPUTED_VALUE"""),"")</f>
        <v/>
      </c>
      <c r="D4860" t="str">
        <f>IFERROR(__xludf.DUMMYFUNCTION("""COMPUTED_VALUE"""),"")</f>
        <v/>
      </c>
      <c r="E4860" t="str">
        <f>IFERROR(__xludf.DUMMYFUNCTION("""COMPUTED_VALUE"""),"")</f>
        <v/>
      </c>
      <c r="F4860" t="str">
        <f>IFERROR(__xludf.DUMMYFUNCTION("""COMPUTED_VALUE"""),"")</f>
        <v/>
      </c>
      <c r="G4860" t="str">
        <f>IFERROR(__xludf.DUMMYFUNCTION("""COMPUTED_VALUE"""),"")</f>
        <v/>
      </c>
      <c r="H4860" s="2" t="str">
        <f>IFERROR(__xludf.DUMMYFUNCTION("""COMPUTED_VALUE"""),"")</f>
        <v/>
      </c>
      <c r="I4860" s="2" t="str">
        <f>IFERROR(__xludf.DUMMYFUNCTION("""COMPUTED_VALUE"""),"")</f>
        <v/>
      </c>
      <c r="J4860" s="2">
        <f>IFERROR(__xludf.DUMMYFUNCTION("""COMPUTED_VALUE"""),0.0)</f>
        <v>0</v>
      </c>
      <c r="K4860" s="5" t="str">
        <f>IFERROR(__xludf.DUMMYFUNCTION("""COMPUTED_VALUE"""),"")</f>
        <v/>
      </c>
      <c r="L4860" t="str">
        <f>IFERROR(__xludf.DUMMYFUNCTION("""COMPUTED_VALUE"""),"")</f>
        <v/>
      </c>
      <c r="M4860" t="str">
        <f>IFERROR(__xludf.DUMMYFUNCTION("""COMPUTED_VALUE"""),"")</f>
        <v/>
      </c>
      <c r="N4860" t="str">
        <f>IFERROR(__xludf.DUMMYFUNCTION("""COMPUTED_VALUE"""),"")</f>
        <v/>
      </c>
      <c r="O4860" t="str">
        <f>IFERROR(__xludf.DUMMYFUNCTION("""COMPUTED_VALUE"""),"")</f>
        <v/>
      </c>
      <c r="P4860" t="str">
        <f>IFERROR(__xludf.DUMMYFUNCTION("""COMPUTED_VALUE"""),"ID ")</f>
        <v>ID </v>
      </c>
    </row>
    <row r="4861">
      <c r="A4861" s="6" t="str">
        <f>IFERROR(__xludf.DUMMYFUNCTION("""COMPUTED_VALUE"""),"")</f>
        <v/>
      </c>
      <c r="C4861" t="str">
        <f>IFERROR(__xludf.DUMMYFUNCTION("""COMPUTED_VALUE"""),"")</f>
        <v/>
      </c>
      <c r="D4861" t="str">
        <f>IFERROR(__xludf.DUMMYFUNCTION("""COMPUTED_VALUE"""),"")</f>
        <v/>
      </c>
      <c r="E4861" t="str">
        <f>IFERROR(__xludf.DUMMYFUNCTION("""COMPUTED_VALUE"""),"")</f>
        <v/>
      </c>
      <c r="F4861" t="str">
        <f>IFERROR(__xludf.DUMMYFUNCTION("""COMPUTED_VALUE"""),"")</f>
        <v/>
      </c>
      <c r="G4861" t="str">
        <f>IFERROR(__xludf.DUMMYFUNCTION("""COMPUTED_VALUE"""),"")</f>
        <v/>
      </c>
      <c r="H4861" s="2" t="str">
        <f>IFERROR(__xludf.DUMMYFUNCTION("""COMPUTED_VALUE"""),"")</f>
        <v/>
      </c>
      <c r="I4861" s="2" t="str">
        <f>IFERROR(__xludf.DUMMYFUNCTION("""COMPUTED_VALUE"""),"")</f>
        <v/>
      </c>
      <c r="J4861" s="2">
        <f>IFERROR(__xludf.DUMMYFUNCTION("""COMPUTED_VALUE"""),0.0)</f>
        <v>0</v>
      </c>
      <c r="K4861" s="5" t="str">
        <f>IFERROR(__xludf.DUMMYFUNCTION("""COMPUTED_VALUE"""),"")</f>
        <v/>
      </c>
      <c r="L4861" t="str">
        <f>IFERROR(__xludf.DUMMYFUNCTION("""COMPUTED_VALUE"""),"")</f>
        <v/>
      </c>
      <c r="M4861" t="str">
        <f>IFERROR(__xludf.DUMMYFUNCTION("""COMPUTED_VALUE"""),"")</f>
        <v/>
      </c>
      <c r="N4861" t="str">
        <f>IFERROR(__xludf.DUMMYFUNCTION("""COMPUTED_VALUE"""),"")</f>
        <v/>
      </c>
      <c r="O4861" t="str">
        <f>IFERROR(__xludf.DUMMYFUNCTION("""COMPUTED_VALUE"""),"")</f>
        <v/>
      </c>
      <c r="P4861" t="str">
        <f>IFERROR(__xludf.DUMMYFUNCTION("""COMPUTED_VALUE"""),"ID ")</f>
        <v>ID </v>
      </c>
    </row>
    <row r="4862">
      <c r="A4862" s="6" t="str">
        <f>IFERROR(__xludf.DUMMYFUNCTION("""COMPUTED_VALUE"""),"")</f>
        <v/>
      </c>
      <c r="C4862" t="str">
        <f>IFERROR(__xludf.DUMMYFUNCTION("""COMPUTED_VALUE"""),"")</f>
        <v/>
      </c>
      <c r="D4862" t="str">
        <f>IFERROR(__xludf.DUMMYFUNCTION("""COMPUTED_VALUE"""),"")</f>
        <v/>
      </c>
      <c r="E4862" t="str">
        <f>IFERROR(__xludf.DUMMYFUNCTION("""COMPUTED_VALUE"""),"")</f>
        <v/>
      </c>
      <c r="F4862" t="str">
        <f>IFERROR(__xludf.DUMMYFUNCTION("""COMPUTED_VALUE"""),"")</f>
        <v/>
      </c>
      <c r="G4862" t="str">
        <f>IFERROR(__xludf.DUMMYFUNCTION("""COMPUTED_VALUE"""),"")</f>
        <v/>
      </c>
      <c r="H4862" s="2" t="str">
        <f>IFERROR(__xludf.DUMMYFUNCTION("""COMPUTED_VALUE"""),"")</f>
        <v/>
      </c>
      <c r="I4862" s="2" t="str">
        <f>IFERROR(__xludf.DUMMYFUNCTION("""COMPUTED_VALUE"""),"")</f>
        <v/>
      </c>
      <c r="J4862" s="2">
        <f>IFERROR(__xludf.DUMMYFUNCTION("""COMPUTED_VALUE"""),0.0)</f>
        <v>0</v>
      </c>
      <c r="K4862" s="5" t="str">
        <f>IFERROR(__xludf.DUMMYFUNCTION("""COMPUTED_VALUE"""),"")</f>
        <v/>
      </c>
      <c r="L4862" t="str">
        <f>IFERROR(__xludf.DUMMYFUNCTION("""COMPUTED_VALUE"""),"")</f>
        <v/>
      </c>
      <c r="M4862" t="str">
        <f>IFERROR(__xludf.DUMMYFUNCTION("""COMPUTED_VALUE"""),"")</f>
        <v/>
      </c>
      <c r="N4862" t="str">
        <f>IFERROR(__xludf.DUMMYFUNCTION("""COMPUTED_VALUE"""),"")</f>
        <v/>
      </c>
      <c r="O4862" t="str">
        <f>IFERROR(__xludf.DUMMYFUNCTION("""COMPUTED_VALUE"""),"")</f>
        <v/>
      </c>
      <c r="P4862" t="str">
        <f>IFERROR(__xludf.DUMMYFUNCTION("""COMPUTED_VALUE"""),"ID ")</f>
        <v>ID </v>
      </c>
    </row>
    <row r="4863">
      <c r="A4863" s="6" t="str">
        <f>IFERROR(__xludf.DUMMYFUNCTION("""COMPUTED_VALUE"""),"")</f>
        <v/>
      </c>
      <c r="C4863" t="str">
        <f>IFERROR(__xludf.DUMMYFUNCTION("""COMPUTED_VALUE"""),"")</f>
        <v/>
      </c>
      <c r="D4863" t="str">
        <f>IFERROR(__xludf.DUMMYFUNCTION("""COMPUTED_VALUE"""),"")</f>
        <v/>
      </c>
      <c r="E4863" t="str">
        <f>IFERROR(__xludf.DUMMYFUNCTION("""COMPUTED_VALUE"""),"")</f>
        <v/>
      </c>
      <c r="F4863" t="str">
        <f>IFERROR(__xludf.DUMMYFUNCTION("""COMPUTED_VALUE"""),"")</f>
        <v/>
      </c>
      <c r="G4863" t="str">
        <f>IFERROR(__xludf.DUMMYFUNCTION("""COMPUTED_VALUE"""),"")</f>
        <v/>
      </c>
      <c r="H4863" s="2" t="str">
        <f>IFERROR(__xludf.DUMMYFUNCTION("""COMPUTED_VALUE"""),"")</f>
        <v/>
      </c>
      <c r="I4863" s="2" t="str">
        <f>IFERROR(__xludf.DUMMYFUNCTION("""COMPUTED_VALUE"""),"")</f>
        <v/>
      </c>
      <c r="J4863" s="2">
        <f>IFERROR(__xludf.DUMMYFUNCTION("""COMPUTED_VALUE"""),0.0)</f>
        <v>0</v>
      </c>
      <c r="K4863" s="5" t="str">
        <f>IFERROR(__xludf.DUMMYFUNCTION("""COMPUTED_VALUE"""),"")</f>
        <v/>
      </c>
      <c r="L4863" t="str">
        <f>IFERROR(__xludf.DUMMYFUNCTION("""COMPUTED_VALUE"""),"")</f>
        <v/>
      </c>
      <c r="M4863" t="str">
        <f>IFERROR(__xludf.DUMMYFUNCTION("""COMPUTED_VALUE"""),"")</f>
        <v/>
      </c>
      <c r="N4863" t="str">
        <f>IFERROR(__xludf.DUMMYFUNCTION("""COMPUTED_VALUE"""),"")</f>
        <v/>
      </c>
      <c r="O4863" t="str">
        <f>IFERROR(__xludf.DUMMYFUNCTION("""COMPUTED_VALUE"""),"")</f>
        <v/>
      </c>
      <c r="P4863" t="str">
        <f>IFERROR(__xludf.DUMMYFUNCTION("""COMPUTED_VALUE"""),"ID ")</f>
        <v>ID </v>
      </c>
    </row>
    <row r="4864">
      <c r="A4864" s="6" t="str">
        <f>IFERROR(__xludf.DUMMYFUNCTION("""COMPUTED_VALUE"""),"")</f>
        <v/>
      </c>
      <c r="C4864" t="str">
        <f>IFERROR(__xludf.DUMMYFUNCTION("""COMPUTED_VALUE"""),"")</f>
        <v/>
      </c>
      <c r="D4864" t="str">
        <f>IFERROR(__xludf.DUMMYFUNCTION("""COMPUTED_VALUE"""),"")</f>
        <v/>
      </c>
      <c r="E4864" t="str">
        <f>IFERROR(__xludf.DUMMYFUNCTION("""COMPUTED_VALUE"""),"")</f>
        <v/>
      </c>
      <c r="F4864" t="str">
        <f>IFERROR(__xludf.DUMMYFUNCTION("""COMPUTED_VALUE"""),"")</f>
        <v/>
      </c>
      <c r="G4864" t="str">
        <f>IFERROR(__xludf.DUMMYFUNCTION("""COMPUTED_VALUE"""),"")</f>
        <v/>
      </c>
      <c r="H4864" s="2" t="str">
        <f>IFERROR(__xludf.DUMMYFUNCTION("""COMPUTED_VALUE"""),"")</f>
        <v/>
      </c>
      <c r="I4864" s="2" t="str">
        <f>IFERROR(__xludf.DUMMYFUNCTION("""COMPUTED_VALUE"""),"")</f>
        <v/>
      </c>
      <c r="J4864" s="2">
        <f>IFERROR(__xludf.DUMMYFUNCTION("""COMPUTED_VALUE"""),0.0)</f>
        <v>0</v>
      </c>
      <c r="K4864" s="5" t="str">
        <f>IFERROR(__xludf.DUMMYFUNCTION("""COMPUTED_VALUE"""),"")</f>
        <v/>
      </c>
      <c r="L4864" t="str">
        <f>IFERROR(__xludf.DUMMYFUNCTION("""COMPUTED_VALUE"""),"")</f>
        <v/>
      </c>
      <c r="M4864" t="str">
        <f>IFERROR(__xludf.DUMMYFUNCTION("""COMPUTED_VALUE"""),"")</f>
        <v/>
      </c>
      <c r="N4864" t="str">
        <f>IFERROR(__xludf.DUMMYFUNCTION("""COMPUTED_VALUE"""),"")</f>
        <v/>
      </c>
      <c r="O4864" t="str">
        <f>IFERROR(__xludf.DUMMYFUNCTION("""COMPUTED_VALUE"""),"")</f>
        <v/>
      </c>
      <c r="P4864" t="str">
        <f>IFERROR(__xludf.DUMMYFUNCTION("""COMPUTED_VALUE"""),"ID ")</f>
        <v>ID </v>
      </c>
    </row>
    <row r="4865">
      <c r="A4865" s="6" t="str">
        <f>IFERROR(__xludf.DUMMYFUNCTION("""COMPUTED_VALUE"""),"")</f>
        <v/>
      </c>
      <c r="C4865" t="str">
        <f>IFERROR(__xludf.DUMMYFUNCTION("""COMPUTED_VALUE"""),"")</f>
        <v/>
      </c>
      <c r="D4865" t="str">
        <f>IFERROR(__xludf.DUMMYFUNCTION("""COMPUTED_VALUE"""),"")</f>
        <v/>
      </c>
      <c r="E4865" t="str">
        <f>IFERROR(__xludf.DUMMYFUNCTION("""COMPUTED_VALUE"""),"")</f>
        <v/>
      </c>
      <c r="F4865" t="str">
        <f>IFERROR(__xludf.DUMMYFUNCTION("""COMPUTED_VALUE"""),"")</f>
        <v/>
      </c>
      <c r="G4865" t="str">
        <f>IFERROR(__xludf.DUMMYFUNCTION("""COMPUTED_VALUE"""),"")</f>
        <v/>
      </c>
      <c r="H4865" s="2" t="str">
        <f>IFERROR(__xludf.DUMMYFUNCTION("""COMPUTED_VALUE"""),"")</f>
        <v/>
      </c>
      <c r="I4865" s="2" t="str">
        <f>IFERROR(__xludf.DUMMYFUNCTION("""COMPUTED_VALUE"""),"")</f>
        <v/>
      </c>
      <c r="J4865" s="2">
        <f>IFERROR(__xludf.DUMMYFUNCTION("""COMPUTED_VALUE"""),0.0)</f>
        <v>0</v>
      </c>
      <c r="K4865" s="5" t="str">
        <f>IFERROR(__xludf.DUMMYFUNCTION("""COMPUTED_VALUE"""),"")</f>
        <v/>
      </c>
      <c r="L4865" t="str">
        <f>IFERROR(__xludf.DUMMYFUNCTION("""COMPUTED_VALUE"""),"")</f>
        <v/>
      </c>
      <c r="M4865" t="str">
        <f>IFERROR(__xludf.DUMMYFUNCTION("""COMPUTED_VALUE"""),"")</f>
        <v/>
      </c>
      <c r="N4865" t="str">
        <f>IFERROR(__xludf.DUMMYFUNCTION("""COMPUTED_VALUE"""),"")</f>
        <v/>
      </c>
      <c r="O4865" t="str">
        <f>IFERROR(__xludf.DUMMYFUNCTION("""COMPUTED_VALUE"""),"")</f>
        <v/>
      </c>
      <c r="P4865" t="str">
        <f>IFERROR(__xludf.DUMMYFUNCTION("""COMPUTED_VALUE"""),"ID ")</f>
        <v>ID </v>
      </c>
    </row>
    <row r="4866">
      <c r="A4866" s="6" t="str">
        <f>IFERROR(__xludf.DUMMYFUNCTION("""COMPUTED_VALUE"""),"")</f>
        <v/>
      </c>
      <c r="C4866" t="str">
        <f>IFERROR(__xludf.DUMMYFUNCTION("""COMPUTED_VALUE"""),"")</f>
        <v/>
      </c>
      <c r="D4866" t="str">
        <f>IFERROR(__xludf.DUMMYFUNCTION("""COMPUTED_VALUE"""),"")</f>
        <v/>
      </c>
      <c r="E4866" t="str">
        <f>IFERROR(__xludf.DUMMYFUNCTION("""COMPUTED_VALUE"""),"")</f>
        <v/>
      </c>
      <c r="F4866" t="str">
        <f>IFERROR(__xludf.DUMMYFUNCTION("""COMPUTED_VALUE"""),"")</f>
        <v/>
      </c>
      <c r="G4866" t="str">
        <f>IFERROR(__xludf.DUMMYFUNCTION("""COMPUTED_VALUE"""),"")</f>
        <v/>
      </c>
      <c r="H4866" s="2" t="str">
        <f>IFERROR(__xludf.DUMMYFUNCTION("""COMPUTED_VALUE"""),"")</f>
        <v/>
      </c>
      <c r="I4866" s="2" t="str">
        <f>IFERROR(__xludf.DUMMYFUNCTION("""COMPUTED_VALUE"""),"")</f>
        <v/>
      </c>
      <c r="J4866" s="2">
        <f>IFERROR(__xludf.DUMMYFUNCTION("""COMPUTED_VALUE"""),0.0)</f>
        <v>0</v>
      </c>
      <c r="K4866" s="5" t="str">
        <f>IFERROR(__xludf.DUMMYFUNCTION("""COMPUTED_VALUE"""),"")</f>
        <v/>
      </c>
      <c r="L4866" t="str">
        <f>IFERROR(__xludf.DUMMYFUNCTION("""COMPUTED_VALUE"""),"")</f>
        <v/>
      </c>
      <c r="M4866" t="str">
        <f>IFERROR(__xludf.DUMMYFUNCTION("""COMPUTED_VALUE"""),"")</f>
        <v/>
      </c>
      <c r="N4866" t="str">
        <f>IFERROR(__xludf.DUMMYFUNCTION("""COMPUTED_VALUE"""),"")</f>
        <v/>
      </c>
      <c r="O4866" t="str">
        <f>IFERROR(__xludf.DUMMYFUNCTION("""COMPUTED_VALUE"""),"")</f>
        <v/>
      </c>
      <c r="P4866" t="str">
        <f>IFERROR(__xludf.DUMMYFUNCTION("""COMPUTED_VALUE"""),"ID ")</f>
        <v>ID </v>
      </c>
    </row>
    <row r="4867">
      <c r="A4867" s="6" t="str">
        <f>IFERROR(__xludf.DUMMYFUNCTION("""COMPUTED_VALUE"""),"")</f>
        <v/>
      </c>
      <c r="C4867" t="str">
        <f>IFERROR(__xludf.DUMMYFUNCTION("""COMPUTED_VALUE"""),"")</f>
        <v/>
      </c>
      <c r="D4867" t="str">
        <f>IFERROR(__xludf.DUMMYFUNCTION("""COMPUTED_VALUE"""),"")</f>
        <v/>
      </c>
      <c r="E4867" t="str">
        <f>IFERROR(__xludf.DUMMYFUNCTION("""COMPUTED_VALUE"""),"")</f>
        <v/>
      </c>
      <c r="F4867" t="str">
        <f>IFERROR(__xludf.DUMMYFUNCTION("""COMPUTED_VALUE"""),"")</f>
        <v/>
      </c>
      <c r="G4867" t="str">
        <f>IFERROR(__xludf.DUMMYFUNCTION("""COMPUTED_VALUE"""),"")</f>
        <v/>
      </c>
      <c r="H4867" s="2" t="str">
        <f>IFERROR(__xludf.DUMMYFUNCTION("""COMPUTED_VALUE"""),"")</f>
        <v/>
      </c>
      <c r="I4867" s="2" t="str">
        <f>IFERROR(__xludf.DUMMYFUNCTION("""COMPUTED_VALUE"""),"")</f>
        <v/>
      </c>
      <c r="J4867" s="2">
        <f>IFERROR(__xludf.DUMMYFUNCTION("""COMPUTED_VALUE"""),0.0)</f>
        <v>0</v>
      </c>
      <c r="K4867" s="5" t="str">
        <f>IFERROR(__xludf.DUMMYFUNCTION("""COMPUTED_VALUE"""),"")</f>
        <v/>
      </c>
      <c r="L4867" t="str">
        <f>IFERROR(__xludf.DUMMYFUNCTION("""COMPUTED_VALUE"""),"")</f>
        <v/>
      </c>
      <c r="M4867" t="str">
        <f>IFERROR(__xludf.DUMMYFUNCTION("""COMPUTED_VALUE"""),"")</f>
        <v/>
      </c>
      <c r="N4867" t="str">
        <f>IFERROR(__xludf.DUMMYFUNCTION("""COMPUTED_VALUE"""),"")</f>
        <v/>
      </c>
      <c r="O4867" t="str">
        <f>IFERROR(__xludf.DUMMYFUNCTION("""COMPUTED_VALUE"""),"")</f>
        <v/>
      </c>
      <c r="P4867" t="str">
        <f>IFERROR(__xludf.DUMMYFUNCTION("""COMPUTED_VALUE"""),"ID ")</f>
        <v>ID </v>
      </c>
    </row>
    <row r="4868">
      <c r="A4868" s="6" t="str">
        <f>IFERROR(__xludf.DUMMYFUNCTION("""COMPUTED_VALUE"""),"")</f>
        <v/>
      </c>
      <c r="C4868" t="str">
        <f>IFERROR(__xludf.DUMMYFUNCTION("""COMPUTED_VALUE"""),"")</f>
        <v/>
      </c>
      <c r="D4868" t="str">
        <f>IFERROR(__xludf.DUMMYFUNCTION("""COMPUTED_VALUE"""),"")</f>
        <v/>
      </c>
      <c r="E4868" t="str">
        <f>IFERROR(__xludf.DUMMYFUNCTION("""COMPUTED_VALUE"""),"")</f>
        <v/>
      </c>
      <c r="F4868" t="str">
        <f>IFERROR(__xludf.DUMMYFUNCTION("""COMPUTED_VALUE"""),"")</f>
        <v/>
      </c>
      <c r="G4868" t="str">
        <f>IFERROR(__xludf.DUMMYFUNCTION("""COMPUTED_VALUE"""),"")</f>
        <v/>
      </c>
      <c r="H4868" s="2" t="str">
        <f>IFERROR(__xludf.DUMMYFUNCTION("""COMPUTED_VALUE"""),"")</f>
        <v/>
      </c>
      <c r="I4868" s="2" t="str">
        <f>IFERROR(__xludf.DUMMYFUNCTION("""COMPUTED_VALUE"""),"")</f>
        <v/>
      </c>
      <c r="J4868" s="2">
        <f>IFERROR(__xludf.DUMMYFUNCTION("""COMPUTED_VALUE"""),0.0)</f>
        <v>0</v>
      </c>
      <c r="K4868" s="5" t="str">
        <f>IFERROR(__xludf.DUMMYFUNCTION("""COMPUTED_VALUE"""),"")</f>
        <v/>
      </c>
      <c r="L4868" t="str">
        <f>IFERROR(__xludf.DUMMYFUNCTION("""COMPUTED_VALUE"""),"")</f>
        <v/>
      </c>
      <c r="M4868" t="str">
        <f>IFERROR(__xludf.DUMMYFUNCTION("""COMPUTED_VALUE"""),"")</f>
        <v/>
      </c>
      <c r="N4868" t="str">
        <f>IFERROR(__xludf.DUMMYFUNCTION("""COMPUTED_VALUE"""),"")</f>
        <v/>
      </c>
      <c r="O4868" t="str">
        <f>IFERROR(__xludf.DUMMYFUNCTION("""COMPUTED_VALUE"""),"")</f>
        <v/>
      </c>
      <c r="P4868" t="str">
        <f>IFERROR(__xludf.DUMMYFUNCTION("""COMPUTED_VALUE"""),"ID ")</f>
        <v>ID </v>
      </c>
    </row>
    <row r="4869">
      <c r="A4869" s="6" t="str">
        <f>IFERROR(__xludf.DUMMYFUNCTION("""COMPUTED_VALUE"""),"")</f>
        <v/>
      </c>
      <c r="C4869" t="str">
        <f>IFERROR(__xludf.DUMMYFUNCTION("""COMPUTED_VALUE"""),"")</f>
        <v/>
      </c>
      <c r="D4869" t="str">
        <f>IFERROR(__xludf.DUMMYFUNCTION("""COMPUTED_VALUE"""),"")</f>
        <v/>
      </c>
      <c r="E4869" t="str">
        <f>IFERROR(__xludf.DUMMYFUNCTION("""COMPUTED_VALUE"""),"")</f>
        <v/>
      </c>
      <c r="F4869" t="str">
        <f>IFERROR(__xludf.DUMMYFUNCTION("""COMPUTED_VALUE"""),"")</f>
        <v/>
      </c>
      <c r="G4869" t="str">
        <f>IFERROR(__xludf.DUMMYFUNCTION("""COMPUTED_VALUE"""),"")</f>
        <v/>
      </c>
      <c r="H4869" s="2" t="str">
        <f>IFERROR(__xludf.DUMMYFUNCTION("""COMPUTED_VALUE"""),"")</f>
        <v/>
      </c>
      <c r="I4869" s="2" t="str">
        <f>IFERROR(__xludf.DUMMYFUNCTION("""COMPUTED_VALUE"""),"")</f>
        <v/>
      </c>
      <c r="J4869" s="2">
        <f>IFERROR(__xludf.DUMMYFUNCTION("""COMPUTED_VALUE"""),0.0)</f>
        <v>0</v>
      </c>
      <c r="K4869" s="5" t="str">
        <f>IFERROR(__xludf.DUMMYFUNCTION("""COMPUTED_VALUE"""),"")</f>
        <v/>
      </c>
      <c r="L4869" t="str">
        <f>IFERROR(__xludf.DUMMYFUNCTION("""COMPUTED_VALUE"""),"")</f>
        <v/>
      </c>
      <c r="M4869" t="str">
        <f>IFERROR(__xludf.DUMMYFUNCTION("""COMPUTED_VALUE"""),"")</f>
        <v/>
      </c>
      <c r="N4869" t="str">
        <f>IFERROR(__xludf.DUMMYFUNCTION("""COMPUTED_VALUE"""),"")</f>
        <v/>
      </c>
      <c r="O4869" t="str">
        <f>IFERROR(__xludf.DUMMYFUNCTION("""COMPUTED_VALUE"""),"")</f>
        <v/>
      </c>
      <c r="P4869" t="str">
        <f>IFERROR(__xludf.DUMMYFUNCTION("""COMPUTED_VALUE"""),"ID ")</f>
        <v>ID </v>
      </c>
    </row>
    <row r="4870">
      <c r="A4870" s="6" t="str">
        <f>IFERROR(__xludf.DUMMYFUNCTION("""COMPUTED_VALUE"""),"")</f>
        <v/>
      </c>
      <c r="C4870" t="str">
        <f>IFERROR(__xludf.DUMMYFUNCTION("""COMPUTED_VALUE"""),"")</f>
        <v/>
      </c>
      <c r="D4870" t="str">
        <f>IFERROR(__xludf.DUMMYFUNCTION("""COMPUTED_VALUE"""),"")</f>
        <v/>
      </c>
      <c r="E4870" t="str">
        <f>IFERROR(__xludf.DUMMYFUNCTION("""COMPUTED_VALUE"""),"")</f>
        <v/>
      </c>
      <c r="F4870" t="str">
        <f>IFERROR(__xludf.DUMMYFUNCTION("""COMPUTED_VALUE"""),"")</f>
        <v/>
      </c>
      <c r="G4870" t="str">
        <f>IFERROR(__xludf.DUMMYFUNCTION("""COMPUTED_VALUE"""),"")</f>
        <v/>
      </c>
      <c r="H4870" s="2" t="str">
        <f>IFERROR(__xludf.DUMMYFUNCTION("""COMPUTED_VALUE"""),"")</f>
        <v/>
      </c>
      <c r="I4870" s="2" t="str">
        <f>IFERROR(__xludf.DUMMYFUNCTION("""COMPUTED_VALUE"""),"")</f>
        <v/>
      </c>
      <c r="J4870" s="2">
        <f>IFERROR(__xludf.DUMMYFUNCTION("""COMPUTED_VALUE"""),0.0)</f>
        <v>0</v>
      </c>
      <c r="K4870" s="5" t="str">
        <f>IFERROR(__xludf.DUMMYFUNCTION("""COMPUTED_VALUE"""),"")</f>
        <v/>
      </c>
      <c r="L4870" t="str">
        <f>IFERROR(__xludf.DUMMYFUNCTION("""COMPUTED_VALUE"""),"")</f>
        <v/>
      </c>
      <c r="M4870" t="str">
        <f>IFERROR(__xludf.DUMMYFUNCTION("""COMPUTED_VALUE"""),"")</f>
        <v/>
      </c>
      <c r="N4870" t="str">
        <f>IFERROR(__xludf.DUMMYFUNCTION("""COMPUTED_VALUE"""),"")</f>
        <v/>
      </c>
      <c r="O4870" t="str">
        <f>IFERROR(__xludf.DUMMYFUNCTION("""COMPUTED_VALUE"""),"")</f>
        <v/>
      </c>
      <c r="P4870" t="str">
        <f>IFERROR(__xludf.DUMMYFUNCTION("""COMPUTED_VALUE"""),"ID ")</f>
        <v>ID </v>
      </c>
    </row>
    <row r="4871">
      <c r="A4871" s="6" t="str">
        <f>IFERROR(__xludf.DUMMYFUNCTION("""COMPUTED_VALUE"""),"")</f>
        <v/>
      </c>
      <c r="C4871" t="str">
        <f>IFERROR(__xludf.DUMMYFUNCTION("""COMPUTED_VALUE"""),"")</f>
        <v/>
      </c>
      <c r="D4871" t="str">
        <f>IFERROR(__xludf.DUMMYFUNCTION("""COMPUTED_VALUE"""),"")</f>
        <v/>
      </c>
      <c r="E4871" t="str">
        <f>IFERROR(__xludf.DUMMYFUNCTION("""COMPUTED_VALUE"""),"")</f>
        <v/>
      </c>
      <c r="F4871" t="str">
        <f>IFERROR(__xludf.DUMMYFUNCTION("""COMPUTED_VALUE"""),"")</f>
        <v/>
      </c>
      <c r="G4871" t="str">
        <f>IFERROR(__xludf.DUMMYFUNCTION("""COMPUTED_VALUE"""),"")</f>
        <v/>
      </c>
      <c r="H4871" s="2" t="str">
        <f>IFERROR(__xludf.DUMMYFUNCTION("""COMPUTED_VALUE"""),"")</f>
        <v/>
      </c>
      <c r="I4871" s="2" t="str">
        <f>IFERROR(__xludf.DUMMYFUNCTION("""COMPUTED_VALUE"""),"")</f>
        <v/>
      </c>
      <c r="J4871" s="2">
        <f>IFERROR(__xludf.DUMMYFUNCTION("""COMPUTED_VALUE"""),0.0)</f>
        <v>0</v>
      </c>
      <c r="K4871" s="5" t="str">
        <f>IFERROR(__xludf.DUMMYFUNCTION("""COMPUTED_VALUE"""),"")</f>
        <v/>
      </c>
      <c r="L4871" t="str">
        <f>IFERROR(__xludf.DUMMYFUNCTION("""COMPUTED_VALUE"""),"")</f>
        <v/>
      </c>
      <c r="M4871" t="str">
        <f>IFERROR(__xludf.DUMMYFUNCTION("""COMPUTED_VALUE"""),"")</f>
        <v/>
      </c>
      <c r="N4871" t="str">
        <f>IFERROR(__xludf.DUMMYFUNCTION("""COMPUTED_VALUE"""),"")</f>
        <v/>
      </c>
      <c r="O4871" t="str">
        <f>IFERROR(__xludf.DUMMYFUNCTION("""COMPUTED_VALUE"""),"")</f>
        <v/>
      </c>
      <c r="P4871" t="str">
        <f>IFERROR(__xludf.DUMMYFUNCTION("""COMPUTED_VALUE"""),"ID ")</f>
        <v>ID </v>
      </c>
    </row>
    <row r="4872">
      <c r="A4872" s="6" t="str">
        <f>IFERROR(__xludf.DUMMYFUNCTION("""COMPUTED_VALUE"""),"")</f>
        <v/>
      </c>
      <c r="C4872" t="str">
        <f>IFERROR(__xludf.DUMMYFUNCTION("""COMPUTED_VALUE"""),"")</f>
        <v/>
      </c>
      <c r="D4872" t="str">
        <f>IFERROR(__xludf.DUMMYFUNCTION("""COMPUTED_VALUE"""),"")</f>
        <v/>
      </c>
      <c r="E4872" t="str">
        <f>IFERROR(__xludf.DUMMYFUNCTION("""COMPUTED_VALUE"""),"")</f>
        <v/>
      </c>
      <c r="F4872" t="str">
        <f>IFERROR(__xludf.DUMMYFUNCTION("""COMPUTED_VALUE"""),"")</f>
        <v/>
      </c>
      <c r="G4872" t="str">
        <f>IFERROR(__xludf.DUMMYFUNCTION("""COMPUTED_VALUE"""),"")</f>
        <v/>
      </c>
      <c r="H4872" s="2" t="str">
        <f>IFERROR(__xludf.DUMMYFUNCTION("""COMPUTED_VALUE"""),"")</f>
        <v/>
      </c>
      <c r="I4872" s="2" t="str">
        <f>IFERROR(__xludf.DUMMYFUNCTION("""COMPUTED_VALUE"""),"")</f>
        <v/>
      </c>
      <c r="J4872" s="2">
        <f>IFERROR(__xludf.DUMMYFUNCTION("""COMPUTED_VALUE"""),0.0)</f>
        <v>0</v>
      </c>
      <c r="K4872" s="5" t="str">
        <f>IFERROR(__xludf.DUMMYFUNCTION("""COMPUTED_VALUE"""),"")</f>
        <v/>
      </c>
      <c r="L4872" t="str">
        <f>IFERROR(__xludf.DUMMYFUNCTION("""COMPUTED_VALUE"""),"")</f>
        <v/>
      </c>
      <c r="M4872" t="str">
        <f>IFERROR(__xludf.DUMMYFUNCTION("""COMPUTED_VALUE"""),"")</f>
        <v/>
      </c>
      <c r="N4872" t="str">
        <f>IFERROR(__xludf.DUMMYFUNCTION("""COMPUTED_VALUE"""),"")</f>
        <v/>
      </c>
      <c r="O4872" t="str">
        <f>IFERROR(__xludf.DUMMYFUNCTION("""COMPUTED_VALUE"""),"")</f>
        <v/>
      </c>
      <c r="P4872" t="str">
        <f>IFERROR(__xludf.DUMMYFUNCTION("""COMPUTED_VALUE"""),"ID ")</f>
        <v>ID </v>
      </c>
    </row>
    <row r="4873">
      <c r="A4873" s="6" t="str">
        <f>IFERROR(__xludf.DUMMYFUNCTION("""COMPUTED_VALUE"""),"")</f>
        <v/>
      </c>
      <c r="C4873" t="str">
        <f>IFERROR(__xludf.DUMMYFUNCTION("""COMPUTED_VALUE"""),"")</f>
        <v/>
      </c>
      <c r="D4873" t="str">
        <f>IFERROR(__xludf.DUMMYFUNCTION("""COMPUTED_VALUE"""),"")</f>
        <v/>
      </c>
      <c r="E4873" t="str">
        <f>IFERROR(__xludf.DUMMYFUNCTION("""COMPUTED_VALUE"""),"")</f>
        <v/>
      </c>
      <c r="F4873" t="str">
        <f>IFERROR(__xludf.DUMMYFUNCTION("""COMPUTED_VALUE"""),"")</f>
        <v/>
      </c>
      <c r="G4873" t="str">
        <f>IFERROR(__xludf.DUMMYFUNCTION("""COMPUTED_VALUE"""),"")</f>
        <v/>
      </c>
      <c r="H4873" s="2" t="str">
        <f>IFERROR(__xludf.DUMMYFUNCTION("""COMPUTED_VALUE"""),"")</f>
        <v/>
      </c>
      <c r="I4873" s="2" t="str">
        <f>IFERROR(__xludf.DUMMYFUNCTION("""COMPUTED_VALUE"""),"")</f>
        <v/>
      </c>
      <c r="J4873" s="2">
        <f>IFERROR(__xludf.DUMMYFUNCTION("""COMPUTED_VALUE"""),0.0)</f>
        <v>0</v>
      </c>
      <c r="K4873" s="5" t="str">
        <f>IFERROR(__xludf.DUMMYFUNCTION("""COMPUTED_VALUE"""),"")</f>
        <v/>
      </c>
      <c r="L4873" t="str">
        <f>IFERROR(__xludf.DUMMYFUNCTION("""COMPUTED_VALUE"""),"")</f>
        <v/>
      </c>
      <c r="M4873" t="str">
        <f>IFERROR(__xludf.DUMMYFUNCTION("""COMPUTED_VALUE"""),"")</f>
        <v/>
      </c>
      <c r="N4873" t="str">
        <f>IFERROR(__xludf.DUMMYFUNCTION("""COMPUTED_VALUE"""),"")</f>
        <v/>
      </c>
      <c r="O4873" t="str">
        <f>IFERROR(__xludf.DUMMYFUNCTION("""COMPUTED_VALUE"""),"")</f>
        <v/>
      </c>
      <c r="P4873" t="str">
        <f>IFERROR(__xludf.DUMMYFUNCTION("""COMPUTED_VALUE"""),"ID ")</f>
        <v>ID </v>
      </c>
    </row>
    <row r="4874">
      <c r="A4874" s="6" t="str">
        <f>IFERROR(__xludf.DUMMYFUNCTION("""COMPUTED_VALUE"""),"")</f>
        <v/>
      </c>
      <c r="C4874" t="str">
        <f>IFERROR(__xludf.DUMMYFUNCTION("""COMPUTED_VALUE"""),"")</f>
        <v/>
      </c>
      <c r="D4874" t="str">
        <f>IFERROR(__xludf.DUMMYFUNCTION("""COMPUTED_VALUE"""),"")</f>
        <v/>
      </c>
      <c r="E4874" t="str">
        <f>IFERROR(__xludf.DUMMYFUNCTION("""COMPUTED_VALUE"""),"")</f>
        <v/>
      </c>
      <c r="F4874" t="str">
        <f>IFERROR(__xludf.DUMMYFUNCTION("""COMPUTED_VALUE"""),"")</f>
        <v/>
      </c>
      <c r="G4874" t="str">
        <f>IFERROR(__xludf.DUMMYFUNCTION("""COMPUTED_VALUE"""),"")</f>
        <v/>
      </c>
      <c r="H4874" s="2" t="str">
        <f>IFERROR(__xludf.DUMMYFUNCTION("""COMPUTED_VALUE"""),"")</f>
        <v/>
      </c>
      <c r="I4874" s="2" t="str">
        <f>IFERROR(__xludf.DUMMYFUNCTION("""COMPUTED_VALUE"""),"")</f>
        <v/>
      </c>
      <c r="J4874" s="2">
        <f>IFERROR(__xludf.DUMMYFUNCTION("""COMPUTED_VALUE"""),0.0)</f>
        <v>0</v>
      </c>
      <c r="K4874" s="5" t="str">
        <f>IFERROR(__xludf.DUMMYFUNCTION("""COMPUTED_VALUE"""),"")</f>
        <v/>
      </c>
      <c r="L4874" t="str">
        <f>IFERROR(__xludf.DUMMYFUNCTION("""COMPUTED_VALUE"""),"")</f>
        <v/>
      </c>
      <c r="M4874" t="str">
        <f>IFERROR(__xludf.DUMMYFUNCTION("""COMPUTED_VALUE"""),"")</f>
        <v/>
      </c>
      <c r="N4874" t="str">
        <f>IFERROR(__xludf.DUMMYFUNCTION("""COMPUTED_VALUE"""),"")</f>
        <v/>
      </c>
      <c r="O4874" t="str">
        <f>IFERROR(__xludf.DUMMYFUNCTION("""COMPUTED_VALUE"""),"")</f>
        <v/>
      </c>
      <c r="P4874" t="str">
        <f>IFERROR(__xludf.DUMMYFUNCTION("""COMPUTED_VALUE"""),"ID ")</f>
        <v>ID </v>
      </c>
    </row>
    <row r="4875">
      <c r="A4875" s="6" t="str">
        <f>IFERROR(__xludf.DUMMYFUNCTION("""COMPUTED_VALUE"""),"")</f>
        <v/>
      </c>
      <c r="C4875" t="str">
        <f>IFERROR(__xludf.DUMMYFUNCTION("""COMPUTED_VALUE"""),"")</f>
        <v/>
      </c>
      <c r="D4875" t="str">
        <f>IFERROR(__xludf.DUMMYFUNCTION("""COMPUTED_VALUE"""),"")</f>
        <v/>
      </c>
      <c r="E4875" t="str">
        <f>IFERROR(__xludf.DUMMYFUNCTION("""COMPUTED_VALUE"""),"")</f>
        <v/>
      </c>
      <c r="F4875" t="str">
        <f>IFERROR(__xludf.DUMMYFUNCTION("""COMPUTED_VALUE"""),"")</f>
        <v/>
      </c>
      <c r="G4875" t="str">
        <f>IFERROR(__xludf.DUMMYFUNCTION("""COMPUTED_VALUE"""),"")</f>
        <v/>
      </c>
      <c r="H4875" s="2" t="str">
        <f>IFERROR(__xludf.DUMMYFUNCTION("""COMPUTED_VALUE"""),"")</f>
        <v/>
      </c>
      <c r="I4875" s="2" t="str">
        <f>IFERROR(__xludf.DUMMYFUNCTION("""COMPUTED_VALUE"""),"")</f>
        <v/>
      </c>
      <c r="J4875" s="2">
        <f>IFERROR(__xludf.DUMMYFUNCTION("""COMPUTED_VALUE"""),0.0)</f>
        <v>0</v>
      </c>
      <c r="K4875" s="5" t="str">
        <f>IFERROR(__xludf.DUMMYFUNCTION("""COMPUTED_VALUE"""),"")</f>
        <v/>
      </c>
      <c r="L4875" t="str">
        <f>IFERROR(__xludf.DUMMYFUNCTION("""COMPUTED_VALUE"""),"")</f>
        <v/>
      </c>
      <c r="M4875" t="str">
        <f>IFERROR(__xludf.DUMMYFUNCTION("""COMPUTED_VALUE"""),"")</f>
        <v/>
      </c>
      <c r="N4875" t="str">
        <f>IFERROR(__xludf.DUMMYFUNCTION("""COMPUTED_VALUE"""),"")</f>
        <v/>
      </c>
      <c r="O4875" t="str">
        <f>IFERROR(__xludf.DUMMYFUNCTION("""COMPUTED_VALUE"""),"")</f>
        <v/>
      </c>
      <c r="P4875" t="str">
        <f>IFERROR(__xludf.DUMMYFUNCTION("""COMPUTED_VALUE"""),"ID ")</f>
        <v>ID </v>
      </c>
    </row>
    <row r="4876">
      <c r="A4876" s="6" t="str">
        <f>IFERROR(__xludf.DUMMYFUNCTION("""COMPUTED_VALUE"""),"")</f>
        <v/>
      </c>
      <c r="C4876" t="str">
        <f>IFERROR(__xludf.DUMMYFUNCTION("""COMPUTED_VALUE"""),"")</f>
        <v/>
      </c>
      <c r="D4876" t="str">
        <f>IFERROR(__xludf.DUMMYFUNCTION("""COMPUTED_VALUE"""),"")</f>
        <v/>
      </c>
      <c r="E4876" t="str">
        <f>IFERROR(__xludf.DUMMYFUNCTION("""COMPUTED_VALUE"""),"")</f>
        <v/>
      </c>
      <c r="F4876" t="str">
        <f>IFERROR(__xludf.DUMMYFUNCTION("""COMPUTED_VALUE"""),"")</f>
        <v/>
      </c>
      <c r="G4876" t="str">
        <f>IFERROR(__xludf.DUMMYFUNCTION("""COMPUTED_VALUE"""),"")</f>
        <v/>
      </c>
      <c r="H4876" s="2" t="str">
        <f>IFERROR(__xludf.DUMMYFUNCTION("""COMPUTED_VALUE"""),"")</f>
        <v/>
      </c>
      <c r="I4876" s="2" t="str">
        <f>IFERROR(__xludf.DUMMYFUNCTION("""COMPUTED_VALUE"""),"")</f>
        <v/>
      </c>
      <c r="J4876" s="2">
        <f>IFERROR(__xludf.DUMMYFUNCTION("""COMPUTED_VALUE"""),0.0)</f>
        <v>0</v>
      </c>
      <c r="K4876" s="5" t="str">
        <f>IFERROR(__xludf.DUMMYFUNCTION("""COMPUTED_VALUE"""),"")</f>
        <v/>
      </c>
      <c r="L4876" t="str">
        <f>IFERROR(__xludf.DUMMYFUNCTION("""COMPUTED_VALUE"""),"")</f>
        <v/>
      </c>
      <c r="M4876" t="str">
        <f>IFERROR(__xludf.DUMMYFUNCTION("""COMPUTED_VALUE"""),"")</f>
        <v/>
      </c>
      <c r="N4876" t="str">
        <f>IFERROR(__xludf.DUMMYFUNCTION("""COMPUTED_VALUE"""),"")</f>
        <v/>
      </c>
      <c r="O4876" t="str">
        <f>IFERROR(__xludf.DUMMYFUNCTION("""COMPUTED_VALUE"""),"")</f>
        <v/>
      </c>
      <c r="P4876" t="str">
        <f>IFERROR(__xludf.DUMMYFUNCTION("""COMPUTED_VALUE"""),"ID ")</f>
        <v>ID </v>
      </c>
    </row>
    <row r="4877">
      <c r="A4877" s="6" t="str">
        <f>IFERROR(__xludf.DUMMYFUNCTION("""COMPUTED_VALUE"""),"")</f>
        <v/>
      </c>
      <c r="C4877" t="str">
        <f>IFERROR(__xludf.DUMMYFUNCTION("""COMPUTED_VALUE"""),"")</f>
        <v/>
      </c>
      <c r="D4877" t="str">
        <f>IFERROR(__xludf.DUMMYFUNCTION("""COMPUTED_VALUE"""),"")</f>
        <v/>
      </c>
      <c r="E4877" t="str">
        <f>IFERROR(__xludf.DUMMYFUNCTION("""COMPUTED_VALUE"""),"")</f>
        <v/>
      </c>
      <c r="F4877" t="str">
        <f>IFERROR(__xludf.DUMMYFUNCTION("""COMPUTED_VALUE"""),"")</f>
        <v/>
      </c>
      <c r="G4877" t="str">
        <f>IFERROR(__xludf.DUMMYFUNCTION("""COMPUTED_VALUE"""),"")</f>
        <v/>
      </c>
      <c r="H4877" s="2" t="str">
        <f>IFERROR(__xludf.DUMMYFUNCTION("""COMPUTED_VALUE"""),"")</f>
        <v/>
      </c>
      <c r="I4877" s="2" t="str">
        <f>IFERROR(__xludf.DUMMYFUNCTION("""COMPUTED_VALUE"""),"")</f>
        <v/>
      </c>
      <c r="J4877" s="2">
        <f>IFERROR(__xludf.DUMMYFUNCTION("""COMPUTED_VALUE"""),0.0)</f>
        <v>0</v>
      </c>
      <c r="K4877" s="5" t="str">
        <f>IFERROR(__xludf.DUMMYFUNCTION("""COMPUTED_VALUE"""),"")</f>
        <v/>
      </c>
      <c r="L4877" t="str">
        <f>IFERROR(__xludf.DUMMYFUNCTION("""COMPUTED_VALUE"""),"")</f>
        <v/>
      </c>
      <c r="M4877" t="str">
        <f>IFERROR(__xludf.DUMMYFUNCTION("""COMPUTED_VALUE"""),"")</f>
        <v/>
      </c>
      <c r="N4877" t="str">
        <f>IFERROR(__xludf.DUMMYFUNCTION("""COMPUTED_VALUE"""),"")</f>
        <v/>
      </c>
      <c r="O4877" t="str">
        <f>IFERROR(__xludf.DUMMYFUNCTION("""COMPUTED_VALUE"""),"")</f>
        <v/>
      </c>
      <c r="P4877" t="str">
        <f>IFERROR(__xludf.DUMMYFUNCTION("""COMPUTED_VALUE"""),"ID ")</f>
        <v>ID </v>
      </c>
    </row>
    <row r="4878">
      <c r="A4878" s="6" t="str">
        <f>IFERROR(__xludf.DUMMYFUNCTION("""COMPUTED_VALUE"""),"")</f>
        <v/>
      </c>
      <c r="C4878" t="str">
        <f>IFERROR(__xludf.DUMMYFUNCTION("""COMPUTED_VALUE"""),"")</f>
        <v/>
      </c>
      <c r="D4878" t="str">
        <f>IFERROR(__xludf.DUMMYFUNCTION("""COMPUTED_VALUE"""),"")</f>
        <v/>
      </c>
      <c r="E4878" t="str">
        <f>IFERROR(__xludf.DUMMYFUNCTION("""COMPUTED_VALUE"""),"")</f>
        <v/>
      </c>
      <c r="F4878" t="str">
        <f>IFERROR(__xludf.DUMMYFUNCTION("""COMPUTED_VALUE"""),"")</f>
        <v/>
      </c>
      <c r="G4878" t="str">
        <f>IFERROR(__xludf.DUMMYFUNCTION("""COMPUTED_VALUE"""),"")</f>
        <v/>
      </c>
      <c r="H4878" s="2" t="str">
        <f>IFERROR(__xludf.DUMMYFUNCTION("""COMPUTED_VALUE"""),"")</f>
        <v/>
      </c>
      <c r="I4878" s="2" t="str">
        <f>IFERROR(__xludf.DUMMYFUNCTION("""COMPUTED_VALUE"""),"")</f>
        <v/>
      </c>
      <c r="J4878" s="2">
        <f>IFERROR(__xludf.DUMMYFUNCTION("""COMPUTED_VALUE"""),0.0)</f>
        <v>0</v>
      </c>
      <c r="K4878" s="5" t="str">
        <f>IFERROR(__xludf.DUMMYFUNCTION("""COMPUTED_VALUE"""),"")</f>
        <v/>
      </c>
      <c r="L4878" t="str">
        <f>IFERROR(__xludf.DUMMYFUNCTION("""COMPUTED_VALUE"""),"")</f>
        <v/>
      </c>
      <c r="M4878" t="str">
        <f>IFERROR(__xludf.DUMMYFUNCTION("""COMPUTED_VALUE"""),"")</f>
        <v/>
      </c>
      <c r="N4878" t="str">
        <f>IFERROR(__xludf.DUMMYFUNCTION("""COMPUTED_VALUE"""),"")</f>
        <v/>
      </c>
      <c r="O4878" t="str">
        <f>IFERROR(__xludf.DUMMYFUNCTION("""COMPUTED_VALUE"""),"")</f>
        <v/>
      </c>
      <c r="P4878" t="str">
        <f>IFERROR(__xludf.DUMMYFUNCTION("""COMPUTED_VALUE"""),"ID ")</f>
        <v>ID </v>
      </c>
    </row>
    <row r="4879">
      <c r="A4879" s="6" t="str">
        <f>IFERROR(__xludf.DUMMYFUNCTION("""COMPUTED_VALUE"""),"")</f>
        <v/>
      </c>
      <c r="C4879" t="str">
        <f>IFERROR(__xludf.DUMMYFUNCTION("""COMPUTED_VALUE"""),"")</f>
        <v/>
      </c>
      <c r="D4879" t="str">
        <f>IFERROR(__xludf.DUMMYFUNCTION("""COMPUTED_VALUE"""),"")</f>
        <v/>
      </c>
      <c r="E4879" t="str">
        <f>IFERROR(__xludf.DUMMYFUNCTION("""COMPUTED_VALUE"""),"")</f>
        <v/>
      </c>
      <c r="F4879" t="str">
        <f>IFERROR(__xludf.DUMMYFUNCTION("""COMPUTED_VALUE"""),"")</f>
        <v/>
      </c>
      <c r="G4879" t="str">
        <f>IFERROR(__xludf.DUMMYFUNCTION("""COMPUTED_VALUE"""),"")</f>
        <v/>
      </c>
      <c r="H4879" s="2" t="str">
        <f>IFERROR(__xludf.DUMMYFUNCTION("""COMPUTED_VALUE"""),"")</f>
        <v/>
      </c>
      <c r="I4879" s="2" t="str">
        <f>IFERROR(__xludf.DUMMYFUNCTION("""COMPUTED_VALUE"""),"")</f>
        <v/>
      </c>
      <c r="J4879" s="2">
        <f>IFERROR(__xludf.DUMMYFUNCTION("""COMPUTED_VALUE"""),0.0)</f>
        <v>0</v>
      </c>
      <c r="K4879" s="5" t="str">
        <f>IFERROR(__xludf.DUMMYFUNCTION("""COMPUTED_VALUE"""),"")</f>
        <v/>
      </c>
      <c r="L4879" t="str">
        <f>IFERROR(__xludf.DUMMYFUNCTION("""COMPUTED_VALUE"""),"")</f>
        <v/>
      </c>
      <c r="M4879" t="str">
        <f>IFERROR(__xludf.DUMMYFUNCTION("""COMPUTED_VALUE"""),"")</f>
        <v/>
      </c>
      <c r="N4879" t="str">
        <f>IFERROR(__xludf.DUMMYFUNCTION("""COMPUTED_VALUE"""),"")</f>
        <v/>
      </c>
      <c r="O4879" t="str">
        <f>IFERROR(__xludf.DUMMYFUNCTION("""COMPUTED_VALUE"""),"")</f>
        <v/>
      </c>
      <c r="P4879" t="str">
        <f>IFERROR(__xludf.DUMMYFUNCTION("""COMPUTED_VALUE"""),"ID ")</f>
        <v>ID </v>
      </c>
    </row>
    <row r="4880">
      <c r="A4880" s="6" t="str">
        <f>IFERROR(__xludf.DUMMYFUNCTION("""COMPUTED_VALUE"""),"")</f>
        <v/>
      </c>
      <c r="C4880" t="str">
        <f>IFERROR(__xludf.DUMMYFUNCTION("""COMPUTED_VALUE"""),"")</f>
        <v/>
      </c>
      <c r="D4880" t="str">
        <f>IFERROR(__xludf.DUMMYFUNCTION("""COMPUTED_VALUE"""),"")</f>
        <v/>
      </c>
      <c r="E4880" t="str">
        <f>IFERROR(__xludf.DUMMYFUNCTION("""COMPUTED_VALUE"""),"")</f>
        <v/>
      </c>
      <c r="F4880" t="str">
        <f>IFERROR(__xludf.DUMMYFUNCTION("""COMPUTED_VALUE"""),"")</f>
        <v/>
      </c>
      <c r="G4880" t="str">
        <f>IFERROR(__xludf.DUMMYFUNCTION("""COMPUTED_VALUE"""),"")</f>
        <v/>
      </c>
      <c r="H4880" s="2" t="str">
        <f>IFERROR(__xludf.DUMMYFUNCTION("""COMPUTED_VALUE"""),"")</f>
        <v/>
      </c>
      <c r="I4880" s="2" t="str">
        <f>IFERROR(__xludf.DUMMYFUNCTION("""COMPUTED_VALUE"""),"")</f>
        <v/>
      </c>
      <c r="J4880" s="2">
        <f>IFERROR(__xludf.DUMMYFUNCTION("""COMPUTED_VALUE"""),0.0)</f>
        <v>0</v>
      </c>
      <c r="K4880" s="5" t="str">
        <f>IFERROR(__xludf.DUMMYFUNCTION("""COMPUTED_VALUE"""),"")</f>
        <v/>
      </c>
      <c r="L4880" t="str">
        <f>IFERROR(__xludf.DUMMYFUNCTION("""COMPUTED_VALUE"""),"")</f>
        <v/>
      </c>
      <c r="M4880" t="str">
        <f>IFERROR(__xludf.DUMMYFUNCTION("""COMPUTED_VALUE"""),"")</f>
        <v/>
      </c>
      <c r="N4880" t="str">
        <f>IFERROR(__xludf.DUMMYFUNCTION("""COMPUTED_VALUE"""),"")</f>
        <v/>
      </c>
      <c r="O4880" t="str">
        <f>IFERROR(__xludf.DUMMYFUNCTION("""COMPUTED_VALUE"""),"")</f>
        <v/>
      </c>
      <c r="P4880" t="str">
        <f>IFERROR(__xludf.DUMMYFUNCTION("""COMPUTED_VALUE"""),"ID ")</f>
        <v>ID </v>
      </c>
    </row>
    <row r="4881">
      <c r="A4881" s="6" t="str">
        <f>IFERROR(__xludf.DUMMYFUNCTION("""COMPUTED_VALUE"""),"")</f>
        <v/>
      </c>
      <c r="C4881" t="str">
        <f>IFERROR(__xludf.DUMMYFUNCTION("""COMPUTED_VALUE"""),"")</f>
        <v/>
      </c>
      <c r="D4881" t="str">
        <f>IFERROR(__xludf.DUMMYFUNCTION("""COMPUTED_VALUE"""),"")</f>
        <v/>
      </c>
      <c r="E4881" t="str">
        <f>IFERROR(__xludf.DUMMYFUNCTION("""COMPUTED_VALUE"""),"")</f>
        <v/>
      </c>
      <c r="F4881" t="str">
        <f>IFERROR(__xludf.DUMMYFUNCTION("""COMPUTED_VALUE"""),"")</f>
        <v/>
      </c>
      <c r="G4881" t="str">
        <f>IFERROR(__xludf.DUMMYFUNCTION("""COMPUTED_VALUE"""),"")</f>
        <v/>
      </c>
      <c r="H4881" s="2" t="str">
        <f>IFERROR(__xludf.DUMMYFUNCTION("""COMPUTED_VALUE"""),"")</f>
        <v/>
      </c>
      <c r="I4881" s="2" t="str">
        <f>IFERROR(__xludf.DUMMYFUNCTION("""COMPUTED_VALUE"""),"")</f>
        <v/>
      </c>
      <c r="J4881" s="2">
        <f>IFERROR(__xludf.DUMMYFUNCTION("""COMPUTED_VALUE"""),0.0)</f>
        <v>0</v>
      </c>
      <c r="K4881" s="5" t="str">
        <f>IFERROR(__xludf.DUMMYFUNCTION("""COMPUTED_VALUE"""),"")</f>
        <v/>
      </c>
      <c r="L4881" t="str">
        <f>IFERROR(__xludf.DUMMYFUNCTION("""COMPUTED_VALUE"""),"")</f>
        <v/>
      </c>
      <c r="M4881" t="str">
        <f>IFERROR(__xludf.DUMMYFUNCTION("""COMPUTED_VALUE"""),"")</f>
        <v/>
      </c>
      <c r="N4881" t="str">
        <f>IFERROR(__xludf.DUMMYFUNCTION("""COMPUTED_VALUE"""),"")</f>
        <v/>
      </c>
      <c r="O4881" t="str">
        <f>IFERROR(__xludf.DUMMYFUNCTION("""COMPUTED_VALUE"""),"")</f>
        <v/>
      </c>
      <c r="P4881" t="str">
        <f>IFERROR(__xludf.DUMMYFUNCTION("""COMPUTED_VALUE"""),"ID ")</f>
        <v>ID </v>
      </c>
    </row>
    <row r="4882">
      <c r="A4882" s="6" t="str">
        <f>IFERROR(__xludf.DUMMYFUNCTION("""COMPUTED_VALUE"""),"")</f>
        <v/>
      </c>
      <c r="C4882" t="str">
        <f>IFERROR(__xludf.DUMMYFUNCTION("""COMPUTED_VALUE"""),"")</f>
        <v/>
      </c>
      <c r="D4882" t="str">
        <f>IFERROR(__xludf.DUMMYFUNCTION("""COMPUTED_VALUE"""),"")</f>
        <v/>
      </c>
      <c r="E4882" t="str">
        <f>IFERROR(__xludf.DUMMYFUNCTION("""COMPUTED_VALUE"""),"")</f>
        <v/>
      </c>
      <c r="F4882" t="str">
        <f>IFERROR(__xludf.DUMMYFUNCTION("""COMPUTED_VALUE"""),"")</f>
        <v/>
      </c>
      <c r="G4882" t="str">
        <f>IFERROR(__xludf.DUMMYFUNCTION("""COMPUTED_VALUE"""),"")</f>
        <v/>
      </c>
      <c r="H4882" s="2" t="str">
        <f>IFERROR(__xludf.DUMMYFUNCTION("""COMPUTED_VALUE"""),"")</f>
        <v/>
      </c>
      <c r="I4882" s="2" t="str">
        <f>IFERROR(__xludf.DUMMYFUNCTION("""COMPUTED_VALUE"""),"")</f>
        <v/>
      </c>
      <c r="J4882" s="2">
        <f>IFERROR(__xludf.DUMMYFUNCTION("""COMPUTED_VALUE"""),0.0)</f>
        <v>0</v>
      </c>
      <c r="K4882" s="5" t="str">
        <f>IFERROR(__xludf.DUMMYFUNCTION("""COMPUTED_VALUE"""),"")</f>
        <v/>
      </c>
      <c r="L4882" t="str">
        <f>IFERROR(__xludf.DUMMYFUNCTION("""COMPUTED_VALUE"""),"")</f>
        <v/>
      </c>
      <c r="M4882" t="str">
        <f>IFERROR(__xludf.DUMMYFUNCTION("""COMPUTED_VALUE"""),"")</f>
        <v/>
      </c>
      <c r="N4882" t="str">
        <f>IFERROR(__xludf.DUMMYFUNCTION("""COMPUTED_VALUE"""),"")</f>
        <v/>
      </c>
      <c r="O4882" t="str">
        <f>IFERROR(__xludf.DUMMYFUNCTION("""COMPUTED_VALUE"""),"")</f>
        <v/>
      </c>
      <c r="P4882" t="str">
        <f>IFERROR(__xludf.DUMMYFUNCTION("""COMPUTED_VALUE"""),"ID ")</f>
        <v>ID </v>
      </c>
    </row>
    <row r="4883">
      <c r="A4883" s="6" t="str">
        <f>IFERROR(__xludf.DUMMYFUNCTION("""COMPUTED_VALUE"""),"")</f>
        <v/>
      </c>
      <c r="C4883" t="str">
        <f>IFERROR(__xludf.DUMMYFUNCTION("""COMPUTED_VALUE"""),"")</f>
        <v/>
      </c>
      <c r="D4883" t="str">
        <f>IFERROR(__xludf.DUMMYFUNCTION("""COMPUTED_VALUE"""),"")</f>
        <v/>
      </c>
      <c r="E4883" t="str">
        <f>IFERROR(__xludf.DUMMYFUNCTION("""COMPUTED_VALUE"""),"")</f>
        <v/>
      </c>
      <c r="F4883" t="str">
        <f>IFERROR(__xludf.DUMMYFUNCTION("""COMPUTED_VALUE"""),"")</f>
        <v/>
      </c>
      <c r="G4883" t="str">
        <f>IFERROR(__xludf.DUMMYFUNCTION("""COMPUTED_VALUE"""),"")</f>
        <v/>
      </c>
      <c r="H4883" s="2" t="str">
        <f>IFERROR(__xludf.DUMMYFUNCTION("""COMPUTED_VALUE"""),"")</f>
        <v/>
      </c>
      <c r="I4883" s="2" t="str">
        <f>IFERROR(__xludf.DUMMYFUNCTION("""COMPUTED_VALUE"""),"")</f>
        <v/>
      </c>
      <c r="J4883" s="2">
        <f>IFERROR(__xludf.DUMMYFUNCTION("""COMPUTED_VALUE"""),0.0)</f>
        <v>0</v>
      </c>
      <c r="K4883" s="5" t="str">
        <f>IFERROR(__xludf.DUMMYFUNCTION("""COMPUTED_VALUE"""),"")</f>
        <v/>
      </c>
      <c r="L4883" t="str">
        <f>IFERROR(__xludf.DUMMYFUNCTION("""COMPUTED_VALUE"""),"")</f>
        <v/>
      </c>
      <c r="M4883" t="str">
        <f>IFERROR(__xludf.DUMMYFUNCTION("""COMPUTED_VALUE"""),"")</f>
        <v/>
      </c>
      <c r="N4883" t="str">
        <f>IFERROR(__xludf.DUMMYFUNCTION("""COMPUTED_VALUE"""),"")</f>
        <v/>
      </c>
      <c r="O4883" t="str">
        <f>IFERROR(__xludf.DUMMYFUNCTION("""COMPUTED_VALUE"""),"")</f>
        <v/>
      </c>
      <c r="P4883" t="str">
        <f>IFERROR(__xludf.DUMMYFUNCTION("""COMPUTED_VALUE"""),"ID ")</f>
        <v>ID </v>
      </c>
    </row>
    <row r="4884">
      <c r="A4884" s="6" t="str">
        <f>IFERROR(__xludf.DUMMYFUNCTION("""COMPUTED_VALUE"""),"")</f>
        <v/>
      </c>
      <c r="C4884" t="str">
        <f>IFERROR(__xludf.DUMMYFUNCTION("""COMPUTED_VALUE"""),"")</f>
        <v/>
      </c>
      <c r="D4884" t="str">
        <f>IFERROR(__xludf.DUMMYFUNCTION("""COMPUTED_VALUE"""),"")</f>
        <v/>
      </c>
      <c r="E4884" t="str">
        <f>IFERROR(__xludf.DUMMYFUNCTION("""COMPUTED_VALUE"""),"")</f>
        <v/>
      </c>
      <c r="F4884" t="str">
        <f>IFERROR(__xludf.DUMMYFUNCTION("""COMPUTED_VALUE"""),"")</f>
        <v/>
      </c>
      <c r="G4884" t="str">
        <f>IFERROR(__xludf.DUMMYFUNCTION("""COMPUTED_VALUE"""),"")</f>
        <v/>
      </c>
      <c r="H4884" s="2" t="str">
        <f>IFERROR(__xludf.DUMMYFUNCTION("""COMPUTED_VALUE"""),"")</f>
        <v/>
      </c>
      <c r="I4884" s="2" t="str">
        <f>IFERROR(__xludf.DUMMYFUNCTION("""COMPUTED_VALUE"""),"")</f>
        <v/>
      </c>
      <c r="J4884" s="2">
        <f>IFERROR(__xludf.DUMMYFUNCTION("""COMPUTED_VALUE"""),0.0)</f>
        <v>0</v>
      </c>
      <c r="K4884" s="5" t="str">
        <f>IFERROR(__xludf.DUMMYFUNCTION("""COMPUTED_VALUE"""),"")</f>
        <v/>
      </c>
      <c r="L4884" t="str">
        <f>IFERROR(__xludf.DUMMYFUNCTION("""COMPUTED_VALUE"""),"")</f>
        <v/>
      </c>
      <c r="M4884" t="str">
        <f>IFERROR(__xludf.DUMMYFUNCTION("""COMPUTED_VALUE"""),"")</f>
        <v/>
      </c>
      <c r="N4884" t="str">
        <f>IFERROR(__xludf.DUMMYFUNCTION("""COMPUTED_VALUE"""),"")</f>
        <v/>
      </c>
      <c r="O4884" t="str">
        <f>IFERROR(__xludf.DUMMYFUNCTION("""COMPUTED_VALUE"""),"")</f>
        <v/>
      </c>
      <c r="P4884" t="str">
        <f>IFERROR(__xludf.DUMMYFUNCTION("""COMPUTED_VALUE"""),"ID ")</f>
        <v>ID </v>
      </c>
    </row>
    <row r="4885">
      <c r="A4885" s="6" t="str">
        <f>IFERROR(__xludf.DUMMYFUNCTION("""COMPUTED_VALUE"""),"")</f>
        <v/>
      </c>
      <c r="C4885" t="str">
        <f>IFERROR(__xludf.DUMMYFUNCTION("""COMPUTED_VALUE"""),"")</f>
        <v/>
      </c>
      <c r="D4885" t="str">
        <f>IFERROR(__xludf.DUMMYFUNCTION("""COMPUTED_VALUE"""),"")</f>
        <v/>
      </c>
      <c r="E4885" t="str">
        <f>IFERROR(__xludf.DUMMYFUNCTION("""COMPUTED_VALUE"""),"")</f>
        <v/>
      </c>
      <c r="F4885" t="str">
        <f>IFERROR(__xludf.DUMMYFUNCTION("""COMPUTED_VALUE"""),"")</f>
        <v/>
      </c>
      <c r="G4885" t="str">
        <f>IFERROR(__xludf.DUMMYFUNCTION("""COMPUTED_VALUE"""),"")</f>
        <v/>
      </c>
      <c r="H4885" s="2" t="str">
        <f>IFERROR(__xludf.DUMMYFUNCTION("""COMPUTED_VALUE"""),"")</f>
        <v/>
      </c>
      <c r="I4885" s="2" t="str">
        <f>IFERROR(__xludf.DUMMYFUNCTION("""COMPUTED_VALUE"""),"")</f>
        <v/>
      </c>
      <c r="J4885" s="2">
        <f>IFERROR(__xludf.DUMMYFUNCTION("""COMPUTED_VALUE"""),0.0)</f>
        <v>0</v>
      </c>
      <c r="K4885" s="5" t="str">
        <f>IFERROR(__xludf.DUMMYFUNCTION("""COMPUTED_VALUE"""),"")</f>
        <v/>
      </c>
      <c r="L4885" t="str">
        <f>IFERROR(__xludf.DUMMYFUNCTION("""COMPUTED_VALUE"""),"")</f>
        <v/>
      </c>
      <c r="M4885" t="str">
        <f>IFERROR(__xludf.DUMMYFUNCTION("""COMPUTED_VALUE"""),"")</f>
        <v/>
      </c>
      <c r="N4885" t="str">
        <f>IFERROR(__xludf.DUMMYFUNCTION("""COMPUTED_VALUE"""),"")</f>
        <v/>
      </c>
      <c r="O4885" t="str">
        <f>IFERROR(__xludf.DUMMYFUNCTION("""COMPUTED_VALUE"""),"")</f>
        <v/>
      </c>
      <c r="P4885" t="str">
        <f>IFERROR(__xludf.DUMMYFUNCTION("""COMPUTED_VALUE"""),"ID ")</f>
        <v>ID </v>
      </c>
    </row>
    <row r="4886">
      <c r="A4886" s="6" t="str">
        <f>IFERROR(__xludf.DUMMYFUNCTION("""COMPUTED_VALUE"""),"")</f>
        <v/>
      </c>
      <c r="C4886" t="str">
        <f>IFERROR(__xludf.DUMMYFUNCTION("""COMPUTED_VALUE"""),"")</f>
        <v/>
      </c>
      <c r="D4886" t="str">
        <f>IFERROR(__xludf.DUMMYFUNCTION("""COMPUTED_VALUE"""),"")</f>
        <v/>
      </c>
      <c r="E4886" t="str">
        <f>IFERROR(__xludf.DUMMYFUNCTION("""COMPUTED_VALUE"""),"")</f>
        <v/>
      </c>
      <c r="F4886" t="str">
        <f>IFERROR(__xludf.DUMMYFUNCTION("""COMPUTED_VALUE"""),"")</f>
        <v/>
      </c>
      <c r="G4886" t="str">
        <f>IFERROR(__xludf.DUMMYFUNCTION("""COMPUTED_VALUE"""),"")</f>
        <v/>
      </c>
      <c r="H4886" s="2" t="str">
        <f>IFERROR(__xludf.DUMMYFUNCTION("""COMPUTED_VALUE"""),"")</f>
        <v/>
      </c>
      <c r="I4886" s="2" t="str">
        <f>IFERROR(__xludf.DUMMYFUNCTION("""COMPUTED_VALUE"""),"")</f>
        <v/>
      </c>
      <c r="J4886" s="2">
        <f>IFERROR(__xludf.DUMMYFUNCTION("""COMPUTED_VALUE"""),0.0)</f>
        <v>0</v>
      </c>
      <c r="K4886" s="5" t="str">
        <f>IFERROR(__xludf.DUMMYFUNCTION("""COMPUTED_VALUE"""),"")</f>
        <v/>
      </c>
      <c r="L4886" t="str">
        <f>IFERROR(__xludf.DUMMYFUNCTION("""COMPUTED_VALUE"""),"")</f>
        <v/>
      </c>
      <c r="M4886" t="str">
        <f>IFERROR(__xludf.DUMMYFUNCTION("""COMPUTED_VALUE"""),"")</f>
        <v/>
      </c>
      <c r="N4886" t="str">
        <f>IFERROR(__xludf.DUMMYFUNCTION("""COMPUTED_VALUE"""),"")</f>
        <v/>
      </c>
      <c r="O4886" t="str">
        <f>IFERROR(__xludf.DUMMYFUNCTION("""COMPUTED_VALUE"""),"")</f>
        <v/>
      </c>
      <c r="P4886" t="str">
        <f>IFERROR(__xludf.DUMMYFUNCTION("""COMPUTED_VALUE"""),"ID ")</f>
        <v>ID </v>
      </c>
    </row>
    <row r="4887">
      <c r="A4887" s="6" t="str">
        <f>IFERROR(__xludf.DUMMYFUNCTION("""COMPUTED_VALUE"""),"")</f>
        <v/>
      </c>
      <c r="C4887" t="str">
        <f>IFERROR(__xludf.DUMMYFUNCTION("""COMPUTED_VALUE"""),"")</f>
        <v/>
      </c>
      <c r="D4887" t="str">
        <f>IFERROR(__xludf.DUMMYFUNCTION("""COMPUTED_VALUE"""),"")</f>
        <v/>
      </c>
      <c r="E4887" t="str">
        <f>IFERROR(__xludf.DUMMYFUNCTION("""COMPUTED_VALUE"""),"")</f>
        <v/>
      </c>
      <c r="F4887" t="str">
        <f>IFERROR(__xludf.DUMMYFUNCTION("""COMPUTED_VALUE"""),"")</f>
        <v/>
      </c>
      <c r="G4887" t="str">
        <f>IFERROR(__xludf.DUMMYFUNCTION("""COMPUTED_VALUE"""),"")</f>
        <v/>
      </c>
      <c r="H4887" s="2" t="str">
        <f>IFERROR(__xludf.DUMMYFUNCTION("""COMPUTED_VALUE"""),"")</f>
        <v/>
      </c>
      <c r="I4887" s="2" t="str">
        <f>IFERROR(__xludf.DUMMYFUNCTION("""COMPUTED_VALUE"""),"")</f>
        <v/>
      </c>
      <c r="J4887" s="2">
        <f>IFERROR(__xludf.DUMMYFUNCTION("""COMPUTED_VALUE"""),0.0)</f>
        <v>0</v>
      </c>
      <c r="K4887" s="5" t="str">
        <f>IFERROR(__xludf.DUMMYFUNCTION("""COMPUTED_VALUE"""),"")</f>
        <v/>
      </c>
      <c r="L4887" t="str">
        <f>IFERROR(__xludf.DUMMYFUNCTION("""COMPUTED_VALUE"""),"")</f>
        <v/>
      </c>
      <c r="M4887" t="str">
        <f>IFERROR(__xludf.DUMMYFUNCTION("""COMPUTED_VALUE"""),"")</f>
        <v/>
      </c>
      <c r="N4887" t="str">
        <f>IFERROR(__xludf.DUMMYFUNCTION("""COMPUTED_VALUE"""),"")</f>
        <v/>
      </c>
      <c r="O4887" t="str">
        <f>IFERROR(__xludf.DUMMYFUNCTION("""COMPUTED_VALUE"""),"")</f>
        <v/>
      </c>
      <c r="P4887" t="str">
        <f>IFERROR(__xludf.DUMMYFUNCTION("""COMPUTED_VALUE"""),"ID ")</f>
        <v>ID </v>
      </c>
    </row>
    <row r="4888">
      <c r="A4888" s="6" t="str">
        <f>IFERROR(__xludf.DUMMYFUNCTION("""COMPUTED_VALUE"""),"")</f>
        <v/>
      </c>
      <c r="C4888" t="str">
        <f>IFERROR(__xludf.DUMMYFUNCTION("""COMPUTED_VALUE"""),"")</f>
        <v/>
      </c>
      <c r="D4888" t="str">
        <f>IFERROR(__xludf.DUMMYFUNCTION("""COMPUTED_VALUE"""),"")</f>
        <v/>
      </c>
      <c r="E4888" t="str">
        <f>IFERROR(__xludf.DUMMYFUNCTION("""COMPUTED_VALUE"""),"")</f>
        <v/>
      </c>
      <c r="F4888" t="str">
        <f>IFERROR(__xludf.DUMMYFUNCTION("""COMPUTED_VALUE"""),"")</f>
        <v/>
      </c>
      <c r="G4888" t="str">
        <f>IFERROR(__xludf.DUMMYFUNCTION("""COMPUTED_VALUE"""),"")</f>
        <v/>
      </c>
      <c r="H4888" s="2" t="str">
        <f>IFERROR(__xludf.DUMMYFUNCTION("""COMPUTED_VALUE"""),"")</f>
        <v/>
      </c>
      <c r="I4888" s="2" t="str">
        <f>IFERROR(__xludf.DUMMYFUNCTION("""COMPUTED_VALUE"""),"")</f>
        <v/>
      </c>
      <c r="J4888" s="2">
        <f>IFERROR(__xludf.DUMMYFUNCTION("""COMPUTED_VALUE"""),0.0)</f>
        <v>0</v>
      </c>
      <c r="K4888" s="5" t="str">
        <f>IFERROR(__xludf.DUMMYFUNCTION("""COMPUTED_VALUE"""),"")</f>
        <v/>
      </c>
      <c r="L4888" t="str">
        <f>IFERROR(__xludf.DUMMYFUNCTION("""COMPUTED_VALUE"""),"")</f>
        <v/>
      </c>
      <c r="M4888" t="str">
        <f>IFERROR(__xludf.DUMMYFUNCTION("""COMPUTED_VALUE"""),"")</f>
        <v/>
      </c>
      <c r="N4888" t="str">
        <f>IFERROR(__xludf.DUMMYFUNCTION("""COMPUTED_VALUE"""),"")</f>
        <v/>
      </c>
      <c r="O4888" t="str">
        <f>IFERROR(__xludf.DUMMYFUNCTION("""COMPUTED_VALUE"""),"")</f>
        <v/>
      </c>
      <c r="P4888" t="str">
        <f>IFERROR(__xludf.DUMMYFUNCTION("""COMPUTED_VALUE"""),"ID ")</f>
        <v>ID </v>
      </c>
    </row>
    <row r="4889">
      <c r="A4889" s="6" t="str">
        <f>IFERROR(__xludf.DUMMYFUNCTION("""COMPUTED_VALUE"""),"")</f>
        <v/>
      </c>
      <c r="C4889" t="str">
        <f>IFERROR(__xludf.DUMMYFUNCTION("""COMPUTED_VALUE"""),"")</f>
        <v/>
      </c>
      <c r="D4889" t="str">
        <f>IFERROR(__xludf.DUMMYFUNCTION("""COMPUTED_VALUE"""),"")</f>
        <v/>
      </c>
      <c r="E4889" t="str">
        <f>IFERROR(__xludf.DUMMYFUNCTION("""COMPUTED_VALUE"""),"")</f>
        <v/>
      </c>
      <c r="F4889" t="str">
        <f>IFERROR(__xludf.DUMMYFUNCTION("""COMPUTED_VALUE"""),"")</f>
        <v/>
      </c>
      <c r="G4889" t="str">
        <f>IFERROR(__xludf.DUMMYFUNCTION("""COMPUTED_VALUE"""),"")</f>
        <v/>
      </c>
      <c r="H4889" s="2" t="str">
        <f>IFERROR(__xludf.DUMMYFUNCTION("""COMPUTED_VALUE"""),"")</f>
        <v/>
      </c>
      <c r="I4889" s="2" t="str">
        <f>IFERROR(__xludf.DUMMYFUNCTION("""COMPUTED_VALUE"""),"")</f>
        <v/>
      </c>
      <c r="J4889" s="2">
        <f>IFERROR(__xludf.DUMMYFUNCTION("""COMPUTED_VALUE"""),0.0)</f>
        <v>0</v>
      </c>
      <c r="K4889" s="5" t="str">
        <f>IFERROR(__xludf.DUMMYFUNCTION("""COMPUTED_VALUE"""),"")</f>
        <v/>
      </c>
      <c r="L4889" t="str">
        <f>IFERROR(__xludf.DUMMYFUNCTION("""COMPUTED_VALUE"""),"")</f>
        <v/>
      </c>
      <c r="M4889" t="str">
        <f>IFERROR(__xludf.DUMMYFUNCTION("""COMPUTED_VALUE"""),"")</f>
        <v/>
      </c>
      <c r="N4889" t="str">
        <f>IFERROR(__xludf.DUMMYFUNCTION("""COMPUTED_VALUE"""),"")</f>
        <v/>
      </c>
      <c r="O4889" t="str">
        <f>IFERROR(__xludf.DUMMYFUNCTION("""COMPUTED_VALUE"""),"")</f>
        <v/>
      </c>
      <c r="P4889" t="str">
        <f>IFERROR(__xludf.DUMMYFUNCTION("""COMPUTED_VALUE"""),"ID ")</f>
        <v>ID </v>
      </c>
    </row>
    <row r="4890">
      <c r="A4890" s="6" t="str">
        <f>IFERROR(__xludf.DUMMYFUNCTION("""COMPUTED_VALUE"""),"")</f>
        <v/>
      </c>
      <c r="C4890" t="str">
        <f>IFERROR(__xludf.DUMMYFUNCTION("""COMPUTED_VALUE"""),"")</f>
        <v/>
      </c>
      <c r="D4890" t="str">
        <f>IFERROR(__xludf.DUMMYFUNCTION("""COMPUTED_VALUE"""),"")</f>
        <v/>
      </c>
      <c r="E4890" t="str">
        <f>IFERROR(__xludf.DUMMYFUNCTION("""COMPUTED_VALUE"""),"")</f>
        <v/>
      </c>
      <c r="F4890" t="str">
        <f>IFERROR(__xludf.DUMMYFUNCTION("""COMPUTED_VALUE"""),"")</f>
        <v/>
      </c>
      <c r="G4890" t="str">
        <f>IFERROR(__xludf.DUMMYFUNCTION("""COMPUTED_VALUE"""),"")</f>
        <v/>
      </c>
      <c r="H4890" s="2" t="str">
        <f>IFERROR(__xludf.DUMMYFUNCTION("""COMPUTED_VALUE"""),"")</f>
        <v/>
      </c>
      <c r="I4890" s="2" t="str">
        <f>IFERROR(__xludf.DUMMYFUNCTION("""COMPUTED_VALUE"""),"")</f>
        <v/>
      </c>
      <c r="J4890" s="2">
        <f>IFERROR(__xludf.DUMMYFUNCTION("""COMPUTED_VALUE"""),0.0)</f>
        <v>0</v>
      </c>
      <c r="K4890" s="5" t="str">
        <f>IFERROR(__xludf.DUMMYFUNCTION("""COMPUTED_VALUE"""),"")</f>
        <v/>
      </c>
      <c r="L4890" t="str">
        <f>IFERROR(__xludf.DUMMYFUNCTION("""COMPUTED_VALUE"""),"")</f>
        <v/>
      </c>
      <c r="M4890" t="str">
        <f>IFERROR(__xludf.DUMMYFUNCTION("""COMPUTED_VALUE"""),"")</f>
        <v/>
      </c>
      <c r="N4890" t="str">
        <f>IFERROR(__xludf.DUMMYFUNCTION("""COMPUTED_VALUE"""),"")</f>
        <v/>
      </c>
      <c r="O4890" t="str">
        <f>IFERROR(__xludf.DUMMYFUNCTION("""COMPUTED_VALUE"""),"")</f>
        <v/>
      </c>
      <c r="P4890" t="str">
        <f>IFERROR(__xludf.DUMMYFUNCTION("""COMPUTED_VALUE"""),"ID ")</f>
        <v>ID </v>
      </c>
    </row>
    <row r="4891">
      <c r="A4891" s="6" t="str">
        <f>IFERROR(__xludf.DUMMYFUNCTION("""COMPUTED_VALUE"""),"")</f>
        <v/>
      </c>
      <c r="C4891" t="str">
        <f>IFERROR(__xludf.DUMMYFUNCTION("""COMPUTED_VALUE"""),"")</f>
        <v/>
      </c>
      <c r="D4891" t="str">
        <f>IFERROR(__xludf.DUMMYFUNCTION("""COMPUTED_VALUE"""),"")</f>
        <v/>
      </c>
      <c r="E4891" t="str">
        <f>IFERROR(__xludf.DUMMYFUNCTION("""COMPUTED_VALUE"""),"")</f>
        <v/>
      </c>
      <c r="F4891" t="str">
        <f>IFERROR(__xludf.DUMMYFUNCTION("""COMPUTED_VALUE"""),"")</f>
        <v/>
      </c>
      <c r="G4891" t="str">
        <f>IFERROR(__xludf.DUMMYFUNCTION("""COMPUTED_VALUE"""),"")</f>
        <v/>
      </c>
      <c r="H4891" s="2" t="str">
        <f>IFERROR(__xludf.DUMMYFUNCTION("""COMPUTED_VALUE"""),"")</f>
        <v/>
      </c>
      <c r="I4891" s="2" t="str">
        <f>IFERROR(__xludf.DUMMYFUNCTION("""COMPUTED_VALUE"""),"")</f>
        <v/>
      </c>
      <c r="J4891" s="2">
        <f>IFERROR(__xludf.DUMMYFUNCTION("""COMPUTED_VALUE"""),0.0)</f>
        <v>0</v>
      </c>
      <c r="K4891" s="5" t="str">
        <f>IFERROR(__xludf.DUMMYFUNCTION("""COMPUTED_VALUE"""),"")</f>
        <v/>
      </c>
      <c r="L4891" t="str">
        <f>IFERROR(__xludf.DUMMYFUNCTION("""COMPUTED_VALUE"""),"")</f>
        <v/>
      </c>
      <c r="M4891" t="str">
        <f>IFERROR(__xludf.DUMMYFUNCTION("""COMPUTED_VALUE"""),"")</f>
        <v/>
      </c>
      <c r="N4891" t="str">
        <f>IFERROR(__xludf.DUMMYFUNCTION("""COMPUTED_VALUE"""),"")</f>
        <v/>
      </c>
      <c r="O4891" t="str">
        <f>IFERROR(__xludf.DUMMYFUNCTION("""COMPUTED_VALUE"""),"")</f>
        <v/>
      </c>
      <c r="P4891" t="str">
        <f>IFERROR(__xludf.DUMMYFUNCTION("""COMPUTED_VALUE"""),"ID ")</f>
        <v>ID </v>
      </c>
    </row>
    <row r="4892">
      <c r="A4892" s="6" t="str">
        <f>IFERROR(__xludf.DUMMYFUNCTION("""COMPUTED_VALUE"""),"")</f>
        <v/>
      </c>
      <c r="C4892" t="str">
        <f>IFERROR(__xludf.DUMMYFUNCTION("""COMPUTED_VALUE"""),"")</f>
        <v/>
      </c>
      <c r="D4892" t="str">
        <f>IFERROR(__xludf.DUMMYFUNCTION("""COMPUTED_VALUE"""),"")</f>
        <v/>
      </c>
      <c r="E4892" t="str">
        <f>IFERROR(__xludf.DUMMYFUNCTION("""COMPUTED_VALUE"""),"")</f>
        <v/>
      </c>
      <c r="F4892" t="str">
        <f>IFERROR(__xludf.DUMMYFUNCTION("""COMPUTED_VALUE"""),"")</f>
        <v/>
      </c>
      <c r="G4892" t="str">
        <f>IFERROR(__xludf.DUMMYFUNCTION("""COMPUTED_VALUE"""),"")</f>
        <v/>
      </c>
      <c r="H4892" s="2" t="str">
        <f>IFERROR(__xludf.DUMMYFUNCTION("""COMPUTED_VALUE"""),"")</f>
        <v/>
      </c>
      <c r="I4892" s="2" t="str">
        <f>IFERROR(__xludf.DUMMYFUNCTION("""COMPUTED_VALUE"""),"")</f>
        <v/>
      </c>
      <c r="J4892" s="2">
        <f>IFERROR(__xludf.DUMMYFUNCTION("""COMPUTED_VALUE"""),0.0)</f>
        <v>0</v>
      </c>
      <c r="K4892" s="5" t="str">
        <f>IFERROR(__xludf.DUMMYFUNCTION("""COMPUTED_VALUE"""),"")</f>
        <v/>
      </c>
      <c r="L4892" t="str">
        <f>IFERROR(__xludf.DUMMYFUNCTION("""COMPUTED_VALUE"""),"")</f>
        <v/>
      </c>
      <c r="M4892" t="str">
        <f>IFERROR(__xludf.DUMMYFUNCTION("""COMPUTED_VALUE"""),"")</f>
        <v/>
      </c>
      <c r="N4892" t="str">
        <f>IFERROR(__xludf.DUMMYFUNCTION("""COMPUTED_VALUE"""),"")</f>
        <v/>
      </c>
      <c r="O4892" t="str">
        <f>IFERROR(__xludf.DUMMYFUNCTION("""COMPUTED_VALUE"""),"")</f>
        <v/>
      </c>
      <c r="P4892" t="str">
        <f>IFERROR(__xludf.DUMMYFUNCTION("""COMPUTED_VALUE"""),"ID ")</f>
        <v>ID </v>
      </c>
    </row>
    <row r="4893">
      <c r="A4893" s="6" t="str">
        <f>IFERROR(__xludf.DUMMYFUNCTION("""COMPUTED_VALUE"""),"")</f>
        <v/>
      </c>
      <c r="C4893" t="str">
        <f>IFERROR(__xludf.DUMMYFUNCTION("""COMPUTED_VALUE"""),"")</f>
        <v/>
      </c>
      <c r="D4893" t="str">
        <f>IFERROR(__xludf.DUMMYFUNCTION("""COMPUTED_VALUE"""),"")</f>
        <v/>
      </c>
      <c r="E4893" t="str">
        <f>IFERROR(__xludf.DUMMYFUNCTION("""COMPUTED_VALUE"""),"")</f>
        <v/>
      </c>
      <c r="F4893" t="str">
        <f>IFERROR(__xludf.DUMMYFUNCTION("""COMPUTED_VALUE"""),"")</f>
        <v/>
      </c>
      <c r="G4893" t="str">
        <f>IFERROR(__xludf.DUMMYFUNCTION("""COMPUTED_VALUE"""),"")</f>
        <v/>
      </c>
      <c r="H4893" s="2" t="str">
        <f>IFERROR(__xludf.DUMMYFUNCTION("""COMPUTED_VALUE"""),"")</f>
        <v/>
      </c>
      <c r="I4893" s="2" t="str">
        <f>IFERROR(__xludf.DUMMYFUNCTION("""COMPUTED_VALUE"""),"")</f>
        <v/>
      </c>
      <c r="J4893" s="2">
        <f>IFERROR(__xludf.DUMMYFUNCTION("""COMPUTED_VALUE"""),0.0)</f>
        <v>0</v>
      </c>
      <c r="K4893" s="5" t="str">
        <f>IFERROR(__xludf.DUMMYFUNCTION("""COMPUTED_VALUE"""),"")</f>
        <v/>
      </c>
      <c r="L4893" t="str">
        <f>IFERROR(__xludf.DUMMYFUNCTION("""COMPUTED_VALUE"""),"")</f>
        <v/>
      </c>
      <c r="M4893" t="str">
        <f>IFERROR(__xludf.DUMMYFUNCTION("""COMPUTED_VALUE"""),"")</f>
        <v/>
      </c>
      <c r="N4893" t="str">
        <f>IFERROR(__xludf.DUMMYFUNCTION("""COMPUTED_VALUE"""),"")</f>
        <v/>
      </c>
      <c r="O4893" t="str">
        <f>IFERROR(__xludf.DUMMYFUNCTION("""COMPUTED_VALUE"""),"")</f>
        <v/>
      </c>
      <c r="P4893" t="str">
        <f>IFERROR(__xludf.DUMMYFUNCTION("""COMPUTED_VALUE"""),"ID ")</f>
        <v>ID </v>
      </c>
    </row>
    <row r="4894">
      <c r="A4894" s="6" t="str">
        <f>IFERROR(__xludf.DUMMYFUNCTION("""COMPUTED_VALUE"""),"")</f>
        <v/>
      </c>
      <c r="C4894" t="str">
        <f>IFERROR(__xludf.DUMMYFUNCTION("""COMPUTED_VALUE"""),"")</f>
        <v/>
      </c>
      <c r="D4894" t="str">
        <f>IFERROR(__xludf.DUMMYFUNCTION("""COMPUTED_VALUE"""),"")</f>
        <v/>
      </c>
      <c r="E4894" t="str">
        <f>IFERROR(__xludf.DUMMYFUNCTION("""COMPUTED_VALUE"""),"")</f>
        <v/>
      </c>
      <c r="F4894" t="str">
        <f>IFERROR(__xludf.DUMMYFUNCTION("""COMPUTED_VALUE"""),"")</f>
        <v/>
      </c>
      <c r="G4894" t="str">
        <f>IFERROR(__xludf.DUMMYFUNCTION("""COMPUTED_VALUE"""),"")</f>
        <v/>
      </c>
      <c r="H4894" s="2" t="str">
        <f>IFERROR(__xludf.DUMMYFUNCTION("""COMPUTED_VALUE"""),"")</f>
        <v/>
      </c>
      <c r="I4894" s="2" t="str">
        <f>IFERROR(__xludf.DUMMYFUNCTION("""COMPUTED_VALUE"""),"")</f>
        <v/>
      </c>
      <c r="J4894" s="2">
        <f>IFERROR(__xludf.DUMMYFUNCTION("""COMPUTED_VALUE"""),0.0)</f>
        <v>0</v>
      </c>
      <c r="K4894" s="5" t="str">
        <f>IFERROR(__xludf.DUMMYFUNCTION("""COMPUTED_VALUE"""),"")</f>
        <v/>
      </c>
      <c r="L4894" t="str">
        <f>IFERROR(__xludf.DUMMYFUNCTION("""COMPUTED_VALUE"""),"")</f>
        <v/>
      </c>
      <c r="M4894" t="str">
        <f>IFERROR(__xludf.DUMMYFUNCTION("""COMPUTED_VALUE"""),"")</f>
        <v/>
      </c>
      <c r="N4894" t="str">
        <f>IFERROR(__xludf.DUMMYFUNCTION("""COMPUTED_VALUE"""),"")</f>
        <v/>
      </c>
      <c r="O4894" t="str">
        <f>IFERROR(__xludf.DUMMYFUNCTION("""COMPUTED_VALUE"""),"")</f>
        <v/>
      </c>
      <c r="P4894" t="str">
        <f>IFERROR(__xludf.DUMMYFUNCTION("""COMPUTED_VALUE"""),"ID ")</f>
        <v>ID </v>
      </c>
    </row>
    <row r="4895">
      <c r="A4895" s="6" t="str">
        <f>IFERROR(__xludf.DUMMYFUNCTION("""COMPUTED_VALUE"""),"")</f>
        <v/>
      </c>
      <c r="C4895" t="str">
        <f>IFERROR(__xludf.DUMMYFUNCTION("""COMPUTED_VALUE"""),"")</f>
        <v/>
      </c>
      <c r="D4895" t="str">
        <f>IFERROR(__xludf.DUMMYFUNCTION("""COMPUTED_VALUE"""),"")</f>
        <v/>
      </c>
      <c r="E4895" t="str">
        <f>IFERROR(__xludf.DUMMYFUNCTION("""COMPUTED_VALUE"""),"")</f>
        <v/>
      </c>
      <c r="F4895" t="str">
        <f>IFERROR(__xludf.DUMMYFUNCTION("""COMPUTED_VALUE"""),"")</f>
        <v/>
      </c>
      <c r="G4895" t="str">
        <f>IFERROR(__xludf.DUMMYFUNCTION("""COMPUTED_VALUE"""),"")</f>
        <v/>
      </c>
      <c r="H4895" s="2" t="str">
        <f>IFERROR(__xludf.DUMMYFUNCTION("""COMPUTED_VALUE"""),"")</f>
        <v/>
      </c>
      <c r="I4895" s="2" t="str">
        <f>IFERROR(__xludf.DUMMYFUNCTION("""COMPUTED_VALUE"""),"")</f>
        <v/>
      </c>
      <c r="J4895" s="2">
        <f>IFERROR(__xludf.DUMMYFUNCTION("""COMPUTED_VALUE"""),0.0)</f>
        <v>0</v>
      </c>
      <c r="K4895" s="5" t="str">
        <f>IFERROR(__xludf.DUMMYFUNCTION("""COMPUTED_VALUE"""),"")</f>
        <v/>
      </c>
      <c r="L4895" t="str">
        <f>IFERROR(__xludf.DUMMYFUNCTION("""COMPUTED_VALUE"""),"")</f>
        <v/>
      </c>
      <c r="M4895" t="str">
        <f>IFERROR(__xludf.DUMMYFUNCTION("""COMPUTED_VALUE"""),"")</f>
        <v/>
      </c>
      <c r="N4895" t="str">
        <f>IFERROR(__xludf.DUMMYFUNCTION("""COMPUTED_VALUE"""),"")</f>
        <v/>
      </c>
      <c r="O4895" t="str">
        <f>IFERROR(__xludf.DUMMYFUNCTION("""COMPUTED_VALUE"""),"")</f>
        <v/>
      </c>
      <c r="P4895" t="str">
        <f>IFERROR(__xludf.DUMMYFUNCTION("""COMPUTED_VALUE"""),"ID ")</f>
        <v>ID </v>
      </c>
    </row>
    <row r="4896">
      <c r="A4896" s="6" t="str">
        <f>IFERROR(__xludf.DUMMYFUNCTION("""COMPUTED_VALUE"""),"")</f>
        <v/>
      </c>
      <c r="C4896" t="str">
        <f>IFERROR(__xludf.DUMMYFUNCTION("""COMPUTED_VALUE"""),"")</f>
        <v/>
      </c>
      <c r="D4896" t="str">
        <f>IFERROR(__xludf.DUMMYFUNCTION("""COMPUTED_VALUE"""),"")</f>
        <v/>
      </c>
      <c r="E4896" t="str">
        <f>IFERROR(__xludf.DUMMYFUNCTION("""COMPUTED_VALUE"""),"")</f>
        <v/>
      </c>
      <c r="F4896" t="str">
        <f>IFERROR(__xludf.DUMMYFUNCTION("""COMPUTED_VALUE"""),"")</f>
        <v/>
      </c>
      <c r="G4896" t="str">
        <f>IFERROR(__xludf.DUMMYFUNCTION("""COMPUTED_VALUE"""),"")</f>
        <v/>
      </c>
      <c r="H4896" s="2" t="str">
        <f>IFERROR(__xludf.DUMMYFUNCTION("""COMPUTED_VALUE"""),"")</f>
        <v/>
      </c>
      <c r="I4896" s="2" t="str">
        <f>IFERROR(__xludf.DUMMYFUNCTION("""COMPUTED_VALUE"""),"")</f>
        <v/>
      </c>
      <c r="J4896" s="2">
        <f>IFERROR(__xludf.DUMMYFUNCTION("""COMPUTED_VALUE"""),0.0)</f>
        <v>0</v>
      </c>
      <c r="K4896" s="5" t="str">
        <f>IFERROR(__xludf.DUMMYFUNCTION("""COMPUTED_VALUE"""),"")</f>
        <v/>
      </c>
      <c r="L4896" t="str">
        <f>IFERROR(__xludf.DUMMYFUNCTION("""COMPUTED_VALUE"""),"")</f>
        <v/>
      </c>
      <c r="M4896" t="str">
        <f>IFERROR(__xludf.DUMMYFUNCTION("""COMPUTED_VALUE"""),"")</f>
        <v/>
      </c>
      <c r="N4896" t="str">
        <f>IFERROR(__xludf.DUMMYFUNCTION("""COMPUTED_VALUE"""),"")</f>
        <v/>
      </c>
      <c r="O4896" t="str">
        <f>IFERROR(__xludf.DUMMYFUNCTION("""COMPUTED_VALUE"""),"")</f>
        <v/>
      </c>
      <c r="P4896" t="str">
        <f>IFERROR(__xludf.DUMMYFUNCTION("""COMPUTED_VALUE"""),"ID ")</f>
        <v>ID </v>
      </c>
    </row>
    <row r="4897">
      <c r="A4897" s="6" t="str">
        <f>IFERROR(__xludf.DUMMYFUNCTION("""COMPUTED_VALUE"""),"")</f>
        <v/>
      </c>
      <c r="C4897" t="str">
        <f>IFERROR(__xludf.DUMMYFUNCTION("""COMPUTED_VALUE"""),"")</f>
        <v/>
      </c>
      <c r="D4897" t="str">
        <f>IFERROR(__xludf.DUMMYFUNCTION("""COMPUTED_VALUE"""),"")</f>
        <v/>
      </c>
      <c r="E4897" t="str">
        <f>IFERROR(__xludf.DUMMYFUNCTION("""COMPUTED_VALUE"""),"")</f>
        <v/>
      </c>
      <c r="F4897" t="str">
        <f>IFERROR(__xludf.DUMMYFUNCTION("""COMPUTED_VALUE"""),"")</f>
        <v/>
      </c>
      <c r="G4897" t="str">
        <f>IFERROR(__xludf.DUMMYFUNCTION("""COMPUTED_VALUE"""),"")</f>
        <v/>
      </c>
      <c r="H4897" s="2" t="str">
        <f>IFERROR(__xludf.DUMMYFUNCTION("""COMPUTED_VALUE"""),"")</f>
        <v/>
      </c>
      <c r="I4897" s="2" t="str">
        <f>IFERROR(__xludf.DUMMYFUNCTION("""COMPUTED_VALUE"""),"")</f>
        <v/>
      </c>
      <c r="J4897" s="2">
        <f>IFERROR(__xludf.DUMMYFUNCTION("""COMPUTED_VALUE"""),0.0)</f>
        <v>0</v>
      </c>
      <c r="K4897" s="5" t="str">
        <f>IFERROR(__xludf.DUMMYFUNCTION("""COMPUTED_VALUE"""),"")</f>
        <v/>
      </c>
      <c r="L4897" t="str">
        <f>IFERROR(__xludf.DUMMYFUNCTION("""COMPUTED_VALUE"""),"")</f>
        <v/>
      </c>
      <c r="M4897" t="str">
        <f>IFERROR(__xludf.DUMMYFUNCTION("""COMPUTED_VALUE"""),"")</f>
        <v/>
      </c>
      <c r="N4897" t="str">
        <f>IFERROR(__xludf.DUMMYFUNCTION("""COMPUTED_VALUE"""),"")</f>
        <v/>
      </c>
      <c r="O4897" t="str">
        <f>IFERROR(__xludf.DUMMYFUNCTION("""COMPUTED_VALUE"""),"")</f>
        <v/>
      </c>
      <c r="P4897" t="str">
        <f>IFERROR(__xludf.DUMMYFUNCTION("""COMPUTED_VALUE"""),"ID ")</f>
        <v>ID </v>
      </c>
    </row>
    <row r="4898">
      <c r="A4898" s="6" t="str">
        <f>IFERROR(__xludf.DUMMYFUNCTION("""COMPUTED_VALUE"""),"")</f>
        <v/>
      </c>
      <c r="C4898" t="str">
        <f>IFERROR(__xludf.DUMMYFUNCTION("""COMPUTED_VALUE"""),"")</f>
        <v/>
      </c>
      <c r="D4898" t="str">
        <f>IFERROR(__xludf.DUMMYFUNCTION("""COMPUTED_VALUE"""),"")</f>
        <v/>
      </c>
      <c r="E4898" t="str">
        <f>IFERROR(__xludf.DUMMYFUNCTION("""COMPUTED_VALUE"""),"")</f>
        <v/>
      </c>
      <c r="F4898" t="str">
        <f>IFERROR(__xludf.DUMMYFUNCTION("""COMPUTED_VALUE"""),"")</f>
        <v/>
      </c>
      <c r="G4898" t="str">
        <f>IFERROR(__xludf.DUMMYFUNCTION("""COMPUTED_VALUE"""),"")</f>
        <v/>
      </c>
      <c r="H4898" s="2" t="str">
        <f>IFERROR(__xludf.DUMMYFUNCTION("""COMPUTED_VALUE"""),"")</f>
        <v/>
      </c>
      <c r="I4898" s="2" t="str">
        <f>IFERROR(__xludf.DUMMYFUNCTION("""COMPUTED_VALUE"""),"")</f>
        <v/>
      </c>
      <c r="J4898" s="2">
        <f>IFERROR(__xludf.DUMMYFUNCTION("""COMPUTED_VALUE"""),0.0)</f>
        <v>0</v>
      </c>
      <c r="K4898" s="5" t="str">
        <f>IFERROR(__xludf.DUMMYFUNCTION("""COMPUTED_VALUE"""),"")</f>
        <v/>
      </c>
      <c r="L4898" t="str">
        <f>IFERROR(__xludf.DUMMYFUNCTION("""COMPUTED_VALUE"""),"")</f>
        <v/>
      </c>
      <c r="M4898" t="str">
        <f>IFERROR(__xludf.DUMMYFUNCTION("""COMPUTED_VALUE"""),"")</f>
        <v/>
      </c>
      <c r="N4898" t="str">
        <f>IFERROR(__xludf.DUMMYFUNCTION("""COMPUTED_VALUE"""),"")</f>
        <v/>
      </c>
      <c r="O4898" t="str">
        <f>IFERROR(__xludf.DUMMYFUNCTION("""COMPUTED_VALUE"""),"")</f>
        <v/>
      </c>
      <c r="P4898" t="str">
        <f>IFERROR(__xludf.DUMMYFUNCTION("""COMPUTED_VALUE"""),"ID ")</f>
        <v>ID </v>
      </c>
    </row>
    <row r="4899">
      <c r="A4899" s="6" t="str">
        <f>IFERROR(__xludf.DUMMYFUNCTION("""COMPUTED_VALUE"""),"")</f>
        <v/>
      </c>
      <c r="C4899" t="str">
        <f>IFERROR(__xludf.DUMMYFUNCTION("""COMPUTED_VALUE"""),"")</f>
        <v/>
      </c>
      <c r="D4899" t="str">
        <f>IFERROR(__xludf.DUMMYFUNCTION("""COMPUTED_VALUE"""),"")</f>
        <v/>
      </c>
      <c r="E4899" t="str">
        <f>IFERROR(__xludf.DUMMYFUNCTION("""COMPUTED_VALUE"""),"")</f>
        <v/>
      </c>
      <c r="F4899" t="str">
        <f>IFERROR(__xludf.DUMMYFUNCTION("""COMPUTED_VALUE"""),"")</f>
        <v/>
      </c>
      <c r="G4899" t="str">
        <f>IFERROR(__xludf.DUMMYFUNCTION("""COMPUTED_VALUE"""),"")</f>
        <v/>
      </c>
      <c r="H4899" s="2" t="str">
        <f>IFERROR(__xludf.DUMMYFUNCTION("""COMPUTED_VALUE"""),"")</f>
        <v/>
      </c>
      <c r="I4899" s="2" t="str">
        <f>IFERROR(__xludf.DUMMYFUNCTION("""COMPUTED_VALUE"""),"")</f>
        <v/>
      </c>
      <c r="J4899" s="2">
        <f>IFERROR(__xludf.DUMMYFUNCTION("""COMPUTED_VALUE"""),0.0)</f>
        <v>0</v>
      </c>
      <c r="K4899" s="5" t="str">
        <f>IFERROR(__xludf.DUMMYFUNCTION("""COMPUTED_VALUE"""),"")</f>
        <v/>
      </c>
      <c r="L4899" t="str">
        <f>IFERROR(__xludf.DUMMYFUNCTION("""COMPUTED_VALUE"""),"")</f>
        <v/>
      </c>
      <c r="M4899" t="str">
        <f>IFERROR(__xludf.DUMMYFUNCTION("""COMPUTED_VALUE"""),"")</f>
        <v/>
      </c>
      <c r="N4899" t="str">
        <f>IFERROR(__xludf.DUMMYFUNCTION("""COMPUTED_VALUE"""),"")</f>
        <v/>
      </c>
      <c r="O4899" t="str">
        <f>IFERROR(__xludf.DUMMYFUNCTION("""COMPUTED_VALUE"""),"")</f>
        <v/>
      </c>
      <c r="P4899" t="str">
        <f>IFERROR(__xludf.DUMMYFUNCTION("""COMPUTED_VALUE"""),"ID ")</f>
        <v>ID </v>
      </c>
    </row>
    <row r="4900">
      <c r="A4900" s="6" t="str">
        <f>IFERROR(__xludf.DUMMYFUNCTION("""COMPUTED_VALUE"""),"")</f>
        <v/>
      </c>
      <c r="C4900" t="str">
        <f>IFERROR(__xludf.DUMMYFUNCTION("""COMPUTED_VALUE"""),"")</f>
        <v/>
      </c>
      <c r="D4900" t="str">
        <f>IFERROR(__xludf.DUMMYFUNCTION("""COMPUTED_VALUE"""),"")</f>
        <v/>
      </c>
      <c r="E4900" t="str">
        <f>IFERROR(__xludf.DUMMYFUNCTION("""COMPUTED_VALUE"""),"")</f>
        <v/>
      </c>
      <c r="F4900" t="str">
        <f>IFERROR(__xludf.DUMMYFUNCTION("""COMPUTED_VALUE"""),"")</f>
        <v/>
      </c>
      <c r="G4900" t="str">
        <f>IFERROR(__xludf.DUMMYFUNCTION("""COMPUTED_VALUE"""),"")</f>
        <v/>
      </c>
      <c r="H4900" s="2" t="str">
        <f>IFERROR(__xludf.DUMMYFUNCTION("""COMPUTED_VALUE"""),"")</f>
        <v/>
      </c>
      <c r="I4900" s="2" t="str">
        <f>IFERROR(__xludf.DUMMYFUNCTION("""COMPUTED_VALUE"""),"")</f>
        <v/>
      </c>
      <c r="J4900" s="2">
        <f>IFERROR(__xludf.DUMMYFUNCTION("""COMPUTED_VALUE"""),0.0)</f>
        <v>0</v>
      </c>
      <c r="K4900" s="5" t="str">
        <f>IFERROR(__xludf.DUMMYFUNCTION("""COMPUTED_VALUE"""),"")</f>
        <v/>
      </c>
      <c r="L4900" t="str">
        <f>IFERROR(__xludf.DUMMYFUNCTION("""COMPUTED_VALUE"""),"")</f>
        <v/>
      </c>
      <c r="M4900" t="str">
        <f>IFERROR(__xludf.DUMMYFUNCTION("""COMPUTED_VALUE"""),"")</f>
        <v/>
      </c>
      <c r="N4900" t="str">
        <f>IFERROR(__xludf.DUMMYFUNCTION("""COMPUTED_VALUE"""),"")</f>
        <v/>
      </c>
      <c r="O4900" t="str">
        <f>IFERROR(__xludf.DUMMYFUNCTION("""COMPUTED_VALUE"""),"")</f>
        <v/>
      </c>
      <c r="P4900" t="str">
        <f>IFERROR(__xludf.DUMMYFUNCTION("""COMPUTED_VALUE"""),"ID ")</f>
        <v>ID </v>
      </c>
    </row>
    <row r="4901">
      <c r="A4901" s="6" t="str">
        <f>IFERROR(__xludf.DUMMYFUNCTION("""COMPUTED_VALUE"""),"")</f>
        <v/>
      </c>
      <c r="C4901" t="str">
        <f>IFERROR(__xludf.DUMMYFUNCTION("""COMPUTED_VALUE"""),"")</f>
        <v/>
      </c>
      <c r="D4901" t="str">
        <f>IFERROR(__xludf.DUMMYFUNCTION("""COMPUTED_VALUE"""),"")</f>
        <v/>
      </c>
      <c r="E4901" t="str">
        <f>IFERROR(__xludf.DUMMYFUNCTION("""COMPUTED_VALUE"""),"")</f>
        <v/>
      </c>
      <c r="F4901" t="str">
        <f>IFERROR(__xludf.DUMMYFUNCTION("""COMPUTED_VALUE"""),"")</f>
        <v/>
      </c>
      <c r="G4901" t="str">
        <f>IFERROR(__xludf.DUMMYFUNCTION("""COMPUTED_VALUE"""),"")</f>
        <v/>
      </c>
      <c r="H4901" s="2" t="str">
        <f>IFERROR(__xludf.DUMMYFUNCTION("""COMPUTED_VALUE"""),"")</f>
        <v/>
      </c>
      <c r="I4901" s="2" t="str">
        <f>IFERROR(__xludf.DUMMYFUNCTION("""COMPUTED_VALUE"""),"")</f>
        <v/>
      </c>
      <c r="J4901" s="2">
        <f>IFERROR(__xludf.DUMMYFUNCTION("""COMPUTED_VALUE"""),0.0)</f>
        <v>0</v>
      </c>
      <c r="K4901" s="5" t="str">
        <f>IFERROR(__xludf.DUMMYFUNCTION("""COMPUTED_VALUE"""),"")</f>
        <v/>
      </c>
      <c r="L4901" t="str">
        <f>IFERROR(__xludf.DUMMYFUNCTION("""COMPUTED_VALUE"""),"")</f>
        <v/>
      </c>
      <c r="M4901" t="str">
        <f>IFERROR(__xludf.DUMMYFUNCTION("""COMPUTED_VALUE"""),"")</f>
        <v/>
      </c>
      <c r="N4901" t="str">
        <f>IFERROR(__xludf.DUMMYFUNCTION("""COMPUTED_VALUE"""),"")</f>
        <v/>
      </c>
      <c r="O4901" t="str">
        <f>IFERROR(__xludf.DUMMYFUNCTION("""COMPUTED_VALUE"""),"")</f>
        <v/>
      </c>
      <c r="P4901" t="str">
        <f>IFERROR(__xludf.DUMMYFUNCTION("""COMPUTED_VALUE"""),"ID ")</f>
        <v>ID </v>
      </c>
    </row>
    <row r="4902">
      <c r="A4902" s="6" t="str">
        <f>IFERROR(__xludf.DUMMYFUNCTION("""COMPUTED_VALUE"""),"")</f>
        <v/>
      </c>
      <c r="C4902" t="str">
        <f>IFERROR(__xludf.DUMMYFUNCTION("""COMPUTED_VALUE"""),"")</f>
        <v/>
      </c>
      <c r="D4902" t="str">
        <f>IFERROR(__xludf.DUMMYFUNCTION("""COMPUTED_VALUE"""),"")</f>
        <v/>
      </c>
      <c r="E4902" t="str">
        <f>IFERROR(__xludf.DUMMYFUNCTION("""COMPUTED_VALUE"""),"")</f>
        <v/>
      </c>
      <c r="F4902" t="str">
        <f>IFERROR(__xludf.DUMMYFUNCTION("""COMPUTED_VALUE"""),"")</f>
        <v/>
      </c>
      <c r="G4902" t="str">
        <f>IFERROR(__xludf.DUMMYFUNCTION("""COMPUTED_VALUE"""),"")</f>
        <v/>
      </c>
      <c r="H4902" s="2" t="str">
        <f>IFERROR(__xludf.DUMMYFUNCTION("""COMPUTED_VALUE"""),"")</f>
        <v/>
      </c>
      <c r="I4902" s="2" t="str">
        <f>IFERROR(__xludf.DUMMYFUNCTION("""COMPUTED_VALUE"""),"")</f>
        <v/>
      </c>
      <c r="J4902" s="2">
        <f>IFERROR(__xludf.DUMMYFUNCTION("""COMPUTED_VALUE"""),0.0)</f>
        <v>0</v>
      </c>
      <c r="K4902" s="5" t="str">
        <f>IFERROR(__xludf.DUMMYFUNCTION("""COMPUTED_VALUE"""),"")</f>
        <v/>
      </c>
      <c r="L4902" t="str">
        <f>IFERROR(__xludf.DUMMYFUNCTION("""COMPUTED_VALUE"""),"")</f>
        <v/>
      </c>
      <c r="M4902" t="str">
        <f>IFERROR(__xludf.DUMMYFUNCTION("""COMPUTED_VALUE"""),"")</f>
        <v/>
      </c>
      <c r="N4902" t="str">
        <f>IFERROR(__xludf.DUMMYFUNCTION("""COMPUTED_VALUE"""),"")</f>
        <v/>
      </c>
      <c r="O4902" t="str">
        <f>IFERROR(__xludf.DUMMYFUNCTION("""COMPUTED_VALUE"""),"")</f>
        <v/>
      </c>
      <c r="P4902" t="str">
        <f>IFERROR(__xludf.DUMMYFUNCTION("""COMPUTED_VALUE"""),"ID ")</f>
        <v>ID </v>
      </c>
    </row>
    <row r="4903">
      <c r="A4903" s="6" t="str">
        <f>IFERROR(__xludf.DUMMYFUNCTION("""COMPUTED_VALUE"""),"")</f>
        <v/>
      </c>
      <c r="C4903" t="str">
        <f>IFERROR(__xludf.DUMMYFUNCTION("""COMPUTED_VALUE"""),"")</f>
        <v/>
      </c>
      <c r="D4903" t="str">
        <f>IFERROR(__xludf.DUMMYFUNCTION("""COMPUTED_VALUE"""),"")</f>
        <v/>
      </c>
      <c r="E4903" t="str">
        <f>IFERROR(__xludf.DUMMYFUNCTION("""COMPUTED_VALUE"""),"")</f>
        <v/>
      </c>
      <c r="F4903" t="str">
        <f>IFERROR(__xludf.DUMMYFUNCTION("""COMPUTED_VALUE"""),"")</f>
        <v/>
      </c>
      <c r="G4903" t="str">
        <f>IFERROR(__xludf.DUMMYFUNCTION("""COMPUTED_VALUE"""),"")</f>
        <v/>
      </c>
      <c r="H4903" s="2" t="str">
        <f>IFERROR(__xludf.DUMMYFUNCTION("""COMPUTED_VALUE"""),"")</f>
        <v/>
      </c>
      <c r="I4903" s="2" t="str">
        <f>IFERROR(__xludf.DUMMYFUNCTION("""COMPUTED_VALUE"""),"")</f>
        <v/>
      </c>
      <c r="J4903" s="2">
        <f>IFERROR(__xludf.DUMMYFUNCTION("""COMPUTED_VALUE"""),0.0)</f>
        <v>0</v>
      </c>
      <c r="K4903" s="5" t="str">
        <f>IFERROR(__xludf.DUMMYFUNCTION("""COMPUTED_VALUE"""),"")</f>
        <v/>
      </c>
      <c r="L4903" t="str">
        <f>IFERROR(__xludf.DUMMYFUNCTION("""COMPUTED_VALUE"""),"")</f>
        <v/>
      </c>
      <c r="M4903" t="str">
        <f>IFERROR(__xludf.DUMMYFUNCTION("""COMPUTED_VALUE"""),"")</f>
        <v/>
      </c>
      <c r="N4903" t="str">
        <f>IFERROR(__xludf.DUMMYFUNCTION("""COMPUTED_VALUE"""),"")</f>
        <v/>
      </c>
      <c r="O4903" t="str">
        <f>IFERROR(__xludf.DUMMYFUNCTION("""COMPUTED_VALUE"""),"")</f>
        <v/>
      </c>
      <c r="P4903" t="str">
        <f>IFERROR(__xludf.DUMMYFUNCTION("""COMPUTED_VALUE"""),"ID ")</f>
        <v>ID </v>
      </c>
    </row>
    <row r="4904">
      <c r="A4904" s="6" t="str">
        <f>IFERROR(__xludf.DUMMYFUNCTION("""COMPUTED_VALUE"""),"")</f>
        <v/>
      </c>
      <c r="C4904" t="str">
        <f>IFERROR(__xludf.DUMMYFUNCTION("""COMPUTED_VALUE"""),"")</f>
        <v/>
      </c>
      <c r="D4904" t="str">
        <f>IFERROR(__xludf.DUMMYFUNCTION("""COMPUTED_VALUE"""),"")</f>
        <v/>
      </c>
      <c r="E4904" t="str">
        <f>IFERROR(__xludf.DUMMYFUNCTION("""COMPUTED_VALUE"""),"")</f>
        <v/>
      </c>
      <c r="F4904" t="str">
        <f>IFERROR(__xludf.DUMMYFUNCTION("""COMPUTED_VALUE"""),"")</f>
        <v/>
      </c>
      <c r="G4904" t="str">
        <f>IFERROR(__xludf.DUMMYFUNCTION("""COMPUTED_VALUE"""),"")</f>
        <v/>
      </c>
      <c r="H4904" s="2" t="str">
        <f>IFERROR(__xludf.DUMMYFUNCTION("""COMPUTED_VALUE"""),"")</f>
        <v/>
      </c>
      <c r="I4904" s="2" t="str">
        <f>IFERROR(__xludf.DUMMYFUNCTION("""COMPUTED_VALUE"""),"")</f>
        <v/>
      </c>
      <c r="J4904" s="2">
        <f>IFERROR(__xludf.DUMMYFUNCTION("""COMPUTED_VALUE"""),0.0)</f>
        <v>0</v>
      </c>
      <c r="K4904" s="5" t="str">
        <f>IFERROR(__xludf.DUMMYFUNCTION("""COMPUTED_VALUE"""),"")</f>
        <v/>
      </c>
      <c r="L4904" t="str">
        <f>IFERROR(__xludf.DUMMYFUNCTION("""COMPUTED_VALUE"""),"")</f>
        <v/>
      </c>
      <c r="M4904" t="str">
        <f>IFERROR(__xludf.DUMMYFUNCTION("""COMPUTED_VALUE"""),"")</f>
        <v/>
      </c>
      <c r="N4904" t="str">
        <f>IFERROR(__xludf.DUMMYFUNCTION("""COMPUTED_VALUE"""),"")</f>
        <v/>
      </c>
      <c r="O4904" t="str">
        <f>IFERROR(__xludf.DUMMYFUNCTION("""COMPUTED_VALUE"""),"")</f>
        <v/>
      </c>
      <c r="P4904" t="str">
        <f>IFERROR(__xludf.DUMMYFUNCTION("""COMPUTED_VALUE"""),"ID ")</f>
        <v>ID </v>
      </c>
    </row>
    <row r="4905">
      <c r="A4905" s="6" t="str">
        <f>IFERROR(__xludf.DUMMYFUNCTION("""COMPUTED_VALUE"""),"")</f>
        <v/>
      </c>
      <c r="C4905" t="str">
        <f>IFERROR(__xludf.DUMMYFUNCTION("""COMPUTED_VALUE"""),"")</f>
        <v/>
      </c>
      <c r="D4905" t="str">
        <f>IFERROR(__xludf.DUMMYFUNCTION("""COMPUTED_VALUE"""),"")</f>
        <v/>
      </c>
      <c r="E4905" t="str">
        <f>IFERROR(__xludf.DUMMYFUNCTION("""COMPUTED_VALUE"""),"")</f>
        <v/>
      </c>
      <c r="F4905" t="str">
        <f>IFERROR(__xludf.DUMMYFUNCTION("""COMPUTED_VALUE"""),"")</f>
        <v/>
      </c>
      <c r="G4905" t="str">
        <f>IFERROR(__xludf.DUMMYFUNCTION("""COMPUTED_VALUE"""),"")</f>
        <v/>
      </c>
      <c r="H4905" s="2" t="str">
        <f>IFERROR(__xludf.DUMMYFUNCTION("""COMPUTED_VALUE"""),"")</f>
        <v/>
      </c>
      <c r="I4905" s="2" t="str">
        <f>IFERROR(__xludf.DUMMYFUNCTION("""COMPUTED_VALUE"""),"")</f>
        <v/>
      </c>
      <c r="J4905" s="2">
        <f>IFERROR(__xludf.DUMMYFUNCTION("""COMPUTED_VALUE"""),0.0)</f>
        <v>0</v>
      </c>
      <c r="K4905" s="5" t="str">
        <f>IFERROR(__xludf.DUMMYFUNCTION("""COMPUTED_VALUE"""),"")</f>
        <v/>
      </c>
      <c r="L4905" t="str">
        <f>IFERROR(__xludf.DUMMYFUNCTION("""COMPUTED_VALUE"""),"")</f>
        <v/>
      </c>
      <c r="M4905" t="str">
        <f>IFERROR(__xludf.DUMMYFUNCTION("""COMPUTED_VALUE"""),"")</f>
        <v/>
      </c>
      <c r="N4905" t="str">
        <f>IFERROR(__xludf.DUMMYFUNCTION("""COMPUTED_VALUE"""),"")</f>
        <v/>
      </c>
      <c r="O4905" t="str">
        <f>IFERROR(__xludf.DUMMYFUNCTION("""COMPUTED_VALUE"""),"")</f>
        <v/>
      </c>
      <c r="P4905" t="str">
        <f>IFERROR(__xludf.DUMMYFUNCTION("""COMPUTED_VALUE"""),"ID ")</f>
        <v>ID </v>
      </c>
    </row>
    <row r="4906">
      <c r="A4906" s="6" t="str">
        <f>IFERROR(__xludf.DUMMYFUNCTION("""COMPUTED_VALUE"""),"")</f>
        <v/>
      </c>
      <c r="C4906" t="str">
        <f>IFERROR(__xludf.DUMMYFUNCTION("""COMPUTED_VALUE"""),"")</f>
        <v/>
      </c>
      <c r="D4906" t="str">
        <f>IFERROR(__xludf.DUMMYFUNCTION("""COMPUTED_VALUE"""),"")</f>
        <v/>
      </c>
      <c r="E4906" t="str">
        <f>IFERROR(__xludf.DUMMYFUNCTION("""COMPUTED_VALUE"""),"")</f>
        <v/>
      </c>
      <c r="F4906" t="str">
        <f>IFERROR(__xludf.DUMMYFUNCTION("""COMPUTED_VALUE"""),"")</f>
        <v/>
      </c>
      <c r="G4906" t="str">
        <f>IFERROR(__xludf.DUMMYFUNCTION("""COMPUTED_VALUE"""),"")</f>
        <v/>
      </c>
      <c r="H4906" s="2" t="str">
        <f>IFERROR(__xludf.DUMMYFUNCTION("""COMPUTED_VALUE"""),"")</f>
        <v/>
      </c>
      <c r="I4906" s="2" t="str">
        <f>IFERROR(__xludf.DUMMYFUNCTION("""COMPUTED_VALUE"""),"")</f>
        <v/>
      </c>
      <c r="J4906" s="2">
        <f>IFERROR(__xludf.DUMMYFUNCTION("""COMPUTED_VALUE"""),0.0)</f>
        <v>0</v>
      </c>
      <c r="K4906" s="5" t="str">
        <f>IFERROR(__xludf.DUMMYFUNCTION("""COMPUTED_VALUE"""),"")</f>
        <v/>
      </c>
      <c r="L4906" t="str">
        <f>IFERROR(__xludf.DUMMYFUNCTION("""COMPUTED_VALUE"""),"")</f>
        <v/>
      </c>
      <c r="M4906" t="str">
        <f>IFERROR(__xludf.DUMMYFUNCTION("""COMPUTED_VALUE"""),"")</f>
        <v/>
      </c>
      <c r="N4906" t="str">
        <f>IFERROR(__xludf.DUMMYFUNCTION("""COMPUTED_VALUE"""),"")</f>
        <v/>
      </c>
      <c r="O4906" t="str">
        <f>IFERROR(__xludf.DUMMYFUNCTION("""COMPUTED_VALUE"""),"")</f>
        <v/>
      </c>
      <c r="P4906" t="str">
        <f>IFERROR(__xludf.DUMMYFUNCTION("""COMPUTED_VALUE"""),"ID ")</f>
        <v>ID </v>
      </c>
    </row>
    <row r="4907">
      <c r="A4907" s="6" t="str">
        <f>IFERROR(__xludf.DUMMYFUNCTION("""COMPUTED_VALUE"""),"")</f>
        <v/>
      </c>
      <c r="C4907" t="str">
        <f>IFERROR(__xludf.DUMMYFUNCTION("""COMPUTED_VALUE"""),"")</f>
        <v/>
      </c>
      <c r="D4907" t="str">
        <f>IFERROR(__xludf.DUMMYFUNCTION("""COMPUTED_VALUE"""),"")</f>
        <v/>
      </c>
      <c r="E4907" t="str">
        <f>IFERROR(__xludf.DUMMYFUNCTION("""COMPUTED_VALUE"""),"")</f>
        <v/>
      </c>
      <c r="F4907" t="str">
        <f>IFERROR(__xludf.DUMMYFUNCTION("""COMPUTED_VALUE"""),"")</f>
        <v/>
      </c>
      <c r="G4907" t="str">
        <f>IFERROR(__xludf.DUMMYFUNCTION("""COMPUTED_VALUE"""),"")</f>
        <v/>
      </c>
      <c r="H4907" s="2" t="str">
        <f>IFERROR(__xludf.DUMMYFUNCTION("""COMPUTED_VALUE"""),"")</f>
        <v/>
      </c>
      <c r="I4907" s="2" t="str">
        <f>IFERROR(__xludf.DUMMYFUNCTION("""COMPUTED_VALUE"""),"")</f>
        <v/>
      </c>
      <c r="J4907" s="2">
        <f>IFERROR(__xludf.DUMMYFUNCTION("""COMPUTED_VALUE"""),0.0)</f>
        <v>0</v>
      </c>
      <c r="K4907" s="5" t="str">
        <f>IFERROR(__xludf.DUMMYFUNCTION("""COMPUTED_VALUE"""),"")</f>
        <v/>
      </c>
      <c r="L4907" t="str">
        <f>IFERROR(__xludf.DUMMYFUNCTION("""COMPUTED_VALUE"""),"")</f>
        <v/>
      </c>
      <c r="M4907" t="str">
        <f>IFERROR(__xludf.DUMMYFUNCTION("""COMPUTED_VALUE"""),"")</f>
        <v/>
      </c>
      <c r="N4907" t="str">
        <f>IFERROR(__xludf.DUMMYFUNCTION("""COMPUTED_VALUE"""),"")</f>
        <v/>
      </c>
      <c r="O4907" t="str">
        <f>IFERROR(__xludf.DUMMYFUNCTION("""COMPUTED_VALUE"""),"")</f>
        <v/>
      </c>
      <c r="P4907" t="str">
        <f>IFERROR(__xludf.DUMMYFUNCTION("""COMPUTED_VALUE"""),"ID ")</f>
        <v>ID </v>
      </c>
    </row>
    <row r="4908">
      <c r="A4908" s="6" t="str">
        <f>IFERROR(__xludf.DUMMYFUNCTION("""COMPUTED_VALUE"""),"")</f>
        <v/>
      </c>
      <c r="C4908" t="str">
        <f>IFERROR(__xludf.DUMMYFUNCTION("""COMPUTED_VALUE"""),"")</f>
        <v/>
      </c>
      <c r="D4908" t="str">
        <f>IFERROR(__xludf.DUMMYFUNCTION("""COMPUTED_VALUE"""),"")</f>
        <v/>
      </c>
      <c r="E4908" t="str">
        <f>IFERROR(__xludf.DUMMYFUNCTION("""COMPUTED_VALUE"""),"")</f>
        <v/>
      </c>
      <c r="F4908" t="str">
        <f>IFERROR(__xludf.DUMMYFUNCTION("""COMPUTED_VALUE"""),"")</f>
        <v/>
      </c>
      <c r="G4908" t="str">
        <f>IFERROR(__xludf.DUMMYFUNCTION("""COMPUTED_VALUE"""),"")</f>
        <v/>
      </c>
      <c r="H4908" s="2" t="str">
        <f>IFERROR(__xludf.DUMMYFUNCTION("""COMPUTED_VALUE"""),"")</f>
        <v/>
      </c>
      <c r="I4908" s="2" t="str">
        <f>IFERROR(__xludf.DUMMYFUNCTION("""COMPUTED_VALUE"""),"")</f>
        <v/>
      </c>
      <c r="J4908" s="2">
        <f>IFERROR(__xludf.DUMMYFUNCTION("""COMPUTED_VALUE"""),0.0)</f>
        <v>0</v>
      </c>
      <c r="K4908" s="5" t="str">
        <f>IFERROR(__xludf.DUMMYFUNCTION("""COMPUTED_VALUE"""),"")</f>
        <v/>
      </c>
      <c r="L4908" t="str">
        <f>IFERROR(__xludf.DUMMYFUNCTION("""COMPUTED_VALUE"""),"")</f>
        <v/>
      </c>
      <c r="M4908" t="str">
        <f>IFERROR(__xludf.DUMMYFUNCTION("""COMPUTED_VALUE"""),"")</f>
        <v/>
      </c>
      <c r="N4908" t="str">
        <f>IFERROR(__xludf.DUMMYFUNCTION("""COMPUTED_VALUE"""),"")</f>
        <v/>
      </c>
      <c r="O4908" t="str">
        <f>IFERROR(__xludf.DUMMYFUNCTION("""COMPUTED_VALUE"""),"")</f>
        <v/>
      </c>
      <c r="P4908" t="str">
        <f>IFERROR(__xludf.DUMMYFUNCTION("""COMPUTED_VALUE"""),"ID ")</f>
        <v>ID </v>
      </c>
    </row>
    <row r="4909">
      <c r="A4909" s="6" t="str">
        <f>IFERROR(__xludf.DUMMYFUNCTION("""COMPUTED_VALUE"""),"")</f>
        <v/>
      </c>
      <c r="C4909" t="str">
        <f>IFERROR(__xludf.DUMMYFUNCTION("""COMPUTED_VALUE"""),"")</f>
        <v/>
      </c>
      <c r="D4909" t="str">
        <f>IFERROR(__xludf.DUMMYFUNCTION("""COMPUTED_VALUE"""),"")</f>
        <v/>
      </c>
      <c r="E4909" t="str">
        <f>IFERROR(__xludf.DUMMYFUNCTION("""COMPUTED_VALUE"""),"")</f>
        <v/>
      </c>
      <c r="F4909" t="str">
        <f>IFERROR(__xludf.DUMMYFUNCTION("""COMPUTED_VALUE"""),"")</f>
        <v/>
      </c>
      <c r="G4909" t="str">
        <f>IFERROR(__xludf.DUMMYFUNCTION("""COMPUTED_VALUE"""),"")</f>
        <v/>
      </c>
      <c r="H4909" s="2" t="str">
        <f>IFERROR(__xludf.DUMMYFUNCTION("""COMPUTED_VALUE"""),"")</f>
        <v/>
      </c>
      <c r="I4909" s="2" t="str">
        <f>IFERROR(__xludf.DUMMYFUNCTION("""COMPUTED_VALUE"""),"")</f>
        <v/>
      </c>
      <c r="J4909" s="2">
        <f>IFERROR(__xludf.DUMMYFUNCTION("""COMPUTED_VALUE"""),0.0)</f>
        <v>0</v>
      </c>
      <c r="K4909" s="5" t="str">
        <f>IFERROR(__xludf.DUMMYFUNCTION("""COMPUTED_VALUE"""),"")</f>
        <v/>
      </c>
      <c r="L4909" t="str">
        <f>IFERROR(__xludf.DUMMYFUNCTION("""COMPUTED_VALUE"""),"")</f>
        <v/>
      </c>
      <c r="M4909" t="str">
        <f>IFERROR(__xludf.DUMMYFUNCTION("""COMPUTED_VALUE"""),"")</f>
        <v/>
      </c>
      <c r="N4909" t="str">
        <f>IFERROR(__xludf.DUMMYFUNCTION("""COMPUTED_VALUE"""),"")</f>
        <v/>
      </c>
      <c r="O4909" t="str">
        <f>IFERROR(__xludf.DUMMYFUNCTION("""COMPUTED_VALUE"""),"")</f>
        <v/>
      </c>
      <c r="P4909" t="str">
        <f>IFERROR(__xludf.DUMMYFUNCTION("""COMPUTED_VALUE"""),"ID ")</f>
        <v>ID </v>
      </c>
    </row>
    <row r="4910">
      <c r="A4910" s="6" t="str">
        <f>IFERROR(__xludf.DUMMYFUNCTION("""COMPUTED_VALUE"""),"")</f>
        <v/>
      </c>
      <c r="C4910" t="str">
        <f>IFERROR(__xludf.DUMMYFUNCTION("""COMPUTED_VALUE"""),"")</f>
        <v/>
      </c>
      <c r="D4910" t="str">
        <f>IFERROR(__xludf.DUMMYFUNCTION("""COMPUTED_VALUE"""),"")</f>
        <v/>
      </c>
      <c r="E4910" t="str">
        <f>IFERROR(__xludf.DUMMYFUNCTION("""COMPUTED_VALUE"""),"")</f>
        <v/>
      </c>
      <c r="F4910" t="str">
        <f>IFERROR(__xludf.DUMMYFUNCTION("""COMPUTED_VALUE"""),"")</f>
        <v/>
      </c>
      <c r="G4910" t="str">
        <f>IFERROR(__xludf.DUMMYFUNCTION("""COMPUTED_VALUE"""),"")</f>
        <v/>
      </c>
      <c r="H4910" s="2" t="str">
        <f>IFERROR(__xludf.DUMMYFUNCTION("""COMPUTED_VALUE"""),"")</f>
        <v/>
      </c>
      <c r="I4910" s="2" t="str">
        <f>IFERROR(__xludf.DUMMYFUNCTION("""COMPUTED_VALUE"""),"")</f>
        <v/>
      </c>
      <c r="J4910" s="2">
        <f>IFERROR(__xludf.DUMMYFUNCTION("""COMPUTED_VALUE"""),0.0)</f>
        <v>0</v>
      </c>
      <c r="K4910" s="5" t="str">
        <f>IFERROR(__xludf.DUMMYFUNCTION("""COMPUTED_VALUE"""),"")</f>
        <v/>
      </c>
      <c r="L4910" t="str">
        <f>IFERROR(__xludf.DUMMYFUNCTION("""COMPUTED_VALUE"""),"")</f>
        <v/>
      </c>
      <c r="M4910" t="str">
        <f>IFERROR(__xludf.DUMMYFUNCTION("""COMPUTED_VALUE"""),"")</f>
        <v/>
      </c>
      <c r="N4910" t="str">
        <f>IFERROR(__xludf.DUMMYFUNCTION("""COMPUTED_VALUE"""),"")</f>
        <v/>
      </c>
      <c r="O4910" t="str">
        <f>IFERROR(__xludf.DUMMYFUNCTION("""COMPUTED_VALUE"""),"")</f>
        <v/>
      </c>
      <c r="P4910" t="str">
        <f>IFERROR(__xludf.DUMMYFUNCTION("""COMPUTED_VALUE"""),"ID ")</f>
        <v>ID </v>
      </c>
    </row>
    <row r="4911">
      <c r="A4911" s="6" t="str">
        <f>IFERROR(__xludf.DUMMYFUNCTION("""COMPUTED_VALUE"""),"")</f>
        <v/>
      </c>
      <c r="C4911" t="str">
        <f>IFERROR(__xludf.DUMMYFUNCTION("""COMPUTED_VALUE"""),"")</f>
        <v/>
      </c>
      <c r="D4911" t="str">
        <f>IFERROR(__xludf.DUMMYFUNCTION("""COMPUTED_VALUE"""),"")</f>
        <v/>
      </c>
      <c r="E4911" t="str">
        <f>IFERROR(__xludf.DUMMYFUNCTION("""COMPUTED_VALUE"""),"")</f>
        <v/>
      </c>
      <c r="F4911" t="str">
        <f>IFERROR(__xludf.DUMMYFUNCTION("""COMPUTED_VALUE"""),"")</f>
        <v/>
      </c>
      <c r="G4911" t="str">
        <f>IFERROR(__xludf.DUMMYFUNCTION("""COMPUTED_VALUE"""),"")</f>
        <v/>
      </c>
      <c r="H4911" s="2" t="str">
        <f>IFERROR(__xludf.DUMMYFUNCTION("""COMPUTED_VALUE"""),"")</f>
        <v/>
      </c>
      <c r="I4911" s="2" t="str">
        <f>IFERROR(__xludf.DUMMYFUNCTION("""COMPUTED_VALUE"""),"")</f>
        <v/>
      </c>
      <c r="J4911" s="2">
        <f>IFERROR(__xludf.DUMMYFUNCTION("""COMPUTED_VALUE"""),0.0)</f>
        <v>0</v>
      </c>
      <c r="K4911" s="5" t="str">
        <f>IFERROR(__xludf.DUMMYFUNCTION("""COMPUTED_VALUE"""),"")</f>
        <v/>
      </c>
      <c r="L4911" t="str">
        <f>IFERROR(__xludf.DUMMYFUNCTION("""COMPUTED_VALUE"""),"")</f>
        <v/>
      </c>
      <c r="M4911" t="str">
        <f>IFERROR(__xludf.DUMMYFUNCTION("""COMPUTED_VALUE"""),"")</f>
        <v/>
      </c>
      <c r="N4911" t="str">
        <f>IFERROR(__xludf.DUMMYFUNCTION("""COMPUTED_VALUE"""),"")</f>
        <v/>
      </c>
      <c r="O4911" t="str">
        <f>IFERROR(__xludf.DUMMYFUNCTION("""COMPUTED_VALUE"""),"")</f>
        <v/>
      </c>
      <c r="P4911" t="str">
        <f>IFERROR(__xludf.DUMMYFUNCTION("""COMPUTED_VALUE"""),"ID ")</f>
        <v>ID </v>
      </c>
    </row>
    <row r="4912">
      <c r="A4912" s="6" t="str">
        <f>IFERROR(__xludf.DUMMYFUNCTION("""COMPUTED_VALUE"""),"")</f>
        <v/>
      </c>
      <c r="C4912" t="str">
        <f>IFERROR(__xludf.DUMMYFUNCTION("""COMPUTED_VALUE"""),"")</f>
        <v/>
      </c>
      <c r="D4912" t="str">
        <f>IFERROR(__xludf.DUMMYFUNCTION("""COMPUTED_VALUE"""),"")</f>
        <v/>
      </c>
      <c r="E4912" t="str">
        <f>IFERROR(__xludf.DUMMYFUNCTION("""COMPUTED_VALUE"""),"")</f>
        <v/>
      </c>
      <c r="F4912" t="str">
        <f>IFERROR(__xludf.DUMMYFUNCTION("""COMPUTED_VALUE"""),"")</f>
        <v/>
      </c>
      <c r="G4912" t="str">
        <f>IFERROR(__xludf.DUMMYFUNCTION("""COMPUTED_VALUE"""),"")</f>
        <v/>
      </c>
      <c r="H4912" s="2" t="str">
        <f>IFERROR(__xludf.DUMMYFUNCTION("""COMPUTED_VALUE"""),"")</f>
        <v/>
      </c>
      <c r="I4912" s="2" t="str">
        <f>IFERROR(__xludf.DUMMYFUNCTION("""COMPUTED_VALUE"""),"")</f>
        <v/>
      </c>
      <c r="J4912" s="2">
        <f>IFERROR(__xludf.DUMMYFUNCTION("""COMPUTED_VALUE"""),0.0)</f>
        <v>0</v>
      </c>
      <c r="K4912" s="5" t="str">
        <f>IFERROR(__xludf.DUMMYFUNCTION("""COMPUTED_VALUE"""),"")</f>
        <v/>
      </c>
      <c r="L4912" t="str">
        <f>IFERROR(__xludf.DUMMYFUNCTION("""COMPUTED_VALUE"""),"")</f>
        <v/>
      </c>
      <c r="M4912" t="str">
        <f>IFERROR(__xludf.DUMMYFUNCTION("""COMPUTED_VALUE"""),"")</f>
        <v/>
      </c>
      <c r="N4912" t="str">
        <f>IFERROR(__xludf.DUMMYFUNCTION("""COMPUTED_VALUE"""),"")</f>
        <v/>
      </c>
      <c r="O4912" t="str">
        <f>IFERROR(__xludf.DUMMYFUNCTION("""COMPUTED_VALUE"""),"")</f>
        <v/>
      </c>
      <c r="P4912" t="str">
        <f>IFERROR(__xludf.DUMMYFUNCTION("""COMPUTED_VALUE"""),"ID ")</f>
        <v>ID </v>
      </c>
    </row>
    <row r="4913">
      <c r="A4913" s="6" t="str">
        <f>IFERROR(__xludf.DUMMYFUNCTION("""COMPUTED_VALUE"""),"")</f>
        <v/>
      </c>
      <c r="C4913" t="str">
        <f>IFERROR(__xludf.DUMMYFUNCTION("""COMPUTED_VALUE"""),"")</f>
        <v/>
      </c>
      <c r="D4913" t="str">
        <f>IFERROR(__xludf.DUMMYFUNCTION("""COMPUTED_VALUE"""),"")</f>
        <v/>
      </c>
      <c r="E4913" t="str">
        <f>IFERROR(__xludf.DUMMYFUNCTION("""COMPUTED_VALUE"""),"")</f>
        <v/>
      </c>
      <c r="F4913" t="str">
        <f>IFERROR(__xludf.DUMMYFUNCTION("""COMPUTED_VALUE"""),"")</f>
        <v/>
      </c>
      <c r="G4913" t="str">
        <f>IFERROR(__xludf.DUMMYFUNCTION("""COMPUTED_VALUE"""),"")</f>
        <v/>
      </c>
      <c r="H4913" s="2" t="str">
        <f>IFERROR(__xludf.DUMMYFUNCTION("""COMPUTED_VALUE"""),"")</f>
        <v/>
      </c>
      <c r="I4913" s="2" t="str">
        <f>IFERROR(__xludf.DUMMYFUNCTION("""COMPUTED_VALUE"""),"")</f>
        <v/>
      </c>
      <c r="J4913" s="2">
        <f>IFERROR(__xludf.DUMMYFUNCTION("""COMPUTED_VALUE"""),0.0)</f>
        <v>0</v>
      </c>
      <c r="K4913" s="5" t="str">
        <f>IFERROR(__xludf.DUMMYFUNCTION("""COMPUTED_VALUE"""),"")</f>
        <v/>
      </c>
      <c r="L4913" t="str">
        <f>IFERROR(__xludf.DUMMYFUNCTION("""COMPUTED_VALUE"""),"")</f>
        <v/>
      </c>
      <c r="M4913" t="str">
        <f>IFERROR(__xludf.DUMMYFUNCTION("""COMPUTED_VALUE"""),"")</f>
        <v/>
      </c>
      <c r="N4913" t="str">
        <f>IFERROR(__xludf.DUMMYFUNCTION("""COMPUTED_VALUE"""),"")</f>
        <v/>
      </c>
      <c r="O4913" t="str">
        <f>IFERROR(__xludf.DUMMYFUNCTION("""COMPUTED_VALUE"""),"")</f>
        <v/>
      </c>
      <c r="P4913" t="str">
        <f>IFERROR(__xludf.DUMMYFUNCTION("""COMPUTED_VALUE"""),"ID ")</f>
        <v>ID </v>
      </c>
    </row>
    <row r="4914">
      <c r="A4914" s="6" t="str">
        <f>IFERROR(__xludf.DUMMYFUNCTION("""COMPUTED_VALUE"""),"")</f>
        <v/>
      </c>
      <c r="C4914" t="str">
        <f>IFERROR(__xludf.DUMMYFUNCTION("""COMPUTED_VALUE"""),"")</f>
        <v/>
      </c>
      <c r="D4914" t="str">
        <f>IFERROR(__xludf.DUMMYFUNCTION("""COMPUTED_VALUE"""),"")</f>
        <v/>
      </c>
      <c r="E4914" t="str">
        <f>IFERROR(__xludf.DUMMYFUNCTION("""COMPUTED_VALUE"""),"")</f>
        <v/>
      </c>
      <c r="F4914" t="str">
        <f>IFERROR(__xludf.DUMMYFUNCTION("""COMPUTED_VALUE"""),"")</f>
        <v/>
      </c>
      <c r="G4914" t="str">
        <f>IFERROR(__xludf.DUMMYFUNCTION("""COMPUTED_VALUE"""),"")</f>
        <v/>
      </c>
      <c r="H4914" s="2" t="str">
        <f>IFERROR(__xludf.DUMMYFUNCTION("""COMPUTED_VALUE"""),"")</f>
        <v/>
      </c>
      <c r="I4914" s="2" t="str">
        <f>IFERROR(__xludf.DUMMYFUNCTION("""COMPUTED_VALUE"""),"")</f>
        <v/>
      </c>
      <c r="J4914" s="2">
        <f>IFERROR(__xludf.DUMMYFUNCTION("""COMPUTED_VALUE"""),0.0)</f>
        <v>0</v>
      </c>
      <c r="K4914" s="5" t="str">
        <f>IFERROR(__xludf.DUMMYFUNCTION("""COMPUTED_VALUE"""),"")</f>
        <v/>
      </c>
      <c r="L4914" t="str">
        <f>IFERROR(__xludf.DUMMYFUNCTION("""COMPUTED_VALUE"""),"")</f>
        <v/>
      </c>
      <c r="M4914" t="str">
        <f>IFERROR(__xludf.DUMMYFUNCTION("""COMPUTED_VALUE"""),"")</f>
        <v/>
      </c>
      <c r="N4914" t="str">
        <f>IFERROR(__xludf.DUMMYFUNCTION("""COMPUTED_VALUE"""),"")</f>
        <v/>
      </c>
      <c r="O4914" t="str">
        <f>IFERROR(__xludf.DUMMYFUNCTION("""COMPUTED_VALUE"""),"")</f>
        <v/>
      </c>
      <c r="P4914" t="str">
        <f>IFERROR(__xludf.DUMMYFUNCTION("""COMPUTED_VALUE"""),"ID ")</f>
        <v>ID </v>
      </c>
    </row>
    <row r="4915">
      <c r="A4915" s="6" t="str">
        <f>IFERROR(__xludf.DUMMYFUNCTION("""COMPUTED_VALUE"""),"")</f>
        <v/>
      </c>
      <c r="C4915" t="str">
        <f>IFERROR(__xludf.DUMMYFUNCTION("""COMPUTED_VALUE"""),"")</f>
        <v/>
      </c>
      <c r="D4915" t="str">
        <f>IFERROR(__xludf.DUMMYFUNCTION("""COMPUTED_VALUE"""),"")</f>
        <v/>
      </c>
      <c r="E4915" t="str">
        <f>IFERROR(__xludf.DUMMYFUNCTION("""COMPUTED_VALUE"""),"")</f>
        <v/>
      </c>
      <c r="F4915" t="str">
        <f>IFERROR(__xludf.DUMMYFUNCTION("""COMPUTED_VALUE"""),"")</f>
        <v/>
      </c>
      <c r="G4915" t="str">
        <f>IFERROR(__xludf.DUMMYFUNCTION("""COMPUTED_VALUE"""),"")</f>
        <v/>
      </c>
      <c r="H4915" s="2" t="str">
        <f>IFERROR(__xludf.DUMMYFUNCTION("""COMPUTED_VALUE"""),"")</f>
        <v/>
      </c>
      <c r="I4915" s="2" t="str">
        <f>IFERROR(__xludf.DUMMYFUNCTION("""COMPUTED_VALUE"""),"")</f>
        <v/>
      </c>
      <c r="J4915" s="2">
        <f>IFERROR(__xludf.DUMMYFUNCTION("""COMPUTED_VALUE"""),0.0)</f>
        <v>0</v>
      </c>
      <c r="K4915" s="5" t="str">
        <f>IFERROR(__xludf.DUMMYFUNCTION("""COMPUTED_VALUE"""),"")</f>
        <v/>
      </c>
      <c r="L4915" t="str">
        <f>IFERROR(__xludf.DUMMYFUNCTION("""COMPUTED_VALUE"""),"")</f>
        <v/>
      </c>
      <c r="M4915" t="str">
        <f>IFERROR(__xludf.DUMMYFUNCTION("""COMPUTED_VALUE"""),"")</f>
        <v/>
      </c>
      <c r="N4915" t="str">
        <f>IFERROR(__xludf.DUMMYFUNCTION("""COMPUTED_VALUE"""),"")</f>
        <v/>
      </c>
      <c r="O4915" t="str">
        <f>IFERROR(__xludf.DUMMYFUNCTION("""COMPUTED_VALUE"""),"")</f>
        <v/>
      </c>
      <c r="P4915" t="str">
        <f>IFERROR(__xludf.DUMMYFUNCTION("""COMPUTED_VALUE"""),"ID ")</f>
        <v>ID </v>
      </c>
    </row>
    <row r="4916">
      <c r="A4916" s="6" t="str">
        <f>IFERROR(__xludf.DUMMYFUNCTION("""COMPUTED_VALUE"""),"")</f>
        <v/>
      </c>
      <c r="C4916" t="str">
        <f>IFERROR(__xludf.DUMMYFUNCTION("""COMPUTED_VALUE"""),"")</f>
        <v/>
      </c>
      <c r="D4916" t="str">
        <f>IFERROR(__xludf.DUMMYFUNCTION("""COMPUTED_VALUE"""),"")</f>
        <v/>
      </c>
      <c r="E4916" t="str">
        <f>IFERROR(__xludf.DUMMYFUNCTION("""COMPUTED_VALUE"""),"")</f>
        <v/>
      </c>
      <c r="F4916" t="str">
        <f>IFERROR(__xludf.DUMMYFUNCTION("""COMPUTED_VALUE"""),"")</f>
        <v/>
      </c>
      <c r="G4916" t="str">
        <f>IFERROR(__xludf.DUMMYFUNCTION("""COMPUTED_VALUE"""),"")</f>
        <v/>
      </c>
      <c r="H4916" s="2" t="str">
        <f>IFERROR(__xludf.DUMMYFUNCTION("""COMPUTED_VALUE"""),"")</f>
        <v/>
      </c>
      <c r="I4916" s="2" t="str">
        <f>IFERROR(__xludf.DUMMYFUNCTION("""COMPUTED_VALUE"""),"")</f>
        <v/>
      </c>
      <c r="J4916" s="2">
        <f>IFERROR(__xludf.DUMMYFUNCTION("""COMPUTED_VALUE"""),0.0)</f>
        <v>0</v>
      </c>
      <c r="K4916" s="5" t="str">
        <f>IFERROR(__xludf.DUMMYFUNCTION("""COMPUTED_VALUE"""),"")</f>
        <v/>
      </c>
      <c r="L4916" t="str">
        <f>IFERROR(__xludf.DUMMYFUNCTION("""COMPUTED_VALUE"""),"")</f>
        <v/>
      </c>
      <c r="M4916" t="str">
        <f>IFERROR(__xludf.DUMMYFUNCTION("""COMPUTED_VALUE"""),"")</f>
        <v/>
      </c>
      <c r="N4916" t="str">
        <f>IFERROR(__xludf.DUMMYFUNCTION("""COMPUTED_VALUE"""),"")</f>
        <v/>
      </c>
      <c r="O4916" t="str">
        <f>IFERROR(__xludf.DUMMYFUNCTION("""COMPUTED_VALUE"""),"")</f>
        <v/>
      </c>
      <c r="P4916" t="str">
        <f>IFERROR(__xludf.DUMMYFUNCTION("""COMPUTED_VALUE"""),"ID ")</f>
        <v>ID </v>
      </c>
    </row>
    <row r="4917">
      <c r="A4917" s="6" t="str">
        <f>IFERROR(__xludf.DUMMYFUNCTION("""COMPUTED_VALUE"""),"")</f>
        <v/>
      </c>
      <c r="C4917" t="str">
        <f>IFERROR(__xludf.DUMMYFUNCTION("""COMPUTED_VALUE"""),"")</f>
        <v/>
      </c>
      <c r="D4917" t="str">
        <f>IFERROR(__xludf.DUMMYFUNCTION("""COMPUTED_VALUE"""),"")</f>
        <v/>
      </c>
      <c r="E4917" t="str">
        <f>IFERROR(__xludf.DUMMYFUNCTION("""COMPUTED_VALUE"""),"")</f>
        <v/>
      </c>
      <c r="F4917" t="str">
        <f>IFERROR(__xludf.DUMMYFUNCTION("""COMPUTED_VALUE"""),"")</f>
        <v/>
      </c>
      <c r="G4917" t="str">
        <f>IFERROR(__xludf.DUMMYFUNCTION("""COMPUTED_VALUE"""),"")</f>
        <v/>
      </c>
      <c r="H4917" s="2" t="str">
        <f>IFERROR(__xludf.DUMMYFUNCTION("""COMPUTED_VALUE"""),"")</f>
        <v/>
      </c>
      <c r="I4917" s="2" t="str">
        <f>IFERROR(__xludf.DUMMYFUNCTION("""COMPUTED_VALUE"""),"")</f>
        <v/>
      </c>
      <c r="J4917" s="2">
        <f>IFERROR(__xludf.DUMMYFUNCTION("""COMPUTED_VALUE"""),0.0)</f>
        <v>0</v>
      </c>
      <c r="K4917" s="5" t="str">
        <f>IFERROR(__xludf.DUMMYFUNCTION("""COMPUTED_VALUE"""),"")</f>
        <v/>
      </c>
      <c r="L4917" t="str">
        <f>IFERROR(__xludf.DUMMYFUNCTION("""COMPUTED_VALUE"""),"")</f>
        <v/>
      </c>
      <c r="M4917" t="str">
        <f>IFERROR(__xludf.DUMMYFUNCTION("""COMPUTED_VALUE"""),"")</f>
        <v/>
      </c>
      <c r="N4917" t="str">
        <f>IFERROR(__xludf.DUMMYFUNCTION("""COMPUTED_VALUE"""),"")</f>
        <v/>
      </c>
      <c r="O4917" t="str">
        <f>IFERROR(__xludf.DUMMYFUNCTION("""COMPUTED_VALUE"""),"")</f>
        <v/>
      </c>
      <c r="P4917" t="str">
        <f>IFERROR(__xludf.DUMMYFUNCTION("""COMPUTED_VALUE"""),"ID ")</f>
        <v>ID </v>
      </c>
    </row>
    <row r="4918">
      <c r="A4918" s="6" t="str">
        <f>IFERROR(__xludf.DUMMYFUNCTION("""COMPUTED_VALUE"""),"")</f>
        <v/>
      </c>
      <c r="C4918" t="str">
        <f>IFERROR(__xludf.DUMMYFUNCTION("""COMPUTED_VALUE"""),"")</f>
        <v/>
      </c>
      <c r="D4918" t="str">
        <f>IFERROR(__xludf.DUMMYFUNCTION("""COMPUTED_VALUE"""),"")</f>
        <v/>
      </c>
      <c r="E4918" t="str">
        <f>IFERROR(__xludf.DUMMYFUNCTION("""COMPUTED_VALUE"""),"")</f>
        <v/>
      </c>
      <c r="F4918" t="str">
        <f>IFERROR(__xludf.DUMMYFUNCTION("""COMPUTED_VALUE"""),"")</f>
        <v/>
      </c>
      <c r="G4918" t="str">
        <f>IFERROR(__xludf.DUMMYFUNCTION("""COMPUTED_VALUE"""),"")</f>
        <v/>
      </c>
      <c r="H4918" s="2" t="str">
        <f>IFERROR(__xludf.DUMMYFUNCTION("""COMPUTED_VALUE"""),"")</f>
        <v/>
      </c>
      <c r="I4918" s="2" t="str">
        <f>IFERROR(__xludf.DUMMYFUNCTION("""COMPUTED_VALUE"""),"")</f>
        <v/>
      </c>
      <c r="J4918" s="2">
        <f>IFERROR(__xludf.DUMMYFUNCTION("""COMPUTED_VALUE"""),0.0)</f>
        <v>0</v>
      </c>
      <c r="K4918" s="5" t="str">
        <f>IFERROR(__xludf.DUMMYFUNCTION("""COMPUTED_VALUE"""),"")</f>
        <v/>
      </c>
      <c r="L4918" t="str">
        <f>IFERROR(__xludf.DUMMYFUNCTION("""COMPUTED_VALUE"""),"")</f>
        <v/>
      </c>
      <c r="M4918" t="str">
        <f>IFERROR(__xludf.DUMMYFUNCTION("""COMPUTED_VALUE"""),"")</f>
        <v/>
      </c>
      <c r="N4918" t="str">
        <f>IFERROR(__xludf.DUMMYFUNCTION("""COMPUTED_VALUE"""),"")</f>
        <v/>
      </c>
      <c r="O4918" t="str">
        <f>IFERROR(__xludf.DUMMYFUNCTION("""COMPUTED_VALUE"""),"")</f>
        <v/>
      </c>
      <c r="P4918" t="str">
        <f>IFERROR(__xludf.DUMMYFUNCTION("""COMPUTED_VALUE"""),"ID ")</f>
        <v>ID </v>
      </c>
    </row>
    <row r="4919">
      <c r="A4919" s="6" t="str">
        <f>IFERROR(__xludf.DUMMYFUNCTION("""COMPUTED_VALUE"""),"")</f>
        <v/>
      </c>
      <c r="C4919" t="str">
        <f>IFERROR(__xludf.DUMMYFUNCTION("""COMPUTED_VALUE"""),"")</f>
        <v/>
      </c>
      <c r="D4919" t="str">
        <f>IFERROR(__xludf.DUMMYFUNCTION("""COMPUTED_VALUE"""),"")</f>
        <v/>
      </c>
      <c r="E4919" t="str">
        <f>IFERROR(__xludf.DUMMYFUNCTION("""COMPUTED_VALUE"""),"")</f>
        <v/>
      </c>
      <c r="F4919" t="str">
        <f>IFERROR(__xludf.DUMMYFUNCTION("""COMPUTED_VALUE"""),"")</f>
        <v/>
      </c>
      <c r="G4919" t="str">
        <f>IFERROR(__xludf.DUMMYFUNCTION("""COMPUTED_VALUE"""),"")</f>
        <v/>
      </c>
      <c r="H4919" s="2" t="str">
        <f>IFERROR(__xludf.DUMMYFUNCTION("""COMPUTED_VALUE"""),"")</f>
        <v/>
      </c>
      <c r="I4919" s="2" t="str">
        <f>IFERROR(__xludf.DUMMYFUNCTION("""COMPUTED_VALUE"""),"")</f>
        <v/>
      </c>
      <c r="J4919" s="2">
        <f>IFERROR(__xludf.DUMMYFUNCTION("""COMPUTED_VALUE"""),0.0)</f>
        <v>0</v>
      </c>
      <c r="K4919" s="5" t="str">
        <f>IFERROR(__xludf.DUMMYFUNCTION("""COMPUTED_VALUE"""),"")</f>
        <v/>
      </c>
      <c r="L4919" t="str">
        <f>IFERROR(__xludf.DUMMYFUNCTION("""COMPUTED_VALUE"""),"")</f>
        <v/>
      </c>
      <c r="M4919" t="str">
        <f>IFERROR(__xludf.DUMMYFUNCTION("""COMPUTED_VALUE"""),"")</f>
        <v/>
      </c>
      <c r="N4919" t="str">
        <f>IFERROR(__xludf.DUMMYFUNCTION("""COMPUTED_VALUE"""),"")</f>
        <v/>
      </c>
      <c r="O4919" t="str">
        <f>IFERROR(__xludf.DUMMYFUNCTION("""COMPUTED_VALUE"""),"")</f>
        <v/>
      </c>
      <c r="P4919" t="str">
        <f>IFERROR(__xludf.DUMMYFUNCTION("""COMPUTED_VALUE"""),"ID ")</f>
        <v>ID </v>
      </c>
    </row>
    <row r="4920">
      <c r="A4920" s="6" t="str">
        <f>IFERROR(__xludf.DUMMYFUNCTION("""COMPUTED_VALUE"""),"")</f>
        <v/>
      </c>
      <c r="C4920" t="str">
        <f>IFERROR(__xludf.DUMMYFUNCTION("""COMPUTED_VALUE"""),"")</f>
        <v/>
      </c>
      <c r="D4920" t="str">
        <f>IFERROR(__xludf.DUMMYFUNCTION("""COMPUTED_VALUE"""),"")</f>
        <v/>
      </c>
      <c r="E4920" t="str">
        <f>IFERROR(__xludf.DUMMYFUNCTION("""COMPUTED_VALUE"""),"")</f>
        <v/>
      </c>
      <c r="F4920" t="str">
        <f>IFERROR(__xludf.DUMMYFUNCTION("""COMPUTED_VALUE"""),"")</f>
        <v/>
      </c>
      <c r="G4920" t="str">
        <f>IFERROR(__xludf.DUMMYFUNCTION("""COMPUTED_VALUE"""),"")</f>
        <v/>
      </c>
      <c r="H4920" s="2" t="str">
        <f>IFERROR(__xludf.DUMMYFUNCTION("""COMPUTED_VALUE"""),"")</f>
        <v/>
      </c>
      <c r="I4920" s="2" t="str">
        <f>IFERROR(__xludf.DUMMYFUNCTION("""COMPUTED_VALUE"""),"")</f>
        <v/>
      </c>
      <c r="J4920" s="2">
        <f>IFERROR(__xludf.DUMMYFUNCTION("""COMPUTED_VALUE"""),0.0)</f>
        <v>0</v>
      </c>
      <c r="K4920" s="5" t="str">
        <f>IFERROR(__xludf.DUMMYFUNCTION("""COMPUTED_VALUE"""),"")</f>
        <v/>
      </c>
      <c r="L4920" t="str">
        <f>IFERROR(__xludf.DUMMYFUNCTION("""COMPUTED_VALUE"""),"")</f>
        <v/>
      </c>
      <c r="M4920" t="str">
        <f>IFERROR(__xludf.DUMMYFUNCTION("""COMPUTED_VALUE"""),"")</f>
        <v/>
      </c>
      <c r="N4920" t="str">
        <f>IFERROR(__xludf.DUMMYFUNCTION("""COMPUTED_VALUE"""),"")</f>
        <v/>
      </c>
      <c r="O4920" t="str">
        <f>IFERROR(__xludf.DUMMYFUNCTION("""COMPUTED_VALUE"""),"")</f>
        <v/>
      </c>
      <c r="P4920" t="str">
        <f>IFERROR(__xludf.DUMMYFUNCTION("""COMPUTED_VALUE"""),"ID ")</f>
        <v>ID </v>
      </c>
    </row>
    <row r="4921">
      <c r="A4921" s="6" t="str">
        <f>IFERROR(__xludf.DUMMYFUNCTION("""COMPUTED_VALUE"""),"")</f>
        <v/>
      </c>
      <c r="C4921" t="str">
        <f>IFERROR(__xludf.DUMMYFUNCTION("""COMPUTED_VALUE"""),"")</f>
        <v/>
      </c>
      <c r="D4921" t="str">
        <f>IFERROR(__xludf.DUMMYFUNCTION("""COMPUTED_VALUE"""),"")</f>
        <v/>
      </c>
      <c r="E4921" t="str">
        <f>IFERROR(__xludf.DUMMYFUNCTION("""COMPUTED_VALUE"""),"")</f>
        <v/>
      </c>
      <c r="F4921" t="str">
        <f>IFERROR(__xludf.DUMMYFUNCTION("""COMPUTED_VALUE"""),"")</f>
        <v/>
      </c>
      <c r="G4921" t="str">
        <f>IFERROR(__xludf.DUMMYFUNCTION("""COMPUTED_VALUE"""),"")</f>
        <v/>
      </c>
      <c r="H4921" s="2" t="str">
        <f>IFERROR(__xludf.DUMMYFUNCTION("""COMPUTED_VALUE"""),"")</f>
        <v/>
      </c>
      <c r="I4921" s="2" t="str">
        <f>IFERROR(__xludf.DUMMYFUNCTION("""COMPUTED_VALUE"""),"")</f>
        <v/>
      </c>
      <c r="J4921" s="2">
        <f>IFERROR(__xludf.DUMMYFUNCTION("""COMPUTED_VALUE"""),0.0)</f>
        <v>0</v>
      </c>
      <c r="K4921" s="5" t="str">
        <f>IFERROR(__xludf.DUMMYFUNCTION("""COMPUTED_VALUE"""),"")</f>
        <v/>
      </c>
      <c r="L4921" t="str">
        <f>IFERROR(__xludf.DUMMYFUNCTION("""COMPUTED_VALUE"""),"")</f>
        <v/>
      </c>
      <c r="M4921" t="str">
        <f>IFERROR(__xludf.DUMMYFUNCTION("""COMPUTED_VALUE"""),"")</f>
        <v/>
      </c>
      <c r="N4921" t="str">
        <f>IFERROR(__xludf.DUMMYFUNCTION("""COMPUTED_VALUE"""),"")</f>
        <v/>
      </c>
      <c r="O4921" t="str">
        <f>IFERROR(__xludf.DUMMYFUNCTION("""COMPUTED_VALUE"""),"")</f>
        <v/>
      </c>
      <c r="P4921" t="str">
        <f>IFERROR(__xludf.DUMMYFUNCTION("""COMPUTED_VALUE"""),"ID ")</f>
        <v>ID </v>
      </c>
    </row>
    <row r="4922">
      <c r="A4922" s="6" t="str">
        <f>IFERROR(__xludf.DUMMYFUNCTION("""COMPUTED_VALUE"""),"")</f>
        <v/>
      </c>
      <c r="C4922" t="str">
        <f>IFERROR(__xludf.DUMMYFUNCTION("""COMPUTED_VALUE"""),"")</f>
        <v/>
      </c>
      <c r="D4922" t="str">
        <f>IFERROR(__xludf.DUMMYFUNCTION("""COMPUTED_VALUE"""),"")</f>
        <v/>
      </c>
      <c r="E4922" t="str">
        <f>IFERROR(__xludf.DUMMYFUNCTION("""COMPUTED_VALUE"""),"")</f>
        <v/>
      </c>
      <c r="F4922" t="str">
        <f>IFERROR(__xludf.DUMMYFUNCTION("""COMPUTED_VALUE"""),"")</f>
        <v/>
      </c>
      <c r="G4922" t="str">
        <f>IFERROR(__xludf.DUMMYFUNCTION("""COMPUTED_VALUE"""),"")</f>
        <v/>
      </c>
      <c r="H4922" s="2" t="str">
        <f>IFERROR(__xludf.DUMMYFUNCTION("""COMPUTED_VALUE"""),"")</f>
        <v/>
      </c>
      <c r="I4922" s="2" t="str">
        <f>IFERROR(__xludf.DUMMYFUNCTION("""COMPUTED_VALUE"""),"")</f>
        <v/>
      </c>
      <c r="J4922" s="2">
        <f>IFERROR(__xludf.DUMMYFUNCTION("""COMPUTED_VALUE"""),0.0)</f>
        <v>0</v>
      </c>
      <c r="K4922" s="5" t="str">
        <f>IFERROR(__xludf.DUMMYFUNCTION("""COMPUTED_VALUE"""),"")</f>
        <v/>
      </c>
      <c r="L4922" t="str">
        <f>IFERROR(__xludf.DUMMYFUNCTION("""COMPUTED_VALUE"""),"")</f>
        <v/>
      </c>
      <c r="M4922" t="str">
        <f>IFERROR(__xludf.DUMMYFUNCTION("""COMPUTED_VALUE"""),"")</f>
        <v/>
      </c>
      <c r="N4922" t="str">
        <f>IFERROR(__xludf.DUMMYFUNCTION("""COMPUTED_VALUE"""),"")</f>
        <v/>
      </c>
      <c r="O4922" t="str">
        <f>IFERROR(__xludf.DUMMYFUNCTION("""COMPUTED_VALUE"""),"")</f>
        <v/>
      </c>
      <c r="P4922" t="str">
        <f>IFERROR(__xludf.DUMMYFUNCTION("""COMPUTED_VALUE"""),"ID ")</f>
        <v>ID </v>
      </c>
    </row>
    <row r="4923">
      <c r="A4923" s="6" t="str">
        <f>IFERROR(__xludf.DUMMYFUNCTION("""COMPUTED_VALUE"""),"")</f>
        <v/>
      </c>
      <c r="C4923" t="str">
        <f>IFERROR(__xludf.DUMMYFUNCTION("""COMPUTED_VALUE"""),"")</f>
        <v/>
      </c>
      <c r="D4923" t="str">
        <f>IFERROR(__xludf.DUMMYFUNCTION("""COMPUTED_VALUE"""),"")</f>
        <v/>
      </c>
      <c r="E4923" t="str">
        <f>IFERROR(__xludf.DUMMYFUNCTION("""COMPUTED_VALUE"""),"")</f>
        <v/>
      </c>
      <c r="F4923" t="str">
        <f>IFERROR(__xludf.DUMMYFUNCTION("""COMPUTED_VALUE"""),"")</f>
        <v/>
      </c>
      <c r="G4923" t="str">
        <f>IFERROR(__xludf.DUMMYFUNCTION("""COMPUTED_VALUE"""),"")</f>
        <v/>
      </c>
      <c r="H4923" s="2" t="str">
        <f>IFERROR(__xludf.DUMMYFUNCTION("""COMPUTED_VALUE"""),"")</f>
        <v/>
      </c>
      <c r="I4923" s="2" t="str">
        <f>IFERROR(__xludf.DUMMYFUNCTION("""COMPUTED_VALUE"""),"")</f>
        <v/>
      </c>
      <c r="J4923" s="2">
        <f>IFERROR(__xludf.DUMMYFUNCTION("""COMPUTED_VALUE"""),0.0)</f>
        <v>0</v>
      </c>
      <c r="K4923" s="5" t="str">
        <f>IFERROR(__xludf.DUMMYFUNCTION("""COMPUTED_VALUE"""),"")</f>
        <v/>
      </c>
      <c r="L4923" t="str">
        <f>IFERROR(__xludf.DUMMYFUNCTION("""COMPUTED_VALUE"""),"")</f>
        <v/>
      </c>
      <c r="M4923" t="str">
        <f>IFERROR(__xludf.DUMMYFUNCTION("""COMPUTED_VALUE"""),"")</f>
        <v/>
      </c>
      <c r="N4923" t="str">
        <f>IFERROR(__xludf.DUMMYFUNCTION("""COMPUTED_VALUE"""),"")</f>
        <v/>
      </c>
      <c r="O4923" t="str">
        <f>IFERROR(__xludf.DUMMYFUNCTION("""COMPUTED_VALUE"""),"")</f>
        <v/>
      </c>
      <c r="P4923" t="str">
        <f>IFERROR(__xludf.DUMMYFUNCTION("""COMPUTED_VALUE"""),"ID ")</f>
        <v>ID </v>
      </c>
    </row>
    <row r="4924">
      <c r="A4924" s="6" t="str">
        <f>IFERROR(__xludf.DUMMYFUNCTION("""COMPUTED_VALUE"""),"")</f>
        <v/>
      </c>
      <c r="C4924" t="str">
        <f>IFERROR(__xludf.DUMMYFUNCTION("""COMPUTED_VALUE"""),"")</f>
        <v/>
      </c>
      <c r="D4924" t="str">
        <f>IFERROR(__xludf.DUMMYFUNCTION("""COMPUTED_VALUE"""),"")</f>
        <v/>
      </c>
      <c r="E4924" t="str">
        <f>IFERROR(__xludf.DUMMYFUNCTION("""COMPUTED_VALUE"""),"")</f>
        <v/>
      </c>
      <c r="F4924" t="str">
        <f>IFERROR(__xludf.DUMMYFUNCTION("""COMPUTED_VALUE"""),"")</f>
        <v/>
      </c>
      <c r="G4924" t="str">
        <f>IFERROR(__xludf.DUMMYFUNCTION("""COMPUTED_VALUE"""),"")</f>
        <v/>
      </c>
      <c r="H4924" s="2" t="str">
        <f>IFERROR(__xludf.DUMMYFUNCTION("""COMPUTED_VALUE"""),"")</f>
        <v/>
      </c>
      <c r="I4924" s="2" t="str">
        <f>IFERROR(__xludf.DUMMYFUNCTION("""COMPUTED_VALUE"""),"")</f>
        <v/>
      </c>
      <c r="J4924" s="2">
        <f>IFERROR(__xludf.DUMMYFUNCTION("""COMPUTED_VALUE"""),0.0)</f>
        <v>0</v>
      </c>
      <c r="K4924" s="5" t="str">
        <f>IFERROR(__xludf.DUMMYFUNCTION("""COMPUTED_VALUE"""),"")</f>
        <v/>
      </c>
      <c r="L4924" t="str">
        <f>IFERROR(__xludf.DUMMYFUNCTION("""COMPUTED_VALUE"""),"")</f>
        <v/>
      </c>
      <c r="M4924" t="str">
        <f>IFERROR(__xludf.DUMMYFUNCTION("""COMPUTED_VALUE"""),"")</f>
        <v/>
      </c>
      <c r="N4924" t="str">
        <f>IFERROR(__xludf.DUMMYFUNCTION("""COMPUTED_VALUE"""),"")</f>
        <v/>
      </c>
      <c r="O4924" t="str">
        <f>IFERROR(__xludf.DUMMYFUNCTION("""COMPUTED_VALUE"""),"")</f>
        <v/>
      </c>
      <c r="P4924" t="str">
        <f>IFERROR(__xludf.DUMMYFUNCTION("""COMPUTED_VALUE"""),"ID ")</f>
        <v>ID </v>
      </c>
    </row>
    <row r="4925">
      <c r="A4925" s="6" t="str">
        <f>IFERROR(__xludf.DUMMYFUNCTION("""COMPUTED_VALUE"""),"")</f>
        <v/>
      </c>
      <c r="C4925" t="str">
        <f>IFERROR(__xludf.DUMMYFUNCTION("""COMPUTED_VALUE"""),"")</f>
        <v/>
      </c>
      <c r="D4925" t="str">
        <f>IFERROR(__xludf.DUMMYFUNCTION("""COMPUTED_VALUE"""),"")</f>
        <v/>
      </c>
      <c r="E4925" t="str">
        <f>IFERROR(__xludf.DUMMYFUNCTION("""COMPUTED_VALUE"""),"")</f>
        <v/>
      </c>
      <c r="F4925" t="str">
        <f>IFERROR(__xludf.DUMMYFUNCTION("""COMPUTED_VALUE"""),"")</f>
        <v/>
      </c>
      <c r="G4925" t="str">
        <f>IFERROR(__xludf.DUMMYFUNCTION("""COMPUTED_VALUE"""),"")</f>
        <v/>
      </c>
      <c r="H4925" s="2" t="str">
        <f>IFERROR(__xludf.DUMMYFUNCTION("""COMPUTED_VALUE"""),"")</f>
        <v/>
      </c>
      <c r="I4925" s="2" t="str">
        <f>IFERROR(__xludf.DUMMYFUNCTION("""COMPUTED_VALUE"""),"")</f>
        <v/>
      </c>
      <c r="J4925" s="2">
        <f>IFERROR(__xludf.DUMMYFUNCTION("""COMPUTED_VALUE"""),0.0)</f>
        <v>0</v>
      </c>
      <c r="K4925" s="5" t="str">
        <f>IFERROR(__xludf.DUMMYFUNCTION("""COMPUTED_VALUE"""),"")</f>
        <v/>
      </c>
      <c r="L4925" t="str">
        <f>IFERROR(__xludf.DUMMYFUNCTION("""COMPUTED_VALUE"""),"")</f>
        <v/>
      </c>
      <c r="M4925" t="str">
        <f>IFERROR(__xludf.DUMMYFUNCTION("""COMPUTED_VALUE"""),"")</f>
        <v/>
      </c>
      <c r="N4925" t="str">
        <f>IFERROR(__xludf.DUMMYFUNCTION("""COMPUTED_VALUE"""),"")</f>
        <v/>
      </c>
      <c r="O4925" t="str">
        <f>IFERROR(__xludf.DUMMYFUNCTION("""COMPUTED_VALUE"""),"")</f>
        <v/>
      </c>
      <c r="P4925" t="str">
        <f>IFERROR(__xludf.DUMMYFUNCTION("""COMPUTED_VALUE"""),"ID ")</f>
        <v>ID </v>
      </c>
    </row>
    <row r="4926">
      <c r="A4926" s="6" t="str">
        <f>IFERROR(__xludf.DUMMYFUNCTION("""COMPUTED_VALUE"""),"")</f>
        <v/>
      </c>
      <c r="C4926" t="str">
        <f>IFERROR(__xludf.DUMMYFUNCTION("""COMPUTED_VALUE"""),"")</f>
        <v/>
      </c>
      <c r="D4926" t="str">
        <f>IFERROR(__xludf.DUMMYFUNCTION("""COMPUTED_VALUE"""),"")</f>
        <v/>
      </c>
      <c r="E4926" t="str">
        <f>IFERROR(__xludf.DUMMYFUNCTION("""COMPUTED_VALUE"""),"")</f>
        <v/>
      </c>
      <c r="F4926" t="str">
        <f>IFERROR(__xludf.DUMMYFUNCTION("""COMPUTED_VALUE"""),"")</f>
        <v/>
      </c>
      <c r="G4926" t="str">
        <f>IFERROR(__xludf.DUMMYFUNCTION("""COMPUTED_VALUE"""),"")</f>
        <v/>
      </c>
      <c r="H4926" s="2" t="str">
        <f>IFERROR(__xludf.DUMMYFUNCTION("""COMPUTED_VALUE"""),"")</f>
        <v/>
      </c>
      <c r="I4926" s="2" t="str">
        <f>IFERROR(__xludf.DUMMYFUNCTION("""COMPUTED_VALUE"""),"")</f>
        <v/>
      </c>
      <c r="J4926" s="2">
        <f>IFERROR(__xludf.DUMMYFUNCTION("""COMPUTED_VALUE"""),0.0)</f>
        <v>0</v>
      </c>
      <c r="K4926" s="5" t="str">
        <f>IFERROR(__xludf.DUMMYFUNCTION("""COMPUTED_VALUE"""),"")</f>
        <v/>
      </c>
      <c r="L4926" t="str">
        <f>IFERROR(__xludf.DUMMYFUNCTION("""COMPUTED_VALUE"""),"")</f>
        <v/>
      </c>
      <c r="M4926" t="str">
        <f>IFERROR(__xludf.DUMMYFUNCTION("""COMPUTED_VALUE"""),"")</f>
        <v/>
      </c>
      <c r="N4926" t="str">
        <f>IFERROR(__xludf.DUMMYFUNCTION("""COMPUTED_VALUE"""),"")</f>
        <v/>
      </c>
      <c r="O4926" t="str">
        <f>IFERROR(__xludf.DUMMYFUNCTION("""COMPUTED_VALUE"""),"")</f>
        <v/>
      </c>
      <c r="P4926" t="str">
        <f>IFERROR(__xludf.DUMMYFUNCTION("""COMPUTED_VALUE"""),"ID ")</f>
        <v>ID </v>
      </c>
    </row>
    <row r="4927">
      <c r="A4927" s="6" t="str">
        <f>IFERROR(__xludf.DUMMYFUNCTION("""COMPUTED_VALUE"""),"")</f>
        <v/>
      </c>
      <c r="C4927" t="str">
        <f>IFERROR(__xludf.DUMMYFUNCTION("""COMPUTED_VALUE"""),"")</f>
        <v/>
      </c>
      <c r="D4927" t="str">
        <f>IFERROR(__xludf.DUMMYFUNCTION("""COMPUTED_VALUE"""),"")</f>
        <v/>
      </c>
      <c r="E4927" t="str">
        <f>IFERROR(__xludf.DUMMYFUNCTION("""COMPUTED_VALUE"""),"")</f>
        <v/>
      </c>
      <c r="F4927" t="str">
        <f>IFERROR(__xludf.DUMMYFUNCTION("""COMPUTED_VALUE"""),"")</f>
        <v/>
      </c>
      <c r="G4927" t="str">
        <f>IFERROR(__xludf.DUMMYFUNCTION("""COMPUTED_VALUE"""),"")</f>
        <v/>
      </c>
      <c r="H4927" s="2" t="str">
        <f>IFERROR(__xludf.DUMMYFUNCTION("""COMPUTED_VALUE"""),"")</f>
        <v/>
      </c>
      <c r="I4927" s="2" t="str">
        <f>IFERROR(__xludf.DUMMYFUNCTION("""COMPUTED_VALUE"""),"")</f>
        <v/>
      </c>
      <c r="J4927" s="2">
        <f>IFERROR(__xludf.DUMMYFUNCTION("""COMPUTED_VALUE"""),0.0)</f>
        <v>0</v>
      </c>
      <c r="K4927" s="5" t="str">
        <f>IFERROR(__xludf.DUMMYFUNCTION("""COMPUTED_VALUE"""),"")</f>
        <v/>
      </c>
      <c r="L4927" t="str">
        <f>IFERROR(__xludf.DUMMYFUNCTION("""COMPUTED_VALUE"""),"")</f>
        <v/>
      </c>
      <c r="M4927" t="str">
        <f>IFERROR(__xludf.DUMMYFUNCTION("""COMPUTED_VALUE"""),"")</f>
        <v/>
      </c>
      <c r="N4927" t="str">
        <f>IFERROR(__xludf.DUMMYFUNCTION("""COMPUTED_VALUE"""),"")</f>
        <v/>
      </c>
      <c r="O4927" t="str">
        <f>IFERROR(__xludf.DUMMYFUNCTION("""COMPUTED_VALUE"""),"")</f>
        <v/>
      </c>
      <c r="P4927" t="str">
        <f>IFERROR(__xludf.DUMMYFUNCTION("""COMPUTED_VALUE"""),"ID ")</f>
        <v>ID </v>
      </c>
    </row>
    <row r="4928">
      <c r="A4928" s="6" t="str">
        <f>IFERROR(__xludf.DUMMYFUNCTION("""COMPUTED_VALUE"""),"")</f>
        <v/>
      </c>
      <c r="C4928" t="str">
        <f>IFERROR(__xludf.DUMMYFUNCTION("""COMPUTED_VALUE"""),"")</f>
        <v/>
      </c>
      <c r="D4928" t="str">
        <f>IFERROR(__xludf.DUMMYFUNCTION("""COMPUTED_VALUE"""),"")</f>
        <v/>
      </c>
      <c r="E4928" t="str">
        <f>IFERROR(__xludf.DUMMYFUNCTION("""COMPUTED_VALUE"""),"")</f>
        <v/>
      </c>
      <c r="F4928" t="str">
        <f>IFERROR(__xludf.DUMMYFUNCTION("""COMPUTED_VALUE"""),"")</f>
        <v/>
      </c>
      <c r="G4928" t="str">
        <f>IFERROR(__xludf.DUMMYFUNCTION("""COMPUTED_VALUE"""),"")</f>
        <v/>
      </c>
      <c r="H4928" s="2" t="str">
        <f>IFERROR(__xludf.DUMMYFUNCTION("""COMPUTED_VALUE"""),"")</f>
        <v/>
      </c>
      <c r="I4928" s="2" t="str">
        <f>IFERROR(__xludf.DUMMYFUNCTION("""COMPUTED_VALUE"""),"")</f>
        <v/>
      </c>
      <c r="J4928" s="2">
        <f>IFERROR(__xludf.DUMMYFUNCTION("""COMPUTED_VALUE"""),0.0)</f>
        <v>0</v>
      </c>
      <c r="K4928" s="5" t="str">
        <f>IFERROR(__xludf.DUMMYFUNCTION("""COMPUTED_VALUE"""),"")</f>
        <v/>
      </c>
      <c r="L4928" t="str">
        <f>IFERROR(__xludf.DUMMYFUNCTION("""COMPUTED_VALUE"""),"")</f>
        <v/>
      </c>
      <c r="M4928" t="str">
        <f>IFERROR(__xludf.DUMMYFUNCTION("""COMPUTED_VALUE"""),"")</f>
        <v/>
      </c>
      <c r="N4928" t="str">
        <f>IFERROR(__xludf.DUMMYFUNCTION("""COMPUTED_VALUE"""),"")</f>
        <v/>
      </c>
      <c r="O4928" t="str">
        <f>IFERROR(__xludf.DUMMYFUNCTION("""COMPUTED_VALUE"""),"")</f>
        <v/>
      </c>
      <c r="P4928" t="str">
        <f>IFERROR(__xludf.DUMMYFUNCTION("""COMPUTED_VALUE"""),"ID ")</f>
        <v>ID </v>
      </c>
    </row>
    <row r="4929">
      <c r="A4929" s="6" t="str">
        <f>IFERROR(__xludf.DUMMYFUNCTION("""COMPUTED_VALUE"""),"")</f>
        <v/>
      </c>
      <c r="C4929" t="str">
        <f>IFERROR(__xludf.DUMMYFUNCTION("""COMPUTED_VALUE"""),"")</f>
        <v/>
      </c>
      <c r="D4929" t="str">
        <f>IFERROR(__xludf.DUMMYFUNCTION("""COMPUTED_VALUE"""),"")</f>
        <v/>
      </c>
      <c r="E4929" t="str">
        <f>IFERROR(__xludf.DUMMYFUNCTION("""COMPUTED_VALUE"""),"")</f>
        <v/>
      </c>
      <c r="F4929" t="str">
        <f>IFERROR(__xludf.DUMMYFUNCTION("""COMPUTED_VALUE"""),"")</f>
        <v/>
      </c>
      <c r="G4929" t="str">
        <f>IFERROR(__xludf.DUMMYFUNCTION("""COMPUTED_VALUE"""),"")</f>
        <v/>
      </c>
      <c r="H4929" s="2" t="str">
        <f>IFERROR(__xludf.DUMMYFUNCTION("""COMPUTED_VALUE"""),"")</f>
        <v/>
      </c>
      <c r="I4929" s="2" t="str">
        <f>IFERROR(__xludf.DUMMYFUNCTION("""COMPUTED_VALUE"""),"")</f>
        <v/>
      </c>
      <c r="J4929" s="2">
        <f>IFERROR(__xludf.DUMMYFUNCTION("""COMPUTED_VALUE"""),0.0)</f>
        <v>0</v>
      </c>
      <c r="K4929" s="5" t="str">
        <f>IFERROR(__xludf.DUMMYFUNCTION("""COMPUTED_VALUE"""),"")</f>
        <v/>
      </c>
      <c r="L4929" t="str">
        <f>IFERROR(__xludf.DUMMYFUNCTION("""COMPUTED_VALUE"""),"")</f>
        <v/>
      </c>
      <c r="M4929" t="str">
        <f>IFERROR(__xludf.DUMMYFUNCTION("""COMPUTED_VALUE"""),"")</f>
        <v/>
      </c>
      <c r="N4929" t="str">
        <f>IFERROR(__xludf.DUMMYFUNCTION("""COMPUTED_VALUE"""),"")</f>
        <v/>
      </c>
      <c r="O4929" t="str">
        <f>IFERROR(__xludf.DUMMYFUNCTION("""COMPUTED_VALUE"""),"")</f>
        <v/>
      </c>
      <c r="P4929" t="str">
        <f>IFERROR(__xludf.DUMMYFUNCTION("""COMPUTED_VALUE"""),"ID ")</f>
        <v>ID </v>
      </c>
    </row>
    <row r="4930">
      <c r="A4930" s="6" t="str">
        <f>IFERROR(__xludf.DUMMYFUNCTION("""COMPUTED_VALUE"""),"")</f>
        <v/>
      </c>
      <c r="C4930" t="str">
        <f>IFERROR(__xludf.DUMMYFUNCTION("""COMPUTED_VALUE"""),"")</f>
        <v/>
      </c>
      <c r="D4930" t="str">
        <f>IFERROR(__xludf.DUMMYFUNCTION("""COMPUTED_VALUE"""),"")</f>
        <v/>
      </c>
      <c r="E4930" t="str">
        <f>IFERROR(__xludf.DUMMYFUNCTION("""COMPUTED_VALUE"""),"")</f>
        <v/>
      </c>
      <c r="F4930" t="str">
        <f>IFERROR(__xludf.DUMMYFUNCTION("""COMPUTED_VALUE"""),"")</f>
        <v/>
      </c>
      <c r="G4930" t="str">
        <f>IFERROR(__xludf.DUMMYFUNCTION("""COMPUTED_VALUE"""),"")</f>
        <v/>
      </c>
      <c r="H4930" s="2" t="str">
        <f>IFERROR(__xludf.DUMMYFUNCTION("""COMPUTED_VALUE"""),"")</f>
        <v/>
      </c>
      <c r="I4930" s="2" t="str">
        <f>IFERROR(__xludf.DUMMYFUNCTION("""COMPUTED_VALUE"""),"")</f>
        <v/>
      </c>
      <c r="J4930" s="2">
        <f>IFERROR(__xludf.DUMMYFUNCTION("""COMPUTED_VALUE"""),0.0)</f>
        <v>0</v>
      </c>
      <c r="K4930" s="5" t="str">
        <f>IFERROR(__xludf.DUMMYFUNCTION("""COMPUTED_VALUE"""),"")</f>
        <v/>
      </c>
      <c r="L4930" t="str">
        <f>IFERROR(__xludf.DUMMYFUNCTION("""COMPUTED_VALUE"""),"")</f>
        <v/>
      </c>
      <c r="M4930" t="str">
        <f>IFERROR(__xludf.DUMMYFUNCTION("""COMPUTED_VALUE"""),"")</f>
        <v/>
      </c>
      <c r="N4930" t="str">
        <f>IFERROR(__xludf.DUMMYFUNCTION("""COMPUTED_VALUE"""),"")</f>
        <v/>
      </c>
      <c r="O4930" t="str">
        <f>IFERROR(__xludf.DUMMYFUNCTION("""COMPUTED_VALUE"""),"")</f>
        <v/>
      </c>
      <c r="P4930" t="str">
        <f>IFERROR(__xludf.DUMMYFUNCTION("""COMPUTED_VALUE"""),"ID ")</f>
        <v>ID </v>
      </c>
    </row>
    <row r="4931">
      <c r="A4931" s="6" t="str">
        <f>IFERROR(__xludf.DUMMYFUNCTION("""COMPUTED_VALUE"""),"")</f>
        <v/>
      </c>
      <c r="C4931" t="str">
        <f>IFERROR(__xludf.DUMMYFUNCTION("""COMPUTED_VALUE"""),"")</f>
        <v/>
      </c>
      <c r="D4931" t="str">
        <f>IFERROR(__xludf.DUMMYFUNCTION("""COMPUTED_VALUE"""),"")</f>
        <v/>
      </c>
      <c r="E4931" t="str">
        <f>IFERROR(__xludf.DUMMYFUNCTION("""COMPUTED_VALUE"""),"")</f>
        <v/>
      </c>
      <c r="F4931" t="str">
        <f>IFERROR(__xludf.DUMMYFUNCTION("""COMPUTED_VALUE"""),"")</f>
        <v/>
      </c>
      <c r="G4931" t="str">
        <f>IFERROR(__xludf.DUMMYFUNCTION("""COMPUTED_VALUE"""),"")</f>
        <v/>
      </c>
      <c r="H4931" s="2" t="str">
        <f>IFERROR(__xludf.DUMMYFUNCTION("""COMPUTED_VALUE"""),"")</f>
        <v/>
      </c>
      <c r="I4931" s="2" t="str">
        <f>IFERROR(__xludf.DUMMYFUNCTION("""COMPUTED_VALUE"""),"")</f>
        <v/>
      </c>
      <c r="J4931" s="2">
        <f>IFERROR(__xludf.DUMMYFUNCTION("""COMPUTED_VALUE"""),0.0)</f>
        <v>0</v>
      </c>
      <c r="K4931" s="5" t="str">
        <f>IFERROR(__xludf.DUMMYFUNCTION("""COMPUTED_VALUE"""),"")</f>
        <v/>
      </c>
      <c r="L4931" t="str">
        <f>IFERROR(__xludf.DUMMYFUNCTION("""COMPUTED_VALUE"""),"")</f>
        <v/>
      </c>
      <c r="M4931" t="str">
        <f>IFERROR(__xludf.DUMMYFUNCTION("""COMPUTED_VALUE"""),"")</f>
        <v/>
      </c>
      <c r="N4931" t="str">
        <f>IFERROR(__xludf.DUMMYFUNCTION("""COMPUTED_VALUE"""),"")</f>
        <v/>
      </c>
      <c r="O4931" t="str">
        <f>IFERROR(__xludf.DUMMYFUNCTION("""COMPUTED_VALUE"""),"")</f>
        <v/>
      </c>
      <c r="P4931" t="str">
        <f>IFERROR(__xludf.DUMMYFUNCTION("""COMPUTED_VALUE"""),"ID ")</f>
        <v>ID </v>
      </c>
    </row>
    <row r="4932">
      <c r="A4932" s="6" t="str">
        <f>IFERROR(__xludf.DUMMYFUNCTION("""COMPUTED_VALUE"""),"")</f>
        <v/>
      </c>
      <c r="C4932" t="str">
        <f>IFERROR(__xludf.DUMMYFUNCTION("""COMPUTED_VALUE"""),"")</f>
        <v/>
      </c>
      <c r="D4932" t="str">
        <f>IFERROR(__xludf.DUMMYFUNCTION("""COMPUTED_VALUE"""),"")</f>
        <v/>
      </c>
      <c r="E4932" t="str">
        <f>IFERROR(__xludf.DUMMYFUNCTION("""COMPUTED_VALUE"""),"")</f>
        <v/>
      </c>
      <c r="F4932" t="str">
        <f>IFERROR(__xludf.DUMMYFUNCTION("""COMPUTED_VALUE"""),"")</f>
        <v/>
      </c>
      <c r="G4932" t="str">
        <f>IFERROR(__xludf.DUMMYFUNCTION("""COMPUTED_VALUE"""),"")</f>
        <v/>
      </c>
      <c r="H4932" s="2" t="str">
        <f>IFERROR(__xludf.DUMMYFUNCTION("""COMPUTED_VALUE"""),"")</f>
        <v/>
      </c>
      <c r="I4932" s="2" t="str">
        <f>IFERROR(__xludf.DUMMYFUNCTION("""COMPUTED_VALUE"""),"")</f>
        <v/>
      </c>
      <c r="J4932" s="2">
        <f>IFERROR(__xludf.DUMMYFUNCTION("""COMPUTED_VALUE"""),0.0)</f>
        <v>0</v>
      </c>
      <c r="K4932" s="5" t="str">
        <f>IFERROR(__xludf.DUMMYFUNCTION("""COMPUTED_VALUE"""),"")</f>
        <v/>
      </c>
      <c r="L4932" t="str">
        <f>IFERROR(__xludf.DUMMYFUNCTION("""COMPUTED_VALUE"""),"")</f>
        <v/>
      </c>
      <c r="M4932" t="str">
        <f>IFERROR(__xludf.DUMMYFUNCTION("""COMPUTED_VALUE"""),"")</f>
        <v/>
      </c>
      <c r="N4932" t="str">
        <f>IFERROR(__xludf.DUMMYFUNCTION("""COMPUTED_VALUE"""),"")</f>
        <v/>
      </c>
      <c r="O4932" t="str">
        <f>IFERROR(__xludf.DUMMYFUNCTION("""COMPUTED_VALUE"""),"")</f>
        <v/>
      </c>
      <c r="P4932" t="str">
        <f>IFERROR(__xludf.DUMMYFUNCTION("""COMPUTED_VALUE"""),"ID ")</f>
        <v>ID </v>
      </c>
    </row>
    <row r="4933">
      <c r="A4933" s="6" t="str">
        <f>IFERROR(__xludf.DUMMYFUNCTION("""COMPUTED_VALUE"""),"")</f>
        <v/>
      </c>
      <c r="C4933" t="str">
        <f>IFERROR(__xludf.DUMMYFUNCTION("""COMPUTED_VALUE"""),"")</f>
        <v/>
      </c>
      <c r="D4933" t="str">
        <f>IFERROR(__xludf.DUMMYFUNCTION("""COMPUTED_VALUE"""),"")</f>
        <v/>
      </c>
      <c r="E4933" t="str">
        <f>IFERROR(__xludf.DUMMYFUNCTION("""COMPUTED_VALUE"""),"")</f>
        <v/>
      </c>
      <c r="F4933" t="str">
        <f>IFERROR(__xludf.DUMMYFUNCTION("""COMPUTED_VALUE"""),"")</f>
        <v/>
      </c>
      <c r="G4933" t="str">
        <f>IFERROR(__xludf.DUMMYFUNCTION("""COMPUTED_VALUE"""),"")</f>
        <v/>
      </c>
      <c r="H4933" s="2" t="str">
        <f>IFERROR(__xludf.DUMMYFUNCTION("""COMPUTED_VALUE"""),"")</f>
        <v/>
      </c>
      <c r="I4933" s="2" t="str">
        <f>IFERROR(__xludf.DUMMYFUNCTION("""COMPUTED_VALUE"""),"")</f>
        <v/>
      </c>
      <c r="J4933" s="2">
        <f>IFERROR(__xludf.DUMMYFUNCTION("""COMPUTED_VALUE"""),0.0)</f>
        <v>0</v>
      </c>
      <c r="K4933" s="5" t="str">
        <f>IFERROR(__xludf.DUMMYFUNCTION("""COMPUTED_VALUE"""),"")</f>
        <v/>
      </c>
      <c r="L4933" t="str">
        <f>IFERROR(__xludf.DUMMYFUNCTION("""COMPUTED_VALUE"""),"")</f>
        <v/>
      </c>
      <c r="M4933" t="str">
        <f>IFERROR(__xludf.DUMMYFUNCTION("""COMPUTED_VALUE"""),"")</f>
        <v/>
      </c>
      <c r="N4933" t="str">
        <f>IFERROR(__xludf.DUMMYFUNCTION("""COMPUTED_VALUE"""),"")</f>
        <v/>
      </c>
      <c r="O4933" t="str">
        <f>IFERROR(__xludf.DUMMYFUNCTION("""COMPUTED_VALUE"""),"")</f>
        <v/>
      </c>
      <c r="P4933" t="str">
        <f>IFERROR(__xludf.DUMMYFUNCTION("""COMPUTED_VALUE"""),"ID ")</f>
        <v>ID </v>
      </c>
    </row>
    <row r="4934">
      <c r="A4934" s="6" t="str">
        <f>IFERROR(__xludf.DUMMYFUNCTION("""COMPUTED_VALUE"""),"")</f>
        <v/>
      </c>
      <c r="C4934" t="str">
        <f>IFERROR(__xludf.DUMMYFUNCTION("""COMPUTED_VALUE"""),"")</f>
        <v/>
      </c>
      <c r="D4934" t="str">
        <f>IFERROR(__xludf.DUMMYFUNCTION("""COMPUTED_VALUE"""),"")</f>
        <v/>
      </c>
      <c r="E4934" t="str">
        <f>IFERROR(__xludf.DUMMYFUNCTION("""COMPUTED_VALUE"""),"")</f>
        <v/>
      </c>
      <c r="F4934" t="str">
        <f>IFERROR(__xludf.DUMMYFUNCTION("""COMPUTED_VALUE"""),"")</f>
        <v/>
      </c>
      <c r="G4934" t="str">
        <f>IFERROR(__xludf.DUMMYFUNCTION("""COMPUTED_VALUE"""),"")</f>
        <v/>
      </c>
      <c r="H4934" s="2" t="str">
        <f>IFERROR(__xludf.DUMMYFUNCTION("""COMPUTED_VALUE"""),"")</f>
        <v/>
      </c>
      <c r="I4934" s="2" t="str">
        <f>IFERROR(__xludf.DUMMYFUNCTION("""COMPUTED_VALUE"""),"")</f>
        <v/>
      </c>
      <c r="J4934" s="2">
        <f>IFERROR(__xludf.DUMMYFUNCTION("""COMPUTED_VALUE"""),0.0)</f>
        <v>0</v>
      </c>
      <c r="K4934" s="5" t="str">
        <f>IFERROR(__xludf.DUMMYFUNCTION("""COMPUTED_VALUE"""),"")</f>
        <v/>
      </c>
      <c r="L4934" t="str">
        <f>IFERROR(__xludf.DUMMYFUNCTION("""COMPUTED_VALUE"""),"")</f>
        <v/>
      </c>
      <c r="M4934" t="str">
        <f>IFERROR(__xludf.DUMMYFUNCTION("""COMPUTED_VALUE"""),"")</f>
        <v/>
      </c>
      <c r="N4934" t="str">
        <f>IFERROR(__xludf.DUMMYFUNCTION("""COMPUTED_VALUE"""),"")</f>
        <v/>
      </c>
      <c r="O4934" t="str">
        <f>IFERROR(__xludf.DUMMYFUNCTION("""COMPUTED_VALUE"""),"")</f>
        <v/>
      </c>
      <c r="P4934" t="str">
        <f>IFERROR(__xludf.DUMMYFUNCTION("""COMPUTED_VALUE"""),"ID ")</f>
        <v>ID </v>
      </c>
    </row>
    <row r="4935">
      <c r="A4935" s="6" t="str">
        <f>IFERROR(__xludf.DUMMYFUNCTION("""COMPUTED_VALUE"""),"")</f>
        <v/>
      </c>
      <c r="C4935" t="str">
        <f>IFERROR(__xludf.DUMMYFUNCTION("""COMPUTED_VALUE"""),"")</f>
        <v/>
      </c>
      <c r="D4935" t="str">
        <f>IFERROR(__xludf.DUMMYFUNCTION("""COMPUTED_VALUE"""),"")</f>
        <v/>
      </c>
      <c r="E4935" t="str">
        <f>IFERROR(__xludf.DUMMYFUNCTION("""COMPUTED_VALUE"""),"")</f>
        <v/>
      </c>
      <c r="F4935" t="str">
        <f>IFERROR(__xludf.DUMMYFUNCTION("""COMPUTED_VALUE"""),"")</f>
        <v/>
      </c>
      <c r="G4935" t="str">
        <f>IFERROR(__xludf.DUMMYFUNCTION("""COMPUTED_VALUE"""),"")</f>
        <v/>
      </c>
      <c r="H4935" s="2" t="str">
        <f>IFERROR(__xludf.DUMMYFUNCTION("""COMPUTED_VALUE"""),"")</f>
        <v/>
      </c>
      <c r="I4935" s="2" t="str">
        <f>IFERROR(__xludf.DUMMYFUNCTION("""COMPUTED_VALUE"""),"")</f>
        <v/>
      </c>
      <c r="J4935" s="2">
        <f>IFERROR(__xludf.DUMMYFUNCTION("""COMPUTED_VALUE"""),0.0)</f>
        <v>0</v>
      </c>
      <c r="K4935" s="5" t="str">
        <f>IFERROR(__xludf.DUMMYFUNCTION("""COMPUTED_VALUE"""),"")</f>
        <v/>
      </c>
      <c r="L4935" t="str">
        <f>IFERROR(__xludf.DUMMYFUNCTION("""COMPUTED_VALUE"""),"")</f>
        <v/>
      </c>
      <c r="M4935" t="str">
        <f>IFERROR(__xludf.DUMMYFUNCTION("""COMPUTED_VALUE"""),"")</f>
        <v/>
      </c>
      <c r="N4935" t="str">
        <f>IFERROR(__xludf.DUMMYFUNCTION("""COMPUTED_VALUE"""),"")</f>
        <v/>
      </c>
      <c r="O4935" t="str">
        <f>IFERROR(__xludf.DUMMYFUNCTION("""COMPUTED_VALUE"""),"")</f>
        <v/>
      </c>
      <c r="P4935" t="str">
        <f>IFERROR(__xludf.DUMMYFUNCTION("""COMPUTED_VALUE"""),"ID ")</f>
        <v>ID </v>
      </c>
    </row>
    <row r="4936">
      <c r="A4936" s="6" t="str">
        <f>IFERROR(__xludf.DUMMYFUNCTION("""COMPUTED_VALUE"""),"")</f>
        <v/>
      </c>
      <c r="C4936" t="str">
        <f>IFERROR(__xludf.DUMMYFUNCTION("""COMPUTED_VALUE"""),"")</f>
        <v/>
      </c>
      <c r="D4936" t="str">
        <f>IFERROR(__xludf.DUMMYFUNCTION("""COMPUTED_VALUE"""),"")</f>
        <v/>
      </c>
      <c r="E4936" t="str">
        <f>IFERROR(__xludf.DUMMYFUNCTION("""COMPUTED_VALUE"""),"")</f>
        <v/>
      </c>
      <c r="F4936" t="str">
        <f>IFERROR(__xludf.DUMMYFUNCTION("""COMPUTED_VALUE"""),"")</f>
        <v/>
      </c>
      <c r="G4936" t="str">
        <f>IFERROR(__xludf.DUMMYFUNCTION("""COMPUTED_VALUE"""),"")</f>
        <v/>
      </c>
      <c r="H4936" s="2" t="str">
        <f>IFERROR(__xludf.DUMMYFUNCTION("""COMPUTED_VALUE"""),"")</f>
        <v/>
      </c>
      <c r="I4936" s="2" t="str">
        <f>IFERROR(__xludf.DUMMYFUNCTION("""COMPUTED_VALUE"""),"")</f>
        <v/>
      </c>
      <c r="J4936" s="2">
        <f>IFERROR(__xludf.DUMMYFUNCTION("""COMPUTED_VALUE"""),0.0)</f>
        <v>0</v>
      </c>
      <c r="K4936" s="5" t="str">
        <f>IFERROR(__xludf.DUMMYFUNCTION("""COMPUTED_VALUE"""),"")</f>
        <v/>
      </c>
      <c r="L4936" t="str">
        <f>IFERROR(__xludf.DUMMYFUNCTION("""COMPUTED_VALUE"""),"")</f>
        <v/>
      </c>
      <c r="M4936" t="str">
        <f>IFERROR(__xludf.DUMMYFUNCTION("""COMPUTED_VALUE"""),"")</f>
        <v/>
      </c>
      <c r="N4936" t="str">
        <f>IFERROR(__xludf.DUMMYFUNCTION("""COMPUTED_VALUE"""),"")</f>
        <v/>
      </c>
      <c r="O4936" t="str">
        <f>IFERROR(__xludf.DUMMYFUNCTION("""COMPUTED_VALUE"""),"")</f>
        <v/>
      </c>
      <c r="P4936" t="str">
        <f>IFERROR(__xludf.DUMMYFUNCTION("""COMPUTED_VALUE"""),"ID ")</f>
        <v>ID </v>
      </c>
    </row>
    <row r="4937">
      <c r="A4937" s="6" t="str">
        <f>IFERROR(__xludf.DUMMYFUNCTION("""COMPUTED_VALUE"""),"")</f>
        <v/>
      </c>
      <c r="C4937" t="str">
        <f>IFERROR(__xludf.DUMMYFUNCTION("""COMPUTED_VALUE"""),"")</f>
        <v/>
      </c>
      <c r="D4937" t="str">
        <f>IFERROR(__xludf.DUMMYFUNCTION("""COMPUTED_VALUE"""),"")</f>
        <v/>
      </c>
      <c r="E4937" t="str">
        <f>IFERROR(__xludf.DUMMYFUNCTION("""COMPUTED_VALUE"""),"")</f>
        <v/>
      </c>
      <c r="F4937" t="str">
        <f>IFERROR(__xludf.DUMMYFUNCTION("""COMPUTED_VALUE"""),"")</f>
        <v/>
      </c>
      <c r="G4937" t="str">
        <f>IFERROR(__xludf.DUMMYFUNCTION("""COMPUTED_VALUE"""),"")</f>
        <v/>
      </c>
      <c r="H4937" s="2" t="str">
        <f>IFERROR(__xludf.DUMMYFUNCTION("""COMPUTED_VALUE"""),"")</f>
        <v/>
      </c>
      <c r="I4937" s="2" t="str">
        <f>IFERROR(__xludf.DUMMYFUNCTION("""COMPUTED_VALUE"""),"")</f>
        <v/>
      </c>
      <c r="J4937" s="2">
        <f>IFERROR(__xludf.DUMMYFUNCTION("""COMPUTED_VALUE"""),0.0)</f>
        <v>0</v>
      </c>
      <c r="K4937" s="5" t="str">
        <f>IFERROR(__xludf.DUMMYFUNCTION("""COMPUTED_VALUE"""),"")</f>
        <v/>
      </c>
      <c r="L4937" t="str">
        <f>IFERROR(__xludf.DUMMYFUNCTION("""COMPUTED_VALUE"""),"")</f>
        <v/>
      </c>
      <c r="M4937" t="str">
        <f>IFERROR(__xludf.DUMMYFUNCTION("""COMPUTED_VALUE"""),"")</f>
        <v/>
      </c>
      <c r="N4937" t="str">
        <f>IFERROR(__xludf.DUMMYFUNCTION("""COMPUTED_VALUE"""),"")</f>
        <v/>
      </c>
      <c r="O4937" t="str">
        <f>IFERROR(__xludf.DUMMYFUNCTION("""COMPUTED_VALUE"""),"")</f>
        <v/>
      </c>
      <c r="P4937" t="str">
        <f>IFERROR(__xludf.DUMMYFUNCTION("""COMPUTED_VALUE"""),"ID ")</f>
        <v>ID </v>
      </c>
    </row>
    <row r="4938">
      <c r="A4938" s="6" t="str">
        <f>IFERROR(__xludf.DUMMYFUNCTION("""COMPUTED_VALUE"""),"")</f>
        <v/>
      </c>
      <c r="C4938" t="str">
        <f>IFERROR(__xludf.DUMMYFUNCTION("""COMPUTED_VALUE"""),"")</f>
        <v/>
      </c>
      <c r="D4938" t="str">
        <f>IFERROR(__xludf.DUMMYFUNCTION("""COMPUTED_VALUE"""),"")</f>
        <v/>
      </c>
      <c r="E4938" t="str">
        <f>IFERROR(__xludf.DUMMYFUNCTION("""COMPUTED_VALUE"""),"")</f>
        <v/>
      </c>
      <c r="F4938" t="str">
        <f>IFERROR(__xludf.DUMMYFUNCTION("""COMPUTED_VALUE"""),"")</f>
        <v/>
      </c>
      <c r="G4938" t="str">
        <f>IFERROR(__xludf.DUMMYFUNCTION("""COMPUTED_VALUE"""),"")</f>
        <v/>
      </c>
      <c r="H4938" s="2" t="str">
        <f>IFERROR(__xludf.DUMMYFUNCTION("""COMPUTED_VALUE"""),"")</f>
        <v/>
      </c>
      <c r="I4938" s="2" t="str">
        <f>IFERROR(__xludf.DUMMYFUNCTION("""COMPUTED_VALUE"""),"")</f>
        <v/>
      </c>
      <c r="J4938" s="2">
        <f>IFERROR(__xludf.DUMMYFUNCTION("""COMPUTED_VALUE"""),0.0)</f>
        <v>0</v>
      </c>
      <c r="K4938" s="5" t="str">
        <f>IFERROR(__xludf.DUMMYFUNCTION("""COMPUTED_VALUE"""),"")</f>
        <v/>
      </c>
      <c r="L4938" t="str">
        <f>IFERROR(__xludf.DUMMYFUNCTION("""COMPUTED_VALUE"""),"")</f>
        <v/>
      </c>
      <c r="M4938" t="str">
        <f>IFERROR(__xludf.DUMMYFUNCTION("""COMPUTED_VALUE"""),"")</f>
        <v/>
      </c>
      <c r="N4938" t="str">
        <f>IFERROR(__xludf.DUMMYFUNCTION("""COMPUTED_VALUE"""),"")</f>
        <v/>
      </c>
      <c r="O4938" t="str">
        <f>IFERROR(__xludf.DUMMYFUNCTION("""COMPUTED_VALUE"""),"")</f>
        <v/>
      </c>
      <c r="P4938" t="str">
        <f>IFERROR(__xludf.DUMMYFUNCTION("""COMPUTED_VALUE"""),"ID ")</f>
        <v>ID </v>
      </c>
    </row>
    <row r="4939">
      <c r="A4939" s="6" t="str">
        <f>IFERROR(__xludf.DUMMYFUNCTION("""COMPUTED_VALUE"""),"")</f>
        <v/>
      </c>
      <c r="C4939" t="str">
        <f>IFERROR(__xludf.DUMMYFUNCTION("""COMPUTED_VALUE"""),"")</f>
        <v/>
      </c>
      <c r="D4939" t="str">
        <f>IFERROR(__xludf.DUMMYFUNCTION("""COMPUTED_VALUE"""),"")</f>
        <v/>
      </c>
      <c r="E4939" t="str">
        <f>IFERROR(__xludf.DUMMYFUNCTION("""COMPUTED_VALUE"""),"")</f>
        <v/>
      </c>
      <c r="F4939" t="str">
        <f>IFERROR(__xludf.DUMMYFUNCTION("""COMPUTED_VALUE"""),"")</f>
        <v/>
      </c>
      <c r="G4939" t="str">
        <f>IFERROR(__xludf.DUMMYFUNCTION("""COMPUTED_VALUE"""),"")</f>
        <v/>
      </c>
      <c r="H4939" s="2" t="str">
        <f>IFERROR(__xludf.DUMMYFUNCTION("""COMPUTED_VALUE"""),"")</f>
        <v/>
      </c>
      <c r="I4939" s="2" t="str">
        <f>IFERROR(__xludf.DUMMYFUNCTION("""COMPUTED_VALUE"""),"")</f>
        <v/>
      </c>
      <c r="J4939" s="2">
        <f>IFERROR(__xludf.DUMMYFUNCTION("""COMPUTED_VALUE"""),0.0)</f>
        <v>0</v>
      </c>
      <c r="K4939" s="5" t="str">
        <f>IFERROR(__xludf.DUMMYFUNCTION("""COMPUTED_VALUE"""),"")</f>
        <v/>
      </c>
      <c r="L4939" t="str">
        <f>IFERROR(__xludf.DUMMYFUNCTION("""COMPUTED_VALUE"""),"")</f>
        <v/>
      </c>
      <c r="M4939" t="str">
        <f>IFERROR(__xludf.DUMMYFUNCTION("""COMPUTED_VALUE"""),"")</f>
        <v/>
      </c>
      <c r="N4939" t="str">
        <f>IFERROR(__xludf.DUMMYFUNCTION("""COMPUTED_VALUE"""),"")</f>
        <v/>
      </c>
      <c r="O4939" t="str">
        <f>IFERROR(__xludf.DUMMYFUNCTION("""COMPUTED_VALUE"""),"")</f>
        <v/>
      </c>
      <c r="P4939" t="str">
        <f>IFERROR(__xludf.DUMMYFUNCTION("""COMPUTED_VALUE"""),"ID ")</f>
        <v>ID </v>
      </c>
    </row>
    <row r="4940">
      <c r="A4940" s="6" t="str">
        <f>IFERROR(__xludf.DUMMYFUNCTION("""COMPUTED_VALUE"""),"")</f>
        <v/>
      </c>
      <c r="C4940" t="str">
        <f>IFERROR(__xludf.DUMMYFUNCTION("""COMPUTED_VALUE"""),"")</f>
        <v/>
      </c>
      <c r="D4940" t="str">
        <f>IFERROR(__xludf.DUMMYFUNCTION("""COMPUTED_VALUE"""),"")</f>
        <v/>
      </c>
      <c r="E4940" t="str">
        <f>IFERROR(__xludf.DUMMYFUNCTION("""COMPUTED_VALUE"""),"")</f>
        <v/>
      </c>
      <c r="F4940" t="str">
        <f>IFERROR(__xludf.DUMMYFUNCTION("""COMPUTED_VALUE"""),"")</f>
        <v/>
      </c>
      <c r="G4940" t="str">
        <f>IFERROR(__xludf.DUMMYFUNCTION("""COMPUTED_VALUE"""),"")</f>
        <v/>
      </c>
      <c r="H4940" s="2" t="str">
        <f>IFERROR(__xludf.DUMMYFUNCTION("""COMPUTED_VALUE"""),"")</f>
        <v/>
      </c>
      <c r="I4940" s="2" t="str">
        <f>IFERROR(__xludf.DUMMYFUNCTION("""COMPUTED_VALUE"""),"")</f>
        <v/>
      </c>
      <c r="J4940" s="2">
        <f>IFERROR(__xludf.DUMMYFUNCTION("""COMPUTED_VALUE"""),0.0)</f>
        <v>0</v>
      </c>
      <c r="K4940" s="5" t="str">
        <f>IFERROR(__xludf.DUMMYFUNCTION("""COMPUTED_VALUE"""),"")</f>
        <v/>
      </c>
      <c r="L4940" t="str">
        <f>IFERROR(__xludf.DUMMYFUNCTION("""COMPUTED_VALUE"""),"")</f>
        <v/>
      </c>
      <c r="M4940" t="str">
        <f>IFERROR(__xludf.DUMMYFUNCTION("""COMPUTED_VALUE"""),"")</f>
        <v/>
      </c>
      <c r="N4940" t="str">
        <f>IFERROR(__xludf.DUMMYFUNCTION("""COMPUTED_VALUE"""),"")</f>
        <v/>
      </c>
      <c r="O4940" t="str">
        <f>IFERROR(__xludf.DUMMYFUNCTION("""COMPUTED_VALUE"""),"")</f>
        <v/>
      </c>
      <c r="P4940" t="str">
        <f>IFERROR(__xludf.DUMMYFUNCTION("""COMPUTED_VALUE"""),"ID ")</f>
        <v>ID </v>
      </c>
    </row>
    <row r="4941">
      <c r="A4941" s="6" t="str">
        <f>IFERROR(__xludf.DUMMYFUNCTION("""COMPUTED_VALUE"""),"")</f>
        <v/>
      </c>
      <c r="C4941" t="str">
        <f>IFERROR(__xludf.DUMMYFUNCTION("""COMPUTED_VALUE"""),"")</f>
        <v/>
      </c>
      <c r="D4941" t="str">
        <f>IFERROR(__xludf.DUMMYFUNCTION("""COMPUTED_VALUE"""),"")</f>
        <v/>
      </c>
      <c r="E4941" t="str">
        <f>IFERROR(__xludf.DUMMYFUNCTION("""COMPUTED_VALUE"""),"")</f>
        <v/>
      </c>
      <c r="F4941" t="str">
        <f>IFERROR(__xludf.DUMMYFUNCTION("""COMPUTED_VALUE"""),"")</f>
        <v/>
      </c>
      <c r="G4941" t="str">
        <f>IFERROR(__xludf.DUMMYFUNCTION("""COMPUTED_VALUE"""),"")</f>
        <v/>
      </c>
      <c r="H4941" s="2" t="str">
        <f>IFERROR(__xludf.DUMMYFUNCTION("""COMPUTED_VALUE"""),"")</f>
        <v/>
      </c>
      <c r="I4941" s="2" t="str">
        <f>IFERROR(__xludf.DUMMYFUNCTION("""COMPUTED_VALUE"""),"")</f>
        <v/>
      </c>
      <c r="J4941" s="2">
        <f>IFERROR(__xludf.DUMMYFUNCTION("""COMPUTED_VALUE"""),0.0)</f>
        <v>0</v>
      </c>
      <c r="K4941" s="5" t="str">
        <f>IFERROR(__xludf.DUMMYFUNCTION("""COMPUTED_VALUE"""),"")</f>
        <v/>
      </c>
      <c r="L4941" t="str">
        <f>IFERROR(__xludf.DUMMYFUNCTION("""COMPUTED_VALUE"""),"")</f>
        <v/>
      </c>
      <c r="M4941" t="str">
        <f>IFERROR(__xludf.DUMMYFUNCTION("""COMPUTED_VALUE"""),"")</f>
        <v/>
      </c>
      <c r="N4941" t="str">
        <f>IFERROR(__xludf.DUMMYFUNCTION("""COMPUTED_VALUE"""),"")</f>
        <v/>
      </c>
      <c r="O4941" t="str">
        <f>IFERROR(__xludf.DUMMYFUNCTION("""COMPUTED_VALUE"""),"")</f>
        <v/>
      </c>
      <c r="P4941" t="str">
        <f>IFERROR(__xludf.DUMMYFUNCTION("""COMPUTED_VALUE"""),"ID ")</f>
        <v>ID </v>
      </c>
    </row>
    <row r="4942">
      <c r="A4942" s="6" t="str">
        <f>IFERROR(__xludf.DUMMYFUNCTION("""COMPUTED_VALUE"""),"")</f>
        <v/>
      </c>
      <c r="C4942" t="str">
        <f>IFERROR(__xludf.DUMMYFUNCTION("""COMPUTED_VALUE"""),"")</f>
        <v/>
      </c>
      <c r="D4942" t="str">
        <f>IFERROR(__xludf.DUMMYFUNCTION("""COMPUTED_VALUE"""),"")</f>
        <v/>
      </c>
      <c r="E4942" t="str">
        <f>IFERROR(__xludf.DUMMYFUNCTION("""COMPUTED_VALUE"""),"")</f>
        <v/>
      </c>
      <c r="F4942" t="str">
        <f>IFERROR(__xludf.DUMMYFUNCTION("""COMPUTED_VALUE"""),"")</f>
        <v/>
      </c>
      <c r="G4942" t="str">
        <f>IFERROR(__xludf.DUMMYFUNCTION("""COMPUTED_VALUE"""),"")</f>
        <v/>
      </c>
      <c r="H4942" s="2" t="str">
        <f>IFERROR(__xludf.DUMMYFUNCTION("""COMPUTED_VALUE"""),"")</f>
        <v/>
      </c>
      <c r="I4942" s="2" t="str">
        <f>IFERROR(__xludf.DUMMYFUNCTION("""COMPUTED_VALUE"""),"")</f>
        <v/>
      </c>
      <c r="J4942" s="2">
        <f>IFERROR(__xludf.DUMMYFUNCTION("""COMPUTED_VALUE"""),0.0)</f>
        <v>0</v>
      </c>
      <c r="K4942" s="5" t="str">
        <f>IFERROR(__xludf.DUMMYFUNCTION("""COMPUTED_VALUE"""),"")</f>
        <v/>
      </c>
      <c r="L4942" t="str">
        <f>IFERROR(__xludf.DUMMYFUNCTION("""COMPUTED_VALUE"""),"")</f>
        <v/>
      </c>
      <c r="M4942" t="str">
        <f>IFERROR(__xludf.DUMMYFUNCTION("""COMPUTED_VALUE"""),"")</f>
        <v/>
      </c>
      <c r="N4942" t="str">
        <f>IFERROR(__xludf.DUMMYFUNCTION("""COMPUTED_VALUE"""),"")</f>
        <v/>
      </c>
      <c r="O4942" t="str">
        <f>IFERROR(__xludf.DUMMYFUNCTION("""COMPUTED_VALUE"""),"")</f>
        <v/>
      </c>
      <c r="P4942" t="str">
        <f>IFERROR(__xludf.DUMMYFUNCTION("""COMPUTED_VALUE"""),"ID ")</f>
        <v>ID </v>
      </c>
    </row>
    <row r="4943">
      <c r="A4943" s="6" t="str">
        <f>IFERROR(__xludf.DUMMYFUNCTION("""COMPUTED_VALUE"""),"")</f>
        <v/>
      </c>
      <c r="C4943" t="str">
        <f>IFERROR(__xludf.DUMMYFUNCTION("""COMPUTED_VALUE"""),"")</f>
        <v/>
      </c>
      <c r="D4943" t="str">
        <f>IFERROR(__xludf.DUMMYFUNCTION("""COMPUTED_VALUE"""),"")</f>
        <v/>
      </c>
      <c r="E4943" t="str">
        <f>IFERROR(__xludf.DUMMYFUNCTION("""COMPUTED_VALUE"""),"")</f>
        <v/>
      </c>
      <c r="F4943" t="str">
        <f>IFERROR(__xludf.DUMMYFUNCTION("""COMPUTED_VALUE"""),"")</f>
        <v/>
      </c>
      <c r="G4943" t="str">
        <f>IFERROR(__xludf.DUMMYFUNCTION("""COMPUTED_VALUE"""),"")</f>
        <v/>
      </c>
      <c r="H4943" s="2" t="str">
        <f>IFERROR(__xludf.DUMMYFUNCTION("""COMPUTED_VALUE"""),"")</f>
        <v/>
      </c>
      <c r="I4943" s="2" t="str">
        <f>IFERROR(__xludf.DUMMYFUNCTION("""COMPUTED_VALUE"""),"")</f>
        <v/>
      </c>
      <c r="J4943" s="2">
        <f>IFERROR(__xludf.DUMMYFUNCTION("""COMPUTED_VALUE"""),0.0)</f>
        <v>0</v>
      </c>
      <c r="K4943" s="5" t="str">
        <f>IFERROR(__xludf.DUMMYFUNCTION("""COMPUTED_VALUE"""),"")</f>
        <v/>
      </c>
      <c r="L4943" t="str">
        <f>IFERROR(__xludf.DUMMYFUNCTION("""COMPUTED_VALUE"""),"")</f>
        <v/>
      </c>
      <c r="M4943" t="str">
        <f>IFERROR(__xludf.DUMMYFUNCTION("""COMPUTED_VALUE"""),"")</f>
        <v/>
      </c>
      <c r="N4943" t="str">
        <f>IFERROR(__xludf.DUMMYFUNCTION("""COMPUTED_VALUE"""),"")</f>
        <v/>
      </c>
      <c r="O4943" t="str">
        <f>IFERROR(__xludf.DUMMYFUNCTION("""COMPUTED_VALUE"""),"")</f>
        <v/>
      </c>
      <c r="P4943" t="str">
        <f>IFERROR(__xludf.DUMMYFUNCTION("""COMPUTED_VALUE"""),"ID ")</f>
        <v>ID </v>
      </c>
    </row>
    <row r="4944">
      <c r="A4944" s="6" t="str">
        <f>IFERROR(__xludf.DUMMYFUNCTION("""COMPUTED_VALUE"""),"")</f>
        <v/>
      </c>
      <c r="C4944" t="str">
        <f>IFERROR(__xludf.DUMMYFUNCTION("""COMPUTED_VALUE"""),"")</f>
        <v/>
      </c>
      <c r="D4944" t="str">
        <f>IFERROR(__xludf.DUMMYFUNCTION("""COMPUTED_VALUE"""),"")</f>
        <v/>
      </c>
      <c r="E4944" t="str">
        <f>IFERROR(__xludf.DUMMYFUNCTION("""COMPUTED_VALUE"""),"")</f>
        <v/>
      </c>
      <c r="F4944" t="str">
        <f>IFERROR(__xludf.DUMMYFUNCTION("""COMPUTED_VALUE"""),"")</f>
        <v/>
      </c>
      <c r="G4944" t="str">
        <f>IFERROR(__xludf.DUMMYFUNCTION("""COMPUTED_VALUE"""),"")</f>
        <v/>
      </c>
      <c r="H4944" s="2" t="str">
        <f>IFERROR(__xludf.DUMMYFUNCTION("""COMPUTED_VALUE"""),"")</f>
        <v/>
      </c>
      <c r="I4944" s="2" t="str">
        <f>IFERROR(__xludf.DUMMYFUNCTION("""COMPUTED_VALUE"""),"")</f>
        <v/>
      </c>
      <c r="J4944" s="2">
        <f>IFERROR(__xludf.DUMMYFUNCTION("""COMPUTED_VALUE"""),0.0)</f>
        <v>0</v>
      </c>
      <c r="K4944" s="5" t="str">
        <f>IFERROR(__xludf.DUMMYFUNCTION("""COMPUTED_VALUE"""),"")</f>
        <v/>
      </c>
      <c r="L4944" t="str">
        <f>IFERROR(__xludf.DUMMYFUNCTION("""COMPUTED_VALUE"""),"")</f>
        <v/>
      </c>
      <c r="M4944" t="str">
        <f>IFERROR(__xludf.DUMMYFUNCTION("""COMPUTED_VALUE"""),"")</f>
        <v/>
      </c>
      <c r="N4944" t="str">
        <f>IFERROR(__xludf.DUMMYFUNCTION("""COMPUTED_VALUE"""),"")</f>
        <v/>
      </c>
      <c r="O4944" t="str">
        <f>IFERROR(__xludf.DUMMYFUNCTION("""COMPUTED_VALUE"""),"")</f>
        <v/>
      </c>
      <c r="P4944" t="str">
        <f>IFERROR(__xludf.DUMMYFUNCTION("""COMPUTED_VALUE"""),"ID ")</f>
        <v>ID </v>
      </c>
    </row>
    <row r="4945">
      <c r="A4945" s="6" t="str">
        <f>IFERROR(__xludf.DUMMYFUNCTION("""COMPUTED_VALUE"""),"")</f>
        <v/>
      </c>
      <c r="C4945" t="str">
        <f>IFERROR(__xludf.DUMMYFUNCTION("""COMPUTED_VALUE"""),"")</f>
        <v/>
      </c>
      <c r="D4945" t="str">
        <f>IFERROR(__xludf.DUMMYFUNCTION("""COMPUTED_VALUE"""),"")</f>
        <v/>
      </c>
      <c r="E4945" t="str">
        <f>IFERROR(__xludf.DUMMYFUNCTION("""COMPUTED_VALUE"""),"")</f>
        <v/>
      </c>
      <c r="F4945" t="str">
        <f>IFERROR(__xludf.DUMMYFUNCTION("""COMPUTED_VALUE"""),"")</f>
        <v/>
      </c>
      <c r="G4945" t="str">
        <f>IFERROR(__xludf.DUMMYFUNCTION("""COMPUTED_VALUE"""),"")</f>
        <v/>
      </c>
      <c r="H4945" s="2" t="str">
        <f>IFERROR(__xludf.DUMMYFUNCTION("""COMPUTED_VALUE"""),"")</f>
        <v/>
      </c>
      <c r="I4945" s="2" t="str">
        <f>IFERROR(__xludf.DUMMYFUNCTION("""COMPUTED_VALUE"""),"")</f>
        <v/>
      </c>
      <c r="J4945" s="2">
        <f>IFERROR(__xludf.DUMMYFUNCTION("""COMPUTED_VALUE"""),0.0)</f>
        <v>0</v>
      </c>
      <c r="K4945" s="5" t="str">
        <f>IFERROR(__xludf.DUMMYFUNCTION("""COMPUTED_VALUE"""),"")</f>
        <v/>
      </c>
      <c r="L4945" t="str">
        <f>IFERROR(__xludf.DUMMYFUNCTION("""COMPUTED_VALUE"""),"")</f>
        <v/>
      </c>
      <c r="M4945" t="str">
        <f>IFERROR(__xludf.DUMMYFUNCTION("""COMPUTED_VALUE"""),"")</f>
        <v/>
      </c>
      <c r="N4945" t="str">
        <f>IFERROR(__xludf.DUMMYFUNCTION("""COMPUTED_VALUE"""),"")</f>
        <v/>
      </c>
      <c r="O4945" t="str">
        <f>IFERROR(__xludf.DUMMYFUNCTION("""COMPUTED_VALUE"""),"")</f>
        <v/>
      </c>
      <c r="P4945" t="str">
        <f>IFERROR(__xludf.DUMMYFUNCTION("""COMPUTED_VALUE"""),"ID ")</f>
        <v>ID </v>
      </c>
    </row>
    <row r="4946">
      <c r="A4946" s="6" t="str">
        <f>IFERROR(__xludf.DUMMYFUNCTION("""COMPUTED_VALUE"""),"")</f>
        <v/>
      </c>
      <c r="C4946" t="str">
        <f>IFERROR(__xludf.DUMMYFUNCTION("""COMPUTED_VALUE"""),"")</f>
        <v/>
      </c>
      <c r="D4946" t="str">
        <f>IFERROR(__xludf.DUMMYFUNCTION("""COMPUTED_VALUE"""),"")</f>
        <v/>
      </c>
      <c r="E4946" t="str">
        <f>IFERROR(__xludf.DUMMYFUNCTION("""COMPUTED_VALUE"""),"")</f>
        <v/>
      </c>
      <c r="F4946" t="str">
        <f>IFERROR(__xludf.DUMMYFUNCTION("""COMPUTED_VALUE"""),"")</f>
        <v/>
      </c>
      <c r="G4946" t="str">
        <f>IFERROR(__xludf.DUMMYFUNCTION("""COMPUTED_VALUE"""),"")</f>
        <v/>
      </c>
      <c r="H4946" s="2" t="str">
        <f>IFERROR(__xludf.DUMMYFUNCTION("""COMPUTED_VALUE"""),"")</f>
        <v/>
      </c>
      <c r="I4946" s="2" t="str">
        <f>IFERROR(__xludf.DUMMYFUNCTION("""COMPUTED_VALUE"""),"")</f>
        <v/>
      </c>
      <c r="J4946" s="2">
        <f>IFERROR(__xludf.DUMMYFUNCTION("""COMPUTED_VALUE"""),0.0)</f>
        <v>0</v>
      </c>
      <c r="K4946" s="5" t="str">
        <f>IFERROR(__xludf.DUMMYFUNCTION("""COMPUTED_VALUE"""),"")</f>
        <v/>
      </c>
      <c r="L4946" t="str">
        <f>IFERROR(__xludf.DUMMYFUNCTION("""COMPUTED_VALUE"""),"")</f>
        <v/>
      </c>
      <c r="M4946" t="str">
        <f>IFERROR(__xludf.DUMMYFUNCTION("""COMPUTED_VALUE"""),"")</f>
        <v/>
      </c>
      <c r="N4946" t="str">
        <f>IFERROR(__xludf.DUMMYFUNCTION("""COMPUTED_VALUE"""),"")</f>
        <v/>
      </c>
      <c r="O4946" t="str">
        <f>IFERROR(__xludf.DUMMYFUNCTION("""COMPUTED_VALUE"""),"")</f>
        <v/>
      </c>
      <c r="P4946" t="str">
        <f>IFERROR(__xludf.DUMMYFUNCTION("""COMPUTED_VALUE"""),"ID ")</f>
        <v>ID </v>
      </c>
    </row>
    <row r="4947">
      <c r="A4947" s="6" t="str">
        <f>IFERROR(__xludf.DUMMYFUNCTION("""COMPUTED_VALUE"""),"")</f>
        <v/>
      </c>
      <c r="C4947" t="str">
        <f>IFERROR(__xludf.DUMMYFUNCTION("""COMPUTED_VALUE"""),"")</f>
        <v/>
      </c>
      <c r="D4947" t="str">
        <f>IFERROR(__xludf.DUMMYFUNCTION("""COMPUTED_VALUE"""),"")</f>
        <v/>
      </c>
      <c r="E4947" t="str">
        <f>IFERROR(__xludf.DUMMYFUNCTION("""COMPUTED_VALUE"""),"")</f>
        <v/>
      </c>
      <c r="F4947" t="str">
        <f>IFERROR(__xludf.DUMMYFUNCTION("""COMPUTED_VALUE"""),"")</f>
        <v/>
      </c>
      <c r="G4947" t="str">
        <f>IFERROR(__xludf.DUMMYFUNCTION("""COMPUTED_VALUE"""),"")</f>
        <v/>
      </c>
      <c r="H4947" s="2" t="str">
        <f>IFERROR(__xludf.DUMMYFUNCTION("""COMPUTED_VALUE"""),"")</f>
        <v/>
      </c>
      <c r="I4947" s="2" t="str">
        <f>IFERROR(__xludf.DUMMYFUNCTION("""COMPUTED_VALUE"""),"")</f>
        <v/>
      </c>
      <c r="J4947" s="2">
        <f>IFERROR(__xludf.DUMMYFUNCTION("""COMPUTED_VALUE"""),0.0)</f>
        <v>0</v>
      </c>
      <c r="K4947" s="5" t="str">
        <f>IFERROR(__xludf.DUMMYFUNCTION("""COMPUTED_VALUE"""),"")</f>
        <v/>
      </c>
      <c r="L4947" t="str">
        <f>IFERROR(__xludf.DUMMYFUNCTION("""COMPUTED_VALUE"""),"")</f>
        <v/>
      </c>
      <c r="M4947" t="str">
        <f>IFERROR(__xludf.DUMMYFUNCTION("""COMPUTED_VALUE"""),"")</f>
        <v/>
      </c>
      <c r="N4947" t="str">
        <f>IFERROR(__xludf.DUMMYFUNCTION("""COMPUTED_VALUE"""),"")</f>
        <v/>
      </c>
      <c r="O4947" t="str">
        <f>IFERROR(__xludf.DUMMYFUNCTION("""COMPUTED_VALUE"""),"")</f>
        <v/>
      </c>
      <c r="P4947" t="str">
        <f>IFERROR(__xludf.DUMMYFUNCTION("""COMPUTED_VALUE"""),"ID ")</f>
        <v>ID </v>
      </c>
    </row>
    <row r="4948">
      <c r="A4948" s="6" t="str">
        <f>IFERROR(__xludf.DUMMYFUNCTION("""COMPUTED_VALUE"""),"")</f>
        <v/>
      </c>
      <c r="C4948" t="str">
        <f>IFERROR(__xludf.DUMMYFUNCTION("""COMPUTED_VALUE"""),"")</f>
        <v/>
      </c>
      <c r="D4948" t="str">
        <f>IFERROR(__xludf.DUMMYFUNCTION("""COMPUTED_VALUE"""),"")</f>
        <v/>
      </c>
      <c r="E4948" t="str">
        <f>IFERROR(__xludf.DUMMYFUNCTION("""COMPUTED_VALUE"""),"")</f>
        <v/>
      </c>
      <c r="F4948" t="str">
        <f>IFERROR(__xludf.DUMMYFUNCTION("""COMPUTED_VALUE"""),"")</f>
        <v/>
      </c>
      <c r="G4948" t="str">
        <f>IFERROR(__xludf.DUMMYFUNCTION("""COMPUTED_VALUE"""),"")</f>
        <v/>
      </c>
      <c r="H4948" s="2" t="str">
        <f>IFERROR(__xludf.DUMMYFUNCTION("""COMPUTED_VALUE"""),"")</f>
        <v/>
      </c>
      <c r="I4948" s="2" t="str">
        <f>IFERROR(__xludf.DUMMYFUNCTION("""COMPUTED_VALUE"""),"")</f>
        <v/>
      </c>
      <c r="J4948" s="2">
        <f>IFERROR(__xludf.DUMMYFUNCTION("""COMPUTED_VALUE"""),0.0)</f>
        <v>0</v>
      </c>
      <c r="K4948" s="5" t="str">
        <f>IFERROR(__xludf.DUMMYFUNCTION("""COMPUTED_VALUE"""),"")</f>
        <v/>
      </c>
      <c r="L4948" t="str">
        <f>IFERROR(__xludf.DUMMYFUNCTION("""COMPUTED_VALUE"""),"")</f>
        <v/>
      </c>
      <c r="M4948" t="str">
        <f>IFERROR(__xludf.DUMMYFUNCTION("""COMPUTED_VALUE"""),"")</f>
        <v/>
      </c>
      <c r="N4948" t="str">
        <f>IFERROR(__xludf.DUMMYFUNCTION("""COMPUTED_VALUE"""),"")</f>
        <v/>
      </c>
      <c r="O4948" t="str">
        <f>IFERROR(__xludf.DUMMYFUNCTION("""COMPUTED_VALUE"""),"")</f>
        <v/>
      </c>
      <c r="P4948" t="str">
        <f>IFERROR(__xludf.DUMMYFUNCTION("""COMPUTED_VALUE"""),"ID ")</f>
        <v>ID </v>
      </c>
    </row>
    <row r="4949">
      <c r="A4949" s="6" t="str">
        <f>IFERROR(__xludf.DUMMYFUNCTION("""COMPUTED_VALUE"""),"")</f>
        <v/>
      </c>
      <c r="C4949" t="str">
        <f>IFERROR(__xludf.DUMMYFUNCTION("""COMPUTED_VALUE"""),"")</f>
        <v/>
      </c>
      <c r="D4949" t="str">
        <f>IFERROR(__xludf.DUMMYFUNCTION("""COMPUTED_VALUE"""),"")</f>
        <v/>
      </c>
      <c r="E4949" t="str">
        <f>IFERROR(__xludf.DUMMYFUNCTION("""COMPUTED_VALUE"""),"")</f>
        <v/>
      </c>
      <c r="F4949" t="str">
        <f>IFERROR(__xludf.DUMMYFUNCTION("""COMPUTED_VALUE"""),"")</f>
        <v/>
      </c>
      <c r="G4949" t="str">
        <f>IFERROR(__xludf.DUMMYFUNCTION("""COMPUTED_VALUE"""),"")</f>
        <v/>
      </c>
      <c r="H4949" s="2" t="str">
        <f>IFERROR(__xludf.DUMMYFUNCTION("""COMPUTED_VALUE"""),"")</f>
        <v/>
      </c>
      <c r="I4949" s="2" t="str">
        <f>IFERROR(__xludf.DUMMYFUNCTION("""COMPUTED_VALUE"""),"")</f>
        <v/>
      </c>
      <c r="J4949" s="2">
        <f>IFERROR(__xludf.DUMMYFUNCTION("""COMPUTED_VALUE"""),0.0)</f>
        <v>0</v>
      </c>
      <c r="K4949" s="5" t="str">
        <f>IFERROR(__xludf.DUMMYFUNCTION("""COMPUTED_VALUE"""),"")</f>
        <v/>
      </c>
      <c r="L4949" t="str">
        <f>IFERROR(__xludf.DUMMYFUNCTION("""COMPUTED_VALUE"""),"")</f>
        <v/>
      </c>
      <c r="M4949" t="str">
        <f>IFERROR(__xludf.DUMMYFUNCTION("""COMPUTED_VALUE"""),"")</f>
        <v/>
      </c>
      <c r="N4949" t="str">
        <f>IFERROR(__xludf.DUMMYFUNCTION("""COMPUTED_VALUE"""),"")</f>
        <v/>
      </c>
      <c r="O4949" t="str">
        <f>IFERROR(__xludf.DUMMYFUNCTION("""COMPUTED_VALUE"""),"")</f>
        <v/>
      </c>
      <c r="P4949" t="str">
        <f>IFERROR(__xludf.DUMMYFUNCTION("""COMPUTED_VALUE"""),"ID ")</f>
        <v>ID </v>
      </c>
    </row>
    <row r="4950">
      <c r="A4950" s="6" t="str">
        <f>IFERROR(__xludf.DUMMYFUNCTION("""COMPUTED_VALUE"""),"")</f>
        <v/>
      </c>
      <c r="C4950" t="str">
        <f>IFERROR(__xludf.DUMMYFUNCTION("""COMPUTED_VALUE"""),"")</f>
        <v/>
      </c>
      <c r="D4950" t="str">
        <f>IFERROR(__xludf.DUMMYFUNCTION("""COMPUTED_VALUE"""),"")</f>
        <v/>
      </c>
      <c r="E4950" t="str">
        <f>IFERROR(__xludf.DUMMYFUNCTION("""COMPUTED_VALUE"""),"")</f>
        <v/>
      </c>
      <c r="F4950" t="str">
        <f>IFERROR(__xludf.DUMMYFUNCTION("""COMPUTED_VALUE"""),"")</f>
        <v/>
      </c>
      <c r="G4950" t="str">
        <f>IFERROR(__xludf.DUMMYFUNCTION("""COMPUTED_VALUE"""),"")</f>
        <v/>
      </c>
      <c r="H4950" s="2" t="str">
        <f>IFERROR(__xludf.DUMMYFUNCTION("""COMPUTED_VALUE"""),"")</f>
        <v/>
      </c>
      <c r="I4950" s="2" t="str">
        <f>IFERROR(__xludf.DUMMYFUNCTION("""COMPUTED_VALUE"""),"")</f>
        <v/>
      </c>
      <c r="J4950" s="2">
        <f>IFERROR(__xludf.DUMMYFUNCTION("""COMPUTED_VALUE"""),0.0)</f>
        <v>0</v>
      </c>
      <c r="K4950" s="5" t="str">
        <f>IFERROR(__xludf.DUMMYFUNCTION("""COMPUTED_VALUE"""),"")</f>
        <v/>
      </c>
      <c r="L4950" t="str">
        <f>IFERROR(__xludf.DUMMYFUNCTION("""COMPUTED_VALUE"""),"")</f>
        <v/>
      </c>
      <c r="M4950" t="str">
        <f>IFERROR(__xludf.DUMMYFUNCTION("""COMPUTED_VALUE"""),"")</f>
        <v/>
      </c>
      <c r="N4950" t="str">
        <f>IFERROR(__xludf.DUMMYFUNCTION("""COMPUTED_VALUE"""),"")</f>
        <v/>
      </c>
      <c r="O4950" t="str">
        <f>IFERROR(__xludf.DUMMYFUNCTION("""COMPUTED_VALUE"""),"")</f>
        <v/>
      </c>
      <c r="P4950" t="str">
        <f>IFERROR(__xludf.DUMMYFUNCTION("""COMPUTED_VALUE"""),"ID ")</f>
        <v>ID </v>
      </c>
    </row>
    <row r="4951">
      <c r="A4951" s="6" t="str">
        <f>IFERROR(__xludf.DUMMYFUNCTION("""COMPUTED_VALUE"""),"")</f>
        <v/>
      </c>
      <c r="C4951" t="str">
        <f>IFERROR(__xludf.DUMMYFUNCTION("""COMPUTED_VALUE"""),"")</f>
        <v/>
      </c>
      <c r="D4951" t="str">
        <f>IFERROR(__xludf.DUMMYFUNCTION("""COMPUTED_VALUE"""),"")</f>
        <v/>
      </c>
      <c r="E4951" t="str">
        <f>IFERROR(__xludf.DUMMYFUNCTION("""COMPUTED_VALUE"""),"")</f>
        <v/>
      </c>
      <c r="F4951" t="str">
        <f>IFERROR(__xludf.DUMMYFUNCTION("""COMPUTED_VALUE"""),"")</f>
        <v/>
      </c>
      <c r="G4951" t="str">
        <f>IFERROR(__xludf.DUMMYFUNCTION("""COMPUTED_VALUE"""),"")</f>
        <v/>
      </c>
      <c r="H4951" s="2" t="str">
        <f>IFERROR(__xludf.DUMMYFUNCTION("""COMPUTED_VALUE"""),"")</f>
        <v/>
      </c>
      <c r="I4951" s="2" t="str">
        <f>IFERROR(__xludf.DUMMYFUNCTION("""COMPUTED_VALUE"""),"")</f>
        <v/>
      </c>
      <c r="J4951" s="2">
        <f>IFERROR(__xludf.DUMMYFUNCTION("""COMPUTED_VALUE"""),0.0)</f>
        <v>0</v>
      </c>
      <c r="K4951" s="5" t="str">
        <f>IFERROR(__xludf.DUMMYFUNCTION("""COMPUTED_VALUE"""),"")</f>
        <v/>
      </c>
      <c r="L4951" t="str">
        <f>IFERROR(__xludf.DUMMYFUNCTION("""COMPUTED_VALUE"""),"")</f>
        <v/>
      </c>
      <c r="M4951" t="str">
        <f>IFERROR(__xludf.DUMMYFUNCTION("""COMPUTED_VALUE"""),"")</f>
        <v/>
      </c>
      <c r="N4951" t="str">
        <f>IFERROR(__xludf.DUMMYFUNCTION("""COMPUTED_VALUE"""),"")</f>
        <v/>
      </c>
      <c r="O4951" t="str">
        <f>IFERROR(__xludf.DUMMYFUNCTION("""COMPUTED_VALUE"""),"")</f>
        <v/>
      </c>
      <c r="P4951" t="str">
        <f>IFERROR(__xludf.DUMMYFUNCTION("""COMPUTED_VALUE"""),"ID ")</f>
        <v>ID </v>
      </c>
    </row>
    <row r="4952">
      <c r="A4952" s="6" t="str">
        <f>IFERROR(__xludf.DUMMYFUNCTION("""COMPUTED_VALUE"""),"")</f>
        <v/>
      </c>
      <c r="C4952" t="str">
        <f>IFERROR(__xludf.DUMMYFUNCTION("""COMPUTED_VALUE"""),"")</f>
        <v/>
      </c>
      <c r="D4952" t="str">
        <f>IFERROR(__xludf.DUMMYFUNCTION("""COMPUTED_VALUE"""),"")</f>
        <v/>
      </c>
      <c r="E4952" t="str">
        <f>IFERROR(__xludf.DUMMYFUNCTION("""COMPUTED_VALUE"""),"")</f>
        <v/>
      </c>
      <c r="F4952" t="str">
        <f>IFERROR(__xludf.DUMMYFUNCTION("""COMPUTED_VALUE"""),"")</f>
        <v/>
      </c>
      <c r="G4952" t="str">
        <f>IFERROR(__xludf.DUMMYFUNCTION("""COMPUTED_VALUE"""),"")</f>
        <v/>
      </c>
      <c r="H4952" s="2" t="str">
        <f>IFERROR(__xludf.DUMMYFUNCTION("""COMPUTED_VALUE"""),"")</f>
        <v/>
      </c>
      <c r="I4952" s="2" t="str">
        <f>IFERROR(__xludf.DUMMYFUNCTION("""COMPUTED_VALUE"""),"")</f>
        <v/>
      </c>
      <c r="J4952" s="2">
        <f>IFERROR(__xludf.DUMMYFUNCTION("""COMPUTED_VALUE"""),0.0)</f>
        <v>0</v>
      </c>
      <c r="K4952" s="5" t="str">
        <f>IFERROR(__xludf.DUMMYFUNCTION("""COMPUTED_VALUE"""),"")</f>
        <v/>
      </c>
      <c r="L4952" t="str">
        <f>IFERROR(__xludf.DUMMYFUNCTION("""COMPUTED_VALUE"""),"")</f>
        <v/>
      </c>
      <c r="M4952" t="str">
        <f>IFERROR(__xludf.DUMMYFUNCTION("""COMPUTED_VALUE"""),"")</f>
        <v/>
      </c>
      <c r="N4952" t="str">
        <f>IFERROR(__xludf.DUMMYFUNCTION("""COMPUTED_VALUE"""),"")</f>
        <v/>
      </c>
      <c r="O4952" t="str">
        <f>IFERROR(__xludf.DUMMYFUNCTION("""COMPUTED_VALUE"""),"")</f>
        <v/>
      </c>
      <c r="P4952" t="str">
        <f>IFERROR(__xludf.DUMMYFUNCTION("""COMPUTED_VALUE"""),"ID ")</f>
        <v>ID </v>
      </c>
    </row>
    <row r="4953">
      <c r="A4953" s="6" t="str">
        <f>IFERROR(__xludf.DUMMYFUNCTION("""COMPUTED_VALUE"""),"")</f>
        <v/>
      </c>
      <c r="C4953" t="str">
        <f>IFERROR(__xludf.DUMMYFUNCTION("""COMPUTED_VALUE"""),"")</f>
        <v/>
      </c>
      <c r="D4953" t="str">
        <f>IFERROR(__xludf.DUMMYFUNCTION("""COMPUTED_VALUE"""),"")</f>
        <v/>
      </c>
      <c r="E4953" t="str">
        <f>IFERROR(__xludf.DUMMYFUNCTION("""COMPUTED_VALUE"""),"")</f>
        <v/>
      </c>
      <c r="F4953" t="str">
        <f>IFERROR(__xludf.DUMMYFUNCTION("""COMPUTED_VALUE"""),"")</f>
        <v/>
      </c>
      <c r="G4953" t="str">
        <f>IFERROR(__xludf.DUMMYFUNCTION("""COMPUTED_VALUE"""),"")</f>
        <v/>
      </c>
      <c r="H4953" s="2" t="str">
        <f>IFERROR(__xludf.DUMMYFUNCTION("""COMPUTED_VALUE"""),"")</f>
        <v/>
      </c>
      <c r="I4953" s="2" t="str">
        <f>IFERROR(__xludf.DUMMYFUNCTION("""COMPUTED_VALUE"""),"")</f>
        <v/>
      </c>
      <c r="J4953" s="2">
        <f>IFERROR(__xludf.DUMMYFUNCTION("""COMPUTED_VALUE"""),0.0)</f>
        <v>0</v>
      </c>
      <c r="K4953" s="5" t="str">
        <f>IFERROR(__xludf.DUMMYFUNCTION("""COMPUTED_VALUE"""),"")</f>
        <v/>
      </c>
      <c r="L4953" t="str">
        <f>IFERROR(__xludf.DUMMYFUNCTION("""COMPUTED_VALUE"""),"")</f>
        <v/>
      </c>
      <c r="M4953" t="str">
        <f>IFERROR(__xludf.DUMMYFUNCTION("""COMPUTED_VALUE"""),"")</f>
        <v/>
      </c>
      <c r="N4953" t="str">
        <f>IFERROR(__xludf.DUMMYFUNCTION("""COMPUTED_VALUE"""),"")</f>
        <v/>
      </c>
      <c r="O4953" t="str">
        <f>IFERROR(__xludf.DUMMYFUNCTION("""COMPUTED_VALUE"""),"")</f>
        <v/>
      </c>
      <c r="P4953" t="str">
        <f>IFERROR(__xludf.DUMMYFUNCTION("""COMPUTED_VALUE"""),"ID ")</f>
        <v>ID </v>
      </c>
    </row>
    <row r="4954">
      <c r="A4954" s="6" t="str">
        <f>IFERROR(__xludf.DUMMYFUNCTION("""COMPUTED_VALUE"""),"")</f>
        <v/>
      </c>
      <c r="C4954" t="str">
        <f>IFERROR(__xludf.DUMMYFUNCTION("""COMPUTED_VALUE"""),"")</f>
        <v/>
      </c>
      <c r="D4954" t="str">
        <f>IFERROR(__xludf.DUMMYFUNCTION("""COMPUTED_VALUE"""),"")</f>
        <v/>
      </c>
      <c r="E4954" t="str">
        <f>IFERROR(__xludf.DUMMYFUNCTION("""COMPUTED_VALUE"""),"")</f>
        <v/>
      </c>
      <c r="F4954" t="str">
        <f>IFERROR(__xludf.DUMMYFUNCTION("""COMPUTED_VALUE"""),"")</f>
        <v/>
      </c>
      <c r="G4954" t="str">
        <f>IFERROR(__xludf.DUMMYFUNCTION("""COMPUTED_VALUE"""),"")</f>
        <v/>
      </c>
      <c r="H4954" s="2" t="str">
        <f>IFERROR(__xludf.DUMMYFUNCTION("""COMPUTED_VALUE"""),"")</f>
        <v/>
      </c>
      <c r="I4954" s="2" t="str">
        <f>IFERROR(__xludf.DUMMYFUNCTION("""COMPUTED_VALUE"""),"")</f>
        <v/>
      </c>
      <c r="J4954" s="2">
        <f>IFERROR(__xludf.DUMMYFUNCTION("""COMPUTED_VALUE"""),0.0)</f>
        <v>0</v>
      </c>
      <c r="K4954" s="5" t="str">
        <f>IFERROR(__xludf.DUMMYFUNCTION("""COMPUTED_VALUE"""),"")</f>
        <v/>
      </c>
      <c r="L4954" t="str">
        <f>IFERROR(__xludf.DUMMYFUNCTION("""COMPUTED_VALUE"""),"")</f>
        <v/>
      </c>
      <c r="M4954" t="str">
        <f>IFERROR(__xludf.DUMMYFUNCTION("""COMPUTED_VALUE"""),"")</f>
        <v/>
      </c>
      <c r="N4954" t="str">
        <f>IFERROR(__xludf.DUMMYFUNCTION("""COMPUTED_VALUE"""),"")</f>
        <v/>
      </c>
      <c r="O4954" t="str">
        <f>IFERROR(__xludf.DUMMYFUNCTION("""COMPUTED_VALUE"""),"")</f>
        <v/>
      </c>
      <c r="P4954" t="str">
        <f>IFERROR(__xludf.DUMMYFUNCTION("""COMPUTED_VALUE"""),"ID ")</f>
        <v>ID </v>
      </c>
    </row>
    <row r="4955">
      <c r="A4955" s="6" t="str">
        <f>IFERROR(__xludf.DUMMYFUNCTION("""COMPUTED_VALUE"""),"")</f>
        <v/>
      </c>
      <c r="C4955" t="str">
        <f>IFERROR(__xludf.DUMMYFUNCTION("""COMPUTED_VALUE"""),"")</f>
        <v/>
      </c>
      <c r="D4955" t="str">
        <f>IFERROR(__xludf.DUMMYFUNCTION("""COMPUTED_VALUE"""),"")</f>
        <v/>
      </c>
      <c r="E4955" t="str">
        <f>IFERROR(__xludf.DUMMYFUNCTION("""COMPUTED_VALUE"""),"")</f>
        <v/>
      </c>
      <c r="F4955" t="str">
        <f>IFERROR(__xludf.DUMMYFUNCTION("""COMPUTED_VALUE"""),"")</f>
        <v/>
      </c>
      <c r="G4955" t="str">
        <f>IFERROR(__xludf.DUMMYFUNCTION("""COMPUTED_VALUE"""),"")</f>
        <v/>
      </c>
      <c r="H4955" s="2" t="str">
        <f>IFERROR(__xludf.DUMMYFUNCTION("""COMPUTED_VALUE"""),"")</f>
        <v/>
      </c>
      <c r="I4955" s="2" t="str">
        <f>IFERROR(__xludf.DUMMYFUNCTION("""COMPUTED_VALUE"""),"")</f>
        <v/>
      </c>
      <c r="J4955" s="2">
        <f>IFERROR(__xludf.DUMMYFUNCTION("""COMPUTED_VALUE"""),0.0)</f>
        <v>0</v>
      </c>
      <c r="K4955" s="5" t="str">
        <f>IFERROR(__xludf.DUMMYFUNCTION("""COMPUTED_VALUE"""),"")</f>
        <v/>
      </c>
      <c r="L4955" t="str">
        <f>IFERROR(__xludf.DUMMYFUNCTION("""COMPUTED_VALUE"""),"")</f>
        <v/>
      </c>
      <c r="M4955" t="str">
        <f>IFERROR(__xludf.DUMMYFUNCTION("""COMPUTED_VALUE"""),"")</f>
        <v/>
      </c>
      <c r="N4955" t="str">
        <f>IFERROR(__xludf.DUMMYFUNCTION("""COMPUTED_VALUE"""),"")</f>
        <v/>
      </c>
      <c r="O4955" t="str">
        <f>IFERROR(__xludf.DUMMYFUNCTION("""COMPUTED_VALUE"""),"")</f>
        <v/>
      </c>
      <c r="P4955" t="str">
        <f>IFERROR(__xludf.DUMMYFUNCTION("""COMPUTED_VALUE"""),"ID ")</f>
        <v>ID </v>
      </c>
    </row>
    <row r="4956">
      <c r="A4956" s="6" t="str">
        <f>IFERROR(__xludf.DUMMYFUNCTION("""COMPUTED_VALUE"""),"")</f>
        <v/>
      </c>
      <c r="C4956" t="str">
        <f>IFERROR(__xludf.DUMMYFUNCTION("""COMPUTED_VALUE"""),"")</f>
        <v/>
      </c>
      <c r="D4956" t="str">
        <f>IFERROR(__xludf.DUMMYFUNCTION("""COMPUTED_VALUE"""),"")</f>
        <v/>
      </c>
      <c r="E4956" t="str">
        <f>IFERROR(__xludf.DUMMYFUNCTION("""COMPUTED_VALUE"""),"")</f>
        <v/>
      </c>
      <c r="F4956" t="str">
        <f>IFERROR(__xludf.DUMMYFUNCTION("""COMPUTED_VALUE"""),"")</f>
        <v/>
      </c>
      <c r="G4956" t="str">
        <f>IFERROR(__xludf.DUMMYFUNCTION("""COMPUTED_VALUE"""),"")</f>
        <v/>
      </c>
      <c r="H4956" s="2" t="str">
        <f>IFERROR(__xludf.DUMMYFUNCTION("""COMPUTED_VALUE"""),"")</f>
        <v/>
      </c>
      <c r="I4956" s="2" t="str">
        <f>IFERROR(__xludf.DUMMYFUNCTION("""COMPUTED_VALUE"""),"")</f>
        <v/>
      </c>
      <c r="J4956" s="2">
        <f>IFERROR(__xludf.DUMMYFUNCTION("""COMPUTED_VALUE"""),0.0)</f>
        <v>0</v>
      </c>
      <c r="K4956" s="5" t="str">
        <f>IFERROR(__xludf.DUMMYFUNCTION("""COMPUTED_VALUE"""),"")</f>
        <v/>
      </c>
      <c r="L4956" t="str">
        <f>IFERROR(__xludf.DUMMYFUNCTION("""COMPUTED_VALUE"""),"")</f>
        <v/>
      </c>
      <c r="M4956" t="str">
        <f>IFERROR(__xludf.DUMMYFUNCTION("""COMPUTED_VALUE"""),"")</f>
        <v/>
      </c>
      <c r="N4956" t="str">
        <f>IFERROR(__xludf.DUMMYFUNCTION("""COMPUTED_VALUE"""),"")</f>
        <v/>
      </c>
      <c r="O4956" t="str">
        <f>IFERROR(__xludf.DUMMYFUNCTION("""COMPUTED_VALUE"""),"")</f>
        <v/>
      </c>
      <c r="P4956" t="str">
        <f>IFERROR(__xludf.DUMMYFUNCTION("""COMPUTED_VALUE"""),"ID ")</f>
        <v>ID </v>
      </c>
    </row>
    <row r="4957">
      <c r="A4957" s="6" t="str">
        <f>IFERROR(__xludf.DUMMYFUNCTION("""COMPUTED_VALUE"""),"")</f>
        <v/>
      </c>
      <c r="C4957" t="str">
        <f>IFERROR(__xludf.DUMMYFUNCTION("""COMPUTED_VALUE"""),"")</f>
        <v/>
      </c>
      <c r="D4957" t="str">
        <f>IFERROR(__xludf.DUMMYFUNCTION("""COMPUTED_VALUE"""),"")</f>
        <v/>
      </c>
      <c r="E4957" t="str">
        <f>IFERROR(__xludf.DUMMYFUNCTION("""COMPUTED_VALUE"""),"")</f>
        <v/>
      </c>
      <c r="F4957" t="str">
        <f>IFERROR(__xludf.DUMMYFUNCTION("""COMPUTED_VALUE"""),"")</f>
        <v/>
      </c>
      <c r="G4957" t="str">
        <f>IFERROR(__xludf.DUMMYFUNCTION("""COMPUTED_VALUE"""),"")</f>
        <v/>
      </c>
      <c r="H4957" s="2" t="str">
        <f>IFERROR(__xludf.DUMMYFUNCTION("""COMPUTED_VALUE"""),"")</f>
        <v/>
      </c>
      <c r="I4957" s="2" t="str">
        <f>IFERROR(__xludf.DUMMYFUNCTION("""COMPUTED_VALUE"""),"")</f>
        <v/>
      </c>
      <c r="J4957" s="2">
        <f>IFERROR(__xludf.DUMMYFUNCTION("""COMPUTED_VALUE"""),0.0)</f>
        <v>0</v>
      </c>
      <c r="K4957" s="5" t="str">
        <f>IFERROR(__xludf.DUMMYFUNCTION("""COMPUTED_VALUE"""),"")</f>
        <v/>
      </c>
      <c r="L4957" t="str">
        <f>IFERROR(__xludf.DUMMYFUNCTION("""COMPUTED_VALUE"""),"")</f>
        <v/>
      </c>
      <c r="M4957" t="str">
        <f>IFERROR(__xludf.DUMMYFUNCTION("""COMPUTED_VALUE"""),"")</f>
        <v/>
      </c>
      <c r="N4957" t="str">
        <f>IFERROR(__xludf.DUMMYFUNCTION("""COMPUTED_VALUE"""),"")</f>
        <v/>
      </c>
      <c r="O4957" t="str">
        <f>IFERROR(__xludf.DUMMYFUNCTION("""COMPUTED_VALUE"""),"")</f>
        <v/>
      </c>
      <c r="P4957" t="str">
        <f>IFERROR(__xludf.DUMMYFUNCTION("""COMPUTED_VALUE"""),"ID ")</f>
        <v>ID </v>
      </c>
    </row>
    <row r="4958">
      <c r="A4958" s="6" t="str">
        <f>IFERROR(__xludf.DUMMYFUNCTION("""COMPUTED_VALUE"""),"")</f>
        <v/>
      </c>
      <c r="C4958" t="str">
        <f>IFERROR(__xludf.DUMMYFUNCTION("""COMPUTED_VALUE"""),"")</f>
        <v/>
      </c>
      <c r="D4958" t="str">
        <f>IFERROR(__xludf.DUMMYFUNCTION("""COMPUTED_VALUE"""),"")</f>
        <v/>
      </c>
      <c r="E4958" t="str">
        <f>IFERROR(__xludf.DUMMYFUNCTION("""COMPUTED_VALUE"""),"")</f>
        <v/>
      </c>
      <c r="F4958" t="str">
        <f>IFERROR(__xludf.DUMMYFUNCTION("""COMPUTED_VALUE"""),"")</f>
        <v/>
      </c>
      <c r="G4958" t="str">
        <f>IFERROR(__xludf.DUMMYFUNCTION("""COMPUTED_VALUE"""),"")</f>
        <v/>
      </c>
      <c r="H4958" s="2" t="str">
        <f>IFERROR(__xludf.DUMMYFUNCTION("""COMPUTED_VALUE"""),"")</f>
        <v/>
      </c>
      <c r="I4958" s="2" t="str">
        <f>IFERROR(__xludf.DUMMYFUNCTION("""COMPUTED_VALUE"""),"")</f>
        <v/>
      </c>
      <c r="J4958" s="2">
        <f>IFERROR(__xludf.DUMMYFUNCTION("""COMPUTED_VALUE"""),0.0)</f>
        <v>0</v>
      </c>
      <c r="K4958" s="5" t="str">
        <f>IFERROR(__xludf.DUMMYFUNCTION("""COMPUTED_VALUE"""),"")</f>
        <v/>
      </c>
      <c r="L4958" t="str">
        <f>IFERROR(__xludf.DUMMYFUNCTION("""COMPUTED_VALUE"""),"")</f>
        <v/>
      </c>
      <c r="M4958" t="str">
        <f>IFERROR(__xludf.DUMMYFUNCTION("""COMPUTED_VALUE"""),"")</f>
        <v/>
      </c>
      <c r="N4958" t="str">
        <f>IFERROR(__xludf.DUMMYFUNCTION("""COMPUTED_VALUE"""),"")</f>
        <v/>
      </c>
      <c r="O4958" t="str">
        <f>IFERROR(__xludf.DUMMYFUNCTION("""COMPUTED_VALUE"""),"")</f>
        <v/>
      </c>
      <c r="P4958" t="str">
        <f>IFERROR(__xludf.DUMMYFUNCTION("""COMPUTED_VALUE"""),"ID ")</f>
        <v>ID </v>
      </c>
    </row>
    <row r="4959">
      <c r="A4959" s="6" t="str">
        <f>IFERROR(__xludf.DUMMYFUNCTION("""COMPUTED_VALUE"""),"")</f>
        <v/>
      </c>
      <c r="C4959" t="str">
        <f>IFERROR(__xludf.DUMMYFUNCTION("""COMPUTED_VALUE"""),"")</f>
        <v/>
      </c>
      <c r="D4959" t="str">
        <f>IFERROR(__xludf.DUMMYFUNCTION("""COMPUTED_VALUE"""),"")</f>
        <v/>
      </c>
      <c r="E4959" t="str">
        <f>IFERROR(__xludf.DUMMYFUNCTION("""COMPUTED_VALUE"""),"")</f>
        <v/>
      </c>
      <c r="F4959" t="str">
        <f>IFERROR(__xludf.DUMMYFUNCTION("""COMPUTED_VALUE"""),"")</f>
        <v/>
      </c>
      <c r="G4959" t="str">
        <f>IFERROR(__xludf.DUMMYFUNCTION("""COMPUTED_VALUE"""),"")</f>
        <v/>
      </c>
      <c r="H4959" s="2" t="str">
        <f>IFERROR(__xludf.DUMMYFUNCTION("""COMPUTED_VALUE"""),"")</f>
        <v/>
      </c>
      <c r="I4959" s="2" t="str">
        <f>IFERROR(__xludf.DUMMYFUNCTION("""COMPUTED_VALUE"""),"")</f>
        <v/>
      </c>
      <c r="J4959" s="2">
        <f>IFERROR(__xludf.DUMMYFUNCTION("""COMPUTED_VALUE"""),0.0)</f>
        <v>0</v>
      </c>
      <c r="K4959" s="5" t="str">
        <f>IFERROR(__xludf.DUMMYFUNCTION("""COMPUTED_VALUE"""),"")</f>
        <v/>
      </c>
      <c r="L4959" t="str">
        <f>IFERROR(__xludf.DUMMYFUNCTION("""COMPUTED_VALUE"""),"")</f>
        <v/>
      </c>
      <c r="M4959" t="str">
        <f>IFERROR(__xludf.DUMMYFUNCTION("""COMPUTED_VALUE"""),"")</f>
        <v/>
      </c>
      <c r="N4959" t="str">
        <f>IFERROR(__xludf.DUMMYFUNCTION("""COMPUTED_VALUE"""),"")</f>
        <v/>
      </c>
      <c r="O4959" t="str">
        <f>IFERROR(__xludf.DUMMYFUNCTION("""COMPUTED_VALUE"""),"")</f>
        <v/>
      </c>
      <c r="P4959" t="str">
        <f>IFERROR(__xludf.DUMMYFUNCTION("""COMPUTED_VALUE"""),"ID ")</f>
        <v>ID </v>
      </c>
    </row>
    <row r="4960">
      <c r="A4960" s="6" t="str">
        <f>IFERROR(__xludf.DUMMYFUNCTION("""COMPUTED_VALUE"""),"")</f>
        <v/>
      </c>
      <c r="C4960" t="str">
        <f>IFERROR(__xludf.DUMMYFUNCTION("""COMPUTED_VALUE"""),"")</f>
        <v/>
      </c>
      <c r="D4960" t="str">
        <f>IFERROR(__xludf.DUMMYFUNCTION("""COMPUTED_VALUE"""),"")</f>
        <v/>
      </c>
      <c r="E4960" t="str">
        <f>IFERROR(__xludf.DUMMYFUNCTION("""COMPUTED_VALUE"""),"")</f>
        <v/>
      </c>
      <c r="F4960" t="str">
        <f>IFERROR(__xludf.DUMMYFUNCTION("""COMPUTED_VALUE"""),"")</f>
        <v/>
      </c>
      <c r="G4960" t="str">
        <f>IFERROR(__xludf.DUMMYFUNCTION("""COMPUTED_VALUE"""),"")</f>
        <v/>
      </c>
      <c r="H4960" s="2" t="str">
        <f>IFERROR(__xludf.DUMMYFUNCTION("""COMPUTED_VALUE"""),"")</f>
        <v/>
      </c>
      <c r="I4960" s="2" t="str">
        <f>IFERROR(__xludf.DUMMYFUNCTION("""COMPUTED_VALUE"""),"")</f>
        <v/>
      </c>
      <c r="J4960" s="2">
        <f>IFERROR(__xludf.DUMMYFUNCTION("""COMPUTED_VALUE"""),0.0)</f>
        <v>0</v>
      </c>
      <c r="K4960" s="5" t="str">
        <f>IFERROR(__xludf.DUMMYFUNCTION("""COMPUTED_VALUE"""),"")</f>
        <v/>
      </c>
      <c r="L4960" t="str">
        <f>IFERROR(__xludf.DUMMYFUNCTION("""COMPUTED_VALUE"""),"")</f>
        <v/>
      </c>
      <c r="M4960" t="str">
        <f>IFERROR(__xludf.DUMMYFUNCTION("""COMPUTED_VALUE"""),"")</f>
        <v/>
      </c>
      <c r="N4960" t="str">
        <f>IFERROR(__xludf.DUMMYFUNCTION("""COMPUTED_VALUE"""),"")</f>
        <v/>
      </c>
      <c r="O4960" t="str">
        <f>IFERROR(__xludf.DUMMYFUNCTION("""COMPUTED_VALUE"""),"")</f>
        <v/>
      </c>
      <c r="P4960" t="str">
        <f>IFERROR(__xludf.DUMMYFUNCTION("""COMPUTED_VALUE"""),"ID ")</f>
        <v>ID </v>
      </c>
    </row>
    <row r="4961">
      <c r="A4961" s="6" t="str">
        <f>IFERROR(__xludf.DUMMYFUNCTION("""COMPUTED_VALUE"""),"")</f>
        <v/>
      </c>
      <c r="C4961" t="str">
        <f>IFERROR(__xludf.DUMMYFUNCTION("""COMPUTED_VALUE"""),"")</f>
        <v/>
      </c>
      <c r="D4961" t="str">
        <f>IFERROR(__xludf.DUMMYFUNCTION("""COMPUTED_VALUE"""),"")</f>
        <v/>
      </c>
      <c r="E4961" t="str">
        <f>IFERROR(__xludf.DUMMYFUNCTION("""COMPUTED_VALUE"""),"")</f>
        <v/>
      </c>
      <c r="F4961" t="str">
        <f>IFERROR(__xludf.DUMMYFUNCTION("""COMPUTED_VALUE"""),"")</f>
        <v/>
      </c>
      <c r="G4961" t="str">
        <f>IFERROR(__xludf.DUMMYFUNCTION("""COMPUTED_VALUE"""),"")</f>
        <v/>
      </c>
      <c r="H4961" s="2" t="str">
        <f>IFERROR(__xludf.DUMMYFUNCTION("""COMPUTED_VALUE"""),"")</f>
        <v/>
      </c>
      <c r="I4961" s="2" t="str">
        <f>IFERROR(__xludf.DUMMYFUNCTION("""COMPUTED_VALUE"""),"")</f>
        <v/>
      </c>
      <c r="J4961" s="2">
        <f>IFERROR(__xludf.DUMMYFUNCTION("""COMPUTED_VALUE"""),0.0)</f>
        <v>0</v>
      </c>
      <c r="K4961" s="5" t="str">
        <f>IFERROR(__xludf.DUMMYFUNCTION("""COMPUTED_VALUE"""),"")</f>
        <v/>
      </c>
      <c r="L4961" t="str">
        <f>IFERROR(__xludf.DUMMYFUNCTION("""COMPUTED_VALUE"""),"")</f>
        <v/>
      </c>
      <c r="M4961" t="str">
        <f>IFERROR(__xludf.DUMMYFUNCTION("""COMPUTED_VALUE"""),"")</f>
        <v/>
      </c>
      <c r="N4961" t="str">
        <f>IFERROR(__xludf.DUMMYFUNCTION("""COMPUTED_VALUE"""),"")</f>
        <v/>
      </c>
      <c r="O4961" t="str">
        <f>IFERROR(__xludf.DUMMYFUNCTION("""COMPUTED_VALUE"""),"")</f>
        <v/>
      </c>
      <c r="P4961" t="str">
        <f>IFERROR(__xludf.DUMMYFUNCTION("""COMPUTED_VALUE"""),"ID ")</f>
        <v>ID </v>
      </c>
    </row>
    <row r="4962">
      <c r="A4962" s="6" t="str">
        <f>IFERROR(__xludf.DUMMYFUNCTION("""COMPUTED_VALUE"""),"")</f>
        <v/>
      </c>
      <c r="C4962" t="str">
        <f>IFERROR(__xludf.DUMMYFUNCTION("""COMPUTED_VALUE"""),"")</f>
        <v/>
      </c>
      <c r="D4962" t="str">
        <f>IFERROR(__xludf.DUMMYFUNCTION("""COMPUTED_VALUE"""),"")</f>
        <v/>
      </c>
      <c r="E4962" t="str">
        <f>IFERROR(__xludf.DUMMYFUNCTION("""COMPUTED_VALUE"""),"")</f>
        <v/>
      </c>
      <c r="F4962" t="str">
        <f>IFERROR(__xludf.DUMMYFUNCTION("""COMPUTED_VALUE"""),"")</f>
        <v/>
      </c>
      <c r="G4962" t="str">
        <f>IFERROR(__xludf.DUMMYFUNCTION("""COMPUTED_VALUE"""),"")</f>
        <v/>
      </c>
      <c r="H4962" s="2" t="str">
        <f>IFERROR(__xludf.DUMMYFUNCTION("""COMPUTED_VALUE"""),"")</f>
        <v/>
      </c>
      <c r="I4962" s="2" t="str">
        <f>IFERROR(__xludf.DUMMYFUNCTION("""COMPUTED_VALUE"""),"")</f>
        <v/>
      </c>
      <c r="J4962" s="2">
        <f>IFERROR(__xludf.DUMMYFUNCTION("""COMPUTED_VALUE"""),0.0)</f>
        <v>0</v>
      </c>
      <c r="K4962" s="5" t="str">
        <f>IFERROR(__xludf.DUMMYFUNCTION("""COMPUTED_VALUE"""),"")</f>
        <v/>
      </c>
      <c r="L4962" t="str">
        <f>IFERROR(__xludf.DUMMYFUNCTION("""COMPUTED_VALUE"""),"")</f>
        <v/>
      </c>
      <c r="M4962" t="str">
        <f>IFERROR(__xludf.DUMMYFUNCTION("""COMPUTED_VALUE"""),"")</f>
        <v/>
      </c>
      <c r="N4962" t="str">
        <f>IFERROR(__xludf.DUMMYFUNCTION("""COMPUTED_VALUE"""),"")</f>
        <v/>
      </c>
      <c r="O4962" t="str">
        <f>IFERROR(__xludf.DUMMYFUNCTION("""COMPUTED_VALUE"""),"")</f>
        <v/>
      </c>
      <c r="P4962" t="str">
        <f>IFERROR(__xludf.DUMMYFUNCTION("""COMPUTED_VALUE"""),"ID ")</f>
        <v>ID </v>
      </c>
    </row>
    <row r="4963">
      <c r="A4963" s="6" t="str">
        <f>IFERROR(__xludf.DUMMYFUNCTION("""COMPUTED_VALUE"""),"")</f>
        <v/>
      </c>
      <c r="C4963" t="str">
        <f>IFERROR(__xludf.DUMMYFUNCTION("""COMPUTED_VALUE"""),"")</f>
        <v/>
      </c>
      <c r="D4963" t="str">
        <f>IFERROR(__xludf.DUMMYFUNCTION("""COMPUTED_VALUE"""),"")</f>
        <v/>
      </c>
      <c r="E4963" t="str">
        <f>IFERROR(__xludf.DUMMYFUNCTION("""COMPUTED_VALUE"""),"")</f>
        <v/>
      </c>
      <c r="F4963" t="str">
        <f>IFERROR(__xludf.DUMMYFUNCTION("""COMPUTED_VALUE"""),"")</f>
        <v/>
      </c>
      <c r="G4963" t="str">
        <f>IFERROR(__xludf.DUMMYFUNCTION("""COMPUTED_VALUE"""),"")</f>
        <v/>
      </c>
      <c r="H4963" s="2" t="str">
        <f>IFERROR(__xludf.DUMMYFUNCTION("""COMPUTED_VALUE"""),"")</f>
        <v/>
      </c>
      <c r="I4963" s="2" t="str">
        <f>IFERROR(__xludf.DUMMYFUNCTION("""COMPUTED_VALUE"""),"")</f>
        <v/>
      </c>
      <c r="J4963" s="2">
        <f>IFERROR(__xludf.DUMMYFUNCTION("""COMPUTED_VALUE"""),0.0)</f>
        <v>0</v>
      </c>
      <c r="K4963" s="5" t="str">
        <f>IFERROR(__xludf.DUMMYFUNCTION("""COMPUTED_VALUE"""),"")</f>
        <v/>
      </c>
      <c r="L4963" t="str">
        <f>IFERROR(__xludf.DUMMYFUNCTION("""COMPUTED_VALUE"""),"")</f>
        <v/>
      </c>
      <c r="M4963" t="str">
        <f>IFERROR(__xludf.DUMMYFUNCTION("""COMPUTED_VALUE"""),"")</f>
        <v/>
      </c>
      <c r="N4963" t="str">
        <f>IFERROR(__xludf.DUMMYFUNCTION("""COMPUTED_VALUE"""),"")</f>
        <v/>
      </c>
      <c r="O4963" t="str">
        <f>IFERROR(__xludf.DUMMYFUNCTION("""COMPUTED_VALUE"""),"")</f>
        <v/>
      </c>
      <c r="P4963" t="str">
        <f>IFERROR(__xludf.DUMMYFUNCTION("""COMPUTED_VALUE"""),"ID ")</f>
        <v>ID </v>
      </c>
    </row>
    <row r="4964">
      <c r="A4964" s="6" t="str">
        <f>IFERROR(__xludf.DUMMYFUNCTION("""COMPUTED_VALUE"""),"")</f>
        <v/>
      </c>
      <c r="C4964" t="str">
        <f>IFERROR(__xludf.DUMMYFUNCTION("""COMPUTED_VALUE"""),"")</f>
        <v/>
      </c>
      <c r="D4964" t="str">
        <f>IFERROR(__xludf.DUMMYFUNCTION("""COMPUTED_VALUE"""),"")</f>
        <v/>
      </c>
      <c r="E4964" t="str">
        <f>IFERROR(__xludf.DUMMYFUNCTION("""COMPUTED_VALUE"""),"")</f>
        <v/>
      </c>
      <c r="F4964" t="str">
        <f>IFERROR(__xludf.DUMMYFUNCTION("""COMPUTED_VALUE"""),"")</f>
        <v/>
      </c>
      <c r="G4964" t="str">
        <f>IFERROR(__xludf.DUMMYFUNCTION("""COMPUTED_VALUE"""),"")</f>
        <v/>
      </c>
      <c r="H4964" s="2" t="str">
        <f>IFERROR(__xludf.DUMMYFUNCTION("""COMPUTED_VALUE"""),"")</f>
        <v/>
      </c>
      <c r="I4964" s="2" t="str">
        <f>IFERROR(__xludf.DUMMYFUNCTION("""COMPUTED_VALUE"""),"")</f>
        <v/>
      </c>
      <c r="J4964" s="2">
        <f>IFERROR(__xludf.DUMMYFUNCTION("""COMPUTED_VALUE"""),0.0)</f>
        <v>0</v>
      </c>
      <c r="K4964" s="5" t="str">
        <f>IFERROR(__xludf.DUMMYFUNCTION("""COMPUTED_VALUE"""),"")</f>
        <v/>
      </c>
      <c r="L4964" t="str">
        <f>IFERROR(__xludf.DUMMYFUNCTION("""COMPUTED_VALUE"""),"")</f>
        <v/>
      </c>
      <c r="M4964" t="str">
        <f>IFERROR(__xludf.DUMMYFUNCTION("""COMPUTED_VALUE"""),"")</f>
        <v/>
      </c>
      <c r="N4964" t="str">
        <f>IFERROR(__xludf.DUMMYFUNCTION("""COMPUTED_VALUE"""),"")</f>
        <v/>
      </c>
      <c r="O4964" t="str">
        <f>IFERROR(__xludf.DUMMYFUNCTION("""COMPUTED_VALUE"""),"")</f>
        <v/>
      </c>
      <c r="P4964" t="str">
        <f>IFERROR(__xludf.DUMMYFUNCTION("""COMPUTED_VALUE"""),"ID ")</f>
        <v>ID </v>
      </c>
    </row>
    <row r="4965">
      <c r="A4965" s="6" t="str">
        <f>IFERROR(__xludf.DUMMYFUNCTION("""COMPUTED_VALUE"""),"")</f>
        <v/>
      </c>
      <c r="C4965" t="str">
        <f>IFERROR(__xludf.DUMMYFUNCTION("""COMPUTED_VALUE"""),"")</f>
        <v/>
      </c>
      <c r="D4965" t="str">
        <f>IFERROR(__xludf.DUMMYFUNCTION("""COMPUTED_VALUE"""),"")</f>
        <v/>
      </c>
      <c r="E4965" t="str">
        <f>IFERROR(__xludf.DUMMYFUNCTION("""COMPUTED_VALUE"""),"")</f>
        <v/>
      </c>
      <c r="F4965" t="str">
        <f>IFERROR(__xludf.DUMMYFUNCTION("""COMPUTED_VALUE"""),"")</f>
        <v/>
      </c>
      <c r="G4965" t="str">
        <f>IFERROR(__xludf.DUMMYFUNCTION("""COMPUTED_VALUE"""),"")</f>
        <v/>
      </c>
      <c r="H4965" s="2" t="str">
        <f>IFERROR(__xludf.DUMMYFUNCTION("""COMPUTED_VALUE"""),"")</f>
        <v/>
      </c>
      <c r="I4965" s="2" t="str">
        <f>IFERROR(__xludf.DUMMYFUNCTION("""COMPUTED_VALUE"""),"")</f>
        <v/>
      </c>
      <c r="J4965" s="2">
        <f>IFERROR(__xludf.DUMMYFUNCTION("""COMPUTED_VALUE"""),0.0)</f>
        <v>0</v>
      </c>
      <c r="K4965" s="5" t="str">
        <f>IFERROR(__xludf.DUMMYFUNCTION("""COMPUTED_VALUE"""),"")</f>
        <v/>
      </c>
      <c r="L4965" t="str">
        <f>IFERROR(__xludf.DUMMYFUNCTION("""COMPUTED_VALUE"""),"")</f>
        <v/>
      </c>
      <c r="M4965" t="str">
        <f>IFERROR(__xludf.DUMMYFUNCTION("""COMPUTED_VALUE"""),"")</f>
        <v/>
      </c>
      <c r="N4965" t="str">
        <f>IFERROR(__xludf.DUMMYFUNCTION("""COMPUTED_VALUE"""),"")</f>
        <v/>
      </c>
      <c r="O4965" t="str">
        <f>IFERROR(__xludf.DUMMYFUNCTION("""COMPUTED_VALUE"""),"")</f>
        <v/>
      </c>
      <c r="P4965" t="str">
        <f>IFERROR(__xludf.DUMMYFUNCTION("""COMPUTED_VALUE"""),"ID ")</f>
        <v>ID </v>
      </c>
    </row>
    <row r="4966">
      <c r="A4966" s="6" t="str">
        <f>IFERROR(__xludf.DUMMYFUNCTION("""COMPUTED_VALUE"""),"")</f>
        <v/>
      </c>
      <c r="C4966" t="str">
        <f>IFERROR(__xludf.DUMMYFUNCTION("""COMPUTED_VALUE"""),"")</f>
        <v/>
      </c>
      <c r="D4966" t="str">
        <f>IFERROR(__xludf.DUMMYFUNCTION("""COMPUTED_VALUE"""),"")</f>
        <v/>
      </c>
      <c r="E4966" t="str">
        <f>IFERROR(__xludf.DUMMYFUNCTION("""COMPUTED_VALUE"""),"")</f>
        <v/>
      </c>
      <c r="F4966" t="str">
        <f>IFERROR(__xludf.DUMMYFUNCTION("""COMPUTED_VALUE"""),"")</f>
        <v/>
      </c>
      <c r="G4966" t="str">
        <f>IFERROR(__xludf.DUMMYFUNCTION("""COMPUTED_VALUE"""),"")</f>
        <v/>
      </c>
      <c r="H4966" s="2" t="str">
        <f>IFERROR(__xludf.DUMMYFUNCTION("""COMPUTED_VALUE"""),"")</f>
        <v/>
      </c>
      <c r="I4966" s="2" t="str">
        <f>IFERROR(__xludf.DUMMYFUNCTION("""COMPUTED_VALUE"""),"")</f>
        <v/>
      </c>
      <c r="J4966" s="2">
        <f>IFERROR(__xludf.DUMMYFUNCTION("""COMPUTED_VALUE"""),0.0)</f>
        <v>0</v>
      </c>
      <c r="K4966" s="5" t="str">
        <f>IFERROR(__xludf.DUMMYFUNCTION("""COMPUTED_VALUE"""),"")</f>
        <v/>
      </c>
      <c r="L4966" t="str">
        <f>IFERROR(__xludf.DUMMYFUNCTION("""COMPUTED_VALUE"""),"")</f>
        <v/>
      </c>
      <c r="M4966" t="str">
        <f>IFERROR(__xludf.DUMMYFUNCTION("""COMPUTED_VALUE"""),"")</f>
        <v/>
      </c>
      <c r="N4966" t="str">
        <f>IFERROR(__xludf.DUMMYFUNCTION("""COMPUTED_VALUE"""),"")</f>
        <v/>
      </c>
      <c r="O4966" t="str">
        <f>IFERROR(__xludf.DUMMYFUNCTION("""COMPUTED_VALUE"""),"")</f>
        <v/>
      </c>
      <c r="P4966" t="str">
        <f>IFERROR(__xludf.DUMMYFUNCTION("""COMPUTED_VALUE"""),"ID ")</f>
        <v>ID </v>
      </c>
    </row>
    <row r="4967">
      <c r="A4967" s="6" t="str">
        <f>IFERROR(__xludf.DUMMYFUNCTION("""COMPUTED_VALUE"""),"")</f>
        <v/>
      </c>
      <c r="C4967" t="str">
        <f>IFERROR(__xludf.DUMMYFUNCTION("""COMPUTED_VALUE"""),"")</f>
        <v/>
      </c>
      <c r="D4967" t="str">
        <f>IFERROR(__xludf.DUMMYFUNCTION("""COMPUTED_VALUE"""),"")</f>
        <v/>
      </c>
      <c r="E4967" t="str">
        <f>IFERROR(__xludf.DUMMYFUNCTION("""COMPUTED_VALUE"""),"")</f>
        <v/>
      </c>
      <c r="F4967" t="str">
        <f>IFERROR(__xludf.DUMMYFUNCTION("""COMPUTED_VALUE"""),"")</f>
        <v/>
      </c>
      <c r="G4967" t="str">
        <f>IFERROR(__xludf.DUMMYFUNCTION("""COMPUTED_VALUE"""),"")</f>
        <v/>
      </c>
      <c r="H4967" s="2" t="str">
        <f>IFERROR(__xludf.DUMMYFUNCTION("""COMPUTED_VALUE"""),"")</f>
        <v/>
      </c>
      <c r="I4967" s="2" t="str">
        <f>IFERROR(__xludf.DUMMYFUNCTION("""COMPUTED_VALUE"""),"")</f>
        <v/>
      </c>
      <c r="J4967" s="2">
        <f>IFERROR(__xludf.DUMMYFUNCTION("""COMPUTED_VALUE"""),0.0)</f>
        <v>0</v>
      </c>
      <c r="K4967" s="5" t="str">
        <f>IFERROR(__xludf.DUMMYFUNCTION("""COMPUTED_VALUE"""),"")</f>
        <v/>
      </c>
      <c r="L4967" t="str">
        <f>IFERROR(__xludf.DUMMYFUNCTION("""COMPUTED_VALUE"""),"")</f>
        <v/>
      </c>
      <c r="M4967" t="str">
        <f>IFERROR(__xludf.DUMMYFUNCTION("""COMPUTED_VALUE"""),"")</f>
        <v/>
      </c>
      <c r="N4967" t="str">
        <f>IFERROR(__xludf.DUMMYFUNCTION("""COMPUTED_VALUE"""),"")</f>
        <v/>
      </c>
      <c r="O4967" t="str">
        <f>IFERROR(__xludf.DUMMYFUNCTION("""COMPUTED_VALUE"""),"")</f>
        <v/>
      </c>
      <c r="P4967" t="str">
        <f>IFERROR(__xludf.DUMMYFUNCTION("""COMPUTED_VALUE"""),"ID ")</f>
        <v>ID </v>
      </c>
    </row>
    <row r="4968">
      <c r="A4968" s="6" t="str">
        <f>IFERROR(__xludf.DUMMYFUNCTION("""COMPUTED_VALUE"""),"")</f>
        <v/>
      </c>
      <c r="C4968" t="str">
        <f>IFERROR(__xludf.DUMMYFUNCTION("""COMPUTED_VALUE"""),"")</f>
        <v/>
      </c>
      <c r="D4968" t="str">
        <f>IFERROR(__xludf.DUMMYFUNCTION("""COMPUTED_VALUE"""),"")</f>
        <v/>
      </c>
      <c r="E4968" t="str">
        <f>IFERROR(__xludf.DUMMYFUNCTION("""COMPUTED_VALUE"""),"")</f>
        <v/>
      </c>
      <c r="F4968" t="str">
        <f>IFERROR(__xludf.DUMMYFUNCTION("""COMPUTED_VALUE"""),"")</f>
        <v/>
      </c>
      <c r="G4968" t="str">
        <f>IFERROR(__xludf.DUMMYFUNCTION("""COMPUTED_VALUE"""),"")</f>
        <v/>
      </c>
      <c r="H4968" s="2" t="str">
        <f>IFERROR(__xludf.DUMMYFUNCTION("""COMPUTED_VALUE"""),"")</f>
        <v/>
      </c>
      <c r="I4968" s="2" t="str">
        <f>IFERROR(__xludf.DUMMYFUNCTION("""COMPUTED_VALUE"""),"")</f>
        <v/>
      </c>
      <c r="J4968" s="2">
        <f>IFERROR(__xludf.DUMMYFUNCTION("""COMPUTED_VALUE"""),0.0)</f>
        <v>0</v>
      </c>
      <c r="K4968" s="5" t="str">
        <f>IFERROR(__xludf.DUMMYFUNCTION("""COMPUTED_VALUE"""),"")</f>
        <v/>
      </c>
      <c r="L4968" t="str">
        <f>IFERROR(__xludf.DUMMYFUNCTION("""COMPUTED_VALUE"""),"")</f>
        <v/>
      </c>
      <c r="M4968" t="str">
        <f>IFERROR(__xludf.DUMMYFUNCTION("""COMPUTED_VALUE"""),"")</f>
        <v/>
      </c>
      <c r="N4968" t="str">
        <f>IFERROR(__xludf.DUMMYFUNCTION("""COMPUTED_VALUE"""),"")</f>
        <v/>
      </c>
      <c r="O4968" t="str">
        <f>IFERROR(__xludf.DUMMYFUNCTION("""COMPUTED_VALUE"""),"")</f>
        <v/>
      </c>
      <c r="P4968" t="str">
        <f>IFERROR(__xludf.DUMMYFUNCTION("""COMPUTED_VALUE"""),"ID ")</f>
        <v>ID </v>
      </c>
    </row>
    <row r="4969">
      <c r="A4969" s="6" t="str">
        <f>IFERROR(__xludf.DUMMYFUNCTION("""COMPUTED_VALUE"""),"")</f>
        <v/>
      </c>
      <c r="C4969" t="str">
        <f>IFERROR(__xludf.DUMMYFUNCTION("""COMPUTED_VALUE"""),"")</f>
        <v/>
      </c>
      <c r="D4969" t="str">
        <f>IFERROR(__xludf.DUMMYFUNCTION("""COMPUTED_VALUE"""),"")</f>
        <v/>
      </c>
      <c r="E4969" t="str">
        <f>IFERROR(__xludf.DUMMYFUNCTION("""COMPUTED_VALUE"""),"")</f>
        <v/>
      </c>
      <c r="F4969" t="str">
        <f>IFERROR(__xludf.DUMMYFUNCTION("""COMPUTED_VALUE"""),"")</f>
        <v/>
      </c>
      <c r="G4969" t="str">
        <f>IFERROR(__xludf.DUMMYFUNCTION("""COMPUTED_VALUE"""),"")</f>
        <v/>
      </c>
      <c r="H4969" s="2" t="str">
        <f>IFERROR(__xludf.DUMMYFUNCTION("""COMPUTED_VALUE"""),"")</f>
        <v/>
      </c>
      <c r="I4969" s="2" t="str">
        <f>IFERROR(__xludf.DUMMYFUNCTION("""COMPUTED_VALUE"""),"")</f>
        <v/>
      </c>
      <c r="J4969" s="2">
        <f>IFERROR(__xludf.DUMMYFUNCTION("""COMPUTED_VALUE"""),0.0)</f>
        <v>0</v>
      </c>
      <c r="K4969" s="5" t="str">
        <f>IFERROR(__xludf.DUMMYFUNCTION("""COMPUTED_VALUE"""),"")</f>
        <v/>
      </c>
      <c r="L4969" t="str">
        <f>IFERROR(__xludf.DUMMYFUNCTION("""COMPUTED_VALUE"""),"")</f>
        <v/>
      </c>
      <c r="M4969" t="str">
        <f>IFERROR(__xludf.DUMMYFUNCTION("""COMPUTED_VALUE"""),"")</f>
        <v/>
      </c>
      <c r="N4969" t="str">
        <f>IFERROR(__xludf.DUMMYFUNCTION("""COMPUTED_VALUE"""),"")</f>
        <v/>
      </c>
      <c r="O4969" t="str">
        <f>IFERROR(__xludf.DUMMYFUNCTION("""COMPUTED_VALUE"""),"")</f>
        <v/>
      </c>
      <c r="P4969" t="str">
        <f>IFERROR(__xludf.DUMMYFUNCTION("""COMPUTED_VALUE"""),"ID ")</f>
        <v>ID </v>
      </c>
    </row>
    <row r="4970">
      <c r="A4970" s="6" t="str">
        <f>IFERROR(__xludf.DUMMYFUNCTION("""COMPUTED_VALUE"""),"")</f>
        <v/>
      </c>
      <c r="C4970" t="str">
        <f>IFERROR(__xludf.DUMMYFUNCTION("""COMPUTED_VALUE"""),"")</f>
        <v/>
      </c>
      <c r="D4970" t="str">
        <f>IFERROR(__xludf.DUMMYFUNCTION("""COMPUTED_VALUE"""),"")</f>
        <v/>
      </c>
      <c r="E4970" t="str">
        <f>IFERROR(__xludf.DUMMYFUNCTION("""COMPUTED_VALUE"""),"")</f>
        <v/>
      </c>
      <c r="F4970" t="str">
        <f>IFERROR(__xludf.DUMMYFUNCTION("""COMPUTED_VALUE"""),"")</f>
        <v/>
      </c>
      <c r="G4970" t="str">
        <f>IFERROR(__xludf.DUMMYFUNCTION("""COMPUTED_VALUE"""),"")</f>
        <v/>
      </c>
      <c r="H4970" s="2" t="str">
        <f>IFERROR(__xludf.DUMMYFUNCTION("""COMPUTED_VALUE"""),"")</f>
        <v/>
      </c>
      <c r="I4970" s="2" t="str">
        <f>IFERROR(__xludf.DUMMYFUNCTION("""COMPUTED_VALUE"""),"")</f>
        <v/>
      </c>
      <c r="J4970" s="2">
        <f>IFERROR(__xludf.DUMMYFUNCTION("""COMPUTED_VALUE"""),0.0)</f>
        <v>0</v>
      </c>
      <c r="K4970" s="5" t="str">
        <f>IFERROR(__xludf.DUMMYFUNCTION("""COMPUTED_VALUE"""),"")</f>
        <v/>
      </c>
      <c r="L4970" t="str">
        <f>IFERROR(__xludf.DUMMYFUNCTION("""COMPUTED_VALUE"""),"")</f>
        <v/>
      </c>
      <c r="M4970" t="str">
        <f>IFERROR(__xludf.DUMMYFUNCTION("""COMPUTED_VALUE"""),"")</f>
        <v/>
      </c>
      <c r="N4970" t="str">
        <f>IFERROR(__xludf.DUMMYFUNCTION("""COMPUTED_VALUE"""),"")</f>
        <v/>
      </c>
      <c r="O4970" t="str">
        <f>IFERROR(__xludf.DUMMYFUNCTION("""COMPUTED_VALUE"""),"")</f>
        <v/>
      </c>
      <c r="P4970" t="str">
        <f>IFERROR(__xludf.DUMMYFUNCTION("""COMPUTED_VALUE"""),"ID ")</f>
        <v>ID </v>
      </c>
    </row>
    <row r="4971">
      <c r="A4971" s="6" t="str">
        <f>IFERROR(__xludf.DUMMYFUNCTION("""COMPUTED_VALUE"""),"")</f>
        <v/>
      </c>
      <c r="C4971" t="str">
        <f>IFERROR(__xludf.DUMMYFUNCTION("""COMPUTED_VALUE"""),"")</f>
        <v/>
      </c>
      <c r="D4971" t="str">
        <f>IFERROR(__xludf.DUMMYFUNCTION("""COMPUTED_VALUE"""),"")</f>
        <v/>
      </c>
      <c r="E4971" t="str">
        <f>IFERROR(__xludf.DUMMYFUNCTION("""COMPUTED_VALUE"""),"")</f>
        <v/>
      </c>
      <c r="F4971" t="str">
        <f>IFERROR(__xludf.DUMMYFUNCTION("""COMPUTED_VALUE"""),"")</f>
        <v/>
      </c>
      <c r="G4971" t="str">
        <f>IFERROR(__xludf.DUMMYFUNCTION("""COMPUTED_VALUE"""),"")</f>
        <v/>
      </c>
      <c r="H4971" s="2" t="str">
        <f>IFERROR(__xludf.DUMMYFUNCTION("""COMPUTED_VALUE"""),"")</f>
        <v/>
      </c>
      <c r="I4971" s="2" t="str">
        <f>IFERROR(__xludf.DUMMYFUNCTION("""COMPUTED_VALUE"""),"")</f>
        <v/>
      </c>
      <c r="J4971" s="2">
        <f>IFERROR(__xludf.DUMMYFUNCTION("""COMPUTED_VALUE"""),0.0)</f>
        <v>0</v>
      </c>
      <c r="K4971" s="5" t="str">
        <f>IFERROR(__xludf.DUMMYFUNCTION("""COMPUTED_VALUE"""),"")</f>
        <v/>
      </c>
      <c r="L4971" t="str">
        <f>IFERROR(__xludf.DUMMYFUNCTION("""COMPUTED_VALUE"""),"")</f>
        <v/>
      </c>
      <c r="M4971" t="str">
        <f>IFERROR(__xludf.DUMMYFUNCTION("""COMPUTED_VALUE"""),"")</f>
        <v/>
      </c>
      <c r="N4971" t="str">
        <f>IFERROR(__xludf.DUMMYFUNCTION("""COMPUTED_VALUE"""),"")</f>
        <v/>
      </c>
      <c r="O4971" t="str">
        <f>IFERROR(__xludf.DUMMYFUNCTION("""COMPUTED_VALUE"""),"")</f>
        <v/>
      </c>
      <c r="P4971" t="str">
        <f>IFERROR(__xludf.DUMMYFUNCTION("""COMPUTED_VALUE"""),"ID ")</f>
        <v>ID </v>
      </c>
    </row>
    <row r="4972">
      <c r="A4972" s="6" t="str">
        <f>IFERROR(__xludf.DUMMYFUNCTION("""COMPUTED_VALUE"""),"")</f>
        <v/>
      </c>
      <c r="C4972" t="str">
        <f>IFERROR(__xludf.DUMMYFUNCTION("""COMPUTED_VALUE"""),"")</f>
        <v/>
      </c>
      <c r="D4972" t="str">
        <f>IFERROR(__xludf.DUMMYFUNCTION("""COMPUTED_VALUE"""),"")</f>
        <v/>
      </c>
      <c r="E4972" t="str">
        <f>IFERROR(__xludf.DUMMYFUNCTION("""COMPUTED_VALUE"""),"")</f>
        <v/>
      </c>
      <c r="F4972" t="str">
        <f>IFERROR(__xludf.DUMMYFUNCTION("""COMPUTED_VALUE"""),"")</f>
        <v/>
      </c>
      <c r="G4972" t="str">
        <f>IFERROR(__xludf.DUMMYFUNCTION("""COMPUTED_VALUE"""),"")</f>
        <v/>
      </c>
      <c r="H4972" s="2" t="str">
        <f>IFERROR(__xludf.DUMMYFUNCTION("""COMPUTED_VALUE"""),"")</f>
        <v/>
      </c>
      <c r="I4972" s="2" t="str">
        <f>IFERROR(__xludf.DUMMYFUNCTION("""COMPUTED_VALUE"""),"")</f>
        <v/>
      </c>
      <c r="J4972" s="2">
        <f>IFERROR(__xludf.DUMMYFUNCTION("""COMPUTED_VALUE"""),0.0)</f>
        <v>0</v>
      </c>
      <c r="K4972" s="5" t="str">
        <f>IFERROR(__xludf.DUMMYFUNCTION("""COMPUTED_VALUE"""),"")</f>
        <v/>
      </c>
      <c r="L4972" t="str">
        <f>IFERROR(__xludf.DUMMYFUNCTION("""COMPUTED_VALUE"""),"")</f>
        <v/>
      </c>
      <c r="M4972" t="str">
        <f>IFERROR(__xludf.DUMMYFUNCTION("""COMPUTED_VALUE"""),"")</f>
        <v/>
      </c>
      <c r="N4972" t="str">
        <f>IFERROR(__xludf.DUMMYFUNCTION("""COMPUTED_VALUE"""),"")</f>
        <v/>
      </c>
      <c r="O4972" t="str">
        <f>IFERROR(__xludf.DUMMYFUNCTION("""COMPUTED_VALUE"""),"")</f>
        <v/>
      </c>
      <c r="P4972" t="str">
        <f>IFERROR(__xludf.DUMMYFUNCTION("""COMPUTED_VALUE"""),"ID ")</f>
        <v>ID </v>
      </c>
    </row>
    <row r="4973">
      <c r="A4973" s="6" t="str">
        <f>IFERROR(__xludf.DUMMYFUNCTION("""COMPUTED_VALUE"""),"")</f>
        <v/>
      </c>
      <c r="C4973" t="str">
        <f>IFERROR(__xludf.DUMMYFUNCTION("""COMPUTED_VALUE"""),"")</f>
        <v/>
      </c>
      <c r="D4973" t="str">
        <f>IFERROR(__xludf.DUMMYFUNCTION("""COMPUTED_VALUE"""),"")</f>
        <v/>
      </c>
      <c r="E4973" t="str">
        <f>IFERROR(__xludf.DUMMYFUNCTION("""COMPUTED_VALUE"""),"")</f>
        <v/>
      </c>
      <c r="F4973" t="str">
        <f>IFERROR(__xludf.DUMMYFUNCTION("""COMPUTED_VALUE"""),"")</f>
        <v/>
      </c>
      <c r="G4973" t="str">
        <f>IFERROR(__xludf.DUMMYFUNCTION("""COMPUTED_VALUE"""),"")</f>
        <v/>
      </c>
      <c r="H4973" s="2" t="str">
        <f>IFERROR(__xludf.DUMMYFUNCTION("""COMPUTED_VALUE"""),"")</f>
        <v/>
      </c>
      <c r="I4973" s="2" t="str">
        <f>IFERROR(__xludf.DUMMYFUNCTION("""COMPUTED_VALUE"""),"")</f>
        <v/>
      </c>
      <c r="J4973" s="2">
        <f>IFERROR(__xludf.DUMMYFUNCTION("""COMPUTED_VALUE"""),0.0)</f>
        <v>0</v>
      </c>
      <c r="K4973" s="5" t="str">
        <f>IFERROR(__xludf.DUMMYFUNCTION("""COMPUTED_VALUE"""),"")</f>
        <v/>
      </c>
      <c r="L4973" t="str">
        <f>IFERROR(__xludf.DUMMYFUNCTION("""COMPUTED_VALUE"""),"")</f>
        <v/>
      </c>
      <c r="M4973" t="str">
        <f>IFERROR(__xludf.DUMMYFUNCTION("""COMPUTED_VALUE"""),"")</f>
        <v/>
      </c>
      <c r="N4973" t="str">
        <f>IFERROR(__xludf.DUMMYFUNCTION("""COMPUTED_VALUE"""),"")</f>
        <v/>
      </c>
      <c r="O4973" t="str">
        <f>IFERROR(__xludf.DUMMYFUNCTION("""COMPUTED_VALUE"""),"")</f>
        <v/>
      </c>
      <c r="P4973" t="str">
        <f>IFERROR(__xludf.DUMMYFUNCTION("""COMPUTED_VALUE"""),"ID ")</f>
        <v>ID </v>
      </c>
    </row>
    <row r="4974">
      <c r="A4974" s="6" t="str">
        <f>IFERROR(__xludf.DUMMYFUNCTION("""COMPUTED_VALUE"""),"")</f>
        <v/>
      </c>
      <c r="C4974" t="str">
        <f>IFERROR(__xludf.DUMMYFUNCTION("""COMPUTED_VALUE"""),"")</f>
        <v/>
      </c>
      <c r="D4974" t="str">
        <f>IFERROR(__xludf.DUMMYFUNCTION("""COMPUTED_VALUE"""),"")</f>
        <v/>
      </c>
      <c r="E4974" t="str">
        <f>IFERROR(__xludf.DUMMYFUNCTION("""COMPUTED_VALUE"""),"")</f>
        <v/>
      </c>
      <c r="F4974" t="str">
        <f>IFERROR(__xludf.DUMMYFUNCTION("""COMPUTED_VALUE"""),"")</f>
        <v/>
      </c>
      <c r="G4974" t="str">
        <f>IFERROR(__xludf.DUMMYFUNCTION("""COMPUTED_VALUE"""),"")</f>
        <v/>
      </c>
      <c r="H4974" s="2" t="str">
        <f>IFERROR(__xludf.DUMMYFUNCTION("""COMPUTED_VALUE"""),"")</f>
        <v/>
      </c>
      <c r="I4974" s="2" t="str">
        <f>IFERROR(__xludf.DUMMYFUNCTION("""COMPUTED_VALUE"""),"")</f>
        <v/>
      </c>
      <c r="J4974" s="2">
        <f>IFERROR(__xludf.DUMMYFUNCTION("""COMPUTED_VALUE"""),0.0)</f>
        <v>0</v>
      </c>
      <c r="K4974" s="5" t="str">
        <f>IFERROR(__xludf.DUMMYFUNCTION("""COMPUTED_VALUE"""),"")</f>
        <v/>
      </c>
      <c r="L4974" t="str">
        <f>IFERROR(__xludf.DUMMYFUNCTION("""COMPUTED_VALUE"""),"")</f>
        <v/>
      </c>
      <c r="M4974" t="str">
        <f>IFERROR(__xludf.DUMMYFUNCTION("""COMPUTED_VALUE"""),"")</f>
        <v/>
      </c>
      <c r="N4974" t="str">
        <f>IFERROR(__xludf.DUMMYFUNCTION("""COMPUTED_VALUE"""),"")</f>
        <v/>
      </c>
      <c r="O4974" t="str">
        <f>IFERROR(__xludf.DUMMYFUNCTION("""COMPUTED_VALUE"""),"")</f>
        <v/>
      </c>
      <c r="P4974" t="str">
        <f>IFERROR(__xludf.DUMMYFUNCTION("""COMPUTED_VALUE"""),"ID ")</f>
        <v>ID </v>
      </c>
    </row>
    <row r="4975">
      <c r="A4975" s="6" t="str">
        <f>IFERROR(__xludf.DUMMYFUNCTION("""COMPUTED_VALUE"""),"")</f>
        <v/>
      </c>
      <c r="C4975" t="str">
        <f>IFERROR(__xludf.DUMMYFUNCTION("""COMPUTED_VALUE"""),"")</f>
        <v/>
      </c>
      <c r="D4975" t="str">
        <f>IFERROR(__xludf.DUMMYFUNCTION("""COMPUTED_VALUE"""),"")</f>
        <v/>
      </c>
      <c r="E4975" t="str">
        <f>IFERROR(__xludf.DUMMYFUNCTION("""COMPUTED_VALUE"""),"")</f>
        <v/>
      </c>
      <c r="F4975" t="str">
        <f>IFERROR(__xludf.DUMMYFUNCTION("""COMPUTED_VALUE"""),"")</f>
        <v/>
      </c>
      <c r="G4975" t="str">
        <f>IFERROR(__xludf.DUMMYFUNCTION("""COMPUTED_VALUE"""),"")</f>
        <v/>
      </c>
      <c r="H4975" s="2" t="str">
        <f>IFERROR(__xludf.DUMMYFUNCTION("""COMPUTED_VALUE"""),"")</f>
        <v/>
      </c>
      <c r="I4975" s="2" t="str">
        <f>IFERROR(__xludf.DUMMYFUNCTION("""COMPUTED_VALUE"""),"")</f>
        <v/>
      </c>
      <c r="J4975" s="2">
        <f>IFERROR(__xludf.DUMMYFUNCTION("""COMPUTED_VALUE"""),0.0)</f>
        <v>0</v>
      </c>
      <c r="K4975" s="5" t="str">
        <f>IFERROR(__xludf.DUMMYFUNCTION("""COMPUTED_VALUE"""),"")</f>
        <v/>
      </c>
      <c r="L4975" t="str">
        <f>IFERROR(__xludf.DUMMYFUNCTION("""COMPUTED_VALUE"""),"")</f>
        <v/>
      </c>
      <c r="M4975" t="str">
        <f>IFERROR(__xludf.DUMMYFUNCTION("""COMPUTED_VALUE"""),"")</f>
        <v/>
      </c>
      <c r="N4975" t="str">
        <f>IFERROR(__xludf.DUMMYFUNCTION("""COMPUTED_VALUE"""),"")</f>
        <v/>
      </c>
      <c r="O4975" t="str">
        <f>IFERROR(__xludf.DUMMYFUNCTION("""COMPUTED_VALUE"""),"")</f>
        <v/>
      </c>
      <c r="P4975" t="str">
        <f>IFERROR(__xludf.DUMMYFUNCTION("""COMPUTED_VALUE"""),"ID ")</f>
        <v>ID </v>
      </c>
    </row>
    <row r="4976">
      <c r="A4976" s="6" t="str">
        <f>IFERROR(__xludf.DUMMYFUNCTION("""COMPUTED_VALUE"""),"")</f>
        <v/>
      </c>
      <c r="C4976" t="str">
        <f>IFERROR(__xludf.DUMMYFUNCTION("""COMPUTED_VALUE"""),"")</f>
        <v/>
      </c>
      <c r="D4976" t="str">
        <f>IFERROR(__xludf.DUMMYFUNCTION("""COMPUTED_VALUE"""),"")</f>
        <v/>
      </c>
      <c r="E4976" t="str">
        <f>IFERROR(__xludf.DUMMYFUNCTION("""COMPUTED_VALUE"""),"")</f>
        <v/>
      </c>
      <c r="F4976" t="str">
        <f>IFERROR(__xludf.DUMMYFUNCTION("""COMPUTED_VALUE"""),"")</f>
        <v/>
      </c>
      <c r="G4976" t="str">
        <f>IFERROR(__xludf.DUMMYFUNCTION("""COMPUTED_VALUE"""),"")</f>
        <v/>
      </c>
      <c r="H4976" s="2" t="str">
        <f>IFERROR(__xludf.DUMMYFUNCTION("""COMPUTED_VALUE"""),"")</f>
        <v/>
      </c>
      <c r="I4976" s="2" t="str">
        <f>IFERROR(__xludf.DUMMYFUNCTION("""COMPUTED_VALUE"""),"")</f>
        <v/>
      </c>
      <c r="J4976" s="2">
        <f>IFERROR(__xludf.DUMMYFUNCTION("""COMPUTED_VALUE"""),0.0)</f>
        <v>0</v>
      </c>
      <c r="K4976" s="5" t="str">
        <f>IFERROR(__xludf.DUMMYFUNCTION("""COMPUTED_VALUE"""),"")</f>
        <v/>
      </c>
      <c r="L4976" t="str">
        <f>IFERROR(__xludf.DUMMYFUNCTION("""COMPUTED_VALUE"""),"")</f>
        <v/>
      </c>
      <c r="M4976" t="str">
        <f>IFERROR(__xludf.DUMMYFUNCTION("""COMPUTED_VALUE"""),"")</f>
        <v/>
      </c>
      <c r="N4976" t="str">
        <f>IFERROR(__xludf.DUMMYFUNCTION("""COMPUTED_VALUE"""),"")</f>
        <v/>
      </c>
      <c r="O4976" t="str">
        <f>IFERROR(__xludf.DUMMYFUNCTION("""COMPUTED_VALUE"""),"")</f>
        <v/>
      </c>
      <c r="P4976" t="str">
        <f>IFERROR(__xludf.DUMMYFUNCTION("""COMPUTED_VALUE"""),"ID ")</f>
        <v>ID </v>
      </c>
    </row>
    <row r="4977">
      <c r="A4977" s="6" t="str">
        <f>IFERROR(__xludf.DUMMYFUNCTION("""COMPUTED_VALUE"""),"")</f>
        <v/>
      </c>
      <c r="C4977" t="str">
        <f>IFERROR(__xludf.DUMMYFUNCTION("""COMPUTED_VALUE"""),"")</f>
        <v/>
      </c>
      <c r="D4977" t="str">
        <f>IFERROR(__xludf.DUMMYFUNCTION("""COMPUTED_VALUE"""),"")</f>
        <v/>
      </c>
      <c r="E4977" t="str">
        <f>IFERROR(__xludf.DUMMYFUNCTION("""COMPUTED_VALUE"""),"")</f>
        <v/>
      </c>
      <c r="F4977" t="str">
        <f>IFERROR(__xludf.DUMMYFUNCTION("""COMPUTED_VALUE"""),"")</f>
        <v/>
      </c>
      <c r="G4977" t="str">
        <f>IFERROR(__xludf.DUMMYFUNCTION("""COMPUTED_VALUE"""),"")</f>
        <v/>
      </c>
      <c r="H4977" s="2" t="str">
        <f>IFERROR(__xludf.DUMMYFUNCTION("""COMPUTED_VALUE"""),"")</f>
        <v/>
      </c>
      <c r="I4977" s="2" t="str">
        <f>IFERROR(__xludf.DUMMYFUNCTION("""COMPUTED_VALUE"""),"")</f>
        <v/>
      </c>
      <c r="J4977" s="2">
        <f>IFERROR(__xludf.DUMMYFUNCTION("""COMPUTED_VALUE"""),0.0)</f>
        <v>0</v>
      </c>
      <c r="K4977" s="5" t="str">
        <f>IFERROR(__xludf.DUMMYFUNCTION("""COMPUTED_VALUE"""),"")</f>
        <v/>
      </c>
      <c r="L4977" t="str">
        <f>IFERROR(__xludf.DUMMYFUNCTION("""COMPUTED_VALUE"""),"")</f>
        <v/>
      </c>
      <c r="M4977" t="str">
        <f>IFERROR(__xludf.DUMMYFUNCTION("""COMPUTED_VALUE"""),"")</f>
        <v/>
      </c>
      <c r="N4977" t="str">
        <f>IFERROR(__xludf.DUMMYFUNCTION("""COMPUTED_VALUE"""),"")</f>
        <v/>
      </c>
      <c r="O4977" t="str">
        <f>IFERROR(__xludf.DUMMYFUNCTION("""COMPUTED_VALUE"""),"")</f>
        <v/>
      </c>
      <c r="P4977" t="str">
        <f>IFERROR(__xludf.DUMMYFUNCTION("""COMPUTED_VALUE"""),"ID ")</f>
        <v>ID </v>
      </c>
    </row>
    <row r="4978">
      <c r="A4978" s="6" t="str">
        <f>IFERROR(__xludf.DUMMYFUNCTION("""COMPUTED_VALUE"""),"")</f>
        <v/>
      </c>
      <c r="C4978" t="str">
        <f>IFERROR(__xludf.DUMMYFUNCTION("""COMPUTED_VALUE"""),"")</f>
        <v/>
      </c>
      <c r="D4978" t="str">
        <f>IFERROR(__xludf.DUMMYFUNCTION("""COMPUTED_VALUE"""),"")</f>
        <v/>
      </c>
      <c r="E4978" t="str">
        <f>IFERROR(__xludf.DUMMYFUNCTION("""COMPUTED_VALUE"""),"")</f>
        <v/>
      </c>
      <c r="F4978" t="str">
        <f>IFERROR(__xludf.DUMMYFUNCTION("""COMPUTED_VALUE"""),"")</f>
        <v/>
      </c>
      <c r="G4978" t="str">
        <f>IFERROR(__xludf.DUMMYFUNCTION("""COMPUTED_VALUE"""),"")</f>
        <v/>
      </c>
      <c r="H4978" s="2" t="str">
        <f>IFERROR(__xludf.DUMMYFUNCTION("""COMPUTED_VALUE"""),"")</f>
        <v/>
      </c>
      <c r="I4978" s="2" t="str">
        <f>IFERROR(__xludf.DUMMYFUNCTION("""COMPUTED_VALUE"""),"")</f>
        <v/>
      </c>
      <c r="J4978" s="2">
        <f>IFERROR(__xludf.DUMMYFUNCTION("""COMPUTED_VALUE"""),0.0)</f>
        <v>0</v>
      </c>
      <c r="K4978" s="5" t="str">
        <f>IFERROR(__xludf.DUMMYFUNCTION("""COMPUTED_VALUE"""),"")</f>
        <v/>
      </c>
      <c r="L4978" t="str">
        <f>IFERROR(__xludf.DUMMYFUNCTION("""COMPUTED_VALUE"""),"")</f>
        <v/>
      </c>
      <c r="M4978" t="str">
        <f>IFERROR(__xludf.DUMMYFUNCTION("""COMPUTED_VALUE"""),"")</f>
        <v/>
      </c>
      <c r="N4978" t="str">
        <f>IFERROR(__xludf.DUMMYFUNCTION("""COMPUTED_VALUE"""),"")</f>
        <v/>
      </c>
      <c r="O4978" t="str">
        <f>IFERROR(__xludf.DUMMYFUNCTION("""COMPUTED_VALUE"""),"")</f>
        <v/>
      </c>
      <c r="P4978" t="str">
        <f>IFERROR(__xludf.DUMMYFUNCTION("""COMPUTED_VALUE"""),"ID ")</f>
        <v>ID </v>
      </c>
    </row>
    <row r="4979">
      <c r="A4979" s="6" t="str">
        <f>IFERROR(__xludf.DUMMYFUNCTION("""COMPUTED_VALUE"""),"")</f>
        <v/>
      </c>
      <c r="C4979" t="str">
        <f>IFERROR(__xludf.DUMMYFUNCTION("""COMPUTED_VALUE"""),"")</f>
        <v/>
      </c>
      <c r="D4979" t="str">
        <f>IFERROR(__xludf.DUMMYFUNCTION("""COMPUTED_VALUE"""),"")</f>
        <v/>
      </c>
      <c r="E4979" t="str">
        <f>IFERROR(__xludf.DUMMYFUNCTION("""COMPUTED_VALUE"""),"")</f>
        <v/>
      </c>
      <c r="F4979" t="str">
        <f>IFERROR(__xludf.DUMMYFUNCTION("""COMPUTED_VALUE"""),"")</f>
        <v/>
      </c>
      <c r="G4979" t="str">
        <f>IFERROR(__xludf.DUMMYFUNCTION("""COMPUTED_VALUE"""),"")</f>
        <v/>
      </c>
      <c r="H4979" s="2" t="str">
        <f>IFERROR(__xludf.DUMMYFUNCTION("""COMPUTED_VALUE"""),"")</f>
        <v/>
      </c>
      <c r="I4979" s="2" t="str">
        <f>IFERROR(__xludf.DUMMYFUNCTION("""COMPUTED_VALUE"""),"")</f>
        <v/>
      </c>
      <c r="J4979" s="2">
        <f>IFERROR(__xludf.DUMMYFUNCTION("""COMPUTED_VALUE"""),0.0)</f>
        <v>0</v>
      </c>
      <c r="K4979" s="5" t="str">
        <f>IFERROR(__xludf.DUMMYFUNCTION("""COMPUTED_VALUE"""),"")</f>
        <v/>
      </c>
      <c r="L4979" t="str">
        <f>IFERROR(__xludf.DUMMYFUNCTION("""COMPUTED_VALUE"""),"")</f>
        <v/>
      </c>
      <c r="M4979" t="str">
        <f>IFERROR(__xludf.DUMMYFUNCTION("""COMPUTED_VALUE"""),"")</f>
        <v/>
      </c>
      <c r="N4979" t="str">
        <f>IFERROR(__xludf.DUMMYFUNCTION("""COMPUTED_VALUE"""),"")</f>
        <v/>
      </c>
      <c r="O4979" t="str">
        <f>IFERROR(__xludf.DUMMYFUNCTION("""COMPUTED_VALUE"""),"")</f>
        <v/>
      </c>
      <c r="P4979" t="str">
        <f>IFERROR(__xludf.DUMMYFUNCTION("""COMPUTED_VALUE"""),"ID ")</f>
        <v>ID </v>
      </c>
    </row>
    <row r="4980">
      <c r="A4980" s="6" t="str">
        <f>IFERROR(__xludf.DUMMYFUNCTION("""COMPUTED_VALUE"""),"")</f>
        <v/>
      </c>
      <c r="C4980" t="str">
        <f>IFERROR(__xludf.DUMMYFUNCTION("""COMPUTED_VALUE"""),"")</f>
        <v/>
      </c>
      <c r="D4980" t="str">
        <f>IFERROR(__xludf.DUMMYFUNCTION("""COMPUTED_VALUE"""),"")</f>
        <v/>
      </c>
      <c r="E4980" t="str">
        <f>IFERROR(__xludf.DUMMYFUNCTION("""COMPUTED_VALUE"""),"")</f>
        <v/>
      </c>
      <c r="F4980" t="str">
        <f>IFERROR(__xludf.DUMMYFUNCTION("""COMPUTED_VALUE"""),"")</f>
        <v/>
      </c>
      <c r="G4980" t="str">
        <f>IFERROR(__xludf.DUMMYFUNCTION("""COMPUTED_VALUE"""),"")</f>
        <v/>
      </c>
      <c r="H4980" s="2" t="str">
        <f>IFERROR(__xludf.DUMMYFUNCTION("""COMPUTED_VALUE"""),"")</f>
        <v/>
      </c>
      <c r="I4980" s="2" t="str">
        <f>IFERROR(__xludf.DUMMYFUNCTION("""COMPUTED_VALUE"""),"")</f>
        <v/>
      </c>
      <c r="J4980" s="2">
        <f>IFERROR(__xludf.DUMMYFUNCTION("""COMPUTED_VALUE"""),0.0)</f>
        <v>0</v>
      </c>
      <c r="K4980" s="5" t="str">
        <f>IFERROR(__xludf.DUMMYFUNCTION("""COMPUTED_VALUE"""),"")</f>
        <v/>
      </c>
      <c r="L4980" t="str">
        <f>IFERROR(__xludf.DUMMYFUNCTION("""COMPUTED_VALUE"""),"")</f>
        <v/>
      </c>
      <c r="M4980" t="str">
        <f>IFERROR(__xludf.DUMMYFUNCTION("""COMPUTED_VALUE"""),"")</f>
        <v/>
      </c>
      <c r="N4980" t="str">
        <f>IFERROR(__xludf.DUMMYFUNCTION("""COMPUTED_VALUE"""),"")</f>
        <v/>
      </c>
      <c r="O4980" t="str">
        <f>IFERROR(__xludf.DUMMYFUNCTION("""COMPUTED_VALUE"""),"")</f>
        <v/>
      </c>
      <c r="P4980" t="str">
        <f>IFERROR(__xludf.DUMMYFUNCTION("""COMPUTED_VALUE"""),"ID ")</f>
        <v>ID </v>
      </c>
    </row>
    <row r="4981">
      <c r="A4981" s="6" t="str">
        <f>IFERROR(__xludf.DUMMYFUNCTION("""COMPUTED_VALUE"""),"")</f>
        <v/>
      </c>
      <c r="C4981" t="str">
        <f>IFERROR(__xludf.DUMMYFUNCTION("""COMPUTED_VALUE"""),"")</f>
        <v/>
      </c>
      <c r="D4981" t="str">
        <f>IFERROR(__xludf.DUMMYFUNCTION("""COMPUTED_VALUE"""),"")</f>
        <v/>
      </c>
      <c r="E4981" t="str">
        <f>IFERROR(__xludf.DUMMYFUNCTION("""COMPUTED_VALUE"""),"")</f>
        <v/>
      </c>
      <c r="F4981" t="str">
        <f>IFERROR(__xludf.DUMMYFUNCTION("""COMPUTED_VALUE"""),"")</f>
        <v/>
      </c>
      <c r="G4981" t="str">
        <f>IFERROR(__xludf.DUMMYFUNCTION("""COMPUTED_VALUE"""),"")</f>
        <v/>
      </c>
      <c r="H4981" s="2" t="str">
        <f>IFERROR(__xludf.DUMMYFUNCTION("""COMPUTED_VALUE"""),"")</f>
        <v/>
      </c>
      <c r="I4981" s="2" t="str">
        <f>IFERROR(__xludf.DUMMYFUNCTION("""COMPUTED_VALUE"""),"")</f>
        <v/>
      </c>
      <c r="J4981" s="2">
        <f>IFERROR(__xludf.DUMMYFUNCTION("""COMPUTED_VALUE"""),0.0)</f>
        <v>0</v>
      </c>
      <c r="K4981" s="5" t="str">
        <f>IFERROR(__xludf.DUMMYFUNCTION("""COMPUTED_VALUE"""),"")</f>
        <v/>
      </c>
      <c r="L4981" t="str">
        <f>IFERROR(__xludf.DUMMYFUNCTION("""COMPUTED_VALUE"""),"")</f>
        <v/>
      </c>
      <c r="M4981" t="str">
        <f>IFERROR(__xludf.DUMMYFUNCTION("""COMPUTED_VALUE"""),"")</f>
        <v/>
      </c>
      <c r="N4981" t="str">
        <f>IFERROR(__xludf.DUMMYFUNCTION("""COMPUTED_VALUE"""),"")</f>
        <v/>
      </c>
      <c r="O4981" t="str">
        <f>IFERROR(__xludf.DUMMYFUNCTION("""COMPUTED_VALUE"""),"")</f>
        <v/>
      </c>
      <c r="P4981" t="str">
        <f>IFERROR(__xludf.DUMMYFUNCTION("""COMPUTED_VALUE"""),"ID ")</f>
        <v>ID </v>
      </c>
    </row>
    <row r="4982">
      <c r="A4982" s="6" t="str">
        <f>IFERROR(__xludf.DUMMYFUNCTION("""COMPUTED_VALUE"""),"")</f>
        <v/>
      </c>
      <c r="C4982" t="str">
        <f>IFERROR(__xludf.DUMMYFUNCTION("""COMPUTED_VALUE"""),"")</f>
        <v/>
      </c>
      <c r="D4982" t="str">
        <f>IFERROR(__xludf.DUMMYFUNCTION("""COMPUTED_VALUE"""),"")</f>
        <v/>
      </c>
      <c r="E4982" t="str">
        <f>IFERROR(__xludf.DUMMYFUNCTION("""COMPUTED_VALUE"""),"")</f>
        <v/>
      </c>
      <c r="F4982" t="str">
        <f>IFERROR(__xludf.DUMMYFUNCTION("""COMPUTED_VALUE"""),"")</f>
        <v/>
      </c>
      <c r="G4982" t="str">
        <f>IFERROR(__xludf.DUMMYFUNCTION("""COMPUTED_VALUE"""),"")</f>
        <v/>
      </c>
      <c r="H4982" s="2" t="str">
        <f>IFERROR(__xludf.DUMMYFUNCTION("""COMPUTED_VALUE"""),"")</f>
        <v/>
      </c>
      <c r="I4982" s="2" t="str">
        <f>IFERROR(__xludf.DUMMYFUNCTION("""COMPUTED_VALUE"""),"")</f>
        <v/>
      </c>
      <c r="J4982" s="2">
        <f>IFERROR(__xludf.DUMMYFUNCTION("""COMPUTED_VALUE"""),0.0)</f>
        <v>0</v>
      </c>
      <c r="K4982" s="5" t="str">
        <f>IFERROR(__xludf.DUMMYFUNCTION("""COMPUTED_VALUE"""),"")</f>
        <v/>
      </c>
      <c r="L4982" t="str">
        <f>IFERROR(__xludf.DUMMYFUNCTION("""COMPUTED_VALUE"""),"")</f>
        <v/>
      </c>
      <c r="M4982" t="str">
        <f>IFERROR(__xludf.DUMMYFUNCTION("""COMPUTED_VALUE"""),"")</f>
        <v/>
      </c>
      <c r="N4982" t="str">
        <f>IFERROR(__xludf.DUMMYFUNCTION("""COMPUTED_VALUE"""),"")</f>
        <v/>
      </c>
      <c r="O4982" t="str">
        <f>IFERROR(__xludf.DUMMYFUNCTION("""COMPUTED_VALUE"""),"")</f>
        <v/>
      </c>
      <c r="P4982" t="str">
        <f>IFERROR(__xludf.DUMMYFUNCTION("""COMPUTED_VALUE"""),"ID ")</f>
        <v>ID </v>
      </c>
    </row>
    <row r="4983">
      <c r="A4983" s="6" t="str">
        <f>IFERROR(__xludf.DUMMYFUNCTION("""COMPUTED_VALUE"""),"")</f>
        <v/>
      </c>
      <c r="C4983" t="str">
        <f>IFERROR(__xludf.DUMMYFUNCTION("""COMPUTED_VALUE"""),"")</f>
        <v/>
      </c>
      <c r="D4983" t="str">
        <f>IFERROR(__xludf.DUMMYFUNCTION("""COMPUTED_VALUE"""),"")</f>
        <v/>
      </c>
      <c r="E4983" t="str">
        <f>IFERROR(__xludf.DUMMYFUNCTION("""COMPUTED_VALUE"""),"")</f>
        <v/>
      </c>
      <c r="F4983" t="str">
        <f>IFERROR(__xludf.DUMMYFUNCTION("""COMPUTED_VALUE"""),"")</f>
        <v/>
      </c>
      <c r="G4983" t="str">
        <f>IFERROR(__xludf.DUMMYFUNCTION("""COMPUTED_VALUE"""),"")</f>
        <v/>
      </c>
      <c r="H4983" s="2" t="str">
        <f>IFERROR(__xludf.DUMMYFUNCTION("""COMPUTED_VALUE"""),"")</f>
        <v/>
      </c>
      <c r="I4983" s="2" t="str">
        <f>IFERROR(__xludf.DUMMYFUNCTION("""COMPUTED_VALUE"""),"")</f>
        <v/>
      </c>
      <c r="J4983" s="2">
        <f>IFERROR(__xludf.DUMMYFUNCTION("""COMPUTED_VALUE"""),0.0)</f>
        <v>0</v>
      </c>
      <c r="K4983" s="5" t="str">
        <f>IFERROR(__xludf.DUMMYFUNCTION("""COMPUTED_VALUE"""),"")</f>
        <v/>
      </c>
      <c r="L4983" t="str">
        <f>IFERROR(__xludf.DUMMYFUNCTION("""COMPUTED_VALUE"""),"")</f>
        <v/>
      </c>
      <c r="M4983" t="str">
        <f>IFERROR(__xludf.DUMMYFUNCTION("""COMPUTED_VALUE"""),"")</f>
        <v/>
      </c>
      <c r="N4983" t="str">
        <f>IFERROR(__xludf.DUMMYFUNCTION("""COMPUTED_VALUE"""),"")</f>
        <v/>
      </c>
      <c r="O4983" t="str">
        <f>IFERROR(__xludf.DUMMYFUNCTION("""COMPUTED_VALUE"""),"")</f>
        <v/>
      </c>
      <c r="P4983" t="str">
        <f>IFERROR(__xludf.DUMMYFUNCTION("""COMPUTED_VALUE"""),"ID ")</f>
        <v>ID </v>
      </c>
    </row>
    <row r="4984">
      <c r="A4984" s="6" t="str">
        <f>IFERROR(__xludf.DUMMYFUNCTION("""COMPUTED_VALUE"""),"")</f>
        <v/>
      </c>
      <c r="C4984" t="str">
        <f>IFERROR(__xludf.DUMMYFUNCTION("""COMPUTED_VALUE"""),"")</f>
        <v/>
      </c>
      <c r="D4984" t="str">
        <f>IFERROR(__xludf.DUMMYFUNCTION("""COMPUTED_VALUE"""),"")</f>
        <v/>
      </c>
      <c r="E4984" t="str">
        <f>IFERROR(__xludf.DUMMYFUNCTION("""COMPUTED_VALUE"""),"")</f>
        <v/>
      </c>
      <c r="F4984" t="str">
        <f>IFERROR(__xludf.DUMMYFUNCTION("""COMPUTED_VALUE"""),"")</f>
        <v/>
      </c>
      <c r="G4984" t="str">
        <f>IFERROR(__xludf.DUMMYFUNCTION("""COMPUTED_VALUE"""),"")</f>
        <v/>
      </c>
      <c r="H4984" s="2" t="str">
        <f>IFERROR(__xludf.DUMMYFUNCTION("""COMPUTED_VALUE"""),"")</f>
        <v/>
      </c>
      <c r="I4984" s="2" t="str">
        <f>IFERROR(__xludf.DUMMYFUNCTION("""COMPUTED_VALUE"""),"")</f>
        <v/>
      </c>
      <c r="J4984" s="2">
        <f>IFERROR(__xludf.DUMMYFUNCTION("""COMPUTED_VALUE"""),0.0)</f>
        <v>0</v>
      </c>
      <c r="K4984" s="5" t="str">
        <f>IFERROR(__xludf.DUMMYFUNCTION("""COMPUTED_VALUE"""),"")</f>
        <v/>
      </c>
      <c r="L4984" t="str">
        <f>IFERROR(__xludf.DUMMYFUNCTION("""COMPUTED_VALUE"""),"")</f>
        <v/>
      </c>
      <c r="M4984" t="str">
        <f>IFERROR(__xludf.DUMMYFUNCTION("""COMPUTED_VALUE"""),"")</f>
        <v/>
      </c>
      <c r="N4984" t="str">
        <f>IFERROR(__xludf.DUMMYFUNCTION("""COMPUTED_VALUE"""),"")</f>
        <v/>
      </c>
      <c r="O4984" t="str">
        <f>IFERROR(__xludf.DUMMYFUNCTION("""COMPUTED_VALUE"""),"")</f>
        <v/>
      </c>
      <c r="P4984" t="str">
        <f>IFERROR(__xludf.DUMMYFUNCTION("""COMPUTED_VALUE"""),"ID ")</f>
        <v>ID </v>
      </c>
    </row>
    <row r="4985">
      <c r="A4985" s="6" t="str">
        <f>IFERROR(__xludf.DUMMYFUNCTION("""COMPUTED_VALUE"""),"")</f>
        <v/>
      </c>
      <c r="C4985" t="str">
        <f>IFERROR(__xludf.DUMMYFUNCTION("""COMPUTED_VALUE"""),"")</f>
        <v/>
      </c>
      <c r="D4985" t="str">
        <f>IFERROR(__xludf.DUMMYFUNCTION("""COMPUTED_VALUE"""),"")</f>
        <v/>
      </c>
      <c r="E4985" t="str">
        <f>IFERROR(__xludf.DUMMYFUNCTION("""COMPUTED_VALUE"""),"")</f>
        <v/>
      </c>
      <c r="F4985" t="str">
        <f>IFERROR(__xludf.DUMMYFUNCTION("""COMPUTED_VALUE"""),"")</f>
        <v/>
      </c>
      <c r="G4985" t="str">
        <f>IFERROR(__xludf.DUMMYFUNCTION("""COMPUTED_VALUE"""),"")</f>
        <v/>
      </c>
      <c r="H4985" s="2" t="str">
        <f>IFERROR(__xludf.DUMMYFUNCTION("""COMPUTED_VALUE"""),"")</f>
        <v/>
      </c>
      <c r="I4985" s="2" t="str">
        <f>IFERROR(__xludf.DUMMYFUNCTION("""COMPUTED_VALUE"""),"")</f>
        <v/>
      </c>
      <c r="J4985" s="2">
        <f>IFERROR(__xludf.DUMMYFUNCTION("""COMPUTED_VALUE"""),0.0)</f>
        <v>0</v>
      </c>
      <c r="K4985" s="5" t="str">
        <f>IFERROR(__xludf.DUMMYFUNCTION("""COMPUTED_VALUE"""),"")</f>
        <v/>
      </c>
      <c r="L4985" t="str">
        <f>IFERROR(__xludf.DUMMYFUNCTION("""COMPUTED_VALUE"""),"")</f>
        <v/>
      </c>
      <c r="M4985" t="str">
        <f>IFERROR(__xludf.DUMMYFUNCTION("""COMPUTED_VALUE"""),"")</f>
        <v/>
      </c>
      <c r="N4985" t="str">
        <f>IFERROR(__xludf.DUMMYFUNCTION("""COMPUTED_VALUE"""),"")</f>
        <v/>
      </c>
      <c r="O4985" t="str">
        <f>IFERROR(__xludf.DUMMYFUNCTION("""COMPUTED_VALUE"""),"")</f>
        <v/>
      </c>
      <c r="P4985" t="str">
        <f>IFERROR(__xludf.DUMMYFUNCTION("""COMPUTED_VALUE"""),"ID ")</f>
        <v>ID </v>
      </c>
    </row>
    <row r="4986">
      <c r="A4986" s="6" t="str">
        <f>IFERROR(__xludf.DUMMYFUNCTION("""COMPUTED_VALUE"""),"")</f>
        <v/>
      </c>
      <c r="C4986" t="str">
        <f>IFERROR(__xludf.DUMMYFUNCTION("""COMPUTED_VALUE"""),"")</f>
        <v/>
      </c>
      <c r="D4986" t="str">
        <f>IFERROR(__xludf.DUMMYFUNCTION("""COMPUTED_VALUE"""),"")</f>
        <v/>
      </c>
      <c r="E4986" t="str">
        <f>IFERROR(__xludf.DUMMYFUNCTION("""COMPUTED_VALUE"""),"")</f>
        <v/>
      </c>
      <c r="F4986" t="str">
        <f>IFERROR(__xludf.DUMMYFUNCTION("""COMPUTED_VALUE"""),"")</f>
        <v/>
      </c>
      <c r="G4986" t="str">
        <f>IFERROR(__xludf.DUMMYFUNCTION("""COMPUTED_VALUE"""),"")</f>
        <v/>
      </c>
      <c r="H4986" s="2" t="str">
        <f>IFERROR(__xludf.DUMMYFUNCTION("""COMPUTED_VALUE"""),"")</f>
        <v/>
      </c>
      <c r="I4986" s="2" t="str">
        <f>IFERROR(__xludf.DUMMYFUNCTION("""COMPUTED_VALUE"""),"")</f>
        <v/>
      </c>
      <c r="J4986" s="2">
        <f>IFERROR(__xludf.DUMMYFUNCTION("""COMPUTED_VALUE"""),0.0)</f>
        <v>0</v>
      </c>
      <c r="K4986" s="5" t="str">
        <f>IFERROR(__xludf.DUMMYFUNCTION("""COMPUTED_VALUE"""),"")</f>
        <v/>
      </c>
      <c r="L4986" t="str">
        <f>IFERROR(__xludf.DUMMYFUNCTION("""COMPUTED_VALUE"""),"")</f>
        <v/>
      </c>
      <c r="M4986" t="str">
        <f>IFERROR(__xludf.DUMMYFUNCTION("""COMPUTED_VALUE"""),"")</f>
        <v/>
      </c>
      <c r="N4986" t="str">
        <f>IFERROR(__xludf.DUMMYFUNCTION("""COMPUTED_VALUE"""),"")</f>
        <v/>
      </c>
      <c r="O4986" t="str">
        <f>IFERROR(__xludf.DUMMYFUNCTION("""COMPUTED_VALUE"""),"")</f>
        <v/>
      </c>
      <c r="P4986" t="str">
        <f>IFERROR(__xludf.DUMMYFUNCTION("""COMPUTED_VALUE"""),"ID ")</f>
        <v>ID </v>
      </c>
    </row>
    <row r="4987">
      <c r="A4987" s="6" t="str">
        <f>IFERROR(__xludf.DUMMYFUNCTION("""COMPUTED_VALUE"""),"")</f>
        <v/>
      </c>
      <c r="C4987" t="str">
        <f>IFERROR(__xludf.DUMMYFUNCTION("""COMPUTED_VALUE"""),"")</f>
        <v/>
      </c>
      <c r="D4987" t="str">
        <f>IFERROR(__xludf.DUMMYFUNCTION("""COMPUTED_VALUE"""),"")</f>
        <v/>
      </c>
      <c r="E4987" t="str">
        <f>IFERROR(__xludf.DUMMYFUNCTION("""COMPUTED_VALUE"""),"")</f>
        <v/>
      </c>
      <c r="F4987" t="str">
        <f>IFERROR(__xludf.DUMMYFUNCTION("""COMPUTED_VALUE"""),"")</f>
        <v/>
      </c>
      <c r="G4987" t="str">
        <f>IFERROR(__xludf.DUMMYFUNCTION("""COMPUTED_VALUE"""),"")</f>
        <v/>
      </c>
      <c r="H4987" s="2" t="str">
        <f>IFERROR(__xludf.DUMMYFUNCTION("""COMPUTED_VALUE"""),"")</f>
        <v/>
      </c>
      <c r="I4987" s="2" t="str">
        <f>IFERROR(__xludf.DUMMYFUNCTION("""COMPUTED_VALUE"""),"")</f>
        <v/>
      </c>
      <c r="J4987" s="2">
        <f>IFERROR(__xludf.DUMMYFUNCTION("""COMPUTED_VALUE"""),0.0)</f>
        <v>0</v>
      </c>
      <c r="K4987" s="5" t="str">
        <f>IFERROR(__xludf.DUMMYFUNCTION("""COMPUTED_VALUE"""),"")</f>
        <v/>
      </c>
      <c r="L4987" t="str">
        <f>IFERROR(__xludf.DUMMYFUNCTION("""COMPUTED_VALUE"""),"")</f>
        <v/>
      </c>
      <c r="M4987" t="str">
        <f>IFERROR(__xludf.DUMMYFUNCTION("""COMPUTED_VALUE"""),"")</f>
        <v/>
      </c>
      <c r="N4987" t="str">
        <f>IFERROR(__xludf.DUMMYFUNCTION("""COMPUTED_VALUE"""),"")</f>
        <v/>
      </c>
      <c r="O4987" t="str">
        <f>IFERROR(__xludf.DUMMYFUNCTION("""COMPUTED_VALUE"""),"")</f>
        <v/>
      </c>
      <c r="P4987" t="str">
        <f>IFERROR(__xludf.DUMMYFUNCTION("""COMPUTED_VALUE"""),"ID ")</f>
        <v>ID </v>
      </c>
    </row>
    <row r="4988">
      <c r="A4988" s="6" t="str">
        <f>IFERROR(__xludf.DUMMYFUNCTION("""COMPUTED_VALUE"""),"")</f>
        <v/>
      </c>
      <c r="C4988" t="str">
        <f>IFERROR(__xludf.DUMMYFUNCTION("""COMPUTED_VALUE"""),"")</f>
        <v/>
      </c>
      <c r="D4988" t="str">
        <f>IFERROR(__xludf.DUMMYFUNCTION("""COMPUTED_VALUE"""),"")</f>
        <v/>
      </c>
      <c r="E4988" t="str">
        <f>IFERROR(__xludf.DUMMYFUNCTION("""COMPUTED_VALUE"""),"")</f>
        <v/>
      </c>
      <c r="F4988" t="str">
        <f>IFERROR(__xludf.DUMMYFUNCTION("""COMPUTED_VALUE"""),"")</f>
        <v/>
      </c>
      <c r="G4988" t="str">
        <f>IFERROR(__xludf.DUMMYFUNCTION("""COMPUTED_VALUE"""),"")</f>
        <v/>
      </c>
      <c r="H4988" s="2" t="str">
        <f>IFERROR(__xludf.DUMMYFUNCTION("""COMPUTED_VALUE"""),"")</f>
        <v/>
      </c>
      <c r="I4988" s="2" t="str">
        <f>IFERROR(__xludf.DUMMYFUNCTION("""COMPUTED_VALUE"""),"")</f>
        <v/>
      </c>
      <c r="J4988" s="2">
        <f>IFERROR(__xludf.DUMMYFUNCTION("""COMPUTED_VALUE"""),0.0)</f>
        <v>0</v>
      </c>
      <c r="K4988" s="5" t="str">
        <f>IFERROR(__xludf.DUMMYFUNCTION("""COMPUTED_VALUE"""),"")</f>
        <v/>
      </c>
      <c r="L4988" t="str">
        <f>IFERROR(__xludf.DUMMYFUNCTION("""COMPUTED_VALUE"""),"")</f>
        <v/>
      </c>
      <c r="M4988" t="str">
        <f>IFERROR(__xludf.DUMMYFUNCTION("""COMPUTED_VALUE"""),"")</f>
        <v/>
      </c>
      <c r="N4988" t="str">
        <f>IFERROR(__xludf.DUMMYFUNCTION("""COMPUTED_VALUE"""),"")</f>
        <v/>
      </c>
      <c r="O4988" t="str">
        <f>IFERROR(__xludf.DUMMYFUNCTION("""COMPUTED_VALUE"""),"")</f>
        <v/>
      </c>
      <c r="P4988" t="str">
        <f>IFERROR(__xludf.DUMMYFUNCTION("""COMPUTED_VALUE"""),"ID ")</f>
        <v>ID </v>
      </c>
    </row>
    <row r="4989">
      <c r="A4989" s="6" t="str">
        <f>IFERROR(__xludf.DUMMYFUNCTION("""COMPUTED_VALUE"""),"")</f>
        <v/>
      </c>
      <c r="C4989" t="str">
        <f>IFERROR(__xludf.DUMMYFUNCTION("""COMPUTED_VALUE"""),"")</f>
        <v/>
      </c>
      <c r="D4989" t="str">
        <f>IFERROR(__xludf.DUMMYFUNCTION("""COMPUTED_VALUE"""),"")</f>
        <v/>
      </c>
      <c r="E4989" t="str">
        <f>IFERROR(__xludf.DUMMYFUNCTION("""COMPUTED_VALUE"""),"")</f>
        <v/>
      </c>
      <c r="F4989" t="str">
        <f>IFERROR(__xludf.DUMMYFUNCTION("""COMPUTED_VALUE"""),"")</f>
        <v/>
      </c>
      <c r="G4989" t="str">
        <f>IFERROR(__xludf.DUMMYFUNCTION("""COMPUTED_VALUE"""),"")</f>
        <v/>
      </c>
      <c r="H4989" s="2" t="str">
        <f>IFERROR(__xludf.DUMMYFUNCTION("""COMPUTED_VALUE"""),"")</f>
        <v/>
      </c>
      <c r="I4989" s="2" t="str">
        <f>IFERROR(__xludf.DUMMYFUNCTION("""COMPUTED_VALUE"""),"")</f>
        <v/>
      </c>
      <c r="J4989" s="2">
        <f>IFERROR(__xludf.DUMMYFUNCTION("""COMPUTED_VALUE"""),0.0)</f>
        <v>0</v>
      </c>
      <c r="K4989" s="5" t="str">
        <f>IFERROR(__xludf.DUMMYFUNCTION("""COMPUTED_VALUE"""),"")</f>
        <v/>
      </c>
      <c r="L4989" t="str">
        <f>IFERROR(__xludf.DUMMYFUNCTION("""COMPUTED_VALUE"""),"")</f>
        <v/>
      </c>
      <c r="M4989" t="str">
        <f>IFERROR(__xludf.DUMMYFUNCTION("""COMPUTED_VALUE"""),"")</f>
        <v/>
      </c>
      <c r="N4989" t="str">
        <f>IFERROR(__xludf.DUMMYFUNCTION("""COMPUTED_VALUE"""),"")</f>
        <v/>
      </c>
      <c r="O4989" t="str">
        <f>IFERROR(__xludf.DUMMYFUNCTION("""COMPUTED_VALUE"""),"")</f>
        <v/>
      </c>
      <c r="P4989" t="str">
        <f>IFERROR(__xludf.DUMMYFUNCTION("""COMPUTED_VALUE"""),"ID ")</f>
        <v>ID </v>
      </c>
    </row>
    <row r="4990">
      <c r="A4990" s="6" t="str">
        <f>IFERROR(__xludf.DUMMYFUNCTION("""COMPUTED_VALUE"""),"")</f>
        <v/>
      </c>
      <c r="C4990" t="str">
        <f>IFERROR(__xludf.DUMMYFUNCTION("""COMPUTED_VALUE"""),"")</f>
        <v/>
      </c>
      <c r="D4990" t="str">
        <f>IFERROR(__xludf.DUMMYFUNCTION("""COMPUTED_VALUE"""),"")</f>
        <v/>
      </c>
      <c r="E4990" t="str">
        <f>IFERROR(__xludf.DUMMYFUNCTION("""COMPUTED_VALUE"""),"")</f>
        <v/>
      </c>
      <c r="F4990" t="str">
        <f>IFERROR(__xludf.DUMMYFUNCTION("""COMPUTED_VALUE"""),"")</f>
        <v/>
      </c>
      <c r="G4990" t="str">
        <f>IFERROR(__xludf.DUMMYFUNCTION("""COMPUTED_VALUE"""),"")</f>
        <v/>
      </c>
      <c r="H4990" s="2" t="str">
        <f>IFERROR(__xludf.DUMMYFUNCTION("""COMPUTED_VALUE"""),"")</f>
        <v/>
      </c>
      <c r="I4990" s="2" t="str">
        <f>IFERROR(__xludf.DUMMYFUNCTION("""COMPUTED_VALUE"""),"")</f>
        <v/>
      </c>
      <c r="J4990" s="2">
        <f>IFERROR(__xludf.DUMMYFUNCTION("""COMPUTED_VALUE"""),0.0)</f>
        <v>0</v>
      </c>
      <c r="K4990" s="5" t="str">
        <f>IFERROR(__xludf.DUMMYFUNCTION("""COMPUTED_VALUE"""),"")</f>
        <v/>
      </c>
      <c r="L4990" t="str">
        <f>IFERROR(__xludf.DUMMYFUNCTION("""COMPUTED_VALUE"""),"")</f>
        <v/>
      </c>
      <c r="M4990" t="str">
        <f>IFERROR(__xludf.DUMMYFUNCTION("""COMPUTED_VALUE"""),"")</f>
        <v/>
      </c>
      <c r="N4990" t="str">
        <f>IFERROR(__xludf.DUMMYFUNCTION("""COMPUTED_VALUE"""),"")</f>
        <v/>
      </c>
      <c r="O4990" t="str">
        <f>IFERROR(__xludf.DUMMYFUNCTION("""COMPUTED_VALUE"""),"")</f>
        <v/>
      </c>
      <c r="P4990" t="str">
        <f>IFERROR(__xludf.DUMMYFUNCTION("""COMPUTED_VALUE"""),"ID ")</f>
        <v>ID </v>
      </c>
    </row>
    <row r="4991">
      <c r="A4991" s="6" t="str">
        <f>IFERROR(__xludf.DUMMYFUNCTION("""COMPUTED_VALUE"""),"")</f>
        <v/>
      </c>
      <c r="C4991" t="str">
        <f>IFERROR(__xludf.DUMMYFUNCTION("""COMPUTED_VALUE"""),"")</f>
        <v/>
      </c>
      <c r="D4991" t="str">
        <f>IFERROR(__xludf.DUMMYFUNCTION("""COMPUTED_VALUE"""),"")</f>
        <v/>
      </c>
      <c r="E4991" t="str">
        <f>IFERROR(__xludf.DUMMYFUNCTION("""COMPUTED_VALUE"""),"")</f>
        <v/>
      </c>
      <c r="F4991" t="str">
        <f>IFERROR(__xludf.DUMMYFUNCTION("""COMPUTED_VALUE"""),"")</f>
        <v/>
      </c>
      <c r="G4991" t="str">
        <f>IFERROR(__xludf.DUMMYFUNCTION("""COMPUTED_VALUE"""),"")</f>
        <v/>
      </c>
      <c r="H4991" s="2" t="str">
        <f>IFERROR(__xludf.DUMMYFUNCTION("""COMPUTED_VALUE"""),"")</f>
        <v/>
      </c>
      <c r="I4991" s="2" t="str">
        <f>IFERROR(__xludf.DUMMYFUNCTION("""COMPUTED_VALUE"""),"")</f>
        <v/>
      </c>
      <c r="J4991" s="2">
        <f>IFERROR(__xludf.DUMMYFUNCTION("""COMPUTED_VALUE"""),0.0)</f>
        <v>0</v>
      </c>
      <c r="K4991" s="5" t="str">
        <f>IFERROR(__xludf.DUMMYFUNCTION("""COMPUTED_VALUE"""),"")</f>
        <v/>
      </c>
      <c r="L4991" t="str">
        <f>IFERROR(__xludf.DUMMYFUNCTION("""COMPUTED_VALUE"""),"")</f>
        <v/>
      </c>
      <c r="M4991" t="str">
        <f>IFERROR(__xludf.DUMMYFUNCTION("""COMPUTED_VALUE"""),"")</f>
        <v/>
      </c>
      <c r="N4991" t="str">
        <f>IFERROR(__xludf.DUMMYFUNCTION("""COMPUTED_VALUE"""),"")</f>
        <v/>
      </c>
      <c r="O4991" t="str">
        <f>IFERROR(__xludf.DUMMYFUNCTION("""COMPUTED_VALUE"""),"")</f>
        <v/>
      </c>
      <c r="P4991" t="str">
        <f>IFERROR(__xludf.DUMMYFUNCTION("""COMPUTED_VALUE"""),"ID ")</f>
        <v>ID </v>
      </c>
    </row>
    <row r="4992">
      <c r="A4992" s="6" t="str">
        <f>IFERROR(__xludf.DUMMYFUNCTION("""COMPUTED_VALUE"""),"")</f>
        <v/>
      </c>
      <c r="C4992" t="str">
        <f>IFERROR(__xludf.DUMMYFUNCTION("""COMPUTED_VALUE"""),"")</f>
        <v/>
      </c>
      <c r="D4992" t="str">
        <f>IFERROR(__xludf.DUMMYFUNCTION("""COMPUTED_VALUE"""),"")</f>
        <v/>
      </c>
      <c r="E4992" t="str">
        <f>IFERROR(__xludf.DUMMYFUNCTION("""COMPUTED_VALUE"""),"")</f>
        <v/>
      </c>
      <c r="F4992" t="str">
        <f>IFERROR(__xludf.DUMMYFUNCTION("""COMPUTED_VALUE"""),"")</f>
        <v/>
      </c>
      <c r="G4992" t="str">
        <f>IFERROR(__xludf.DUMMYFUNCTION("""COMPUTED_VALUE"""),"")</f>
        <v/>
      </c>
      <c r="H4992" s="2" t="str">
        <f>IFERROR(__xludf.DUMMYFUNCTION("""COMPUTED_VALUE"""),"")</f>
        <v/>
      </c>
      <c r="I4992" s="2" t="str">
        <f>IFERROR(__xludf.DUMMYFUNCTION("""COMPUTED_VALUE"""),"")</f>
        <v/>
      </c>
      <c r="J4992" s="2">
        <f>IFERROR(__xludf.DUMMYFUNCTION("""COMPUTED_VALUE"""),0.0)</f>
        <v>0</v>
      </c>
      <c r="K4992" s="5" t="str">
        <f>IFERROR(__xludf.DUMMYFUNCTION("""COMPUTED_VALUE"""),"")</f>
        <v/>
      </c>
      <c r="L4992" t="str">
        <f>IFERROR(__xludf.DUMMYFUNCTION("""COMPUTED_VALUE"""),"")</f>
        <v/>
      </c>
      <c r="M4992" t="str">
        <f>IFERROR(__xludf.DUMMYFUNCTION("""COMPUTED_VALUE"""),"")</f>
        <v/>
      </c>
      <c r="N4992" t="str">
        <f>IFERROR(__xludf.DUMMYFUNCTION("""COMPUTED_VALUE"""),"")</f>
        <v/>
      </c>
      <c r="O4992" t="str">
        <f>IFERROR(__xludf.DUMMYFUNCTION("""COMPUTED_VALUE"""),"")</f>
        <v/>
      </c>
      <c r="P4992" t="str">
        <f>IFERROR(__xludf.DUMMYFUNCTION("""COMPUTED_VALUE"""),"ID ")</f>
        <v>ID </v>
      </c>
    </row>
    <row r="4993">
      <c r="A4993" s="6" t="str">
        <f>IFERROR(__xludf.DUMMYFUNCTION("""COMPUTED_VALUE"""),"")</f>
        <v/>
      </c>
      <c r="C4993" t="str">
        <f>IFERROR(__xludf.DUMMYFUNCTION("""COMPUTED_VALUE"""),"")</f>
        <v/>
      </c>
      <c r="D4993" t="str">
        <f>IFERROR(__xludf.DUMMYFUNCTION("""COMPUTED_VALUE"""),"")</f>
        <v/>
      </c>
      <c r="E4993" t="str">
        <f>IFERROR(__xludf.DUMMYFUNCTION("""COMPUTED_VALUE"""),"")</f>
        <v/>
      </c>
      <c r="F4993" t="str">
        <f>IFERROR(__xludf.DUMMYFUNCTION("""COMPUTED_VALUE"""),"")</f>
        <v/>
      </c>
      <c r="G4993" t="str">
        <f>IFERROR(__xludf.DUMMYFUNCTION("""COMPUTED_VALUE"""),"")</f>
        <v/>
      </c>
      <c r="H4993" s="2" t="str">
        <f>IFERROR(__xludf.DUMMYFUNCTION("""COMPUTED_VALUE"""),"")</f>
        <v/>
      </c>
      <c r="I4993" s="2" t="str">
        <f>IFERROR(__xludf.DUMMYFUNCTION("""COMPUTED_VALUE"""),"")</f>
        <v/>
      </c>
      <c r="J4993" s="2">
        <f>IFERROR(__xludf.DUMMYFUNCTION("""COMPUTED_VALUE"""),0.0)</f>
        <v>0</v>
      </c>
      <c r="K4993" s="5" t="str">
        <f>IFERROR(__xludf.DUMMYFUNCTION("""COMPUTED_VALUE"""),"")</f>
        <v/>
      </c>
      <c r="L4993" t="str">
        <f>IFERROR(__xludf.DUMMYFUNCTION("""COMPUTED_VALUE"""),"")</f>
        <v/>
      </c>
      <c r="M4993" t="str">
        <f>IFERROR(__xludf.DUMMYFUNCTION("""COMPUTED_VALUE"""),"")</f>
        <v/>
      </c>
      <c r="N4993" t="str">
        <f>IFERROR(__xludf.DUMMYFUNCTION("""COMPUTED_VALUE"""),"")</f>
        <v/>
      </c>
      <c r="O4993" t="str">
        <f>IFERROR(__xludf.DUMMYFUNCTION("""COMPUTED_VALUE"""),"")</f>
        <v/>
      </c>
      <c r="P4993" t="str">
        <f>IFERROR(__xludf.DUMMYFUNCTION("""COMPUTED_VALUE"""),"ID ")</f>
        <v>ID </v>
      </c>
    </row>
    <row r="4994">
      <c r="A4994" s="6" t="str">
        <f>IFERROR(__xludf.DUMMYFUNCTION("""COMPUTED_VALUE"""),"")</f>
        <v/>
      </c>
      <c r="C4994" t="str">
        <f>IFERROR(__xludf.DUMMYFUNCTION("""COMPUTED_VALUE"""),"")</f>
        <v/>
      </c>
      <c r="D4994" t="str">
        <f>IFERROR(__xludf.DUMMYFUNCTION("""COMPUTED_VALUE"""),"")</f>
        <v/>
      </c>
      <c r="E4994" t="str">
        <f>IFERROR(__xludf.DUMMYFUNCTION("""COMPUTED_VALUE"""),"")</f>
        <v/>
      </c>
      <c r="F4994" t="str">
        <f>IFERROR(__xludf.DUMMYFUNCTION("""COMPUTED_VALUE"""),"")</f>
        <v/>
      </c>
      <c r="G4994" t="str">
        <f>IFERROR(__xludf.DUMMYFUNCTION("""COMPUTED_VALUE"""),"")</f>
        <v/>
      </c>
      <c r="H4994" s="2" t="str">
        <f>IFERROR(__xludf.DUMMYFUNCTION("""COMPUTED_VALUE"""),"")</f>
        <v/>
      </c>
      <c r="I4994" s="2" t="str">
        <f>IFERROR(__xludf.DUMMYFUNCTION("""COMPUTED_VALUE"""),"")</f>
        <v/>
      </c>
      <c r="J4994" s="2">
        <f>IFERROR(__xludf.DUMMYFUNCTION("""COMPUTED_VALUE"""),0.0)</f>
        <v>0</v>
      </c>
      <c r="K4994" s="5" t="str">
        <f>IFERROR(__xludf.DUMMYFUNCTION("""COMPUTED_VALUE"""),"")</f>
        <v/>
      </c>
      <c r="L4994" t="str">
        <f>IFERROR(__xludf.DUMMYFUNCTION("""COMPUTED_VALUE"""),"")</f>
        <v/>
      </c>
      <c r="M4994" t="str">
        <f>IFERROR(__xludf.DUMMYFUNCTION("""COMPUTED_VALUE"""),"")</f>
        <v/>
      </c>
      <c r="N4994" t="str">
        <f>IFERROR(__xludf.DUMMYFUNCTION("""COMPUTED_VALUE"""),"")</f>
        <v/>
      </c>
      <c r="O4994" t="str">
        <f>IFERROR(__xludf.DUMMYFUNCTION("""COMPUTED_VALUE"""),"")</f>
        <v/>
      </c>
      <c r="P4994" t="str">
        <f>IFERROR(__xludf.DUMMYFUNCTION("""COMPUTED_VALUE"""),"ID ")</f>
        <v>ID </v>
      </c>
    </row>
    <row r="4995">
      <c r="A4995" s="6" t="str">
        <f>IFERROR(__xludf.DUMMYFUNCTION("""COMPUTED_VALUE"""),"")</f>
        <v/>
      </c>
      <c r="C4995" t="str">
        <f>IFERROR(__xludf.DUMMYFUNCTION("""COMPUTED_VALUE"""),"")</f>
        <v/>
      </c>
      <c r="D4995" t="str">
        <f>IFERROR(__xludf.DUMMYFUNCTION("""COMPUTED_VALUE"""),"")</f>
        <v/>
      </c>
      <c r="E4995" t="str">
        <f>IFERROR(__xludf.DUMMYFUNCTION("""COMPUTED_VALUE"""),"")</f>
        <v/>
      </c>
      <c r="F4995" t="str">
        <f>IFERROR(__xludf.DUMMYFUNCTION("""COMPUTED_VALUE"""),"")</f>
        <v/>
      </c>
      <c r="G4995" t="str">
        <f>IFERROR(__xludf.DUMMYFUNCTION("""COMPUTED_VALUE"""),"")</f>
        <v/>
      </c>
      <c r="H4995" s="2" t="str">
        <f>IFERROR(__xludf.DUMMYFUNCTION("""COMPUTED_VALUE"""),"")</f>
        <v/>
      </c>
      <c r="I4995" s="2" t="str">
        <f>IFERROR(__xludf.DUMMYFUNCTION("""COMPUTED_VALUE"""),"")</f>
        <v/>
      </c>
      <c r="J4995" s="2">
        <f>IFERROR(__xludf.DUMMYFUNCTION("""COMPUTED_VALUE"""),0.0)</f>
        <v>0</v>
      </c>
      <c r="K4995" s="5" t="str">
        <f>IFERROR(__xludf.DUMMYFUNCTION("""COMPUTED_VALUE"""),"")</f>
        <v/>
      </c>
      <c r="L4995" t="str">
        <f>IFERROR(__xludf.DUMMYFUNCTION("""COMPUTED_VALUE"""),"")</f>
        <v/>
      </c>
      <c r="M4995" t="str">
        <f>IFERROR(__xludf.DUMMYFUNCTION("""COMPUTED_VALUE"""),"")</f>
        <v/>
      </c>
      <c r="N4995" t="str">
        <f>IFERROR(__xludf.DUMMYFUNCTION("""COMPUTED_VALUE"""),"")</f>
        <v/>
      </c>
      <c r="O4995" t="str">
        <f>IFERROR(__xludf.DUMMYFUNCTION("""COMPUTED_VALUE"""),"")</f>
        <v/>
      </c>
      <c r="P4995" t="str">
        <f>IFERROR(__xludf.DUMMYFUNCTION("""COMPUTED_VALUE"""),"ID ")</f>
        <v>ID </v>
      </c>
    </row>
    <row r="4996">
      <c r="A4996" s="6" t="str">
        <f>IFERROR(__xludf.DUMMYFUNCTION("""COMPUTED_VALUE"""),"")</f>
        <v/>
      </c>
      <c r="C4996" t="str">
        <f>IFERROR(__xludf.DUMMYFUNCTION("""COMPUTED_VALUE"""),"")</f>
        <v/>
      </c>
      <c r="D4996" t="str">
        <f>IFERROR(__xludf.DUMMYFUNCTION("""COMPUTED_VALUE"""),"")</f>
        <v/>
      </c>
      <c r="E4996" t="str">
        <f>IFERROR(__xludf.DUMMYFUNCTION("""COMPUTED_VALUE"""),"")</f>
        <v/>
      </c>
      <c r="F4996" t="str">
        <f>IFERROR(__xludf.DUMMYFUNCTION("""COMPUTED_VALUE"""),"")</f>
        <v/>
      </c>
      <c r="G4996" t="str">
        <f>IFERROR(__xludf.DUMMYFUNCTION("""COMPUTED_VALUE"""),"")</f>
        <v/>
      </c>
      <c r="H4996" s="2" t="str">
        <f>IFERROR(__xludf.DUMMYFUNCTION("""COMPUTED_VALUE"""),"")</f>
        <v/>
      </c>
      <c r="I4996" s="2" t="str">
        <f>IFERROR(__xludf.DUMMYFUNCTION("""COMPUTED_VALUE"""),"")</f>
        <v/>
      </c>
      <c r="J4996" s="2">
        <f>IFERROR(__xludf.DUMMYFUNCTION("""COMPUTED_VALUE"""),0.0)</f>
        <v>0</v>
      </c>
      <c r="K4996" s="5" t="str">
        <f>IFERROR(__xludf.DUMMYFUNCTION("""COMPUTED_VALUE"""),"")</f>
        <v/>
      </c>
      <c r="L4996" t="str">
        <f>IFERROR(__xludf.DUMMYFUNCTION("""COMPUTED_VALUE"""),"")</f>
        <v/>
      </c>
      <c r="M4996" t="str">
        <f>IFERROR(__xludf.DUMMYFUNCTION("""COMPUTED_VALUE"""),"")</f>
        <v/>
      </c>
      <c r="N4996" t="str">
        <f>IFERROR(__xludf.DUMMYFUNCTION("""COMPUTED_VALUE"""),"")</f>
        <v/>
      </c>
      <c r="O4996" t="str">
        <f>IFERROR(__xludf.DUMMYFUNCTION("""COMPUTED_VALUE"""),"")</f>
        <v/>
      </c>
      <c r="P4996" t="str">
        <f>IFERROR(__xludf.DUMMYFUNCTION("""COMPUTED_VALUE"""),"ID ")</f>
        <v>ID </v>
      </c>
    </row>
    <row r="4997">
      <c r="A4997" s="6" t="str">
        <f>IFERROR(__xludf.DUMMYFUNCTION("""COMPUTED_VALUE"""),"")</f>
        <v/>
      </c>
      <c r="C4997" t="str">
        <f>IFERROR(__xludf.DUMMYFUNCTION("""COMPUTED_VALUE"""),"")</f>
        <v/>
      </c>
      <c r="D4997" t="str">
        <f>IFERROR(__xludf.DUMMYFUNCTION("""COMPUTED_VALUE"""),"")</f>
        <v/>
      </c>
      <c r="E4997" t="str">
        <f>IFERROR(__xludf.DUMMYFUNCTION("""COMPUTED_VALUE"""),"")</f>
        <v/>
      </c>
      <c r="F4997" t="str">
        <f>IFERROR(__xludf.DUMMYFUNCTION("""COMPUTED_VALUE"""),"")</f>
        <v/>
      </c>
      <c r="G4997" t="str">
        <f>IFERROR(__xludf.DUMMYFUNCTION("""COMPUTED_VALUE"""),"")</f>
        <v/>
      </c>
      <c r="H4997" s="2" t="str">
        <f>IFERROR(__xludf.DUMMYFUNCTION("""COMPUTED_VALUE"""),"")</f>
        <v/>
      </c>
      <c r="I4997" s="2" t="str">
        <f>IFERROR(__xludf.DUMMYFUNCTION("""COMPUTED_VALUE"""),"")</f>
        <v/>
      </c>
      <c r="J4997" s="2">
        <f>IFERROR(__xludf.DUMMYFUNCTION("""COMPUTED_VALUE"""),0.0)</f>
        <v>0</v>
      </c>
      <c r="K4997" s="5" t="str">
        <f>IFERROR(__xludf.DUMMYFUNCTION("""COMPUTED_VALUE"""),"")</f>
        <v/>
      </c>
      <c r="L4997" t="str">
        <f>IFERROR(__xludf.DUMMYFUNCTION("""COMPUTED_VALUE"""),"")</f>
        <v/>
      </c>
      <c r="M4997" t="str">
        <f>IFERROR(__xludf.DUMMYFUNCTION("""COMPUTED_VALUE"""),"")</f>
        <v/>
      </c>
      <c r="N4997" t="str">
        <f>IFERROR(__xludf.DUMMYFUNCTION("""COMPUTED_VALUE"""),"")</f>
        <v/>
      </c>
      <c r="O4997" t="str">
        <f>IFERROR(__xludf.DUMMYFUNCTION("""COMPUTED_VALUE"""),"")</f>
        <v/>
      </c>
      <c r="P4997" t="str">
        <f>IFERROR(__xludf.DUMMYFUNCTION("""COMPUTED_VALUE"""),"ID ")</f>
        <v>ID </v>
      </c>
    </row>
    <row r="4998">
      <c r="A4998" s="6" t="str">
        <f>IFERROR(__xludf.DUMMYFUNCTION("""COMPUTED_VALUE"""),"")</f>
        <v/>
      </c>
      <c r="C4998" t="str">
        <f>IFERROR(__xludf.DUMMYFUNCTION("""COMPUTED_VALUE"""),"")</f>
        <v/>
      </c>
      <c r="D4998" t="str">
        <f>IFERROR(__xludf.DUMMYFUNCTION("""COMPUTED_VALUE"""),"")</f>
        <v/>
      </c>
      <c r="E4998" t="str">
        <f>IFERROR(__xludf.DUMMYFUNCTION("""COMPUTED_VALUE"""),"")</f>
        <v/>
      </c>
      <c r="F4998" t="str">
        <f>IFERROR(__xludf.DUMMYFUNCTION("""COMPUTED_VALUE"""),"")</f>
        <v/>
      </c>
      <c r="G4998" t="str">
        <f>IFERROR(__xludf.DUMMYFUNCTION("""COMPUTED_VALUE"""),"")</f>
        <v/>
      </c>
      <c r="H4998" s="2" t="str">
        <f>IFERROR(__xludf.DUMMYFUNCTION("""COMPUTED_VALUE"""),"")</f>
        <v/>
      </c>
      <c r="I4998" s="2" t="str">
        <f>IFERROR(__xludf.DUMMYFUNCTION("""COMPUTED_VALUE"""),"")</f>
        <v/>
      </c>
      <c r="J4998" s="2">
        <f>IFERROR(__xludf.DUMMYFUNCTION("""COMPUTED_VALUE"""),0.0)</f>
        <v>0</v>
      </c>
      <c r="K4998" s="5" t="str">
        <f>IFERROR(__xludf.DUMMYFUNCTION("""COMPUTED_VALUE"""),"")</f>
        <v/>
      </c>
      <c r="L4998" t="str">
        <f>IFERROR(__xludf.DUMMYFUNCTION("""COMPUTED_VALUE"""),"")</f>
        <v/>
      </c>
      <c r="M4998" t="str">
        <f>IFERROR(__xludf.DUMMYFUNCTION("""COMPUTED_VALUE"""),"")</f>
        <v/>
      </c>
      <c r="N4998" t="str">
        <f>IFERROR(__xludf.DUMMYFUNCTION("""COMPUTED_VALUE"""),"")</f>
        <v/>
      </c>
      <c r="O4998" t="str">
        <f>IFERROR(__xludf.DUMMYFUNCTION("""COMPUTED_VALUE"""),"")</f>
        <v/>
      </c>
      <c r="P4998" t="str">
        <f>IFERROR(__xludf.DUMMYFUNCTION("""COMPUTED_VALUE"""),"ID ")</f>
        <v>ID </v>
      </c>
    </row>
    <row r="4999">
      <c r="A4999" s="6" t="str">
        <f>IFERROR(__xludf.DUMMYFUNCTION("""COMPUTED_VALUE"""),"")</f>
        <v/>
      </c>
      <c r="C4999" t="str">
        <f>IFERROR(__xludf.DUMMYFUNCTION("""COMPUTED_VALUE"""),"")</f>
        <v/>
      </c>
      <c r="D4999" t="str">
        <f>IFERROR(__xludf.DUMMYFUNCTION("""COMPUTED_VALUE"""),"")</f>
        <v/>
      </c>
      <c r="E4999" t="str">
        <f>IFERROR(__xludf.DUMMYFUNCTION("""COMPUTED_VALUE"""),"")</f>
        <v/>
      </c>
      <c r="F4999" t="str">
        <f>IFERROR(__xludf.DUMMYFUNCTION("""COMPUTED_VALUE"""),"")</f>
        <v/>
      </c>
      <c r="G4999" t="str">
        <f>IFERROR(__xludf.DUMMYFUNCTION("""COMPUTED_VALUE"""),"")</f>
        <v/>
      </c>
      <c r="H4999" s="2" t="str">
        <f>IFERROR(__xludf.DUMMYFUNCTION("""COMPUTED_VALUE"""),"")</f>
        <v/>
      </c>
      <c r="I4999" s="2" t="str">
        <f>IFERROR(__xludf.DUMMYFUNCTION("""COMPUTED_VALUE"""),"")</f>
        <v/>
      </c>
      <c r="J4999" s="2">
        <f>IFERROR(__xludf.DUMMYFUNCTION("""COMPUTED_VALUE"""),0.0)</f>
        <v>0</v>
      </c>
      <c r="K4999" s="5" t="str">
        <f>IFERROR(__xludf.DUMMYFUNCTION("""COMPUTED_VALUE"""),"")</f>
        <v/>
      </c>
      <c r="L4999" t="str">
        <f>IFERROR(__xludf.DUMMYFUNCTION("""COMPUTED_VALUE"""),"")</f>
        <v/>
      </c>
      <c r="M4999" t="str">
        <f>IFERROR(__xludf.DUMMYFUNCTION("""COMPUTED_VALUE"""),"")</f>
        <v/>
      </c>
      <c r="N4999" t="str">
        <f>IFERROR(__xludf.DUMMYFUNCTION("""COMPUTED_VALUE"""),"")</f>
        <v/>
      </c>
      <c r="O4999" t="str">
        <f>IFERROR(__xludf.DUMMYFUNCTION("""COMPUTED_VALUE"""),"")</f>
        <v/>
      </c>
      <c r="P4999" t="str">
        <f>IFERROR(__xludf.DUMMYFUNCTION("""COMPUTED_VALUE"""),"ID ")</f>
        <v>ID </v>
      </c>
    </row>
    <row r="5000">
      <c r="A5000" s="6" t="str">
        <f>IFERROR(__xludf.DUMMYFUNCTION("""COMPUTED_VALUE"""),"")</f>
        <v/>
      </c>
      <c r="C5000" t="str">
        <f>IFERROR(__xludf.DUMMYFUNCTION("""COMPUTED_VALUE"""),"")</f>
        <v/>
      </c>
      <c r="D5000" t="str">
        <f>IFERROR(__xludf.DUMMYFUNCTION("""COMPUTED_VALUE"""),"")</f>
        <v/>
      </c>
      <c r="E5000" t="str">
        <f>IFERROR(__xludf.DUMMYFUNCTION("""COMPUTED_VALUE"""),"")</f>
        <v/>
      </c>
      <c r="F5000" t="str">
        <f>IFERROR(__xludf.DUMMYFUNCTION("""COMPUTED_VALUE"""),"")</f>
        <v/>
      </c>
      <c r="G5000" t="str">
        <f>IFERROR(__xludf.DUMMYFUNCTION("""COMPUTED_VALUE"""),"")</f>
        <v/>
      </c>
      <c r="H5000" s="2" t="str">
        <f>IFERROR(__xludf.DUMMYFUNCTION("""COMPUTED_VALUE"""),"")</f>
        <v/>
      </c>
      <c r="I5000" s="2" t="str">
        <f>IFERROR(__xludf.DUMMYFUNCTION("""COMPUTED_VALUE"""),"")</f>
        <v/>
      </c>
      <c r="J5000" s="2">
        <f>IFERROR(__xludf.DUMMYFUNCTION("""COMPUTED_VALUE"""),0.0)</f>
        <v>0</v>
      </c>
      <c r="K5000" s="5" t="str">
        <f>IFERROR(__xludf.DUMMYFUNCTION("""COMPUTED_VALUE"""),"")</f>
        <v/>
      </c>
      <c r="L5000" t="str">
        <f>IFERROR(__xludf.DUMMYFUNCTION("""COMPUTED_VALUE"""),"")</f>
        <v/>
      </c>
      <c r="M5000" t="str">
        <f>IFERROR(__xludf.DUMMYFUNCTION("""COMPUTED_VALUE"""),"")</f>
        <v/>
      </c>
      <c r="N5000" t="str">
        <f>IFERROR(__xludf.DUMMYFUNCTION("""COMPUTED_VALUE"""),"")</f>
        <v/>
      </c>
      <c r="O5000" t="str">
        <f>IFERROR(__xludf.DUMMYFUNCTION("""COMPUTED_VALUE"""),"")</f>
        <v/>
      </c>
      <c r="P5000" t="str">
        <f>IFERROR(__xludf.DUMMYFUNCTION("""COMPUTED_VALUE"""),"ID ")</f>
        <v>ID </v>
      </c>
    </row>
    <row r="5001">
      <c r="A5001" s="6" t="str">
        <f>IFERROR(__xludf.DUMMYFUNCTION("""COMPUTED_VALUE"""),"")</f>
        <v/>
      </c>
      <c r="C5001" t="str">
        <f>IFERROR(__xludf.DUMMYFUNCTION("""COMPUTED_VALUE"""),"")</f>
        <v/>
      </c>
      <c r="D5001" t="str">
        <f>IFERROR(__xludf.DUMMYFUNCTION("""COMPUTED_VALUE"""),"")</f>
        <v/>
      </c>
      <c r="E5001" t="str">
        <f>IFERROR(__xludf.DUMMYFUNCTION("""COMPUTED_VALUE"""),"")</f>
        <v/>
      </c>
      <c r="F5001" t="str">
        <f>IFERROR(__xludf.DUMMYFUNCTION("""COMPUTED_VALUE"""),"")</f>
        <v/>
      </c>
      <c r="G5001" t="str">
        <f>IFERROR(__xludf.DUMMYFUNCTION("""COMPUTED_VALUE"""),"")</f>
        <v/>
      </c>
      <c r="H5001" s="2" t="str">
        <f>IFERROR(__xludf.DUMMYFUNCTION("""COMPUTED_VALUE"""),"")</f>
        <v/>
      </c>
      <c r="I5001" s="2" t="str">
        <f>IFERROR(__xludf.DUMMYFUNCTION("""COMPUTED_VALUE"""),"")</f>
        <v/>
      </c>
      <c r="J5001" s="2">
        <f>IFERROR(__xludf.DUMMYFUNCTION("""COMPUTED_VALUE"""),0.0)</f>
        <v>0</v>
      </c>
      <c r="K5001" s="5" t="str">
        <f>IFERROR(__xludf.DUMMYFUNCTION("""COMPUTED_VALUE"""),"")</f>
        <v/>
      </c>
      <c r="L5001" t="str">
        <f>IFERROR(__xludf.DUMMYFUNCTION("""COMPUTED_VALUE"""),"")</f>
        <v/>
      </c>
      <c r="M5001" t="str">
        <f>IFERROR(__xludf.DUMMYFUNCTION("""COMPUTED_VALUE"""),"")</f>
        <v/>
      </c>
      <c r="N5001" t="str">
        <f>IFERROR(__xludf.DUMMYFUNCTION("""COMPUTED_VALUE"""),"")</f>
        <v/>
      </c>
      <c r="O5001" t="str">
        <f>IFERROR(__xludf.DUMMYFUNCTION("""COMPUTED_VALUE"""),"")</f>
        <v/>
      </c>
      <c r="P5001" t="str">
        <f>IFERROR(__xludf.DUMMYFUNCTION("""COMPUTED_VALUE"""),"ID ")</f>
        <v>ID </v>
      </c>
    </row>
    <row r="5002">
      <c r="A5002" s="6" t="str">
        <f>IFERROR(__xludf.DUMMYFUNCTION("""COMPUTED_VALUE"""),"")</f>
        <v/>
      </c>
      <c r="C5002" t="str">
        <f>IFERROR(__xludf.DUMMYFUNCTION("""COMPUTED_VALUE"""),"")</f>
        <v/>
      </c>
      <c r="D5002" t="str">
        <f>IFERROR(__xludf.DUMMYFUNCTION("""COMPUTED_VALUE"""),"")</f>
        <v/>
      </c>
      <c r="E5002" t="str">
        <f>IFERROR(__xludf.DUMMYFUNCTION("""COMPUTED_VALUE"""),"")</f>
        <v/>
      </c>
      <c r="F5002" t="str">
        <f>IFERROR(__xludf.DUMMYFUNCTION("""COMPUTED_VALUE"""),"")</f>
        <v/>
      </c>
      <c r="G5002" t="str">
        <f>IFERROR(__xludf.DUMMYFUNCTION("""COMPUTED_VALUE"""),"")</f>
        <v/>
      </c>
      <c r="H5002" s="2" t="str">
        <f>IFERROR(__xludf.DUMMYFUNCTION("""COMPUTED_VALUE"""),"")</f>
        <v/>
      </c>
      <c r="I5002" s="2" t="str">
        <f>IFERROR(__xludf.DUMMYFUNCTION("""COMPUTED_VALUE"""),"")</f>
        <v/>
      </c>
      <c r="J5002" s="2">
        <f>IFERROR(__xludf.DUMMYFUNCTION("""COMPUTED_VALUE"""),0.0)</f>
        <v>0</v>
      </c>
      <c r="K5002" s="5" t="str">
        <f>IFERROR(__xludf.DUMMYFUNCTION("""COMPUTED_VALUE"""),"")</f>
        <v/>
      </c>
      <c r="L5002" t="str">
        <f>IFERROR(__xludf.DUMMYFUNCTION("""COMPUTED_VALUE"""),"")</f>
        <v/>
      </c>
      <c r="M5002" t="str">
        <f>IFERROR(__xludf.DUMMYFUNCTION("""COMPUTED_VALUE"""),"")</f>
        <v/>
      </c>
      <c r="N5002" t="str">
        <f>IFERROR(__xludf.DUMMYFUNCTION("""COMPUTED_VALUE"""),"")</f>
        <v/>
      </c>
      <c r="O5002" t="str">
        <f>IFERROR(__xludf.DUMMYFUNCTION("""COMPUTED_VALUE"""),"")</f>
        <v/>
      </c>
      <c r="P5002" t="str">
        <f>IFERROR(__xludf.DUMMYFUNCTION("""COMPUTED_VALUE"""),"ID ")</f>
        <v>ID </v>
      </c>
    </row>
    <row r="5003">
      <c r="A5003" s="6" t="str">
        <f>IFERROR(__xludf.DUMMYFUNCTION("""COMPUTED_VALUE"""),"")</f>
        <v/>
      </c>
      <c r="C5003" t="str">
        <f>IFERROR(__xludf.DUMMYFUNCTION("""COMPUTED_VALUE"""),"")</f>
        <v/>
      </c>
      <c r="D5003" t="str">
        <f>IFERROR(__xludf.DUMMYFUNCTION("""COMPUTED_VALUE"""),"")</f>
        <v/>
      </c>
      <c r="E5003" t="str">
        <f>IFERROR(__xludf.DUMMYFUNCTION("""COMPUTED_VALUE"""),"")</f>
        <v/>
      </c>
      <c r="F5003" t="str">
        <f>IFERROR(__xludf.DUMMYFUNCTION("""COMPUTED_VALUE"""),"")</f>
        <v/>
      </c>
      <c r="G5003" t="str">
        <f>IFERROR(__xludf.DUMMYFUNCTION("""COMPUTED_VALUE"""),"")</f>
        <v/>
      </c>
      <c r="H5003" s="2" t="str">
        <f>IFERROR(__xludf.DUMMYFUNCTION("""COMPUTED_VALUE"""),"")</f>
        <v/>
      </c>
      <c r="I5003" s="2" t="str">
        <f>IFERROR(__xludf.DUMMYFUNCTION("""COMPUTED_VALUE"""),"")</f>
        <v/>
      </c>
      <c r="J5003" s="2">
        <f>IFERROR(__xludf.DUMMYFUNCTION("""COMPUTED_VALUE"""),0.0)</f>
        <v>0</v>
      </c>
      <c r="K5003" s="5" t="str">
        <f>IFERROR(__xludf.DUMMYFUNCTION("""COMPUTED_VALUE"""),"")</f>
        <v/>
      </c>
      <c r="L5003" t="str">
        <f>IFERROR(__xludf.DUMMYFUNCTION("""COMPUTED_VALUE"""),"")</f>
        <v/>
      </c>
      <c r="M5003" t="str">
        <f>IFERROR(__xludf.DUMMYFUNCTION("""COMPUTED_VALUE"""),"")</f>
        <v/>
      </c>
      <c r="N5003" t="str">
        <f>IFERROR(__xludf.DUMMYFUNCTION("""COMPUTED_VALUE"""),"")</f>
        <v/>
      </c>
      <c r="O5003" t="str">
        <f>IFERROR(__xludf.DUMMYFUNCTION("""COMPUTED_VALUE"""),"")</f>
        <v/>
      </c>
      <c r="P5003" t="str">
        <f>IFERROR(__xludf.DUMMYFUNCTION("""COMPUTED_VALUE"""),"ID ")</f>
        <v>ID </v>
      </c>
    </row>
    <row r="5004">
      <c r="A5004" s="6" t="str">
        <f>IFERROR(__xludf.DUMMYFUNCTION("""COMPUTED_VALUE"""),"")</f>
        <v/>
      </c>
      <c r="C5004" t="str">
        <f>IFERROR(__xludf.DUMMYFUNCTION("""COMPUTED_VALUE"""),"")</f>
        <v/>
      </c>
      <c r="D5004" t="str">
        <f>IFERROR(__xludf.DUMMYFUNCTION("""COMPUTED_VALUE"""),"")</f>
        <v/>
      </c>
      <c r="E5004" t="str">
        <f>IFERROR(__xludf.DUMMYFUNCTION("""COMPUTED_VALUE"""),"")</f>
        <v/>
      </c>
      <c r="F5004" t="str">
        <f>IFERROR(__xludf.DUMMYFUNCTION("""COMPUTED_VALUE"""),"")</f>
        <v/>
      </c>
      <c r="G5004" t="str">
        <f>IFERROR(__xludf.DUMMYFUNCTION("""COMPUTED_VALUE"""),"")</f>
        <v/>
      </c>
      <c r="H5004" s="2" t="str">
        <f>IFERROR(__xludf.DUMMYFUNCTION("""COMPUTED_VALUE"""),"")</f>
        <v/>
      </c>
      <c r="I5004" s="2" t="str">
        <f>IFERROR(__xludf.DUMMYFUNCTION("""COMPUTED_VALUE"""),"")</f>
        <v/>
      </c>
      <c r="J5004" s="2">
        <f>IFERROR(__xludf.DUMMYFUNCTION("""COMPUTED_VALUE"""),0.0)</f>
        <v>0</v>
      </c>
      <c r="K5004" s="5" t="str">
        <f>IFERROR(__xludf.DUMMYFUNCTION("""COMPUTED_VALUE"""),"")</f>
        <v/>
      </c>
      <c r="L5004" t="str">
        <f>IFERROR(__xludf.DUMMYFUNCTION("""COMPUTED_VALUE"""),"")</f>
        <v/>
      </c>
      <c r="M5004" t="str">
        <f>IFERROR(__xludf.DUMMYFUNCTION("""COMPUTED_VALUE"""),"")</f>
        <v/>
      </c>
      <c r="N5004" t="str">
        <f>IFERROR(__xludf.DUMMYFUNCTION("""COMPUTED_VALUE"""),"")</f>
        <v/>
      </c>
      <c r="O5004" t="str">
        <f>IFERROR(__xludf.DUMMYFUNCTION("""COMPUTED_VALUE"""),"")</f>
        <v/>
      </c>
      <c r="P5004" t="str">
        <f>IFERROR(__xludf.DUMMYFUNCTION("""COMPUTED_VALUE"""),"ID ")</f>
        <v>ID </v>
      </c>
    </row>
    <row r="5005">
      <c r="A5005" s="6" t="str">
        <f>IFERROR(__xludf.DUMMYFUNCTION("""COMPUTED_VALUE"""),"")</f>
        <v/>
      </c>
      <c r="C5005" t="str">
        <f>IFERROR(__xludf.DUMMYFUNCTION("""COMPUTED_VALUE"""),"")</f>
        <v/>
      </c>
      <c r="D5005" t="str">
        <f>IFERROR(__xludf.DUMMYFUNCTION("""COMPUTED_VALUE"""),"")</f>
        <v/>
      </c>
      <c r="E5005" t="str">
        <f>IFERROR(__xludf.DUMMYFUNCTION("""COMPUTED_VALUE"""),"")</f>
        <v/>
      </c>
      <c r="F5005" t="str">
        <f>IFERROR(__xludf.DUMMYFUNCTION("""COMPUTED_VALUE"""),"")</f>
        <v/>
      </c>
      <c r="G5005" t="str">
        <f>IFERROR(__xludf.DUMMYFUNCTION("""COMPUTED_VALUE"""),"")</f>
        <v/>
      </c>
      <c r="H5005" s="2" t="str">
        <f>IFERROR(__xludf.DUMMYFUNCTION("""COMPUTED_VALUE"""),"")</f>
        <v/>
      </c>
      <c r="I5005" s="2" t="str">
        <f>IFERROR(__xludf.DUMMYFUNCTION("""COMPUTED_VALUE"""),"")</f>
        <v/>
      </c>
      <c r="J5005" s="2">
        <f>IFERROR(__xludf.DUMMYFUNCTION("""COMPUTED_VALUE"""),0.0)</f>
        <v>0</v>
      </c>
      <c r="K5005" s="5" t="str">
        <f>IFERROR(__xludf.DUMMYFUNCTION("""COMPUTED_VALUE"""),"")</f>
        <v/>
      </c>
      <c r="L5005" t="str">
        <f>IFERROR(__xludf.DUMMYFUNCTION("""COMPUTED_VALUE"""),"")</f>
        <v/>
      </c>
      <c r="M5005" t="str">
        <f>IFERROR(__xludf.DUMMYFUNCTION("""COMPUTED_VALUE"""),"")</f>
        <v/>
      </c>
      <c r="N5005" t="str">
        <f>IFERROR(__xludf.DUMMYFUNCTION("""COMPUTED_VALUE"""),"")</f>
        <v/>
      </c>
      <c r="O5005" t="str">
        <f>IFERROR(__xludf.DUMMYFUNCTION("""COMPUTED_VALUE"""),"")</f>
        <v/>
      </c>
      <c r="P5005" t="str">
        <f>IFERROR(__xludf.DUMMYFUNCTION("""COMPUTED_VALUE"""),"ID ")</f>
        <v>ID </v>
      </c>
    </row>
    <row r="5006">
      <c r="A5006" s="6" t="str">
        <f>IFERROR(__xludf.DUMMYFUNCTION("""COMPUTED_VALUE"""),"")</f>
        <v/>
      </c>
      <c r="C5006" t="str">
        <f>IFERROR(__xludf.DUMMYFUNCTION("""COMPUTED_VALUE"""),"")</f>
        <v/>
      </c>
      <c r="D5006" t="str">
        <f>IFERROR(__xludf.DUMMYFUNCTION("""COMPUTED_VALUE"""),"")</f>
        <v/>
      </c>
      <c r="E5006" t="str">
        <f>IFERROR(__xludf.DUMMYFUNCTION("""COMPUTED_VALUE"""),"")</f>
        <v/>
      </c>
      <c r="F5006" t="str">
        <f>IFERROR(__xludf.DUMMYFUNCTION("""COMPUTED_VALUE"""),"")</f>
        <v/>
      </c>
      <c r="G5006" t="str">
        <f>IFERROR(__xludf.DUMMYFUNCTION("""COMPUTED_VALUE"""),"")</f>
        <v/>
      </c>
      <c r="H5006" s="2" t="str">
        <f>IFERROR(__xludf.DUMMYFUNCTION("""COMPUTED_VALUE"""),"")</f>
        <v/>
      </c>
      <c r="I5006" s="2" t="str">
        <f>IFERROR(__xludf.DUMMYFUNCTION("""COMPUTED_VALUE"""),"")</f>
        <v/>
      </c>
      <c r="J5006" s="2">
        <f>IFERROR(__xludf.DUMMYFUNCTION("""COMPUTED_VALUE"""),0.0)</f>
        <v>0</v>
      </c>
      <c r="K5006" s="5" t="str">
        <f>IFERROR(__xludf.DUMMYFUNCTION("""COMPUTED_VALUE"""),"")</f>
        <v/>
      </c>
      <c r="L5006" t="str">
        <f>IFERROR(__xludf.DUMMYFUNCTION("""COMPUTED_VALUE"""),"")</f>
        <v/>
      </c>
      <c r="M5006" t="str">
        <f>IFERROR(__xludf.DUMMYFUNCTION("""COMPUTED_VALUE"""),"")</f>
        <v/>
      </c>
      <c r="N5006" t="str">
        <f>IFERROR(__xludf.DUMMYFUNCTION("""COMPUTED_VALUE"""),"")</f>
        <v/>
      </c>
      <c r="O5006" t="str">
        <f>IFERROR(__xludf.DUMMYFUNCTION("""COMPUTED_VALUE"""),"")</f>
        <v/>
      </c>
      <c r="P5006" t="str">
        <f>IFERROR(__xludf.DUMMYFUNCTION("""COMPUTED_VALUE"""),"ID ")</f>
        <v>ID </v>
      </c>
    </row>
    <row r="5007">
      <c r="A5007" s="6" t="str">
        <f>IFERROR(__xludf.DUMMYFUNCTION("""COMPUTED_VALUE"""),"")</f>
        <v/>
      </c>
      <c r="C5007" t="str">
        <f>IFERROR(__xludf.DUMMYFUNCTION("""COMPUTED_VALUE"""),"")</f>
        <v/>
      </c>
      <c r="D5007" t="str">
        <f>IFERROR(__xludf.DUMMYFUNCTION("""COMPUTED_VALUE"""),"")</f>
        <v/>
      </c>
      <c r="E5007" t="str">
        <f>IFERROR(__xludf.DUMMYFUNCTION("""COMPUTED_VALUE"""),"")</f>
        <v/>
      </c>
      <c r="F5007" t="str">
        <f>IFERROR(__xludf.DUMMYFUNCTION("""COMPUTED_VALUE"""),"")</f>
        <v/>
      </c>
      <c r="G5007" t="str">
        <f>IFERROR(__xludf.DUMMYFUNCTION("""COMPUTED_VALUE"""),"")</f>
        <v/>
      </c>
      <c r="H5007" s="2" t="str">
        <f>IFERROR(__xludf.DUMMYFUNCTION("""COMPUTED_VALUE"""),"")</f>
        <v/>
      </c>
      <c r="I5007" s="2" t="str">
        <f>IFERROR(__xludf.DUMMYFUNCTION("""COMPUTED_VALUE"""),"")</f>
        <v/>
      </c>
      <c r="J5007" s="2">
        <f>IFERROR(__xludf.DUMMYFUNCTION("""COMPUTED_VALUE"""),0.0)</f>
        <v>0</v>
      </c>
      <c r="K5007" s="5" t="str">
        <f>IFERROR(__xludf.DUMMYFUNCTION("""COMPUTED_VALUE"""),"")</f>
        <v/>
      </c>
      <c r="L5007" t="str">
        <f>IFERROR(__xludf.DUMMYFUNCTION("""COMPUTED_VALUE"""),"")</f>
        <v/>
      </c>
      <c r="M5007" t="str">
        <f>IFERROR(__xludf.DUMMYFUNCTION("""COMPUTED_VALUE"""),"")</f>
        <v/>
      </c>
      <c r="N5007" t="str">
        <f>IFERROR(__xludf.DUMMYFUNCTION("""COMPUTED_VALUE"""),"")</f>
        <v/>
      </c>
      <c r="O5007" t="str">
        <f>IFERROR(__xludf.DUMMYFUNCTION("""COMPUTED_VALUE"""),"")</f>
        <v/>
      </c>
      <c r="P5007" t="str">
        <f>IFERROR(__xludf.DUMMYFUNCTION("""COMPUTED_VALUE"""),"ID ")</f>
        <v>ID </v>
      </c>
    </row>
    <row r="5008">
      <c r="A5008" s="6" t="str">
        <f>IFERROR(__xludf.DUMMYFUNCTION("""COMPUTED_VALUE"""),"")</f>
        <v/>
      </c>
      <c r="C5008" t="str">
        <f>IFERROR(__xludf.DUMMYFUNCTION("""COMPUTED_VALUE"""),"")</f>
        <v/>
      </c>
      <c r="D5008" t="str">
        <f>IFERROR(__xludf.DUMMYFUNCTION("""COMPUTED_VALUE"""),"")</f>
        <v/>
      </c>
      <c r="E5008" t="str">
        <f>IFERROR(__xludf.DUMMYFUNCTION("""COMPUTED_VALUE"""),"")</f>
        <v/>
      </c>
      <c r="F5008" t="str">
        <f>IFERROR(__xludf.DUMMYFUNCTION("""COMPUTED_VALUE"""),"")</f>
        <v/>
      </c>
      <c r="G5008" t="str">
        <f>IFERROR(__xludf.DUMMYFUNCTION("""COMPUTED_VALUE"""),"")</f>
        <v/>
      </c>
      <c r="H5008" s="2" t="str">
        <f>IFERROR(__xludf.DUMMYFUNCTION("""COMPUTED_VALUE"""),"")</f>
        <v/>
      </c>
      <c r="I5008" s="2" t="str">
        <f>IFERROR(__xludf.DUMMYFUNCTION("""COMPUTED_VALUE"""),"")</f>
        <v/>
      </c>
      <c r="J5008" s="2">
        <f>IFERROR(__xludf.DUMMYFUNCTION("""COMPUTED_VALUE"""),0.0)</f>
        <v>0</v>
      </c>
      <c r="K5008" s="5" t="str">
        <f>IFERROR(__xludf.DUMMYFUNCTION("""COMPUTED_VALUE"""),"")</f>
        <v/>
      </c>
      <c r="L5008" t="str">
        <f>IFERROR(__xludf.DUMMYFUNCTION("""COMPUTED_VALUE"""),"")</f>
        <v/>
      </c>
      <c r="M5008" t="str">
        <f>IFERROR(__xludf.DUMMYFUNCTION("""COMPUTED_VALUE"""),"")</f>
        <v/>
      </c>
      <c r="N5008" t="str">
        <f>IFERROR(__xludf.DUMMYFUNCTION("""COMPUTED_VALUE"""),"")</f>
        <v/>
      </c>
      <c r="O5008" t="str">
        <f>IFERROR(__xludf.DUMMYFUNCTION("""COMPUTED_VALUE"""),"")</f>
        <v/>
      </c>
      <c r="P5008" t="str">
        <f>IFERROR(__xludf.DUMMYFUNCTION("""COMPUTED_VALUE"""),"ID ")</f>
        <v>ID </v>
      </c>
    </row>
    <row r="5009">
      <c r="A5009" s="6" t="str">
        <f>IFERROR(__xludf.DUMMYFUNCTION("""COMPUTED_VALUE"""),"")</f>
        <v/>
      </c>
      <c r="C5009" t="str">
        <f>IFERROR(__xludf.DUMMYFUNCTION("""COMPUTED_VALUE"""),"")</f>
        <v/>
      </c>
      <c r="D5009" t="str">
        <f>IFERROR(__xludf.DUMMYFUNCTION("""COMPUTED_VALUE"""),"")</f>
        <v/>
      </c>
      <c r="E5009" t="str">
        <f>IFERROR(__xludf.DUMMYFUNCTION("""COMPUTED_VALUE"""),"")</f>
        <v/>
      </c>
      <c r="F5009" t="str">
        <f>IFERROR(__xludf.DUMMYFUNCTION("""COMPUTED_VALUE"""),"")</f>
        <v/>
      </c>
      <c r="G5009" t="str">
        <f>IFERROR(__xludf.DUMMYFUNCTION("""COMPUTED_VALUE"""),"")</f>
        <v/>
      </c>
      <c r="H5009" s="2" t="str">
        <f>IFERROR(__xludf.DUMMYFUNCTION("""COMPUTED_VALUE"""),"")</f>
        <v/>
      </c>
      <c r="I5009" s="2" t="str">
        <f>IFERROR(__xludf.DUMMYFUNCTION("""COMPUTED_VALUE"""),"")</f>
        <v/>
      </c>
      <c r="J5009" s="2">
        <f>IFERROR(__xludf.DUMMYFUNCTION("""COMPUTED_VALUE"""),0.0)</f>
        <v>0</v>
      </c>
      <c r="K5009" s="5" t="str">
        <f>IFERROR(__xludf.DUMMYFUNCTION("""COMPUTED_VALUE"""),"")</f>
        <v/>
      </c>
      <c r="L5009" t="str">
        <f>IFERROR(__xludf.DUMMYFUNCTION("""COMPUTED_VALUE"""),"")</f>
        <v/>
      </c>
      <c r="M5009" t="str">
        <f>IFERROR(__xludf.DUMMYFUNCTION("""COMPUTED_VALUE"""),"")</f>
        <v/>
      </c>
      <c r="N5009" t="str">
        <f>IFERROR(__xludf.DUMMYFUNCTION("""COMPUTED_VALUE"""),"")</f>
        <v/>
      </c>
      <c r="O5009" t="str">
        <f>IFERROR(__xludf.DUMMYFUNCTION("""COMPUTED_VALUE"""),"")</f>
        <v/>
      </c>
      <c r="P5009" t="str">
        <f>IFERROR(__xludf.DUMMYFUNCTION("""COMPUTED_VALUE"""),"ID ")</f>
        <v>ID </v>
      </c>
    </row>
    <row r="5010">
      <c r="A5010" s="6" t="str">
        <f>IFERROR(__xludf.DUMMYFUNCTION("""COMPUTED_VALUE"""),"")</f>
        <v/>
      </c>
      <c r="C5010" t="str">
        <f>IFERROR(__xludf.DUMMYFUNCTION("""COMPUTED_VALUE"""),"")</f>
        <v/>
      </c>
      <c r="D5010" t="str">
        <f>IFERROR(__xludf.DUMMYFUNCTION("""COMPUTED_VALUE"""),"")</f>
        <v/>
      </c>
      <c r="E5010" t="str">
        <f>IFERROR(__xludf.DUMMYFUNCTION("""COMPUTED_VALUE"""),"")</f>
        <v/>
      </c>
      <c r="F5010" t="str">
        <f>IFERROR(__xludf.DUMMYFUNCTION("""COMPUTED_VALUE"""),"")</f>
        <v/>
      </c>
      <c r="G5010" t="str">
        <f>IFERROR(__xludf.DUMMYFUNCTION("""COMPUTED_VALUE"""),"")</f>
        <v/>
      </c>
      <c r="H5010" s="2" t="str">
        <f>IFERROR(__xludf.DUMMYFUNCTION("""COMPUTED_VALUE"""),"")</f>
        <v/>
      </c>
      <c r="I5010" s="2" t="str">
        <f>IFERROR(__xludf.DUMMYFUNCTION("""COMPUTED_VALUE"""),"")</f>
        <v/>
      </c>
      <c r="J5010" s="2">
        <f>IFERROR(__xludf.DUMMYFUNCTION("""COMPUTED_VALUE"""),0.0)</f>
        <v>0</v>
      </c>
      <c r="K5010" s="5" t="str">
        <f>IFERROR(__xludf.DUMMYFUNCTION("""COMPUTED_VALUE"""),"")</f>
        <v/>
      </c>
      <c r="L5010" t="str">
        <f>IFERROR(__xludf.DUMMYFUNCTION("""COMPUTED_VALUE"""),"")</f>
        <v/>
      </c>
      <c r="M5010" t="str">
        <f>IFERROR(__xludf.DUMMYFUNCTION("""COMPUTED_VALUE"""),"")</f>
        <v/>
      </c>
      <c r="N5010" t="str">
        <f>IFERROR(__xludf.DUMMYFUNCTION("""COMPUTED_VALUE"""),"")</f>
        <v/>
      </c>
      <c r="O5010" t="str">
        <f>IFERROR(__xludf.DUMMYFUNCTION("""COMPUTED_VALUE"""),"")</f>
        <v/>
      </c>
      <c r="P5010" t="str">
        <f>IFERROR(__xludf.DUMMYFUNCTION("""COMPUTED_VALUE"""),"ID ")</f>
        <v>ID </v>
      </c>
    </row>
    <row r="5011">
      <c r="A5011" s="6" t="str">
        <f>IFERROR(__xludf.DUMMYFUNCTION("""COMPUTED_VALUE"""),"")</f>
        <v/>
      </c>
      <c r="C5011" t="str">
        <f>IFERROR(__xludf.DUMMYFUNCTION("""COMPUTED_VALUE"""),"")</f>
        <v/>
      </c>
      <c r="D5011" t="str">
        <f>IFERROR(__xludf.DUMMYFUNCTION("""COMPUTED_VALUE"""),"")</f>
        <v/>
      </c>
      <c r="E5011" t="str">
        <f>IFERROR(__xludf.DUMMYFUNCTION("""COMPUTED_VALUE"""),"")</f>
        <v/>
      </c>
      <c r="F5011" t="str">
        <f>IFERROR(__xludf.DUMMYFUNCTION("""COMPUTED_VALUE"""),"")</f>
        <v/>
      </c>
      <c r="G5011" t="str">
        <f>IFERROR(__xludf.DUMMYFUNCTION("""COMPUTED_VALUE"""),"")</f>
        <v/>
      </c>
      <c r="H5011" s="2" t="str">
        <f>IFERROR(__xludf.DUMMYFUNCTION("""COMPUTED_VALUE"""),"")</f>
        <v/>
      </c>
      <c r="I5011" s="2" t="str">
        <f>IFERROR(__xludf.DUMMYFUNCTION("""COMPUTED_VALUE"""),"")</f>
        <v/>
      </c>
      <c r="J5011" s="2">
        <f>IFERROR(__xludf.DUMMYFUNCTION("""COMPUTED_VALUE"""),0.0)</f>
        <v>0</v>
      </c>
      <c r="K5011" s="5" t="str">
        <f>IFERROR(__xludf.DUMMYFUNCTION("""COMPUTED_VALUE"""),"")</f>
        <v/>
      </c>
      <c r="L5011" t="str">
        <f>IFERROR(__xludf.DUMMYFUNCTION("""COMPUTED_VALUE"""),"")</f>
        <v/>
      </c>
      <c r="M5011" t="str">
        <f>IFERROR(__xludf.DUMMYFUNCTION("""COMPUTED_VALUE"""),"")</f>
        <v/>
      </c>
      <c r="N5011" t="str">
        <f>IFERROR(__xludf.DUMMYFUNCTION("""COMPUTED_VALUE"""),"")</f>
        <v/>
      </c>
      <c r="O5011" t="str">
        <f>IFERROR(__xludf.DUMMYFUNCTION("""COMPUTED_VALUE"""),"")</f>
        <v/>
      </c>
      <c r="P5011" t="str">
        <f>IFERROR(__xludf.DUMMYFUNCTION("""COMPUTED_VALUE"""),"ID ")</f>
        <v>ID </v>
      </c>
    </row>
    <row r="5012">
      <c r="A5012" s="6" t="str">
        <f>IFERROR(__xludf.DUMMYFUNCTION("""COMPUTED_VALUE"""),"")</f>
        <v/>
      </c>
      <c r="C5012" t="str">
        <f>IFERROR(__xludf.DUMMYFUNCTION("""COMPUTED_VALUE"""),"")</f>
        <v/>
      </c>
      <c r="D5012" t="str">
        <f>IFERROR(__xludf.DUMMYFUNCTION("""COMPUTED_VALUE"""),"")</f>
        <v/>
      </c>
      <c r="E5012" t="str">
        <f>IFERROR(__xludf.DUMMYFUNCTION("""COMPUTED_VALUE"""),"")</f>
        <v/>
      </c>
      <c r="F5012" t="str">
        <f>IFERROR(__xludf.DUMMYFUNCTION("""COMPUTED_VALUE"""),"")</f>
        <v/>
      </c>
      <c r="G5012" t="str">
        <f>IFERROR(__xludf.DUMMYFUNCTION("""COMPUTED_VALUE"""),"")</f>
        <v/>
      </c>
      <c r="H5012" s="2" t="str">
        <f>IFERROR(__xludf.DUMMYFUNCTION("""COMPUTED_VALUE"""),"")</f>
        <v/>
      </c>
      <c r="I5012" s="2" t="str">
        <f>IFERROR(__xludf.DUMMYFUNCTION("""COMPUTED_VALUE"""),"")</f>
        <v/>
      </c>
      <c r="J5012" s="2">
        <f>IFERROR(__xludf.DUMMYFUNCTION("""COMPUTED_VALUE"""),0.0)</f>
        <v>0</v>
      </c>
      <c r="K5012" s="5" t="str">
        <f>IFERROR(__xludf.DUMMYFUNCTION("""COMPUTED_VALUE"""),"")</f>
        <v/>
      </c>
      <c r="L5012" t="str">
        <f>IFERROR(__xludf.DUMMYFUNCTION("""COMPUTED_VALUE"""),"")</f>
        <v/>
      </c>
      <c r="M5012" t="str">
        <f>IFERROR(__xludf.DUMMYFUNCTION("""COMPUTED_VALUE"""),"")</f>
        <v/>
      </c>
      <c r="N5012" t="str">
        <f>IFERROR(__xludf.DUMMYFUNCTION("""COMPUTED_VALUE"""),"")</f>
        <v/>
      </c>
      <c r="O5012" t="str">
        <f>IFERROR(__xludf.DUMMYFUNCTION("""COMPUTED_VALUE"""),"")</f>
        <v/>
      </c>
      <c r="P5012" t="str">
        <f>IFERROR(__xludf.DUMMYFUNCTION("""COMPUTED_VALUE"""),"ID ")</f>
        <v>ID </v>
      </c>
    </row>
    <row r="5013">
      <c r="A5013" s="6" t="str">
        <f>IFERROR(__xludf.DUMMYFUNCTION("""COMPUTED_VALUE"""),"")</f>
        <v/>
      </c>
      <c r="C5013" t="str">
        <f>IFERROR(__xludf.DUMMYFUNCTION("""COMPUTED_VALUE"""),"")</f>
        <v/>
      </c>
      <c r="D5013" t="str">
        <f>IFERROR(__xludf.DUMMYFUNCTION("""COMPUTED_VALUE"""),"")</f>
        <v/>
      </c>
      <c r="E5013" t="str">
        <f>IFERROR(__xludf.DUMMYFUNCTION("""COMPUTED_VALUE"""),"")</f>
        <v/>
      </c>
      <c r="F5013" t="str">
        <f>IFERROR(__xludf.DUMMYFUNCTION("""COMPUTED_VALUE"""),"")</f>
        <v/>
      </c>
      <c r="G5013" t="str">
        <f>IFERROR(__xludf.DUMMYFUNCTION("""COMPUTED_VALUE"""),"")</f>
        <v/>
      </c>
      <c r="H5013" s="2" t="str">
        <f>IFERROR(__xludf.DUMMYFUNCTION("""COMPUTED_VALUE"""),"")</f>
        <v/>
      </c>
      <c r="I5013" s="2" t="str">
        <f>IFERROR(__xludf.DUMMYFUNCTION("""COMPUTED_VALUE"""),"")</f>
        <v/>
      </c>
      <c r="J5013" s="2">
        <f>IFERROR(__xludf.DUMMYFUNCTION("""COMPUTED_VALUE"""),0.0)</f>
        <v>0</v>
      </c>
      <c r="K5013" s="5" t="str">
        <f>IFERROR(__xludf.DUMMYFUNCTION("""COMPUTED_VALUE"""),"")</f>
        <v/>
      </c>
      <c r="L5013" t="str">
        <f>IFERROR(__xludf.DUMMYFUNCTION("""COMPUTED_VALUE"""),"")</f>
        <v/>
      </c>
      <c r="M5013" t="str">
        <f>IFERROR(__xludf.DUMMYFUNCTION("""COMPUTED_VALUE"""),"")</f>
        <v/>
      </c>
      <c r="N5013" t="str">
        <f>IFERROR(__xludf.DUMMYFUNCTION("""COMPUTED_VALUE"""),"")</f>
        <v/>
      </c>
      <c r="O5013" t="str">
        <f>IFERROR(__xludf.DUMMYFUNCTION("""COMPUTED_VALUE"""),"")</f>
        <v/>
      </c>
      <c r="P5013" t="str">
        <f>IFERROR(__xludf.DUMMYFUNCTION("""COMPUTED_VALUE"""),"ID ")</f>
        <v>ID </v>
      </c>
    </row>
    <row r="5014">
      <c r="A5014" s="6" t="str">
        <f>IFERROR(__xludf.DUMMYFUNCTION("""COMPUTED_VALUE"""),"")</f>
        <v/>
      </c>
      <c r="C5014" t="str">
        <f>IFERROR(__xludf.DUMMYFUNCTION("""COMPUTED_VALUE"""),"")</f>
        <v/>
      </c>
      <c r="D5014" t="str">
        <f>IFERROR(__xludf.DUMMYFUNCTION("""COMPUTED_VALUE"""),"")</f>
        <v/>
      </c>
      <c r="E5014" t="str">
        <f>IFERROR(__xludf.DUMMYFUNCTION("""COMPUTED_VALUE"""),"")</f>
        <v/>
      </c>
      <c r="F5014" t="str">
        <f>IFERROR(__xludf.DUMMYFUNCTION("""COMPUTED_VALUE"""),"")</f>
        <v/>
      </c>
      <c r="G5014" t="str">
        <f>IFERROR(__xludf.DUMMYFUNCTION("""COMPUTED_VALUE"""),"")</f>
        <v/>
      </c>
      <c r="H5014" s="2" t="str">
        <f>IFERROR(__xludf.DUMMYFUNCTION("""COMPUTED_VALUE"""),"")</f>
        <v/>
      </c>
      <c r="I5014" s="2" t="str">
        <f>IFERROR(__xludf.DUMMYFUNCTION("""COMPUTED_VALUE"""),"")</f>
        <v/>
      </c>
      <c r="J5014" s="2">
        <f>IFERROR(__xludf.DUMMYFUNCTION("""COMPUTED_VALUE"""),0.0)</f>
        <v>0</v>
      </c>
      <c r="K5014" s="5" t="str">
        <f>IFERROR(__xludf.DUMMYFUNCTION("""COMPUTED_VALUE"""),"")</f>
        <v/>
      </c>
      <c r="L5014" t="str">
        <f>IFERROR(__xludf.DUMMYFUNCTION("""COMPUTED_VALUE"""),"")</f>
        <v/>
      </c>
      <c r="M5014" t="str">
        <f>IFERROR(__xludf.DUMMYFUNCTION("""COMPUTED_VALUE"""),"")</f>
        <v/>
      </c>
      <c r="N5014" t="str">
        <f>IFERROR(__xludf.DUMMYFUNCTION("""COMPUTED_VALUE"""),"")</f>
        <v/>
      </c>
      <c r="O5014" t="str">
        <f>IFERROR(__xludf.DUMMYFUNCTION("""COMPUTED_VALUE"""),"")</f>
        <v/>
      </c>
      <c r="P5014" t="str">
        <f>IFERROR(__xludf.DUMMYFUNCTION("""COMPUTED_VALUE"""),"ID ")</f>
        <v>ID </v>
      </c>
    </row>
    <row r="5015">
      <c r="A5015" s="6" t="str">
        <f>IFERROR(__xludf.DUMMYFUNCTION("""COMPUTED_VALUE"""),"")</f>
        <v/>
      </c>
      <c r="C5015" t="str">
        <f>IFERROR(__xludf.DUMMYFUNCTION("""COMPUTED_VALUE"""),"")</f>
        <v/>
      </c>
      <c r="D5015" t="str">
        <f>IFERROR(__xludf.DUMMYFUNCTION("""COMPUTED_VALUE"""),"")</f>
        <v/>
      </c>
      <c r="E5015" t="str">
        <f>IFERROR(__xludf.DUMMYFUNCTION("""COMPUTED_VALUE"""),"")</f>
        <v/>
      </c>
      <c r="F5015" t="str">
        <f>IFERROR(__xludf.DUMMYFUNCTION("""COMPUTED_VALUE"""),"")</f>
        <v/>
      </c>
      <c r="G5015" t="str">
        <f>IFERROR(__xludf.DUMMYFUNCTION("""COMPUTED_VALUE"""),"")</f>
        <v/>
      </c>
      <c r="H5015" s="2" t="str">
        <f>IFERROR(__xludf.DUMMYFUNCTION("""COMPUTED_VALUE"""),"")</f>
        <v/>
      </c>
      <c r="I5015" s="2" t="str">
        <f>IFERROR(__xludf.DUMMYFUNCTION("""COMPUTED_VALUE"""),"")</f>
        <v/>
      </c>
      <c r="J5015" s="2">
        <f>IFERROR(__xludf.DUMMYFUNCTION("""COMPUTED_VALUE"""),0.0)</f>
        <v>0</v>
      </c>
      <c r="K5015" s="5" t="str">
        <f>IFERROR(__xludf.DUMMYFUNCTION("""COMPUTED_VALUE"""),"")</f>
        <v/>
      </c>
      <c r="L5015" t="str">
        <f>IFERROR(__xludf.DUMMYFUNCTION("""COMPUTED_VALUE"""),"")</f>
        <v/>
      </c>
      <c r="M5015" t="str">
        <f>IFERROR(__xludf.DUMMYFUNCTION("""COMPUTED_VALUE"""),"")</f>
        <v/>
      </c>
      <c r="N5015" t="str">
        <f>IFERROR(__xludf.DUMMYFUNCTION("""COMPUTED_VALUE"""),"")</f>
        <v/>
      </c>
      <c r="O5015" t="str">
        <f>IFERROR(__xludf.DUMMYFUNCTION("""COMPUTED_VALUE"""),"")</f>
        <v/>
      </c>
      <c r="P5015" t="str">
        <f>IFERROR(__xludf.DUMMYFUNCTION("""COMPUTED_VALUE"""),"ID ")</f>
        <v>ID </v>
      </c>
    </row>
    <row r="5016">
      <c r="A5016" s="6" t="str">
        <f>IFERROR(__xludf.DUMMYFUNCTION("""COMPUTED_VALUE"""),"")</f>
        <v/>
      </c>
      <c r="C5016" t="str">
        <f>IFERROR(__xludf.DUMMYFUNCTION("""COMPUTED_VALUE"""),"")</f>
        <v/>
      </c>
      <c r="D5016" t="str">
        <f>IFERROR(__xludf.DUMMYFUNCTION("""COMPUTED_VALUE"""),"")</f>
        <v/>
      </c>
      <c r="E5016" t="str">
        <f>IFERROR(__xludf.DUMMYFUNCTION("""COMPUTED_VALUE"""),"")</f>
        <v/>
      </c>
      <c r="F5016" t="str">
        <f>IFERROR(__xludf.DUMMYFUNCTION("""COMPUTED_VALUE"""),"")</f>
        <v/>
      </c>
      <c r="G5016" t="str">
        <f>IFERROR(__xludf.DUMMYFUNCTION("""COMPUTED_VALUE"""),"")</f>
        <v/>
      </c>
      <c r="H5016" s="2" t="str">
        <f>IFERROR(__xludf.DUMMYFUNCTION("""COMPUTED_VALUE"""),"")</f>
        <v/>
      </c>
      <c r="I5016" s="2" t="str">
        <f>IFERROR(__xludf.DUMMYFUNCTION("""COMPUTED_VALUE"""),"")</f>
        <v/>
      </c>
      <c r="J5016" s="2">
        <f>IFERROR(__xludf.DUMMYFUNCTION("""COMPUTED_VALUE"""),0.0)</f>
        <v>0</v>
      </c>
      <c r="K5016" s="5" t="str">
        <f>IFERROR(__xludf.DUMMYFUNCTION("""COMPUTED_VALUE"""),"")</f>
        <v/>
      </c>
      <c r="L5016" t="str">
        <f>IFERROR(__xludf.DUMMYFUNCTION("""COMPUTED_VALUE"""),"")</f>
        <v/>
      </c>
      <c r="M5016" t="str">
        <f>IFERROR(__xludf.DUMMYFUNCTION("""COMPUTED_VALUE"""),"")</f>
        <v/>
      </c>
      <c r="N5016" t="str">
        <f>IFERROR(__xludf.DUMMYFUNCTION("""COMPUTED_VALUE"""),"")</f>
        <v/>
      </c>
      <c r="O5016" t="str">
        <f>IFERROR(__xludf.DUMMYFUNCTION("""COMPUTED_VALUE"""),"")</f>
        <v/>
      </c>
      <c r="P5016" t="str">
        <f>IFERROR(__xludf.DUMMYFUNCTION("""COMPUTED_VALUE"""),"ID ")</f>
        <v>ID </v>
      </c>
    </row>
    <row r="5017">
      <c r="A5017" s="6" t="str">
        <f>IFERROR(__xludf.DUMMYFUNCTION("""COMPUTED_VALUE"""),"")</f>
        <v/>
      </c>
      <c r="C5017" t="str">
        <f>IFERROR(__xludf.DUMMYFUNCTION("""COMPUTED_VALUE"""),"")</f>
        <v/>
      </c>
      <c r="D5017" t="str">
        <f>IFERROR(__xludf.DUMMYFUNCTION("""COMPUTED_VALUE"""),"")</f>
        <v/>
      </c>
      <c r="E5017" t="str">
        <f>IFERROR(__xludf.DUMMYFUNCTION("""COMPUTED_VALUE"""),"")</f>
        <v/>
      </c>
      <c r="F5017" t="str">
        <f>IFERROR(__xludf.DUMMYFUNCTION("""COMPUTED_VALUE"""),"")</f>
        <v/>
      </c>
      <c r="G5017" t="str">
        <f>IFERROR(__xludf.DUMMYFUNCTION("""COMPUTED_VALUE"""),"")</f>
        <v/>
      </c>
      <c r="H5017" s="2" t="str">
        <f>IFERROR(__xludf.DUMMYFUNCTION("""COMPUTED_VALUE"""),"")</f>
        <v/>
      </c>
      <c r="I5017" s="2" t="str">
        <f>IFERROR(__xludf.DUMMYFUNCTION("""COMPUTED_VALUE"""),"")</f>
        <v/>
      </c>
      <c r="J5017" s="2">
        <f>IFERROR(__xludf.DUMMYFUNCTION("""COMPUTED_VALUE"""),0.0)</f>
        <v>0</v>
      </c>
      <c r="K5017" s="5" t="str">
        <f>IFERROR(__xludf.DUMMYFUNCTION("""COMPUTED_VALUE"""),"")</f>
        <v/>
      </c>
      <c r="L5017" t="str">
        <f>IFERROR(__xludf.DUMMYFUNCTION("""COMPUTED_VALUE"""),"")</f>
        <v/>
      </c>
      <c r="M5017" t="str">
        <f>IFERROR(__xludf.DUMMYFUNCTION("""COMPUTED_VALUE"""),"")</f>
        <v/>
      </c>
      <c r="N5017" t="str">
        <f>IFERROR(__xludf.DUMMYFUNCTION("""COMPUTED_VALUE"""),"")</f>
        <v/>
      </c>
      <c r="O5017" t="str">
        <f>IFERROR(__xludf.DUMMYFUNCTION("""COMPUTED_VALUE"""),"")</f>
        <v/>
      </c>
      <c r="P5017" t="str">
        <f>IFERROR(__xludf.DUMMYFUNCTION("""COMPUTED_VALUE"""),"ID ")</f>
        <v>ID </v>
      </c>
    </row>
    <row r="5018">
      <c r="A5018" s="6" t="str">
        <f>IFERROR(__xludf.DUMMYFUNCTION("""COMPUTED_VALUE"""),"")</f>
        <v/>
      </c>
      <c r="C5018" t="str">
        <f>IFERROR(__xludf.DUMMYFUNCTION("""COMPUTED_VALUE"""),"")</f>
        <v/>
      </c>
      <c r="D5018" t="str">
        <f>IFERROR(__xludf.DUMMYFUNCTION("""COMPUTED_VALUE"""),"")</f>
        <v/>
      </c>
      <c r="E5018" t="str">
        <f>IFERROR(__xludf.DUMMYFUNCTION("""COMPUTED_VALUE"""),"")</f>
        <v/>
      </c>
      <c r="F5018" t="str">
        <f>IFERROR(__xludf.DUMMYFUNCTION("""COMPUTED_VALUE"""),"")</f>
        <v/>
      </c>
      <c r="G5018" t="str">
        <f>IFERROR(__xludf.DUMMYFUNCTION("""COMPUTED_VALUE"""),"")</f>
        <v/>
      </c>
      <c r="H5018" s="2" t="str">
        <f>IFERROR(__xludf.DUMMYFUNCTION("""COMPUTED_VALUE"""),"")</f>
        <v/>
      </c>
      <c r="I5018" s="2" t="str">
        <f>IFERROR(__xludf.DUMMYFUNCTION("""COMPUTED_VALUE"""),"")</f>
        <v/>
      </c>
      <c r="J5018" s="2">
        <f>IFERROR(__xludf.DUMMYFUNCTION("""COMPUTED_VALUE"""),0.0)</f>
        <v>0</v>
      </c>
      <c r="K5018" s="5" t="str">
        <f>IFERROR(__xludf.DUMMYFUNCTION("""COMPUTED_VALUE"""),"")</f>
        <v/>
      </c>
      <c r="L5018" t="str">
        <f>IFERROR(__xludf.DUMMYFUNCTION("""COMPUTED_VALUE"""),"")</f>
        <v/>
      </c>
      <c r="M5018" t="str">
        <f>IFERROR(__xludf.DUMMYFUNCTION("""COMPUTED_VALUE"""),"")</f>
        <v/>
      </c>
      <c r="N5018" t="str">
        <f>IFERROR(__xludf.DUMMYFUNCTION("""COMPUTED_VALUE"""),"")</f>
        <v/>
      </c>
      <c r="O5018" t="str">
        <f>IFERROR(__xludf.DUMMYFUNCTION("""COMPUTED_VALUE"""),"")</f>
        <v/>
      </c>
      <c r="P5018" t="str">
        <f>IFERROR(__xludf.DUMMYFUNCTION("""COMPUTED_VALUE"""),"ID ")</f>
        <v>ID </v>
      </c>
    </row>
    <row r="5019">
      <c r="A5019" s="6" t="str">
        <f>IFERROR(__xludf.DUMMYFUNCTION("""COMPUTED_VALUE"""),"")</f>
        <v/>
      </c>
      <c r="C5019" t="str">
        <f>IFERROR(__xludf.DUMMYFUNCTION("""COMPUTED_VALUE"""),"")</f>
        <v/>
      </c>
      <c r="D5019" t="str">
        <f>IFERROR(__xludf.DUMMYFUNCTION("""COMPUTED_VALUE"""),"")</f>
        <v/>
      </c>
      <c r="E5019" t="str">
        <f>IFERROR(__xludf.DUMMYFUNCTION("""COMPUTED_VALUE"""),"")</f>
        <v/>
      </c>
      <c r="F5019" t="str">
        <f>IFERROR(__xludf.DUMMYFUNCTION("""COMPUTED_VALUE"""),"")</f>
        <v/>
      </c>
      <c r="G5019" t="str">
        <f>IFERROR(__xludf.DUMMYFUNCTION("""COMPUTED_VALUE"""),"")</f>
        <v/>
      </c>
      <c r="H5019" s="2" t="str">
        <f>IFERROR(__xludf.DUMMYFUNCTION("""COMPUTED_VALUE"""),"")</f>
        <v/>
      </c>
      <c r="I5019" s="2" t="str">
        <f>IFERROR(__xludf.DUMMYFUNCTION("""COMPUTED_VALUE"""),"")</f>
        <v/>
      </c>
      <c r="J5019" s="2">
        <f>IFERROR(__xludf.DUMMYFUNCTION("""COMPUTED_VALUE"""),0.0)</f>
        <v>0</v>
      </c>
      <c r="K5019" s="5" t="str">
        <f>IFERROR(__xludf.DUMMYFUNCTION("""COMPUTED_VALUE"""),"")</f>
        <v/>
      </c>
      <c r="L5019" t="str">
        <f>IFERROR(__xludf.DUMMYFUNCTION("""COMPUTED_VALUE"""),"")</f>
        <v/>
      </c>
      <c r="M5019" t="str">
        <f>IFERROR(__xludf.DUMMYFUNCTION("""COMPUTED_VALUE"""),"")</f>
        <v/>
      </c>
      <c r="N5019" t="str">
        <f>IFERROR(__xludf.DUMMYFUNCTION("""COMPUTED_VALUE"""),"")</f>
        <v/>
      </c>
      <c r="O5019" t="str">
        <f>IFERROR(__xludf.DUMMYFUNCTION("""COMPUTED_VALUE"""),"")</f>
        <v/>
      </c>
      <c r="P5019" t="str">
        <f>IFERROR(__xludf.DUMMYFUNCTION("""COMPUTED_VALUE"""),"ID ")</f>
        <v>ID </v>
      </c>
    </row>
    <row r="5020">
      <c r="A5020" s="6" t="str">
        <f>IFERROR(__xludf.DUMMYFUNCTION("""COMPUTED_VALUE"""),"")</f>
        <v/>
      </c>
      <c r="C5020" t="str">
        <f>IFERROR(__xludf.DUMMYFUNCTION("""COMPUTED_VALUE"""),"")</f>
        <v/>
      </c>
      <c r="D5020" t="str">
        <f>IFERROR(__xludf.DUMMYFUNCTION("""COMPUTED_VALUE"""),"")</f>
        <v/>
      </c>
      <c r="E5020" t="str">
        <f>IFERROR(__xludf.DUMMYFUNCTION("""COMPUTED_VALUE"""),"")</f>
        <v/>
      </c>
      <c r="F5020" t="str">
        <f>IFERROR(__xludf.DUMMYFUNCTION("""COMPUTED_VALUE"""),"")</f>
        <v/>
      </c>
      <c r="G5020" t="str">
        <f>IFERROR(__xludf.DUMMYFUNCTION("""COMPUTED_VALUE"""),"")</f>
        <v/>
      </c>
      <c r="H5020" s="2" t="str">
        <f>IFERROR(__xludf.DUMMYFUNCTION("""COMPUTED_VALUE"""),"")</f>
        <v/>
      </c>
      <c r="I5020" s="2" t="str">
        <f>IFERROR(__xludf.DUMMYFUNCTION("""COMPUTED_VALUE"""),"")</f>
        <v/>
      </c>
      <c r="J5020" s="2">
        <f>IFERROR(__xludf.DUMMYFUNCTION("""COMPUTED_VALUE"""),0.0)</f>
        <v>0</v>
      </c>
      <c r="K5020" s="5" t="str">
        <f>IFERROR(__xludf.DUMMYFUNCTION("""COMPUTED_VALUE"""),"")</f>
        <v/>
      </c>
      <c r="L5020" t="str">
        <f>IFERROR(__xludf.DUMMYFUNCTION("""COMPUTED_VALUE"""),"")</f>
        <v/>
      </c>
      <c r="M5020" t="str">
        <f>IFERROR(__xludf.DUMMYFUNCTION("""COMPUTED_VALUE"""),"")</f>
        <v/>
      </c>
      <c r="N5020" t="str">
        <f>IFERROR(__xludf.DUMMYFUNCTION("""COMPUTED_VALUE"""),"")</f>
        <v/>
      </c>
      <c r="O5020" t="str">
        <f>IFERROR(__xludf.DUMMYFUNCTION("""COMPUTED_VALUE"""),"")</f>
        <v/>
      </c>
      <c r="P5020" t="str">
        <f>IFERROR(__xludf.DUMMYFUNCTION("""COMPUTED_VALUE"""),"ID ")</f>
        <v>ID </v>
      </c>
    </row>
    <row r="5021">
      <c r="A5021" s="6" t="str">
        <f>IFERROR(__xludf.DUMMYFUNCTION("""COMPUTED_VALUE"""),"")</f>
        <v/>
      </c>
      <c r="C5021" t="str">
        <f>IFERROR(__xludf.DUMMYFUNCTION("""COMPUTED_VALUE"""),"")</f>
        <v/>
      </c>
      <c r="D5021" t="str">
        <f>IFERROR(__xludf.DUMMYFUNCTION("""COMPUTED_VALUE"""),"")</f>
        <v/>
      </c>
      <c r="E5021" t="str">
        <f>IFERROR(__xludf.DUMMYFUNCTION("""COMPUTED_VALUE"""),"")</f>
        <v/>
      </c>
      <c r="F5021" t="str">
        <f>IFERROR(__xludf.DUMMYFUNCTION("""COMPUTED_VALUE"""),"")</f>
        <v/>
      </c>
      <c r="G5021" t="str">
        <f>IFERROR(__xludf.DUMMYFUNCTION("""COMPUTED_VALUE"""),"")</f>
        <v/>
      </c>
      <c r="H5021" s="2" t="str">
        <f>IFERROR(__xludf.DUMMYFUNCTION("""COMPUTED_VALUE"""),"")</f>
        <v/>
      </c>
      <c r="I5021" s="2" t="str">
        <f>IFERROR(__xludf.DUMMYFUNCTION("""COMPUTED_VALUE"""),"")</f>
        <v/>
      </c>
      <c r="J5021" s="2">
        <f>IFERROR(__xludf.DUMMYFUNCTION("""COMPUTED_VALUE"""),0.0)</f>
        <v>0</v>
      </c>
      <c r="K5021" s="5" t="str">
        <f>IFERROR(__xludf.DUMMYFUNCTION("""COMPUTED_VALUE"""),"")</f>
        <v/>
      </c>
      <c r="L5021" t="str">
        <f>IFERROR(__xludf.DUMMYFUNCTION("""COMPUTED_VALUE"""),"")</f>
        <v/>
      </c>
      <c r="M5021" t="str">
        <f>IFERROR(__xludf.DUMMYFUNCTION("""COMPUTED_VALUE"""),"")</f>
        <v/>
      </c>
      <c r="N5021" t="str">
        <f>IFERROR(__xludf.DUMMYFUNCTION("""COMPUTED_VALUE"""),"")</f>
        <v/>
      </c>
      <c r="O5021" t="str">
        <f>IFERROR(__xludf.DUMMYFUNCTION("""COMPUTED_VALUE"""),"")</f>
        <v/>
      </c>
      <c r="P5021" t="str">
        <f>IFERROR(__xludf.DUMMYFUNCTION("""COMPUTED_VALUE"""),"ID ")</f>
        <v>ID </v>
      </c>
    </row>
    <row r="5022">
      <c r="A5022" s="6" t="str">
        <f>IFERROR(__xludf.DUMMYFUNCTION("""COMPUTED_VALUE"""),"")</f>
        <v/>
      </c>
      <c r="C5022" t="str">
        <f>IFERROR(__xludf.DUMMYFUNCTION("""COMPUTED_VALUE"""),"")</f>
        <v/>
      </c>
      <c r="D5022" t="str">
        <f>IFERROR(__xludf.DUMMYFUNCTION("""COMPUTED_VALUE"""),"")</f>
        <v/>
      </c>
      <c r="E5022" t="str">
        <f>IFERROR(__xludf.DUMMYFUNCTION("""COMPUTED_VALUE"""),"")</f>
        <v/>
      </c>
      <c r="F5022" t="str">
        <f>IFERROR(__xludf.DUMMYFUNCTION("""COMPUTED_VALUE"""),"")</f>
        <v/>
      </c>
      <c r="G5022" t="str">
        <f>IFERROR(__xludf.DUMMYFUNCTION("""COMPUTED_VALUE"""),"")</f>
        <v/>
      </c>
      <c r="H5022" s="2" t="str">
        <f>IFERROR(__xludf.DUMMYFUNCTION("""COMPUTED_VALUE"""),"")</f>
        <v/>
      </c>
      <c r="I5022" s="2" t="str">
        <f>IFERROR(__xludf.DUMMYFUNCTION("""COMPUTED_VALUE"""),"")</f>
        <v/>
      </c>
      <c r="J5022" s="2">
        <f>IFERROR(__xludf.DUMMYFUNCTION("""COMPUTED_VALUE"""),0.0)</f>
        <v>0</v>
      </c>
      <c r="K5022" s="5" t="str">
        <f>IFERROR(__xludf.DUMMYFUNCTION("""COMPUTED_VALUE"""),"")</f>
        <v/>
      </c>
      <c r="L5022" t="str">
        <f>IFERROR(__xludf.DUMMYFUNCTION("""COMPUTED_VALUE"""),"")</f>
        <v/>
      </c>
      <c r="M5022" t="str">
        <f>IFERROR(__xludf.DUMMYFUNCTION("""COMPUTED_VALUE"""),"")</f>
        <v/>
      </c>
      <c r="N5022" t="str">
        <f>IFERROR(__xludf.DUMMYFUNCTION("""COMPUTED_VALUE"""),"")</f>
        <v/>
      </c>
      <c r="O5022" t="str">
        <f>IFERROR(__xludf.DUMMYFUNCTION("""COMPUTED_VALUE"""),"")</f>
        <v/>
      </c>
      <c r="P5022" t="str">
        <f>IFERROR(__xludf.DUMMYFUNCTION("""COMPUTED_VALUE"""),"ID ")</f>
        <v>ID </v>
      </c>
    </row>
    <row r="5023">
      <c r="A5023" s="6" t="str">
        <f>IFERROR(__xludf.DUMMYFUNCTION("""COMPUTED_VALUE"""),"")</f>
        <v/>
      </c>
      <c r="C5023" t="str">
        <f>IFERROR(__xludf.DUMMYFUNCTION("""COMPUTED_VALUE"""),"")</f>
        <v/>
      </c>
      <c r="D5023" t="str">
        <f>IFERROR(__xludf.DUMMYFUNCTION("""COMPUTED_VALUE"""),"")</f>
        <v/>
      </c>
      <c r="E5023" t="str">
        <f>IFERROR(__xludf.DUMMYFUNCTION("""COMPUTED_VALUE"""),"")</f>
        <v/>
      </c>
      <c r="F5023" t="str">
        <f>IFERROR(__xludf.DUMMYFUNCTION("""COMPUTED_VALUE"""),"")</f>
        <v/>
      </c>
      <c r="G5023" t="str">
        <f>IFERROR(__xludf.DUMMYFUNCTION("""COMPUTED_VALUE"""),"")</f>
        <v/>
      </c>
      <c r="H5023" s="2" t="str">
        <f>IFERROR(__xludf.DUMMYFUNCTION("""COMPUTED_VALUE"""),"")</f>
        <v/>
      </c>
      <c r="I5023" s="2" t="str">
        <f>IFERROR(__xludf.DUMMYFUNCTION("""COMPUTED_VALUE"""),"")</f>
        <v/>
      </c>
      <c r="J5023" s="2">
        <f>IFERROR(__xludf.DUMMYFUNCTION("""COMPUTED_VALUE"""),0.0)</f>
        <v>0</v>
      </c>
      <c r="K5023" s="5" t="str">
        <f>IFERROR(__xludf.DUMMYFUNCTION("""COMPUTED_VALUE"""),"")</f>
        <v/>
      </c>
      <c r="L5023" t="str">
        <f>IFERROR(__xludf.DUMMYFUNCTION("""COMPUTED_VALUE"""),"")</f>
        <v/>
      </c>
      <c r="M5023" t="str">
        <f>IFERROR(__xludf.DUMMYFUNCTION("""COMPUTED_VALUE"""),"")</f>
        <v/>
      </c>
      <c r="N5023" t="str">
        <f>IFERROR(__xludf.DUMMYFUNCTION("""COMPUTED_VALUE"""),"")</f>
        <v/>
      </c>
      <c r="O5023" t="str">
        <f>IFERROR(__xludf.DUMMYFUNCTION("""COMPUTED_VALUE"""),"")</f>
        <v/>
      </c>
      <c r="P5023" t="str">
        <f>IFERROR(__xludf.DUMMYFUNCTION("""COMPUTED_VALUE"""),"ID ")</f>
        <v>ID </v>
      </c>
    </row>
    <row r="5024">
      <c r="A5024" s="6" t="str">
        <f>IFERROR(__xludf.DUMMYFUNCTION("""COMPUTED_VALUE"""),"")</f>
        <v/>
      </c>
      <c r="C5024" t="str">
        <f>IFERROR(__xludf.DUMMYFUNCTION("""COMPUTED_VALUE"""),"")</f>
        <v/>
      </c>
      <c r="D5024" t="str">
        <f>IFERROR(__xludf.DUMMYFUNCTION("""COMPUTED_VALUE"""),"")</f>
        <v/>
      </c>
      <c r="E5024" t="str">
        <f>IFERROR(__xludf.DUMMYFUNCTION("""COMPUTED_VALUE"""),"")</f>
        <v/>
      </c>
      <c r="F5024" t="str">
        <f>IFERROR(__xludf.DUMMYFUNCTION("""COMPUTED_VALUE"""),"")</f>
        <v/>
      </c>
      <c r="G5024" t="str">
        <f>IFERROR(__xludf.DUMMYFUNCTION("""COMPUTED_VALUE"""),"")</f>
        <v/>
      </c>
      <c r="H5024" s="2" t="str">
        <f>IFERROR(__xludf.DUMMYFUNCTION("""COMPUTED_VALUE"""),"")</f>
        <v/>
      </c>
      <c r="I5024" s="2" t="str">
        <f>IFERROR(__xludf.DUMMYFUNCTION("""COMPUTED_VALUE"""),"")</f>
        <v/>
      </c>
      <c r="J5024" s="2">
        <f>IFERROR(__xludf.DUMMYFUNCTION("""COMPUTED_VALUE"""),0.0)</f>
        <v>0</v>
      </c>
      <c r="K5024" s="5" t="str">
        <f>IFERROR(__xludf.DUMMYFUNCTION("""COMPUTED_VALUE"""),"")</f>
        <v/>
      </c>
      <c r="L5024" t="str">
        <f>IFERROR(__xludf.DUMMYFUNCTION("""COMPUTED_VALUE"""),"")</f>
        <v/>
      </c>
      <c r="M5024" t="str">
        <f>IFERROR(__xludf.DUMMYFUNCTION("""COMPUTED_VALUE"""),"")</f>
        <v/>
      </c>
      <c r="N5024" t="str">
        <f>IFERROR(__xludf.DUMMYFUNCTION("""COMPUTED_VALUE"""),"")</f>
        <v/>
      </c>
      <c r="O5024" t="str">
        <f>IFERROR(__xludf.DUMMYFUNCTION("""COMPUTED_VALUE"""),"")</f>
        <v/>
      </c>
      <c r="P5024" t="str">
        <f>IFERROR(__xludf.DUMMYFUNCTION("""COMPUTED_VALUE"""),"ID ")</f>
        <v>ID </v>
      </c>
    </row>
    <row r="5025">
      <c r="A5025" s="6" t="str">
        <f>IFERROR(__xludf.DUMMYFUNCTION("""COMPUTED_VALUE"""),"")</f>
        <v/>
      </c>
      <c r="C5025" t="str">
        <f>IFERROR(__xludf.DUMMYFUNCTION("""COMPUTED_VALUE"""),"")</f>
        <v/>
      </c>
      <c r="D5025" t="str">
        <f>IFERROR(__xludf.DUMMYFUNCTION("""COMPUTED_VALUE"""),"")</f>
        <v/>
      </c>
      <c r="E5025" t="str">
        <f>IFERROR(__xludf.DUMMYFUNCTION("""COMPUTED_VALUE"""),"")</f>
        <v/>
      </c>
      <c r="F5025" t="str">
        <f>IFERROR(__xludf.DUMMYFUNCTION("""COMPUTED_VALUE"""),"")</f>
        <v/>
      </c>
      <c r="G5025" t="str">
        <f>IFERROR(__xludf.DUMMYFUNCTION("""COMPUTED_VALUE"""),"")</f>
        <v/>
      </c>
      <c r="H5025" s="2" t="str">
        <f>IFERROR(__xludf.DUMMYFUNCTION("""COMPUTED_VALUE"""),"")</f>
        <v/>
      </c>
      <c r="I5025" s="2" t="str">
        <f>IFERROR(__xludf.DUMMYFUNCTION("""COMPUTED_VALUE"""),"")</f>
        <v/>
      </c>
      <c r="J5025" s="2">
        <f>IFERROR(__xludf.DUMMYFUNCTION("""COMPUTED_VALUE"""),0.0)</f>
        <v>0</v>
      </c>
      <c r="K5025" s="5" t="str">
        <f>IFERROR(__xludf.DUMMYFUNCTION("""COMPUTED_VALUE"""),"")</f>
        <v/>
      </c>
      <c r="L5025" t="str">
        <f>IFERROR(__xludf.DUMMYFUNCTION("""COMPUTED_VALUE"""),"")</f>
        <v/>
      </c>
      <c r="M5025" t="str">
        <f>IFERROR(__xludf.DUMMYFUNCTION("""COMPUTED_VALUE"""),"")</f>
        <v/>
      </c>
      <c r="N5025" t="str">
        <f>IFERROR(__xludf.DUMMYFUNCTION("""COMPUTED_VALUE"""),"")</f>
        <v/>
      </c>
      <c r="O5025" t="str">
        <f>IFERROR(__xludf.DUMMYFUNCTION("""COMPUTED_VALUE"""),"")</f>
        <v/>
      </c>
      <c r="P5025" t="str">
        <f>IFERROR(__xludf.DUMMYFUNCTION("""COMPUTED_VALUE"""),"ID ")</f>
        <v>ID </v>
      </c>
    </row>
    <row r="5026">
      <c r="A5026" s="6" t="str">
        <f>IFERROR(__xludf.DUMMYFUNCTION("""COMPUTED_VALUE"""),"")</f>
        <v/>
      </c>
      <c r="C5026" t="str">
        <f>IFERROR(__xludf.DUMMYFUNCTION("""COMPUTED_VALUE"""),"")</f>
        <v/>
      </c>
      <c r="D5026" t="str">
        <f>IFERROR(__xludf.DUMMYFUNCTION("""COMPUTED_VALUE"""),"")</f>
        <v/>
      </c>
      <c r="E5026" t="str">
        <f>IFERROR(__xludf.DUMMYFUNCTION("""COMPUTED_VALUE"""),"")</f>
        <v/>
      </c>
      <c r="F5026" t="str">
        <f>IFERROR(__xludf.DUMMYFUNCTION("""COMPUTED_VALUE"""),"")</f>
        <v/>
      </c>
      <c r="G5026" t="str">
        <f>IFERROR(__xludf.DUMMYFUNCTION("""COMPUTED_VALUE"""),"")</f>
        <v/>
      </c>
      <c r="H5026" s="2" t="str">
        <f>IFERROR(__xludf.DUMMYFUNCTION("""COMPUTED_VALUE"""),"")</f>
        <v/>
      </c>
      <c r="I5026" s="2" t="str">
        <f>IFERROR(__xludf.DUMMYFUNCTION("""COMPUTED_VALUE"""),"")</f>
        <v/>
      </c>
      <c r="J5026" s="2">
        <f>IFERROR(__xludf.DUMMYFUNCTION("""COMPUTED_VALUE"""),0.0)</f>
        <v>0</v>
      </c>
      <c r="K5026" s="5" t="str">
        <f>IFERROR(__xludf.DUMMYFUNCTION("""COMPUTED_VALUE"""),"")</f>
        <v/>
      </c>
      <c r="L5026" t="str">
        <f>IFERROR(__xludf.DUMMYFUNCTION("""COMPUTED_VALUE"""),"")</f>
        <v/>
      </c>
      <c r="M5026" t="str">
        <f>IFERROR(__xludf.DUMMYFUNCTION("""COMPUTED_VALUE"""),"")</f>
        <v/>
      </c>
      <c r="N5026" t="str">
        <f>IFERROR(__xludf.DUMMYFUNCTION("""COMPUTED_VALUE"""),"")</f>
        <v/>
      </c>
      <c r="O5026" t="str">
        <f>IFERROR(__xludf.DUMMYFUNCTION("""COMPUTED_VALUE"""),"")</f>
        <v/>
      </c>
      <c r="P5026" t="str">
        <f>IFERROR(__xludf.DUMMYFUNCTION("""COMPUTED_VALUE"""),"ID ")</f>
        <v>ID </v>
      </c>
    </row>
    <row r="5027">
      <c r="A5027" s="6" t="str">
        <f>IFERROR(__xludf.DUMMYFUNCTION("""COMPUTED_VALUE"""),"")</f>
        <v/>
      </c>
      <c r="C5027" t="str">
        <f>IFERROR(__xludf.DUMMYFUNCTION("""COMPUTED_VALUE"""),"")</f>
        <v/>
      </c>
      <c r="D5027" t="str">
        <f>IFERROR(__xludf.DUMMYFUNCTION("""COMPUTED_VALUE"""),"")</f>
        <v/>
      </c>
      <c r="E5027" t="str">
        <f>IFERROR(__xludf.DUMMYFUNCTION("""COMPUTED_VALUE"""),"")</f>
        <v/>
      </c>
      <c r="F5027" t="str">
        <f>IFERROR(__xludf.DUMMYFUNCTION("""COMPUTED_VALUE"""),"")</f>
        <v/>
      </c>
      <c r="G5027" t="str">
        <f>IFERROR(__xludf.DUMMYFUNCTION("""COMPUTED_VALUE"""),"")</f>
        <v/>
      </c>
      <c r="H5027" s="2" t="str">
        <f>IFERROR(__xludf.DUMMYFUNCTION("""COMPUTED_VALUE"""),"")</f>
        <v/>
      </c>
      <c r="I5027" s="2" t="str">
        <f>IFERROR(__xludf.DUMMYFUNCTION("""COMPUTED_VALUE"""),"")</f>
        <v/>
      </c>
      <c r="J5027" s="2">
        <f>IFERROR(__xludf.DUMMYFUNCTION("""COMPUTED_VALUE"""),0.0)</f>
        <v>0</v>
      </c>
      <c r="K5027" s="5" t="str">
        <f>IFERROR(__xludf.DUMMYFUNCTION("""COMPUTED_VALUE"""),"")</f>
        <v/>
      </c>
      <c r="L5027" t="str">
        <f>IFERROR(__xludf.DUMMYFUNCTION("""COMPUTED_VALUE"""),"")</f>
        <v/>
      </c>
      <c r="M5027" t="str">
        <f>IFERROR(__xludf.DUMMYFUNCTION("""COMPUTED_VALUE"""),"")</f>
        <v/>
      </c>
      <c r="N5027" t="str">
        <f>IFERROR(__xludf.DUMMYFUNCTION("""COMPUTED_VALUE"""),"")</f>
        <v/>
      </c>
      <c r="O5027" t="str">
        <f>IFERROR(__xludf.DUMMYFUNCTION("""COMPUTED_VALUE"""),"")</f>
        <v/>
      </c>
      <c r="P5027" t="str">
        <f>IFERROR(__xludf.DUMMYFUNCTION("""COMPUTED_VALUE"""),"ID ")</f>
        <v>ID </v>
      </c>
    </row>
    <row r="5028">
      <c r="A5028" s="6" t="str">
        <f>IFERROR(__xludf.DUMMYFUNCTION("""COMPUTED_VALUE"""),"")</f>
        <v/>
      </c>
      <c r="C5028" t="str">
        <f>IFERROR(__xludf.DUMMYFUNCTION("""COMPUTED_VALUE"""),"")</f>
        <v/>
      </c>
      <c r="D5028" t="str">
        <f>IFERROR(__xludf.DUMMYFUNCTION("""COMPUTED_VALUE"""),"")</f>
        <v/>
      </c>
      <c r="E5028" t="str">
        <f>IFERROR(__xludf.DUMMYFUNCTION("""COMPUTED_VALUE"""),"")</f>
        <v/>
      </c>
      <c r="F5028" t="str">
        <f>IFERROR(__xludf.DUMMYFUNCTION("""COMPUTED_VALUE"""),"")</f>
        <v/>
      </c>
      <c r="G5028" t="str">
        <f>IFERROR(__xludf.DUMMYFUNCTION("""COMPUTED_VALUE"""),"")</f>
        <v/>
      </c>
      <c r="H5028" s="2" t="str">
        <f>IFERROR(__xludf.DUMMYFUNCTION("""COMPUTED_VALUE"""),"")</f>
        <v/>
      </c>
      <c r="I5028" s="2" t="str">
        <f>IFERROR(__xludf.DUMMYFUNCTION("""COMPUTED_VALUE"""),"")</f>
        <v/>
      </c>
      <c r="J5028" s="2">
        <f>IFERROR(__xludf.DUMMYFUNCTION("""COMPUTED_VALUE"""),0.0)</f>
        <v>0</v>
      </c>
      <c r="K5028" s="5" t="str">
        <f>IFERROR(__xludf.DUMMYFUNCTION("""COMPUTED_VALUE"""),"")</f>
        <v/>
      </c>
      <c r="L5028" t="str">
        <f>IFERROR(__xludf.DUMMYFUNCTION("""COMPUTED_VALUE"""),"")</f>
        <v/>
      </c>
      <c r="M5028" t="str">
        <f>IFERROR(__xludf.DUMMYFUNCTION("""COMPUTED_VALUE"""),"")</f>
        <v/>
      </c>
      <c r="N5028" t="str">
        <f>IFERROR(__xludf.DUMMYFUNCTION("""COMPUTED_VALUE"""),"")</f>
        <v/>
      </c>
      <c r="O5028" t="str">
        <f>IFERROR(__xludf.DUMMYFUNCTION("""COMPUTED_VALUE"""),"")</f>
        <v/>
      </c>
      <c r="P5028" t="str">
        <f>IFERROR(__xludf.DUMMYFUNCTION("""COMPUTED_VALUE"""),"ID ")</f>
        <v>ID </v>
      </c>
    </row>
    <row r="5029">
      <c r="A5029" s="6" t="str">
        <f>IFERROR(__xludf.DUMMYFUNCTION("""COMPUTED_VALUE"""),"")</f>
        <v/>
      </c>
      <c r="C5029" t="str">
        <f>IFERROR(__xludf.DUMMYFUNCTION("""COMPUTED_VALUE"""),"")</f>
        <v/>
      </c>
      <c r="D5029" t="str">
        <f>IFERROR(__xludf.DUMMYFUNCTION("""COMPUTED_VALUE"""),"")</f>
        <v/>
      </c>
      <c r="E5029" t="str">
        <f>IFERROR(__xludf.DUMMYFUNCTION("""COMPUTED_VALUE"""),"")</f>
        <v/>
      </c>
      <c r="F5029" t="str">
        <f>IFERROR(__xludf.DUMMYFUNCTION("""COMPUTED_VALUE"""),"")</f>
        <v/>
      </c>
      <c r="G5029" t="str">
        <f>IFERROR(__xludf.DUMMYFUNCTION("""COMPUTED_VALUE"""),"")</f>
        <v/>
      </c>
      <c r="H5029" s="2" t="str">
        <f>IFERROR(__xludf.DUMMYFUNCTION("""COMPUTED_VALUE"""),"")</f>
        <v/>
      </c>
      <c r="I5029" s="2" t="str">
        <f>IFERROR(__xludf.DUMMYFUNCTION("""COMPUTED_VALUE"""),"")</f>
        <v/>
      </c>
      <c r="J5029" s="2">
        <f>IFERROR(__xludf.DUMMYFUNCTION("""COMPUTED_VALUE"""),0.0)</f>
        <v>0</v>
      </c>
      <c r="K5029" s="5" t="str">
        <f>IFERROR(__xludf.DUMMYFUNCTION("""COMPUTED_VALUE"""),"")</f>
        <v/>
      </c>
      <c r="L5029" t="str">
        <f>IFERROR(__xludf.DUMMYFUNCTION("""COMPUTED_VALUE"""),"")</f>
        <v/>
      </c>
      <c r="M5029" t="str">
        <f>IFERROR(__xludf.DUMMYFUNCTION("""COMPUTED_VALUE"""),"")</f>
        <v/>
      </c>
      <c r="N5029" t="str">
        <f>IFERROR(__xludf.DUMMYFUNCTION("""COMPUTED_VALUE"""),"")</f>
        <v/>
      </c>
      <c r="O5029" t="str">
        <f>IFERROR(__xludf.DUMMYFUNCTION("""COMPUTED_VALUE"""),"")</f>
        <v/>
      </c>
      <c r="P5029" t="str">
        <f>IFERROR(__xludf.DUMMYFUNCTION("""COMPUTED_VALUE"""),"ID ")</f>
        <v>ID </v>
      </c>
    </row>
    <row r="5030">
      <c r="A5030" s="6" t="str">
        <f>IFERROR(__xludf.DUMMYFUNCTION("""COMPUTED_VALUE"""),"")</f>
        <v/>
      </c>
      <c r="C5030" t="str">
        <f>IFERROR(__xludf.DUMMYFUNCTION("""COMPUTED_VALUE"""),"")</f>
        <v/>
      </c>
      <c r="D5030" t="str">
        <f>IFERROR(__xludf.DUMMYFUNCTION("""COMPUTED_VALUE"""),"")</f>
        <v/>
      </c>
      <c r="E5030" t="str">
        <f>IFERROR(__xludf.DUMMYFUNCTION("""COMPUTED_VALUE"""),"")</f>
        <v/>
      </c>
      <c r="F5030" t="str">
        <f>IFERROR(__xludf.DUMMYFUNCTION("""COMPUTED_VALUE"""),"")</f>
        <v/>
      </c>
      <c r="G5030" t="str">
        <f>IFERROR(__xludf.DUMMYFUNCTION("""COMPUTED_VALUE"""),"")</f>
        <v/>
      </c>
      <c r="H5030" s="2" t="str">
        <f>IFERROR(__xludf.DUMMYFUNCTION("""COMPUTED_VALUE"""),"")</f>
        <v/>
      </c>
      <c r="I5030" s="2" t="str">
        <f>IFERROR(__xludf.DUMMYFUNCTION("""COMPUTED_VALUE"""),"")</f>
        <v/>
      </c>
      <c r="J5030" s="2">
        <f>IFERROR(__xludf.DUMMYFUNCTION("""COMPUTED_VALUE"""),0.0)</f>
        <v>0</v>
      </c>
      <c r="K5030" s="5" t="str">
        <f>IFERROR(__xludf.DUMMYFUNCTION("""COMPUTED_VALUE"""),"")</f>
        <v/>
      </c>
      <c r="L5030" t="str">
        <f>IFERROR(__xludf.DUMMYFUNCTION("""COMPUTED_VALUE"""),"")</f>
        <v/>
      </c>
      <c r="M5030" t="str">
        <f>IFERROR(__xludf.DUMMYFUNCTION("""COMPUTED_VALUE"""),"")</f>
        <v/>
      </c>
      <c r="N5030" t="str">
        <f>IFERROR(__xludf.DUMMYFUNCTION("""COMPUTED_VALUE"""),"")</f>
        <v/>
      </c>
      <c r="O5030" t="str">
        <f>IFERROR(__xludf.DUMMYFUNCTION("""COMPUTED_VALUE"""),"")</f>
        <v/>
      </c>
      <c r="P5030" t="str">
        <f>IFERROR(__xludf.DUMMYFUNCTION("""COMPUTED_VALUE"""),"ID ")</f>
        <v>ID </v>
      </c>
    </row>
    <row r="5031">
      <c r="A5031" s="6" t="str">
        <f>IFERROR(__xludf.DUMMYFUNCTION("""COMPUTED_VALUE"""),"")</f>
        <v/>
      </c>
      <c r="C5031" t="str">
        <f>IFERROR(__xludf.DUMMYFUNCTION("""COMPUTED_VALUE"""),"")</f>
        <v/>
      </c>
      <c r="D5031" t="str">
        <f>IFERROR(__xludf.DUMMYFUNCTION("""COMPUTED_VALUE"""),"")</f>
        <v/>
      </c>
      <c r="E5031" t="str">
        <f>IFERROR(__xludf.DUMMYFUNCTION("""COMPUTED_VALUE"""),"")</f>
        <v/>
      </c>
      <c r="F5031" t="str">
        <f>IFERROR(__xludf.DUMMYFUNCTION("""COMPUTED_VALUE"""),"")</f>
        <v/>
      </c>
      <c r="G5031" t="str">
        <f>IFERROR(__xludf.DUMMYFUNCTION("""COMPUTED_VALUE"""),"")</f>
        <v/>
      </c>
      <c r="H5031" s="2" t="str">
        <f>IFERROR(__xludf.DUMMYFUNCTION("""COMPUTED_VALUE"""),"")</f>
        <v/>
      </c>
      <c r="I5031" s="2" t="str">
        <f>IFERROR(__xludf.DUMMYFUNCTION("""COMPUTED_VALUE"""),"")</f>
        <v/>
      </c>
      <c r="J5031" s="2">
        <f>IFERROR(__xludf.DUMMYFUNCTION("""COMPUTED_VALUE"""),0.0)</f>
        <v>0</v>
      </c>
      <c r="K5031" s="5" t="str">
        <f>IFERROR(__xludf.DUMMYFUNCTION("""COMPUTED_VALUE"""),"")</f>
        <v/>
      </c>
      <c r="L5031" t="str">
        <f>IFERROR(__xludf.DUMMYFUNCTION("""COMPUTED_VALUE"""),"")</f>
        <v/>
      </c>
      <c r="M5031" t="str">
        <f>IFERROR(__xludf.DUMMYFUNCTION("""COMPUTED_VALUE"""),"")</f>
        <v/>
      </c>
      <c r="N5031" t="str">
        <f>IFERROR(__xludf.DUMMYFUNCTION("""COMPUTED_VALUE"""),"")</f>
        <v/>
      </c>
      <c r="O5031" t="str">
        <f>IFERROR(__xludf.DUMMYFUNCTION("""COMPUTED_VALUE"""),"")</f>
        <v/>
      </c>
      <c r="P5031" t="str">
        <f>IFERROR(__xludf.DUMMYFUNCTION("""COMPUTED_VALUE"""),"ID ")</f>
        <v>ID </v>
      </c>
    </row>
    <row r="5032">
      <c r="A5032" s="6" t="str">
        <f>IFERROR(__xludf.DUMMYFUNCTION("""COMPUTED_VALUE"""),"")</f>
        <v/>
      </c>
      <c r="C5032" t="str">
        <f>IFERROR(__xludf.DUMMYFUNCTION("""COMPUTED_VALUE"""),"")</f>
        <v/>
      </c>
      <c r="D5032" t="str">
        <f>IFERROR(__xludf.DUMMYFUNCTION("""COMPUTED_VALUE"""),"")</f>
        <v/>
      </c>
      <c r="E5032" t="str">
        <f>IFERROR(__xludf.DUMMYFUNCTION("""COMPUTED_VALUE"""),"")</f>
        <v/>
      </c>
      <c r="F5032" t="str">
        <f>IFERROR(__xludf.DUMMYFUNCTION("""COMPUTED_VALUE"""),"")</f>
        <v/>
      </c>
      <c r="G5032" t="str">
        <f>IFERROR(__xludf.DUMMYFUNCTION("""COMPUTED_VALUE"""),"")</f>
        <v/>
      </c>
      <c r="H5032" s="2" t="str">
        <f>IFERROR(__xludf.DUMMYFUNCTION("""COMPUTED_VALUE"""),"")</f>
        <v/>
      </c>
      <c r="I5032" s="2" t="str">
        <f>IFERROR(__xludf.DUMMYFUNCTION("""COMPUTED_VALUE"""),"")</f>
        <v/>
      </c>
      <c r="J5032" s="2">
        <f>IFERROR(__xludf.DUMMYFUNCTION("""COMPUTED_VALUE"""),0.0)</f>
        <v>0</v>
      </c>
      <c r="K5032" s="5" t="str">
        <f>IFERROR(__xludf.DUMMYFUNCTION("""COMPUTED_VALUE"""),"")</f>
        <v/>
      </c>
      <c r="L5032" t="str">
        <f>IFERROR(__xludf.DUMMYFUNCTION("""COMPUTED_VALUE"""),"")</f>
        <v/>
      </c>
      <c r="M5032" t="str">
        <f>IFERROR(__xludf.DUMMYFUNCTION("""COMPUTED_VALUE"""),"")</f>
        <v/>
      </c>
      <c r="N5032" t="str">
        <f>IFERROR(__xludf.DUMMYFUNCTION("""COMPUTED_VALUE"""),"")</f>
        <v/>
      </c>
      <c r="O5032" t="str">
        <f>IFERROR(__xludf.DUMMYFUNCTION("""COMPUTED_VALUE"""),"")</f>
        <v/>
      </c>
      <c r="P5032" t="str">
        <f>IFERROR(__xludf.DUMMYFUNCTION("""COMPUTED_VALUE"""),"ID ")</f>
        <v>ID </v>
      </c>
    </row>
    <row r="5033">
      <c r="A5033" s="6" t="str">
        <f>IFERROR(__xludf.DUMMYFUNCTION("""COMPUTED_VALUE"""),"")</f>
        <v/>
      </c>
      <c r="C5033" t="str">
        <f>IFERROR(__xludf.DUMMYFUNCTION("""COMPUTED_VALUE"""),"")</f>
        <v/>
      </c>
      <c r="D5033" t="str">
        <f>IFERROR(__xludf.DUMMYFUNCTION("""COMPUTED_VALUE"""),"")</f>
        <v/>
      </c>
      <c r="E5033" t="str">
        <f>IFERROR(__xludf.DUMMYFUNCTION("""COMPUTED_VALUE"""),"")</f>
        <v/>
      </c>
      <c r="F5033" t="str">
        <f>IFERROR(__xludf.DUMMYFUNCTION("""COMPUTED_VALUE"""),"")</f>
        <v/>
      </c>
      <c r="G5033" t="str">
        <f>IFERROR(__xludf.DUMMYFUNCTION("""COMPUTED_VALUE"""),"")</f>
        <v/>
      </c>
      <c r="H5033" s="2" t="str">
        <f>IFERROR(__xludf.DUMMYFUNCTION("""COMPUTED_VALUE"""),"")</f>
        <v/>
      </c>
      <c r="I5033" s="2" t="str">
        <f>IFERROR(__xludf.DUMMYFUNCTION("""COMPUTED_VALUE"""),"")</f>
        <v/>
      </c>
      <c r="J5033" s="2">
        <f>IFERROR(__xludf.DUMMYFUNCTION("""COMPUTED_VALUE"""),0.0)</f>
        <v>0</v>
      </c>
      <c r="K5033" s="5" t="str">
        <f>IFERROR(__xludf.DUMMYFUNCTION("""COMPUTED_VALUE"""),"")</f>
        <v/>
      </c>
      <c r="L5033" t="str">
        <f>IFERROR(__xludf.DUMMYFUNCTION("""COMPUTED_VALUE"""),"")</f>
        <v/>
      </c>
      <c r="M5033" t="str">
        <f>IFERROR(__xludf.DUMMYFUNCTION("""COMPUTED_VALUE"""),"")</f>
        <v/>
      </c>
      <c r="N5033" t="str">
        <f>IFERROR(__xludf.DUMMYFUNCTION("""COMPUTED_VALUE"""),"")</f>
        <v/>
      </c>
      <c r="O5033" t="str">
        <f>IFERROR(__xludf.DUMMYFUNCTION("""COMPUTED_VALUE"""),"")</f>
        <v/>
      </c>
      <c r="P5033" t="str">
        <f>IFERROR(__xludf.DUMMYFUNCTION("""COMPUTED_VALUE"""),"ID ")</f>
        <v>ID </v>
      </c>
    </row>
    <row r="5034">
      <c r="A5034" s="6" t="str">
        <f>IFERROR(__xludf.DUMMYFUNCTION("""COMPUTED_VALUE"""),"")</f>
        <v/>
      </c>
      <c r="C5034" t="str">
        <f>IFERROR(__xludf.DUMMYFUNCTION("""COMPUTED_VALUE"""),"")</f>
        <v/>
      </c>
      <c r="D5034" t="str">
        <f>IFERROR(__xludf.DUMMYFUNCTION("""COMPUTED_VALUE"""),"")</f>
        <v/>
      </c>
      <c r="E5034" t="str">
        <f>IFERROR(__xludf.DUMMYFUNCTION("""COMPUTED_VALUE"""),"")</f>
        <v/>
      </c>
      <c r="F5034" t="str">
        <f>IFERROR(__xludf.DUMMYFUNCTION("""COMPUTED_VALUE"""),"")</f>
        <v/>
      </c>
      <c r="G5034" t="str">
        <f>IFERROR(__xludf.DUMMYFUNCTION("""COMPUTED_VALUE"""),"")</f>
        <v/>
      </c>
      <c r="H5034" s="2" t="str">
        <f>IFERROR(__xludf.DUMMYFUNCTION("""COMPUTED_VALUE"""),"")</f>
        <v/>
      </c>
      <c r="I5034" s="2" t="str">
        <f>IFERROR(__xludf.DUMMYFUNCTION("""COMPUTED_VALUE"""),"")</f>
        <v/>
      </c>
      <c r="J5034" s="2">
        <f>IFERROR(__xludf.DUMMYFUNCTION("""COMPUTED_VALUE"""),0.0)</f>
        <v>0</v>
      </c>
      <c r="K5034" s="5" t="str">
        <f>IFERROR(__xludf.DUMMYFUNCTION("""COMPUTED_VALUE"""),"")</f>
        <v/>
      </c>
      <c r="L5034" t="str">
        <f>IFERROR(__xludf.DUMMYFUNCTION("""COMPUTED_VALUE"""),"")</f>
        <v/>
      </c>
      <c r="M5034" t="str">
        <f>IFERROR(__xludf.DUMMYFUNCTION("""COMPUTED_VALUE"""),"")</f>
        <v/>
      </c>
      <c r="N5034" t="str">
        <f>IFERROR(__xludf.DUMMYFUNCTION("""COMPUTED_VALUE"""),"")</f>
        <v/>
      </c>
      <c r="O5034" t="str">
        <f>IFERROR(__xludf.DUMMYFUNCTION("""COMPUTED_VALUE"""),"")</f>
        <v/>
      </c>
      <c r="P5034" t="str">
        <f>IFERROR(__xludf.DUMMYFUNCTION("""COMPUTED_VALUE"""),"ID ")</f>
        <v>ID </v>
      </c>
    </row>
    <row r="5035">
      <c r="A5035" s="6" t="str">
        <f>IFERROR(__xludf.DUMMYFUNCTION("""COMPUTED_VALUE"""),"")</f>
        <v/>
      </c>
      <c r="C5035" t="str">
        <f>IFERROR(__xludf.DUMMYFUNCTION("""COMPUTED_VALUE"""),"")</f>
        <v/>
      </c>
      <c r="D5035" t="str">
        <f>IFERROR(__xludf.DUMMYFUNCTION("""COMPUTED_VALUE"""),"")</f>
        <v/>
      </c>
      <c r="E5035" t="str">
        <f>IFERROR(__xludf.DUMMYFUNCTION("""COMPUTED_VALUE"""),"")</f>
        <v/>
      </c>
      <c r="F5035" t="str">
        <f>IFERROR(__xludf.DUMMYFUNCTION("""COMPUTED_VALUE"""),"")</f>
        <v/>
      </c>
      <c r="G5035" t="str">
        <f>IFERROR(__xludf.DUMMYFUNCTION("""COMPUTED_VALUE"""),"")</f>
        <v/>
      </c>
      <c r="H5035" s="2" t="str">
        <f>IFERROR(__xludf.DUMMYFUNCTION("""COMPUTED_VALUE"""),"")</f>
        <v/>
      </c>
      <c r="I5035" s="2" t="str">
        <f>IFERROR(__xludf.DUMMYFUNCTION("""COMPUTED_VALUE"""),"")</f>
        <v/>
      </c>
      <c r="J5035" s="2">
        <f>IFERROR(__xludf.DUMMYFUNCTION("""COMPUTED_VALUE"""),0.0)</f>
        <v>0</v>
      </c>
      <c r="K5035" s="5" t="str">
        <f>IFERROR(__xludf.DUMMYFUNCTION("""COMPUTED_VALUE"""),"")</f>
        <v/>
      </c>
      <c r="L5035" t="str">
        <f>IFERROR(__xludf.DUMMYFUNCTION("""COMPUTED_VALUE"""),"")</f>
        <v/>
      </c>
      <c r="M5035" t="str">
        <f>IFERROR(__xludf.DUMMYFUNCTION("""COMPUTED_VALUE"""),"")</f>
        <v/>
      </c>
      <c r="N5035" t="str">
        <f>IFERROR(__xludf.DUMMYFUNCTION("""COMPUTED_VALUE"""),"")</f>
        <v/>
      </c>
      <c r="O5035" t="str">
        <f>IFERROR(__xludf.DUMMYFUNCTION("""COMPUTED_VALUE"""),"")</f>
        <v/>
      </c>
      <c r="P5035" t="str">
        <f>IFERROR(__xludf.DUMMYFUNCTION("""COMPUTED_VALUE"""),"ID ")</f>
        <v>ID </v>
      </c>
    </row>
    <row r="5036">
      <c r="A5036" s="6" t="str">
        <f>IFERROR(__xludf.DUMMYFUNCTION("""COMPUTED_VALUE"""),"")</f>
        <v/>
      </c>
      <c r="C5036" t="str">
        <f>IFERROR(__xludf.DUMMYFUNCTION("""COMPUTED_VALUE"""),"")</f>
        <v/>
      </c>
      <c r="D5036" t="str">
        <f>IFERROR(__xludf.DUMMYFUNCTION("""COMPUTED_VALUE"""),"")</f>
        <v/>
      </c>
      <c r="E5036" t="str">
        <f>IFERROR(__xludf.DUMMYFUNCTION("""COMPUTED_VALUE"""),"")</f>
        <v/>
      </c>
      <c r="F5036" t="str">
        <f>IFERROR(__xludf.DUMMYFUNCTION("""COMPUTED_VALUE"""),"")</f>
        <v/>
      </c>
      <c r="G5036" t="str">
        <f>IFERROR(__xludf.DUMMYFUNCTION("""COMPUTED_VALUE"""),"")</f>
        <v/>
      </c>
      <c r="H5036" s="2" t="str">
        <f>IFERROR(__xludf.DUMMYFUNCTION("""COMPUTED_VALUE"""),"")</f>
        <v/>
      </c>
      <c r="I5036" s="2" t="str">
        <f>IFERROR(__xludf.DUMMYFUNCTION("""COMPUTED_VALUE"""),"")</f>
        <v/>
      </c>
      <c r="J5036" s="2">
        <f>IFERROR(__xludf.DUMMYFUNCTION("""COMPUTED_VALUE"""),0.0)</f>
        <v>0</v>
      </c>
      <c r="K5036" s="5" t="str">
        <f>IFERROR(__xludf.DUMMYFUNCTION("""COMPUTED_VALUE"""),"")</f>
        <v/>
      </c>
      <c r="L5036" t="str">
        <f>IFERROR(__xludf.DUMMYFUNCTION("""COMPUTED_VALUE"""),"")</f>
        <v/>
      </c>
      <c r="M5036" t="str">
        <f>IFERROR(__xludf.DUMMYFUNCTION("""COMPUTED_VALUE"""),"")</f>
        <v/>
      </c>
      <c r="N5036" t="str">
        <f>IFERROR(__xludf.DUMMYFUNCTION("""COMPUTED_VALUE"""),"")</f>
        <v/>
      </c>
      <c r="O5036" t="str">
        <f>IFERROR(__xludf.DUMMYFUNCTION("""COMPUTED_VALUE"""),"")</f>
        <v/>
      </c>
      <c r="P5036" t="str">
        <f>IFERROR(__xludf.DUMMYFUNCTION("""COMPUTED_VALUE"""),"ID ")</f>
        <v>ID </v>
      </c>
    </row>
    <row r="5037">
      <c r="A5037" s="6" t="str">
        <f>IFERROR(__xludf.DUMMYFUNCTION("""COMPUTED_VALUE"""),"")</f>
        <v/>
      </c>
      <c r="C5037" t="str">
        <f>IFERROR(__xludf.DUMMYFUNCTION("""COMPUTED_VALUE"""),"")</f>
        <v/>
      </c>
      <c r="D5037" t="str">
        <f>IFERROR(__xludf.DUMMYFUNCTION("""COMPUTED_VALUE"""),"")</f>
        <v/>
      </c>
      <c r="E5037" t="str">
        <f>IFERROR(__xludf.DUMMYFUNCTION("""COMPUTED_VALUE"""),"")</f>
        <v/>
      </c>
      <c r="F5037" t="str">
        <f>IFERROR(__xludf.DUMMYFUNCTION("""COMPUTED_VALUE"""),"")</f>
        <v/>
      </c>
      <c r="G5037" t="str">
        <f>IFERROR(__xludf.DUMMYFUNCTION("""COMPUTED_VALUE"""),"")</f>
        <v/>
      </c>
      <c r="H5037" s="2" t="str">
        <f>IFERROR(__xludf.DUMMYFUNCTION("""COMPUTED_VALUE"""),"")</f>
        <v/>
      </c>
      <c r="I5037" s="2" t="str">
        <f>IFERROR(__xludf.DUMMYFUNCTION("""COMPUTED_VALUE"""),"")</f>
        <v/>
      </c>
      <c r="J5037" s="2">
        <f>IFERROR(__xludf.DUMMYFUNCTION("""COMPUTED_VALUE"""),0.0)</f>
        <v>0</v>
      </c>
      <c r="K5037" s="5" t="str">
        <f>IFERROR(__xludf.DUMMYFUNCTION("""COMPUTED_VALUE"""),"")</f>
        <v/>
      </c>
      <c r="L5037" t="str">
        <f>IFERROR(__xludf.DUMMYFUNCTION("""COMPUTED_VALUE"""),"")</f>
        <v/>
      </c>
      <c r="M5037" t="str">
        <f>IFERROR(__xludf.DUMMYFUNCTION("""COMPUTED_VALUE"""),"")</f>
        <v/>
      </c>
      <c r="N5037" t="str">
        <f>IFERROR(__xludf.DUMMYFUNCTION("""COMPUTED_VALUE"""),"")</f>
        <v/>
      </c>
      <c r="O5037" t="str">
        <f>IFERROR(__xludf.DUMMYFUNCTION("""COMPUTED_VALUE"""),"")</f>
        <v/>
      </c>
      <c r="P5037" t="str">
        <f>IFERROR(__xludf.DUMMYFUNCTION("""COMPUTED_VALUE"""),"ID ")</f>
        <v>ID </v>
      </c>
    </row>
    <row r="5038">
      <c r="A5038" s="6" t="str">
        <f>IFERROR(__xludf.DUMMYFUNCTION("""COMPUTED_VALUE"""),"")</f>
        <v/>
      </c>
      <c r="C5038" t="str">
        <f>IFERROR(__xludf.DUMMYFUNCTION("""COMPUTED_VALUE"""),"")</f>
        <v/>
      </c>
      <c r="D5038" t="str">
        <f>IFERROR(__xludf.DUMMYFUNCTION("""COMPUTED_VALUE"""),"")</f>
        <v/>
      </c>
      <c r="E5038" t="str">
        <f>IFERROR(__xludf.DUMMYFUNCTION("""COMPUTED_VALUE"""),"")</f>
        <v/>
      </c>
      <c r="F5038" t="str">
        <f>IFERROR(__xludf.DUMMYFUNCTION("""COMPUTED_VALUE"""),"")</f>
        <v/>
      </c>
      <c r="G5038" t="str">
        <f>IFERROR(__xludf.DUMMYFUNCTION("""COMPUTED_VALUE"""),"")</f>
        <v/>
      </c>
      <c r="H5038" s="2" t="str">
        <f>IFERROR(__xludf.DUMMYFUNCTION("""COMPUTED_VALUE"""),"")</f>
        <v/>
      </c>
      <c r="I5038" s="2" t="str">
        <f>IFERROR(__xludf.DUMMYFUNCTION("""COMPUTED_VALUE"""),"")</f>
        <v/>
      </c>
      <c r="J5038" s="2">
        <f>IFERROR(__xludf.DUMMYFUNCTION("""COMPUTED_VALUE"""),0.0)</f>
        <v>0</v>
      </c>
      <c r="K5038" s="5" t="str">
        <f>IFERROR(__xludf.DUMMYFUNCTION("""COMPUTED_VALUE"""),"")</f>
        <v/>
      </c>
      <c r="L5038" t="str">
        <f>IFERROR(__xludf.DUMMYFUNCTION("""COMPUTED_VALUE"""),"")</f>
        <v/>
      </c>
      <c r="M5038" t="str">
        <f>IFERROR(__xludf.DUMMYFUNCTION("""COMPUTED_VALUE"""),"")</f>
        <v/>
      </c>
      <c r="N5038" t="str">
        <f>IFERROR(__xludf.DUMMYFUNCTION("""COMPUTED_VALUE"""),"")</f>
        <v/>
      </c>
      <c r="O5038" t="str">
        <f>IFERROR(__xludf.DUMMYFUNCTION("""COMPUTED_VALUE"""),"")</f>
        <v/>
      </c>
      <c r="P5038" t="str">
        <f>IFERROR(__xludf.DUMMYFUNCTION("""COMPUTED_VALUE"""),"ID ")</f>
        <v>ID </v>
      </c>
    </row>
    <row r="5039">
      <c r="A5039" s="6" t="str">
        <f>IFERROR(__xludf.DUMMYFUNCTION("""COMPUTED_VALUE"""),"")</f>
        <v/>
      </c>
      <c r="C5039" t="str">
        <f>IFERROR(__xludf.DUMMYFUNCTION("""COMPUTED_VALUE"""),"")</f>
        <v/>
      </c>
      <c r="D5039" t="str">
        <f>IFERROR(__xludf.DUMMYFUNCTION("""COMPUTED_VALUE"""),"")</f>
        <v/>
      </c>
      <c r="E5039" t="str">
        <f>IFERROR(__xludf.DUMMYFUNCTION("""COMPUTED_VALUE"""),"")</f>
        <v/>
      </c>
      <c r="F5039" t="str">
        <f>IFERROR(__xludf.DUMMYFUNCTION("""COMPUTED_VALUE"""),"")</f>
        <v/>
      </c>
      <c r="G5039" t="str">
        <f>IFERROR(__xludf.DUMMYFUNCTION("""COMPUTED_VALUE"""),"")</f>
        <v/>
      </c>
      <c r="H5039" s="2" t="str">
        <f>IFERROR(__xludf.DUMMYFUNCTION("""COMPUTED_VALUE"""),"")</f>
        <v/>
      </c>
      <c r="I5039" s="2" t="str">
        <f>IFERROR(__xludf.DUMMYFUNCTION("""COMPUTED_VALUE"""),"")</f>
        <v/>
      </c>
      <c r="J5039" s="2">
        <f>IFERROR(__xludf.DUMMYFUNCTION("""COMPUTED_VALUE"""),0.0)</f>
        <v>0</v>
      </c>
      <c r="K5039" s="5" t="str">
        <f>IFERROR(__xludf.DUMMYFUNCTION("""COMPUTED_VALUE"""),"")</f>
        <v/>
      </c>
      <c r="L5039" t="str">
        <f>IFERROR(__xludf.DUMMYFUNCTION("""COMPUTED_VALUE"""),"")</f>
        <v/>
      </c>
      <c r="M5039" t="str">
        <f>IFERROR(__xludf.DUMMYFUNCTION("""COMPUTED_VALUE"""),"")</f>
        <v/>
      </c>
      <c r="N5039" t="str">
        <f>IFERROR(__xludf.DUMMYFUNCTION("""COMPUTED_VALUE"""),"")</f>
        <v/>
      </c>
      <c r="O5039" t="str">
        <f>IFERROR(__xludf.DUMMYFUNCTION("""COMPUTED_VALUE"""),"")</f>
        <v/>
      </c>
      <c r="P5039" t="str">
        <f>IFERROR(__xludf.DUMMYFUNCTION("""COMPUTED_VALUE"""),"ID ")</f>
        <v>ID </v>
      </c>
    </row>
    <row r="5040">
      <c r="A5040" s="6" t="str">
        <f>IFERROR(__xludf.DUMMYFUNCTION("""COMPUTED_VALUE"""),"")</f>
        <v/>
      </c>
      <c r="C5040" t="str">
        <f>IFERROR(__xludf.DUMMYFUNCTION("""COMPUTED_VALUE"""),"")</f>
        <v/>
      </c>
      <c r="D5040" t="str">
        <f>IFERROR(__xludf.DUMMYFUNCTION("""COMPUTED_VALUE"""),"")</f>
        <v/>
      </c>
      <c r="E5040" t="str">
        <f>IFERROR(__xludf.DUMMYFUNCTION("""COMPUTED_VALUE"""),"")</f>
        <v/>
      </c>
      <c r="F5040" t="str">
        <f>IFERROR(__xludf.DUMMYFUNCTION("""COMPUTED_VALUE"""),"")</f>
        <v/>
      </c>
      <c r="G5040" t="str">
        <f>IFERROR(__xludf.DUMMYFUNCTION("""COMPUTED_VALUE"""),"")</f>
        <v/>
      </c>
      <c r="H5040" s="2" t="str">
        <f>IFERROR(__xludf.DUMMYFUNCTION("""COMPUTED_VALUE"""),"")</f>
        <v/>
      </c>
      <c r="I5040" s="2" t="str">
        <f>IFERROR(__xludf.DUMMYFUNCTION("""COMPUTED_VALUE"""),"")</f>
        <v/>
      </c>
      <c r="J5040" s="2">
        <f>IFERROR(__xludf.DUMMYFUNCTION("""COMPUTED_VALUE"""),0.0)</f>
        <v>0</v>
      </c>
      <c r="K5040" s="5" t="str">
        <f>IFERROR(__xludf.DUMMYFUNCTION("""COMPUTED_VALUE"""),"")</f>
        <v/>
      </c>
      <c r="L5040" t="str">
        <f>IFERROR(__xludf.DUMMYFUNCTION("""COMPUTED_VALUE"""),"")</f>
        <v/>
      </c>
      <c r="M5040" t="str">
        <f>IFERROR(__xludf.DUMMYFUNCTION("""COMPUTED_VALUE"""),"")</f>
        <v/>
      </c>
      <c r="N5040" t="str">
        <f>IFERROR(__xludf.DUMMYFUNCTION("""COMPUTED_VALUE"""),"")</f>
        <v/>
      </c>
      <c r="O5040" t="str">
        <f>IFERROR(__xludf.DUMMYFUNCTION("""COMPUTED_VALUE"""),"")</f>
        <v/>
      </c>
      <c r="P5040" t="str">
        <f>IFERROR(__xludf.DUMMYFUNCTION("""COMPUTED_VALUE"""),"ID ")</f>
        <v>ID </v>
      </c>
    </row>
    <row r="5041">
      <c r="A5041" s="6" t="str">
        <f>IFERROR(__xludf.DUMMYFUNCTION("""COMPUTED_VALUE"""),"")</f>
        <v/>
      </c>
      <c r="C5041" t="str">
        <f>IFERROR(__xludf.DUMMYFUNCTION("""COMPUTED_VALUE"""),"")</f>
        <v/>
      </c>
      <c r="D5041" t="str">
        <f>IFERROR(__xludf.DUMMYFUNCTION("""COMPUTED_VALUE"""),"")</f>
        <v/>
      </c>
      <c r="E5041" t="str">
        <f>IFERROR(__xludf.DUMMYFUNCTION("""COMPUTED_VALUE"""),"")</f>
        <v/>
      </c>
      <c r="F5041" t="str">
        <f>IFERROR(__xludf.DUMMYFUNCTION("""COMPUTED_VALUE"""),"")</f>
        <v/>
      </c>
      <c r="G5041" t="str">
        <f>IFERROR(__xludf.DUMMYFUNCTION("""COMPUTED_VALUE"""),"")</f>
        <v/>
      </c>
      <c r="H5041" s="2" t="str">
        <f>IFERROR(__xludf.DUMMYFUNCTION("""COMPUTED_VALUE"""),"")</f>
        <v/>
      </c>
      <c r="I5041" s="2" t="str">
        <f>IFERROR(__xludf.DUMMYFUNCTION("""COMPUTED_VALUE"""),"")</f>
        <v/>
      </c>
      <c r="J5041" s="2">
        <f>IFERROR(__xludf.DUMMYFUNCTION("""COMPUTED_VALUE"""),0.0)</f>
        <v>0</v>
      </c>
      <c r="K5041" s="5" t="str">
        <f>IFERROR(__xludf.DUMMYFUNCTION("""COMPUTED_VALUE"""),"")</f>
        <v/>
      </c>
      <c r="L5041" t="str">
        <f>IFERROR(__xludf.DUMMYFUNCTION("""COMPUTED_VALUE"""),"")</f>
        <v/>
      </c>
      <c r="M5041" t="str">
        <f>IFERROR(__xludf.DUMMYFUNCTION("""COMPUTED_VALUE"""),"")</f>
        <v/>
      </c>
      <c r="N5041" t="str">
        <f>IFERROR(__xludf.DUMMYFUNCTION("""COMPUTED_VALUE"""),"")</f>
        <v/>
      </c>
      <c r="O5041" t="str">
        <f>IFERROR(__xludf.DUMMYFUNCTION("""COMPUTED_VALUE"""),"")</f>
        <v/>
      </c>
      <c r="P5041" t="str">
        <f>IFERROR(__xludf.DUMMYFUNCTION("""COMPUTED_VALUE"""),"ID ")</f>
        <v>ID </v>
      </c>
    </row>
    <row r="5042">
      <c r="A5042" s="6" t="str">
        <f>IFERROR(__xludf.DUMMYFUNCTION("""COMPUTED_VALUE"""),"")</f>
        <v/>
      </c>
      <c r="C5042" t="str">
        <f>IFERROR(__xludf.DUMMYFUNCTION("""COMPUTED_VALUE"""),"")</f>
        <v/>
      </c>
      <c r="D5042" t="str">
        <f>IFERROR(__xludf.DUMMYFUNCTION("""COMPUTED_VALUE"""),"")</f>
        <v/>
      </c>
      <c r="E5042" t="str">
        <f>IFERROR(__xludf.DUMMYFUNCTION("""COMPUTED_VALUE"""),"")</f>
        <v/>
      </c>
      <c r="F5042" t="str">
        <f>IFERROR(__xludf.DUMMYFUNCTION("""COMPUTED_VALUE"""),"")</f>
        <v/>
      </c>
      <c r="G5042" t="str">
        <f>IFERROR(__xludf.DUMMYFUNCTION("""COMPUTED_VALUE"""),"")</f>
        <v/>
      </c>
      <c r="H5042" s="2" t="str">
        <f>IFERROR(__xludf.DUMMYFUNCTION("""COMPUTED_VALUE"""),"")</f>
        <v/>
      </c>
      <c r="I5042" s="2" t="str">
        <f>IFERROR(__xludf.DUMMYFUNCTION("""COMPUTED_VALUE"""),"")</f>
        <v/>
      </c>
      <c r="J5042" s="2">
        <f>IFERROR(__xludf.DUMMYFUNCTION("""COMPUTED_VALUE"""),0.0)</f>
        <v>0</v>
      </c>
      <c r="K5042" s="5" t="str">
        <f>IFERROR(__xludf.DUMMYFUNCTION("""COMPUTED_VALUE"""),"")</f>
        <v/>
      </c>
      <c r="L5042" t="str">
        <f>IFERROR(__xludf.DUMMYFUNCTION("""COMPUTED_VALUE"""),"")</f>
        <v/>
      </c>
      <c r="M5042" t="str">
        <f>IFERROR(__xludf.DUMMYFUNCTION("""COMPUTED_VALUE"""),"")</f>
        <v/>
      </c>
      <c r="N5042" t="str">
        <f>IFERROR(__xludf.DUMMYFUNCTION("""COMPUTED_VALUE"""),"")</f>
        <v/>
      </c>
      <c r="O5042" t="str">
        <f>IFERROR(__xludf.DUMMYFUNCTION("""COMPUTED_VALUE"""),"")</f>
        <v/>
      </c>
      <c r="P5042" t="str">
        <f>IFERROR(__xludf.DUMMYFUNCTION("""COMPUTED_VALUE"""),"ID ")</f>
        <v>ID </v>
      </c>
    </row>
    <row r="5043">
      <c r="A5043" s="6" t="str">
        <f>IFERROR(__xludf.DUMMYFUNCTION("""COMPUTED_VALUE"""),"")</f>
        <v/>
      </c>
      <c r="C5043" t="str">
        <f>IFERROR(__xludf.DUMMYFUNCTION("""COMPUTED_VALUE"""),"")</f>
        <v/>
      </c>
      <c r="D5043" t="str">
        <f>IFERROR(__xludf.DUMMYFUNCTION("""COMPUTED_VALUE"""),"")</f>
        <v/>
      </c>
      <c r="E5043" t="str">
        <f>IFERROR(__xludf.DUMMYFUNCTION("""COMPUTED_VALUE"""),"")</f>
        <v/>
      </c>
      <c r="F5043" t="str">
        <f>IFERROR(__xludf.DUMMYFUNCTION("""COMPUTED_VALUE"""),"")</f>
        <v/>
      </c>
      <c r="G5043" t="str">
        <f>IFERROR(__xludf.DUMMYFUNCTION("""COMPUTED_VALUE"""),"")</f>
        <v/>
      </c>
      <c r="H5043" s="2" t="str">
        <f>IFERROR(__xludf.DUMMYFUNCTION("""COMPUTED_VALUE"""),"")</f>
        <v/>
      </c>
      <c r="I5043" s="2" t="str">
        <f>IFERROR(__xludf.DUMMYFUNCTION("""COMPUTED_VALUE"""),"")</f>
        <v/>
      </c>
      <c r="J5043" s="2">
        <f>IFERROR(__xludf.DUMMYFUNCTION("""COMPUTED_VALUE"""),0.0)</f>
        <v>0</v>
      </c>
      <c r="K5043" s="5" t="str">
        <f>IFERROR(__xludf.DUMMYFUNCTION("""COMPUTED_VALUE"""),"")</f>
        <v/>
      </c>
      <c r="L5043" t="str">
        <f>IFERROR(__xludf.DUMMYFUNCTION("""COMPUTED_VALUE"""),"")</f>
        <v/>
      </c>
      <c r="M5043" t="str">
        <f>IFERROR(__xludf.DUMMYFUNCTION("""COMPUTED_VALUE"""),"")</f>
        <v/>
      </c>
      <c r="N5043" t="str">
        <f>IFERROR(__xludf.DUMMYFUNCTION("""COMPUTED_VALUE"""),"")</f>
        <v/>
      </c>
      <c r="O5043" t="str">
        <f>IFERROR(__xludf.DUMMYFUNCTION("""COMPUTED_VALUE"""),"")</f>
        <v/>
      </c>
      <c r="P5043" t="str">
        <f>IFERROR(__xludf.DUMMYFUNCTION("""COMPUTED_VALUE"""),"ID ")</f>
        <v>ID </v>
      </c>
    </row>
    <row r="5044">
      <c r="A5044" s="6" t="str">
        <f>IFERROR(__xludf.DUMMYFUNCTION("""COMPUTED_VALUE"""),"")</f>
        <v/>
      </c>
      <c r="C5044" t="str">
        <f>IFERROR(__xludf.DUMMYFUNCTION("""COMPUTED_VALUE"""),"")</f>
        <v/>
      </c>
      <c r="D5044" t="str">
        <f>IFERROR(__xludf.DUMMYFUNCTION("""COMPUTED_VALUE"""),"")</f>
        <v/>
      </c>
      <c r="E5044" t="str">
        <f>IFERROR(__xludf.DUMMYFUNCTION("""COMPUTED_VALUE"""),"")</f>
        <v/>
      </c>
      <c r="F5044" t="str">
        <f>IFERROR(__xludf.DUMMYFUNCTION("""COMPUTED_VALUE"""),"")</f>
        <v/>
      </c>
      <c r="G5044" t="str">
        <f>IFERROR(__xludf.DUMMYFUNCTION("""COMPUTED_VALUE"""),"")</f>
        <v/>
      </c>
      <c r="H5044" s="2" t="str">
        <f>IFERROR(__xludf.DUMMYFUNCTION("""COMPUTED_VALUE"""),"")</f>
        <v/>
      </c>
      <c r="I5044" s="2" t="str">
        <f>IFERROR(__xludf.DUMMYFUNCTION("""COMPUTED_VALUE"""),"")</f>
        <v/>
      </c>
      <c r="J5044" s="2">
        <f>IFERROR(__xludf.DUMMYFUNCTION("""COMPUTED_VALUE"""),0.0)</f>
        <v>0</v>
      </c>
      <c r="K5044" s="5" t="str">
        <f>IFERROR(__xludf.DUMMYFUNCTION("""COMPUTED_VALUE"""),"")</f>
        <v/>
      </c>
      <c r="L5044" t="str">
        <f>IFERROR(__xludf.DUMMYFUNCTION("""COMPUTED_VALUE"""),"")</f>
        <v/>
      </c>
      <c r="M5044" t="str">
        <f>IFERROR(__xludf.DUMMYFUNCTION("""COMPUTED_VALUE"""),"")</f>
        <v/>
      </c>
      <c r="N5044" t="str">
        <f>IFERROR(__xludf.DUMMYFUNCTION("""COMPUTED_VALUE"""),"")</f>
        <v/>
      </c>
      <c r="O5044" t="str">
        <f>IFERROR(__xludf.DUMMYFUNCTION("""COMPUTED_VALUE"""),"")</f>
        <v/>
      </c>
      <c r="P5044" t="str">
        <f>IFERROR(__xludf.DUMMYFUNCTION("""COMPUTED_VALUE"""),"ID ")</f>
        <v>ID </v>
      </c>
    </row>
    <row r="5045">
      <c r="A5045" s="6" t="str">
        <f>IFERROR(__xludf.DUMMYFUNCTION("""COMPUTED_VALUE"""),"")</f>
        <v/>
      </c>
      <c r="C5045" t="str">
        <f>IFERROR(__xludf.DUMMYFUNCTION("""COMPUTED_VALUE"""),"")</f>
        <v/>
      </c>
      <c r="D5045" t="str">
        <f>IFERROR(__xludf.DUMMYFUNCTION("""COMPUTED_VALUE"""),"")</f>
        <v/>
      </c>
      <c r="E5045" t="str">
        <f>IFERROR(__xludf.DUMMYFUNCTION("""COMPUTED_VALUE"""),"")</f>
        <v/>
      </c>
      <c r="F5045" t="str">
        <f>IFERROR(__xludf.DUMMYFUNCTION("""COMPUTED_VALUE"""),"")</f>
        <v/>
      </c>
      <c r="G5045" t="str">
        <f>IFERROR(__xludf.DUMMYFUNCTION("""COMPUTED_VALUE"""),"")</f>
        <v/>
      </c>
      <c r="H5045" s="2" t="str">
        <f>IFERROR(__xludf.DUMMYFUNCTION("""COMPUTED_VALUE"""),"")</f>
        <v/>
      </c>
      <c r="I5045" s="2" t="str">
        <f>IFERROR(__xludf.DUMMYFUNCTION("""COMPUTED_VALUE"""),"")</f>
        <v/>
      </c>
      <c r="J5045" s="2">
        <f>IFERROR(__xludf.DUMMYFUNCTION("""COMPUTED_VALUE"""),0.0)</f>
        <v>0</v>
      </c>
      <c r="K5045" s="5" t="str">
        <f>IFERROR(__xludf.DUMMYFUNCTION("""COMPUTED_VALUE"""),"")</f>
        <v/>
      </c>
      <c r="L5045" t="str">
        <f>IFERROR(__xludf.DUMMYFUNCTION("""COMPUTED_VALUE"""),"")</f>
        <v/>
      </c>
      <c r="M5045" t="str">
        <f>IFERROR(__xludf.DUMMYFUNCTION("""COMPUTED_VALUE"""),"")</f>
        <v/>
      </c>
      <c r="N5045" t="str">
        <f>IFERROR(__xludf.DUMMYFUNCTION("""COMPUTED_VALUE"""),"")</f>
        <v/>
      </c>
      <c r="O5045" t="str">
        <f>IFERROR(__xludf.DUMMYFUNCTION("""COMPUTED_VALUE"""),"")</f>
        <v/>
      </c>
      <c r="P5045" t="str">
        <f>IFERROR(__xludf.DUMMYFUNCTION("""COMPUTED_VALUE"""),"ID ")</f>
        <v>ID </v>
      </c>
    </row>
    <row r="5046">
      <c r="A5046" s="6" t="str">
        <f>IFERROR(__xludf.DUMMYFUNCTION("""COMPUTED_VALUE"""),"")</f>
        <v/>
      </c>
      <c r="C5046" t="str">
        <f>IFERROR(__xludf.DUMMYFUNCTION("""COMPUTED_VALUE"""),"")</f>
        <v/>
      </c>
      <c r="D5046" t="str">
        <f>IFERROR(__xludf.DUMMYFUNCTION("""COMPUTED_VALUE"""),"")</f>
        <v/>
      </c>
      <c r="E5046" t="str">
        <f>IFERROR(__xludf.DUMMYFUNCTION("""COMPUTED_VALUE"""),"")</f>
        <v/>
      </c>
      <c r="F5046" t="str">
        <f>IFERROR(__xludf.DUMMYFUNCTION("""COMPUTED_VALUE"""),"")</f>
        <v/>
      </c>
      <c r="G5046" t="str">
        <f>IFERROR(__xludf.DUMMYFUNCTION("""COMPUTED_VALUE"""),"")</f>
        <v/>
      </c>
      <c r="H5046" s="2" t="str">
        <f>IFERROR(__xludf.DUMMYFUNCTION("""COMPUTED_VALUE"""),"")</f>
        <v/>
      </c>
      <c r="I5046" s="2" t="str">
        <f>IFERROR(__xludf.DUMMYFUNCTION("""COMPUTED_VALUE"""),"")</f>
        <v/>
      </c>
      <c r="J5046" s="2">
        <f>IFERROR(__xludf.DUMMYFUNCTION("""COMPUTED_VALUE"""),0.0)</f>
        <v>0</v>
      </c>
      <c r="K5046" s="5" t="str">
        <f>IFERROR(__xludf.DUMMYFUNCTION("""COMPUTED_VALUE"""),"")</f>
        <v/>
      </c>
      <c r="L5046" t="str">
        <f>IFERROR(__xludf.DUMMYFUNCTION("""COMPUTED_VALUE"""),"")</f>
        <v/>
      </c>
      <c r="M5046" t="str">
        <f>IFERROR(__xludf.DUMMYFUNCTION("""COMPUTED_VALUE"""),"")</f>
        <v/>
      </c>
      <c r="N5046" t="str">
        <f>IFERROR(__xludf.DUMMYFUNCTION("""COMPUTED_VALUE"""),"")</f>
        <v/>
      </c>
      <c r="O5046" t="str">
        <f>IFERROR(__xludf.DUMMYFUNCTION("""COMPUTED_VALUE"""),"")</f>
        <v/>
      </c>
      <c r="P5046" t="str">
        <f>IFERROR(__xludf.DUMMYFUNCTION("""COMPUTED_VALUE"""),"ID ")</f>
        <v>ID </v>
      </c>
    </row>
    <row r="5047">
      <c r="A5047" s="6" t="str">
        <f>IFERROR(__xludf.DUMMYFUNCTION("""COMPUTED_VALUE"""),"")</f>
        <v/>
      </c>
      <c r="C5047" t="str">
        <f>IFERROR(__xludf.DUMMYFUNCTION("""COMPUTED_VALUE"""),"")</f>
        <v/>
      </c>
      <c r="D5047" t="str">
        <f>IFERROR(__xludf.DUMMYFUNCTION("""COMPUTED_VALUE"""),"")</f>
        <v/>
      </c>
      <c r="E5047" t="str">
        <f>IFERROR(__xludf.DUMMYFUNCTION("""COMPUTED_VALUE"""),"")</f>
        <v/>
      </c>
      <c r="F5047" t="str">
        <f>IFERROR(__xludf.DUMMYFUNCTION("""COMPUTED_VALUE"""),"")</f>
        <v/>
      </c>
      <c r="G5047" t="str">
        <f>IFERROR(__xludf.DUMMYFUNCTION("""COMPUTED_VALUE"""),"")</f>
        <v/>
      </c>
      <c r="H5047" s="2" t="str">
        <f>IFERROR(__xludf.DUMMYFUNCTION("""COMPUTED_VALUE"""),"")</f>
        <v/>
      </c>
      <c r="I5047" s="2" t="str">
        <f>IFERROR(__xludf.DUMMYFUNCTION("""COMPUTED_VALUE"""),"")</f>
        <v/>
      </c>
      <c r="J5047" s="2">
        <f>IFERROR(__xludf.DUMMYFUNCTION("""COMPUTED_VALUE"""),0.0)</f>
        <v>0</v>
      </c>
      <c r="K5047" s="5" t="str">
        <f>IFERROR(__xludf.DUMMYFUNCTION("""COMPUTED_VALUE"""),"")</f>
        <v/>
      </c>
      <c r="L5047" t="str">
        <f>IFERROR(__xludf.DUMMYFUNCTION("""COMPUTED_VALUE"""),"")</f>
        <v/>
      </c>
      <c r="M5047" t="str">
        <f>IFERROR(__xludf.DUMMYFUNCTION("""COMPUTED_VALUE"""),"")</f>
        <v/>
      </c>
      <c r="N5047" t="str">
        <f>IFERROR(__xludf.DUMMYFUNCTION("""COMPUTED_VALUE"""),"")</f>
        <v/>
      </c>
      <c r="O5047" t="str">
        <f>IFERROR(__xludf.DUMMYFUNCTION("""COMPUTED_VALUE"""),"")</f>
        <v/>
      </c>
      <c r="P5047" t="str">
        <f>IFERROR(__xludf.DUMMYFUNCTION("""COMPUTED_VALUE"""),"ID ")</f>
        <v>ID </v>
      </c>
    </row>
    <row r="5048">
      <c r="A5048" s="6" t="str">
        <f>IFERROR(__xludf.DUMMYFUNCTION("""COMPUTED_VALUE"""),"")</f>
        <v/>
      </c>
      <c r="C5048" t="str">
        <f>IFERROR(__xludf.DUMMYFUNCTION("""COMPUTED_VALUE"""),"")</f>
        <v/>
      </c>
      <c r="D5048" t="str">
        <f>IFERROR(__xludf.DUMMYFUNCTION("""COMPUTED_VALUE"""),"")</f>
        <v/>
      </c>
      <c r="E5048" t="str">
        <f>IFERROR(__xludf.DUMMYFUNCTION("""COMPUTED_VALUE"""),"")</f>
        <v/>
      </c>
      <c r="F5048" t="str">
        <f>IFERROR(__xludf.DUMMYFUNCTION("""COMPUTED_VALUE"""),"")</f>
        <v/>
      </c>
      <c r="G5048" t="str">
        <f>IFERROR(__xludf.DUMMYFUNCTION("""COMPUTED_VALUE"""),"")</f>
        <v/>
      </c>
      <c r="H5048" s="2" t="str">
        <f>IFERROR(__xludf.DUMMYFUNCTION("""COMPUTED_VALUE"""),"")</f>
        <v/>
      </c>
      <c r="I5048" s="2" t="str">
        <f>IFERROR(__xludf.DUMMYFUNCTION("""COMPUTED_VALUE"""),"")</f>
        <v/>
      </c>
      <c r="J5048" s="2">
        <f>IFERROR(__xludf.DUMMYFUNCTION("""COMPUTED_VALUE"""),0.0)</f>
        <v>0</v>
      </c>
      <c r="K5048" s="5" t="str">
        <f>IFERROR(__xludf.DUMMYFUNCTION("""COMPUTED_VALUE"""),"")</f>
        <v/>
      </c>
      <c r="L5048" t="str">
        <f>IFERROR(__xludf.DUMMYFUNCTION("""COMPUTED_VALUE"""),"")</f>
        <v/>
      </c>
      <c r="M5048" t="str">
        <f>IFERROR(__xludf.DUMMYFUNCTION("""COMPUTED_VALUE"""),"")</f>
        <v/>
      </c>
      <c r="N5048" t="str">
        <f>IFERROR(__xludf.DUMMYFUNCTION("""COMPUTED_VALUE"""),"")</f>
        <v/>
      </c>
      <c r="O5048" t="str">
        <f>IFERROR(__xludf.DUMMYFUNCTION("""COMPUTED_VALUE"""),"")</f>
        <v/>
      </c>
      <c r="P5048" t="str">
        <f>IFERROR(__xludf.DUMMYFUNCTION("""COMPUTED_VALUE"""),"ID ")</f>
        <v>ID </v>
      </c>
    </row>
    <row r="5049">
      <c r="A5049" s="6" t="str">
        <f>IFERROR(__xludf.DUMMYFUNCTION("""COMPUTED_VALUE"""),"")</f>
        <v/>
      </c>
      <c r="C5049" t="str">
        <f>IFERROR(__xludf.DUMMYFUNCTION("""COMPUTED_VALUE"""),"")</f>
        <v/>
      </c>
      <c r="D5049" t="str">
        <f>IFERROR(__xludf.DUMMYFUNCTION("""COMPUTED_VALUE"""),"")</f>
        <v/>
      </c>
      <c r="E5049" t="str">
        <f>IFERROR(__xludf.DUMMYFUNCTION("""COMPUTED_VALUE"""),"")</f>
        <v/>
      </c>
      <c r="F5049" t="str">
        <f>IFERROR(__xludf.DUMMYFUNCTION("""COMPUTED_VALUE"""),"")</f>
        <v/>
      </c>
      <c r="G5049" t="str">
        <f>IFERROR(__xludf.DUMMYFUNCTION("""COMPUTED_VALUE"""),"")</f>
        <v/>
      </c>
      <c r="H5049" s="2" t="str">
        <f>IFERROR(__xludf.DUMMYFUNCTION("""COMPUTED_VALUE"""),"")</f>
        <v/>
      </c>
      <c r="I5049" s="2" t="str">
        <f>IFERROR(__xludf.DUMMYFUNCTION("""COMPUTED_VALUE"""),"")</f>
        <v/>
      </c>
      <c r="J5049" s="2">
        <f>IFERROR(__xludf.DUMMYFUNCTION("""COMPUTED_VALUE"""),0.0)</f>
        <v>0</v>
      </c>
      <c r="K5049" s="5" t="str">
        <f>IFERROR(__xludf.DUMMYFUNCTION("""COMPUTED_VALUE"""),"")</f>
        <v/>
      </c>
      <c r="L5049" t="str">
        <f>IFERROR(__xludf.DUMMYFUNCTION("""COMPUTED_VALUE"""),"")</f>
        <v/>
      </c>
      <c r="M5049" t="str">
        <f>IFERROR(__xludf.DUMMYFUNCTION("""COMPUTED_VALUE"""),"")</f>
        <v/>
      </c>
      <c r="N5049" t="str">
        <f>IFERROR(__xludf.DUMMYFUNCTION("""COMPUTED_VALUE"""),"")</f>
        <v/>
      </c>
      <c r="O5049" t="str">
        <f>IFERROR(__xludf.DUMMYFUNCTION("""COMPUTED_VALUE"""),"")</f>
        <v/>
      </c>
      <c r="P5049" t="str">
        <f>IFERROR(__xludf.DUMMYFUNCTION("""COMPUTED_VALUE"""),"ID ")</f>
        <v>ID </v>
      </c>
    </row>
    <row r="5050">
      <c r="A5050" s="6" t="str">
        <f>IFERROR(__xludf.DUMMYFUNCTION("""COMPUTED_VALUE"""),"")</f>
        <v/>
      </c>
      <c r="C5050" t="str">
        <f>IFERROR(__xludf.DUMMYFUNCTION("""COMPUTED_VALUE"""),"")</f>
        <v/>
      </c>
      <c r="D5050" t="str">
        <f>IFERROR(__xludf.DUMMYFUNCTION("""COMPUTED_VALUE"""),"")</f>
        <v/>
      </c>
      <c r="E5050" t="str">
        <f>IFERROR(__xludf.DUMMYFUNCTION("""COMPUTED_VALUE"""),"")</f>
        <v/>
      </c>
      <c r="F5050" t="str">
        <f>IFERROR(__xludf.DUMMYFUNCTION("""COMPUTED_VALUE"""),"")</f>
        <v/>
      </c>
      <c r="G5050" t="str">
        <f>IFERROR(__xludf.DUMMYFUNCTION("""COMPUTED_VALUE"""),"")</f>
        <v/>
      </c>
      <c r="H5050" s="2" t="str">
        <f>IFERROR(__xludf.DUMMYFUNCTION("""COMPUTED_VALUE"""),"")</f>
        <v/>
      </c>
      <c r="I5050" s="2" t="str">
        <f>IFERROR(__xludf.DUMMYFUNCTION("""COMPUTED_VALUE"""),"")</f>
        <v/>
      </c>
      <c r="J5050" s="2">
        <f>IFERROR(__xludf.DUMMYFUNCTION("""COMPUTED_VALUE"""),0.0)</f>
        <v>0</v>
      </c>
      <c r="K5050" s="5" t="str">
        <f>IFERROR(__xludf.DUMMYFUNCTION("""COMPUTED_VALUE"""),"")</f>
        <v/>
      </c>
      <c r="L5050" t="str">
        <f>IFERROR(__xludf.DUMMYFUNCTION("""COMPUTED_VALUE"""),"")</f>
        <v/>
      </c>
      <c r="M5050" t="str">
        <f>IFERROR(__xludf.DUMMYFUNCTION("""COMPUTED_VALUE"""),"")</f>
        <v/>
      </c>
      <c r="N5050" t="str">
        <f>IFERROR(__xludf.DUMMYFUNCTION("""COMPUTED_VALUE"""),"")</f>
        <v/>
      </c>
      <c r="O5050" t="str">
        <f>IFERROR(__xludf.DUMMYFUNCTION("""COMPUTED_VALUE"""),"")</f>
        <v/>
      </c>
      <c r="P5050" t="str">
        <f>IFERROR(__xludf.DUMMYFUNCTION("""COMPUTED_VALUE"""),"ID ")</f>
        <v>ID </v>
      </c>
    </row>
    <row r="5051">
      <c r="A5051" s="6" t="str">
        <f>IFERROR(__xludf.DUMMYFUNCTION("""COMPUTED_VALUE"""),"")</f>
        <v/>
      </c>
      <c r="C5051" t="str">
        <f>IFERROR(__xludf.DUMMYFUNCTION("""COMPUTED_VALUE"""),"")</f>
        <v/>
      </c>
      <c r="D5051" t="str">
        <f>IFERROR(__xludf.DUMMYFUNCTION("""COMPUTED_VALUE"""),"")</f>
        <v/>
      </c>
      <c r="E5051" t="str">
        <f>IFERROR(__xludf.DUMMYFUNCTION("""COMPUTED_VALUE"""),"")</f>
        <v/>
      </c>
      <c r="F5051" t="str">
        <f>IFERROR(__xludf.DUMMYFUNCTION("""COMPUTED_VALUE"""),"")</f>
        <v/>
      </c>
      <c r="G5051" t="str">
        <f>IFERROR(__xludf.DUMMYFUNCTION("""COMPUTED_VALUE"""),"")</f>
        <v/>
      </c>
      <c r="H5051" s="2" t="str">
        <f>IFERROR(__xludf.DUMMYFUNCTION("""COMPUTED_VALUE"""),"")</f>
        <v/>
      </c>
      <c r="I5051" s="2" t="str">
        <f>IFERROR(__xludf.DUMMYFUNCTION("""COMPUTED_VALUE"""),"")</f>
        <v/>
      </c>
      <c r="J5051" s="2">
        <f>IFERROR(__xludf.DUMMYFUNCTION("""COMPUTED_VALUE"""),0.0)</f>
        <v>0</v>
      </c>
      <c r="K5051" s="5" t="str">
        <f>IFERROR(__xludf.DUMMYFUNCTION("""COMPUTED_VALUE"""),"")</f>
        <v/>
      </c>
      <c r="L5051" t="str">
        <f>IFERROR(__xludf.DUMMYFUNCTION("""COMPUTED_VALUE"""),"")</f>
        <v/>
      </c>
      <c r="M5051" t="str">
        <f>IFERROR(__xludf.DUMMYFUNCTION("""COMPUTED_VALUE"""),"")</f>
        <v/>
      </c>
      <c r="N5051" t="str">
        <f>IFERROR(__xludf.DUMMYFUNCTION("""COMPUTED_VALUE"""),"")</f>
        <v/>
      </c>
      <c r="O5051" t="str">
        <f>IFERROR(__xludf.DUMMYFUNCTION("""COMPUTED_VALUE"""),"")</f>
        <v/>
      </c>
      <c r="P5051" t="str">
        <f>IFERROR(__xludf.DUMMYFUNCTION("""COMPUTED_VALUE"""),"ID ")</f>
        <v>ID </v>
      </c>
    </row>
    <row r="5052">
      <c r="A5052" s="6" t="str">
        <f>IFERROR(__xludf.DUMMYFUNCTION("""COMPUTED_VALUE"""),"")</f>
        <v/>
      </c>
      <c r="C5052" t="str">
        <f>IFERROR(__xludf.DUMMYFUNCTION("""COMPUTED_VALUE"""),"")</f>
        <v/>
      </c>
      <c r="D5052" t="str">
        <f>IFERROR(__xludf.DUMMYFUNCTION("""COMPUTED_VALUE"""),"")</f>
        <v/>
      </c>
      <c r="E5052" t="str">
        <f>IFERROR(__xludf.DUMMYFUNCTION("""COMPUTED_VALUE"""),"")</f>
        <v/>
      </c>
      <c r="F5052" t="str">
        <f>IFERROR(__xludf.DUMMYFUNCTION("""COMPUTED_VALUE"""),"")</f>
        <v/>
      </c>
      <c r="G5052" t="str">
        <f>IFERROR(__xludf.DUMMYFUNCTION("""COMPUTED_VALUE"""),"")</f>
        <v/>
      </c>
      <c r="H5052" s="2" t="str">
        <f>IFERROR(__xludf.DUMMYFUNCTION("""COMPUTED_VALUE"""),"")</f>
        <v/>
      </c>
      <c r="I5052" s="2" t="str">
        <f>IFERROR(__xludf.DUMMYFUNCTION("""COMPUTED_VALUE"""),"")</f>
        <v/>
      </c>
      <c r="J5052" s="2">
        <f>IFERROR(__xludf.DUMMYFUNCTION("""COMPUTED_VALUE"""),0.0)</f>
        <v>0</v>
      </c>
      <c r="K5052" s="5" t="str">
        <f>IFERROR(__xludf.DUMMYFUNCTION("""COMPUTED_VALUE"""),"")</f>
        <v/>
      </c>
      <c r="L5052" t="str">
        <f>IFERROR(__xludf.DUMMYFUNCTION("""COMPUTED_VALUE"""),"")</f>
        <v/>
      </c>
      <c r="M5052" t="str">
        <f>IFERROR(__xludf.DUMMYFUNCTION("""COMPUTED_VALUE"""),"")</f>
        <v/>
      </c>
      <c r="N5052" t="str">
        <f>IFERROR(__xludf.DUMMYFUNCTION("""COMPUTED_VALUE"""),"")</f>
        <v/>
      </c>
      <c r="O5052" t="str">
        <f>IFERROR(__xludf.DUMMYFUNCTION("""COMPUTED_VALUE"""),"")</f>
        <v/>
      </c>
      <c r="P5052" t="str">
        <f>IFERROR(__xludf.DUMMYFUNCTION("""COMPUTED_VALUE"""),"ID ")</f>
        <v>ID </v>
      </c>
    </row>
    <row r="5053">
      <c r="A5053" s="6" t="str">
        <f>IFERROR(__xludf.DUMMYFUNCTION("""COMPUTED_VALUE"""),"")</f>
        <v/>
      </c>
      <c r="C5053" t="str">
        <f>IFERROR(__xludf.DUMMYFUNCTION("""COMPUTED_VALUE"""),"")</f>
        <v/>
      </c>
      <c r="D5053" t="str">
        <f>IFERROR(__xludf.DUMMYFUNCTION("""COMPUTED_VALUE"""),"")</f>
        <v/>
      </c>
      <c r="E5053" t="str">
        <f>IFERROR(__xludf.DUMMYFUNCTION("""COMPUTED_VALUE"""),"")</f>
        <v/>
      </c>
      <c r="F5053" t="str">
        <f>IFERROR(__xludf.DUMMYFUNCTION("""COMPUTED_VALUE"""),"")</f>
        <v/>
      </c>
      <c r="G5053" t="str">
        <f>IFERROR(__xludf.DUMMYFUNCTION("""COMPUTED_VALUE"""),"")</f>
        <v/>
      </c>
      <c r="H5053" s="2" t="str">
        <f>IFERROR(__xludf.DUMMYFUNCTION("""COMPUTED_VALUE"""),"")</f>
        <v/>
      </c>
      <c r="I5053" s="2" t="str">
        <f>IFERROR(__xludf.DUMMYFUNCTION("""COMPUTED_VALUE"""),"")</f>
        <v/>
      </c>
      <c r="J5053" s="2">
        <f>IFERROR(__xludf.DUMMYFUNCTION("""COMPUTED_VALUE"""),0.0)</f>
        <v>0</v>
      </c>
      <c r="K5053" s="5" t="str">
        <f>IFERROR(__xludf.DUMMYFUNCTION("""COMPUTED_VALUE"""),"")</f>
        <v/>
      </c>
      <c r="L5053" t="str">
        <f>IFERROR(__xludf.DUMMYFUNCTION("""COMPUTED_VALUE"""),"")</f>
        <v/>
      </c>
      <c r="M5053" t="str">
        <f>IFERROR(__xludf.DUMMYFUNCTION("""COMPUTED_VALUE"""),"")</f>
        <v/>
      </c>
      <c r="N5053" t="str">
        <f>IFERROR(__xludf.DUMMYFUNCTION("""COMPUTED_VALUE"""),"")</f>
        <v/>
      </c>
      <c r="O5053" t="str">
        <f>IFERROR(__xludf.DUMMYFUNCTION("""COMPUTED_VALUE"""),"")</f>
        <v/>
      </c>
      <c r="P5053" t="str">
        <f>IFERROR(__xludf.DUMMYFUNCTION("""COMPUTED_VALUE"""),"ID ")</f>
        <v>ID </v>
      </c>
    </row>
    <row r="5054">
      <c r="A5054" s="6" t="str">
        <f>IFERROR(__xludf.DUMMYFUNCTION("""COMPUTED_VALUE"""),"")</f>
        <v/>
      </c>
      <c r="C5054" t="str">
        <f>IFERROR(__xludf.DUMMYFUNCTION("""COMPUTED_VALUE"""),"")</f>
        <v/>
      </c>
      <c r="D5054" t="str">
        <f>IFERROR(__xludf.DUMMYFUNCTION("""COMPUTED_VALUE"""),"")</f>
        <v/>
      </c>
      <c r="E5054" t="str">
        <f>IFERROR(__xludf.DUMMYFUNCTION("""COMPUTED_VALUE"""),"")</f>
        <v/>
      </c>
      <c r="F5054" t="str">
        <f>IFERROR(__xludf.DUMMYFUNCTION("""COMPUTED_VALUE"""),"")</f>
        <v/>
      </c>
      <c r="G5054" t="str">
        <f>IFERROR(__xludf.DUMMYFUNCTION("""COMPUTED_VALUE"""),"")</f>
        <v/>
      </c>
      <c r="H5054" s="2" t="str">
        <f>IFERROR(__xludf.DUMMYFUNCTION("""COMPUTED_VALUE"""),"")</f>
        <v/>
      </c>
      <c r="I5054" s="2" t="str">
        <f>IFERROR(__xludf.DUMMYFUNCTION("""COMPUTED_VALUE"""),"")</f>
        <v/>
      </c>
      <c r="J5054" s="2">
        <f>IFERROR(__xludf.DUMMYFUNCTION("""COMPUTED_VALUE"""),0.0)</f>
        <v>0</v>
      </c>
      <c r="K5054" s="5" t="str">
        <f>IFERROR(__xludf.DUMMYFUNCTION("""COMPUTED_VALUE"""),"")</f>
        <v/>
      </c>
      <c r="L5054" t="str">
        <f>IFERROR(__xludf.DUMMYFUNCTION("""COMPUTED_VALUE"""),"")</f>
        <v/>
      </c>
      <c r="M5054" t="str">
        <f>IFERROR(__xludf.DUMMYFUNCTION("""COMPUTED_VALUE"""),"")</f>
        <v/>
      </c>
      <c r="N5054" t="str">
        <f>IFERROR(__xludf.DUMMYFUNCTION("""COMPUTED_VALUE"""),"")</f>
        <v/>
      </c>
      <c r="O5054" t="str">
        <f>IFERROR(__xludf.DUMMYFUNCTION("""COMPUTED_VALUE"""),"")</f>
        <v/>
      </c>
      <c r="P5054" t="str">
        <f>IFERROR(__xludf.DUMMYFUNCTION("""COMPUTED_VALUE"""),"ID ")</f>
        <v>ID </v>
      </c>
    </row>
    <row r="5055">
      <c r="A5055" s="6" t="str">
        <f>IFERROR(__xludf.DUMMYFUNCTION("""COMPUTED_VALUE"""),"")</f>
        <v/>
      </c>
      <c r="C5055" t="str">
        <f>IFERROR(__xludf.DUMMYFUNCTION("""COMPUTED_VALUE"""),"")</f>
        <v/>
      </c>
      <c r="D5055" t="str">
        <f>IFERROR(__xludf.DUMMYFUNCTION("""COMPUTED_VALUE"""),"")</f>
        <v/>
      </c>
      <c r="E5055" t="str">
        <f>IFERROR(__xludf.DUMMYFUNCTION("""COMPUTED_VALUE"""),"")</f>
        <v/>
      </c>
      <c r="F5055" t="str">
        <f>IFERROR(__xludf.DUMMYFUNCTION("""COMPUTED_VALUE"""),"")</f>
        <v/>
      </c>
      <c r="G5055" t="str">
        <f>IFERROR(__xludf.DUMMYFUNCTION("""COMPUTED_VALUE"""),"")</f>
        <v/>
      </c>
      <c r="H5055" s="2" t="str">
        <f>IFERROR(__xludf.DUMMYFUNCTION("""COMPUTED_VALUE"""),"")</f>
        <v/>
      </c>
      <c r="I5055" s="2" t="str">
        <f>IFERROR(__xludf.DUMMYFUNCTION("""COMPUTED_VALUE"""),"")</f>
        <v/>
      </c>
      <c r="J5055" s="2">
        <f>IFERROR(__xludf.DUMMYFUNCTION("""COMPUTED_VALUE"""),0.0)</f>
        <v>0</v>
      </c>
      <c r="K5055" s="5" t="str">
        <f>IFERROR(__xludf.DUMMYFUNCTION("""COMPUTED_VALUE"""),"")</f>
        <v/>
      </c>
      <c r="L5055" t="str">
        <f>IFERROR(__xludf.DUMMYFUNCTION("""COMPUTED_VALUE"""),"")</f>
        <v/>
      </c>
      <c r="M5055" t="str">
        <f>IFERROR(__xludf.DUMMYFUNCTION("""COMPUTED_VALUE"""),"")</f>
        <v/>
      </c>
      <c r="N5055" t="str">
        <f>IFERROR(__xludf.DUMMYFUNCTION("""COMPUTED_VALUE"""),"")</f>
        <v/>
      </c>
      <c r="O5055" t="str">
        <f>IFERROR(__xludf.DUMMYFUNCTION("""COMPUTED_VALUE"""),"")</f>
        <v/>
      </c>
      <c r="P5055" t="str">
        <f>IFERROR(__xludf.DUMMYFUNCTION("""COMPUTED_VALUE"""),"ID ")</f>
        <v>ID </v>
      </c>
    </row>
    <row r="5056">
      <c r="A5056" s="6" t="str">
        <f>IFERROR(__xludf.DUMMYFUNCTION("""COMPUTED_VALUE"""),"")</f>
        <v/>
      </c>
      <c r="C5056" t="str">
        <f>IFERROR(__xludf.DUMMYFUNCTION("""COMPUTED_VALUE"""),"")</f>
        <v/>
      </c>
      <c r="D5056" t="str">
        <f>IFERROR(__xludf.DUMMYFUNCTION("""COMPUTED_VALUE"""),"")</f>
        <v/>
      </c>
      <c r="E5056" t="str">
        <f>IFERROR(__xludf.DUMMYFUNCTION("""COMPUTED_VALUE"""),"")</f>
        <v/>
      </c>
      <c r="F5056" t="str">
        <f>IFERROR(__xludf.DUMMYFUNCTION("""COMPUTED_VALUE"""),"")</f>
        <v/>
      </c>
      <c r="G5056" t="str">
        <f>IFERROR(__xludf.DUMMYFUNCTION("""COMPUTED_VALUE"""),"")</f>
        <v/>
      </c>
      <c r="H5056" s="2" t="str">
        <f>IFERROR(__xludf.DUMMYFUNCTION("""COMPUTED_VALUE"""),"")</f>
        <v/>
      </c>
      <c r="I5056" s="2" t="str">
        <f>IFERROR(__xludf.DUMMYFUNCTION("""COMPUTED_VALUE"""),"")</f>
        <v/>
      </c>
      <c r="J5056" s="2">
        <f>IFERROR(__xludf.DUMMYFUNCTION("""COMPUTED_VALUE"""),0.0)</f>
        <v>0</v>
      </c>
      <c r="K5056" s="5" t="str">
        <f>IFERROR(__xludf.DUMMYFUNCTION("""COMPUTED_VALUE"""),"")</f>
        <v/>
      </c>
      <c r="L5056" t="str">
        <f>IFERROR(__xludf.DUMMYFUNCTION("""COMPUTED_VALUE"""),"")</f>
        <v/>
      </c>
      <c r="M5056" t="str">
        <f>IFERROR(__xludf.DUMMYFUNCTION("""COMPUTED_VALUE"""),"")</f>
        <v/>
      </c>
      <c r="N5056" t="str">
        <f>IFERROR(__xludf.DUMMYFUNCTION("""COMPUTED_VALUE"""),"")</f>
        <v/>
      </c>
      <c r="O5056" t="str">
        <f>IFERROR(__xludf.DUMMYFUNCTION("""COMPUTED_VALUE"""),"")</f>
        <v/>
      </c>
      <c r="P5056" t="str">
        <f>IFERROR(__xludf.DUMMYFUNCTION("""COMPUTED_VALUE"""),"ID ")</f>
        <v>ID </v>
      </c>
    </row>
    <row r="5057">
      <c r="A5057" s="6" t="str">
        <f>IFERROR(__xludf.DUMMYFUNCTION("""COMPUTED_VALUE"""),"")</f>
        <v/>
      </c>
      <c r="C5057" t="str">
        <f>IFERROR(__xludf.DUMMYFUNCTION("""COMPUTED_VALUE"""),"")</f>
        <v/>
      </c>
      <c r="D5057" t="str">
        <f>IFERROR(__xludf.DUMMYFUNCTION("""COMPUTED_VALUE"""),"")</f>
        <v/>
      </c>
      <c r="E5057" t="str">
        <f>IFERROR(__xludf.DUMMYFUNCTION("""COMPUTED_VALUE"""),"")</f>
        <v/>
      </c>
      <c r="F5057" t="str">
        <f>IFERROR(__xludf.DUMMYFUNCTION("""COMPUTED_VALUE"""),"")</f>
        <v/>
      </c>
      <c r="G5057" t="str">
        <f>IFERROR(__xludf.DUMMYFUNCTION("""COMPUTED_VALUE"""),"")</f>
        <v/>
      </c>
      <c r="H5057" s="2" t="str">
        <f>IFERROR(__xludf.DUMMYFUNCTION("""COMPUTED_VALUE"""),"")</f>
        <v/>
      </c>
      <c r="I5057" s="2" t="str">
        <f>IFERROR(__xludf.DUMMYFUNCTION("""COMPUTED_VALUE"""),"")</f>
        <v/>
      </c>
      <c r="J5057" s="2">
        <f>IFERROR(__xludf.DUMMYFUNCTION("""COMPUTED_VALUE"""),0.0)</f>
        <v>0</v>
      </c>
      <c r="K5057" s="5" t="str">
        <f>IFERROR(__xludf.DUMMYFUNCTION("""COMPUTED_VALUE"""),"")</f>
        <v/>
      </c>
      <c r="L5057" t="str">
        <f>IFERROR(__xludf.DUMMYFUNCTION("""COMPUTED_VALUE"""),"")</f>
        <v/>
      </c>
      <c r="M5057" t="str">
        <f>IFERROR(__xludf.DUMMYFUNCTION("""COMPUTED_VALUE"""),"")</f>
        <v/>
      </c>
      <c r="N5057" t="str">
        <f>IFERROR(__xludf.DUMMYFUNCTION("""COMPUTED_VALUE"""),"")</f>
        <v/>
      </c>
      <c r="O5057" t="str">
        <f>IFERROR(__xludf.DUMMYFUNCTION("""COMPUTED_VALUE"""),"")</f>
        <v/>
      </c>
      <c r="P5057" t="str">
        <f>IFERROR(__xludf.DUMMYFUNCTION("""COMPUTED_VALUE"""),"ID ")</f>
        <v>ID </v>
      </c>
    </row>
    <row r="5058">
      <c r="A5058" s="6" t="str">
        <f>IFERROR(__xludf.DUMMYFUNCTION("""COMPUTED_VALUE"""),"")</f>
        <v/>
      </c>
      <c r="C5058" t="str">
        <f>IFERROR(__xludf.DUMMYFUNCTION("""COMPUTED_VALUE"""),"")</f>
        <v/>
      </c>
      <c r="D5058" t="str">
        <f>IFERROR(__xludf.DUMMYFUNCTION("""COMPUTED_VALUE"""),"")</f>
        <v/>
      </c>
      <c r="E5058" t="str">
        <f>IFERROR(__xludf.DUMMYFUNCTION("""COMPUTED_VALUE"""),"")</f>
        <v/>
      </c>
      <c r="F5058" t="str">
        <f>IFERROR(__xludf.DUMMYFUNCTION("""COMPUTED_VALUE"""),"")</f>
        <v/>
      </c>
      <c r="G5058" t="str">
        <f>IFERROR(__xludf.DUMMYFUNCTION("""COMPUTED_VALUE"""),"")</f>
        <v/>
      </c>
      <c r="H5058" s="2" t="str">
        <f>IFERROR(__xludf.DUMMYFUNCTION("""COMPUTED_VALUE"""),"")</f>
        <v/>
      </c>
      <c r="I5058" s="2" t="str">
        <f>IFERROR(__xludf.DUMMYFUNCTION("""COMPUTED_VALUE"""),"")</f>
        <v/>
      </c>
      <c r="J5058" s="2">
        <f>IFERROR(__xludf.DUMMYFUNCTION("""COMPUTED_VALUE"""),0.0)</f>
        <v>0</v>
      </c>
      <c r="K5058" s="5" t="str">
        <f>IFERROR(__xludf.DUMMYFUNCTION("""COMPUTED_VALUE"""),"")</f>
        <v/>
      </c>
      <c r="L5058" t="str">
        <f>IFERROR(__xludf.DUMMYFUNCTION("""COMPUTED_VALUE"""),"")</f>
        <v/>
      </c>
      <c r="M5058" t="str">
        <f>IFERROR(__xludf.DUMMYFUNCTION("""COMPUTED_VALUE"""),"")</f>
        <v/>
      </c>
      <c r="N5058" t="str">
        <f>IFERROR(__xludf.DUMMYFUNCTION("""COMPUTED_VALUE"""),"")</f>
        <v/>
      </c>
      <c r="O5058" t="str">
        <f>IFERROR(__xludf.DUMMYFUNCTION("""COMPUTED_VALUE"""),"")</f>
        <v/>
      </c>
      <c r="P5058" t="str">
        <f>IFERROR(__xludf.DUMMYFUNCTION("""COMPUTED_VALUE"""),"ID ")</f>
        <v>ID </v>
      </c>
    </row>
    <row r="5059">
      <c r="A5059" s="6" t="str">
        <f>IFERROR(__xludf.DUMMYFUNCTION("""COMPUTED_VALUE"""),"")</f>
        <v/>
      </c>
      <c r="C5059" t="str">
        <f>IFERROR(__xludf.DUMMYFUNCTION("""COMPUTED_VALUE"""),"")</f>
        <v/>
      </c>
      <c r="D5059" t="str">
        <f>IFERROR(__xludf.DUMMYFUNCTION("""COMPUTED_VALUE"""),"")</f>
        <v/>
      </c>
      <c r="E5059" t="str">
        <f>IFERROR(__xludf.DUMMYFUNCTION("""COMPUTED_VALUE"""),"")</f>
        <v/>
      </c>
      <c r="F5059" t="str">
        <f>IFERROR(__xludf.DUMMYFUNCTION("""COMPUTED_VALUE"""),"")</f>
        <v/>
      </c>
      <c r="G5059" t="str">
        <f>IFERROR(__xludf.DUMMYFUNCTION("""COMPUTED_VALUE"""),"")</f>
        <v/>
      </c>
      <c r="H5059" s="2" t="str">
        <f>IFERROR(__xludf.DUMMYFUNCTION("""COMPUTED_VALUE"""),"")</f>
        <v/>
      </c>
      <c r="I5059" s="2" t="str">
        <f>IFERROR(__xludf.DUMMYFUNCTION("""COMPUTED_VALUE"""),"")</f>
        <v/>
      </c>
      <c r="J5059" s="2">
        <f>IFERROR(__xludf.DUMMYFUNCTION("""COMPUTED_VALUE"""),0.0)</f>
        <v>0</v>
      </c>
      <c r="K5059" s="5" t="str">
        <f>IFERROR(__xludf.DUMMYFUNCTION("""COMPUTED_VALUE"""),"")</f>
        <v/>
      </c>
      <c r="L5059" t="str">
        <f>IFERROR(__xludf.DUMMYFUNCTION("""COMPUTED_VALUE"""),"")</f>
        <v/>
      </c>
      <c r="M5059" t="str">
        <f>IFERROR(__xludf.DUMMYFUNCTION("""COMPUTED_VALUE"""),"")</f>
        <v/>
      </c>
      <c r="N5059" t="str">
        <f>IFERROR(__xludf.DUMMYFUNCTION("""COMPUTED_VALUE"""),"")</f>
        <v/>
      </c>
      <c r="O5059" t="str">
        <f>IFERROR(__xludf.DUMMYFUNCTION("""COMPUTED_VALUE"""),"")</f>
        <v/>
      </c>
      <c r="P5059" t="str">
        <f>IFERROR(__xludf.DUMMYFUNCTION("""COMPUTED_VALUE"""),"ID ")</f>
        <v>ID </v>
      </c>
    </row>
    <row r="5060">
      <c r="A5060" s="6" t="str">
        <f>IFERROR(__xludf.DUMMYFUNCTION("""COMPUTED_VALUE"""),"")</f>
        <v/>
      </c>
      <c r="C5060" t="str">
        <f>IFERROR(__xludf.DUMMYFUNCTION("""COMPUTED_VALUE"""),"")</f>
        <v/>
      </c>
      <c r="D5060" t="str">
        <f>IFERROR(__xludf.DUMMYFUNCTION("""COMPUTED_VALUE"""),"")</f>
        <v/>
      </c>
      <c r="E5060" t="str">
        <f>IFERROR(__xludf.DUMMYFUNCTION("""COMPUTED_VALUE"""),"")</f>
        <v/>
      </c>
      <c r="F5060" t="str">
        <f>IFERROR(__xludf.DUMMYFUNCTION("""COMPUTED_VALUE"""),"")</f>
        <v/>
      </c>
      <c r="G5060" t="str">
        <f>IFERROR(__xludf.DUMMYFUNCTION("""COMPUTED_VALUE"""),"")</f>
        <v/>
      </c>
      <c r="H5060" s="2" t="str">
        <f>IFERROR(__xludf.DUMMYFUNCTION("""COMPUTED_VALUE"""),"")</f>
        <v/>
      </c>
      <c r="I5060" s="2" t="str">
        <f>IFERROR(__xludf.DUMMYFUNCTION("""COMPUTED_VALUE"""),"")</f>
        <v/>
      </c>
      <c r="J5060" s="2">
        <f>IFERROR(__xludf.DUMMYFUNCTION("""COMPUTED_VALUE"""),0.0)</f>
        <v>0</v>
      </c>
      <c r="K5060" s="5" t="str">
        <f>IFERROR(__xludf.DUMMYFUNCTION("""COMPUTED_VALUE"""),"")</f>
        <v/>
      </c>
      <c r="L5060" t="str">
        <f>IFERROR(__xludf.DUMMYFUNCTION("""COMPUTED_VALUE"""),"")</f>
        <v/>
      </c>
      <c r="M5060" t="str">
        <f>IFERROR(__xludf.DUMMYFUNCTION("""COMPUTED_VALUE"""),"")</f>
        <v/>
      </c>
      <c r="N5060" t="str">
        <f>IFERROR(__xludf.DUMMYFUNCTION("""COMPUTED_VALUE"""),"")</f>
        <v/>
      </c>
      <c r="O5060" t="str">
        <f>IFERROR(__xludf.DUMMYFUNCTION("""COMPUTED_VALUE"""),"")</f>
        <v/>
      </c>
      <c r="P5060" t="str">
        <f>IFERROR(__xludf.DUMMYFUNCTION("""COMPUTED_VALUE"""),"ID ")</f>
        <v>ID </v>
      </c>
    </row>
    <row r="5061">
      <c r="A5061" s="6" t="str">
        <f>IFERROR(__xludf.DUMMYFUNCTION("""COMPUTED_VALUE"""),"")</f>
        <v/>
      </c>
      <c r="C5061" t="str">
        <f>IFERROR(__xludf.DUMMYFUNCTION("""COMPUTED_VALUE"""),"")</f>
        <v/>
      </c>
      <c r="D5061" t="str">
        <f>IFERROR(__xludf.DUMMYFUNCTION("""COMPUTED_VALUE"""),"")</f>
        <v/>
      </c>
      <c r="E5061" t="str">
        <f>IFERROR(__xludf.DUMMYFUNCTION("""COMPUTED_VALUE"""),"")</f>
        <v/>
      </c>
      <c r="F5061" t="str">
        <f>IFERROR(__xludf.DUMMYFUNCTION("""COMPUTED_VALUE"""),"")</f>
        <v/>
      </c>
      <c r="G5061" t="str">
        <f>IFERROR(__xludf.DUMMYFUNCTION("""COMPUTED_VALUE"""),"")</f>
        <v/>
      </c>
      <c r="H5061" s="2" t="str">
        <f>IFERROR(__xludf.DUMMYFUNCTION("""COMPUTED_VALUE"""),"")</f>
        <v/>
      </c>
      <c r="I5061" s="2" t="str">
        <f>IFERROR(__xludf.DUMMYFUNCTION("""COMPUTED_VALUE"""),"")</f>
        <v/>
      </c>
      <c r="J5061" s="2">
        <f>IFERROR(__xludf.DUMMYFUNCTION("""COMPUTED_VALUE"""),0.0)</f>
        <v>0</v>
      </c>
      <c r="K5061" s="5" t="str">
        <f>IFERROR(__xludf.DUMMYFUNCTION("""COMPUTED_VALUE"""),"")</f>
        <v/>
      </c>
      <c r="L5061" t="str">
        <f>IFERROR(__xludf.DUMMYFUNCTION("""COMPUTED_VALUE"""),"")</f>
        <v/>
      </c>
      <c r="M5061" t="str">
        <f>IFERROR(__xludf.DUMMYFUNCTION("""COMPUTED_VALUE"""),"")</f>
        <v/>
      </c>
      <c r="N5061" t="str">
        <f>IFERROR(__xludf.DUMMYFUNCTION("""COMPUTED_VALUE"""),"")</f>
        <v/>
      </c>
      <c r="O5061" t="str">
        <f>IFERROR(__xludf.DUMMYFUNCTION("""COMPUTED_VALUE"""),"")</f>
        <v/>
      </c>
      <c r="P5061" t="str">
        <f>IFERROR(__xludf.DUMMYFUNCTION("""COMPUTED_VALUE"""),"ID ")</f>
        <v>ID </v>
      </c>
    </row>
    <row r="5062">
      <c r="A5062" s="6" t="str">
        <f>IFERROR(__xludf.DUMMYFUNCTION("""COMPUTED_VALUE"""),"")</f>
        <v/>
      </c>
      <c r="C5062" t="str">
        <f>IFERROR(__xludf.DUMMYFUNCTION("""COMPUTED_VALUE"""),"")</f>
        <v/>
      </c>
      <c r="D5062" t="str">
        <f>IFERROR(__xludf.DUMMYFUNCTION("""COMPUTED_VALUE"""),"")</f>
        <v/>
      </c>
      <c r="E5062" t="str">
        <f>IFERROR(__xludf.DUMMYFUNCTION("""COMPUTED_VALUE"""),"")</f>
        <v/>
      </c>
      <c r="F5062" t="str">
        <f>IFERROR(__xludf.DUMMYFUNCTION("""COMPUTED_VALUE"""),"")</f>
        <v/>
      </c>
      <c r="G5062" t="str">
        <f>IFERROR(__xludf.DUMMYFUNCTION("""COMPUTED_VALUE"""),"")</f>
        <v/>
      </c>
      <c r="H5062" s="2" t="str">
        <f>IFERROR(__xludf.DUMMYFUNCTION("""COMPUTED_VALUE"""),"")</f>
        <v/>
      </c>
      <c r="I5062" s="2" t="str">
        <f>IFERROR(__xludf.DUMMYFUNCTION("""COMPUTED_VALUE"""),"")</f>
        <v/>
      </c>
      <c r="J5062" s="2">
        <f>IFERROR(__xludf.DUMMYFUNCTION("""COMPUTED_VALUE"""),0.0)</f>
        <v>0</v>
      </c>
      <c r="K5062" s="5" t="str">
        <f>IFERROR(__xludf.DUMMYFUNCTION("""COMPUTED_VALUE"""),"")</f>
        <v/>
      </c>
      <c r="L5062" t="str">
        <f>IFERROR(__xludf.DUMMYFUNCTION("""COMPUTED_VALUE"""),"")</f>
        <v/>
      </c>
      <c r="M5062" t="str">
        <f>IFERROR(__xludf.DUMMYFUNCTION("""COMPUTED_VALUE"""),"")</f>
        <v/>
      </c>
      <c r="N5062" t="str">
        <f>IFERROR(__xludf.DUMMYFUNCTION("""COMPUTED_VALUE"""),"")</f>
        <v/>
      </c>
      <c r="O5062" t="str">
        <f>IFERROR(__xludf.DUMMYFUNCTION("""COMPUTED_VALUE"""),"")</f>
        <v/>
      </c>
      <c r="P5062" t="str">
        <f>IFERROR(__xludf.DUMMYFUNCTION("""COMPUTED_VALUE"""),"ID ")</f>
        <v>ID </v>
      </c>
    </row>
    <row r="5063">
      <c r="A5063" s="6" t="str">
        <f>IFERROR(__xludf.DUMMYFUNCTION("""COMPUTED_VALUE"""),"")</f>
        <v/>
      </c>
      <c r="C5063" t="str">
        <f>IFERROR(__xludf.DUMMYFUNCTION("""COMPUTED_VALUE"""),"")</f>
        <v/>
      </c>
      <c r="D5063" t="str">
        <f>IFERROR(__xludf.DUMMYFUNCTION("""COMPUTED_VALUE"""),"")</f>
        <v/>
      </c>
      <c r="E5063" t="str">
        <f>IFERROR(__xludf.DUMMYFUNCTION("""COMPUTED_VALUE"""),"")</f>
        <v/>
      </c>
      <c r="F5063" t="str">
        <f>IFERROR(__xludf.DUMMYFUNCTION("""COMPUTED_VALUE"""),"")</f>
        <v/>
      </c>
      <c r="G5063" t="str">
        <f>IFERROR(__xludf.DUMMYFUNCTION("""COMPUTED_VALUE"""),"")</f>
        <v/>
      </c>
      <c r="H5063" s="2" t="str">
        <f>IFERROR(__xludf.DUMMYFUNCTION("""COMPUTED_VALUE"""),"")</f>
        <v/>
      </c>
      <c r="I5063" s="2" t="str">
        <f>IFERROR(__xludf.DUMMYFUNCTION("""COMPUTED_VALUE"""),"")</f>
        <v/>
      </c>
      <c r="J5063" s="2">
        <f>IFERROR(__xludf.DUMMYFUNCTION("""COMPUTED_VALUE"""),0.0)</f>
        <v>0</v>
      </c>
      <c r="K5063" s="5" t="str">
        <f>IFERROR(__xludf.DUMMYFUNCTION("""COMPUTED_VALUE"""),"")</f>
        <v/>
      </c>
      <c r="L5063" t="str">
        <f>IFERROR(__xludf.DUMMYFUNCTION("""COMPUTED_VALUE"""),"")</f>
        <v/>
      </c>
      <c r="M5063" t="str">
        <f>IFERROR(__xludf.DUMMYFUNCTION("""COMPUTED_VALUE"""),"")</f>
        <v/>
      </c>
      <c r="N5063" t="str">
        <f>IFERROR(__xludf.DUMMYFUNCTION("""COMPUTED_VALUE"""),"")</f>
        <v/>
      </c>
      <c r="O5063" t="str">
        <f>IFERROR(__xludf.DUMMYFUNCTION("""COMPUTED_VALUE"""),"")</f>
        <v/>
      </c>
      <c r="P5063" t="str">
        <f>IFERROR(__xludf.DUMMYFUNCTION("""COMPUTED_VALUE"""),"ID ")</f>
        <v>ID </v>
      </c>
    </row>
    <row r="5064">
      <c r="A5064" s="6" t="str">
        <f>IFERROR(__xludf.DUMMYFUNCTION("""COMPUTED_VALUE"""),"")</f>
        <v/>
      </c>
      <c r="C5064" t="str">
        <f>IFERROR(__xludf.DUMMYFUNCTION("""COMPUTED_VALUE"""),"")</f>
        <v/>
      </c>
      <c r="D5064" t="str">
        <f>IFERROR(__xludf.DUMMYFUNCTION("""COMPUTED_VALUE"""),"")</f>
        <v/>
      </c>
      <c r="E5064" t="str">
        <f>IFERROR(__xludf.DUMMYFUNCTION("""COMPUTED_VALUE"""),"")</f>
        <v/>
      </c>
      <c r="F5064" t="str">
        <f>IFERROR(__xludf.DUMMYFUNCTION("""COMPUTED_VALUE"""),"")</f>
        <v/>
      </c>
      <c r="G5064" t="str">
        <f>IFERROR(__xludf.DUMMYFUNCTION("""COMPUTED_VALUE"""),"")</f>
        <v/>
      </c>
      <c r="H5064" s="2" t="str">
        <f>IFERROR(__xludf.DUMMYFUNCTION("""COMPUTED_VALUE"""),"")</f>
        <v/>
      </c>
      <c r="I5064" s="2" t="str">
        <f>IFERROR(__xludf.DUMMYFUNCTION("""COMPUTED_VALUE"""),"")</f>
        <v/>
      </c>
      <c r="J5064" s="2">
        <f>IFERROR(__xludf.DUMMYFUNCTION("""COMPUTED_VALUE"""),0.0)</f>
        <v>0</v>
      </c>
      <c r="K5064" s="5" t="str">
        <f>IFERROR(__xludf.DUMMYFUNCTION("""COMPUTED_VALUE"""),"")</f>
        <v/>
      </c>
      <c r="L5064" t="str">
        <f>IFERROR(__xludf.DUMMYFUNCTION("""COMPUTED_VALUE"""),"")</f>
        <v/>
      </c>
      <c r="M5064" t="str">
        <f>IFERROR(__xludf.DUMMYFUNCTION("""COMPUTED_VALUE"""),"")</f>
        <v/>
      </c>
      <c r="N5064" t="str">
        <f>IFERROR(__xludf.DUMMYFUNCTION("""COMPUTED_VALUE"""),"")</f>
        <v/>
      </c>
      <c r="O5064" t="str">
        <f>IFERROR(__xludf.DUMMYFUNCTION("""COMPUTED_VALUE"""),"")</f>
        <v/>
      </c>
      <c r="P5064" t="str">
        <f>IFERROR(__xludf.DUMMYFUNCTION("""COMPUTED_VALUE"""),"ID ")</f>
        <v>ID </v>
      </c>
    </row>
    <row r="5065">
      <c r="A5065" s="6" t="str">
        <f>IFERROR(__xludf.DUMMYFUNCTION("""COMPUTED_VALUE"""),"")</f>
        <v/>
      </c>
      <c r="C5065" t="str">
        <f>IFERROR(__xludf.DUMMYFUNCTION("""COMPUTED_VALUE"""),"")</f>
        <v/>
      </c>
      <c r="D5065" t="str">
        <f>IFERROR(__xludf.DUMMYFUNCTION("""COMPUTED_VALUE"""),"")</f>
        <v/>
      </c>
      <c r="E5065" t="str">
        <f>IFERROR(__xludf.DUMMYFUNCTION("""COMPUTED_VALUE"""),"")</f>
        <v/>
      </c>
      <c r="F5065" t="str">
        <f>IFERROR(__xludf.DUMMYFUNCTION("""COMPUTED_VALUE"""),"")</f>
        <v/>
      </c>
      <c r="G5065" t="str">
        <f>IFERROR(__xludf.DUMMYFUNCTION("""COMPUTED_VALUE"""),"")</f>
        <v/>
      </c>
      <c r="H5065" s="2" t="str">
        <f>IFERROR(__xludf.DUMMYFUNCTION("""COMPUTED_VALUE"""),"")</f>
        <v/>
      </c>
      <c r="I5065" s="2" t="str">
        <f>IFERROR(__xludf.DUMMYFUNCTION("""COMPUTED_VALUE"""),"")</f>
        <v/>
      </c>
      <c r="J5065" s="2">
        <f>IFERROR(__xludf.DUMMYFUNCTION("""COMPUTED_VALUE"""),0.0)</f>
        <v>0</v>
      </c>
      <c r="K5065" s="5" t="str">
        <f>IFERROR(__xludf.DUMMYFUNCTION("""COMPUTED_VALUE"""),"")</f>
        <v/>
      </c>
      <c r="L5065" t="str">
        <f>IFERROR(__xludf.DUMMYFUNCTION("""COMPUTED_VALUE"""),"")</f>
        <v/>
      </c>
      <c r="M5065" t="str">
        <f>IFERROR(__xludf.DUMMYFUNCTION("""COMPUTED_VALUE"""),"")</f>
        <v/>
      </c>
      <c r="N5065" t="str">
        <f>IFERROR(__xludf.DUMMYFUNCTION("""COMPUTED_VALUE"""),"")</f>
        <v/>
      </c>
      <c r="O5065" t="str">
        <f>IFERROR(__xludf.DUMMYFUNCTION("""COMPUTED_VALUE"""),"")</f>
        <v/>
      </c>
      <c r="P5065" t="str">
        <f>IFERROR(__xludf.DUMMYFUNCTION("""COMPUTED_VALUE"""),"ID ")</f>
        <v>ID </v>
      </c>
    </row>
    <row r="5066">
      <c r="A5066" s="6" t="str">
        <f>IFERROR(__xludf.DUMMYFUNCTION("""COMPUTED_VALUE"""),"")</f>
        <v/>
      </c>
      <c r="C5066" t="str">
        <f>IFERROR(__xludf.DUMMYFUNCTION("""COMPUTED_VALUE"""),"")</f>
        <v/>
      </c>
      <c r="D5066" t="str">
        <f>IFERROR(__xludf.DUMMYFUNCTION("""COMPUTED_VALUE"""),"")</f>
        <v/>
      </c>
      <c r="E5066" t="str">
        <f>IFERROR(__xludf.DUMMYFUNCTION("""COMPUTED_VALUE"""),"")</f>
        <v/>
      </c>
      <c r="F5066" t="str">
        <f>IFERROR(__xludf.DUMMYFUNCTION("""COMPUTED_VALUE"""),"")</f>
        <v/>
      </c>
      <c r="G5066" t="str">
        <f>IFERROR(__xludf.DUMMYFUNCTION("""COMPUTED_VALUE"""),"")</f>
        <v/>
      </c>
      <c r="H5066" s="2" t="str">
        <f>IFERROR(__xludf.DUMMYFUNCTION("""COMPUTED_VALUE"""),"")</f>
        <v/>
      </c>
      <c r="I5066" s="2" t="str">
        <f>IFERROR(__xludf.DUMMYFUNCTION("""COMPUTED_VALUE"""),"")</f>
        <v/>
      </c>
      <c r="J5066" s="2">
        <f>IFERROR(__xludf.DUMMYFUNCTION("""COMPUTED_VALUE"""),0.0)</f>
        <v>0</v>
      </c>
      <c r="K5066" s="5" t="str">
        <f>IFERROR(__xludf.DUMMYFUNCTION("""COMPUTED_VALUE"""),"")</f>
        <v/>
      </c>
      <c r="L5066" t="str">
        <f>IFERROR(__xludf.DUMMYFUNCTION("""COMPUTED_VALUE"""),"")</f>
        <v/>
      </c>
      <c r="M5066" t="str">
        <f>IFERROR(__xludf.DUMMYFUNCTION("""COMPUTED_VALUE"""),"")</f>
        <v/>
      </c>
      <c r="N5066" t="str">
        <f>IFERROR(__xludf.DUMMYFUNCTION("""COMPUTED_VALUE"""),"")</f>
        <v/>
      </c>
      <c r="O5066" t="str">
        <f>IFERROR(__xludf.DUMMYFUNCTION("""COMPUTED_VALUE"""),"")</f>
        <v/>
      </c>
      <c r="P5066" t="str">
        <f>IFERROR(__xludf.DUMMYFUNCTION("""COMPUTED_VALUE"""),"ID ")</f>
        <v>ID </v>
      </c>
    </row>
    <row r="5067">
      <c r="A5067" s="6" t="str">
        <f>IFERROR(__xludf.DUMMYFUNCTION("""COMPUTED_VALUE"""),"")</f>
        <v/>
      </c>
      <c r="C5067" t="str">
        <f>IFERROR(__xludf.DUMMYFUNCTION("""COMPUTED_VALUE"""),"")</f>
        <v/>
      </c>
      <c r="D5067" t="str">
        <f>IFERROR(__xludf.DUMMYFUNCTION("""COMPUTED_VALUE"""),"")</f>
        <v/>
      </c>
      <c r="E5067" t="str">
        <f>IFERROR(__xludf.DUMMYFUNCTION("""COMPUTED_VALUE"""),"")</f>
        <v/>
      </c>
      <c r="F5067" t="str">
        <f>IFERROR(__xludf.DUMMYFUNCTION("""COMPUTED_VALUE"""),"")</f>
        <v/>
      </c>
      <c r="G5067" t="str">
        <f>IFERROR(__xludf.DUMMYFUNCTION("""COMPUTED_VALUE"""),"")</f>
        <v/>
      </c>
      <c r="H5067" s="2" t="str">
        <f>IFERROR(__xludf.DUMMYFUNCTION("""COMPUTED_VALUE"""),"")</f>
        <v/>
      </c>
      <c r="I5067" s="2" t="str">
        <f>IFERROR(__xludf.DUMMYFUNCTION("""COMPUTED_VALUE"""),"")</f>
        <v/>
      </c>
      <c r="J5067" s="2">
        <f>IFERROR(__xludf.DUMMYFUNCTION("""COMPUTED_VALUE"""),0.0)</f>
        <v>0</v>
      </c>
      <c r="K5067" s="5" t="str">
        <f>IFERROR(__xludf.DUMMYFUNCTION("""COMPUTED_VALUE"""),"")</f>
        <v/>
      </c>
      <c r="L5067" t="str">
        <f>IFERROR(__xludf.DUMMYFUNCTION("""COMPUTED_VALUE"""),"")</f>
        <v/>
      </c>
      <c r="M5067" t="str">
        <f>IFERROR(__xludf.DUMMYFUNCTION("""COMPUTED_VALUE"""),"")</f>
        <v/>
      </c>
      <c r="N5067" t="str">
        <f>IFERROR(__xludf.DUMMYFUNCTION("""COMPUTED_VALUE"""),"")</f>
        <v/>
      </c>
      <c r="O5067" t="str">
        <f>IFERROR(__xludf.DUMMYFUNCTION("""COMPUTED_VALUE"""),"")</f>
        <v/>
      </c>
      <c r="P5067" t="str">
        <f>IFERROR(__xludf.DUMMYFUNCTION("""COMPUTED_VALUE"""),"ID ")</f>
        <v>ID </v>
      </c>
    </row>
    <row r="5068">
      <c r="A5068" s="6" t="str">
        <f>IFERROR(__xludf.DUMMYFUNCTION("""COMPUTED_VALUE"""),"")</f>
        <v/>
      </c>
      <c r="C5068" t="str">
        <f>IFERROR(__xludf.DUMMYFUNCTION("""COMPUTED_VALUE"""),"")</f>
        <v/>
      </c>
      <c r="D5068" t="str">
        <f>IFERROR(__xludf.DUMMYFUNCTION("""COMPUTED_VALUE"""),"")</f>
        <v/>
      </c>
      <c r="E5068" t="str">
        <f>IFERROR(__xludf.DUMMYFUNCTION("""COMPUTED_VALUE"""),"")</f>
        <v/>
      </c>
      <c r="F5068" t="str">
        <f>IFERROR(__xludf.DUMMYFUNCTION("""COMPUTED_VALUE"""),"")</f>
        <v/>
      </c>
      <c r="G5068" t="str">
        <f>IFERROR(__xludf.DUMMYFUNCTION("""COMPUTED_VALUE"""),"")</f>
        <v/>
      </c>
      <c r="H5068" s="2" t="str">
        <f>IFERROR(__xludf.DUMMYFUNCTION("""COMPUTED_VALUE"""),"")</f>
        <v/>
      </c>
      <c r="I5068" s="2" t="str">
        <f>IFERROR(__xludf.DUMMYFUNCTION("""COMPUTED_VALUE"""),"")</f>
        <v/>
      </c>
      <c r="J5068" s="2">
        <f>IFERROR(__xludf.DUMMYFUNCTION("""COMPUTED_VALUE"""),0.0)</f>
        <v>0</v>
      </c>
      <c r="K5068" s="5" t="str">
        <f>IFERROR(__xludf.DUMMYFUNCTION("""COMPUTED_VALUE"""),"")</f>
        <v/>
      </c>
      <c r="L5068" t="str">
        <f>IFERROR(__xludf.DUMMYFUNCTION("""COMPUTED_VALUE"""),"")</f>
        <v/>
      </c>
      <c r="M5068" t="str">
        <f>IFERROR(__xludf.DUMMYFUNCTION("""COMPUTED_VALUE"""),"")</f>
        <v/>
      </c>
      <c r="N5068" t="str">
        <f>IFERROR(__xludf.DUMMYFUNCTION("""COMPUTED_VALUE"""),"")</f>
        <v/>
      </c>
      <c r="O5068" t="str">
        <f>IFERROR(__xludf.DUMMYFUNCTION("""COMPUTED_VALUE"""),"")</f>
        <v/>
      </c>
      <c r="P5068" t="str">
        <f>IFERROR(__xludf.DUMMYFUNCTION("""COMPUTED_VALUE"""),"ID ")</f>
        <v>ID </v>
      </c>
    </row>
    <row r="5069">
      <c r="A5069" s="6" t="str">
        <f>IFERROR(__xludf.DUMMYFUNCTION("""COMPUTED_VALUE"""),"")</f>
        <v/>
      </c>
      <c r="C5069" t="str">
        <f>IFERROR(__xludf.DUMMYFUNCTION("""COMPUTED_VALUE"""),"")</f>
        <v/>
      </c>
      <c r="D5069" t="str">
        <f>IFERROR(__xludf.DUMMYFUNCTION("""COMPUTED_VALUE"""),"")</f>
        <v/>
      </c>
      <c r="E5069" t="str">
        <f>IFERROR(__xludf.DUMMYFUNCTION("""COMPUTED_VALUE"""),"")</f>
        <v/>
      </c>
      <c r="F5069" t="str">
        <f>IFERROR(__xludf.DUMMYFUNCTION("""COMPUTED_VALUE"""),"")</f>
        <v/>
      </c>
      <c r="G5069" t="str">
        <f>IFERROR(__xludf.DUMMYFUNCTION("""COMPUTED_VALUE"""),"")</f>
        <v/>
      </c>
      <c r="H5069" s="2" t="str">
        <f>IFERROR(__xludf.DUMMYFUNCTION("""COMPUTED_VALUE"""),"")</f>
        <v/>
      </c>
      <c r="I5069" s="2" t="str">
        <f>IFERROR(__xludf.DUMMYFUNCTION("""COMPUTED_VALUE"""),"")</f>
        <v/>
      </c>
      <c r="J5069" s="2">
        <f>IFERROR(__xludf.DUMMYFUNCTION("""COMPUTED_VALUE"""),0.0)</f>
        <v>0</v>
      </c>
      <c r="K5069" s="5" t="str">
        <f>IFERROR(__xludf.DUMMYFUNCTION("""COMPUTED_VALUE"""),"")</f>
        <v/>
      </c>
      <c r="L5069" t="str">
        <f>IFERROR(__xludf.DUMMYFUNCTION("""COMPUTED_VALUE"""),"")</f>
        <v/>
      </c>
      <c r="M5069" t="str">
        <f>IFERROR(__xludf.DUMMYFUNCTION("""COMPUTED_VALUE"""),"")</f>
        <v/>
      </c>
      <c r="N5069" t="str">
        <f>IFERROR(__xludf.DUMMYFUNCTION("""COMPUTED_VALUE"""),"")</f>
        <v/>
      </c>
      <c r="O5069" t="str">
        <f>IFERROR(__xludf.DUMMYFUNCTION("""COMPUTED_VALUE"""),"")</f>
        <v/>
      </c>
      <c r="P5069" t="str">
        <f>IFERROR(__xludf.DUMMYFUNCTION("""COMPUTED_VALUE"""),"ID ")</f>
        <v>ID </v>
      </c>
    </row>
    <row r="5070">
      <c r="A5070" s="6" t="str">
        <f>IFERROR(__xludf.DUMMYFUNCTION("""COMPUTED_VALUE"""),"")</f>
        <v/>
      </c>
      <c r="C5070" t="str">
        <f>IFERROR(__xludf.DUMMYFUNCTION("""COMPUTED_VALUE"""),"")</f>
        <v/>
      </c>
      <c r="D5070" t="str">
        <f>IFERROR(__xludf.DUMMYFUNCTION("""COMPUTED_VALUE"""),"")</f>
        <v/>
      </c>
      <c r="E5070" t="str">
        <f>IFERROR(__xludf.DUMMYFUNCTION("""COMPUTED_VALUE"""),"")</f>
        <v/>
      </c>
      <c r="F5070" t="str">
        <f>IFERROR(__xludf.DUMMYFUNCTION("""COMPUTED_VALUE"""),"")</f>
        <v/>
      </c>
      <c r="G5070" t="str">
        <f>IFERROR(__xludf.DUMMYFUNCTION("""COMPUTED_VALUE"""),"")</f>
        <v/>
      </c>
      <c r="H5070" s="2" t="str">
        <f>IFERROR(__xludf.DUMMYFUNCTION("""COMPUTED_VALUE"""),"")</f>
        <v/>
      </c>
      <c r="I5070" s="2" t="str">
        <f>IFERROR(__xludf.DUMMYFUNCTION("""COMPUTED_VALUE"""),"")</f>
        <v/>
      </c>
      <c r="J5070" s="2">
        <f>IFERROR(__xludf.DUMMYFUNCTION("""COMPUTED_VALUE"""),0.0)</f>
        <v>0</v>
      </c>
      <c r="K5070" s="5" t="str">
        <f>IFERROR(__xludf.DUMMYFUNCTION("""COMPUTED_VALUE"""),"")</f>
        <v/>
      </c>
      <c r="L5070" t="str">
        <f>IFERROR(__xludf.DUMMYFUNCTION("""COMPUTED_VALUE"""),"")</f>
        <v/>
      </c>
      <c r="M5070" t="str">
        <f>IFERROR(__xludf.DUMMYFUNCTION("""COMPUTED_VALUE"""),"")</f>
        <v/>
      </c>
      <c r="N5070" t="str">
        <f>IFERROR(__xludf.DUMMYFUNCTION("""COMPUTED_VALUE"""),"")</f>
        <v/>
      </c>
      <c r="O5070" t="str">
        <f>IFERROR(__xludf.DUMMYFUNCTION("""COMPUTED_VALUE"""),"")</f>
        <v/>
      </c>
      <c r="P5070" t="str">
        <f>IFERROR(__xludf.DUMMYFUNCTION("""COMPUTED_VALUE"""),"ID ")</f>
        <v>ID </v>
      </c>
    </row>
    <row r="5071">
      <c r="A5071" s="6" t="str">
        <f>IFERROR(__xludf.DUMMYFUNCTION("""COMPUTED_VALUE"""),"")</f>
        <v/>
      </c>
      <c r="C5071" t="str">
        <f>IFERROR(__xludf.DUMMYFUNCTION("""COMPUTED_VALUE"""),"")</f>
        <v/>
      </c>
      <c r="D5071" t="str">
        <f>IFERROR(__xludf.DUMMYFUNCTION("""COMPUTED_VALUE"""),"")</f>
        <v/>
      </c>
      <c r="E5071" t="str">
        <f>IFERROR(__xludf.DUMMYFUNCTION("""COMPUTED_VALUE"""),"")</f>
        <v/>
      </c>
      <c r="F5071" t="str">
        <f>IFERROR(__xludf.DUMMYFUNCTION("""COMPUTED_VALUE"""),"")</f>
        <v/>
      </c>
      <c r="G5071" t="str">
        <f>IFERROR(__xludf.DUMMYFUNCTION("""COMPUTED_VALUE"""),"")</f>
        <v/>
      </c>
      <c r="H5071" s="2" t="str">
        <f>IFERROR(__xludf.DUMMYFUNCTION("""COMPUTED_VALUE"""),"")</f>
        <v/>
      </c>
      <c r="I5071" s="2" t="str">
        <f>IFERROR(__xludf.DUMMYFUNCTION("""COMPUTED_VALUE"""),"")</f>
        <v/>
      </c>
      <c r="J5071" s="2">
        <f>IFERROR(__xludf.DUMMYFUNCTION("""COMPUTED_VALUE"""),0.0)</f>
        <v>0</v>
      </c>
      <c r="K5071" s="5" t="str">
        <f>IFERROR(__xludf.DUMMYFUNCTION("""COMPUTED_VALUE"""),"")</f>
        <v/>
      </c>
      <c r="L5071" t="str">
        <f>IFERROR(__xludf.DUMMYFUNCTION("""COMPUTED_VALUE"""),"")</f>
        <v/>
      </c>
      <c r="M5071" t="str">
        <f>IFERROR(__xludf.DUMMYFUNCTION("""COMPUTED_VALUE"""),"")</f>
        <v/>
      </c>
      <c r="N5071" t="str">
        <f>IFERROR(__xludf.DUMMYFUNCTION("""COMPUTED_VALUE"""),"")</f>
        <v/>
      </c>
      <c r="O5071" t="str">
        <f>IFERROR(__xludf.DUMMYFUNCTION("""COMPUTED_VALUE"""),"")</f>
        <v/>
      </c>
      <c r="P5071" t="str">
        <f>IFERROR(__xludf.DUMMYFUNCTION("""COMPUTED_VALUE"""),"ID ")</f>
        <v>ID </v>
      </c>
    </row>
    <row r="5072">
      <c r="A5072" s="6" t="str">
        <f>IFERROR(__xludf.DUMMYFUNCTION("""COMPUTED_VALUE"""),"")</f>
        <v/>
      </c>
      <c r="C5072" t="str">
        <f>IFERROR(__xludf.DUMMYFUNCTION("""COMPUTED_VALUE"""),"")</f>
        <v/>
      </c>
      <c r="D5072" t="str">
        <f>IFERROR(__xludf.DUMMYFUNCTION("""COMPUTED_VALUE"""),"")</f>
        <v/>
      </c>
      <c r="E5072" t="str">
        <f>IFERROR(__xludf.DUMMYFUNCTION("""COMPUTED_VALUE"""),"")</f>
        <v/>
      </c>
      <c r="F5072" t="str">
        <f>IFERROR(__xludf.DUMMYFUNCTION("""COMPUTED_VALUE"""),"")</f>
        <v/>
      </c>
      <c r="G5072" t="str">
        <f>IFERROR(__xludf.DUMMYFUNCTION("""COMPUTED_VALUE"""),"")</f>
        <v/>
      </c>
      <c r="H5072" s="2" t="str">
        <f>IFERROR(__xludf.DUMMYFUNCTION("""COMPUTED_VALUE"""),"")</f>
        <v/>
      </c>
      <c r="I5072" s="2" t="str">
        <f>IFERROR(__xludf.DUMMYFUNCTION("""COMPUTED_VALUE"""),"")</f>
        <v/>
      </c>
      <c r="J5072" s="2">
        <f>IFERROR(__xludf.DUMMYFUNCTION("""COMPUTED_VALUE"""),0.0)</f>
        <v>0</v>
      </c>
      <c r="K5072" s="5" t="str">
        <f>IFERROR(__xludf.DUMMYFUNCTION("""COMPUTED_VALUE"""),"")</f>
        <v/>
      </c>
      <c r="L5072" t="str">
        <f>IFERROR(__xludf.DUMMYFUNCTION("""COMPUTED_VALUE"""),"")</f>
        <v/>
      </c>
      <c r="M5072" t="str">
        <f>IFERROR(__xludf.DUMMYFUNCTION("""COMPUTED_VALUE"""),"")</f>
        <v/>
      </c>
      <c r="N5072" t="str">
        <f>IFERROR(__xludf.DUMMYFUNCTION("""COMPUTED_VALUE"""),"")</f>
        <v/>
      </c>
      <c r="O5072" t="str">
        <f>IFERROR(__xludf.DUMMYFUNCTION("""COMPUTED_VALUE"""),"")</f>
        <v/>
      </c>
      <c r="P5072" t="str">
        <f>IFERROR(__xludf.DUMMYFUNCTION("""COMPUTED_VALUE"""),"ID ")</f>
        <v>ID </v>
      </c>
    </row>
    <row r="5073">
      <c r="A5073" s="6" t="str">
        <f>IFERROR(__xludf.DUMMYFUNCTION("""COMPUTED_VALUE"""),"")</f>
        <v/>
      </c>
      <c r="C5073" t="str">
        <f>IFERROR(__xludf.DUMMYFUNCTION("""COMPUTED_VALUE"""),"")</f>
        <v/>
      </c>
      <c r="D5073" t="str">
        <f>IFERROR(__xludf.DUMMYFUNCTION("""COMPUTED_VALUE"""),"")</f>
        <v/>
      </c>
      <c r="E5073" t="str">
        <f>IFERROR(__xludf.DUMMYFUNCTION("""COMPUTED_VALUE"""),"")</f>
        <v/>
      </c>
      <c r="F5073" t="str">
        <f>IFERROR(__xludf.DUMMYFUNCTION("""COMPUTED_VALUE"""),"")</f>
        <v/>
      </c>
      <c r="G5073" t="str">
        <f>IFERROR(__xludf.DUMMYFUNCTION("""COMPUTED_VALUE"""),"")</f>
        <v/>
      </c>
      <c r="H5073" s="2" t="str">
        <f>IFERROR(__xludf.DUMMYFUNCTION("""COMPUTED_VALUE"""),"")</f>
        <v/>
      </c>
      <c r="I5073" s="2" t="str">
        <f>IFERROR(__xludf.DUMMYFUNCTION("""COMPUTED_VALUE"""),"")</f>
        <v/>
      </c>
      <c r="J5073" s="2">
        <f>IFERROR(__xludf.DUMMYFUNCTION("""COMPUTED_VALUE"""),0.0)</f>
        <v>0</v>
      </c>
      <c r="K5073" s="5" t="str">
        <f>IFERROR(__xludf.DUMMYFUNCTION("""COMPUTED_VALUE"""),"")</f>
        <v/>
      </c>
      <c r="L5073" t="str">
        <f>IFERROR(__xludf.DUMMYFUNCTION("""COMPUTED_VALUE"""),"")</f>
        <v/>
      </c>
      <c r="M5073" t="str">
        <f>IFERROR(__xludf.DUMMYFUNCTION("""COMPUTED_VALUE"""),"")</f>
        <v/>
      </c>
      <c r="N5073" t="str">
        <f>IFERROR(__xludf.DUMMYFUNCTION("""COMPUTED_VALUE"""),"")</f>
        <v/>
      </c>
      <c r="O5073" t="str">
        <f>IFERROR(__xludf.DUMMYFUNCTION("""COMPUTED_VALUE"""),"")</f>
        <v/>
      </c>
      <c r="P5073" t="str">
        <f>IFERROR(__xludf.DUMMYFUNCTION("""COMPUTED_VALUE"""),"ID ")</f>
        <v>ID </v>
      </c>
    </row>
    <row r="5074">
      <c r="A5074" s="6" t="str">
        <f>IFERROR(__xludf.DUMMYFUNCTION("""COMPUTED_VALUE"""),"")</f>
        <v/>
      </c>
      <c r="C5074" t="str">
        <f>IFERROR(__xludf.DUMMYFUNCTION("""COMPUTED_VALUE"""),"")</f>
        <v/>
      </c>
      <c r="D5074" t="str">
        <f>IFERROR(__xludf.DUMMYFUNCTION("""COMPUTED_VALUE"""),"")</f>
        <v/>
      </c>
      <c r="E5074" t="str">
        <f>IFERROR(__xludf.DUMMYFUNCTION("""COMPUTED_VALUE"""),"")</f>
        <v/>
      </c>
      <c r="F5074" t="str">
        <f>IFERROR(__xludf.DUMMYFUNCTION("""COMPUTED_VALUE"""),"")</f>
        <v/>
      </c>
      <c r="G5074" t="str">
        <f>IFERROR(__xludf.DUMMYFUNCTION("""COMPUTED_VALUE"""),"")</f>
        <v/>
      </c>
      <c r="H5074" s="2" t="str">
        <f>IFERROR(__xludf.DUMMYFUNCTION("""COMPUTED_VALUE"""),"")</f>
        <v/>
      </c>
      <c r="I5074" s="2" t="str">
        <f>IFERROR(__xludf.DUMMYFUNCTION("""COMPUTED_VALUE"""),"")</f>
        <v/>
      </c>
      <c r="J5074" s="2">
        <f>IFERROR(__xludf.DUMMYFUNCTION("""COMPUTED_VALUE"""),0.0)</f>
        <v>0</v>
      </c>
      <c r="K5074" s="5" t="str">
        <f>IFERROR(__xludf.DUMMYFUNCTION("""COMPUTED_VALUE"""),"")</f>
        <v/>
      </c>
      <c r="L5074" t="str">
        <f>IFERROR(__xludf.DUMMYFUNCTION("""COMPUTED_VALUE"""),"")</f>
        <v/>
      </c>
      <c r="M5074" t="str">
        <f>IFERROR(__xludf.DUMMYFUNCTION("""COMPUTED_VALUE"""),"")</f>
        <v/>
      </c>
      <c r="N5074" t="str">
        <f>IFERROR(__xludf.DUMMYFUNCTION("""COMPUTED_VALUE"""),"")</f>
        <v/>
      </c>
      <c r="O5074" t="str">
        <f>IFERROR(__xludf.DUMMYFUNCTION("""COMPUTED_VALUE"""),"")</f>
        <v/>
      </c>
      <c r="P5074" t="str">
        <f>IFERROR(__xludf.DUMMYFUNCTION("""COMPUTED_VALUE"""),"ID ")</f>
        <v>ID </v>
      </c>
    </row>
    <row r="5075">
      <c r="A5075" s="6" t="str">
        <f>IFERROR(__xludf.DUMMYFUNCTION("""COMPUTED_VALUE"""),"")</f>
        <v/>
      </c>
      <c r="C5075" t="str">
        <f>IFERROR(__xludf.DUMMYFUNCTION("""COMPUTED_VALUE"""),"")</f>
        <v/>
      </c>
      <c r="D5075" t="str">
        <f>IFERROR(__xludf.DUMMYFUNCTION("""COMPUTED_VALUE"""),"")</f>
        <v/>
      </c>
      <c r="E5075" t="str">
        <f>IFERROR(__xludf.DUMMYFUNCTION("""COMPUTED_VALUE"""),"")</f>
        <v/>
      </c>
      <c r="F5075" t="str">
        <f>IFERROR(__xludf.DUMMYFUNCTION("""COMPUTED_VALUE"""),"")</f>
        <v/>
      </c>
      <c r="G5075" t="str">
        <f>IFERROR(__xludf.DUMMYFUNCTION("""COMPUTED_VALUE"""),"")</f>
        <v/>
      </c>
      <c r="H5075" s="2" t="str">
        <f>IFERROR(__xludf.DUMMYFUNCTION("""COMPUTED_VALUE"""),"")</f>
        <v/>
      </c>
      <c r="I5075" s="2" t="str">
        <f>IFERROR(__xludf.DUMMYFUNCTION("""COMPUTED_VALUE"""),"")</f>
        <v/>
      </c>
      <c r="J5075" s="2">
        <f>IFERROR(__xludf.DUMMYFUNCTION("""COMPUTED_VALUE"""),0.0)</f>
        <v>0</v>
      </c>
      <c r="K5075" s="5" t="str">
        <f>IFERROR(__xludf.DUMMYFUNCTION("""COMPUTED_VALUE"""),"")</f>
        <v/>
      </c>
      <c r="L5075" t="str">
        <f>IFERROR(__xludf.DUMMYFUNCTION("""COMPUTED_VALUE"""),"")</f>
        <v/>
      </c>
      <c r="M5075" t="str">
        <f>IFERROR(__xludf.DUMMYFUNCTION("""COMPUTED_VALUE"""),"")</f>
        <v/>
      </c>
      <c r="N5075" t="str">
        <f>IFERROR(__xludf.DUMMYFUNCTION("""COMPUTED_VALUE"""),"")</f>
        <v/>
      </c>
      <c r="O5075" t="str">
        <f>IFERROR(__xludf.DUMMYFUNCTION("""COMPUTED_VALUE"""),"")</f>
        <v/>
      </c>
      <c r="P5075" t="str">
        <f>IFERROR(__xludf.DUMMYFUNCTION("""COMPUTED_VALUE"""),"ID ")</f>
        <v>ID </v>
      </c>
    </row>
    <row r="5076">
      <c r="A5076" s="6" t="str">
        <f>IFERROR(__xludf.DUMMYFUNCTION("""COMPUTED_VALUE"""),"")</f>
        <v/>
      </c>
      <c r="C5076" t="str">
        <f>IFERROR(__xludf.DUMMYFUNCTION("""COMPUTED_VALUE"""),"")</f>
        <v/>
      </c>
      <c r="D5076" t="str">
        <f>IFERROR(__xludf.DUMMYFUNCTION("""COMPUTED_VALUE"""),"")</f>
        <v/>
      </c>
      <c r="E5076" t="str">
        <f>IFERROR(__xludf.DUMMYFUNCTION("""COMPUTED_VALUE"""),"")</f>
        <v/>
      </c>
      <c r="F5076" t="str">
        <f>IFERROR(__xludf.DUMMYFUNCTION("""COMPUTED_VALUE"""),"")</f>
        <v/>
      </c>
      <c r="G5076" t="str">
        <f>IFERROR(__xludf.DUMMYFUNCTION("""COMPUTED_VALUE"""),"")</f>
        <v/>
      </c>
      <c r="H5076" s="2" t="str">
        <f>IFERROR(__xludf.DUMMYFUNCTION("""COMPUTED_VALUE"""),"")</f>
        <v/>
      </c>
      <c r="I5076" s="2" t="str">
        <f>IFERROR(__xludf.DUMMYFUNCTION("""COMPUTED_VALUE"""),"")</f>
        <v/>
      </c>
      <c r="J5076" s="2">
        <f>IFERROR(__xludf.DUMMYFUNCTION("""COMPUTED_VALUE"""),0.0)</f>
        <v>0</v>
      </c>
      <c r="K5076" s="5" t="str">
        <f>IFERROR(__xludf.DUMMYFUNCTION("""COMPUTED_VALUE"""),"")</f>
        <v/>
      </c>
      <c r="L5076" t="str">
        <f>IFERROR(__xludf.DUMMYFUNCTION("""COMPUTED_VALUE"""),"")</f>
        <v/>
      </c>
      <c r="M5076" t="str">
        <f>IFERROR(__xludf.DUMMYFUNCTION("""COMPUTED_VALUE"""),"")</f>
        <v/>
      </c>
      <c r="N5076" t="str">
        <f>IFERROR(__xludf.DUMMYFUNCTION("""COMPUTED_VALUE"""),"")</f>
        <v/>
      </c>
      <c r="O5076" t="str">
        <f>IFERROR(__xludf.DUMMYFUNCTION("""COMPUTED_VALUE"""),"")</f>
        <v/>
      </c>
      <c r="P5076" t="str">
        <f>IFERROR(__xludf.DUMMYFUNCTION("""COMPUTED_VALUE"""),"ID ")</f>
        <v>ID </v>
      </c>
    </row>
    <row r="5077">
      <c r="A5077" s="6" t="str">
        <f>IFERROR(__xludf.DUMMYFUNCTION("""COMPUTED_VALUE"""),"")</f>
        <v/>
      </c>
      <c r="C5077" t="str">
        <f>IFERROR(__xludf.DUMMYFUNCTION("""COMPUTED_VALUE"""),"")</f>
        <v/>
      </c>
      <c r="D5077" t="str">
        <f>IFERROR(__xludf.DUMMYFUNCTION("""COMPUTED_VALUE"""),"")</f>
        <v/>
      </c>
      <c r="E5077" t="str">
        <f>IFERROR(__xludf.DUMMYFUNCTION("""COMPUTED_VALUE"""),"")</f>
        <v/>
      </c>
      <c r="F5077" t="str">
        <f>IFERROR(__xludf.DUMMYFUNCTION("""COMPUTED_VALUE"""),"")</f>
        <v/>
      </c>
      <c r="G5077" t="str">
        <f>IFERROR(__xludf.DUMMYFUNCTION("""COMPUTED_VALUE"""),"")</f>
        <v/>
      </c>
      <c r="H5077" s="2" t="str">
        <f>IFERROR(__xludf.DUMMYFUNCTION("""COMPUTED_VALUE"""),"")</f>
        <v/>
      </c>
      <c r="I5077" s="2" t="str">
        <f>IFERROR(__xludf.DUMMYFUNCTION("""COMPUTED_VALUE"""),"")</f>
        <v/>
      </c>
      <c r="J5077" s="2">
        <f>IFERROR(__xludf.DUMMYFUNCTION("""COMPUTED_VALUE"""),0.0)</f>
        <v>0</v>
      </c>
      <c r="K5077" s="5" t="str">
        <f>IFERROR(__xludf.DUMMYFUNCTION("""COMPUTED_VALUE"""),"")</f>
        <v/>
      </c>
      <c r="L5077" t="str">
        <f>IFERROR(__xludf.DUMMYFUNCTION("""COMPUTED_VALUE"""),"")</f>
        <v/>
      </c>
      <c r="M5077" t="str">
        <f>IFERROR(__xludf.DUMMYFUNCTION("""COMPUTED_VALUE"""),"")</f>
        <v/>
      </c>
      <c r="N5077" t="str">
        <f>IFERROR(__xludf.DUMMYFUNCTION("""COMPUTED_VALUE"""),"")</f>
        <v/>
      </c>
      <c r="O5077" t="str">
        <f>IFERROR(__xludf.DUMMYFUNCTION("""COMPUTED_VALUE"""),"")</f>
        <v/>
      </c>
      <c r="P5077" t="str">
        <f>IFERROR(__xludf.DUMMYFUNCTION("""COMPUTED_VALUE"""),"ID ")</f>
        <v>ID </v>
      </c>
    </row>
    <row r="5078">
      <c r="A5078" s="6" t="str">
        <f>IFERROR(__xludf.DUMMYFUNCTION("""COMPUTED_VALUE"""),"")</f>
        <v/>
      </c>
      <c r="C5078" t="str">
        <f>IFERROR(__xludf.DUMMYFUNCTION("""COMPUTED_VALUE"""),"")</f>
        <v/>
      </c>
      <c r="D5078" t="str">
        <f>IFERROR(__xludf.DUMMYFUNCTION("""COMPUTED_VALUE"""),"")</f>
        <v/>
      </c>
      <c r="E5078" t="str">
        <f>IFERROR(__xludf.DUMMYFUNCTION("""COMPUTED_VALUE"""),"")</f>
        <v/>
      </c>
      <c r="F5078" t="str">
        <f>IFERROR(__xludf.DUMMYFUNCTION("""COMPUTED_VALUE"""),"")</f>
        <v/>
      </c>
      <c r="G5078" t="str">
        <f>IFERROR(__xludf.DUMMYFUNCTION("""COMPUTED_VALUE"""),"")</f>
        <v/>
      </c>
      <c r="H5078" s="2" t="str">
        <f>IFERROR(__xludf.DUMMYFUNCTION("""COMPUTED_VALUE"""),"")</f>
        <v/>
      </c>
      <c r="I5078" s="2" t="str">
        <f>IFERROR(__xludf.DUMMYFUNCTION("""COMPUTED_VALUE"""),"")</f>
        <v/>
      </c>
      <c r="J5078" s="2">
        <f>IFERROR(__xludf.DUMMYFUNCTION("""COMPUTED_VALUE"""),0.0)</f>
        <v>0</v>
      </c>
      <c r="K5078" s="5" t="str">
        <f>IFERROR(__xludf.DUMMYFUNCTION("""COMPUTED_VALUE"""),"")</f>
        <v/>
      </c>
      <c r="L5078" t="str">
        <f>IFERROR(__xludf.DUMMYFUNCTION("""COMPUTED_VALUE"""),"")</f>
        <v/>
      </c>
      <c r="M5078" t="str">
        <f>IFERROR(__xludf.DUMMYFUNCTION("""COMPUTED_VALUE"""),"")</f>
        <v/>
      </c>
      <c r="N5078" t="str">
        <f>IFERROR(__xludf.DUMMYFUNCTION("""COMPUTED_VALUE"""),"")</f>
        <v/>
      </c>
      <c r="O5078" t="str">
        <f>IFERROR(__xludf.DUMMYFUNCTION("""COMPUTED_VALUE"""),"")</f>
        <v/>
      </c>
      <c r="P5078" t="str">
        <f>IFERROR(__xludf.DUMMYFUNCTION("""COMPUTED_VALUE"""),"ID ")</f>
        <v>ID </v>
      </c>
    </row>
    <row r="5079">
      <c r="A5079" s="6" t="str">
        <f>IFERROR(__xludf.DUMMYFUNCTION("""COMPUTED_VALUE"""),"")</f>
        <v/>
      </c>
      <c r="C5079" t="str">
        <f>IFERROR(__xludf.DUMMYFUNCTION("""COMPUTED_VALUE"""),"")</f>
        <v/>
      </c>
      <c r="D5079" t="str">
        <f>IFERROR(__xludf.DUMMYFUNCTION("""COMPUTED_VALUE"""),"")</f>
        <v/>
      </c>
      <c r="E5079" t="str">
        <f>IFERROR(__xludf.DUMMYFUNCTION("""COMPUTED_VALUE"""),"")</f>
        <v/>
      </c>
      <c r="F5079" t="str">
        <f>IFERROR(__xludf.DUMMYFUNCTION("""COMPUTED_VALUE"""),"")</f>
        <v/>
      </c>
      <c r="G5079" t="str">
        <f>IFERROR(__xludf.DUMMYFUNCTION("""COMPUTED_VALUE"""),"")</f>
        <v/>
      </c>
      <c r="H5079" s="2" t="str">
        <f>IFERROR(__xludf.DUMMYFUNCTION("""COMPUTED_VALUE"""),"")</f>
        <v/>
      </c>
      <c r="I5079" s="2" t="str">
        <f>IFERROR(__xludf.DUMMYFUNCTION("""COMPUTED_VALUE"""),"")</f>
        <v/>
      </c>
      <c r="J5079" s="2">
        <f>IFERROR(__xludf.DUMMYFUNCTION("""COMPUTED_VALUE"""),0.0)</f>
        <v>0</v>
      </c>
      <c r="K5079" s="5" t="str">
        <f>IFERROR(__xludf.DUMMYFUNCTION("""COMPUTED_VALUE"""),"")</f>
        <v/>
      </c>
      <c r="L5079" t="str">
        <f>IFERROR(__xludf.DUMMYFUNCTION("""COMPUTED_VALUE"""),"")</f>
        <v/>
      </c>
      <c r="M5079" t="str">
        <f>IFERROR(__xludf.DUMMYFUNCTION("""COMPUTED_VALUE"""),"")</f>
        <v/>
      </c>
      <c r="N5079" t="str">
        <f>IFERROR(__xludf.DUMMYFUNCTION("""COMPUTED_VALUE"""),"")</f>
        <v/>
      </c>
      <c r="O5079" t="str">
        <f>IFERROR(__xludf.DUMMYFUNCTION("""COMPUTED_VALUE"""),"")</f>
        <v/>
      </c>
      <c r="P5079" t="str">
        <f>IFERROR(__xludf.DUMMYFUNCTION("""COMPUTED_VALUE"""),"ID ")</f>
        <v>ID </v>
      </c>
    </row>
    <row r="5080">
      <c r="A5080" s="6" t="str">
        <f>IFERROR(__xludf.DUMMYFUNCTION("""COMPUTED_VALUE"""),"")</f>
        <v/>
      </c>
      <c r="C5080" t="str">
        <f>IFERROR(__xludf.DUMMYFUNCTION("""COMPUTED_VALUE"""),"")</f>
        <v/>
      </c>
      <c r="D5080" t="str">
        <f>IFERROR(__xludf.DUMMYFUNCTION("""COMPUTED_VALUE"""),"")</f>
        <v/>
      </c>
      <c r="E5080" t="str">
        <f>IFERROR(__xludf.DUMMYFUNCTION("""COMPUTED_VALUE"""),"")</f>
        <v/>
      </c>
      <c r="F5080" t="str">
        <f>IFERROR(__xludf.DUMMYFUNCTION("""COMPUTED_VALUE"""),"")</f>
        <v/>
      </c>
      <c r="G5080" t="str">
        <f>IFERROR(__xludf.DUMMYFUNCTION("""COMPUTED_VALUE"""),"")</f>
        <v/>
      </c>
      <c r="H5080" s="2" t="str">
        <f>IFERROR(__xludf.DUMMYFUNCTION("""COMPUTED_VALUE"""),"")</f>
        <v/>
      </c>
      <c r="I5080" s="2" t="str">
        <f>IFERROR(__xludf.DUMMYFUNCTION("""COMPUTED_VALUE"""),"")</f>
        <v/>
      </c>
      <c r="J5080" s="2">
        <f>IFERROR(__xludf.DUMMYFUNCTION("""COMPUTED_VALUE"""),0.0)</f>
        <v>0</v>
      </c>
      <c r="K5080" s="5" t="str">
        <f>IFERROR(__xludf.DUMMYFUNCTION("""COMPUTED_VALUE"""),"")</f>
        <v/>
      </c>
      <c r="L5080" t="str">
        <f>IFERROR(__xludf.DUMMYFUNCTION("""COMPUTED_VALUE"""),"")</f>
        <v/>
      </c>
      <c r="M5080" t="str">
        <f>IFERROR(__xludf.DUMMYFUNCTION("""COMPUTED_VALUE"""),"")</f>
        <v/>
      </c>
      <c r="N5080" t="str">
        <f>IFERROR(__xludf.DUMMYFUNCTION("""COMPUTED_VALUE"""),"")</f>
        <v/>
      </c>
      <c r="O5080" t="str">
        <f>IFERROR(__xludf.DUMMYFUNCTION("""COMPUTED_VALUE"""),"")</f>
        <v/>
      </c>
      <c r="P5080" t="str">
        <f>IFERROR(__xludf.DUMMYFUNCTION("""COMPUTED_VALUE"""),"ID ")</f>
        <v>ID </v>
      </c>
    </row>
    <row r="5081">
      <c r="A5081" s="6" t="str">
        <f>IFERROR(__xludf.DUMMYFUNCTION("""COMPUTED_VALUE"""),"")</f>
        <v/>
      </c>
      <c r="C5081" t="str">
        <f>IFERROR(__xludf.DUMMYFUNCTION("""COMPUTED_VALUE"""),"")</f>
        <v/>
      </c>
      <c r="D5081" t="str">
        <f>IFERROR(__xludf.DUMMYFUNCTION("""COMPUTED_VALUE"""),"")</f>
        <v/>
      </c>
      <c r="E5081" t="str">
        <f>IFERROR(__xludf.DUMMYFUNCTION("""COMPUTED_VALUE"""),"")</f>
        <v/>
      </c>
      <c r="F5081" t="str">
        <f>IFERROR(__xludf.DUMMYFUNCTION("""COMPUTED_VALUE"""),"")</f>
        <v/>
      </c>
      <c r="G5081" t="str">
        <f>IFERROR(__xludf.DUMMYFUNCTION("""COMPUTED_VALUE"""),"")</f>
        <v/>
      </c>
      <c r="H5081" s="2" t="str">
        <f>IFERROR(__xludf.DUMMYFUNCTION("""COMPUTED_VALUE"""),"")</f>
        <v/>
      </c>
      <c r="I5081" s="2" t="str">
        <f>IFERROR(__xludf.DUMMYFUNCTION("""COMPUTED_VALUE"""),"")</f>
        <v/>
      </c>
      <c r="J5081" s="2">
        <f>IFERROR(__xludf.DUMMYFUNCTION("""COMPUTED_VALUE"""),0.0)</f>
        <v>0</v>
      </c>
      <c r="K5081" s="5" t="str">
        <f>IFERROR(__xludf.DUMMYFUNCTION("""COMPUTED_VALUE"""),"")</f>
        <v/>
      </c>
      <c r="L5081" t="str">
        <f>IFERROR(__xludf.DUMMYFUNCTION("""COMPUTED_VALUE"""),"")</f>
        <v/>
      </c>
      <c r="M5081" t="str">
        <f>IFERROR(__xludf.DUMMYFUNCTION("""COMPUTED_VALUE"""),"")</f>
        <v/>
      </c>
      <c r="N5081" t="str">
        <f>IFERROR(__xludf.DUMMYFUNCTION("""COMPUTED_VALUE"""),"")</f>
        <v/>
      </c>
      <c r="O5081" t="str">
        <f>IFERROR(__xludf.DUMMYFUNCTION("""COMPUTED_VALUE"""),"")</f>
        <v/>
      </c>
      <c r="P5081" t="str">
        <f>IFERROR(__xludf.DUMMYFUNCTION("""COMPUTED_VALUE"""),"ID ")</f>
        <v>ID </v>
      </c>
    </row>
    <row r="5082">
      <c r="A5082" s="6" t="str">
        <f>IFERROR(__xludf.DUMMYFUNCTION("""COMPUTED_VALUE"""),"")</f>
        <v/>
      </c>
      <c r="C5082" t="str">
        <f>IFERROR(__xludf.DUMMYFUNCTION("""COMPUTED_VALUE"""),"")</f>
        <v/>
      </c>
      <c r="D5082" t="str">
        <f>IFERROR(__xludf.DUMMYFUNCTION("""COMPUTED_VALUE"""),"")</f>
        <v/>
      </c>
      <c r="E5082" t="str">
        <f>IFERROR(__xludf.DUMMYFUNCTION("""COMPUTED_VALUE"""),"")</f>
        <v/>
      </c>
      <c r="F5082" t="str">
        <f>IFERROR(__xludf.DUMMYFUNCTION("""COMPUTED_VALUE"""),"")</f>
        <v/>
      </c>
      <c r="G5082" t="str">
        <f>IFERROR(__xludf.DUMMYFUNCTION("""COMPUTED_VALUE"""),"")</f>
        <v/>
      </c>
      <c r="H5082" s="2" t="str">
        <f>IFERROR(__xludf.DUMMYFUNCTION("""COMPUTED_VALUE"""),"")</f>
        <v/>
      </c>
      <c r="I5082" s="2" t="str">
        <f>IFERROR(__xludf.DUMMYFUNCTION("""COMPUTED_VALUE"""),"")</f>
        <v/>
      </c>
      <c r="J5082" s="2">
        <f>IFERROR(__xludf.DUMMYFUNCTION("""COMPUTED_VALUE"""),0.0)</f>
        <v>0</v>
      </c>
      <c r="K5082" s="5" t="str">
        <f>IFERROR(__xludf.DUMMYFUNCTION("""COMPUTED_VALUE"""),"")</f>
        <v/>
      </c>
      <c r="L5082" t="str">
        <f>IFERROR(__xludf.DUMMYFUNCTION("""COMPUTED_VALUE"""),"")</f>
        <v/>
      </c>
      <c r="M5082" t="str">
        <f>IFERROR(__xludf.DUMMYFUNCTION("""COMPUTED_VALUE"""),"")</f>
        <v/>
      </c>
      <c r="N5082" t="str">
        <f>IFERROR(__xludf.DUMMYFUNCTION("""COMPUTED_VALUE"""),"")</f>
        <v/>
      </c>
      <c r="O5082" t="str">
        <f>IFERROR(__xludf.DUMMYFUNCTION("""COMPUTED_VALUE"""),"")</f>
        <v/>
      </c>
      <c r="P5082" t="str">
        <f>IFERROR(__xludf.DUMMYFUNCTION("""COMPUTED_VALUE"""),"ID ")</f>
        <v>ID </v>
      </c>
    </row>
    <row r="5083">
      <c r="A5083" s="6" t="str">
        <f>IFERROR(__xludf.DUMMYFUNCTION("""COMPUTED_VALUE"""),"")</f>
        <v/>
      </c>
      <c r="C5083" t="str">
        <f>IFERROR(__xludf.DUMMYFUNCTION("""COMPUTED_VALUE"""),"")</f>
        <v/>
      </c>
      <c r="D5083" t="str">
        <f>IFERROR(__xludf.DUMMYFUNCTION("""COMPUTED_VALUE"""),"")</f>
        <v/>
      </c>
      <c r="E5083" t="str">
        <f>IFERROR(__xludf.DUMMYFUNCTION("""COMPUTED_VALUE"""),"")</f>
        <v/>
      </c>
      <c r="F5083" t="str">
        <f>IFERROR(__xludf.DUMMYFUNCTION("""COMPUTED_VALUE"""),"")</f>
        <v/>
      </c>
      <c r="G5083" t="str">
        <f>IFERROR(__xludf.DUMMYFUNCTION("""COMPUTED_VALUE"""),"")</f>
        <v/>
      </c>
      <c r="H5083" s="2" t="str">
        <f>IFERROR(__xludf.DUMMYFUNCTION("""COMPUTED_VALUE"""),"")</f>
        <v/>
      </c>
      <c r="I5083" s="2" t="str">
        <f>IFERROR(__xludf.DUMMYFUNCTION("""COMPUTED_VALUE"""),"")</f>
        <v/>
      </c>
      <c r="J5083" s="2">
        <f>IFERROR(__xludf.DUMMYFUNCTION("""COMPUTED_VALUE"""),0.0)</f>
        <v>0</v>
      </c>
      <c r="K5083" s="5" t="str">
        <f>IFERROR(__xludf.DUMMYFUNCTION("""COMPUTED_VALUE"""),"")</f>
        <v/>
      </c>
      <c r="L5083" t="str">
        <f>IFERROR(__xludf.DUMMYFUNCTION("""COMPUTED_VALUE"""),"")</f>
        <v/>
      </c>
      <c r="M5083" t="str">
        <f>IFERROR(__xludf.DUMMYFUNCTION("""COMPUTED_VALUE"""),"")</f>
        <v/>
      </c>
      <c r="N5083" t="str">
        <f>IFERROR(__xludf.DUMMYFUNCTION("""COMPUTED_VALUE"""),"")</f>
        <v/>
      </c>
      <c r="O5083" t="str">
        <f>IFERROR(__xludf.DUMMYFUNCTION("""COMPUTED_VALUE"""),"")</f>
        <v/>
      </c>
      <c r="P5083" t="str">
        <f>IFERROR(__xludf.DUMMYFUNCTION("""COMPUTED_VALUE"""),"ID ")</f>
        <v>ID </v>
      </c>
    </row>
    <row r="5084">
      <c r="A5084" s="6" t="str">
        <f>IFERROR(__xludf.DUMMYFUNCTION("""COMPUTED_VALUE"""),"")</f>
        <v/>
      </c>
      <c r="C5084" t="str">
        <f>IFERROR(__xludf.DUMMYFUNCTION("""COMPUTED_VALUE"""),"")</f>
        <v/>
      </c>
      <c r="D5084" t="str">
        <f>IFERROR(__xludf.DUMMYFUNCTION("""COMPUTED_VALUE"""),"")</f>
        <v/>
      </c>
      <c r="E5084" t="str">
        <f>IFERROR(__xludf.DUMMYFUNCTION("""COMPUTED_VALUE"""),"")</f>
        <v/>
      </c>
      <c r="F5084" t="str">
        <f>IFERROR(__xludf.DUMMYFUNCTION("""COMPUTED_VALUE"""),"")</f>
        <v/>
      </c>
      <c r="G5084" t="str">
        <f>IFERROR(__xludf.DUMMYFUNCTION("""COMPUTED_VALUE"""),"")</f>
        <v/>
      </c>
      <c r="H5084" s="2" t="str">
        <f>IFERROR(__xludf.DUMMYFUNCTION("""COMPUTED_VALUE"""),"")</f>
        <v/>
      </c>
      <c r="I5084" s="2" t="str">
        <f>IFERROR(__xludf.DUMMYFUNCTION("""COMPUTED_VALUE"""),"")</f>
        <v/>
      </c>
      <c r="J5084" s="2">
        <f>IFERROR(__xludf.DUMMYFUNCTION("""COMPUTED_VALUE"""),0.0)</f>
        <v>0</v>
      </c>
      <c r="K5084" s="5" t="str">
        <f>IFERROR(__xludf.DUMMYFUNCTION("""COMPUTED_VALUE"""),"")</f>
        <v/>
      </c>
      <c r="L5084" t="str">
        <f>IFERROR(__xludf.DUMMYFUNCTION("""COMPUTED_VALUE"""),"")</f>
        <v/>
      </c>
      <c r="M5084" t="str">
        <f>IFERROR(__xludf.DUMMYFUNCTION("""COMPUTED_VALUE"""),"")</f>
        <v/>
      </c>
      <c r="N5084" t="str">
        <f>IFERROR(__xludf.DUMMYFUNCTION("""COMPUTED_VALUE"""),"")</f>
        <v/>
      </c>
      <c r="O5084" t="str">
        <f>IFERROR(__xludf.DUMMYFUNCTION("""COMPUTED_VALUE"""),"")</f>
        <v/>
      </c>
      <c r="P5084" t="str">
        <f>IFERROR(__xludf.DUMMYFUNCTION("""COMPUTED_VALUE"""),"ID ")</f>
        <v>ID </v>
      </c>
    </row>
    <row r="5085">
      <c r="A5085" s="6" t="str">
        <f>IFERROR(__xludf.DUMMYFUNCTION("""COMPUTED_VALUE"""),"")</f>
        <v/>
      </c>
      <c r="C5085" t="str">
        <f>IFERROR(__xludf.DUMMYFUNCTION("""COMPUTED_VALUE"""),"")</f>
        <v/>
      </c>
      <c r="D5085" t="str">
        <f>IFERROR(__xludf.DUMMYFUNCTION("""COMPUTED_VALUE"""),"")</f>
        <v/>
      </c>
      <c r="E5085" t="str">
        <f>IFERROR(__xludf.DUMMYFUNCTION("""COMPUTED_VALUE"""),"")</f>
        <v/>
      </c>
      <c r="F5085" t="str">
        <f>IFERROR(__xludf.DUMMYFUNCTION("""COMPUTED_VALUE"""),"")</f>
        <v/>
      </c>
      <c r="G5085" t="str">
        <f>IFERROR(__xludf.DUMMYFUNCTION("""COMPUTED_VALUE"""),"")</f>
        <v/>
      </c>
      <c r="H5085" s="2" t="str">
        <f>IFERROR(__xludf.DUMMYFUNCTION("""COMPUTED_VALUE"""),"")</f>
        <v/>
      </c>
      <c r="I5085" s="2" t="str">
        <f>IFERROR(__xludf.DUMMYFUNCTION("""COMPUTED_VALUE"""),"")</f>
        <v/>
      </c>
      <c r="J5085" s="2">
        <f>IFERROR(__xludf.DUMMYFUNCTION("""COMPUTED_VALUE"""),0.0)</f>
        <v>0</v>
      </c>
      <c r="K5085" s="5" t="str">
        <f>IFERROR(__xludf.DUMMYFUNCTION("""COMPUTED_VALUE"""),"")</f>
        <v/>
      </c>
      <c r="L5085" t="str">
        <f>IFERROR(__xludf.DUMMYFUNCTION("""COMPUTED_VALUE"""),"")</f>
        <v/>
      </c>
      <c r="M5085" t="str">
        <f>IFERROR(__xludf.DUMMYFUNCTION("""COMPUTED_VALUE"""),"")</f>
        <v/>
      </c>
      <c r="N5085" t="str">
        <f>IFERROR(__xludf.DUMMYFUNCTION("""COMPUTED_VALUE"""),"")</f>
        <v/>
      </c>
      <c r="O5085" t="str">
        <f>IFERROR(__xludf.DUMMYFUNCTION("""COMPUTED_VALUE"""),"")</f>
        <v/>
      </c>
      <c r="P5085" t="str">
        <f>IFERROR(__xludf.DUMMYFUNCTION("""COMPUTED_VALUE"""),"ID ")</f>
        <v>ID </v>
      </c>
    </row>
    <row r="5086">
      <c r="A5086" s="6" t="str">
        <f>IFERROR(__xludf.DUMMYFUNCTION("""COMPUTED_VALUE"""),"")</f>
        <v/>
      </c>
      <c r="C5086" t="str">
        <f>IFERROR(__xludf.DUMMYFUNCTION("""COMPUTED_VALUE"""),"")</f>
        <v/>
      </c>
      <c r="D5086" t="str">
        <f>IFERROR(__xludf.DUMMYFUNCTION("""COMPUTED_VALUE"""),"")</f>
        <v/>
      </c>
      <c r="E5086" t="str">
        <f>IFERROR(__xludf.DUMMYFUNCTION("""COMPUTED_VALUE"""),"")</f>
        <v/>
      </c>
      <c r="F5086" t="str">
        <f>IFERROR(__xludf.DUMMYFUNCTION("""COMPUTED_VALUE"""),"")</f>
        <v/>
      </c>
      <c r="G5086" t="str">
        <f>IFERROR(__xludf.DUMMYFUNCTION("""COMPUTED_VALUE"""),"")</f>
        <v/>
      </c>
      <c r="H5086" s="2" t="str">
        <f>IFERROR(__xludf.DUMMYFUNCTION("""COMPUTED_VALUE"""),"")</f>
        <v/>
      </c>
      <c r="I5086" s="2" t="str">
        <f>IFERROR(__xludf.DUMMYFUNCTION("""COMPUTED_VALUE"""),"")</f>
        <v/>
      </c>
      <c r="J5086" s="2">
        <f>IFERROR(__xludf.DUMMYFUNCTION("""COMPUTED_VALUE"""),0.0)</f>
        <v>0</v>
      </c>
      <c r="K5086" s="5" t="str">
        <f>IFERROR(__xludf.DUMMYFUNCTION("""COMPUTED_VALUE"""),"")</f>
        <v/>
      </c>
      <c r="L5086" t="str">
        <f>IFERROR(__xludf.DUMMYFUNCTION("""COMPUTED_VALUE"""),"")</f>
        <v/>
      </c>
      <c r="M5086" t="str">
        <f>IFERROR(__xludf.DUMMYFUNCTION("""COMPUTED_VALUE"""),"")</f>
        <v/>
      </c>
      <c r="N5086" t="str">
        <f>IFERROR(__xludf.DUMMYFUNCTION("""COMPUTED_VALUE"""),"")</f>
        <v/>
      </c>
      <c r="O5086" t="str">
        <f>IFERROR(__xludf.DUMMYFUNCTION("""COMPUTED_VALUE"""),"")</f>
        <v/>
      </c>
      <c r="P5086" t="str">
        <f>IFERROR(__xludf.DUMMYFUNCTION("""COMPUTED_VALUE"""),"ID ")</f>
        <v>ID </v>
      </c>
    </row>
    <row r="5087">
      <c r="A5087" s="6" t="str">
        <f>IFERROR(__xludf.DUMMYFUNCTION("""COMPUTED_VALUE"""),"")</f>
        <v/>
      </c>
      <c r="C5087" t="str">
        <f>IFERROR(__xludf.DUMMYFUNCTION("""COMPUTED_VALUE"""),"")</f>
        <v/>
      </c>
      <c r="D5087" t="str">
        <f>IFERROR(__xludf.DUMMYFUNCTION("""COMPUTED_VALUE"""),"")</f>
        <v/>
      </c>
      <c r="E5087" t="str">
        <f>IFERROR(__xludf.DUMMYFUNCTION("""COMPUTED_VALUE"""),"")</f>
        <v/>
      </c>
      <c r="F5087" t="str">
        <f>IFERROR(__xludf.DUMMYFUNCTION("""COMPUTED_VALUE"""),"")</f>
        <v/>
      </c>
      <c r="G5087" t="str">
        <f>IFERROR(__xludf.DUMMYFUNCTION("""COMPUTED_VALUE"""),"")</f>
        <v/>
      </c>
      <c r="H5087" s="2" t="str">
        <f>IFERROR(__xludf.DUMMYFUNCTION("""COMPUTED_VALUE"""),"")</f>
        <v/>
      </c>
      <c r="I5087" s="2" t="str">
        <f>IFERROR(__xludf.DUMMYFUNCTION("""COMPUTED_VALUE"""),"")</f>
        <v/>
      </c>
      <c r="J5087" s="2">
        <f>IFERROR(__xludf.DUMMYFUNCTION("""COMPUTED_VALUE"""),0.0)</f>
        <v>0</v>
      </c>
      <c r="K5087" s="5" t="str">
        <f>IFERROR(__xludf.DUMMYFUNCTION("""COMPUTED_VALUE"""),"")</f>
        <v/>
      </c>
      <c r="L5087" t="str">
        <f>IFERROR(__xludf.DUMMYFUNCTION("""COMPUTED_VALUE"""),"")</f>
        <v/>
      </c>
      <c r="M5087" t="str">
        <f>IFERROR(__xludf.DUMMYFUNCTION("""COMPUTED_VALUE"""),"")</f>
        <v/>
      </c>
      <c r="N5087" t="str">
        <f>IFERROR(__xludf.DUMMYFUNCTION("""COMPUTED_VALUE"""),"")</f>
        <v/>
      </c>
      <c r="O5087" t="str">
        <f>IFERROR(__xludf.DUMMYFUNCTION("""COMPUTED_VALUE"""),"")</f>
        <v/>
      </c>
      <c r="P5087" t="str">
        <f>IFERROR(__xludf.DUMMYFUNCTION("""COMPUTED_VALUE"""),"ID ")</f>
        <v>ID </v>
      </c>
    </row>
    <row r="5088">
      <c r="A5088" s="6" t="str">
        <f>IFERROR(__xludf.DUMMYFUNCTION("""COMPUTED_VALUE"""),"")</f>
        <v/>
      </c>
      <c r="C5088" t="str">
        <f>IFERROR(__xludf.DUMMYFUNCTION("""COMPUTED_VALUE"""),"")</f>
        <v/>
      </c>
      <c r="D5088" t="str">
        <f>IFERROR(__xludf.DUMMYFUNCTION("""COMPUTED_VALUE"""),"")</f>
        <v/>
      </c>
      <c r="E5088" t="str">
        <f>IFERROR(__xludf.DUMMYFUNCTION("""COMPUTED_VALUE"""),"")</f>
        <v/>
      </c>
      <c r="F5088" t="str">
        <f>IFERROR(__xludf.DUMMYFUNCTION("""COMPUTED_VALUE"""),"")</f>
        <v/>
      </c>
      <c r="G5088" t="str">
        <f>IFERROR(__xludf.DUMMYFUNCTION("""COMPUTED_VALUE"""),"")</f>
        <v/>
      </c>
      <c r="H5088" s="2" t="str">
        <f>IFERROR(__xludf.DUMMYFUNCTION("""COMPUTED_VALUE"""),"")</f>
        <v/>
      </c>
      <c r="I5088" s="2" t="str">
        <f>IFERROR(__xludf.DUMMYFUNCTION("""COMPUTED_VALUE"""),"")</f>
        <v/>
      </c>
      <c r="J5088" s="2">
        <f>IFERROR(__xludf.DUMMYFUNCTION("""COMPUTED_VALUE"""),0.0)</f>
        <v>0</v>
      </c>
      <c r="K5088" s="5" t="str">
        <f>IFERROR(__xludf.DUMMYFUNCTION("""COMPUTED_VALUE"""),"")</f>
        <v/>
      </c>
      <c r="L5088" t="str">
        <f>IFERROR(__xludf.DUMMYFUNCTION("""COMPUTED_VALUE"""),"")</f>
        <v/>
      </c>
      <c r="M5088" t="str">
        <f>IFERROR(__xludf.DUMMYFUNCTION("""COMPUTED_VALUE"""),"")</f>
        <v/>
      </c>
      <c r="N5088" t="str">
        <f>IFERROR(__xludf.DUMMYFUNCTION("""COMPUTED_VALUE"""),"")</f>
        <v/>
      </c>
      <c r="O5088" t="str">
        <f>IFERROR(__xludf.DUMMYFUNCTION("""COMPUTED_VALUE"""),"")</f>
        <v/>
      </c>
      <c r="P5088" t="str">
        <f>IFERROR(__xludf.DUMMYFUNCTION("""COMPUTED_VALUE"""),"ID ")</f>
        <v>ID </v>
      </c>
    </row>
    <row r="5089">
      <c r="A5089" s="6" t="str">
        <f>IFERROR(__xludf.DUMMYFUNCTION("""COMPUTED_VALUE"""),"")</f>
        <v/>
      </c>
      <c r="C5089" t="str">
        <f>IFERROR(__xludf.DUMMYFUNCTION("""COMPUTED_VALUE"""),"")</f>
        <v/>
      </c>
      <c r="D5089" t="str">
        <f>IFERROR(__xludf.DUMMYFUNCTION("""COMPUTED_VALUE"""),"")</f>
        <v/>
      </c>
      <c r="E5089" t="str">
        <f>IFERROR(__xludf.DUMMYFUNCTION("""COMPUTED_VALUE"""),"")</f>
        <v/>
      </c>
      <c r="F5089" t="str">
        <f>IFERROR(__xludf.DUMMYFUNCTION("""COMPUTED_VALUE"""),"")</f>
        <v/>
      </c>
      <c r="G5089" t="str">
        <f>IFERROR(__xludf.DUMMYFUNCTION("""COMPUTED_VALUE"""),"")</f>
        <v/>
      </c>
      <c r="H5089" s="2" t="str">
        <f>IFERROR(__xludf.DUMMYFUNCTION("""COMPUTED_VALUE"""),"")</f>
        <v/>
      </c>
      <c r="I5089" s="2" t="str">
        <f>IFERROR(__xludf.DUMMYFUNCTION("""COMPUTED_VALUE"""),"")</f>
        <v/>
      </c>
      <c r="J5089" s="2">
        <f>IFERROR(__xludf.DUMMYFUNCTION("""COMPUTED_VALUE"""),0.0)</f>
        <v>0</v>
      </c>
      <c r="K5089" s="5" t="str">
        <f>IFERROR(__xludf.DUMMYFUNCTION("""COMPUTED_VALUE"""),"")</f>
        <v/>
      </c>
      <c r="L5089" t="str">
        <f>IFERROR(__xludf.DUMMYFUNCTION("""COMPUTED_VALUE"""),"")</f>
        <v/>
      </c>
      <c r="M5089" t="str">
        <f>IFERROR(__xludf.DUMMYFUNCTION("""COMPUTED_VALUE"""),"")</f>
        <v/>
      </c>
      <c r="N5089" t="str">
        <f>IFERROR(__xludf.DUMMYFUNCTION("""COMPUTED_VALUE"""),"")</f>
        <v/>
      </c>
      <c r="O5089" t="str">
        <f>IFERROR(__xludf.DUMMYFUNCTION("""COMPUTED_VALUE"""),"")</f>
        <v/>
      </c>
      <c r="P5089" t="str">
        <f>IFERROR(__xludf.DUMMYFUNCTION("""COMPUTED_VALUE"""),"ID ")</f>
        <v>ID </v>
      </c>
    </row>
    <row r="5090">
      <c r="A5090" s="6" t="str">
        <f>IFERROR(__xludf.DUMMYFUNCTION("""COMPUTED_VALUE"""),"")</f>
        <v/>
      </c>
      <c r="C5090" t="str">
        <f>IFERROR(__xludf.DUMMYFUNCTION("""COMPUTED_VALUE"""),"")</f>
        <v/>
      </c>
      <c r="D5090" t="str">
        <f>IFERROR(__xludf.DUMMYFUNCTION("""COMPUTED_VALUE"""),"")</f>
        <v/>
      </c>
      <c r="E5090" t="str">
        <f>IFERROR(__xludf.DUMMYFUNCTION("""COMPUTED_VALUE"""),"")</f>
        <v/>
      </c>
      <c r="F5090" t="str">
        <f>IFERROR(__xludf.DUMMYFUNCTION("""COMPUTED_VALUE"""),"")</f>
        <v/>
      </c>
      <c r="G5090" t="str">
        <f>IFERROR(__xludf.DUMMYFUNCTION("""COMPUTED_VALUE"""),"")</f>
        <v/>
      </c>
      <c r="H5090" s="2" t="str">
        <f>IFERROR(__xludf.DUMMYFUNCTION("""COMPUTED_VALUE"""),"")</f>
        <v/>
      </c>
      <c r="I5090" s="2" t="str">
        <f>IFERROR(__xludf.DUMMYFUNCTION("""COMPUTED_VALUE"""),"")</f>
        <v/>
      </c>
      <c r="J5090" s="2">
        <f>IFERROR(__xludf.DUMMYFUNCTION("""COMPUTED_VALUE"""),0.0)</f>
        <v>0</v>
      </c>
      <c r="K5090" s="5" t="str">
        <f>IFERROR(__xludf.DUMMYFUNCTION("""COMPUTED_VALUE"""),"")</f>
        <v/>
      </c>
      <c r="L5090" t="str">
        <f>IFERROR(__xludf.DUMMYFUNCTION("""COMPUTED_VALUE"""),"")</f>
        <v/>
      </c>
      <c r="M5090" t="str">
        <f>IFERROR(__xludf.DUMMYFUNCTION("""COMPUTED_VALUE"""),"")</f>
        <v/>
      </c>
      <c r="N5090" t="str">
        <f>IFERROR(__xludf.DUMMYFUNCTION("""COMPUTED_VALUE"""),"")</f>
        <v/>
      </c>
      <c r="O5090" t="str">
        <f>IFERROR(__xludf.DUMMYFUNCTION("""COMPUTED_VALUE"""),"")</f>
        <v/>
      </c>
      <c r="P5090" t="str">
        <f>IFERROR(__xludf.DUMMYFUNCTION("""COMPUTED_VALUE"""),"ID ")</f>
        <v>ID </v>
      </c>
    </row>
    <row r="5091">
      <c r="A5091" s="6" t="str">
        <f>IFERROR(__xludf.DUMMYFUNCTION("""COMPUTED_VALUE"""),"")</f>
        <v/>
      </c>
      <c r="C5091" t="str">
        <f>IFERROR(__xludf.DUMMYFUNCTION("""COMPUTED_VALUE"""),"")</f>
        <v/>
      </c>
      <c r="D5091" t="str">
        <f>IFERROR(__xludf.DUMMYFUNCTION("""COMPUTED_VALUE"""),"")</f>
        <v/>
      </c>
      <c r="E5091" t="str">
        <f>IFERROR(__xludf.DUMMYFUNCTION("""COMPUTED_VALUE"""),"")</f>
        <v/>
      </c>
      <c r="F5091" t="str">
        <f>IFERROR(__xludf.DUMMYFUNCTION("""COMPUTED_VALUE"""),"")</f>
        <v/>
      </c>
      <c r="G5091" t="str">
        <f>IFERROR(__xludf.DUMMYFUNCTION("""COMPUTED_VALUE"""),"")</f>
        <v/>
      </c>
      <c r="H5091" s="2" t="str">
        <f>IFERROR(__xludf.DUMMYFUNCTION("""COMPUTED_VALUE"""),"")</f>
        <v/>
      </c>
      <c r="I5091" s="2" t="str">
        <f>IFERROR(__xludf.DUMMYFUNCTION("""COMPUTED_VALUE"""),"")</f>
        <v/>
      </c>
      <c r="J5091" s="2">
        <f>IFERROR(__xludf.DUMMYFUNCTION("""COMPUTED_VALUE"""),0.0)</f>
        <v>0</v>
      </c>
      <c r="K5091" s="5" t="str">
        <f>IFERROR(__xludf.DUMMYFUNCTION("""COMPUTED_VALUE"""),"")</f>
        <v/>
      </c>
      <c r="L5091" t="str">
        <f>IFERROR(__xludf.DUMMYFUNCTION("""COMPUTED_VALUE"""),"")</f>
        <v/>
      </c>
      <c r="M5091" t="str">
        <f>IFERROR(__xludf.DUMMYFUNCTION("""COMPUTED_VALUE"""),"")</f>
        <v/>
      </c>
      <c r="N5091" t="str">
        <f>IFERROR(__xludf.DUMMYFUNCTION("""COMPUTED_VALUE"""),"")</f>
        <v/>
      </c>
      <c r="O5091" t="str">
        <f>IFERROR(__xludf.DUMMYFUNCTION("""COMPUTED_VALUE"""),"")</f>
        <v/>
      </c>
      <c r="P5091" t="str">
        <f>IFERROR(__xludf.DUMMYFUNCTION("""COMPUTED_VALUE"""),"ID ")</f>
        <v>ID </v>
      </c>
    </row>
    <row r="5092">
      <c r="A5092" s="6" t="str">
        <f>IFERROR(__xludf.DUMMYFUNCTION("""COMPUTED_VALUE"""),"")</f>
        <v/>
      </c>
      <c r="C5092" t="str">
        <f>IFERROR(__xludf.DUMMYFUNCTION("""COMPUTED_VALUE"""),"")</f>
        <v/>
      </c>
      <c r="D5092" t="str">
        <f>IFERROR(__xludf.DUMMYFUNCTION("""COMPUTED_VALUE"""),"")</f>
        <v/>
      </c>
      <c r="E5092" t="str">
        <f>IFERROR(__xludf.DUMMYFUNCTION("""COMPUTED_VALUE"""),"")</f>
        <v/>
      </c>
      <c r="F5092" t="str">
        <f>IFERROR(__xludf.DUMMYFUNCTION("""COMPUTED_VALUE"""),"")</f>
        <v/>
      </c>
      <c r="G5092" t="str">
        <f>IFERROR(__xludf.DUMMYFUNCTION("""COMPUTED_VALUE"""),"")</f>
        <v/>
      </c>
      <c r="H5092" s="2" t="str">
        <f>IFERROR(__xludf.DUMMYFUNCTION("""COMPUTED_VALUE"""),"")</f>
        <v/>
      </c>
      <c r="I5092" s="2" t="str">
        <f>IFERROR(__xludf.DUMMYFUNCTION("""COMPUTED_VALUE"""),"")</f>
        <v/>
      </c>
      <c r="J5092" s="2">
        <f>IFERROR(__xludf.DUMMYFUNCTION("""COMPUTED_VALUE"""),0.0)</f>
        <v>0</v>
      </c>
      <c r="K5092" s="5" t="str">
        <f>IFERROR(__xludf.DUMMYFUNCTION("""COMPUTED_VALUE"""),"")</f>
        <v/>
      </c>
      <c r="L5092" t="str">
        <f>IFERROR(__xludf.DUMMYFUNCTION("""COMPUTED_VALUE"""),"")</f>
        <v/>
      </c>
      <c r="M5092" t="str">
        <f>IFERROR(__xludf.DUMMYFUNCTION("""COMPUTED_VALUE"""),"")</f>
        <v/>
      </c>
      <c r="N5092" t="str">
        <f>IFERROR(__xludf.DUMMYFUNCTION("""COMPUTED_VALUE"""),"")</f>
        <v/>
      </c>
      <c r="O5092" t="str">
        <f>IFERROR(__xludf.DUMMYFUNCTION("""COMPUTED_VALUE"""),"")</f>
        <v/>
      </c>
      <c r="P5092" t="str">
        <f>IFERROR(__xludf.DUMMYFUNCTION("""COMPUTED_VALUE"""),"ID ")</f>
        <v>ID </v>
      </c>
    </row>
    <row r="5093">
      <c r="A5093" s="6" t="str">
        <f>IFERROR(__xludf.DUMMYFUNCTION("""COMPUTED_VALUE"""),"")</f>
        <v/>
      </c>
      <c r="C5093" t="str">
        <f>IFERROR(__xludf.DUMMYFUNCTION("""COMPUTED_VALUE"""),"")</f>
        <v/>
      </c>
      <c r="D5093" t="str">
        <f>IFERROR(__xludf.DUMMYFUNCTION("""COMPUTED_VALUE"""),"")</f>
        <v/>
      </c>
      <c r="E5093" t="str">
        <f>IFERROR(__xludf.DUMMYFUNCTION("""COMPUTED_VALUE"""),"")</f>
        <v/>
      </c>
      <c r="F5093" t="str">
        <f>IFERROR(__xludf.DUMMYFUNCTION("""COMPUTED_VALUE"""),"")</f>
        <v/>
      </c>
      <c r="G5093" t="str">
        <f>IFERROR(__xludf.DUMMYFUNCTION("""COMPUTED_VALUE"""),"")</f>
        <v/>
      </c>
      <c r="H5093" s="2" t="str">
        <f>IFERROR(__xludf.DUMMYFUNCTION("""COMPUTED_VALUE"""),"")</f>
        <v/>
      </c>
      <c r="I5093" s="2" t="str">
        <f>IFERROR(__xludf.DUMMYFUNCTION("""COMPUTED_VALUE"""),"")</f>
        <v/>
      </c>
      <c r="J5093" s="2">
        <f>IFERROR(__xludf.DUMMYFUNCTION("""COMPUTED_VALUE"""),0.0)</f>
        <v>0</v>
      </c>
      <c r="K5093" s="5" t="str">
        <f>IFERROR(__xludf.DUMMYFUNCTION("""COMPUTED_VALUE"""),"")</f>
        <v/>
      </c>
      <c r="L5093" t="str">
        <f>IFERROR(__xludf.DUMMYFUNCTION("""COMPUTED_VALUE"""),"")</f>
        <v/>
      </c>
      <c r="M5093" t="str">
        <f>IFERROR(__xludf.DUMMYFUNCTION("""COMPUTED_VALUE"""),"")</f>
        <v/>
      </c>
      <c r="N5093" t="str">
        <f>IFERROR(__xludf.DUMMYFUNCTION("""COMPUTED_VALUE"""),"")</f>
        <v/>
      </c>
      <c r="O5093" t="str">
        <f>IFERROR(__xludf.DUMMYFUNCTION("""COMPUTED_VALUE"""),"")</f>
        <v/>
      </c>
      <c r="P5093" t="str">
        <f>IFERROR(__xludf.DUMMYFUNCTION("""COMPUTED_VALUE"""),"ID ")</f>
        <v>ID </v>
      </c>
    </row>
    <row r="5094">
      <c r="A5094" s="6" t="str">
        <f>IFERROR(__xludf.DUMMYFUNCTION("""COMPUTED_VALUE"""),"")</f>
        <v/>
      </c>
      <c r="C5094" t="str">
        <f>IFERROR(__xludf.DUMMYFUNCTION("""COMPUTED_VALUE"""),"")</f>
        <v/>
      </c>
      <c r="D5094" t="str">
        <f>IFERROR(__xludf.DUMMYFUNCTION("""COMPUTED_VALUE"""),"")</f>
        <v/>
      </c>
      <c r="E5094" t="str">
        <f>IFERROR(__xludf.DUMMYFUNCTION("""COMPUTED_VALUE"""),"")</f>
        <v/>
      </c>
      <c r="F5094" t="str">
        <f>IFERROR(__xludf.DUMMYFUNCTION("""COMPUTED_VALUE"""),"")</f>
        <v/>
      </c>
      <c r="G5094" t="str">
        <f>IFERROR(__xludf.DUMMYFUNCTION("""COMPUTED_VALUE"""),"")</f>
        <v/>
      </c>
      <c r="H5094" s="2" t="str">
        <f>IFERROR(__xludf.DUMMYFUNCTION("""COMPUTED_VALUE"""),"")</f>
        <v/>
      </c>
      <c r="I5094" s="2" t="str">
        <f>IFERROR(__xludf.DUMMYFUNCTION("""COMPUTED_VALUE"""),"")</f>
        <v/>
      </c>
      <c r="J5094" s="2">
        <f>IFERROR(__xludf.DUMMYFUNCTION("""COMPUTED_VALUE"""),0.0)</f>
        <v>0</v>
      </c>
      <c r="K5094" s="5" t="str">
        <f>IFERROR(__xludf.DUMMYFUNCTION("""COMPUTED_VALUE"""),"")</f>
        <v/>
      </c>
      <c r="L5094" t="str">
        <f>IFERROR(__xludf.DUMMYFUNCTION("""COMPUTED_VALUE"""),"")</f>
        <v/>
      </c>
      <c r="M5094" t="str">
        <f>IFERROR(__xludf.DUMMYFUNCTION("""COMPUTED_VALUE"""),"")</f>
        <v/>
      </c>
      <c r="N5094" t="str">
        <f>IFERROR(__xludf.DUMMYFUNCTION("""COMPUTED_VALUE"""),"")</f>
        <v/>
      </c>
      <c r="O5094" t="str">
        <f>IFERROR(__xludf.DUMMYFUNCTION("""COMPUTED_VALUE"""),"")</f>
        <v/>
      </c>
      <c r="P5094" t="str">
        <f>IFERROR(__xludf.DUMMYFUNCTION("""COMPUTED_VALUE"""),"ID ")</f>
        <v>ID </v>
      </c>
    </row>
    <row r="5095">
      <c r="A5095" s="6" t="str">
        <f>IFERROR(__xludf.DUMMYFUNCTION("""COMPUTED_VALUE"""),"")</f>
        <v/>
      </c>
      <c r="C5095" t="str">
        <f>IFERROR(__xludf.DUMMYFUNCTION("""COMPUTED_VALUE"""),"")</f>
        <v/>
      </c>
      <c r="D5095" t="str">
        <f>IFERROR(__xludf.DUMMYFUNCTION("""COMPUTED_VALUE"""),"")</f>
        <v/>
      </c>
      <c r="E5095" t="str">
        <f>IFERROR(__xludf.DUMMYFUNCTION("""COMPUTED_VALUE"""),"")</f>
        <v/>
      </c>
      <c r="F5095" t="str">
        <f>IFERROR(__xludf.DUMMYFUNCTION("""COMPUTED_VALUE"""),"")</f>
        <v/>
      </c>
      <c r="G5095" t="str">
        <f>IFERROR(__xludf.DUMMYFUNCTION("""COMPUTED_VALUE"""),"")</f>
        <v/>
      </c>
      <c r="H5095" s="2" t="str">
        <f>IFERROR(__xludf.DUMMYFUNCTION("""COMPUTED_VALUE"""),"")</f>
        <v/>
      </c>
      <c r="I5095" s="2" t="str">
        <f>IFERROR(__xludf.DUMMYFUNCTION("""COMPUTED_VALUE"""),"")</f>
        <v/>
      </c>
      <c r="J5095" s="2">
        <f>IFERROR(__xludf.DUMMYFUNCTION("""COMPUTED_VALUE"""),0.0)</f>
        <v>0</v>
      </c>
      <c r="K5095" s="5" t="str">
        <f>IFERROR(__xludf.DUMMYFUNCTION("""COMPUTED_VALUE"""),"")</f>
        <v/>
      </c>
      <c r="L5095" t="str">
        <f>IFERROR(__xludf.DUMMYFUNCTION("""COMPUTED_VALUE"""),"")</f>
        <v/>
      </c>
      <c r="M5095" t="str">
        <f>IFERROR(__xludf.DUMMYFUNCTION("""COMPUTED_VALUE"""),"")</f>
        <v/>
      </c>
      <c r="N5095" t="str">
        <f>IFERROR(__xludf.DUMMYFUNCTION("""COMPUTED_VALUE"""),"")</f>
        <v/>
      </c>
      <c r="O5095" t="str">
        <f>IFERROR(__xludf.DUMMYFUNCTION("""COMPUTED_VALUE"""),"")</f>
        <v/>
      </c>
      <c r="P5095" t="str">
        <f>IFERROR(__xludf.DUMMYFUNCTION("""COMPUTED_VALUE"""),"ID ")</f>
        <v>ID </v>
      </c>
    </row>
    <row r="5096">
      <c r="A5096" s="6" t="str">
        <f>IFERROR(__xludf.DUMMYFUNCTION("""COMPUTED_VALUE"""),"")</f>
        <v/>
      </c>
      <c r="C5096" t="str">
        <f>IFERROR(__xludf.DUMMYFUNCTION("""COMPUTED_VALUE"""),"")</f>
        <v/>
      </c>
      <c r="D5096" t="str">
        <f>IFERROR(__xludf.DUMMYFUNCTION("""COMPUTED_VALUE"""),"")</f>
        <v/>
      </c>
      <c r="E5096" t="str">
        <f>IFERROR(__xludf.DUMMYFUNCTION("""COMPUTED_VALUE"""),"")</f>
        <v/>
      </c>
      <c r="F5096" t="str">
        <f>IFERROR(__xludf.DUMMYFUNCTION("""COMPUTED_VALUE"""),"")</f>
        <v/>
      </c>
      <c r="G5096" t="str">
        <f>IFERROR(__xludf.DUMMYFUNCTION("""COMPUTED_VALUE"""),"")</f>
        <v/>
      </c>
      <c r="H5096" s="2" t="str">
        <f>IFERROR(__xludf.DUMMYFUNCTION("""COMPUTED_VALUE"""),"")</f>
        <v/>
      </c>
      <c r="I5096" s="2" t="str">
        <f>IFERROR(__xludf.DUMMYFUNCTION("""COMPUTED_VALUE"""),"")</f>
        <v/>
      </c>
      <c r="J5096" s="2">
        <f>IFERROR(__xludf.DUMMYFUNCTION("""COMPUTED_VALUE"""),0.0)</f>
        <v>0</v>
      </c>
      <c r="K5096" s="5" t="str">
        <f>IFERROR(__xludf.DUMMYFUNCTION("""COMPUTED_VALUE"""),"")</f>
        <v/>
      </c>
      <c r="L5096" t="str">
        <f>IFERROR(__xludf.DUMMYFUNCTION("""COMPUTED_VALUE"""),"")</f>
        <v/>
      </c>
      <c r="M5096" t="str">
        <f>IFERROR(__xludf.DUMMYFUNCTION("""COMPUTED_VALUE"""),"")</f>
        <v/>
      </c>
      <c r="N5096" t="str">
        <f>IFERROR(__xludf.DUMMYFUNCTION("""COMPUTED_VALUE"""),"")</f>
        <v/>
      </c>
      <c r="O5096" t="str">
        <f>IFERROR(__xludf.DUMMYFUNCTION("""COMPUTED_VALUE"""),"")</f>
        <v/>
      </c>
      <c r="P5096" t="str">
        <f>IFERROR(__xludf.DUMMYFUNCTION("""COMPUTED_VALUE"""),"ID ")</f>
        <v>ID </v>
      </c>
    </row>
    <row r="5097">
      <c r="A5097" s="6" t="str">
        <f>IFERROR(__xludf.DUMMYFUNCTION("""COMPUTED_VALUE"""),"")</f>
        <v/>
      </c>
      <c r="C5097" t="str">
        <f>IFERROR(__xludf.DUMMYFUNCTION("""COMPUTED_VALUE"""),"")</f>
        <v/>
      </c>
      <c r="D5097" t="str">
        <f>IFERROR(__xludf.DUMMYFUNCTION("""COMPUTED_VALUE"""),"")</f>
        <v/>
      </c>
      <c r="E5097" t="str">
        <f>IFERROR(__xludf.DUMMYFUNCTION("""COMPUTED_VALUE"""),"")</f>
        <v/>
      </c>
      <c r="F5097" t="str">
        <f>IFERROR(__xludf.DUMMYFUNCTION("""COMPUTED_VALUE"""),"")</f>
        <v/>
      </c>
      <c r="G5097" t="str">
        <f>IFERROR(__xludf.DUMMYFUNCTION("""COMPUTED_VALUE"""),"")</f>
        <v/>
      </c>
      <c r="H5097" s="2" t="str">
        <f>IFERROR(__xludf.DUMMYFUNCTION("""COMPUTED_VALUE"""),"")</f>
        <v/>
      </c>
      <c r="I5097" s="2" t="str">
        <f>IFERROR(__xludf.DUMMYFUNCTION("""COMPUTED_VALUE"""),"")</f>
        <v/>
      </c>
      <c r="J5097" s="2">
        <f>IFERROR(__xludf.DUMMYFUNCTION("""COMPUTED_VALUE"""),0.0)</f>
        <v>0</v>
      </c>
      <c r="K5097" s="5" t="str">
        <f>IFERROR(__xludf.DUMMYFUNCTION("""COMPUTED_VALUE"""),"")</f>
        <v/>
      </c>
      <c r="L5097" t="str">
        <f>IFERROR(__xludf.DUMMYFUNCTION("""COMPUTED_VALUE"""),"")</f>
        <v/>
      </c>
      <c r="M5097" t="str">
        <f>IFERROR(__xludf.DUMMYFUNCTION("""COMPUTED_VALUE"""),"")</f>
        <v/>
      </c>
      <c r="N5097" t="str">
        <f>IFERROR(__xludf.DUMMYFUNCTION("""COMPUTED_VALUE"""),"")</f>
        <v/>
      </c>
      <c r="O5097" t="str">
        <f>IFERROR(__xludf.DUMMYFUNCTION("""COMPUTED_VALUE"""),"")</f>
        <v/>
      </c>
      <c r="P5097" t="str">
        <f>IFERROR(__xludf.DUMMYFUNCTION("""COMPUTED_VALUE"""),"ID ")</f>
        <v>ID </v>
      </c>
    </row>
    <row r="5098">
      <c r="A5098" s="6" t="str">
        <f>IFERROR(__xludf.DUMMYFUNCTION("""COMPUTED_VALUE"""),"")</f>
        <v/>
      </c>
      <c r="C5098" t="str">
        <f>IFERROR(__xludf.DUMMYFUNCTION("""COMPUTED_VALUE"""),"")</f>
        <v/>
      </c>
      <c r="D5098" t="str">
        <f>IFERROR(__xludf.DUMMYFUNCTION("""COMPUTED_VALUE"""),"")</f>
        <v/>
      </c>
      <c r="E5098" t="str">
        <f>IFERROR(__xludf.DUMMYFUNCTION("""COMPUTED_VALUE"""),"")</f>
        <v/>
      </c>
      <c r="F5098" t="str">
        <f>IFERROR(__xludf.DUMMYFUNCTION("""COMPUTED_VALUE"""),"")</f>
        <v/>
      </c>
      <c r="G5098" t="str">
        <f>IFERROR(__xludf.DUMMYFUNCTION("""COMPUTED_VALUE"""),"")</f>
        <v/>
      </c>
      <c r="H5098" s="2" t="str">
        <f>IFERROR(__xludf.DUMMYFUNCTION("""COMPUTED_VALUE"""),"")</f>
        <v/>
      </c>
      <c r="I5098" s="2" t="str">
        <f>IFERROR(__xludf.DUMMYFUNCTION("""COMPUTED_VALUE"""),"")</f>
        <v/>
      </c>
      <c r="J5098" s="2">
        <f>IFERROR(__xludf.DUMMYFUNCTION("""COMPUTED_VALUE"""),0.0)</f>
        <v>0</v>
      </c>
      <c r="K5098" s="5" t="str">
        <f>IFERROR(__xludf.DUMMYFUNCTION("""COMPUTED_VALUE"""),"")</f>
        <v/>
      </c>
      <c r="L5098" t="str">
        <f>IFERROR(__xludf.DUMMYFUNCTION("""COMPUTED_VALUE"""),"")</f>
        <v/>
      </c>
      <c r="M5098" t="str">
        <f>IFERROR(__xludf.DUMMYFUNCTION("""COMPUTED_VALUE"""),"")</f>
        <v/>
      </c>
      <c r="N5098" t="str">
        <f>IFERROR(__xludf.DUMMYFUNCTION("""COMPUTED_VALUE"""),"")</f>
        <v/>
      </c>
      <c r="O5098" t="str">
        <f>IFERROR(__xludf.DUMMYFUNCTION("""COMPUTED_VALUE"""),"")</f>
        <v/>
      </c>
      <c r="P5098" t="str">
        <f>IFERROR(__xludf.DUMMYFUNCTION("""COMPUTED_VALUE"""),"ID ")</f>
        <v>ID </v>
      </c>
    </row>
    <row r="5099">
      <c r="A5099" s="6" t="str">
        <f>IFERROR(__xludf.DUMMYFUNCTION("""COMPUTED_VALUE"""),"")</f>
        <v/>
      </c>
      <c r="C5099" t="str">
        <f>IFERROR(__xludf.DUMMYFUNCTION("""COMPUTED_VALUE"""),"")</f>
        <v/>
      </c>
      <c r="D5099" t="str">
        <f>IFERROR(__xludf.DUMMYFUNCTION("""COMPUTED_VALUE"""),"")</f>
        <v/>
      </c>
      <c r="E5099" t="str">
        <f>IFERROR(__xludf.DUMMYFUNCTION("""COMPUTED_VALUE"""),"")</f>
        <v/>
      </c>
      <c r="F5099" t="str">
        <f>IFERROR(__xludf.DUMMYFUNCTION("""COMPUTED_VALUE"""),"")</f>
        <v/>
      </c>
      <c r="G5099" t="str">
        <f>IFERROR(__xludf.DUMMYFUNCTION("""COMPUTED_VALUE"""),"")</f>
        <v/>
      </c>
      <c r="H5099" s="2" t="str">
        <f>IFERROR(__xludf.DUMMYFUNCTION("""COMPUTED_VALUE"""),"")</f>
        <v/>
      </c>
      <c r="I5099" s="2" t="str">
        <f>IFERROR(__xludf.DUMMYFUNCTION("""COMPUTED_VALUE"""),"")</f>
        <v/>
      </c>
      <c r="J5099" s="2">
        <f>IFERROR(__xludf.DUMMYFUNCTION("""COMPUTED_VALUE"""),0.0)</f>
        <v>0</v>
      </c>
      <c r="K5099" s="5" t="str">
        <f>IFERROR(__xludf.DUMMYFUNCTION("""COMPUTED_VALUE"""),"")</f>
        <v/>
      </c>
      <c r="L5099" t="str">
        <f>IFERROR(__xludf.DUMMYFUNCTION("""COMPUTED_VALUE"""),"")</f>
        <v/>
      </c>
      <c r="M5099" t="str">
        <f>IFERROR(__xludf.DUMMYFUNCTION("""COMPUTED_VALUE"""),"")</f>
        <v/>
      </c>
      <c r="N5099" t="str">
        <f>IFERROR(__xludf.DUMMYFUNCTION("""COMPUTED_VALUE"""),"")</f>
        <v/>
      </c>
      <c r="O5099" t="str">
        <f>IFERROR(__xludf.DUMMYFUNCTION("""COMPUTED_VALUE"""),"")</f>
        <v/>
      </c>
      <c r="P5099" t="str">
        <f>IFERROR(__xludf.DUMMYFUNCTION("""COMPUTED_VALUE"""),"ID ")</f>
        <v>ID </v>
      </c>
    </row>
    <row r="5100">
      <c r="A5100" s="6" t="str">
        <f>IFERROR(__xludf.DUMMYFUNCTION("""COMPUTED_VALUE"""),"")</f>
        <v/>
      </c>
      <c r="C5100" t="str">
        <f>IFERROR(__xludf.DUMMYFUNCTION("""COMPUTED_VALUE"""),"")</f>
        <v/>
      </c>
      <c r="D5100" t="str">
        <f>IFERROR(__xludf.DUMMYFUNCTION("""COMPUTED_VALUE"""),"")</f>
        <v/>
      </c>
      <c r="E5100" t="str">
        <f>IFERROR(__xludf.DUMMYFUNCTION("""COMPUTED_VALUE"""),"")</f>
        <v/>
      </c>
      <c r="F5100" t="str">
        <f>IFERROR(__xludf.DUMMYFUNCTION("""COMPUTED_VALUE"""),"")</f>
        <v/>
      </c>
      <c r="G5100" t="str">
        <f>IFERROR(__xludf.DUMMYFUNCTION("""COMPUTED_VALUE"""),"")</f>
        <v/>
      </c>
      <c r="H5100" s="2" t="str">
        <f>IFERROR(__xludf.DUMMYFUNCTION("""COMPUTED_VALUE"""),"")</f>
        <v/>
      </c>
      <c r="I5100" s="2" t="str">
        <f>IFERROR(__xludf.DUMMYFUNCTION("""COMPUTED_VALUE"""),"")</f>
        <v/>
      </c>
      <c r="J5100" s="2">
        <f>IFERROR(__xludf.DUMMYFUNCTION("""COMPUTED_VALUE"""),0.0)</f>
        <v>0</v>
      </c>
      <c r="K5100" s="5" t="str">
        <f>IFERROR(__xludf.DUMMYFUNCTION("""COMPUTED_VALUE"""),"")</f>
        <v/>
      </c>
      <c r="L5100" t="str">
        <f>IFERROR(__xludf.DUMMYFUNCTION("""COMPUTED_VALUE"""),"")</f>
        <v/>
      </c>
      <c r="M5100" t="str">
        <f>IFERROR(__xludf.DUMMYFUNCTION("""COMPUTED_VALUE"""),"")</f>
        <v/>
      </c>
      <c r="N5100" t="str">
        <f>IFERROR(__xludf.DUMMYFUNCTION("""COMPUTED_VALUE"""),"")</f>
        <v/>
      </c>
      <c r="O5100" t="str">
        <f>IFERROR(__xludf.DUMMYFUNCTION("""COMPUTED_VALUE"""),"")</f>
        <v/>
      </c>
      <c r="P5100" t="str">
        <f>IFERROR(__xludf.DUMMYFUNCTION("""COMPUTED_VALUE"""),"ID ")</f>
        <v>ID </v>
      </c>
    </row>
    <row r="5101">
      <c r="A5101" s="6" t="str">
        <f>IFERROR(__xludf.DUMMYFUNCTION("""COMPUTED_VALUE"""),"")</f>
        <v/>
      </c>
      <c r="C5101" t="str">
        <f>IFERROR(__xludf.DUMMYFUNCTION("""COMPUTED_VALUE"""),"")</f>
        <v/>
      </c>
      <c r="D5101" t="str">
        <f>IFERROR(__xludf.DUMMYFUNCTION("""COMPUTED_VALUE"""),"")</f>
        <v/>
      </c>
      <c r="E5101" t="str">
        <f>IFERROR(__xludf.DUMMYFUNCTION("""COMPUTED_VALUE"""),"")</f>
        <v/>
      </c>
      <c r="F5101" t="str">
        <f>IFERROR(__xludf.DUMMYFUNCTION("""COMPUTED_VALUE"""),"")</f>
        <v/>
      </c>
      <c r="G5101" t="str">
        <f>IFERROR(__xludf.DUMMYFUNCTION("""COMPUTED_VALUE"""),"")</f>
        <v/>
      </c>
      <c r="H5101" s="2" t="str">
        <f>IFERROR(__xludf.DUMMYFUNCTION("""COMPUTED_VALUE"""),"")</f>
        <v/>
      </c>
      <c r="I5101" s="2" t="str">
        <f>IFERROR(__xludf.DUMMYFUNCTION("""COMPUTED_VALUE"""),"")</f>
        <v/>
      </c>
      <c r="J5101" s="2">
        <f>IFERROR(__xludf.DUMMYFUNCTION("""COMPUTED_VALUE"""),0.0)</f>
        <v>0</v>
      </c>
      <c r="K5101" s="5" t="str">
        <f>IFERROR(__xludf.DUMMYFUNCTION("""COMPUTED_VALUE"""),"")</f>
        <v/>
      </c>
      <c r="L5101" t="str">
        <f>IFERROR(__xludf.DUMMYFUNCTION("""COMPUTED_VALUE"""),"")</f>
        <v/>
      </c>
      <c r="M5101" t="str">
        <f>IFERROR(__xludf.DUMMYFUNCTION("""COMPUTED_VALUE"""),"")</f>
        <v/>
      </c>
      <c r="N5101" t="str">
        <f>IFERROR(__xludf.DUMMYFUNCTION("""COMPUTED_VALUE"""),"")</f>
        <v/>
      </c>
      <c r="O5101" t="str">
        <f>IFERROR(__xludf.DUMMYFUNCTION("""COMPUTED_VALUE"""),"")</f>
        <v/>
      </c>
      <c r="P5101" t="str">
        <f>IFERROR(__xludf.DUMMYFUNCTION("""COMPUTED_VALUE"""),"ID ")</f>
        <v>ID </v>
      </c>
    </row>
    <row r="5102">
      <c r="A5102" s="6" t="str">
        <f>IFERROR(__xludf.DUMMYFUNCTION("""COMPUTED_VALUE"""),"")</f>
        <v/>
      </c>
      <c r="C5102" t="str">
        <f>IFERROR(__xludf.DUMMYFUNCTION("""COMPUTED_VALUE"""),"")</f>
        <v/>
      </c>
      <c r="D5102" t="str">
        <f>IFERROR(__xludf.DUMMYFUNCTION("""COMPUTED_VALUE"""),"")</f>
        <v/>
      </c>
      <c r="E5102" t="str">
        <f>IFERROR(__xludf.DUMMYFUNCTION("""COMPUTED_VALUE"""),"")</f>
        <v/>
      </c>
      <c r="F5102" t="str">
        <f>IFERROR(__xludf.DUMMYFUNCTION("""COMPUTED_VALUE"""),"")</f>
        <v/>
      </c>
      <c r="G5102" t="str">
        <f>IFERROR(__xludf.DUMMYFUNCTION("""COMPUTED_VALUE"""),"")</f>
        <v/>
      </c>
      <c r="H5102" s="2" t="str">
        <f>IFERROR(__xludf.DUMMYFUNCTION("""COMPUTED_VALUE"""),"")</f>
        <v/>
      </c>
      <c r="I5102" s="2" t="str">
        <f>IFERROR(__xludf.DUMMYFUNCTION("""COMPUTED_VALUE"""),"")</f>
        <v/>
      </c>
      <c r="J5102" s="2">
        <f>IFERROR(__xludf.DUMMYFUNCTION("""COMPUTED_VALUE"""),0.0)</f>
        <v>0</v>
      </c>
      <c r="K5102" s="5" t="str">
        <f>IFERROR(__xludf.DUMMYFUNCTION("""COMPUTED_VALUE"""),"")</f>
        <v/>
      </c>
      <c r="L5102" t="str">
        <f>IFERROR(__xludf.DUMMYFUNCTION("""COMPUTED_VALUE"""),"")</f>
        <v/>
      </c>
      <c r="M5102" t="str">
        <f>IFERROR(__xludf.DUMMYFUNCTION("""COMPUTED_VALUE"""),"")</f>
        <v/>
      </c>
      <c r="N5102" t="str">
        <f>IFERROR(__xludf.DUMMYFUNCTION("""COMPUTED_VALUE"""),"")</f>
        <v/>
      </c>
      <c r="O5102" t="str">
        <f>IFERROR(__xludf.DUMMYFUNCTION("""COMPUTED_VALUE"""),"")</f>
        <v/>
      </c>
      <c r="P5102" t="str">
        <f>IFERROR(__xludf.DUMMYFUNCTION("""COMPUTED_VALUE"""),"ID ")</f>
        <v>ID </v>
      </c>
    </row>
    <row r="5103">
      <c r="A5103" s="6" t="str">
        <f>IFERROR(__xludf.DUMMYFUNCTION("""COMPUTED_VALUE"""),"")</f>
        <v/>
      </c>
      <c r="C5103" t="str">
        <f>IFERROR(__xludf.DUMMYFUNCTION("""COMPUTED_VALUE"""),"")</f>
        <v/>
      </c>
      <c r="D5103" t="str">
        <f>IFERROR(__xludf.DUMMYFUNCTION("""COMPUTED_VALUE"""),"")</f>
        <v/>
      </c>
      <c r="E5103" t="str">
        <f>IFERROR(__xludf.DUMMYFUNCTION("""COMPUTED_VALUE"""),"")</f>
        <v/>
      </c>
      <c r="F5103" t="str">
        <f>IFERROR(__xludf.DUMMYFUNCTION("""COMPUTED_VALUE"""),"")</f>
        <v/>
      </c>
      <c r="G5103" t="str">
        <f>IFERROR(__xludf.DUMMYFUNCTION("""COMPUTED_VALUE"""),"")</f>
        <v/>
      </c>
      <c r="H5103" s="2" t="str">
        <f>IFERROR(__xludf.DUMMYFUNCTION("""COMPUTED_VALUE"""),"")</f>
        <v/>
      </c>
      <c r="I5103" s="2" t="str">
        <f>IFERROR(__xludf.DUMMYFUNCTION("""COMPUTED_VALUE"""),"")</f>
        <v/>
      </c>
      <c r="J5103" s="2">
        <f>IFERROR(__xludf.DUMMYFUNCTION("""COMPUTED_VALUE"""),0.0)</f>
        <v>0</v>
      </c>
      <c r="K5103" s="5" t="str">
        <f>IFERROR(__xludf.DUMMYFUNCTION("""COMPUTED_VALUE"""),"")</f>
        <v/>
      </c>
      <c r="L5103" t="str">
        <f>IFERROR(__xludf.DUMMYFUNCTION("""COMPUTED_VALUE"""),"")</f>
        <v/>
      </c>
      <c r="M5103" t="str">
        <f>IFERROR(__xludf.DUMMYFUNCTION("""COMPUTED_VALUE"""),"")</f>
        <v/>
      </c>
      <c r="N5103" t="str">
        <f>IFERROR(__xludf.DUMMYFUNCTION("""COMPUTED_VALUE"""),"")</f>
        <v/>
      </c>
      <c r="O5103" t="str">
        <f>IFERROR(__xludf.DUMMYFUNCTION("""COMPUTED_VALUE"""),"")</f>
        <v/>
      </c>
      <c r="P5103" t="str">
        <f>IFERROR(__xludf.DUMMYFUNCTION("""COMPUTED_VALUE"""),"ID ")</f>
        <v>ID </v>
      </c>
    </row>
    <row r="5104">
      <c r="A5104" s="6" t="str">
        <f>IFERROR(__xludf.DUMMYFUNCTION("""COMPUTED_VALUE"""),"")</f>
        <v/>
      </c>
      <c r="C5104" t="str">
        <f>IFERROR(__xludf.DUMMYFUNCTION("""COMPUTED_VALUE"""),"")</f>
        <v/>
      </c>
      <c r="D5104" t="str">
        <f>IFERROR(__xludf.DUMMYFUNCTION("""COMPUTED_VALUE"""),"")</f>
        <v/>
      </c>
      <c r="E5104" t="str">
        <f>IFERROR(__xludf.DUMMYFUNCTION("""COMPUTED_VALUE"""),"")</f>
        <v/>
      </c>
      <c r="F5104" t="str">
        <f>IFERROR(__xludf.DUMMYFUNCTION("""COMPUTED_VALUE"""),"")</f>
        <v/>
      </c>
      <c r="G5104" t="str">
        <f>IFERROR(__xludf.DUMMYFUNCTION("""COMPUTED_VALUE"""),"")</f>
        <v/>
      </c>
      <c r="H5104" s="2" t="str">
        <f>IFERROR(__xludf.DUMMYFUNCTION("""COMPUTED_VALUE"""),"")</f>
        <v/>
      </c>
      <c r="I5104" s="2" t="str">
        <f>IFERROR(__xludf.DUMMYFUNCTION("""COMPUTED_VALUE"""),"")</f>
        <v/>
      </c>
      <c r="J5104" s="2">
        <f>IFERROR(__xludf.DUMMYFUNCTION("""COMPUTED_VALUE"""),0.0)</f>
        <v>0</v>
      </c>
      <c r="K5104" s="5" t="str">
        <f>IFERROR(__xludf.DUMMYFUNCTION("""COMPUTED_VALUE"""),"")</f>
        <v/>
      </c>
      <c r="L5104" t="str">
        <f>IFERROR(__xludf.DUMMYFUNCTION("""COMPUTED_VALUE"""),"")</f>
        <v/>
      </c>
      <c r="M5104" t="str">
        <f>IFERROR(__xludf.DUMMYFUNCTION("""COMPUTED_VALUE"""),"")</f>
        <v/>
      </c>
      <c r="N5104" t="str">
        <f>IFERROR(__xludf.DUMMYFUNCTION("""COMPUTED_VALUE"""),"")</f>
        <v/>
      </c>
      <c r="O5104" t="str">
        <f>IFERROR(__xludf.DUMMYFUNCTION("""COMPUTED_VALUE"""),"")</f>
        <v/>
      </c>
      <c r="P5104" t="str">
        <f>IFERROR(__xludf.DUMMYFUNCTION("""COMPUTED_VALUE"""),"ID ")</f>
        <v>ID </v>
      </c>
    </row>
    <row r="5105">
      <c r="A5105" s="6" t="str">
        <f>IFERROR(__xludf.DUMMYFUNCTION("""COMPUTED_VALUE"""),"")</f>
        <v/>
      </c>
      <c r="C5105" t="str">
        <f>IFERROR(__xludf.DUMMYFUNCTION("""COMPUTED_VALUE"""),"")</f>
        <v/>
      </c>
      <c r="D5105" t="str">
        <f>IFERROR(__xludf.DUMMYFUNCTION("""COMPUTED_VALUE"""),"")</f>
        <v/>
      </c>
      <c r="E5105" t="str">
        <f>IFERROR(__xludf.DUMMYFUNCTION("""COMPUTED_VALUE"""),"")</f>
        <v/>
      </c>
      <c r="F5105" t="str">
        <f>IFERROR(__xludf.DUMMYFUNCTION("""COMPUTED_VALUE"""),"")</f>
        <v/>
      </c>
      <c r="G5105" t="str">
        <f>IFERROR(__xludf.DUMMYFUNCTION("""COMPUTED_VALUE"""),"")</f>
        <v/>
      </c>
      <c r="H5105" s="2" t="str">
        <f>IFERROR(__xludf.DUMMYFUNCTION("""COMPUTED_VALUE"""),"")</f>
        <v/>
      </c>
      <c r="I5105" s="2" t="str">
        <f>IFERROR(__xludf.DUMMYFUNCTION("""COMPUTED_VALUE"""),"")</f>
        <v/>
      </c>
      <c r="J5105" s="2">
        <f>IFERROR(__xludf.DUMMYFUNCTION("""COMPUTED_VALUE"""),0.0)</f>
        <v>0</v>
      </c>
      <c r="K5105" s="5" t="str">
        <f>IFERROR(__xludf.DUMMYFUNCTION("""COMPUTED_VALUE"""),"")</f>
        <v/>
      </c>
      <c r="L5105" t="str">
        <f>IFERROR(__xludf.DUMMYFUNCTION("""COMPUTED_VALUE"""),"")</f>
        <v/>
      </c>
      <c r="M5105" t="str">
        <f>IFERROR(__xludf.DUMMYFUNCTION("""COMPUTED_VALUE"""),"")</f>
        <v/>
      </c>
      <c r="N5105" t="str">
        <f>IFERROR(__xludf.DUMMYFUNCTION("""COMPUTED_VALUE"""),"")</f>
        <v/>
      </c>
      <c r="O5105" t="str">
        <f>IFERROR(__xludf.DUMMYFUNCTION("""COMPUTED_VALUE"""),"")</f>
        <v/>
      </c>
      <c r="P5105" t="str">
        <f>IFERROR(__xludf.DUMMYFUNCTION("""COMPUTED_VALUE"""),"ID ")</f>
        <v>ID </v>
      </c>
    </row>
    <row r="5106">
      <c r="A5106" s="6" t="str">
        <f>IFERROR(__xludf.DUMMYFUNCTION("""COMPUTED_VALUE"""),"")</f>
        <v/>
      </c>
      <c r="C5106" t="str">
        <f>IFERROR(__xludf.DUMMYFUNCTION("""COMPUTED_VALUE"""),"")</f>
        <v/>
      </c>
      <c r="D5106" t="str">
        <f>IFERROR(__xludf.DUMMYFUNCTION("""COMPUTED_VALUE"""),"")</f>
        <v/>
      </c>
      <c r="E5106" t="str">
        <f>IFERROR(__xludf.DUMMYFUNCTION("""COMPUTED_VALUE"""),"")</f>
        <v/>
      </c>
      <c r="F5106" t="str">
        <f>IFERROR(__xludf.DUMMYFUNCTION("""COMPUTED_VALUE"""),"")</f>
        <v/>
      </c>
      <c r="G5106" t="str">
        <f>IFERROR(__xludf.DUMMYFUNCTION("""COMPUTED_VALUE"""),"")</f>
        <v/>
      </c>
      <c r="H5106" s="2" t="str">
        <f>IFERROR(__xludf.DUMMYFUNCTION("""COMPUTED_VALUE"""),"")</f>
        <v/>
      </c>
      <c r="I5106" s="2" t="str">
        <f>IFERROR(__xludf.DUMMYFUNCTION("""COMPUTED_VALUE"""),"")</f>
        <v/>
      </c>
      <c r="J5106" s="2">
        <f>IFERROR(__xludf.DUMMYFUNCTION("""COMPUTED_VALUE"""),0.0)</f>
        <v>0</v>
      </c>
      <c r="K5106" s="5" t="str">
        <f>IFERROR(__xludf.DUMMYFUNCTION("""COMPUTED_VALUE"""),"")</f>
        <v/>
      </c>
      <c r="L5106" t="str">
        <f>IFERROR(__xludf.DUMMYFUNCTION("""COMPUTED_VALUE"""),"")</f>
        <v/>
      </c>
      <c r="M5106" t="str">
        <f>IFERROR(__xludf.DUMMYFUNCTION("""COMPUTED_VALUE"""),"")</f>
        <v/>
      </c>
      <c r="N5106" t="str">
        <f>IFERROR(__xludf.DUMMYFUNCTION("""COMPUTED_VALUE"""),"")</f>
        <v/>
      </c>
      <c r="O5106" t="str">
        <f>IFERROR(__xludf.DUMMYFUNCTION("""COMPUTED_VALUE"""),"")</f>
        <v/>
      </c>
      <c r="P5106" t="str">
        <f>IFERROR(__xludf.DUMMYFUNCTION("""COMPUTED_VALUE"""),"ID ")</f>
        <v>ID </v>
      </c>
    </row>
    <row r="5107">
      <c r="A5107" s="6" t="str">
        <f>IFERROR(__xludf.DUMMYFUNCTION("""COMPUTED_VALUE"""),"")</f>
        <v/>
      </c>
      <c r="C5107" t="str">
        <f>IFERROR(__xludf.DUMMYFUNCTION("""COMPUTED_VALUE"""),"")</f>
        <v/>
      </c>
      <c r="D5107" t="str">
        <f>IFERROR(__xludf.DUMMYFUNCTION("""COMPUTED_VALUE"""),"")</f>
        <v/>
      </c>
      <c r="E5107" t="str">
        <f>IFERROR(__xludf.DUMMYFUNCTION("""COMPUTED_VALUE"""),"")</f>
        <v/>
      </c>
      <c r="F5107" t="str">
        <f>IFERROR(__xludf.DUMMYFUNCTION("""COMPUTED_VALUE"""),"")</f>
        <v/>
      </c>
      <c r="G5107" t="str">
        <f>IFERROR(__xludf.DUMMYFUNCTION("""COMPUTED_VALUE"""),"")</f>
        <v/>
      </c>
      <c r="H5107" s="2" t="str">
        <f>IFERROR(__xludf.DUMMYFUNCTION("""COMPUTED_VALUE"""),"")</f>
        <v/>
      </c>
      <c r="I5107" s="2" t="str">
        <f>IFERROR(__xludf.DUMMYFUNCTION("""COMPUTED_VALUE"""),"")</f>
        <v/>
      </c>
      <c r="J5107" s="2">
        <f>IFERROR(__xludf.DUMMYFUNCTION("""COMPUTED_VALUE"""),0.0)</f>
        <v>0</v>
      </c>
      <c r="K5107" s="5" t="str">
        <f>IFERROR(__xludf.DUMMYFUNCTION("""COMPUTED_VALUE"""),"")</f>
        <v/>
      </c>
      <c r="L5107" t="str">
        <f>IFERROR(__xludf.DUMMYFUNCTION("""COMPUTED_VALUE"""),"")</f>
        <v/>
      </c>
      <c r="M5107" t="str">
        <f>IFERROR(__xludf.DUMMYFUNCTION("""COMPUTED_VALUE"""),"")</f>
        <v/>
      </c>
      <c r="N5107" t="str">
        <f>IFERROR(__xludf.DUMMYFUNCTION("""COMPUTED_VALUE"""),"")</f>
        <v/>
      </c>
      <c r="O5107" t="str">
        <f>IFERROR(__xludf.DUMMYFUNCTION("""COMPUTED_VALUE"""),"")</f>
        <v/>
      </c>
      <c r="P5107" t="str">
        <f>IFERROR(__xludf.DUMMYFUNCTION("""COMPUTED_VALUE"""),"ID ")</f>
        <v>ID </v>
      </c>
    </row>
    <row r="5108">
      <c r="A5108" s="6" t="str">
        <f>IFERROR(__xludf.DUMMYFUNCTION("""COMPUTED_VALUE"""),"")</f>
        <v/>
      </c>
      <c r="C5108" t="str">
        <f>IFERROR(__xludf.DUMMYFUNCTION("""COMPUTED_VALUE"""),"")</f>
        <v/>
      </c>
      <c r="D5108" t="str">
        <f>IFERROR(__xludf.DUMMYFUNCTION("""COMPUTED_VALUE"""),"")</f>
        <v/>
      </c>
      <c r="E5108" t="str">
        <f>IFERROR(__xludf.DUMMYFUNCTION("""COMPUTED_VALUE"""),"")</f>
        <v/>
      </c>
      <c r="F5108" t="str">
        <f>IFERROR(__xludf.DUMMYFUNCTION("""COMPUTED_VALUE"""),"")</f>
        <v/>
      </c>
      <c r="G5108" t="str">
        <f>IFERROR(__xludf.DUMMYFUNCTION("""COMPUTED_VALUE"""),"")</f>
        <v/>
      </c>
      <c r="H5108" s="2" t="str">
        <f>IFERROR(__xludf.DUMMYFUNCTION("""COMPUTED_VALUE"""),"")</f>
        <v/>
      </c>
      <c r="I5108" s="2" t="str">
        <f>IFERROR(__xludf.DUMMYFUNCTION("""COMPUTED_VALUE"""),"")</f>
        <v/>
      </c>
      <c r="J5108" s="2">
        <f>IFERROR(__xludf.DUMMYFUNCTION("""COMPUTED_VALUE"""),0.0)</f>
        <v>0</v>
      </c>
      <c r="K5108" s="5" t="str">
        <f>IFERROR(__xludf.DUMMYFUNCTION("""COMPUTED_VALUE"""),"")</f>
        <v/>
      </c>
      <c r="L5108" t="str">
        <f>IFERROR(__xludf.DUMMYFUNCTION("""COMPUTED_VALUE"""),"")</f>
        <v/>
      </c>
      <c r="M5108" t="str">
        <f>IFERROR(__xludf.DUMMYFUNCTION("""COMPUTED_VALUE"""),"")</f>
        <v/>
      </c>
      <c r="N5108" t="str">
        <f>IFERROR(__xludf.DUMMYFUNCTION("""COMPUTED_VALUE"""),"")</f>
        <v/>
      </c>
      <c r="O5108" t="str">
        <f>IFERROR(__xludf.DUMMYFUNCTION("""COMPUTED_VALUE"""),"")</f>
        <v/>
      </c>
      <c r="P5108" t="str">
        <f>IFERROR(__xludf.DUMMYFUNCTION("""COMPUTED_VALUE"""),"ID ")</f>
        <v>ID </v>
      </c>
    </row>
    <row r="5109">
      <c r="A5109" s="6" t="str">
        <f>IFERROR(__xludf.DUMMYFUNCTION("""COMPUTED_VALUE"""),"")</f>
        <v/>
      </c>
      <c r="C5109" t="str">
        <f>IFERROR(__xludf.DUMMYFUNCTION("""COMPUTED_VALUE"""),"")</f>
        <v/>
      </c>
      <c r="D5109" t="str">
        <f>IFERROR(__xludf.DUMMYFUNCTION("""COMPUTED_VALUE"""),"")</f>
        <v/>
      </c>
      <c r="E5109" t="str">
        <f>IFERROR(__xludf.DUMMYFUNCTION("""COMPUTED_VALUE"""),"")</f>
        <v/>
      </c>
      <c r="F5109" t="str">
        <f>IFERROR(__xludf.DUMMYFUNCTION("""COMPUTED_VALUE"""),"")</f>
        <v/>
      </c>
      <c r="G5109" t="str">
        <f>IFERROR(__xludf.DUMMYFUNCTION("""COMPUTED_VALUE"""),"")</f>
        <v/>
      </c>
      <c r="H5109" s="2" t="str">
        <f>IFERROR(__xludf.DUMMYFUNCTION("""COMPUTED_VALUE"""),"")</f>
        <v/>
      </c>
      <c r="I5109" s="2" t="str">
        <f>IFERROR(__xludf.DUMMYFUNCTION("""COMPUTED_VALUE"""),"")</f>
        <v/>
      </c>
      <c r="J5109" s="2">
        <f>IFERROR(__xludf.DUMMYFUNCTION("""COMPUTED_VALUE"""),0.0)</f>
        <v>0</v>
      </c>
      <c r="K5109" s="5" t="str">
        <f>IFERROR(__xludf.DUMMYFUNCTION("""COMPUTED_VALUE"""),"")</f>
        <v/>
      </c>
      <c r="L5109" t="str">
        <f>IFERROR(__xludf.DUMMYFUNCTION("""COMPUTED_VALUE"""),"")</f>
        <v/>
      </c>
      <c r="M5109" t="str">
        <f>IFERROR(__xludf.DUMMYFUNCTION("""COMPUTED_VALUE"""),"")</f>
        <v/>
      </c>
      <c r="N5109" t="str">
        <f>IFERROR(__xludf.DUMMYFUNCTION("""COMPUTED_VALUE"""),"")</f>
        <v/>
      </c>
      <c r="O5109" t="str">
        <f>IFERROR(__xludf.DUMMYFUNCTION("""COMPUTED_VALUE"""),"")</f>
        <v/>
      </c>
      <c r="P5109" t="str">
        <f>IFERROR(__xludf.DUMMYFUNCTION("""COMPUTED_VALUE"""),"ID ")</f>
        <v>ID </v>
      </c>
    </row>
    <row r="5110">
      <c r="A5110" s="6" t="str">
        <f>IFERROR(__xludf.DUMMYFUNCTION("""COMPUTED_VALUE"""),"")</f>
        <v/>
      </c>
      <c r="C5110" t="str">
        <f>IFERROR(__xludf.DUMMYFUNCTION("""COMPUTED_VALUE"""),"")</f>
        <v/>
      </c>
      <c r="D5110" t="str">
        <f>IFERROR(__xludf.DUMMYFUNCTION("""COMPUTED_VALUE"""),"")</f>
        <v/>
      </c>
      <c r="E5110" t="str">
        <f>IFERROR(__xludf.DUMMYFUNCTION("""COMPUTED_VALUE"""),"")</f>
        <v/>
      </c>
      <c r="F5110" t="str">
        <f>IFERROR(__xludf.DUMMYFUNCTION("""COMPUTED_VALUE"""),"")</f>
        <v/>
      </c>
      <c r="G5110" t="str">
        <f>IFERROR(__xludf.DUMMYFUNCTION("""COMPUTED_VALUE"""),"")</f>
        <v/>
      </c>
      <c r="H5110" s="2" t="str">
        <f>IFERROR(__xludf.DUMMYFUNCTION("""COMPUTED_VALUE"""),"")</f>
        <v/>
      </c>
      <c r="I5110" s="2" t="str">
        <f>IFERROR(__xludf.DUMMYFUNCTION("""COMPUTED_VALUE"""),"")</f>
        <v/>
      </c>
      <c r="J5110" s="2">
        <f>IFERROR(__xludf.DUMMYFUNCTION("""COMPUTED_VALUE"""),0.0)</f>
        <v>0</v>
      </c>
      <c r="K5110" s="5" t="str">
        <f>IFERROR(__xludf.DUMMYFUNCTION("""COMPUTED_VALUE"""),"")</f>
        <v/>
      </c>
      <c r="L5110" t="str">
        <f>IFERROR(__xludf.DUMMYFUNCTION("""COMPUTED_VALUE"""),"")</f>
        <v/>
      </c>
      <c r="M5110" t="str">
        <f>IFERROR(__xludf.DUMMYFUNCTION("""COMPUTED_VALUE"""),"")</f>
        <v/>
      </c>
      <c r="N5110" t="str">
        <f>IFERROR(__xludf.DUMMYFUNCTION("""COMPUTED_VALUE"""),"")</f>
        <v/>
      </c>
      <c r="O5110" t="str">
        <f>IFERROR(__xludf.DUMMYFUNCTION("""COMPUTED_VALUE"""),"")</f>
        <v/>
      </c>
      <c r="P5110" t="str">
        <f>IFERROR(__xludf.DUMMYFUNCTION("""COMPUTED_VALUE"""),"ID ")</f>
        <v>ID </v>
      </c>
    </row>
    <row r="5111">
      <c r="A5111" s="6" t="str">
        <f>IFERROR(__xludf.DUMMYFUNCTION("""COMPUTED_VALUE"""),"")</f>
        <v/>
      </c>
      <c r="C5111" t="str">
        <f>IFERROR(__xludf.DUMMYFUNCTION("""COMPUTED_VALUE"""),"")</f>
        <v/>
      </c>
      <c r="D5111" t="str">
        <f>IFERROR(__xludf.DUMMYFUNCTION("""COMPUTED_VALUE"""),"")</f>
        <v/>
      </c>
      <c r="E5111" t="str">
        <f>IFERROR(__xludf.DUMMYFUNCTION("""COMPUTED_VALUE"""),"")</f>
        <v/>
      </c>
      <c r="F5111" t="str">
        <f>IFERROR(__xludf.DUMMYFUNCTION("""COMPUTED_VALUE"""),"")</f>
        <v/>
      </c>
      <c r="G5111" t="str">
        <f>IFERROR(__xludf.DUMMYFUNCTION("""COMPUTED_VALUE"""),"")</f>
        <v/>
      </c>
      <c r="H5111" s="2" t="str">
        <f>IFERROR(__xludf.DUMMYFUNCTION("""COMPUTED_VALUE"""),"")</f>
        <v/>
      </c>
      <c r="I5111" s="2" t="str">
        <f>IFERROR(__xludf.DUMMYFUNCTION("""COMPUTED_VALUE"""),"")</f>
        <v/>
      </c>
      <c r="J5111" s="2">
        <f>IFERROR(__xludf.DUMMYFUNCTION("""COMPUTED_VALUE"""),0.0)</f>
        <v>0</v>
      </c>
      <c r="K5111" s="5" t="str">
        <f>IFERROR(__xludf.DUMMYFUNCTION("""COMPUTED_VALUE"""),"")</f>
        <v/>
      </c>
      <c r="L5111" t="str">
        <f>IFERROR(__xludf.DUMMYFUNCTION("""COMPUTED_VALUE"""),"")</f>
        <v/>
      </c>
      <c r="M5111" t="str">
        <f>IFERROR(__xludf.DUMMYFUNCTION("""COMPUTED_VALUE"""),"")</f>
        <v/>
      </c>
      <c r="N5111" t="str">
        <f>IFERROR(__xludf.DUMMYFUNCTION("""COMPUTED_VALUE"""),"")</f>
        <v/>
      </c>
      <c r="O5111" t="str">
        <f>IFERROR(__xludf.DUMMYFUNCTION("""COMPUTED_VALUE"""),"")</f>
        <v/>
      </c>
      <c r="P5111" t="str">
        <f>IFERROR(__xludf.DUMMYFUNCTION("""COMPUTED_VALUE"""),"ID ")</f>
        <v>ID </v>
      </c>
    </row>
    <row r="5112">
      <c r="A5112" s="6" t="str">
        <f>IFERROR(__xludf.DUMMYFUNCTION("""COMPUTED_VALUE"""),"")</f>
        <v/>
      </c>
      <c r="C5112" t="str">
        <f>IFERROR(__xludf.DUMMYFUNCTION("""COMPUTED_VALUE"""),"")</f>
        <v/>
      </c>
      <c r="D5112" t="str">
        <f>IFERROR(__xludf.DUMMYFUNCTION("""COMPUTED_VALUE"""),"")</f>
        <v/>
      </c>
      <c r="E5112" t="str">
        <f>IFERROR(__xludf.DUMMYFUNCTION("""COMPUTED_VALUE"""),"")</f>
        <v/>
      </c>
      <c r="F5112" t="str">
        <f>IFERROR(__xludf.DUMMYFUNCTION("""COMPUTED_VALUE"""),"")</f>
        <v/>
      </c>
      <c r="G5112" t="str">
        <f>IFERROR(__xludf.DUMMYFUNCTION("""COMPUTED_VALUE"""),"")</f>
        <v/>
      </c>
      <c r="H5112" s="2" t="str">
        <f>IFERROR(__xludf.DUMMYFUNCTION("""COMPUTED_VALUE"""),"")</f>
        <v/>
      </c>
      <c r="I5112" s="2" t="str">
        <f>IFERROR(__xludf.DUMMYFUNCTION("""COMPUTED_VALUE"""),"")</f>
        <v/>
      </c>
      <c r="J5112" s="2">
        <f>IFERROR(__xludf.DUMMYFUNCTION("""COMPUTED_VALUE"""),0.0)</f>
        <v>0</v>
      </c>
      <c r="K5112" s="5" t="str">
        <f>IFERROR(__xludf.DUMMYFUNCTION("""COMPUTED_VALUE"""),"")</f>
        <v/>
      </c>
      <c r="L5112" t="str">
        <f>IFERROR(__xludf.DUMMYFUNCTION("""COMPUTED_VALUE"""),"")</f>
        <v/>
      </c>
      <c r="M5112" t="str">
        <f>IFERROR(__xludf.DUMMYFUNCTION("""COMPUTED_VALUE"""),"")</f>
        <v/>
      </c>
      <c r="N5112" t="str">
        <f>IFERROR(__xludf.DUMMYFUNCTION("""COMPUTED_VALUE"""),"")</f>
        <v/>
      </c>
      <c r="O5112" t="str">
        <f>IFERROR(__xludf.DUMMYFUNCTION("""COMPUTED_VALUE"""),"")</f>
        <v/>
      </c>
      <c r="P5112" t="str">
        <f>IFERROR(__xludf.DUMMYFUNCTION("""COMPUTED_VALUE"""),"ID ")</f>
        <v>ID </v>
      </c>
    </row>
    <row r="5113">
      <c r="A5113" s="6" t="str">
        <f>IFERROR(__xludf.DUMMYFUNCTION("""COMPUTED_VALUE"""),"")</f>
        <v/>
      </c>
      <c r="C5113" t="str">
        <f>IFERROR(__xludf.DUMMYFUNCTION("""COMPUTED_VALUE"""),"")</f>
        <v/>
      </c>
      <c r="D5113" t="str">
        <f>IFERROR(__xludf.DUMMYFUNCTION("""COMPUTED_VALUE"""),"")</f>
        <v/>
      </c>
      <c r="E5113" t="str">
        <f>IFERROR(__xludf.DUMMYFUNCTION("""COMPUTED_VALUE"""),"")</f>
        <v/>
      </c>
      <c r="F5113" t="str">
        <f>IFERROR(__xludf.DUMMYFUNCTION("""COMPUTED_VALUE"""),"")</f>
        <v/>
      </c>
      <c r="G5113" t="str">
        <f>IFERROR(__xludf.DUMMYFUNCTION("""COMPUTED_VALUE"""),"")</f>
        <v/>
      </c>
      <c r="H5113" s="2" t="str">
        <f>IFERROR(__xludf.DUMMYFUNCTION("""COMPUTED_VALUE"""),"")</f>
        <v/>
      </c>
      <c r="I5113" s="2" t="str">
        <f>IFERROR(__xludf.DUMMYFUNCTION("""COMPUTED_VALUE"""),"")</f>
        <v/>
      </c>
      <c r="J5113" s="2">
        <f>IFERROR(__xludf.DUMMYFUNCTION("""COMPUTED_VALUE"""),0.0)</f>
        <v>0</v>
      </c>
      <c r="K5113" s="5" t="str">
        <f>IFERROR(__xludf.DUMMYFUNCTION("""COMPUTED_VALUE"""),"")</f>
        <v/>
      </c>
      <c r="L5113" t="str">
        <f>IFERROR(__xludf.DUMMYFUNCTION("""COMPUTED_VALUE"""),"")</f>
        <v/>
      </c>
      <c r="M5113" t="str">
        <f>IFERROR(__xludf.DUMMYFUNCTION("""COMPUTED_VALUE"""),"")</f>
        <v/>
      </c>
      <c r="N5113" t="str">
        <f>IFERROR(__xludf.DUMMYFUNCTION("""COMPUTED_VALUE"""),"")</f>
        <v/>
      </c>
      <c r="O5113" t="str">
        <f>IFERROR(__xludf.DUMMYFUNCTION("""COMPUTED_VALUE"""),"")</f>
        <v/>
      </c>
      <c r="P5113" t="str">
        <f>IFERROR(__xludf.DUMMYFUNCTION("""COMPUTED_VALUE"""),"ID ")</f>
        <v>ID </v>
      </c>
    </row>
    <row r="5114">
      <c r="A5114" s="6" t="str">
        <f>IFERROR(__xludf.DUMMYFUNCTION("""COMPUTED_VALUE"""),"")</f>
        <v/>
      </c>
      <c r="C5114" t="str">
        <f>IFERROR(__xludf.DUMMYFUNCTION("""COMPUTED_VALUE"""),"")</f>
        <v/>
      </c>
      <c r="D5114" t="str">
        <f>IFERROR(__xludf.DUMMYFUNCTION("""COMPUTED_VALUE"""),"")</f>
        <v/>
      </c>
      <c r="E5114" t="str">
        <f>IFERROR(__xludf.DUMMYFUNCTION("""COMPUTED_VALUE"""),"")</f>
        <v/>
      </c>
      <c r="F5114" t="str">
        <f>IFERROR(__xludf.DUMMYFUNCTION("""COMPUTED_VALUE"""),"")</f>
        <v/>
      </c>
      <c r="G5114" t="str">
        <f>IFERROR(__xludf.DUMMYFUNCTION("""COMPUTED_VALUE"""),"")</f>
        <v/>
      </c>
      <c r="H5114" s="2" t="str">
        <f>IFERROR(__xludf.DUMMYFUNCTION("""COMPUTED_VALUE"""),"")</f>
        <v/>
      </c>
      <c r="I5114" s="2" t="str">
        <f>IFERROR(__xludf.DUMMYFUNCTION("""COMPUTED_VALUE"""),"")</f>
        <v/>
      </c>
      <c r="J5114" s="2">
        <f>IFERROR(__xludf.DUMMYFUNCTION("""COMPUTED_VALUE"""),0.0)</f>
        <v>0</v>
      </c>
      <c r="K5114" s="5" t="str">
        <f>IFERROR(__xludf.DUMMYFUNCTION("""COMPUTED_VALUE"""),"")</f>
        <v/>
      </c>
      <c r="L5114" t="str">
        <f>IFERROR(__xludf.DUMMYFUNCTION("""COMPUTED_VALUE"""),"")</f>
        <v/>
      </c>
      <c r="M5114" t="str">
        <f>IFERROR(__xludf.DUMMYFUNCTION("""COMPUTED_VALUE"""),"")</f>
        <v/>
      </c>
      <c r="N5114" t="str">
        <f>IFERROR(__xludf.DUMMYFUNCTION("""COMPUTED_VALUE"""),"")</f>
        <v/>
      </c>
      <c r="O5114" t="str">
        <f>IFERROR(__xludf.DUMMYFUNCTION("""COMPUTED_VALUE"""),"")</f>
        <v/>
      </c>
      <c r="P5114" t="str">
        <f>IFERROR(__xludf.DUMMYFUNCTION("""COMPUTED_VALUE"""),"ID ")</f>
        <v>ID </v>
      </c>
    </row>
    <row r="5115">
      <c r="A5115" s="6" t="str">
        <f>IFERROR(__xludf.DUMMYFUNCTION("""COMPUTED_VALUE"""),"")</f>
        <v/>
      </c>
      <c r="C5115" t="str">
        <f>IFERROR(__xludf.DUMMYFUNCTION("""COMPUTED_VALUE"""),"")</f>
        <v/>
      </c>
      <c r="D5115" t="str">
        <f>IFERROR(__xludf.DUMMYFUNCTION("""COMPUTED_VALUE"""),"")</f>
        <v/>
      </c>
      <c r="E5115" t="str">
        <f>IFERROR(__xludf.DUMMYFUNCTION("""COMPUTED_VALUE"""),"")</f>
        <v/>
      </c>
      <c r="F5115" t="str">
        <f>IFERROR(__xludf.DUMMYFUNCTION("""COMPUTED_VALUE"""),"")</f>
        <v/>
      </c>
      <c r="G5115" t="str">
        <f>IFERROR(__xludf.DUMMYFUNCTION("""COMPUTED_VALUE"""),"")</f>
        <v/>
      </c>
      <c r="H5115" s="2" t="str">
        <f>IFERROR(__xludf.DUMMYFUNCTION("""COMPUTED_VALUE"""),"")</f>
        <v/>
      </c>
      <c r="I5115" s="2" t="str">
        <f>IFERROR(__xludf.DUMMYFUNCTION("""COMPUTED_VALUE"""),"")</f>
        <v/>
      </c>
      <c r="J5115" s="2">
        <f>IFERROR(__xludf.DUMMYFUNCTION("""COMPUTED_VALUE"""),0.0)</f>
        <v>0</v>
      </c>
      <c r="K5115" s="5" t="str">
        <f>IFERROR(__xludf.DUMMYFUNCTION("""COMPUTED_VALUE"""),"")</f>
        <v/>
      </c>
      <c r="L5115" t="str">
        <f>IFERROR(__xludf.DUMMYFUNCTION("""COMPUTED_VALUE"""),"")</f>
        <v/>
      </c>
      <c r="M5115" t="str">
        <f>IFERROR(__xludf.DUMMYFUNCTION("""COMPUTED_VALUE"""),"")</f>
        <v/>
      </c>
      <c r="N5115" t="str">
        <f>IFERROR(__xludf.DUMMYFUNCTION("""COMPUTED_VALUE"""),"")</f>
        <v/>
      </c>
      <c r="O5115" t="str">
        <f>IFERROR(__xludf.DUMMYFUNCTION("""COMPUTED_VALUE"""),"")</f>
        <v/>
      </c>
      <c r="P5115" t="str">
        <f>IFERROR(__xludf.DUMMYFUNCTION("""COMPUTED_VALUE"""),"ID ")</f>
        <v>ID </v>
      </c>
    </row>
    <row r="5116">
      <c r="A5116" s="6" t="str">
        <f>IFERROR(__xludf.DUMMYFUNCTION("""COMPUTED_VALUE"""),"")</f>
        <v/>
      </c>
      <c r="C5116" t="str">
        <f>IFERROR(__xludf.DUMMYFUNCTION("""COMPUTED_VALUE"""),"")</f>
        <v/>
      </c>
      <c r="D5116" t="str">
        <f>IFERROR(__xludf.DUMMYFUNCTION("""COMPUTED_VALUE"""),"")</f>
        <v/>
      </c>
      <c r="E5116" t="str">
        <f>IFERROR(__xludf.DUMMYFUNCTION("""COMPUTED_VALUE"""),"")</f>
        <v/>
      </c>
      <c r="F5116" t="str">
        <f>IFERROR(__xludf.DUMMYFUNCTION("""COMPUTED_VALUE"""),"")</f>
        <v/>
      </c>
      <c r="G5116" t="str">
        <f>IFERROR(__xludf.DUMMYFUNCTION("""COMPUTED_VALUE"""),"")</f>
        <v/>
      </c>
      <c r="H5116" s="2" t="str">
        <f>IFERROR(__xludf.DUMMYFUNCTION("""COMPUTED_VALUE"""),"")</f>
        <v/>
      </c>
      <c r="I5116" s="2" t="str">
        <f>IFERROR(__xludf.DUMMYFUNCTION("""COMPUTED_VALUE"""),"")</f>
        <v/>
      </c>
      <c r="J5116" s="2">
        <f>IFERROR(__xludf.DUMMYFUNCTION("""COMPUTED_VALUE"""),0.0)</f>
        <v>0</v>
      </c>
      <c r="K5116" s="5" t="str">
        <f>IFERROR(__xludf.DUMMYFUNCTION("""COMPUTED_VALUE"""),"")</f>
        <v/>
      </c>
      <c r="L5116" t="str">
        <f>IFERROR(__xludf.DUMMYFUNCTION("""COMPUTED_VALUE"""),"")</f>
        <v/>
      </c>
      <c r="M5116" t="str">
        <f>IFERROR(__xludf.DUMMYFUNCTION("""COMPUTED_VALUE"""),"")</f>
        <v/>
      </c>
      <c r="N5116" t="str">
        <f>IFERROR(__xludf.DUMMYFUNCTION("""COMPUTED_VALUE"""),"")</f>
        <v/>
      </c>
      <c r="O5116" t="str">
        <f>IFERROR(__xludf.DUMMYFUNCTION("""COMPUTED_VALUE"""),"")</f>
        <v/>
      </c>
      <c r="P5116" t="str">
        <f>IFERROR(__xludf.DUMMYFUNCTION("""COMPUTED_VALUE"""),"ID ")</f>
        <v>ID </v>
      </c>
    </row>
    <row r="5117">
      <c r="A5117" s="6" t="str">
        <f>IFERROR(__xludf.DUMMYFUNCTION("""COMPUTED_VALUE"""),"")</f>
        <v/>
      </c>
      <c r="C5117" t="str">
        <f>IFERROR(__xludf.DUMMYFUNCTION("""COMPUTED_VALUE"""),"")</f>
        <v/>
      </c>
      <c r="D5117" t="str">
        <f>IFERROR(__xludf.DUMMYFUNCTION("""COMPUTED_VALUE"""),"")</f>
        <v/>
      </c>
      <c r="E5117" t="str">
        <f>IFERROR(__xludf.DUMMYFUNCTION("""COMPUTED_VALUE"""),"")</f>
        <v/>
      </c>
      <c r="F5117" t="str">
        <f>IFERROR(__xludf.DUMMYFUNCTION("""COMPUTED_VALUE"""),"")</f>
        <v/>
      </c>
      <c r="G5117" t="str">
        <f>IFERROR(__xludf.DUMMYFUNCTION("""COMPUTED_VALUE"""),"")</f>
        <v/>
      </c>
      <c r="H5117" s="2" t="str">
        <f>IFERROR(__xludf.DUMMYFUNCTION("""COMPUTED_VALUE"""),"")</f>
        <v/>
      </c>
      <c r="I5117" s="2" t="str">
        <f>IFERROR(__xludf.DUMMYFUNCTION("""COMPUTED_VALUE"""),"")</f>
        <v/>
      </c>
      <c r="J5117" s="2">
        <f>IFERROR(__xludf.DUMMYFUNCTION("""COMPUTED_VALUE"""),0.0)</f>
        <v>0</v>
      </c>
      <c r="K5117" s="5" t="str">
        <f>IFERROR(__xludf.DUMMYFUNCTION("""COMPUTED_VALUE"""),"")</f>
        <v/>
      </c>
      <c r="L5117" t="str">
        <f>IFERROR(__xludf.DUMMYFUNCTION("""COMPUTED_VALUE"""),"")</f>
        <v/>
      </c>
      <c r="M5117" t="str">
        <f>IFERROR(__xludf.DUMMYFUNCTION("""COMPUTED_VALUE"""),"")</f>
        <v/>
      </c>
      <c r="N5117" t="str">
        <f>IFERROR(__xludf.DUMMYFUNCTION("""COMPUTED_VALUE"""),"")</f>
        <v/>
      </c>
      <c r="O5117" t="str">
        <f>IFERROR(__xludf.DUMMYFUNCTION("""COMPUTED_VALUE"""),"")</f>
        <v/>
      </c>
      <c r="P5117" t="str">
        <f>IFERROR(__xludf.DUMMYFUNCTION("""COMPUTED_VALUE"""),"ID ")</f>
        <v>ID </v>
      </c>
    </row>
    <row r="5118">
      <c r="A5118" s="6" t="str">
        <f>IFERROR(__xludf.DUMMYFUNCTION("""COMPUTED_VALUE"""),"")</f>
        <v/>
      </c>
      <c r="C5118" t="str">
        <f>IFERROR(__xludf.DUMMYFUNCTION("""COMPUTED_VALUE"""),"")</f>
        <v/>
      </c>
      <c r="D5118" t="str">
        <f>IFERROR(__xludf.DUMMYFUNCTION("""COMPUTED_VALUE"""),"")</f>
        <v/>
      </c>
      <c r="E5118" t="str">
        <f>IFERROR(__xludf.DUMMYFUNCTION("""COMPUTED_VALUE"""),"")</f>
        <v/>
      </c>
      <c r="F5118" t="str">
        <f>IFERROR(__xludf.DUMMYFUNCTION("""COMPUTED_VALUE"""),"")</f>
        <v/>
      </c>
      <c r="G5118" t="str">
        <f>IFERROR(__xludf.DUMMYFUNCTION("""COMPUTED_VALUE"""),"")</f>
        <v/>
      </c>
      <c r="H5118" s="2" t="str">
        <f>IFERROR(__xludf.DUMMYFUNCTION("""COMPUTED_VALUE"""),"")</f>
        <v/>
      </c>
      <c r="I5118" s="2" t="str">
        <f>IFERROR(__xludf.DUMMYFUNCTION("""COMPUTED_VALUE"""),"")</f>
        <v/>
      </c>
      <c r="J5118" s="2">
        <f>IFERROR(__xludf.DUMMYFUNCTION("""COMPUTED_VALUE"""),0.0)</f>
        <v>0</v>
      </c>
      <c r="K5118" s="5" t="str">
        <f>IFERROR(__xludf.DUMMYFUNCTION("""COMPUTED_VALUE"""),"")</f>
        <v/>
      </c>
      <c r="L5118" t="str">
        <f>IFERROR(__xludf.DUMMYFUNCTION("""COMPUTED_VALUE"""),"")</f>
        <v/>
      </c>
      <c r="M5118" t="str">
        <f>IFERROR(__xludf.DUMMYFUNCTION("""COMPUTED_VALUE"""),"")</f>
        <v/>
      </c>
      <c r="N5118" t="str">
        <f>IFERROR(__xludf.DUMMYFUNCTION("""COMPUTED_VALUE"""),"")</f>
        <v/>
      </c>
      <c r="O5118" t="str">
        <f>IFERROR(__xludf.DUMMYFUNCTION("""COMPUTED_VALUE"""),"")</f>
        <v/>
      </c>
      <c r="P5118" t="str">
        <f>IFERROR(__xludf.DUMMYFUNCTION("""COMPUTED_VALUE"""),"ID ")</f>
        <v>ID </v>
      </c>
    </row>
    <row r="5119">
      <c r="A5119" s="6" t="str">
        <f>IFERROR(__xludf.DUMMYFUNCTION("""COMPUTED_VALUE"""),"")</f>
        <v/>
      </c>
      <c r="C5119" t="str">
        <f>IFERROR(__xludf.DUMMYFUNCTION("""COMPUTED_VALUE"""),"")</f>
        <v/>
      </c>
      <c r="D5119" t="str">
        <f>IFERROR(__xludf.DUMMYFUNCTION("""COMPUTED_VALUE"""),"")</f>
        <v/>
      </c>
      <c r="E5119" t="str">
        <f>IFERROR(__xludf.DUMMYFUNCTION("""COMPUTED_VALUE"""),"")</f>
        <v/>
      </c>
      <c r="F5119" t="str">
        <f>IFERROR(__xludf.DUMMYFUNCTION("""COMPUTED_VALUE"""),"")</f>
        <v/>
      </c>
      <c r="G5119" t="str">
        <f>IFERROR(__xludf.DUMMYFUNCTION("""COMPUTED_VALUE"""),"")</f>
        <v/>
      </c>
      <c r="H5119" s="2" t="str">
        <f>IFERROR(__xludf.DUMMYFUNCTION("""COMPUTED_VALUE"""),"")</f>
        <v/>
      </c>
      <c r="I5119" s="2" t="str">
        <f>IFERROR(__xludf.DUMMYFUNCTION("""COMPUTED_VALUE"""),"")</f>
        <v/>
      </c>
      <c r="J5119" s="2">
        <f>IFERROR(__xludf.DUMMYFUNCTION("""COMPUTED_VALUE"""),0.0)</f>
        <v>0</v>
      </c>
      <c r="K5119" s="5" t="str">
        <f>IFERROR(__xludf.DUMMYFUNCTION("""COMPUTED_VALUE"""),"")</f>
        <v/>
      </c>
      <c r="L5119" t="str">
        <f>IFERROR(__xludf.DUMMYFUNCTION("""COMPUTED_VALUE"""),"")</f>
        <v/>
      </c>
      <c r="M5119" t="str">
        <f>IFERROR(__xludf.DUMMYFUNCTION("""COMPUTED_VALUE"""),"")</f>
        <v/>
      </c>
      <c r="N5119" t="str">
        <f>IFERROR(__xludf.DUMMYFUNCTION("""COMPUTED_VALUE"""),"")</f>
        <v/>
      </c>
      <c r="O5119" t="str">
        <f>IFERROR(__xludf.DUMMYFUNCTION("""COMPUTED_VALUE"""),"")</f>
        <v/>
      </c>
      <c r="P5119" t="str">
        <f>IFERROR(__xludf.DUMMYFUNCTION("""COMPUTED_VALUE"""),"ID ")</f>
        <v>ID </v>
      </c>
    </row>
    <row r="5120">
      <c r="A5120" s="6" t="str">
        <f>IFERROR(__xludf.DUMMYFUNCTION("""COMPUTED_VALUE"""),"")</f>
        <v/>
      </c>
      <c r="C5120" t="str">
        <f>IFERROR(__xludf.DUMMYFUNCTION("""COMPUTED_VALUE"""),"")</f>
        <v/>
      </c>
      <c r="D5120" t="str">
        <f>IFERROR(__xludf.DUMMYFUNCTION("""COMPUTED_VALUE"""),"")</f>
        <v/>
      </c>
      <c r="E5120" t="str">
        <f>IFERROR(__xludf.DUMMYFUNCTION("""COMPUTED_VALUE"""),"")</f>
        <v/>
      </c>
      <c r="F5120" t="str">
        <f>IFERROR(__xludf.DUMMYFUNCTION("""COMPUTED_VALUE"""),"")</f>
        <v/>
      </c>
      <c r="G5120" t="str">
        <f>IFERROR(__xludf.DUMMYFUNCTION("""COMPUTED_VALUE"""),"")</f>
        <v/>
      </c>
      <c r="H5120" s="2" t="str">
        <f>IFERROR(__xludf.DUMMYFUNCTION("""COMPUTED_VALUE"""),"")</f>
        <v/>
      </c>
      <c r="I5120" s="2" t="str">
        <f>IFERROR(__xludf.DUMMYFUNCTION("""COMPUTED_VALUE"""),"")</f>
        <v/>
      </c>
      <c r="J5120" s="2">
        <f>IFERROR(__xludf.DUMMYFUNCTION("""COMPUTED_VALUE"""),0.0)</f>
        <v>0</v>
      </c>
      <c r="K5120" s="5" t="str">
        <f>IFERROR(__xludf.DUMMYFUNCTION("""COMPUTED_VALUE"""),"")</f>
        <v/>
      </c>
      <c r="L5120" t="str">
        <f>IFERROR(__xludf.DUMMYFUNCTION("""COMPUTED_VALUE"""),"")</f>
        <v/>
      </c>
      <c r="M5120" t="str">
        <f>IFERROR(__xludf.DUMMYFUNCTION("""COMPUTED_VALUE"""),"")</f>
        <v/>
      </c>
      <c r="N5120" t="str">
        <f>IFERROR(__xludf.DUMMYFUNCTION("""COMPUTED_VALUE"""),"")</f>
        <v/>
      </c>
      <c r="O5120" t="str">
        <f>IFERROR(__xludf.DUMMYFUNCTION("""COMPUTED_VALUE"""),"")</f>
        <v/>
      </c>
      <c r="P5120" t="str">
        <f>IFERROR(__xludf.DUMMYFUNCTION("""COMPUTED_VALUE"""),"ID ")</f>
        <v>ID </v>
      </c>
    </row>
    <row r="5121">
      <c r="A5121" s="6" t="str">
        <f>IFERROR(__xludf.DUMMYFUNCTION("""COMPUTED_VALUE"""),"")</f>
        <v/>
      </c>
      <c r="C5121" t="str">
        <f>IFERROR(__xludf.DUMMYFUNCTION("""COMPUTED_VALUE"""),"")</f>
        <v/>
      </c>
      <c r="D5121" t="str">
        <f>IFERROR(__xludf.DUMMYFUNCTION("""COMPUTED_VALUE"""),"")</f>
        <v/>
      </c>
      <c r="E5121" t="str">
        <f>IFERROR(__xludf.DUMMYFUNCTION("""COMPUTED_VALUE"""),"")</f>
        <v/>
      </c>
      <c r="F5121" t="str">
        <f>IFERROR(__xludf.DUMMYFUNCTION("""COMPUTED_VALUE"""),"")</f>
        <v/>
      </c>
      <c r="G5121" t="str">
        <f>IFERROR(__xludf.DUMMYFUNCTION("""COMPUTED_VALUE"""),"")</f>
        <v/>
      </c>
      <c r="H5121" s="2" t="str">
        <f>IFERROR(__xludf.DUMMYFUNCTION("""COMPUTED_VALUE"""),"")</f>
        <v/>
      </c>
      <c r="I5121" s="2" t="str">
        <f>IFERROR(__xludf.DUMMYFUNCTION("""COMPUTED_VALUE"""),"")</f>
        <v/>
      </c>
      <c r="J5121" s="2">
        <f>IFERROR(__xludf.DUMMYFUNCTION("""COMPUTED_VALUE"""),0.0)</f>
        <v>0</v>
      </c>
      <c r="K5121" s="5" t="str">
        <f>IFERROR(__xludf.DUMMYFUNCTION("""COMPUTED_VALUE"""),"")</f>
        <v/>
      </c>
      <c r="L5121" t="str">
        <f>IFERROR(__xludf.DUMMYFUNCTION("""COMPUTED_VALUE"""),"")</f>
        <v/>
      </c>
      <c r="M5121" t="str">
        <f>IFERROR(__xludf.DUMMYFUNCTION("""COMPUTED_VALUE"""),"")</f>
        <v/>
      </c>
      <c r="N5121" t="str">
        <f>IFERROR(__xludf.DUMMYFUNCTION("""COMPUTED_VALUE"""),"")</f>
        <v/>
      </c>
      <c r="O5121" t="str">
        <f>IFERROR(__xludf.DUMMYFUNCTION("""COMPUTED_VALUE"""),"")</f>
        <v/>
      </c>
      <c r="P5121" t="str">
        <f>IFERROR(__xludf.DUMMYFUNCTION("""COMPUTED_VALUE"""),"ID ")</f>
        <v>ID </v>
      </c>
    </row>
    <row r="5122">
      <c r="A5122" s="6" t="str">
        <f>IFERROR(__xludf.DUMMYFUNCTION("""COMPUTED_VALUE"""),"")</f>
        <v/>
      </c>
      <c r="C5122" t="str">
        <f>IFERROR(__xludf.DUMMYFUNCTION("""COMPUTED_VALUE"""),"")</f>
        <v/>
      </c>
      <c r="D5122" t="str">
        <f>IFERROR(__xludf.DUMMYFUNCTION("""COMPUTED_VALUE"""),"")</f>
        <v/>
      </c>
      <c r="E5122" t="str">
        <f>IFERROR(__xludf.DUMMYFUNCTION("""COMPUTED_VALUE"""),"")</f>
        <v/>
      </c>
      <c r="F5122" t="str">
        <f>IFERROR(__xludf.DUMMYFUNCTION("""COMPUTED_VALUE"""),"")</f>
        <v/>
      </c>
      <c r="G5122" t="str">
        <f>IFERROR(__xludf.DUMMYFUNCTION("""COMPUTED_VALUE"""),"")</f>
        <v/>
      </c>
      <c r="H5122" s="2" t="str">
        <f>IFERROR(__xludf.DUMMYFUNCTION("""COMPUTED_VALUE"""),"")</f>
        <v/>
      </c>
      <c r="I5122" s="2" t="str">
        <f>IFERROR(__xludf.DUMMYFUNCTION("""COMPUTED_VALUE"""),"")</f>
        <v/>
      </c>
      <c r="J5122" s="2">
        <f>IFERROR(__xludf.DUMMYFUNCTION("""COMPUTED_VALUE"""),0.0)</f>
        <v>0</v>
      </c>
      <c r="K5122" s="5" t="str">
        <f>IFERROR(__xludf.DUMMYFUNCTION("""COMPUTED_VALUE"""),"")</f>
        <v/>
      </c>
      <c r="L5122" t="str">
        <f>IFERROR(__xludf.DUMMYFUNCTION("""COMPUTED_VALUE"""),"")</f>
        <v/>
      </c>
      <c r="M5122" t="str">
        <f>IFERROR(__xludf.DUMMYFUNCTION("""COMPUTED_VALUE"""),"")</f>
        <v/>
      </c>
      <c r="N5122" t="str">
        <f>IFERROR(__xludf.DUMMYFUNCTION("""COMPUTED_VALUE"""),"")</f>
        <v/>
      </c>
      <c r="O5122" t="str">
        <f>IFERROR(__xludf.DUMMYFUNCTION("""COMPUTED_VALUE"""),"")</f>
        <v/>
      </c>
      <c r="P5122" t="str">
        <f>IFERROR(__xludf.DUMMYFUNCTION("""COMPUTED_VALUE"""),"ID ")</f>
        <v>ID </v>
      </c>
    </row>
    <row r="5123">
      <c r="A5123" s="6" t="str">
        <f>IFERROR(__xludf.DUMMYFUNCTION("""COMPUTED_VALUE"""),"")</f>
        <v/>
      </c>
      <c r="C5123" t="str">
        <f>IFERROR(__xludf.DUMMYFUNCTION("""COMPUTED_VALUE"""),"")</f>
        <v/>
      </c>
      <c r="D5123" t="str">
        <f>IFERROR(__xludf.DUMMYFUNCTION("""COMPUTED_VALUE"""),"")</f>
        <v/>
      </c>
      <c r="E5123" t="str">
        <f>IFERROR(__xludf.DUMMYFUNCTION("""COMPUTED_VALUE"""),"")</f>
        <v/>
      </c>
      <c r="F5123" t="str">
        <f>IFERROR(__xludf.DUMMYFUNCTION("""COMPUTED_VALUE"""),"")</f>
        <v/>
      </c>
      <c r="G5123" t="str">
        <f>IFERROR(__xludf.DUMMYFUNCTION("""COMPUTED_VALUE"""),"")</f>
        <v/>
      </c>
      <c r="H5123" s="2" t="str">
        <f>IFERROR(__xludf.DUMMYFUNCTION("""COMPUTED_VALUE"""),"")</f>
        <v/>
      </c>
      <c r="I5123" s="2" t="str">
        <f>IFERROR(__xludf.DUMMYFUNCTION("""COMPUTED_VALUE"""),"")</f>
        <v/>
      </c>
      <c r="J5123" s="2">
        <f>IFERROR(__xludf.DUMMYFUNCTION("""COMPUTED_VALUE"""),0.0)</f>
        <v>0</v>
      </c>
      <c r="K5123" s="5" t="str">
        <f>IFERROR(__xludf.DUMMYFUNCTION("""COMPUTED_VALUE"""),"")</f>
        <v/>
      </c>
      <c r="L5123" t="str">
        <f>IFERROR(__xludf.DUMMYFUNCTION("""COMPUTED_VALUE"""),"")</f>
        <v/>
      </c>
      <c r="M5123" t="str">
        <f>IFERROR(__xludf.DUMMYFUNCTION("""COMPUTED_VALUE"""),"")</f>
        <v/>
      </c>
      <c r="N5123" t="str">
        <f>IFERROR(__xludf.DUMMYFUNCTION("""COMPUTED_VALUE"""),"")</f>
        <v/>
      </c>
      <c r="O5123" t="str">
        <f>IFERROR(__xludf.DUMMYFUNCTION("""COMPUTED_VALUE"""),"")</f>
        <v/>
      </c>
      <c r="P5123" t="str">
        <f>IFERROR(__xludf.DUMMYFUNCTION("""COMPUTED_VALUE"""),"ID ")</f>
        <v>ID </v>
      </c>
    </row>
    <row r="5124">
      <c r="A5124" s="6" t="str">
        <f>IFERROR(__xludf.DUMMYFUNCTION("""COMPUTED_VALUE"""),"")</f>
        <v/>
      </c>
      <c r="C5124" t="str">
        <f>IFERROR(__xludf.DUMMYFUNCTION("""COMPUTED_VALUE"""),"")</f>
        <v/>
      </c>
      <c r="D5124" t="str">
        <f>IFERROR(__xludf.DUMMYFUNCTION("""COMPUTED_VALUE"""),"")</f>
        <v/>
      </c>
      <c r="E5124" t="str">
        <f>IFERROR(__xludf.DUMMYFUNCTION("""COMPUTED_VALUE"""),"")</f>
        <v/>
      </c>
      <c r="F5124" t="str">
        <f>IFERROR(__xludf.DUMMYFUNCTION("""COMPUTED_VALUE"""),"")</f>
        <v/>
      </c>
      <c r="G5124" t="str">
        <f>IFERROR(__xludf.DUMMYFUNCTION("""COMPUTED_VALUE"""),"")</f>
        <v/>
      </c>
      <c r="H5124" s="2" t="str">
        <f>IFERROR(__xludf.DUMMYFUNCTION("""COMPUTED_VALUE"""),"")</f>
        <v/>
      </c>
      <c r="I5124" s="2" t="str">
        <f>IFERROR(__xludf.DUMMYFUNCTION("""COMPUTED_VALUE"""),"")</f>
        <v/>
      </c>
      <c r="J5124" s="2">
        <f>IFERROR(__xludf.DUMMYFUNCTION("""COMPUTED_VALUE"""),0.0)</f>
        <v>0</v>
      </c>
      <c r="K5124" s="5" t="str">
        <f>IFERROR(__xludf.DUMMYFUNCTION("""COMPUTED_VALUE"""),"")</f>
        <v/>
      </c>
      <c r="L5124" t="str">
        <f>IFERROR(__xludf.DUMMYFUNCTION("""COMPUTED_VALUE"""),"")</f>
        <v/>
      </c>
      <c r="M5124" t="str">
        <f>IFERROR(__xludf.DUMMYFUNCTION("""COMPUTED_VALUE"""),"")</f>
        <v/>
      </c>
      <c r="N5124" t="str">
        <f>IFERROR(__xludf.DUMMYFUNCTION("""COMPUTED_VALUE"""),"")</f>
        <v/>
      </c>
      <c r="O5124" t="str">
        <f>IFERROR(__xludf.DUMMYFUNCTION("""COMPUTED_VALUE"""),"")</f>
        <v/>
      </c>
      <c r="P5124" t="str">
        <f>IFERROR(__xludf.DUMMYFUNCTION("""COMPUTED_VALUE"""),"ID ")</f>
        <v>ID </v>
      </c>
    </row>
    <row r="5125">
      <c r="A5125" s="6" t="str">
        <f>IFERROR(__xludf.DUMMYFUNCTION("""COMPUTED_VALUE"""),"")</f>
        <v/>
      </c>
      <c r="C5125" t="str">
        <f>IFERROR(__xludf.DUMMYFUNCTION("""COMPUTED_VALUE"""),"")</f>
        <v/>
      </c>
      <c r="D5125" t="str">
        <f>IFERROR(__xludf.DUMMYFUNCTION("""COMPUTED_VALUE"""),"")</f>
        <v/>
      </c>
      <c r="E5125" t="str">
        <f>IFERROR(__xludf.DUMMYFUNCTION("""COMPUTED_VALUE"""),"")</f>
        <v/>
      </c>
      <c r="F5125" t="str">
        <f>IFERROR(__xludf.DUMMYFUNCTION("""COMPUTED_VALUE"""),"")</f>
        <v/>
      </c>
      <c r="G5125" t="str">
        <f>IFERROR(__xludf.DUMMYFUNCTION("""COMPUTED_VALUE"""),"")</f>
        <v/>
      </c>
      <c r="H5125" s="2" t="str">
        <f>IFERROR(__xludf.DUMMYFUNCTION("""COMPUTED_VALUE"""),"")</f>
        <v/>
      </c>
      <c r="I5125" s="2" t="str">
        <f>IFERROR(__xludf.DUMMYFUNCTION("""COMPUTED_VALUE"""),"")</f>
        <v/>
      </c>
      <c r="J5125" s="2">
        <f>IFERROR(__xludf.DUMMYFUNCTION("""COMPUTED_VALUE"""),0.0)</f>
        <v>0</v>
      </c>
      <c r="K5125" s="5" t="str">
        <f>IFERROR(__xludf.DUMMYFUNCTION("""COMPUTED_VALUE"""),"")</f>
        <v/>
      </c>
      <c r="L5125" t="str">
        <f>IFERROR(__xludf.DUMMYFUNCTION("""COMPUTED_VALUE"""),"")</f>
        <v/>
      </c>
      <c r="M5125" t="str">
        <f>IFERROR(__xludf.DUMMYFUNCTION("""COMPUTED_VALUE"""),"")</f>
        <v/>
      </c>
      <c r="N5125" t="str">
        <f>IFERROR(__xludf.DUMMYFUNCTION("""COMPUTED_VALUE"""),"")</f>
        <v/>
      </c>
      <c r="O5125" t="str">
        <f>IFERROR(__xludf.DUMMYFUNCTION("""COMPUTED_VALUE"""),"")</f>
        <v/>
      </c>
      <c r="P5125" t="str">
        <f>IFERROR(__xludf.DUMMYFUNCTION("""COMPUTED_VALUE"""),"ID ")</f>
        <v>ID </v>
      </c>
    </row>
    <row r="5126">
      <c r="A5126" s="6" t="str">
        <f>IFERROR(__xludf.DUMMYFUNCTION("""COMPUTED_VALUE"""),"")</f>
        <v/>
      </c>
      <c r="C5126" t="str">
        <f>IFERROR(__xludf.DUMMYFUNCTION("""COMPUTED_VALUE"""),"")</f>
        <v/>
      </c>
      <c r="D5126" t="str">
        <f>IFERROR(__xludf.DUMMYFUNCTION("""COMPUTED_VALUE"""),"")</f>
        <v/>
      </c>
      <c r="E5126" t="str">
        <f>IFERROR(__xludf.DUMMYFUNCTION("""COMPUTED_VALUE"""),"")</f>
        <v/>
      </c>
      <c r="F5126" t="str">
        <f>IFERROR(__xludf.DUMMYFUNCTION("""COMPUTED_VALUE"""),"")</f>
        <v/>
      </c>
      <c r="G5126" t="str">
        <f>IFERROR(__xludf.DUMMYFUNCTION("""COMPUTED_VALUE"""),"")</f>
        <v/>
      </c>
      <c r="H5126" s="2" t="str">
        <f>IFERROR(__xludf.DUMMYFUNCTION("""COMPUTED_VALUE"""),"")</f>
        <v/>
      </c>
      <c r="I5126" s="2" t="str">
        <f>IFERROR(__xludf.DUMMYFUNCTION("""COMPUTED_VALUE"""),"")</f>
        <v/>
      </c>
      <c r="J5126" s="2">
        <f>IFERROR(__xludf.DUMMYFUNCTION("""COMPUTED_VALUE"""),0.0)</f>
        <v>0</v>
      </c>
      <c r="K5126" s="5" t="str">
        <f>IFERROR(__xludf.DUMMYFUNCTION("""COMPUTED_VALUE"""),"")</f>
        <v/>
      </c>
      <c r="L5126" t="str">
        <f>IFERROR(__xludf.DUMMYFUNCTION("""COMPUTED_VALUE"""),"")</f>
        <v/>
      </c>
      <c r="M5126" t="str">
        <f>IFERROR(__xludf.DUMMYFUNCTION("""COMPUTED_VALUE"""),"")</f>
        <v/>
      </c>
      <c r="N5126" t="str">
        <f>IFERROR(__xludf.DUMMYFUNCTION("""COMPUTED_VALUE"""),"")</f>
        <v/>
      </c>
      <c r="O5126" t="str">
        <f>IFERROR(__xludf.DUMMYFUNCTION("""COMPUTED_VALUE"""),"")</f>
        <v/>
      </c>
      <c r="P5126" t="str">
        <f>IFERROR(__xludf.DUMMYFUNCTION("""COMPUTED_VALUE"""),"ID ")</f>
        <v>ID </v>
      </c>
    </row>
    <row r="5127">
      <c r="A5127" s="6" t="str">
        <f>IFERROR(__xludf.DUMMYFUNCTION("""COMPUTED_VALUE"""),"")</f>
        <v/>
      </c>
      <c r="C5127" t="str">
        <f>IFERROR(__xludf.DUMMYFUNCTION("""COMPUTED_VALUE"""),"")</f>
        <v/>
      </c>
      <c r="D5127" t="str">
        <f>IFERROR(__xludf.DUMMYFUNCTION("""COMPUTED_VALUE"""),"")</f>
        <v/>
      </c>
      <c r="E5127" t="str">
        <f>IFERROR(__xludf.DUMMYFUNCTION("""COMPUTED_VALUE"""),"")</f>
        <v/>
      </c>
      <c r="F5127" t="str">
        <f>IFERROR(__xludf.DUMMYFUNCTION("""COMPUTED_VALUE"""),"")</f>
        <v/>
      </c>
      <c r="G5127" t="str">
        <f>IFERROR(__xludf.DUMMYFUNCTION("""COMPUTED_VALUE"""),"")</f>
        <v/>
      </c>
      <c r="H5127" s="2" t="str">
        <f>IFERROR(__xludf.DUMMYFUNCTION("""COMPUTED_VALUE"""),"")</f>
        <v/>
      </c>
      <c r="I5127" s="2" t="str">
        <f>IFERROR(__xludf.DUMMYFUNCTION("""COMPUTED_VALUE"""),"")</f>
        <v/>
      </c>
      <c r="J5127" s="2">
        <f>IFERROR(__xludf.DUMMYFUNCTION("""COMPUTED_VALUE"""),0.0)</f>
        <v>0</v>
      </c>
      <c r="K5127" s="5" t="str">
        <f>IFERROR(__xludf.DUMMYFUNCTION("""COMPUTED_VALUE"""),"")</f>
        <v/>
      </c>
      <c r="L5127" t="str">
        <f>IFERROR(__xludf.DUMMYFUNCTION("""COMPUTED_VALUE"""),"")</f>
        <v/>
      </c>
      <c r="M5127" t="str">
        <f>IFERROR(__xludf.DUMMYFUNCTION("""COMPUTED_VALUE"""),"")</f>
        <v/>
      </c>
      <c r="N5127" t="str">
        <f>IFERROR(__xludf.DUMMYFUNCTION("""COMPUTED_VALUE"""),"")</f>
        <v/>
      </c>
      <c r="O5127" t="str">
        <f>IFERROR(__xludf.DUMMYFUNCTION("""COMPUTED_VALUE"""),"")</f>
        <v/>
      </c>
      <c r="P5127" t="str">
        <f>IFERROR(__xludf.DUMMYFUNCTION("""COMPUTED_VALUE"""),"ID ")</f>
        <v>ID </v>
      </c>
    </row>
    <row r="5128">
      <c r="A5128" s="6" t="str">
        <f>IFERROR(__xludf.DUMMYFUNCTION("""COMPUTED_VALUE"""),"")</f>
        <v/>
      </c>
      <c r="C5128" t="str">
        <f>IFERROR(__xludf.DUMMYFUNCTION("""COMPUTED_VALUE"""),"")</f>
        <v/>
      </c>
      <c r="D5128" t="str">
        <f>IFERROR(__xludf.DUMMYFUNCTION("""COMPUTED_VALUE"""),"")</f>
        <v/>
      </c>
      <c r="E5128" t="str">
        <f>IFERROR(__xludf.DUMMYFUNCTION("""COMPUTED_VALUE"""),"")</f>
        <v/>
      </c>
      <c r="F5128" t="str">
        <f>IFERROR(__xludf.DUMMYFUNCTION("""COMPUTED_VALUE"""),"")</f>
        <v/>
      </c>
      <c r="G5128" t="str">
        <f>IFERROR(__xludf.DUMMYFUNCTION("""COMPUTED_VALUE"""),"")</f>
        <v/>
      </c>
      <c r="H5128" s="2" t="str">
        <f>IFERROR(__xludf.DUMMYFUNCTION("""COMPUTED_VALUE"""),"")</f>
        <v/>
      </c>
      <c r="I5128" s="2" t="str">
        <f>IFERROR(__xludf.DUMMYFUNCTION("""COMPUTED_VALUE"""),"")</f>
        <v/>
      </c>
      <c r="J5128" s="2">
        <f>IFERROR(__xludf.DUMMYFUNCTION("""COMPUTED_VALUE"""),0.0)</f>
        <v>0</v>
      </c>
      <c r="K5128" s="5" t="str">
        <f>IFERROR(__xludf.DUMMYFUNCTION("""COMPUTED_VALUE"""),"")</f>
        <v/>
      </c>
      <c r="L5128" t="str">
        <f>IFERROR(__xludf.DUMMYFUNCTION("""COMPUTED_VALUE"""),"")</f>
        <v/>
      </c>
      <c r="M5128" t="str">
        <f>IFERROR(__xludf.DUMMYFUNCTION("""COMPUTED_VALUE"""),"")</f>
        <v/>
      </c>
      <c r="N5128" t="str">
        <f>IFERROR(__xludf.DUMMYFUNCTION("""COMPUTED_VALUE"""),"")</f>
        <v/>
      </c>
      <c r="O5128" t="str">
        <f>IFERROR(__xludf.DUMMYFUNCTION("""COMPUTED_VALUE"""),"")</f>
        <v/>
      </c>
      <c r="P5128" t="str">
        <f>IFERROR(__xludf.DUMMYFUNCTION("""COMPUTED_VALUE"""),"ID ")</f>
        <v>ID </v>
      </c>
    </row>
    <row r="5129">
      <c r="A5129" s="6" t="str">
        <f>IFERROR(__xludf.DUMMYFUNCTION("""COMPUTED_VALUE"""),"")</f>
        <v/>
      </c>
      <c r="C5129" t="str">
        <f>IFERROR(__xludf.DUMMYFUNCTION("""COMPUTED_VALUE"""),"")</f>
        <v/>
      </c>
      <c r="D5129" t="str">
        <f>IFERROR(__xludf.DUMMYFUNCTION("""COMPUTED_VALUE"""),"")</f>
        <v/>
      </c>
      <c r="E5129" t="str">
        <f>IFERROR(__xludf.DUMMYFUNCTION("""COMPUTED_VALUE"""),"")</f>
        <v/>
      </c>
      <c r="F5129" t="str">
        <f>IFERROR(__xludf.DUMMYFUNCTION("""COMPUTED_VALUE"""),"")</f>
        <v/>
      </c>
      <c r="G5129" t="str">
        <f>IFERROR(__xludf.DUMMYFUNCTION("""COMPUTED_VALUE"""),"")</f>
        <v/>
      </c>
      <c r="H5129" s="2" t="str">
        <f>IFERROR(__xludf.DUMMYFUNCTION("""COMPUTED_VALUE"""),"")</f>
        <v/>
      </c>
      <c r="I5129" s="2" t="str">
        <f>IFERROR(__xludf.DUMMYFUNCTION("""COMPUTED_VALUE"""),"")</f>
        <v/>
      </c>
      <c r="J5129" s="2">
        <f>IFERROR(__xludf.DUMMYFUNCTION("""COMPUTED_VALUE"""),0.0)</f>
        <v>0</v>
      </c>
      <c r="K5129" s="5" t="str">
        <f>IFERROR(__xludf.DUMMYFUNCTION("""COMPUTED_VALUE"""),"")</f>
        <v/>
      </c>
      <c r="L5129" t="str">
        <f>IFERROR(__xludf.DUMMYFUNCTION("""COMPUTED_VALUE"""),"")</f>
        <v/>
      </c>
      <c r="M5129" t="str">
        <f>IFERROR(__xludf.DUMMYFUNCTION("""COMPUTED_VALUE"""),"")</f>
        <v/>
      </c>
      <c r="N5129" t="str">
        <f>IFERROR(__xludf.DUMMYFUNCTION("""COMPUTED_VALUE"""),"")</f>
        <v/>
      </c>
      <c r="O5129" t="str">
        <f>IFERROR(__xludf.DUMMYFUNCTION("""COMPUTED_VALUE"""),"")</f>
        <v/>
      </c>
      <c r="P5129" t="str">
        <f>IFERROR(__xludf.DUMMYFUNCTION("""COMPUTED_VALUE"""),"ID ")</f>
        <v>ID </v>
      </c>
    </row>
    <row r="5130">
      <c r="A5130" s="6" t="str">
        <f>IFERROR(__xludf.DUMMYFUNCTION("""COMPUTED_VALUE"""),"")</f>
        <v/>
      </c>
      <c r="C5130" t="str">
        <f>IFERROR(__xludf.DUMMYFUNCTION("""COMPUTED_VALUE"""),"")</f>
        <v/>
      </c>
      <c r="D5130" t="str">
        <f>IFERROR(__xludf.DUMMYFUNCTION("""COMPUTED_VALUE"""),"")</f>
        <v/>
      </c>
      <c r="E5130" t="str">
        <f>IFERROR(__xludf.DUMMYFUNCTION("""COMPUTED_VALUE"""),"")</f>
        <v/>
      </c>
      <c r="F5130" t="str">
        <f>IFERROR(__xludf.DUMMYFUNCTION("""COMPUTED_VALUE"""),"")</f>
        <v/>
      </c>
      <c r="G5130" t="str">
        <f>IFERROR(__xludf.DUMMYFUNCTION("""COMPUTED_VALUE"""),"")</f>
        <v/>
      </c>
      <c r="H5130" s="2" t="str">
        <f>IFERROR(__xludf.DUMMYFUNCTION("""COMPUTED_VALUE"""),"")</f>
        <v/>
      </c>
      <c r="I5130" s="2" t="str">
        <f>IFERROR(__xludf.DUMMYFUNCTION("""COMPUTED_VALUE"""),"")</f>
        <v/>
      </c>
      <c r="J5130" s="2">
        <f>IFERROR(__xludf.DUMMYFUNCTION("""COMPUTED_VALUE"""),0.0)</f>
        <v>0</v>
      </c>
      <c r="K5130" s="5" t="str">
        <f>IFERROR(__xludf.DUMMYFUNCTION("""COMPUTED_VALUE"""),"")</f>
        <v/>
      </c>
      <c r="L5130" t="str">
        <f>IFERROR(__xludf.DUMMYFUNCTION("""COMPUTED_VALUE"""),"")</f>
        <v/>
      </c>
      <c r="M5130" t="str">
        <f>IFERROR(__xludf.DUMMYFUNCTION("""COMPUTED_VALUE"""),"")</f>
        <v/>
      </c>
      <c r="N5130" t="str">
        <f>IFERROR(__xludf.DUMMYFUNCTION("""COMPUTED_VALUE"""),"")</f>
        <v/>
      </c>
      <c r="O5130" t="str">
        <f>IFERROR(__xludf.DUMMYFUNCTION("""COMPUTED_VALUE"""),"")</f>
        <v/>
      </c>
      <c r="P5130" t="str">
        <f>IFERROR(__xludf.DUMMYFUNCTION("""COMPUTED_VALUE"""),"ID ")</f>
        <v>ID </v>
      </c>
    </row>
    <row r="5131">
      <c r="A5131" s="6" t="str">
        <f>IFERROR(__xludf.DUMMYFUNCTION("""COMPUTED_VALUE"""),"")</f>
        <v/>
      </c>
      <c r="C5131" t="str">
        <f>IFERROR(__xludf.DUMMYFUNCTION("""COMPUTED_VALUE"""),"")</f>
        <v/>
      </c>
      <c r="D5131" t="str">
        <f>IFERROR(__xludf.DUMMYFUNCTION("""COMPUTED_VALUE"""),"")</f>
        <v/>
      </c>
      <c r="E5131" t="str">
        <f>IFERROR(__xludf.DUMMYFUNCTION("""COMPUTED_VALUE"""),"")</f>
        <v/>
      </c>
      <c r="F5131" t="str">
        <f>IFERROR(__xludf.DUMMYFUNCTION("""COMPUTED_VALUE"""),"")</f>
        <v/>
      </c>
      <c r="G5131" t="str">
        <f>IFERROR(__xludf.DUMMYFUNCTION("""COMPUTED_VALUE"""),"")</f>
        <v/>
      </c>
      <c r="H5131" s="2" t="str">
        <f>IFERROR(__xludf.DUMMYFUNCTION("""COMPUTED_VALUE"""),"")</f>
        <v/>
      </c>
      <c r="I5131" s="2" t="str">
        <f>IFERROR(__xludf.DUMMYFUNCTION("""COMPUTED_VALUE"""),"")</f>
        <v/>
      </c>
      <c r="J5131" s="2">
        <f>IFERROR(__xludf.DUMMYFUNCTION("""COMPUTED_VALUE"""),0.0)</f>
        <v>0</v>
      </c>
      <c r="K5131" s="5" t="str">
        <f>IFERROR(__xludf.DUMMYFUNCTION("""COMPUTED_VALUE"""),"")</f>
        <v/>
      </c>
      <c r="L5131" t="str">
        <f>IFERROR(__xludf.DUMMYFUNCTION("""COMPUTED_VALUE"""),"")</f>
        <v/>
      </c>
      <c r="M5131" t="str">
        <f>IFERROR(__xludf.DUMMYFUNCTION("""COMPUTED_VALUE"""),"")</f>
        <v/>
      </c>
      <c r="N5131" t="str">
        <f>IFERROR(__xludf.DUMMYFUNCTION("""COMPUTED_VALUE"""),"")</f>
        <v/>
      </c>
      <c r="O5131" t="str">
        <f>IFERROR(__xludf.DUMMYFUNCTION("""COMPUTED_VALUE"""),"")</f>
        <v/>
      </c>
      <c r="P5131" t="str">
        <f>IFERROR(__xludf.DUMMYFUNCTION("""COMPUTED_VALUE"""),"ID ")</f>
        <v>ID </v>
      </c>
    </row>
    <row r="5132">
      <c r="A5132" s="6" t="str">
        <f>IFERROR(__xludf.DUMMYFUNCTION("""COMPUTED_VALUE"""),"")</f>
        <v/>
      </c>
      <c r="C5132" t="str">
        <f>IFERROR(__xludf.DUMMYFUNCTION("""COMPUTED_VALUE"""),"")</f>
        <v/>
      </c>
      <c r="D5132" t="str">
        <f>IFERROR(__xludf.DUMMYFUNCTION("""COMPUTED_VALUE"""),"")</f>
        <v/>
      </c>
      <c r="E5132" t="str">
        <f>IFERROR(__xludf.DUMMYFUNCTION("""COMPUTED_VALUE"""),"")</f>
        <v/>
      </c>
      <c r="F5132" t="str">
        <f>IFERROR(__xludf.DUMMYFUNCTION("""COMPUTED_VALUE"""),"")</f>
        <v/>
      </c>
      <c r="G5132" t="str">
        <f>IFERROR(__xludf.DUMMYFUNCTION("""COMPUTED_VALUE"""),"")</f>
        <v/>
      </c>
      <c r="H5132" s="2" t="str">
        <f>IFERROR(__xludf.DUMMYFUNCTION("""COMPUTED_VALUE"""),"")</f>
        <v/>
      </c>
      <c r="I5132" s="2" t="str">
        <f>IFERROR(__xludf.DUMMYFUNCTION("""COMPUTED_VALUE"""),"")</f>
        <v/>
      </c>
      <c r="J5132" s="2">
        <f>IFERROR(__xludf.DUMMYFUNCTION("""COMPUTED_VALUE"""),0.0)</f>
        <v>0</v>
      </c>
      <c r="K5132" s="5" t="str">
        <f>IFERROR(__xludf.DUMMYFUNCTION("""COMPUTED_VALUE"""),"")</f>
        <v/>
      </c>
      <c r="L5132" t="str">
        <f>IFERROR(__xludf.DUMMYFUNCTION("""COMPUTED_VALUE"""),"")</f>
        <v/>
      </c>
      <c r="M5132" t="str">
        <f>IFERROR(__xludf.DUMMYFUNCTION("""COMPUTED_VALUE"""),"")</f>
        <v/>
      </c>
      <c r="N5132" t="str">
        <f>IFERROR(__xludf.DUMMYFUNCTION("""COMPUTED_VALUE"""),"")</f>
        <v/>
      </c>
      <c r="O5132" t="str">
        <f>IFERROR(__xludf.DUMMYFUNCTION("""COMPUTED_VALUE"""),"")</f>
        <v/>
      </c>
      <c r="P5132" t="str">
        <f>IFERROR(__xludf.DUMMYFUNCTION("""COMPUTED_VALUE"""),"ID ")</f>
        <v>ID </v>
      </c>
    </row>
    <row r="5133">
      <c r="A5133" s="6" t="str">
        <f>IFERROR(__xludf.DUMMYFUNCTION("""COMPUTED_VALUE"""),"")</f>
        <v/>
      </c>
      <c r="C5133" t="str">
        <f>IFERROR(__xludf.DUMMYFUNCTION("""COMPUTED_VALUE"""),"")</f>
        <v/>
      </c>
      <c r="D5133" t="str">
        <f>IFERROR(__xludf.DUMMYFUNCTION("""COMPUTED_VALUE"""),"")</f>
        <v/>
      </c>
      <c r="E5133" t="str">
        <f>IFERROR(__xludf.DUMMYFUNCTION("""COMPUTED_VALUE"""),"")</f>
        <v/>
      </c>
      <c r="F5133" t="str">
        <f>IFERROR(__xludf.DUMMYFUNCTION("""COMPUTED_VALUE"""),"")</f>
        <v/>
      </c>
      <c r="G5133" t="str">
        <f>IFERROR(__xludf.DUMMYFUNCTION("""COMPUTED_VALUE"""),"")</f>
        <v/>
      </c>
      <c r="H5133" s="2" t="str">
        <f>IFERROR(__xludf.DUMMYFUNCTION("""COMPUTED_VALUE"""),"")</f>
        <v/>
      </c>
      <c r="I5133" s="2" t="str">
        <f>IFERROR(__xludf.DUMMYFUNCTION("""COMPUTED_VALUE"""),"")</f>
        <v/>
      </c>
      <c r="J5133" s="2">
        <f>IFERROR(__xludf.DUMMYFUNCTION("""COMPUTED_VALUE"""),0.0)</f>
        <v>0</v>
      </c>
      <c r="K5133" s="5" t="str">
        <f>IFERROR(__xludf.DUMMYFUNCTION("""COMPUTED_VALUE"""),"")</f>
        <v/>
      </c>
      <c r="L5133" t="str">
        <f>IFERROR(__xludf.DUMMYFUNCTION("""COMPUTED_VALUE"""),"")</f>
        <v/>
      </c>
      <c r="M5133" t="str">
        <f>IFERROR(__xludf.DUMMYFUNCTION("""COMPUTED_VALUE"""),"")</f>
        <v/>
      </c>
      <c r="N5133" t="str">
        <f>IFERROR(__xludf.DUMMYFUNCTION("""COMPUTED_VALUE"""),"")</f>
        <v/>
      </c>
      <c r="O5133" t="str">
        <f>IFERROR(__xludf.DUMMYFUNCTION("""COMPUTED_VALUE"""),"")</f>
        <v/>
      </c>
      <c r="P5133" t="str">
        <f>IFERROR(__xludf.DUMMYFUNCTION("""COMPUTED_VALUE"""),"ID ")</f>
        <v>ID </v>
      </c>
    </row>
    <row r="5134">
      <c r="A5134" s="6" t="str">
        <f>IFERROR(__xludf.DUMMYFUNCTION("""COMPUTED_VALUE"""),"")</f>
        <v/>
      </c>
      <c r="C5134" t="str">
        <f>IFERROR(__xludf.DUMMYFUNCTION("""COMPUTED_VALUE"""),"")</f>
        <v/>
      </c>
      <c r="D5134" t="str">
        <f>IFERROR(__xludf.DUMMYFUNCTION("""COMPUTED_VALUE"""),"")</f>
        <v/>
      </c>
      <c r="E5134" t="str">
        <f>IFERROR(__xludf.DUMMYFUNCTION("""COMPUTED_VALUE"""),"")</f>
        <v/>
      </c>
      <c r="F5134" t="str">
        <f>IFERROR(__xludf.DUMMYFUNCTION("""COMPUTED_VALUE"""),"")</f>
        <v/>
      </c>
      <c r="G5134" t="str">
        <f>IFERROR(__xludf.DUMMYFUNCTION("""COMPUTED_VALUE"""),"")</f>
        <v/>
      </c>
      <c r="H5134" s="2" t="str">
        <f>IFERROR(__xludf.DUMMYFUNCTION("""COMPUTED_VALUE"""),"")</f>
        <v/>
      </c>
      <c r="I5134" s="2" t="str">
        <f>IFERROR(__xludf.DUMMYFUNCTION("""COMPUTED_VALUE"""),"")</f>
        <v/>
      </c>
      <c r="J5134" s="2">
        <f>IFERROR(__xludf.DUMMYFUNCTION("""COMPUTED_VALUE"""),0.0)</f>
        <v>0</v>
      </c>
      <c r="K5134" s="5" t="str">
        <f>IFERROR(__xludf.DUMMYFUNCTION("""COMPUTED_VALUE"""),"")</f>
        <v/>
      </c>
      <c r="L5134" t="str">
        <f>IFERROR(__xludf.DUMMYFUNCTION("""COMPUTED_VALUE"""),"")</f>
        <v/>
      </c>
      <c r="M5134" t="str">
        <f>IFERROR(__xludf.DUMMYFUNCTION("""COMPUTED_VALUE"""),"")</f>
        <v/>
      </c>
      <c r="N5134" t="str">
        <f>IFERROR(__xludf.DUMMYFUNCTION("""COMPUTED_VALUE"""),"")</f>
        <v/>
      </c>
      <c r="O5134" t="str">
        <f>IFERROR(__xludf.DUMMYFUNCTION("""COMPUTED_VALUE"""),"")</f>
        <v/>
      </c>
      <c r="P5134" t="str">
        <f>IFERROR(__xludf.DUMMYFUNCTION("""COMPUTED_VALUE"""),"ID ")</f>
        <v>ID </v>
      </c>
    </row>
    <row r="5135">
      <c r="A5135" s="6" t="str">
        <f>IFERROR(__xludf.DUMMYFUNCTION("""COMPUTED_VALUE"""),"")</f>
        <v/>
      </c>
      <c r="C5135" t="str">
        <f>IFERROR(__xludf.DUMMYFUNCTION("""COMPUTED_VALUE"""),"")</f>
        <v/>
      </c>
      <c r="D5135" t="str">
        <f>IFERROR(__xludf.DUMMYFUNCTION("""COMPUTED_VALUE"""),"")</f>
        <v/>
      </c>
      <c r="E5135" t="str">
        <f>IFERROR(__xludf.DUMMYFUNCTION("""COMPUTED_VALUE"""),"")</f>
        <v/>
      </c>
      <c r="F5135" t="str">
        <f>IFERROR(__xludf.DUMMYFUNCTION("""COMPUTED_VALUE"""),"")</f>
        <v/>
      </c>
      <c r="G5135" t="str">
        <f>IFERROR(__xludf.DUMMYFUNCTION("""COMPUTED_VALUE"""),"")</f>
        <v/>
      </c>
      <c r="H5135" s="2" t="str">
        <f>IFERROR(__xludf.DUMMYFUNCTION("""COMPUTED_VALUE"""),"")</f>
        <v/>
      </c>
      <c r="I5135" s="2" t="str">
        <f>IFERROR(__xludf.DUMMYFUNCTION("""COMPUTED_VALUE"""),"")</f>
        <v/>
      </c>
      <c r="J5135" s="2">
        <f>IFERROR(__xludf.DUMMYFUNCTION("""COMPUTED_VALUE"""),0.0)</f>
        <v>0</v>
      </c>
      <c r="K5135" s="5" t="str">
        <f>IFERROR(__xludf.DUMMYFUNCTION("""COMPUTED_VALUE"""),"")</f>
        <v/>
      </c>
      <c r="L5135" t="str">
        <f>IFERROR(__xludf.DUMMYFUNCTION("""COMPUTED_VALUE"""),"")</f>
        <v/>
      </c>
      <c r="M5135" t="str">
        <f>IFERROR(__xludf.DUMMYFUNCTION("""COMPUTED_VALUE"""),"")</f>
        <v/>
      </c>
      <c r="N5135" t="str">
        <f>IFERROR(__xludf.DUMMYFUNCTION("""COMPUTED_VALUE"""),"")</f>
        <v/>
      </c>
      <c r="O5135" t="str">
        <f>IFERROR(__xludf.DUMMYFUNCTION("""COMPUTED_VALUE"""),"")</f>
        <v/>
      </c>
      <c r="P5135" t="str">
        <f>IFERROR(__xludf.DUMMYFUNCTION("""COMPUTED_VALUE"""),"ID ")</f>
        <v>ID </v>
      </c>
    </row>
    <row r="5136">
      <c r="A5136" s="6" t="str">
        <f>IFERROR(__xludf.DUMMYFUNCTION("""COMPUTED_VALUE"""),"")</f>
        <v/>
      </c>
      <c r="C5136" t="str">
        <f>IFERROR(__xludf.DUMMYFUNCTION("""COMPUTED_VALUE"""),"")</f>
        <v/>
      </c>
      <c r="D5136" t="str">
        <f>IFERROR(__xludf.DUMMYFUNCTION("""COMPUTED_VALUE"""),"")</f>
        <v/>
      </c>
      <c r="E5136" t="str">
        <f>IFERROR(__xludf.DUMMYFUNCTION("""COMPUTED_VALUE"""),"")</f>
        <v/>
      </c>
      <c r="F5136" t="str">
        <f>IFERROR(__xludf.DUMMYFUNCTION("""COMPUTED_VALUE"""),"")</f>
        <v/>
      </c>
      <c r="G5136" t="str">
        <f>IFERROR(__xludf.DUMMYFUNCTION("""COMPUTED_VALUE"""),"")</f>
        <v/>
      </c>
      <c r="H5136" s="2" t="str">
        <f>IFERROR(__xludf.DUMMYFUNCTION("""COMPUTED_VALUE"""),"")</f>
        <v/>
      </c>
      <c r="I5136" s="2" t="str">
        <f>IFERROR(__xludf.DUMMYFUNCTION("""COMPUTED_VALUE"""),"")</f>
        <v/>
      </c>
      <c r="J5136" s="2">
        <f>IFERROR(__xludf.DUMMYFUNCTION("""COMPUTED_VALUE"""),0.0)</f>
        <v>0</v>
      </c>
      <c r="K5136" s="5" t="str">
        <f>IFERROR(__xludf.DUMMYFUNCTION("""COMPUTED_VALUE"""),"")</f>
        <v/>
      </c>
      <c r="L5136" t="str">
        <f>IFERROR(__xludf.DUMMYFUNCTION("""COMPUTED_VALUE"""),"")</f>
        <v/>
      </c>
      <c r="M5136" t="str">
        <f>IFERROR(__xludf.DUMMYFUNCTION("""COMPUTED_VALUE"""),"")</f>
        <v/>
      </c>
      <c r="N5136" t="str">
        <f>IFERROR(__xludf.DUMMYFUNCTION("""COMPUTED_VALUE"""),"")</f>
        <v/>
      </c>
      <c r="O5136" t="str">
        <f>IFERROR(__xludf.DUMMYFUNCTION("""COMPUTED_VALUE"""),"")</f>
        <v/>
      </c>
      <c r="P5136" t="str">
        <f>IFERROR(__xludf.DUMMYFUNCTION("""COMPUTED_VALUE"""),"ID ")</f>
        <v>ID </v>
      </c>
    </row>
    <row r="5137">
      <c r="A5137" s="6" t="str">
        <f>IFERROR(__xludf.DUMMYFUNCTION("""COMPUTED_VALUE"""),"")</f>
        <v/>
      </c>
      <c r="C5137" t="str">
        <f>IFERROR(__xludf.DUMMYFUNCTION("""COMPUTED_VALUE"""),"")</f>
        <v/>
      </c>
      <c r="D5137" t="str">
        <f>IFERROR(__xludf.DUMMYFUNCTION("""COMPUTED_VALUE"""),"")</f>
        <v/>
      </c>
      <c r="E5137" t="str">
        <f>IFERROR(__xludf.DUMMYFUNCTION("""COMPUTED_VALUE"""),"")</f>
        <v/>
      </c>
      <c r="F5137" t="str">
        <f>IFERROR(__xludf.DUMMYFUNCTION("""COMPUTED_VALUE"""),"")</f>
        <v/>
      </c>
      <c r="G5137" t="str">
        <f>IFERROR(__xludf.DUMMYFUNCTION("""COMPUTED_VALUE"""),"")</f>
        <v/>
      </c>
      <c r="H5137" s="2" t="str">
        <f>IFERROR(__xludf.DUMMYFUNCTION("""COMPUTED_VALUE"""),"")</f>
        <v/>
      </c>
      <c r="I5137" s="2" t="str">
        <f>IFERROR(__xludf.DUMMYFUNCTION("""COMPUTED_VALUE"""),"")</f>
        <v/>
      </c>
      <c r="J5137" s="2">
        <f>IFERROR(__xludf.DUMMYFUNCTION("""COMPUTED_VALUE"""),0.0)</f>
        <v>0</v>
      </c>
      <c r="K5137" s="5" t="str">
        <f>IFERROR(__xludf.DUMMYFUNCTION("""COMPUTED_VALUE"""),"")</f>
        <v/>
      </c>
      <c r="L5137" t="str">
        <f>IFERROR(__xludf.DUMMYFUNCTION("""COMPUTED_VALUE"""),"")</f>
        <v/>
      </c>
      <c r="M5137" t="str">
        <f>IFERROR(__xludf.DUMMYFUNCTION("""COMPUTED_VALUE"""),"")</f>
        <v/>
      </c>
      <c r="N5137" t="str">
        <f>IFERROR(__xludf.DUMMYFUNCTION("""COMPUTED_VALUE"""),"")</f>
        <v/>
      </c>
      <c r="O5137" t="str">
        <f>IFERROR(__xludf.DUMMYFUNCTION("""COMPUTED_VALUE"""),"")</f>
        <v/>
      </c>
      <c r="P5137" t="str">
        <f>IFERROR(__xludf.DUMMYFUNCTION("""COMPUTED_VALUE"""),"ID ")</f>
        <v>ID </v>
      </c>
    </row>
    <row r="5138">
      <c r="A5138" s="6" t="str">
        <f>IFERROR(__xludf.DUMMYFUNCTION("""COMPUTED_VALUE"""),"")</f>
        <v/>
      </c>
      <c r="C5138" t="str">
        <f>IFERROR(__xludf.DUMMYFUNCTION("""COMPUTED_VALUE"""),"")</f>
        <v/>
      </c>
      <c r="D5138" t="str">
        <f>IFERROR(__xludf.DUMMYFUNCTION("""COMPUTED_VALUE"""),"")</f>
        <v/>
      </c>
      <c r="E5138" t="str">
        <f>IFERROR(__xludf.DUMMYFUNCTION("""COMPUTED_VALUE"""),"")</f>
        <v/>
      </c>
      <c r="F5138" t="str">
        <f>IFERROR(__xludf.DUMMYFUNCTION("""COMPUTED_VALUE"""),"")</f>
        <v/>
      </c>
      <c r="G5138" t="str">
        <f>IFERROR(__xludf.DUMMYFUNCTION("""COMPUTED_VALUE"""),"")</f>
        <v/>
      </c>
      <c r="H5138" s="2" t="str">
        <f>IFERROR(__xludf.DUMMYFUNCTION("""COMPUTED_VALUE"""),"")</f>
        <v/>
      </c>
      <c r="I5138" s="2" t="str">
        <f>IFERROR(__xludf.DUMMYFUNCTION("""COMPUTED_VALUE"""),"")</f>
        <v/>
      </c>
      <c r="J5138" s="2">
        <f>IFERROR(__xludf.DUMMYFUNCTION("""COMPUTED_VALUE"""),0.0)</f>
        <v>0</v>
      </c>
      <c r="K5138" s="5" t="str">
        <f>IFERROR(__xludf.DUMMYFUNCTION("""COMPUTED_VALUE"""),"")</f>
        <v/>
      </c>
      <c r="L5138" t="str">
        <f>IFERROR(__xludf.DUMMYFUNCTION("""COMPUTED_VALUE"""),"")</f>
        <v/>
      </c>
      <c r="M5138" t="str">
        <f>IFERROR(__xludf.DUMMYFUNCTION("""COMPUTED_VALUE"""),"")</f>
        <v/>
      </c>
      <c r="N5138" t="str">
        <f>IFERROR(__xludf.DUMMYFUNCTION("""COMPUTED_VALUE"""),"")</f>
        <v/>
      </c>
      <c r="O5138" t="str">
        <f>IFERROR(__xludf.DUMMYFUNCTION("""COMPUTED_VALUE"""),"")</f>
        <v/>
      </c>
      <c r="P5138" t="str">
        <f>IFERROR(__xludf.DUMMYFUNCTION("""COMPUTED_VALUE"""),"ID ")</f>
        <v>ID </v>
      </c>
    </row>
    <row r="5139">
      <c r="A5139" s="6" t="str">
        <f>IFERROR(__xludf.DUMMYFUNCTION("""COMPUTED_VALUE"""),"")</f>
        <v/>
      </c>
      <c r="C5139" t="str">
        <f>IFERROR(__xludf.DUMMYFUNCTION("""COMPUTED_VALUE"""),"")</f>
        <v/>
      </c>
      <c r="D5139" t="str">
        <f>IFERROR(__xludf.DUMMYFUNCTION("""COMPUTED_VALUE"""),"")</f>
        <v/>
      </c>
      <c r="E5139" t="str">
        <f>IFERROR(__xludf.DUMMYFUNCTION("""COMPUTED_VALUE"""),"")</f>
        <v/>
      </c>
      <c r="F5139" t="str">
        <f>IFERROR(__xludf.DUMMYFUNCTION("""COMPUTED_VALUE"""),"")</f>
        <v/>
      </c>
      <c r="G5139" t="str">
        <f>IFERROR(__xludf.DUMMYFUNCTION("""COMPUTED_VALUE"""),"")</f>
        <v/>
      </c>
      <c r="H5139" s="2" t="str">
        <f>IFERROR(__xludf.DUMMYFUNCTION("""COMPUTED_VALUE"""),"")</f>
        <v/>
      </c>
      <c r="I5139" s="2" t="str">
        <f>IFERROR(__xludf.DUMMYFUNCTION("""COMPUTED_VALUE"""),"")</f>
        <v/>
      </c>
      <c r="J5139" s="2">
        <f>IFERROR(__xludf.DUMMYFUNCTION("""COMPUTED_VALUE"""),0.0)</f>
        <v>0</v>
      </c>
      <c r="K5139" s="5" t="str">
        <f>IFERROR(__xludf.DUMMYFUNCTION("""COMPUTED_VALUE"""),"")</f>
        <v/>
      </c>
      <c r="L5139" t="str">
        <f>IFERROR(__xludf.DUMMYFUNCTION("""COMPUTED_VALUE"""),"")</f>
        <v/>
      </c>
      <c r="M5139" t="str">
        <f>IFERROR(__xludf.DUMMYFUNCTION("""COMPUTED_VALUE"""),"")</f>
        <v/>
      </c>
      <c r="N5139" t="str">
        <f>IFERROR(__xludf.DUMMYFUNCTION("""COMPUTED_VALUE"""),"")</f>
        <v/>
      </c>
      <c r="O5139" t="str">
        <f>IFERROR(__xludf.DUMMYFUNCTION("""COMPUTED_VALUE"""),"")</f>
        <v/>
      </c>
      <c r="P5139" t="str">
        <f>IFERROR(__xludf.DUMMYFUNCTION("""COMPUTED_VALUE"""),"ID ")</f>
        <v>ID </v>
      </c>
    </row>
    <row r="5140">
      <c r="A5140" s="6" t="str">
        <f>IFERROR(__xludf.DUMMYFUNCTION("""COMPUTED_VALUE"""),"")</f>
        <v/>
      </c>
      <c r="C5140" t="str">
        <f>IFERROR(__xludf.DUMMYFUNCTION("""COMPUTED_VALUE"""),"")</f>
        <v/>
      </c>
      <c r="D5140" t="str">
        <f>IFERROR(__xludf.DUMMYFUNCTION("""COMPUTED_VALUE"""),"")</f>
        <v/>
      </c>
      <c r="E5140" t="str">
        <f>IFERROR(__xludf.DUMMYFUNCTION("""COMPUTED_VALUE"""),"")</f>
        <v/>
      </c>
      <c r="F5140" t="str">
        <f>IFERROR(__xludf.DUMMYFUNCTION("""COMPUTED_VALUE"""),"")</f>
        <v/>
      </c>
      <c r="G5140" t="str">
        <f>IFERROR(__xludf.DUMMYFUNCTION("""COMPUTED_VALUE"""),"")</f>
        <v/>
      </c>
      <c r="H5140" s="2" t="str">
        <f>IFERROR(__xludf.DUMMYFUNCTION("""COMPUTED_VALUE"""),"")</f>
        <v/>
      </c>
      <c r="I5140" s="2" t="str">
        <f>IFERROR(__xludf.DUMMYFUNCTION("""COMPUTED_VALUE"""),"")</f>
        <v/>
      </c>
      <c r="J5140" s="2">
        <f>IFERROR(__xludf.DUMMYFUNCTION("""COMPUTED_VALUE"""),0.0)</f>
        <v>0</v>
      </c>
      <c r="K5140" s="5" t="str">
        <f>IFERROR(__xludf.DUMMYFUNCTION("""COMPUTED_VALUE"""),"")</f>
        <v/>
      </c>
      <c r="L5140" t="str">
        <f>IFERROR(__xludf.DUMMYFUNCTION("""COMPUTED_VALUE"""),"")</f>
        <v/>
      </c>
      <c r="M5140" t="str">
        <f>IFERROR(__xludf.DUMMYFUNCTION("""COMPUTED_VALUE"""),"")</f>
        <v/>
      </c>
      <c r="N5140" t="str">
        <f>IFERROR(__xludf.DUMMYFUNCTION("""COMPUTED_VALUE"""),"")</f>
        <v/>
      </c>
      <c r="O5140" t="str">
        <f>IFERROR(__xludf.DUMMYFUNCTION("""COMPUTED_VALUE"""),"")</f>
        <v/>
      </c>
      <c r="P5140" t="str">
        <f>IFERROR(__xludf.DUMMYFUNCTION("""COMPUTED_VALUE"""),"ID ")</f>
        <v>ID </v>
      </c>
    </row>
    <row r="5141">
      <c r="A5141" s="6" t="str">
        <f>IFERROR(__xludf.DUMMYFUNCTION("""COMPUTED_VALUE"""),"")</f>
        <v/>
      </c>
      <c r="C5141" t="str">
        <f>IFERROR(__xludf.DUMMYFUNCTION("""COMPUTED_VALUE"""),"")</f>
        <v/>
      </c>
      <c r="D5141" t="str">
        <f>IFERROR(__xludf.DUMMYFUNCTION("""COMPUTED_VALUE"""),"")</f>
        <v/>
      </c>
      <c r="E5141" t="str">
        <f>IFERROR(__xludf.DUMMYFUNCTION("""COMPUTED_VALUE"""),"")</f>
        <v/>
      </c>
      <c r="F5141" t="str">
        <f>IFERROR(__xludf.DUMMYFUNCTION("""COMPUTED_VALUE"""),"")</f>
        <v/>
      </c>
      <c r="G5141" t="str">
        <f>IFERROR(__xludf.DUMMYFUNCTION("""COMPUTED_VALUE"""),"")</f>
        <v/>
      </c>
      <c r="H5141" s="2" t="str">
        <f>IFERROR(__xludf.DUMMYFUNCTION("""COMPUTED_VALUE"""),"")</f>
        <v/>
      </c>
      <c r="I5141" s="2" t="str">
        <f>IFERROR(__xludf.DUMMYFUNCTION("""COMPUTED_VALUE"""),"")</f>
        <v/>
      </c>
      <c r="J5141" s="2">
        <f>IFERROR(__xludf.DUMMYFUNCTION("""COMPUTED_VALUE"""),0.0)</f>
        <v>0</v>
      </c>
      <c r="K5141" s="5" t="str">
        <f>IFERROR(__xludf.DUMMYFUNCTION("""COMPUTED_VALUE"""),"")</f>
        <v/>
      </c>
      <c r="L5141" t="str">
        <f>IFERROR(__xludf.DUMMYFUNCTION("""COMPUTED_VALUE"""),"")</f>
        <v/>
      </c>
      <c r="M5141" t="str">
        <f>IFERROR(__xludf.DUMMYFUNCTION("""COMPUTED_VALUE"""),"")</f>
        <v/>
      </c>
      <c r="N5141" t="str">
        <f>IFERROR(__xludf.DUMMYFUNCTION("""COMPUTED_VALUE"""),"")</f>
        <v/>
      </c>
      <c r="O5141" t="str">
        <f>IFERROR(__xludf.DUMMYFUNCTION("""COMPUTED_VALUE"""),"")</f>
        <v/>
      </c>
      <c r="P5141" t="str">
        <f>IFERROR(__xludf.DUMMYFUNCTION("""COMPUTED_VALUE"""),"ID ")</f>
        <v>ID </v>
      </c>
    </row>
    <row r="5142">
      <c r="A5142" s="6" t="str">
        <f>IFERROR(__xludf.DUMMYFUNCTION("""COMPUTED_VALUE"""),"")</f>
        <v/>
      </c>
      <c r="C5142" t="str">
        <f>IFERROR(__xludf.DUMMYFUNCTION("""COMPUTED_VALUE"""),"")</f>
        <v/>
      </c>
      <c r="D5142" t="str">
        <f>IFERROR(__xludf.DUMMYFUNCTION("""COMPUTED_VALUE"""),"")</f>
        <v/>
      </c>
      <c r="E5142" t="str">
        <f>IFERROR(__xludf.DUMMYFUNCTION("""COMPUTED_VALUE"""),"")</f>
        <v/>
      </c>
      <c r="F5142" t="str">
        <f>IFERROR(__xludf.DUMMYFUNCTION("""COMPUTED_VALUE"""),"")</f>
        <v/>
      </c>
      <c r="G5142" t="str">
        <f>IFERROR(__xludf.DUMMYFUNCTION("""COMPUTED_VALUE"""),"")</f>
        <v/>
      </c>
      <c r="H5142" s="2" t="str">
        <f>IFERROR(__xludf.DUMMYFUNCTION("""COMPUTED_VALUE"""),"")</f>
        <v/>
      </c>
      <c r="I5142" s="2" t="str">
        <f>IFERROR(__xludf.DUMMYFUNCTION("""COMPUTED_VALUE"""),"")</f>
        <v/>
      </c>
      <c r="J5142" s="2">
        <f>IFERROR(__xludf.DUMMYFUNCTION("""COMPUTED_VALUE"""),0.0)</f>
        <v>0</v>
      </c>
      <c r="K5142" s="5" t="str">
        <f>IFERROR(__xludf.DUMMYFUNCTION("""COMPUTED_VALUE"""),"")</f>
        <v/>
      </c>
      <c r="L5142" t="str">
        <f>IFERROR(__xludf.DUMMYFUNCTION("""COMPUTED_VALUE"""),"")</f>
        <v/>
      </c>
      <c r="M5142" t="str">
        <f>IFERROR(__xludf.DUMMYFUNCTION("""COMPUTED_VALUE"""),"")</f>
        <v/>
      </c>
      <c r="N5142" t="str">
        <f>IFERROR(__xludf.DUMMYFUNCTION("""COMPUTED_VALUE"""),"")</f>
        <v/>
      </c>
      <c r="O5142" t="str">
        <f>IFERROR(__xludf.DUMMYFUNCTION("""COMPUTED_VALUE"""),"")</f>
        <v/>
      </c>
      <c r="P5142" t="str">
        <f>IFERROR(__xludf.DUMMYFUNCTION("""COMPUTED_VALUE"""),"ID ")</f>
        <v>ID </v>
      </c>
    </row>
    <row r="5143">
      <c r="A5143" s="6" t="str">
        <f>IFERROR(__xludf.DUMMYFUNCTION("""COMPUTED_VALUE"""),"")</f>
        <v/>
      </c>
      <c r="C5143" t="str">
        <f>IFERROR(__xludf.DUMMYFUNCTION("""COMPUTED_VALUE"""),"")</f>
        <v/>
      </c>
      <c r="D5143" t="str">
        <f>IFERROR(__xludf.DUMMYFUNCTION("""COMPUTED_VALUE"""),"")</f>
        <v/>
      </c>
      <c r="E5143" t="str">
        <f>IFERROR(__xludf.DUMMYFUNCTION("""COMPUTED_VALUE"""),"")</f>
        <v/>
      </c>
      <c r="F5143" t="str">
        <f>IFERROR(__xludf.DUMMYFUNCTION("""COMPUTED_VALUE"""),"")</f>
        <v/>
      </c>
      <c r="G5143" t="str">
        <f>IFERROR(__xludf.DUMMYFUNCTION("""COMPUTED_VALUE"""),"")</f>
        <v/>
      </c>
      <c r="H5143" s="2" t="str">
        <f>IFERROR(__xludf.DUMMYFUNCTION("""COMPUTED_VALUE"""),"")</f>
        <v/>
      </c>
      <c r="I5143" s="2" t="str">
        <f>IFERROR(__xludf.DUMMYFUNCTION("""COMPUTED_VALUE"""),"")</f>
        <v/>
      </c>
      <c r="J5143" s="2">
        <f>IFERROR(__xludf.DUMMYFUNCTION("""COMPUTED_VALUE"""),0.0)</f>
        <v>0</v>
      </c>
      <c r="K5143" s="5" t="str">
        <f>IFERROR(__xludf.DUMMYFUNCTION("""COMPUTED_VALUE"""),"")</f>
        <v/>
      </c>
      <c r="L5143" t="str">
        <f>IFERROR(__xludf.DUMMYFUNCTION("""COMPUTED_VALUE"""),"")</f>
        <v/>
      </c>
      <c r="M5143" t="str">
        <f>IFERROR(__xludf.DUMMYFUNCTION("""COMPUTED_VALUE"""),"")</f>
        <v/>
      </c>
      <c r="N5143" t="str">
        <f>IFERROR(__xludf.DUMMYFUNCTION("""COMPUTED_VALUE"""),"")</f>
        <v/>
      </c>
      <c r="O5143" t="str">
        <f>IFERROR(__xludf.DUMMYFUNCTION("""COMPUTED_VALUE"""),"")</f>
        <v/>
      </c>
      <c r="P5143" t="str">
        <f>IFERROR(__xludf.DUMMYFUNCTION("""COMPUTED_VALUE"""),"ID ")</f>
        <v>ID </v>
      </c>
    </row>
    <row r="5144">
      <c r="A5144" s="6" t="str">
        <f>IFERROR(__xludf.DUMMYFUNCTION("""COMPUTED_VALUE"""),"")</f>
        <v/>
      </c>
      <c r="C5144" t="str">
        <f>IFERROR(__xludf.DUMMYFUNCTION("""COMPUTED_VALUE"""),"")</f>
        <v/>
      </c>
      <c r="D5144" t="str">
        <f>IFERROR(__xludf.DUMMYFUNCTION("""COMPUTED_VALUE"""),"")</f>
        <v/>
      </c>
      <c r="E5144" t="str">
        <f>IFERROR(__xludf.DUMMYFUNCTION("""COMPUTED_VALUE"""),"")</f>
        <v/>
      </c>
      <c r="F5144" t="str">
        <f>IFERROR(__xludf.DUMMYFUNCTION("""COMPUTED_VALUE"""),"")</f>
        <v/>
      </c>
      <c r="G5144" t="str">
        <f>IFERROR(__xludf.DUMMYFUNCTION("""COMPUTED_VALUE"""),"")</f>
        <v/>
      </c>
      <c r="H5144" s="2" t="str">
        <f>IFERROR(__xludf.DUMMYFUNCTION("""COMPUTED_VALUE"""),"")</f>
        <v/>
      </c>
      <c r="I5144" s="2" t="str">
        <f>IFERROR(__xludf.DUMMYFUNCTION("""COMPUTED_VALUE"""),"")</f>
        <v/>
      </c>
      <c r="J5144" s="2">
        <f>IFERROR(__xludf.DUMMYFUNCTION("""COMPUTED_VALUE"""),0.0)</f>
        <v>0</v>
      </c>
      <c r="K5144" s="5" t="str">
        <f>IFERROR(__xludf.DUMMYFUNCTION("""COMPUTED_VALUE"""),"")</f>
        <v/>
      </c>
      <c r="L5144" t="str">
        <f>IFERROR(__xludf.DUMMYFUNCTION("""COMPUTED_VALUE"""),"")</f>
        <v/>
      </c>
      <c r="M5144" t="str">
        <f>IFERROR(__xludf.DUMMYFUNCTION("""COMPUTED_VALUE"""),"")</f>
        <v/>
      </c>
      <c r="N5144" t="str">
        <f>IFERROR(__xludf.DUMMYFUNCTION("""COMPUTED_VALUE"""),"")</f>
        <v/>
      </c>
      <c r="O5144" t="str">
        <f>IFERROR(__xludf.DUMMYFUNCTION("""COMPUTED_VALUE"""),"")</f>
        <v/>
      </c>
      <c r="P5144" t="str">
        <f>IFERROR(__xludf.DUMMYFUNCTION("""COMPUTED_VALUE"""),"ID ")</f>
        <v>ID </v>
      </c>
    </row>
    <row r="5145">
      <c r="A5145" s="6" t="str">
        <f>IFERROR(__xludf.DUMMYFUNCTION("""COMPUTED_VALUE"""),"")</f>
        <v/>
      </c>
      <c r="C5145" t="str">
        <f>IFERROR(__xludf.DUMMYFUNCTION("""COMPUTED_VALUE"""),"")</f>
        <v/>
      </c>
      <c r="D5145" t="str">
        <f>IFERROR(__xludf.DUMMYFUNCTION("""COMPUTED_VALUE"""),"")</f>
        <v/>
      </c>
      <c r="E5145" t="str">
        <f>IFERROR(__xludf.DUMMYFUNCTION("""COMPUTED_VALUE"""),"")</f>
        <v/>
      </c>
      <c r="F5145" t="str">
        <f>IFERROR(__xludf.DUMMYFUNCTION("""COMPUTED_VALUE"""),"")</f>
        <v/>
      </c>
      <c r="G5145" t="str">
        <f>IFERROR(__xludf.DUMMYFUNCTION("""COMPUTED_VALUE"""),"")</f>
        <v/>
      </c>
      <c r="H5145" s="2" t="str">
        <f>IFERROR(__xludf.DUMMYFUNCTION("""COMPUTED_VALUE"""),"")</f>
        <v/>
      </c>
      <c r="I5145" s="2" t="str">
        <f>IFERROR(__xludf.DUMMYFUNCTION("""COMPUTED_VALUE"""),"")</f>
        <v/>
      </c>
      <c r="J5145" s="2">
        <f>IFERROR(__xludf.DUMMYFUNCTION("""COMPUTED_VALUE"""),0.0)</f>
        <v>0</v>
      </c>
      <c r="K5145" s="5" t="str">
        <f>IFERROR(__xludf.DUMMYFUNCTION("""COMPUTED_VALUE"""),"")</f>
        <v/>
      </c>
      <c r="L5145" t="str">
        <f>IFERROR(__xludf.DUMMYFUNCTION("""COMPUTED_VALUE"""),"")</f>
        <v/>
      </c>
      <c r="M5145" t="str">
        <f>IFERROR(__xludf.DUMMYFUNCTION("""COMPUTED_VALUE"""),"")</f>
        <v/>
      </c>
      <c r="N5145" t="str">
        <f>IFERROR(__xludf.DUMMYFUNCTION("""COMPUTED_VALUE"""),"")</f>
        <v/>
      </c>
      <c r="O5145" t="str">
        <f>IFERROR(__xludf.DUMMYFUNCTION("""COMPUTED_VALUE"""),"")</f>
        <v/>
      </c>
      <c r="P5145" t="str">
        <f>IFERROR(__xludf.DUMMYFUNCTION("""COMPUTED_VALUE"""),"ID ")</f>
        <v>ID </v>
      </c>
    </row>
    <row r="5146">
      <c r="A5146" s="6" t="str">
        <f>IFERROR(__xludf.DUMMYFUNCTION("""COMPUTED_VALUE"""),"")</f>
        <v/>
      </c>
      <c r="C5146" t="str">
        <f>IFERROR(__xludf.DUMMYFUNCTION("""COMPUTED_VALUE"""),"")</f>
        <v/>
      </c>
      <c r="D5146" t="str">
        <f>IFERROR(__xludf.DUMMYFUNCTION("""COMPUTED_VALUE"""),"")</f>
        <v/>
      </c>
      <c r="E5146" t="str">
        <f>IFERROR(__xludf.DUMMYFUNCTION("""COMPUTED_VALUE"""),"")</f>
        <v/>
      </c>
      <c r="F5146" t="str">
        <f>IFERROR(__xludf.DUMMYFUNCTION("""COMPUTED_VALUE"""),"")</f>
        <v/>
      </c>
      <c r="G5146" t="str">
        <f>IFERROR(__xludf.DUMMYFUNCTION("""COMPUTED_VALUE"""),"")</f>
        <v/>
      </c>
      <c r="H5146" s="2" t="str">
        <f>IFERROR(__xludf.DUMMYFUNCTION("""COMPUTED_VALUE"""),"")</f>
        <v/>
      </c>
      <c r="I5146" s="2" t="str">
        <f>IFERROR(__xludf.DUMMYFUNCTION("""COMPUTED_VALUE"""),"")</f>
        <v/>
      </c>
      <c r="J5146" s="2">
        <f>IFERROR(__xludf.DUMMYFUNCTION("""COMPUTED_VALUE"""),0.0)</f>
        <v>0</v>
      </c>
      <c r="K5146" s="5" t="str">
        <f>IFERROR(__xludf.DUMMYFUNCTION("""COMPUTED_VALUE"""),"")</f>
        <v/>
      </c>
      <c r="L5146" t="str">
        <f>IFERROR(__xludf.DUMMYFUNCTION("""COMPUTED_VALUE"""),"")</f>
        <v/>
      </c>
      <c r="M5146" t="str">
        <f>IFERROR(__xludf.DUMMYFUNCTION("""COMPUTED_VALUE"""),"")</f>
        <v/>
      </c>
      <c r="N5146" t="str">
        <f>IFERROR(__xludf.DUMMYFUNCTION("""COMPUTED_VALUE"""),"")</f>
        <v/>
      </c>
      <c r="O5146" t="str">
        <f>IFERROR(__xludf.DUMMYFUNCTION("""COMPUTED_VALUE"""),"")</f>
        <v/>
      </c>
      <c r="P5146" t="str">
        <f>IFERROR(__xludf.DUMMYFUNCTION("""COMPUTED_VALUE"""),"ID ")</f>
        <v>ID </v>
      </c>
    </row>
    <row r="5147">
      <c r="A5147" s="6" t="str">
        <f>IFERROR(__xludf.DUMMYFUNCTION("""COMPUTED_VALUE"""),"")</f>
        <v/>
      </c>
      <c r="C5147" t="str">
        <f>IFERROR(__xludf.DUMMYFUNCTION("""COMPUTED_VALUE"""),"")</f>
        <v/>
      </c>
      <c r="D5147" t="str">
        <f>IFERROR(__xludf.DUMMYFUNCTION("""COMPUTED_VALUE"""),"")</f>
        <v/>
      </c>
      <c r="E5147" t="str">
        <f>IFERROR(__xludf.DUMMYFUNCTION("""COMPUTED_VALUE"""),"")</f>
        <v/>
      </c>
      <c r="F5147" t="str">
        <f>IFERROR(__xludf.DUMMYFUNCTION("""COMPUTED_VALUE"""),"")</f>
        <v/>
      </c>
      <c r="G5147" t="str">
        <f>IFERROR(__xludf.DUMMYFUNCTION("""COMPUTED_VALUE"""),"")</f>
        <v/>
      </c>
      <c r="H5147" s="2" t="str">
        <f>IFERROR(__xludf.DUMMYFUNCTION("""COMPUTED_VALUE"""),"")</f>
        <v/>
      </c>
      <c r="I5147" s="2" t="str">
        <f>IFERROR(__xludf.DUMMYFUNCTION("""COMPUTED_VALUE"""),"")</f>
        <v/>
      </c>
      <c r="J5147" s="2">
        <f>IFERROR(__xludf.DUMMYFUNCTION("""COMPUTED_VALUE"""),0.0)</f>
        <v>0</v>
      </c>
      <c r="K5147" s="5" t="str">
        <f>IFERROR(__xludf.DUMMYFUNCTION("""COMPUTED_VALUE"""),"")</f>
        <v/>
      </c>
      <c r="L5147" t="str">
        <f>IFERROR(__xludf.DUMMYFUNCTION("""COMPUTED_VALUE"""),"")</f>
        <v/>
      </c>
      <c r="M5147" t="str">
        <f>IFERROR(__xludf.DUMMYFUNCTION("""COMPUTED_VALUE"""),"")</f>
        <v/>
      </c>
      <c r="N5147" t="str">
        <f>IFERROR(__xludf.DUMMYFUNCTION("""COMPUTED_VALUE"""),"")</f>
        <v/>
      </c>
      <c r="O5147" t="str">
        <f>IFERROR(__xludf.DUMMYFUNCTION("""COMPUTED_VALUE"""),"")</f>
        <v/>
      </c>
      <c r="P5147" t="str">
        <f>IFERROR(__xludf.DUMMYFUNCTION("""COMPUTED_VALUE"""),"ID ")</f>
        <v>ID </v>
      </c>
    </row>
    <row r="5148">
      <c r="A5148" s="6" t="str">
        <f>IFERROR(__xludf.DUMMYFUNCTION("""COMPUTED_VALUE"""),"")</f>
        <v/>
      </c>
      <c r="C5148" t="str">
        <f>IFERROR(__xludf.DUMMYFUNCTION("""COMPUTED_VALUE"""),"")</f>
        <v/>
      </c>
      <c r="D5148" t="str">
        <f>IFERROR(__xludf.DUMMYFUNCTION("""COMPUTED_VALUE"""),"")</f>
        <v/>
      </c>
      <c r="E5148" t="str">
        <f>IFERROR(__xludf.DUMMYFUNCTION("""COMPUTED_VALUE"""),"")</f>
        <v/>
      </c>
      <c r="F5148" t="str">
        <f>IFERROR(__xludf.DUMMYFUNCTION("""COMPUTED_VALUE"""),"")</f>
        <v/>
      </c>
      <c r="G5148" t="str">
        <f>IFERROR(__xludf.DUMMYFUNCTION("""COMPUTED_VALUE"""),"")</f>
        <v/>
      </c>
      <c r="H5148" s="2" t="str">
        <f>IFERROR(__xludf.DUMMYFUNCTION("""COMPUTED_VALUE"""),"")</f>
        <v/>
      </c>
      <c r="I5148" s="2" t="str">
        <f>IFERROR(__xludf.DUMMYFUNCTION("""COMPUTED_VALUE"""),"")</f>
        <v/>
      </c>
      <c r="J5148" s="2">
        <f>IFERROR(__xludf.DUMMYFUNCTION("""COMPUTED_VALUE"""),0.0)</f>
        <v>0</v>
      </c>
      <c r="K5148" s="5" t="str">
        <f>IFERROR(__xludf.DUMMYFUNCTION("""COMPUTED_VALUE"""),"")</f>
        <v/>
      </c>
      <c r="L5148" t="str">
        <f>IFERROR(__xludf.DUMMYFUNCTION("""COMPUTED_VALUE"""),"")</f>
        <v/>
      </c>
      <c r="M5148" t="str">
        <f>IFERROR(__xludf.DUMMYFUNCTION("""COMPUTED_VALUE"""),"")</f>
        <v/>
      </c>
      <c r="N5148" t="str">
        <f>IFERROR(__xludf.DUMMYFUNCTION("""COMPUTED_VALUE"""),"")</f>
        <v/>
      </c>
      <c r="O5148" t="str">
        <f>IFERROR(__xludf.DUMMYFUNCTION("""COMPUTED_VALUE"""),"")</f>
        <v/>
      </c>
      <c r="P5148" t="str">
        <f>IFERROR(__xludf.DUMMYFUNCTION("""COMPUTED_VALUE"""),"ID ")</f>
        <v>ID </v>
      </c>
    </row>
    <row r="5149">
      <c r="A5149" s="6" t="str">
        <f>IFERROR(__xludf.DUMMYFUNCTION("""COMPUTED_VALUE"""),"")</f>
        <v/>
      </c>
      <c r="C5149" t="str">
        <f>IFERROR(__xludf.DUMMYFUNCTION("""COMPUTED_VALUE"""),"")</f>
        <v/>
      </c>
      <c r="D5149" t="str">
        <f>IFERROR(__xludf.DUMMYFUNCTION("""COMPUTED_VALUE"""),"")</f>
        <v/>
      </c>
      <c r="E5149" t="str">
        <f>IFERROR(__xludf.DUMMYFUNCTION("""COMPUTED_VALUE"""),"")</f>
        <v/>
      </c>
      <c r="F5149" t="str">
        <f>IFERROR(__xludf.DUMMYFUNCTION("""COMPUTED_VALUE"""),"")</f>
        <v/>
      </c>
      <c r="G5149" t="str">
        <f>IFERROR(__xludf.DUMMYFUNCTION("""COMPUTED_VALUE"""),"")</f>
        <v/>
      </c>
      <c r="H5149" s="2" t="str">
        <f>IFERROR(__xludf.DUMMYFUNCTION("""COMPUTED_VALUE"""),"")</f>
        <v/>
      </c>
      <c r="I5149" s="2" t="str">
        <f>IFERROR(__xludf.DUMMYFUNCTION("""COMPUTED_VALUE"""),"")</f>
        <v/>
      </c>
      <c r="J5149" s="2">
        <f>IFERROR(__xludf.DUMMYFUNCTION("""COMPUTED_VALUE"""),0.0)</f>
        <v>0</v>
      </c>
      <c r="K5149" s="5" t="str">
        <f>IFERROR(__xludf.DUMMYFUNCTION("""COMPUTED_VALUE"""),"")</f>
        <v/>
      </c>
      <c r="L5149" t="str">
        <f>IFERROR(__xludf.DUMMYFUNCTION("""COMPUTED_VALUE"""),"")</f>
        <v/>
      </c>
      <c r="M5149" t="str">
        <f>IFERROR(__xludf.DUMMYFUNCTION("""COMPUTED_VALUE"""),"")</f>
        <v/>
      </c>
      <c r="N5149" t="str">
        <f>IFERROR(__xludf.DUMMYFUNCTION("""COMPUTED_VALUE"""),"")</f>
        <v/>
      </c>
      <c r="O5149" t="str">
        <f>IFERROR(__xludf.DUMMYFUNCTION("""COMPUTED_VALUE"""),"")</f>
        <v/>
      </c>
      <c r="P5149" t="str">
        <f>IFERROR(__xludf.DUMMYFUNCTION("""COMPUTED_VALUE"""),"ID ")</f>
        <v>ID </v>
      </c>
    </row>
    <row r="5150">
      <c r="A5150" s="6" t="str">
        <f>IFERROR(__xludf.DUMMYFUNCTION("""COMPUTED_VALUE"""),"")</f>
        <v/>
      </c>
      <c r="C5150" t="str">
        <f>IFERROR(__xludf.DUMMYFUNCTION("""COMPUTED_VALUE"""),"")</f>
        <v/>
      </c>
      <c r="D5150" t="str">
        <f>IFERROR(__xludf.DUMMYFUNCTION("""COMPUTED_VALUE"""),"")</f>
        <v/>
      </c>
      <c r="E5150" t="str">
        <f>IFERROR(__xludf.DUMMYFUNCTION("""COMPUTED_VALUE"""),"")</f>
        <v/>
      </c>
      <c r="F5150" t="str">
        <f>IFERROR(__xludf.DUMMYFUNCTION("""COMPUTED_VALUE"""),"")</f>
        <v/>
      </c>
      <c r="G5150" t="str">
        <f>IFERROR(__xludf.DUMMYFUNCTION("""COMPUTED_VALUE"""),"")</f>
        <v/>
      </c>
      <c r="H5150" s="2" t="str">
        <f>IFERROR(__xludf.DUMMYFUNCTION("""COMPUTED_VALUE"""),"")</f>
        <v/>
      </c>
      <c r="I5150" s="2" t="str">
        <f>IFERROR(__xludf.DUMMYFUNCTION("""COMPUTED_VALUE"""),"")</f>
        <v/>
      </c>
      <c r="J5150" s="2">
        <f>IFERROR(__xludf.DUMMYFUNCTION("""COMPUTED_VALUE"""),0.0)</f>
        <v>0</v>
      </c>
      <c r="K5150" s="5" t="str">
        <f>IFERROR(__xludf.DUMMYFUNCTION("""COMPUTED_VALUE"""),"")</f>
        <v/>
      </c>
      <c r="L5150" t="str">
        <f>IFERROR(__xludf.DUMMYFUNCTION("""COMPUTED_VALUE"""),"")</f>
        <v/>
      </c>
      <c r="M5150" t="str">
        <f>IFERROR(__xludf.DUMMYFUNCTION("""COMPUTED_VALUE"""),"")</f>
        <v/>
      </c>
      <c r="N5150" t="str">
        <f>IFERROR(__xludf.DUMMYFUNCTION("""COMPUTED_VALUE"""),"")</f>
        <v/>
      </c>
      <c r="O5150" t="str">
        <f>IFERROR(__xludf.DUMMYFUNCTION("""COMPUTED_VALUE"""),"")</f>
        <v/>
      </c>
      <c r="P5150" t="str">
        <f>IFERROR(__xludf.DUMMYFUNCTION("""COMPUTED_VALUE"""),"ID ")</f>
        <v>ID </v>
      </c>
    </row>
    <row r="5151">
      <c r="A5151" s="6" t="str">
        <f>IFERROR(__xludf.DUMMYFUNCTION("""COMPUTED_VALUE"""),"")</f>
        <v/>
      </c>
      <c r="C5151" t="str">
        <f>IFERROR(__xludf.DUMMYFUNCTION("""COMPUTED_VALUE"""),"")</f>
        <v/>
      </c>
      <c r="D5151" t="str">
        <f>IFERROR(__xludf.DUMMYFUNCTION("""COMPUTED_VALUE"""),"")</f>
        <v/>
      </c>
      <c r="E5151" t="str">
        <f>IFERROR(__xludf.DUMMYFUNCTION("""COMPUTED_VALUE"""),"")</f>
        <v/>
      </c>
      <c r="F5151" t="str">
        <f>IFERROR(__xludf.DUMMYFUNCTION("""COMPUTED_VALUE"""),"")</f>
        <v/>
      </c>
      <c r="G5151" t="str">
        <f>IFERROR(__xludf.DUMMYFUNCTION("""COMPUTED_VALUE"""),"")</f>
        <v/>
      </c>
      <c r="H5151" s="2" t="str">
        <f>IFERROR(__xludf.DUMMYFUNCTION("""COMPUTED_VALUE"""),"")</f>
        <v/>
      </c>
      <c r="I5151" s="2" t="str">
        <f>IFERROR(__xludf.DUMMYFUNCTION("""COMPUTED_VALUE"""),"")</f>
        <v/>
      </c>
      <c r="J5151" s="2">
        <f>IFERROR(__xludf.DUMMYFUNCTION("""COMPUTED_VALUE"""),0.0)</f>
        <v>0</v>
      </c>
      <c r="K5151" s="5" t="str">
        <f>IFERROR(__xludf.DUMMYFUNCTION("""COMPUTED_VALUE"""),"")</f>
        <v/>
      </c>
      <c r="L5151" t="str">
        <f>IFERROR(__xludf.DUMMYFUNCTION("""COMPUTED_VALUE"""),"")</f>
        <v/>
      </c>
      <c r="M5151" t="str">
        <f>IFERROR(__xludf.DUMMYFUNCTION("""COMPUTED_VALUE"""),"")</f>
        <v/>
      </c>
      <c r="N5151" t="str">
        <f>IFERROR(__xludf.DUMMYFUNCTION("""COMPUTED_VALUE"""),"")</f>
        <v/>
      </c>
      <c r="O5151" t="str">
        <f>IFERROR(__xludf.DUMMYFUNCTION("""COMPUTED_VALUE"""),"")</f>
        <v/>
      </c>
      <c r="P5151" t="str">
        <f>IFERROR(__xludf.DUMMYFUNCTION("""COMPUTED_VALUE"""),"ID ")</f>
        <v>ID </v>
      </c>
    </row>
    <row r="5152">
      <c r="A5152" s="6" t="str">
        <f>IFERROR(__xludf.DUMMYFUNCTION("""COMPUTED_VALUE"""),"")</f>
        <v/>
      </c>
      <c r="C5152" t="str">
        <f>IFERROR(__xludf.DUMMYFUNCTION("""COMPUTED_VALUE"""),"")</f>
        <v/>
      </c>
      <c r="D5152" t="str">
        <f>IFERROR(__xludf.DUMMYFUNCTION("""COMPUTED_VALUE"""),"")</f>
        <v/>
      </c>
      <c r="E5152" t="str">
        <f>IFERROR(__xludf.DUMMYFUNCTION("""COMPUTED_VALUE"""),"")</f>
        <v/>
      </c>
      <c r="F5152" t="str">
        <f>IFERROR(__xludf.DUMMYFUNCTION("""COMPUTED_VALUE"""),"")</f>
        <v/>
      </c>
      <c r="G5152" t="str">
        <f>IFERROR(__xludf.DUMMYFUNCTION("""COMPUTED_VALUE"""),"")</f>
        <v/>
      </c>
      <c r="H5152" s="2" t="str">
        <f>IFERROR(__xludf.DUMMYFUNCTION("""COMPUTED_VALUE"""),"")</f>
        <v/>
      </c>
      <c r="I5152" s="2" t="str">
        <f>IFERROR(__xludf.DUMMYFUNCTION("""COMPUTED_VALUE"""),"")</f>
        <v/>
      </c>
      <c r="J5152" s="2">
        <f>IFERROR(__xludf.DUMMYFUNCTION("""COMPUTED_VALUE"""),0.0)</f>
        <v>0</v>
      </c>
      <c r="K5152" s="5" t="str">
        <f>IFERROR(__xludf.DUMMYFUNCTION("""COMPUTED_VALUE"""),"")</f>
        <v/>
      </c>
      <c r="L5152" t="str">
        <f>IFERROR(__xludf.DUMMYFUNCTION("""COMPUTED_VALUE"""),"")</f>
        <v/>
      </c>
      <c r="M5152" t="str">
        <f>IFERROR(__xludf.DUMMYFUNCTION("""COMPUTED_VALUE"""),"")</f>
        <v/>
      </c>
      <c r="N5152" t="str">
        <f>IFERROR(__xludf.DUMMYFUNCTION("""COMPUTED_VALUE"""),"")</f>
        <v/>
      </c>
      <c r="O5152" t="str">
        <f>IFERROR(__xludf.DUMMYFUNCTION("""COMPUTED_VALUE"""),"")</f>
        <v/>
      </c>
      <c r="P5152" t="str">
        <f>IFERROR(__xludf.DUMMYFUNCTION("""COMPUTED_VALUE"""),"ID ")</f>
        <v>ID </v>
      </c>
    </row>
    <row r="5153">
      <c r="A5153" s="6" t="str">
        <f>IFERROR(__xludf.DUMMYFUNCTION("""COMPUTED_VALUE"""),"")</f>
        <v/>
      </c>
      <c r="C5153" t="str">
        <f>IFERROR(__xludf.DUMMYFUNCTION("""COMPUTED_VALUE"""),"")</f>
        <v/>
      </c>
      <c r="D5153" t="str">
        <f>IFERROR(__xludf.DUMMYFUNCTION("""COMPUTED_VALUE"""),"")</f>
        <v/>
      </c>
      <c r="E5153" t="str">
        <f>IFERROR(__xludf.DUMMYFUNCTION("""COMPUTED_VALUE"""),"")</f>
        <v/>
      </c>
      <c r="F5153" t="str">
        <f>IFERROR(__xludf.DUMMYFUNCTION("""COMPUTED_VALUE"""),"")</f>
        <v/>
      </c>
      <c r="G5153" t="str">
        <f>IFERROR(__xludf.DUMMYFUNCTION("""COMPUTED_VALUE"""),"")</f>
        <v/>
      </c>
      <c r="H5153" s="2" t="str">
        <f>IFERROR(__xludf.DUMMYFUNCTION("""COMPUTED_VALUE"""),"")</f>
        <v/>
      </c>
      <c r="I5153" s="2" t="str">
        <f>IFERROR(__xludf.DUMMYFUNCTION("""COMPUTED_VALUE"""),"")</f>
        <v/>
      </c>
      <c r="J5153" s="2">
        <f>IFERROR(__xludf.DUMMYFUNCTION("""COMPUTED_VALUE"""),0.0)</f>
        <v>0</v>
      </c>
      <c r="K5153" s="5" t="str">
        <f>IFERROR(__xludf.DUMMYFUNCTION("""COMPUTED_VALUE"""),"")</f>
        <v/>
      </c>
      <c r="L5153" t="str">
        <f>IFERROR(__xludf.DUMMYFUNCTION("""COMPUTED_VALUE"""),"")</f>
        <v/>
      </c>
      <c r="M5153" t="str">
        <f>IFERROR(__xludf.DUMMYFUNCTION("""COMPUTED_VALUE"""),"")</f>
        <v/>
      </c>
      <c r="N5153" t="str">
        <f>IFERROR(__xludf.DUMMYFUNCTION("""COMPUTED_VALUE"""),"")</f>
        <v/>
      </c>
      <c r="O5153" t="str">
        <f>IFERROR(__xludf.DUMMYFUNCTION("""COMPUTED_VALUE"""),"")</f>
        <v/>
      </c>
      <c r="P5153" t="str">
        <f>IFERROR(__xludf.DUMMYFUNCTION("""COMPUTED_VALUE"""),"ID ")</f>
        <v>ID </v>
      </c>
    </row>
    <row r="5154">
      <c r="A5154" s="6" t="str">
        <f>IFERROR(__xludf.DUMMYFUNCTION("""COMPUTED_VALUE"""),"")</f>
        <v/>
      </c>
      <c r="C5154" t="str">
        <f>IFERROR(__xludf.DUMMYFUNCTION("""COMPUTED_VALUE"""),"")</f>
        <v/>
      </c>
      <c r="D5154" t="str">
        <f>IFERROR(__xludf.DUMMYFUNCTION("""COMPUTED_VALUE"""),"")</f>
        <v/>
      </c>
      <c r="E5154" t="str">
        <f>IFERROR(__xludf.DUMMYFUNCTION("""COMPUTED_VALUE"""),"")</f>
        <v/>
      </c>
      <c r="F5154" t="str">
        <f>IFERROR(__xludf.DUMMYFUNCTION("""COMPUTED_VALUE"""),"")</f>
        <v/>
      </c>
      <c r="G5154" t="str">
        <f>IFERROR(__xludf.DUMMYFUNCTION("""COMPUTED_VALUE"""),"")</f>
        <v/>
      </c>
      <c r="H5154" s="2" t="str">
        <f>IFERROR(__xludf.DUMMYFUNCTION("""COMPUTED_VALUE"""),"")</f>
        <v/>
      </c>
      <c r="I5154" s="2" t="str">
        <f>IFERROR(__xludf.DUMMYFUNCTION("""COMPUTED_VALUE"""),"")</f>
        <v/>
      </c>
      <c r="J5154" s="2">
        <f>IFERROR(__xludf.DUMMYFUNCTION("""COMPUTED_VALUE"""),0.0)</f>
        <v>0</v>
      </c>
      <c r="K5154" s="5" t="str">
        <f>IFERROR(__xludf.DUMMYFUNCTION("""COMPUTED_VALUE"""),"")</f>
        <v/>
      </c>
      <c r="L5154" t="str">
        <f>IFERROR(__xludf.DUMMYFUNCTION("""COMPUTED_VALUE"""),"")</f>
        <v/>
      </c>
      <c r="M5154" t="str">
        <f>IFERROR(__xludf.DUMMYFUNCTION("""COMPUTED_VALUE"""),"")</f>
        <v/>
      </c>
      <c r="N5154" t="str">
        <f>IFERROR(__xludf.DUMMYFUNCTION("""COMPUTED_VALUE"""),"")</f>
        <v/>
      </c>
      <c r="O5154" t="str">
        <f>IFERROR(__xludf.DUMMYFUNCTION("""COMPUTED_VALUE"""),"")</f>
        <v/>
      </c>
      <c r="P5154" t="str">
        <f>IFERROR(__xludf.DUMMYFUNCTION("""COMPUTED_VALUE"""),"ID ")</f>
        <v>ID </v>
      </c>
    </row>
    <row r="5155">
      <c r="A5155" s="6" t="str">
        <f>IFERROR(__xludf.DUMMYFUNCTION("""COMPUTED_VALUE"""),"")</f>
        <v/>
      </c>
      <c r="C5155" t="str">
        <f>IFERROR(__xludf.DUMMYFUNCTION("""COMPUTED_VALUE"""),"")</f>
        <v/>
      </c>
      <c r="D5155" t="str">
        <f>IFERROR(__xludf.DUMMYFUNCTION("""COMPUTED_VALUE"""),"")</f>
        <v/>
      </c>
      <c r="E5155" t="str">
        <f>IFERROR(__xludf.DUMMYFUNCTION("""COMPUTED_VALUE"""),"")</f>
        <v/>
      </c>
      <c r="F5155" t="str">
        <f>IFERROR(__xludf.DUMMYFUNCTION("""COMPUTED_VALUE"""),"")</f>
        <v/>
      </c>
      <c r="G5155" t="str">
        <f>IFERROR(__xludf.DUMMYFUNCTION("""COMPUTED_VALUE"""),"")</f>
        <v/>
      </c>
      <c r="H5155" s="2" t="str">
        <f>IFERROR(__xludf.DUMMYFUNCTION("""COMPUTED_VALUE"""),"")</f>
        <v/>
      </c>
      <c r="I5155" s="2" t="str">
        <f>IFERROR(__xludf.DUMMYFUNCTION("""COMPUTED_VALUE"""),"")</f>
        <v/>
      </c>
      <c r="J5155" s="2">
        <f>IFERROR(__xludf.DUMMYFUNCTION("""COMPUTED_VALUE"""),0.0)</f>
        <v>0</v>
      </c>
      <c r="K5155" s="5" t="str">
        <f>IFERROR(__xludf.DUMMYFUNCTION("""COMPUTED_VALUE"""),"")</f>
        <v/>
      </c>
      <c r="L5155" t="str">
        <f>IFERROR(__xludf.DUMMYFUNCTION("""COMPUTED_VALUE"""),"")</f>
        <v/>
      </c>
      <c r="M5155" t="str">
        <f>IFERROR(__xludf.DUMMYFUNCTION("""COMPUTED_VALUE"""),"")</f>
        <v/>
      </c>
      <c r="N5155" t="str">
        <f>IFERROR(__xludf.DUMMYFUNCTION("""COMPUTED_VALUE"""),"")</f>
        <v/>
      </c>
      <c r="O5155" t="str">
        <f>IFERROR(__xludf.DUMMYFUNCTION("""COMPUTED_VALUE"""),"")</f>
        <v/>
      </c>
      <c r="P5155" t="str">
        <f>IFERROR(__xludf.DUMMYFUNCTION("""COMPUTED_VALUE"""),"ID ")</f>
        <v>ID </v>
      </c>
    </row>
    <row r="5156">
      <c r="A5156" s="6" t="str">
        <f>IFERROR(__xludf.DUMMYFUNCTION("""COMPUTED_VALUE"""),"")</f>
        <v/>
      </c>
      <c r="C5156" t="str">
        <f>IFERROR(__xludf.DUMMYFUNCTION("""COMPUTED_VALUE"""),"")</f>
        <v/>
      </c>
      <c r="D5156" t="str">
        <f>IFERROR(__xludf.DUMMYFUNCTION("""COMPUTED_VALUE"""),"")</f>
        <v/>
      </c>
      <c r="E5156" t="str">
        <f>IFERROR(__xludf.DUMMYFUNCTION("""COMPUTED_VALUE"""),"")</f>
        <v/>
      </c>
      <c r="F5156" t="str">
        <f>IFERROR(__xludf.DUMMYFUNCTION("""COMPUTED_VALUE"""),"")</f>
        <v/>
      </c>
      <c r="G5156" t="str">
        <f>IFERROR(__xludf.DUMMYFUNCTION("""COMPUTED_VALUE"""),"")</f>
        <v/>
      </c>
      <c r="H5156" s="2" t="str">
        <f>IFERROR(__xludf.DUMMYFUNCTION("""COMPUTED_VALUE"""),"")</f>
        <v/>
      </c>
      <c r="I5156" s="2" t="str">
        <f>IFERROR(__xludf.DUMMYFUNCTION("""COMPUTED_VALUE"""),"")</f>
        <v/>
      </c>
      <c r="J5156" s="2">
        <f>IFERROR(__xludf.DUMMYFUNCTION("""COMPUTED_VALUE"""),0.0)</f>
        <v>0</v>
      </c>
      <c r="K5156" s="5" t="str">
        <f>IFERROR(__xludf.DUMMYFUNCTION("""COMPUTED_VALUE"""),"")</f>
        <v/>
      </c>
      <c r="L5156" t="str">
        <f>IFERROR(__xludf.DUMMYFUNCTION("""COMPUTED_VALUE"""),"")</f>
        <v/>
      </c>
      <c r="M5156" t="str">
        <f>IFERROR(__xludf.DUMMYFUNCTION("""COMPUTED_VALUE"""),"")</f>
        <v/>
      </c>
      <c r="N5156" t="str">
        <f>IFERROR(__xludf.DUMMYFUNCTION("""COMPUTED_VALUE"""),"")</f>
        <v/>
      </c>
      <c r="O5156" t="str">
        <f>IFERROR(__xludf.DUMMYFUNCTION("""COMPUTED_VALUE"""),"")</f>
        <v/>
      </c>
      <c r="P5156" t="str">
        <f>IFERROR(__xludf.DUMMYFUNCTION("""COMPUTED_VALUE"""),"ID ")</f>
        <v>ID </v>
      </c>
    </row>
    <row r="5157">
      <c r="A5157" s="6" t="str">
        <f>IFERROR(__xludf.DUMMYFUNCTION("""COMPUTED_VALUE"""),"")</f>
        <v/>
      </c>
      <c r="C5157" t="str">
        <f>IFERROR(__xludf.DUMMYFUNCTION("""COMPUTED_VALUE"""),"")</f>
        <v/>
      </c>
      <c r="D5157" t="str">
        <f>IFERROR(__xludf.DUMMYFUNCTION("""COMPUTED_VALUE"""),"")</f>
        <v/>
      </c>
      <c r="E5157" t="str">
        <f>IFERROR(__xludf.DUMMYFUNCTION("""COMPUTED_VALUE"""),"")</f>
        <v/>
      </c>
      <c r="F5157" t="str">
        <f>IFERROR(__xludf.DUMMYFUNCTION("""COMPUTED_VALUE"""),"")</f>
        <v/>
      </c>
      <c r="G5157" t="str">
        <f>IFERROR(__xludf.DUMMYFUNCTION("""COMPUTED_VALUE"""),"")</f>
        <v/>
      </c>
      <c r="H5157" s="2" t="str">
        <f>IFERROR(__xludf.DUMMYFUNCTION("""COMPUTED_VALUE"""),"")</f>
        <v/>
      </c>
      <c r="I5157" s="2" t="str">
        <f>IFERROR(__xludf.DUMMYFUNCTION("""COMPUTED_VALUE"""),"")</f>
        <v/>
      </c>
      <c r="J5157" s="2">
        <f>IFERROR(__xludf.DUMMYFUNCTION("""COMPUTED_VALUE"""),0.0)</f>
        <v>0</v>
      </c>
      <c r="K5157" s="5" t="str">
        <f>IFERROR(__xludf.DUMMYFUNCTION("""COMPUTED_VALUE"""),"")</f>
        <v/>
      </c>
      <c r="L5157" t="str">
        <f>IFERROR(__xludf.DUMMYFUNCTION("""COMPUTED_VALUE"""),"")</f>
        <v/>
      </c>
      <c r="M5157" t="str">
        <f>IFERROR(__xludf.DUMMYFUNCTION("""COMPUTED_VALUE"""),"")</f>
        <v/>
      </c>
      <c r="N5157" t="str">
        <f>IFERROR(__xludf.DUMMYFUNCTION("""COMPUTED_VALUE"""),"")</f>
        <v/>
      </c>
      <c r="O5157" t="str">
        <f>IFERROR(__xludf.DUMMYFUNCTION("""COMPUTED_VALUE"""),"")</f>
        <v/>
      </c>
      <c r="P5157" t="str">
        <f>IFERROR(__xludf.DUMMYFUNCTION("""COMPUTED_VALUE"""),"ID ")</f>
        <v>ID </v>
      </c>
    </row>
    <row r="5158">
      <c r="A5158" s="6" t="str">
        <f>IFERROR(__xludf.DUMMYFUNCTION("""COMPUTED_VALUE"""),"")</f>
        <v/>
      </c>
      <c r="C5158" t="str">
        <f>IFERROR(__xludf.DUMMYFUNCTION("""COMPUTED_VALUE"""),"")</f>
        <v/>
      </c>
      <c r="D5158" t="str">
        <f>IFERROR(__xludf.DUMMYFUNCTION("""COMPUTED_VALUE"""),"")</f>
        <v/>
      </c>
      <c r="E5158" t="str">
        <f>IFERROR(__xludf.DUMMYFUNCTION("""COMPUTED_VALUE"""),"")</f>
        <v/>
      </c>
      <c r="F5158" t="str">
        <f>IFERROR(__xludf.DUMMYFUNCTION("""COMPUTED_VALUE"""),"")</f>
        <v/>
      </c>
      <c r="G5158" t="str">
        <f>IFERROR(__xludf.DUMMYFUNCTION("""COMPUTED_VALUE"""),"")</f>
        <v/>
      </c>
      <c r="H5158" s="2" t="str">
        <f>IFERROR(__xludf.DUMMYFUNCTION("""COMPUTED_VALUE"""),"")</f>
        <v/>
      </c>
      <c r="I5158" s="2" t="str">
        <f>IFERROR(__xludf.DUMMYFUNCTION("""COMPUTED_VALUE"""),"")</f>
        <v/>
      </c>
      <c r="J5158" s="2">
        <f>IFERROR(__xludf.DUMMYFUNCTION("""COMPUTED_VALUE"""),0.0)</f>
        <v>0</v>
      </c>
      <c r="K5158" s="5" t="str">
        <f>IFERROR(__xludf.DUMMYFUNCTION("""COMPUTED_VALUE"""),"")</f>
        <v/>
      </c>
      <c r="L5158" t="str">
        <f>IFERROR(__xludf.DUMMYFUNCTION("""COMPUTED_VALUE"""),"")</f>
        <v/>
      </c>
      <c r="M5158" t="str">
        <f>IFERROR(__xludf.DUMMYFUNCTION("""COMPUTED_VALUE"""),"")</f>
        <v/>
      </c>
      <c r="N5158" t="str">
        <f>IFERROR(__xludf.DUMMYFUNCTION("""COMPUTED_VALUE"""),"")</f>
        <v/>
      </c>
      <c r="O5158" t="str">
        <f>IFERROR(__xludf.DUMMYFUNCTION("""COMPUTED_VALUE"""),"")</f>
        <v/>
      </c>
      <c r="P5158" t="str">
        <f>IFERROR(__xludf.DUMMYFUNCTION("""COMPUTED_VALUE"""),"ID ")</f>
        <v>ID </v>
      </c>
    </row>
    <row r="5159">
      <c r="A5159" s="6" t="str">
        <f>IFERROR(__xludf.DUMMYFUNCTION("""COMPUTED_VALUE"""),"")</f>
        <v/>
      </c>
      <c r="C5159" t="str">
        <f>IFERROR(__xludf.DUMMYFUNCTION("""COMPUTED_VALUE"""),"")</f>
        <v/>
      </c>
      <c r="D5159" t="str">
        <f>IFERROR(__xludf.DUMMYFUNCTION("""COMPUTED_VALUE"""),"")</f>
        <v/>
      </c>
      <c r="E5159" t="str">
        <f>IFERROR(__xludf.DUMMYFUNCTION("""COMPUTED_VALUE"""),"")</f>
        <v/>
      </c>
      <c r="F5159" t="str">
        <f>IFERROR(__xludf.DUMMYFUNCTION("""COMPUTED_VALUE"""),"")</f>
        <v/>
      </c>
      <c r="G5159" t="str">
        <f>IFERROR(__xludf.DUMMYFUNCTION("""COMPUTED_VALUE"""),"")</f>
        <v/>
      </c>
      <c r="H5159" s="2" t="str">
        <f>IFERROR(__xludf.DUMMYFUNCTION("""COMPUTED_VALUE"""),"")</f>
        <v/>
      </c>
      <c r="I5159" s="2" t="str">
        <f>IFERROR(__xludf.DUMMYFUNCTION("""COMPUTED_VALUE"""),"")</f>
        <v/>
      </c>
      <c r="J5159" s="2">
        <f>IFERROR(__xludf.DUMMYFUNCTION("""COMPUTED_VALUE"""),0.0)</f>
        <v>0</v>
      </c>
      <c r="K5159" s="5" t="str">
        <f>IFERROR(__xludf.DUMMYFUNCTION("""COMPUTED_VALUE"""),"")</f>
        <v/>
      </c>
      <c r="L5159" t="str">
        <f>IFERROR(__xludf.DUMMYFUNCTION("""COMPUTED_VALUE"""),"")</f>
        <v/>
      </c>
      <c r="M5159" t="str">
        <f>IFERROR(__xludf.DUMMYFUNCTION("""COMPUTED_VALUE"""),"")</f>
        <v/>
      </c>
      <c r="N5159" t="str">
        <f>IFERROR(__xludf.DUMMYFUNCTION("""COMPUTED_VALUE"""),"")</f>
        <v/>
      </c>
      <c r="O5159" t="str">
        <f>IFERROR(__xludf.DUMMYFUNCTION("""COMPUTED_VALUE"""),"")</f>
        <v/>
      </c>
      <c r="P5159" t="str">
        <f>IFERROR(__xludf.DUMMYFUNCTION("""COMPUTED_VALUE"""),"ID ")</f>
        <v>ID </v>
      </c>
    </row>
    <row r="5160">
      <c r="A5160" s="6" t="str">
        <f>IFERROR(__xludf.DUMMYFUNCTION("""COMPUTED_VALUE"""),"")</f>
        <v/>
      </c>
      <c r="C5160" t="str">
        <f>IFERROR(__xludf.DUMMYFUNCTION("""COMPUTED_VALUE"""),"")</f>
        <v/>
      </c>
      <c r="D5160" t="str">
        <f>IFERROR(__xludf.DUMMYFUNCTION("""COMPUTED_VALUE"""),"")</f>
        <v/>
      </c>
      <c r="E5160" t="str">
        <f>IFERROR(__xludf.DUMMYFUNCTION("""COMPUTED_VALUE"""),"")</f>
        <v/>
      </c>
      <c r="F5160" t="str">
        <f>IFERROR(__xludf.DUMMYFUNCTION("""COMPUTED_VALUE"""),"")</f>
        <v/>
      </c>
      <c r="G5160" t="str">
        <f>IFERROR(__xludf.DUMMYFUNCTION("""COMPUTED_VALUE"""),"")</f>
        <v/>
      </c>
      <c r="H5160" s="2" t="str">
        <f>IFERROR(__xludf.DUMMYFUNCTION("""COMPUTED_VALUE"""),"")</f>
        <v/>
      </c>
      <c r="I5160" s="2" t="str">
        <f>IFERROR(__xludf.DUMMYFUNCTION("""COMPUTED_VALUE"""),"")</f>
        <v/>
      </c>
      <c r="J5160" s="2">
        <f>IFERROR(__xludf.DUMMYFUNCTION("""COMPUTED_VALUE"""),0.0)</f>
        <v>0</v>
      </c>
      <c r="K5160" s="5" t="str">
        <f>IFERROR(__xludf.DUMMYFUNCTION("""COMPUTED_VALUE"""),"")</f>
        <v/>
      </c>
      <c r="L5160" t="str">
        <f>IFERROR(__xludf.DUMMYFUNCTION("""COMPUTED_VALUE"""),"")</f>
        <v/>
      </c>
      <c r="M5160" t="str">
        <f>IFERROR(__xludf.DUMMYFUNCTION("""COMPUTED_VALUE"""),"")</f>
        <v/>
      </c>
      <c r="N5160" t="str">
        <f>IFERROR(__xludf.DUMMYFUNCTION("""COMPUTED_VALUE"""),"")</f>
        <v/>
      </c>
      <c r="O5160" t="str">
        <f>IFERROR(__xludf.DUMMYFUNCTION("""COMPUTED_VALUE"""),"")</f>
        <v/>
      </c>
      <c r="P5160" t="str">
        <f>IFERROR(__xludf.DUMMYFUNCTION("""COMPUTED_VALUE"""),"ID ")</f>
        <v>ID </v>
      </c>
    </row>
    <row r="5161">
      <c r="A5161" s="6" t="str">
        <f>IFERROR(__xludf.DUMMYFUNCTION("""COMPUTED_VALUE"""),"")</f>
        <v/>
      </c>
      <c r="C5161" t="str">
        <f>IFERROR(__xludf.DUMMYFUNCTION("""COMPUTED_VALUE"""),"")</f>
        <v/>
      </c>
      <c r="D5161" t="str">
        <f>IFERROR(__xludf.DUMMYFUNCTION("""COMPUTED_VALUE"""),"")</f>
        <v/>
      </c>
      <c r="E5161" t="str">
        <f>IFERROR(__xludf.DUMMYFUNCTION("""COMPUTED_VALUE"""),"")</f>
        <v/>
      </c>
      <c r="F5161" t="str">
        <f>IFERROR(__xludf.DUMMYFUNCTION("""COMPUTED_VALUE"""),"")</f>
        <v/>
      </c>
      <c r="G5161" t="str">
        <f>IFERROR(__xludf.DUMMYFUNCTION("""COMPUTED_VALUE"""),"")</f>
        <v/>
      </c>
      <c r="H5161" s="2" t="str">
        <f>IFERROR(__xludf.DUMMYFUNCTION("""COMPUTED_VALUE"""),"")</f>
        <v/>
      </c>
      <c r="I5161" s="2" t="str">
        <f>IFERROR(__xludf.DUMMYFUNCTION("""COMPUTED_VALUE"""),"")</f>
        <v/>
      </c>
      <c r="J5161" s="2">
        <f>IFERROR(__xludf.DUMMYFUNCTION("""COMPUTED_VALUE"""),0.0)</f>
        <v>0</v>
      </c>
      <c r="K5161" s="5" t="str">
        <f>IFERROR(__xludf.DUMMYFUNCTION("""COMPUTED_VALUE"""),"")</f>
        <v/>
      </c>
      <c r="L5161" t="str">
        <f>IFERROR(__xludf.DUMMYFUNCTION("""COMPUTED_VALUE"""),"")</f>
        <v/>
      </c>
      <c r="M5161" t="str">
        <f>IFERROR(__xludf.DUMMYFUNCTION("""COMPUTED_VALUE"""),"")</f>
        <v/>
      </c>
      <c r="N5161" t="str">
        <f>IFERROR(__xludf.DUMMYFUNCTION("""COMPUTED_VALUE"""),"")</f>
        <v/>
      </c>
      <c r="O5161" t="str">
        <f>IFERROR(__xludf.DUMMYFUNCTION("""COMPUTED_VALUE"""),"")</f>
        <v/>
      </c>
      <c r="P5161" t="str">
        <f>IFERROR(__xludf.DUMMYFUNCTION("""COMPUTED_VALUE"""),"ID ")</f>
        <v>ID </v>
      </c>
    </row>
    <row r="5162">
      <c r="A5162" s="6" t="str">
        <f>IFERROR(__xludf.DUMMYFUNCTION("""COMPUTED_VALUE"""),"")</f>
        <v/>
      </c>
      <c r="C5162" t="str">
        <f>IFERROR(__xludf.DUMMYFUNCTION("""COMPUTED_VALUE"""),"")</f>
        <v/>
      </c>
      <c r="D5162" t="str">
        <f>IFERROR(__xludf.DUMMYFUNCTION("""COMPUTED_VALUE"""),"")</f>
        <v/>
      </c>
      <c r="E5162" t="str">
        <f>IFERROR(__xludf.DUMMYFUNCTION("""COMPUTED_VALUE"""),"")</f>
        <v/>
      </c>
      <c r="F5162" t="str">
        <f>IFERROR(__xludf.DUMMYFUNCTION("""COMPUTED_VALUE"""),"")</f>
        <v/>
      </c>
      <c r="G5162" t="str">
        <f>IFERROR(__xludf.DUMMYFUNCTION("""COMPUTED_VALUE"""),"")</f>
        <v/>
      </c>
      <c r="H5162" s="2" t="str">
        <f>IFERROR(__xludf.DUMMYFUNCTION("""COMPUTED_VALUE"""),"")</f>
        <v/>
      </c>
      <c r="I5162" s="2" t="str">
        <f>IFERROR(__xludf.DUMMYFUNCTION("""COMPUTED_VALUE"""),"")</f>
        <v/>
      </c>
      <c r="J5162" s="2">
        <f>IFERROR(__xludf.DUMMYFUNCTION("""COMPUTED_VALUE"""),0.0)</f>
        <v>0</v>
      </c>
      <c r="K5162" s="5" t="str">
        <f>IFERROR(__xludf.DUMMYFUNCTION("""COMPUTED_VALUE"""),"")</f>
        <v/>
      </c>
      <c r="L5162" t="str">
        <f>IFERROR(__xludf.DUMMYFUNCTION("""COMPUTED_VALUE"""),"")</f>
        <v/>
      </c>
      <c r="M5162" t="str">
        <f>IFERROR(__xludf.DUMMYFUNCTION("""COMPUTED_VALUE"""),"")</f>
        <v/>
      </c>
      <c r="N5162" t="str">
        <f>IFERROR(__xludf.DUMMYFUNCTION("""COMPUTED_VALUE"""),"")</f>
        <v/>
      </c>
      <c r="O5162" t="str">
        <f>IFERROR(__xludf.DUMMYFUNCTION("""COMPUTED_VALUE"""),"")</f>
        <v/>
      </c>
      <c r="P5162" t="str">
        <f>IFERROR(__xludf.DUMMYFUNCTION("""COMPUTED_VALUE"""),"ID ")</f>
        <v>ID </v>
      </c>
    </row>
    <row r="5163">
      <c r="A5163" s="6" t="str">
        <f>IFERROR(__xludf.DUMMYFUNCTION("""COMPUTED_VALUE"""),"")</f>
        <v/>
      </c>
      <c r="C5163" t="str">
        <f>IFERROR(__xludf.DUMMYFUNCTION("""COMPUTED_VALUE"""),"")</f>
        <v/>
      </c>
      <c r="D5163" t="str">
        <f>IFERROR(__xludf.DUMMYFUNCTION("""COMPUTED_VALUE"""),"")</f>
        <v/>
      </c>
      <c r="E5163" t="str">
        <f>IFERROR(__xludf.DUMMYFUNCTION("""COMPUTED_VALUE"""),"")</f>
        <v/>
      </c>
      <c r="F5163" t="str">
        <f>IFERROR(__xludf.DUMMYFUNCTION("""COMPUTED_VALUE"""),"")</f>
        <v/>
      </c>
      <c r="G5163" t="str">
        <f>IFERROR(__xludf.DUMMYFUNCTION("""COMPUTED_VALUE"""),"")</f>
        <v/>
      </c>
      <c r="H5163" s="2" t="str">
        <f>IFERROR(__xludf.DUMMYFUNCTION("""COMPUTED_VALUE"""),"")</f>
        <v/>
      </c>
      <c r="I5163" s="2" t="str">
        <f>IFERROR(__xludf.DUMMYFUNCTION("""COMPUTED_VALUE"""),"")</f>
        <v/>
      </c>
      <c r="J5163" s="2">
        <f>IFERROR(__xludf.DUMMYFUNCTION("""COMPUTED_VALUE"""),0.0)</f>
        <v>0</v>
      </c>
      <c r="K5163" s="5" t="str">
        <f>IFERROR(__xludf.DUMMYFUNCTION("""COMPUTED_VALUE"""),"")</f>
        <v/>
      </c>
      <c r="L5163" t="str">
        <f>IFERROR(__xludf.DUMMYFUNCTION("""COMPUTED_VALUE"""),"")</f>
        <v/>
      </c>
      <c r="M5163" t="str">
        <f>IFERROR(__xludf.DUMMYFUNCTION("""COMPUTED_VALUE"""),"")</f>
        <v/>
      </c>
      <c r="N5163" t="str">
        <f>IFERROR(__xludf.DUMMYFUNCTION("""COMPUTED_VALUE"""),"")</f>
        <v/>
      </c>
      <c r="O5163" t="str">
        <f>IFERROR(__xludf.DUMMYFUNCTION("""COMPUTED_VALUE"""),"")</f>
        <v/>
      </c>
      <c r="P5163" t="str">
        <f>IFERROR(__xludf.DUMMYFUNCTION("""COMPUTED_VALUE"""),"ID ")</f>
        <v>ID </v>
      </c>
    </row>
    <row r="5164">
      <c r="A5164" s="6" t="str">
        <f>IFERROR(__xludf.DUMMYFUNCTION("""COMPUTED_VALUE"""),"")</f>
        <v/>
      </c>
      <c r="C5164" t="str">
        <f>IFERROR(__xludf.DUMMYFUNCTION("""COMPUTED_VALUE"""),"")</f>
        <v/>
      </c>
      <c r="D5164" t="str">
        <f>IFERROR(__xludf.DUMMYFUNCTION("""COMPUTED_VALUE"""),"")</f>
        <v/>
      </c>
      <c r="E5164" t="str">
        <f>IFERROR(__xludf.DUMMYFUNCTION("""COMPUTED_VALUE"""),"")</f>
        <v/>
      </c>
      <c r="F5164" t="str">
        <f>IFERROR(__xludf.DUMMYFUNCTION("""COMPUTED_VALUE"""),"")</f>
        <v/>
      </c>
      <c r="G5164" t="str">
        <f>IFERROR(__xludf.DUMMYFUNCTION("""COMPUTED_VALUE"""),"")</f>
        <v/>
      </c>
      <c r="H5164" s="2" t="str">
        <f>IFERROR(__xludf.DUMMYFUNCTION("""COMPUTED_VALUE"""),"")</f>
        <v/>
      </c>
      <c r="I5164" s="2" t="str">
        <f>IFERROR(__xludf.DUMMYFUNCTION("""COMPUTED_VALUE"""),"")</f>
        <v/>
      </c>
      <c r="J5164" s="2">
        <f>IFERROR(__xludf.DUMMYFUNCTION("""COMPUTED_VALUE"""),0.0)</f>
        <v>0</v>
      </c>
      <c r="K5164" s="5" t="str">
        <f>IFERROR(__xludf.DUMMYFUNCTION("""COMPUTED_VALUE"""),"")</f>
        <v/>
      </c>
      <c r="L5164" t="str">
        <f>IFERROR(__xludf.DUMMYFUNCTION("""COMPUTED_VALUE"""),"")</f>
        <v/>
      </c>
      <c r="M5164" t="str">
        <f>IFERROR(__xludf.DUMMYFUNCTION("""COMPUTED_VALUE"""),"")</f>
        <v/>
      </c>
      <c r="N5164" t="str">
        <f>IFERROR(__xludf.DUMMYFUNCTION("""COMPUTED_VALUE"""),"")</f>
        <v/>
      </c>
      <c r="O5164" t="str">
        <f>IFERROR(__xludf.DUMMYFUNCTION("""COMPUTED_VALUE"""),"")</f>
        <v/>
      </c>
      <c r="P5164" t="str">
        <f>IFERROR(__xludf.DUMMYFUNCTION("""COMPUTED_VALUE"""),"ID ")</f>
        <v>ID </v>
      </c>
    </row>
    <row r="5165">
      <c r="A5165" s="6" t="str">
        <f>IFERROR(__xludf.DUMMYFUNCTION("""COMPUTED_VALUE"""),"")</f>
        <v/>
      </c>
      <c r="C5165" t="str">
        <f>IFERROR(__xludf.DUMMYFUNCTION("""COMPUTED_VALUE"""),"")</f>
        <v/>
      </c>
      <c r="D5165" t="str">
        <f>IFERROR(__xludf.DUMMYFUNCTION("""COMPUTED_VALUE"""),"")</f>
        <v/>
      </c>
      <c r="E5165" t="str">
        <f>IFERROR(__xludf.DUMMYFUNCTION("""COMPUTED_VALUE"""),"")</f>
        <v/>
      </c>
      <c r="F5165" t="str">
        <f>IFERROR(__xludf.DUMMYFUNCTION("""COMPUTED_VALUE"""),"")</f>
        <v/>
      </c>
      <c r="G5165" t="str">
        <f>IFERROR(__xludf.DUMMYFUNCTION("""COMPUTED_VALUE"""),"")</f>
        <v/>
      </c>
      <c r="H5165" s="2" t="str">
        <f>IFERROR(__xludf.DUMMYFUNCTION("""COMPUTED_VALUE"""),"")</f>
        <v/>
      </c>
      <c r="I5165" s="2" t="str">
        <f>IFERROR(__xludf.DUMMYFUNCTION("""COMPUTED_VALUE"""),"")</f>
        <v/>
      </c>
      <c r="J5165" s="2">
        <f>IFERROR(__xludf.DUMMYFUNCTION("""COMPUTED_VALUE"""),0.0)</f>
        <v>0</v>
      </c>
      <c r="K5165" s="5" t="str">
        <f>IFERROR(__xludf.DUMMYFUNCTION("""COMPUTED_VALUE"""),"")</f>
        <v/>
      </c>
      <c r="L5165" t="str">
        <f>IFERROR(__xludf.DUMMYFUNCTION("""COMPUTED_VALUE"""),"")</f>
        <v/>
      </c>
      <c r="M5165" t="str">
        <f>IFERROR(__xludf.DUMMYFUNCTION("""COMPUTED_VALUE"""),"")</f>
        <v/>
      </c>
      <c r="N5165" t="str">
        <f>IFERROR(__xludf.DUMMYFUNCTION("""COMPUTED_VALUE"""),"")</f>
        <v/>
      </c>
      <c r="O5165" t="str">
        <f>IFERROR(__xludf.DUMMYFUNCTION("""COMPUTED_VALUE"""),"")</f>
        <v/>
      </c>
      <c r="P5165" t="str">
        <f>IFERROR(__xludf.DUMMYFUNCTION("""COMPUTED_VALUE"""),"ID ")</f>
        <v>ID </v>
      </c>
    </row>
    <row r="5166">
      <c r="A5166" s="6" t="str">
        <f>IFERROR(__xludf.DUMMYFUNCTION("""COMPUTED_VALUE"""),"")</f>
        <v/>
      </c>
      <c r="C5166" t="str">
        <f>IFERROR(__xludf.DUMMYFUNCTION("""COMPUTED_VALUE"""),"")</f>
        <v/>
      </c>
      <c r="D5166" t="str">
        <f>IFERROR(__xludf.DUMMYFUNCTION("""COMPUTED_VALUE"""),"")</f>
        <v/>
      </c>
      <c r="E5166" t="str">
        <f>IFERROR(__xludf.DUMMYFUNCTION("""COMPUTED_VALUE"""),"")</f>
        <v/>
      </c>
      <c r="F5166" t="str">
        <f>IFERROR(__xludf.DUMMYFUNCTION("""COMPUTED_VALUE"""),"")</f>
        <v/>
      </c>
      <c r="G5166" t="str">
        <f>IFERROR(__xludf.DUMMYFUNCTION("""COMPUTED_VALUE"""),"")</f>
        <v/>
      </c>
      <c r="H5166" s="2" t="str">
        <f>IFERROR(__xludf.DUMMYFUNCTION("""COMPUTED_VALUE"""),"")</f>
        <v/>
      </c>
      <c r="I5166" s="2" t="str">
        <f>IFERROR(__xludf.DUMMYFUNCTION("""COMPUTED_VALUE"""),"")</f>
        <v/>
      </c>
      <c r="J5166" s="2">
        <f>IFERROR(__xludf.DUMMYFUNCTION("""COMPUTED_VALUE"""),0.0)</f>
        <v>0</v>
      </c>
      <c r="K5166" s="5" t="str">
        <f>IFERROR(__xludf.DUMMYFUNCTION("""COMPUTED_VALUE"""),"")</f>
        <v/>
      </c>
      <c r="L5166" t="str">
        <f>IFERROR(__xludf.DUMMYFUNCTION("""COMPUTED_VALUE"""),"")</f>
        <v/>
      </c>
      <c r="M5166" t="str">
        <f>IFERROR(__xludf.DUMMYFUNCTION("""COMPUTED_VALUE"""),"")</f>
        <v/>
      </c>
      <c r="N5166" t="str">
        <f>IFERROR(__xludf.DUMMYFUNCTION("""COMPUTED_VALUE"""),"")</f>
        <v/>
      </c>
      <c r="O5166" t="str">
        <f>IFERROR(__xludf.DUMMYFUNCTION("""COMPUTED_VALUE"""),"")</f>
        <v/>
      </c>
      <c r="P5166" t="str">
        <f>IFERROR(__xludf.DUMMYFUNCTION("""COMPUTED_VALUE"""),"ID ")</f>
        <v>ID </v>
      </c>
    </row>
    <row r="5167">
      <c r="A5167" s="6" t="str">
        <f>IFERROR(__xludf.DUMMYFUNCTION("""COMPUTED_VALUE"""),"")</f>
        <v/>
      </c>
      <c r="C5167" t="str">
        <f>IFERROR(__xludf.DUMMYFUNCTION("""COMPUTED_VALUE"""),"")</f>
        <v/>
      </c>
      <c r="D5167" t="str">
        <f>IFERROR(__xludf.DUMMYFUNCTION("""COMPUTED_VALUE"""),"")</f>
        <v/>
      </c>
      <c r="E5167" t="str">
        <f>IFERROR(__xludf.DUMMYFUNCTION("""COMPUTED_VALUE"""),"")</f>
        <v/>
      </c>
      <c r="F5167" t="str">
        <f>IFERROR(__xludf.DUMMYFUNCTION("""COMPUTED_VALUE"""),"")</f>
        <v/>
      </c>
      <c r="G5167" t="str">
        <f>IFERROR(__xludf.DUMMYFUNCTION("""COMPUTED_VALUE"""),"")</f>
        <v/>
      </c>
      <c r="H5167" s="2" t="str">
        <f>IFERROR(__xludf.DUMMYFUNCTION("""COMPUTED_VALUE"""),"")</f>
        <v/>
      </c>
      <c r="I5167" s="2" t="str">
        <f>IFERROR(__xludf.DUMMYFUNCTION("""COMPUTED_VALUE"""),"")</f>
        <v/>
      </c>
      <c r="J5167" s="2">
        <f>IFERROR(__xludf.DUMMYFUNCTION("""COMPUTED_VALUE"""),0.0)</f>
        <v>0</v>
      </c>
      <c r="K5167" s="5" t="str">
        <f>IFERROR(__xludf.DUMMYFUNCTION("""COMPUTED_VALUE"""),"")</f>
        <v/>
      </c>
      <c r="L5167" t="str">
        <f>IFERROR(__xludf.DUMMYFUNCTION("""COMPUTED_VALUE"""),"")</f>
        <v/>
      </c>
      <c r="M5167" t="str">
        <f>IFERROR(__xludf.DUMMYFUNCTION("""COMPUTED_VALUE"""),"")</f>
        <v/>
      </c>
      <c r="N5167" t="str">
        <f>IFERROR(__xludf.DUMMYFUNCTION("""COMPUTED_VALUE"""),"")</f>
        <v/>
      </c>
      <c r="O5167" t="str">
        <f>IFERROR(__xludf.DUMMYFUNCTION("""COMPUTED_VALUE"""),"")</f>
        <v/>
      </c>
      <c r="P5167" t="str">
        <f>IFERROR(__xludf.DUMMYFUNCTION("""COMPUTED_VALUE"""),"ID ")</f>
        <v>ID </v>
      </c>
    </row>
    <row r="5168">
      <c r="A5168" s="6" t="str">
        <f>IFERROR(__xludf.DUMMYFUNCTION("""COMPUTED_VALUE"""),"")</f>
        <v/>
      </c>
      <c r="C5168" t="str">
        <f>IFERROR(__xludf.DUMMYFUNCTION("""COMPUTED_VALUE"""),"")</f>
        <v/>
      </c>
      <c r="D5168" t="str">
        <f>IFERROR(__xludf.DUMMYFUNCTION("""COMPUTED_VALUE"""),"")</f>
        <v/>
      </c>
      <c r="E5168" t="str">
        <f>IFERROR(__xludf.DUMMYFUNCTION("""COMPUTED_VALUE"""),"")</f>
        <v/>
      </c>
      <c r="F5168" t="str">
        <f>IFERROR(__xludf.DUMMYFUNCTION("""COMPUTED_VALUE"""),"")</f>
        <v/>
      </c>
      <c r="G5168" t="str">
        <f>IFERROR(__xludf.DUMMYFUNCTION("""COMPUTED_VALUE"""),"")</f>
        <v/>
      </c>
      <c r="H5168" s="2" t="str">
        <f>IFERROR(__xludf.DUMMYFUNCTION("""COMPUTED_VALUE"""),"")</f>
        <v/>
      </c>
      <c r="I5168" s="2" t="str">
        <f>IFERROR(__xludf.DUMMYFUNCTION("""COMPUTED_VALUE"""),"")</f>
        <v/>
      </c>
      <c r="J5168" s="2">
        <f>IFERROR(__xludf.DUMMYFUNCTION("""COMPUTED_VALUE"""),0.0)</f>
        <v>0</v>
      </c>
      <c r="K5168" s="5" t="str">
        <f>IFERROR(__xludf.DUMMYFUNCTION("""COMPUTED_VALUE"""),"")</f>
        <v/>
      </c>
      <c r="L5168" t="str">
        <f>IFERROR(__xludf.DUMMYFUNCTION("""COMPUTED_VALUE"""),"")</f>
        <v/>
      </c>
      <c r="M5168" t="str">
        <f>IFERROR(__xludf.DUMMYFUNCTION("""COMPUTED_VALUE"""),"")</f>
        <v/>
      </c>
      <c r="N5168" t="str">
        <f>IFERROR(__xludf.DUMMYFUNCTION("""COMPUTED_VALUE"""),"")</f>
        <v/>
      </c>
      <c r="O5168" t="str">
        <f>IFERROR(__xludf.DUMMYFUNCTION("""COMPUTED_VALUE"""),"")</f>
        <v/>
      </c>
      <c r="P5168" t="str">
        <f>IFERROR(__xludf.DUMMYFUNCTION("""COMPUTED_VALUE"""),"ID ")</f>
        <v>ID </v>
      </c>
    </row>
    <row r="5169">
      <c r="A5169" s="6" t="str">
        <f>IFERROR(__xludf.DUMMYFUNCTION("""COMPUTED_VALUE"""),"")</f>
        <v/>
      </c>
      <c r="C5169" t="str">
        <f>IFERROR(__xludf.DUMMYFUNCTION("""COMPUTED_VALUE"""),"")</f>
        <v/>
      </c>
      <c r="D5169" t="str">
        <f>IFERROR(__xludf.DUMMYFUNCTION("""COMPUTED_VALUE"""),"")</f>
        <v/>
      </c>
      <c r="E5169" t="str">
        <f>IFERROR(__xludf.DUMMYFUNCTION("""COMPUTED_VALUE"""),"")</f>
        <v/>
      </c>
      <c r="F5169" t="str">
        <f>IFERROR(__xludf.DUMMYFUNCTION("""COMPUTED_VALUE"""),"")</f>
        <v/>
      </c>
      <c r="G5169" t="str">
        <f>IFERROR(__xludf.DUMMYFUNCTION("""COMPUTED_VALUE"""),"")</f>
        <v/>
      </c>
      <c r="H5169" s="2" t="str">
        <f>IFERROR(__xludf.DUMMYFUNCTION("""COMPUTED_VALUE"""),"")</f>
        <v/>
      </c>
      <c r="I5169" s="2" t="str">
        <f>IFERROR(__xludf.DUMMYFUNCTION("""COMPUTED_VALUE"""),"")</f>
        <v/>
      </c>
      <c r="J5169" s="2">
        <f>IFERROR(__xludf.DUMMYFUNCTION("""COMPUTED_VALUE"""),0.0)</f>
        <v>0</v>
      </c>
      <c r="K5169" s="5" t="str">
        <f>IFERROR(__xludf.DUMMYFUNCTION("""COMPUTED_VALUE"""),"")</f>
        <v/>
      </c>
      <c r="L5169" t="str">
        <f>IFERROR(__xludf.DUMMYFUNCTION("""COMPUTED_VALUE"""),"")</f>
        <v/>
      </c>
      <c r="M5169" t="str">
        <f>IFERROR(__xludf.DUMMYFUNCTION("""COMPUTED_VALUE"""),"")</f>
        <v/>
      </c>
      <c r="N5169" t="str">
        <f>IFERROR(__xludf.DUMMYFUNCTION("""COMPUTED_VALUE"""),"")</f>
        <v/>
      </c>
      <c r="O5169" t="str">
        <f>IFERROR(__xludf.DUMMYFUNCTION("""COMPUTED_VALUE"""),"")</f>
        <v/>
      </c>
      <c r="P5169" t="str">
        <f>IFERROR(__xludf.DUMMYFUNCTION("""COMPUTED_VALUE"""),"ID ")</f>
        <v>ID </v>
      </c>
    </row>
    <row r="5170">
      <c r="A5170" s="6" t="str">
        <f>IFERROR(__xludf.DUMMYFUNCTION("""COMPUTED_VALUE"""),"")</f>
        <v/>
      </c>
      <c r="C5170" t="str">
        <f>IFERROR(__xludf.DUMMYFUNCTION("""COMPUTED_VALUE"""),"")</f>
        <v/>
      </c>
      <c r="D5170" t="str">
        <f>IFERROR(__xludf.DUMMYFUNCTION("""COMPUTED_VALUE"""),"")</f>
        <v/>
      </c>
      <c r="E5170" t="str">
        <f>IFERROR(__xludf.DUMMYFUNCTION("""COMPUTED_VALUE"""),"")</f>
        <v/>
      </c>
      <c r="F5170" t="str">
        <f>IFERROR(__xludf.DUMMYFUNCTION("""COMPUTED_VALUE"""),"")</f>
        <v/>
      </c>
      <c r="G5170" t="str">
        <f>IFERROR(__xludf.DUMMYFUNCTION("""COMPUTED_VALUE"""),"")</f>
        <v/>
      </c>
      <c r="H5170" s="2" t="str">
        <f>IFERROR(__xludf.DUMMYFUNCTION("""COMPUTED_VALUE"""),"")</f>
        <v/>
      </c>
      <c r="I5170" s="2" t="str">
        <f>IFERROR(__xludf.DUMMYFUNCTION("""COMPUTED_VALUE"""),"")</f>
        <v/>
      </c>
      <c r="J5170" s="2">
        <f>IFERROR(__xludf.DUMMYFUNCTION("""COMPUTED_VALUE"""),0.0)</f>
        <v>0</v>
      </c>
      <c r="K5170" s="5" t="str">
        <f>IFERROR(__xludf.DUMMYFUNCTION("""COMPUTED_VALUE"""),"")</f>
        <v/>
      </c>
      <c r="L5170" t="str">
        <f>IFERROR(__xludf.DUMMYFUNCTION("""COMPUTED_VALUE"""),"")</f>
        <v/>
      </c>
      <c r="M5170" t="str">
        <f>IFERROR(__xludf.DUMMYFUNCTION("""COMPUTED_VALUE"""),"")</f>
        <v/>
      </c>
      <c r="N5170" t="str">
        <f>IFERROR(__xludf.DUMMYFUNCTION("""COMPUTED_VALUE"""),"")</f>
        <v/>
      </c>
      <c r="O5170" t="str">
        <f>IFERROR(__xludf.DUMMYFUNCTION("""COMPUTED_VALUE"""),"")</f>
        <v/>
      </c>
      <c r="P5170" t="str">
        <f>IFERROR(__xludf.DUMMYFUNCTION("""COMPUTED_VALUE"""),"ID ")</f>
        <v>ID </v>
      </c>
    </row>
    <row r="5171">
      <c r="A5171" s="6" t="str">
        <f>IFERROR(__xludf.DUMMYFUNCTION("""COMPUTED_VALUE"""),"")</f>
        <v/>
      </c>
      <c r="C5171" t="str">
        <f>IFERROR(__xludf.DUMMYFUNCTION("""COMPUTED_VALUE"""),"")</f>
        <v/>
      </c>
      <c r="D5171" t="str">
        <f>IFERROR(__xludf.DUMMYFUNCTION("""COMPUTED_VALUE"""),"")</f>
        <v/>
      </c>
      <c r="E5171" t="str">
        <f>IFERROR(__xludf.DUMMYFUNCTION("""COMPUTED_VALUE"""),"")</f>
        <v/>
      </c>
      <c r="F5171" t="str">
        <f>IFERROR(__xludf.DUMMYFUNCTION("""COMPUTED_VALUE"""),"")</f>
        <v/>
      </c>
      <c r="G5171" t="str">
        <f>IFERROR(__xludf.DUMMYFUNCTION("""COMPUTED_VALUE"""),"")</f>
        <v/>
      </c>
      <c r="H5171" s="2" t="str">
        <f>IFERROR(__xludf.DUMMYFUNCTION("""COMPUTED_VALUE"""),"")</f>
        <v/>
      </c>
      <c r="I5171" s="2" t="str">
        <f>IFERROR(__xludf.DUMMYFUNCTION("""COMPUTED_VALUE"""),"")</f>
        <v/>
      </c>
      <c r="J5171" s="2">
        <f>IFERROR(__xludf.DUMMYFUNCTION("""COMPUTED_VALUE"""),0.0)</f>
        <v>0</v>
      </c>
      <c r="K5171" s="5" t="str">
        <f>IFERROR(__xludf.DUMMYFUNCTION("""COMPUTED_VALUE"""),"")</f>
        <v/>
      </c>
      <c r="L5171" t="str">
        <f>IFERROR(__xludf.DUMMYFUNCTION("""COMPUTED_VALUE"""),"")</f>
        <v/>
      </c>
      <c r="M5171" t="str">
        <f>IFERROR(__xludf.DUMMYFUNCTION("""COMPUTED_VALUE"""),"")</f>
        <v/>
      </c>
      <c r="N5171" t="str">
        <f>IFERROR(__xludf.DUMMYFUNCTION("""COMPUTED_VALUE"""),"")</f>
        <v/>
      </c>
      <c r="O5171" t="str">
        <f>IFERROR(__xludf.DUMMYFUNCTION("""COMPUTED_VALUE"""),"")</f>
        <v/>
      </c>
      <c r="P5171" t="str">
        <f>IFERROR(__xludf.DUMMYFUNCTION("""COMPUTED_VALUE"""),"ID ")</f>
        <v>ID </v>
      </c>
    </row>
    <row r="5172">
      <c r="A5172" s="6" t="str">
        <f>IFERROR(__xludf.DUMMYFUNCTION("""COMPUTED_VALUE"""),"")</f>
        <v/>
      </c>
      <c r="C5172" t="str">
        <f>IFERROR(__xludf.DUMMYFUNCTION("""COMPUTED_VALUE"""),"")</f>
        <v/>
      </c>
      <c r="D5172" t="str">
        <f>IFERROR(__xludf.DUMMYFUNCTION("""COMPUTED_VALUE"""),"")</f>
        <v/>
      </c>
      <c r="E5172" t="str">
        <f>IFERROR(__xludf.DUMMYFUNCTION("""COMPUTED_VALUE"""),"")</f>
        <v/>
      </c>
      <c r="F5172" t="str">
        <f>IFERROR(__xludf.DUMMYFUNCTION("""COMPUTED_VALUE"""),"")</f>
        <v/>
      </c>
      <c r="G5172" t="str">
        <f>IFERROR(__xludf.DUMMYFUNCTION("""COMPUTED_VALUE"""),"")</f>
        <v/>
      </c>
      <c r="H5172" s="2" t="str">
        <f>IFERROR(__xludf.DUMMYFUNCTION("""COMPUTED_VALUE"""),"")</f>
        <v/>
      </c>
      <c r="I5172" s="2" t="str">
        <f>IFERROR(__xludf.DUMMYFUNCTION("""COMPUTED_VALUE"""),"")</f>
        <v/>
      </c>
      <c r="J5172" s="2">
        <f>IFERROR(__xludf.DUMMYFUNCTION("""COMPUTED_VALUE"""),0.0)</f>
        <v>0</v>
      </c>
      <c r="K5172" s="5" t="str">
        <f>IFERROR(__xludf.DUMMYFUNCTION("""COMPUTED_VALUE"""),"")</f>
        <v/>
      </c>
      <c r="L5172" t="str">
        <f>IFERROR(__xludf.DUMMYFUNCTION("""COMPUTED_VALUE"""),"")</f>
        <v/>
      </c>
      <c r="M5172" t="str">
        <f>IFERROR(__xludf.DUMMYFUNCTION("""COMPUTED_VALUE"""),"")</f>
        <v/>
      </c>
      <c r="N5172" t="str">
        <f>IFERROR(__xludf.DUMMYFUNCTION("""COMPUTED_VALUE"""),"")</f>
        <v/>
      </c>
      <c r="O5172" t="str">
        <f>IFERROR(__xludf.DUMMYFUNCTION("""COMPUTED_VALUE"""),"")</f>
        <v/>
      </c>
      <c r="P5172" t="str">
        <f>IFERROR(__xludf.DUMMYFUNCTION("""COMPUTED_VALUE"""),"ID ")</f>
        <v>ID </v>
      </c>
    </row>
    <row r="5173">
      <c r="A5173" s="6" t="str">
        <f>IFERROR(__xludf.DUMMYFUNCTION("""COMPUTED_VALUE"""),"")</f>
        <v/>
      </c>
      <c r="C5173" t="str">
        <f>IFERROR(__xludf.DUMMYFUNCTION("""COMPUTED_VALUE"""),"")</f>
        <v/>
      </c>
      <c r="D5173" t="str">
        <f>IFERROR(__xludf.DUMMYFUNCTION("""COMPUTED_VALUE"""),"")</f>
        <v/>
      </c>
      <c r="E5173" t="str">
        <f>IFERROR(__xludf.DUMMYFUNCTION("""COMPUTED_VALUE"""),"")</f>
        <v/>
      </c>
      <c r="F5173" t="str">
        <f>IFERROR(__xludf.DUMMYFUNCTION("""COMPUTED_VALUE"""),"")</f>
        <v/>
      </c>
      <c r="G5173" t="str">
        <f>IFERROR(__xludf.DUMMYFUNCTION("""COMPUTED_VALUE"""),"")</f>
        <v/>
      </c>
      <c r="H5173" s="2" t="str">
        <f>IFERROR(__xludf.DUMMYFUNCTION("""COMPUTED_VALUE"""),"")</f>
        <v/>
      </c>
      <c r="I5173" s="2" t="str">
        <f>IFERROR(__xludf.DUMMYFUNCTION("""COMPUTED_VALUE"""),"")</f>
        <v/>
      </c>
      <c r="J5173" s="2">
        <f>IFERROR(__xludf.DUMMYFUNCTION("""COMPUTED_VALUE"""),0.0)</f>
        <v>0</v>
      </c>
      <c r="K5173" s="5" t="str">
        <f>IFERROR(__xludf.DUMMYFUNCTION("""COMPUTED_VALUE"""),"")</f>
        <v/>
      </c>
      <c r="L5173" t="str">
        <f>IFERROR(__xludf.DUMMYFUNCTION("""COMPUTED_VALUE"""),"")</f>
        <v/>
      </c>
      <c r="M5173" t="str">
        <f>IFERROR(__xludf.DUMMYFUNCTION("""COMPUTED_VALUE"""),"")</f>
        <v/>
      </c>
      <c r="N5173" t="str">
        <f>IFERROR(__xludf.DUMMYFUNCTION("""COMPUTED_VALUE"""),"")</f>
        <v/>
      </c>
      <c r="O5173" t="str">
        <f>IFERROR(__xludf.DUMMYFUNCTION("""COMPUTED_VALUE"""),"")</f>
        <v/>
      </c>
      <c r="P5173" t="str">
        <f>IFERROR(__xludf.DUMMYFUNCTION("""COMPUTED_VALUE"""),"ID ")</f>
        <v>ID </v>
      </c>
    </row>
    <row r="5174">
      <c r="A5174" s="6" t="str">
        <f>IFERROR(__xludf.DUMMYFUNCTION("""COMPUTED_VALUE"""),"")</f>
        <v/>
      </c>
      <c r="C5174" t="str">
        <f>IFERROR(__xludf.DUMMYFUNCTION("""COMPUTED_VALUE"""),"")</f>
        <v/>
      </c>
      <c r="D5174" t="str">
        <f>IFERROR(__xludf.DUMMYFUNCTION("""COMPUTED_VALUE"""),"")</f>
        <v/>
      </c>
      <c r="E5174" t="str">
        <f>IFERROR(__xludf.DUMMYFUNCTION("""COMPUTED_VALUE"""),"")</f>
        <v/>
      </c>
      <c r="F5174" t="str">
        <f>IFERROR(__xludf.DUMMYFUNCTION("""COMPUTED_VALUE"""),"")</f>
        <v/>
      </c>
      <c r="G5174" t="str">
        <f>IFERROR(__xludf.DUMMYFUNCTION("""COMPUTED_VALUE"""),"")</f>
        <v/>
      </c>
      <c r="H5174" s="2" t="str">
        <f>IFERROR(__xludf.DUMMYFUNCTION("""COMPUTED_VALUE"""),"")</f>
        <v/>
      </c>
      <c r="I5174" s="2" t="str">
        <f>IFERROR(__xludf.DUMMYFUNCTION("""COMPUTED_VALUE"""),"")</f>
        <v/>
      </c>
      <c r="J5174" s="2">
        <f>IFERROR(__xludf.DUMMYFUNCTION("""COMPUTED_VALUE"""),0.0)</f>
        <v>0</v>
      </c>
      <c r="K5174" s="5" t="str">
        <f>IFERROR(__xludf.DUMMYFUNCTION("""COMPUTED_VALUE"""),"")</f>
        <v/>
      </c>
      <c r="L5174" t="str">
        <f>IFERROR(__xludf.DUMMYFUNCTION("""COMPUTED_VALUE"""),"")</f>
        <v/>
      </c>
      <c r="M5174" t="str">
        <f>IFERROR(__xludf.DUMMYFUNCTION("""COMPUTED_VALUE"""),"")</f>
        <v/>
      </c>
      <c r="N5174" t="str">
        <f>IFERROR(__xludf.DUMMYFUNCTION("""COMPUTED_VALUE"""),"")</f>
        <v/>
      </c>
      <c r="O5174" t="str">
        <f>IFERROR(__xludf.DUMMYFUNCTION("""COMPUTED_VALUE"""),"")</f>
        <v/>
      </c>
      <c r="P5174" t="str">
        <f>IFERROR(__xludf.DUMMYFUNCTION("""COMPUTED_VALUE"""),"ID ")</f>
        <v>ID </v>
      </c>
    </row>
    <row r="5175">
      <c r="A5175" s="6" t="str">
        <f>IFERROR(__xludf.DUMMYFUNCTION("""COMPUTED_VALUE"""),"")</f>
        <v/>
      </c>
      <c r="C5175" t="str">
        <f>IFERROR(__xludf.DUMMYFUNCTION("""COMPUTED_VALUE"""),"")</f>
        <v/>
      </c>
      <c r="D5175" t="str">
        <f>IFERROR(__xludf.DUMMYFUNCTION("""COMPUTED_VALUE"""),"")</f>
        <v/>
      </c>
      <c r="E5175" t="str">
        <f>IFERROR(__xludf.DUMMYFUNCTION("""COMPUTED_VALUE"""),"")</f>
        <v/>
      </c>
      <c r="F5175" t="str">
        <f>IFERROR(__xludf.DUMMYFUNCTION("""COMPUTED_VALUE"""),"")</f>
        <v/>
      </c>
      <c r="G5175" t="str">
        <f>IFERROR(__xludf.DUMMYFUNCTION("""COMPUTED_VALUE"""),"")</f>
        <v/>
      </c>
      <c r="H5175" s="2" t="str">
        <f>IFERROR(__xludf.DUMMYFUNCTION("""COMPUTED_VALUE"""),"")</f>
        <v/>
      </c>
      <c r="I5175" s="2" t="str">
        <f>IFERROR(__xludf.DUMMYFUNCTION("""COMPUTED_VALUE"""),"")</f>
        <v/>
      </c>
      <c r="J5175" s="2">
        <f>IFERROR(__xludf.DUMMYFUNCTION("""COMPUTED_VALUE"""),0.0)</f>
        <v>0</v>
      </c>
      <c r="K5175" s="5" t="str">
        <f>IFERROR(__xludf.DUMMYFUNCTION("""COMPUTED_VALUE"""),"")</f>
        <v/>
      </c>
      <c r="L5175" t="str">
        <f>IFERROR(__xludf.DUMMYFUNCTION("""COMPUTED_VALUE"""),"")</f>
        <v/>
      </c>
      <c r="M5175" t="str">
        <f>IFERROR(__xludf.DUMMYFUNCTION("""COMPUTED_VALUE"""),"")</f>
        <v/>
      </c>
      <c r="N5175" t="str">
        <f>IFERROR(__xludf.DUMMYFUNCTION("""COMPUTED_VALUE"""),"")</f>
        <v/>
      </c>
      <c r="O5175" t="str">
        <f>IFERROR(__xludf.DUMMYFUNCTION("""COMPUTED_VALUE"""),"")</f>
        <v/>
      </c>
      <c r="P5175" t="str">
        <f>IFERROR(__xludf.DUMMYFUNCTION("""COMPUTED_VALUE"""),"ID ")</f>
        <v>ID </v>
      </c>
    </row>
    <row r="5176">
      <c r="A5176" s="6" t="str">
        <f>IFERROR(__xludf.DUMMYFUNCTION("""COMPUTED_VALUE"""),"")</f>
        <v/>
      </c>
      <c r="C5176" t="str">
        <f>IFERROR(__xludf.DUMMYFUNCTION("""COMPUTED_VALUE"""),"")</f>
        <v/>
      </c>
      <c r="D5176" t="str">
        <f>IFERROR(__xludf.DUMMYFUNCTION("""COMPUTED_VALUE"""),"")</f>
        <v/>
      </c>
      <c r="E5176" t="str">
        <f>IFERROR(__xludf.DUMMYFUNCTION("""COMPUTED_VALUE"""),"")</f>
        <v/>
      </c>
      <c r="F5176" t="str">
        <f>IFERROR(__xludf.DUMMYFUNCTION("""COMPUTED_VALUE"""),"")</f>
        <v/>
      </c>
      <c r="G5176" t="str">
        <f>IFERROR(__xludf.DUMMYFUNCTION("""COMPUTED_VALUE"""),"")</f>
        <v/>
      </c>
      <c r="H5176" s="2" t="str">
        <f>IFERROR(__xludf.DUMMYFUNCTION("""COMPUTED_VALUE"""),"")</f>
        <v/>
      </c>
      <c r="I5176" s="2" t="str">
        <f>IFERROR(__xludf.DUMMYFUNCTION("""COMPUTED_VALUE"""),"")</f>
        <v/>
      </c>
      <c r="J5176" s="2">
        <f>IFERROR(__xludf.DUMMYFUNCTION("""COMPUTED_VALUE"""),0.0)</f>
        <v>0</v>
      </c>
      <c r="K5176" s="5" t="str">
        <f>IFERROR(__xludf.DUMMYFUNCTION("""COMPUTED_VALUE"""),"")</f>
        <v/>
      </c>
      <c r="L5176" t="str">
        <f>IFERROR(__xludf.DUMMYFUNCTION("""COMPUTED_VALUE"""),"")</f>
        <v/>
      </c>
      <c r="M5176" t="str">
        <f>IFERROR(__xludf.DUMMYFUNCTION("""COMPUTED_VALUE"""),"")</f>
        <v/>
      </c>
      <c r="N5176" t="str">
        <f>IFERROR(__xludf.DUMMYFUNCTION("""COMPUTED_VALUE"""),"")</f>
        <v/>
      </c>
      <c r="O5176" t="str">
        <f>IFERROR(__xludf.DUMMYFUNCTION("""COMPUTED_VALUE"""),"")</f>
        <v/>
      </c>
      <c r="P5176" t="str">
        <f>IFERROR(__xludf.DUMMYFUNCTION("""COMPUTED_VALUE"""),"ID ")</f>
        <v>ID </v>
      </c>
    </row>
    <row r="5177">
      <c r="A5177" s="6" t="str">
        <f>IFERROR(__xludf.DUMMYFUNCTION("""COMPUTED_VALUE"""),"")</f>
        <v/>
      </c>
      <c r="C5177" t="str">
        <f>IFERROR(__xludf.DUMMYFUNCTION("""COMPUTED_VALUE"""),"")</f>
        <v/>
      </c>
      <c r="D5177" t="str">
        <f>IFERROR(__xludf.DUMMYFUNCTION("""COMPUTED_VALUE"""),"")</f>
        <v/>
      </c>
      <c r="E5177" t="str">
        <f>IFERROR(__xludf.DUMMYFUNCTION("""COMPUTED_VALUE"""),"")</f>
        <v/>
      </c>
      <c r="F5177" t="str">
        <f>IFERROR(__xludf.DUMMYFUNCTION("""COMPUTED_VALUE"""),"")</f>
        <v/>
      </c>
      <c r="G5177" t="str">
        <f>IFERROR(__xludf.DUMMYFUNCTION("""COMPUTED_VALUE"""),"")</f>
        <v/>
      </c>
      <c r="H5177" s="2" t="str">
        <f>IFERROR(__xludf.DUMMYFUNCTION("""COMPUTED_VALUE"""),"")</f>
        <v/>
      </c>
      <c r="I5177" s="2" t="str">
        <f>IFERROR(__xludf.DUMMYFUNCTION("""COMPUTED_VALUE"""),"")</f>
        <v/>
      </c>
      <c r="J5177" s="2">
        <f>IFERROR(__xludf.DUMMYFUNCTION("""COMPUTED_VALUE"""),0.0)</f>
        <v>0</v>
      </c>
      <c r="K5177" s="5" t="str">
        <f>IFERROR(__xludf.DUMMYFUNCTION("""COMPUTED_VALUE"""),"")</f>
        <v/>
      </c>
      <c r="L5177" t="str">
        <f>IFERROR(__xludf.DUMMYFUNCTION("""COMPUTED_VALUE"""),"")</f>
        <v/>
      </c>
      <c r="M5177" t="str">
        <f>IFERROR(__xludf.DUMMYFUNCTION("""COMPUTED_VALUE"""),"")</f>
        <v/>
      </c>
      <c r="N5177" t="str">
        <f>IFERROR(__xludf.DUMMYFUNCTION("""COMPUTED_VALUE"""),"")</f>
        <v/>
      </c>
      <c r="O5177" t="str">
        <f>IFERROR(__xludf.DUMMYFUNCTION("""COMPUTED_VALUE"""),"")</f>
        <v/>
      </c>
      <c r="P5177" t="str">
        <f>IFERROR(__xludf.DUMMYFUNCTION("""COMPUTED_VALUE"""),"ID ")</f>
        <v>ID </v>
      </c>
    </row>
    <row r="5178">
      <c r="A5178" s="6" t="str">
        <f>IFERROR(__xludf.DUMMYFUNCTION("""COMPUTED_VALUE"""),"")</f>
        <v/>
      </c>
      <c r="C5178" t="str">
        <f>IFERROR(__xludf.DUMMYFUNCTION("""COMPUTED_VALUE"""),"")</f>
        <v/>
      </c>
      <c r="D5178" t="str">
        <f>IFERROR(__xludf.DUMMYFUNCTION("""COMPUTED_VALUE"""),"")</f>
        <v/>
      </c>
      <c r="E5178" t="str">
        <f>IFERROR(__xludf.DUMMYFUNCTION("""COMPUTED_VALUE"""),"")</f>
        <v/>
      </c>
      <c r="F5178" t="str">
        <f>IFERROR(__xludf.DUMMYFUNCTION("""COMPUTED_VALUE"""),"")</f>
        <v/>
      </c>
      <c r="G5178" t="str">
        <f>IFERROR(__xludf.DUMMYFUNCTION("""COMPUTED_VALUE"""),"")</f>
        <v/>
      </c>
      <c r="H5178" s="2" t="str">
        <f>IFERROR(__xludf.DUMMYFUNCTION("""COMPUTED_VALUE"""),"")</f>
        <v/>
      </c>
      <c r="I5178" s="2" t="str">
        <f>IFERROR(__xludf.DUMMYFUNCTION("""COMPUTED_VALUE"""),"")</f>
        <v/>
      </c>
      <c r="J5178" s="2">
        <f>IFERROR(__xludf.DUMMYFUNCTION("""COMPUTED_VALUE"""),0.0)</f>
        <v>0</v>
      </c>
      <c r="K5178" s="5" t="str">
        <f>IFERROR(__xludf.DUMMYFUNCTION("""COMPUTED_VALUE"""),"")</f>
        <v/>
      </c>
      <c r="L5178" t="str">
        <f>IFERROR(__xludf.DUMMYFUNCTION("""COMPUTED_VALUE"""),"")</f>
        <v/>
      </c>
      <c r="M5178" t="str">
        <f>IFERROR(__xludf.DUMMYFUNCTION("""COMPUTED_VALUE"""),"")</f>
        <v/>
      </c>
      <c r="N5178" t="str">
        <f>IFERROR(__xludf.DUMMYFUNCTION("""COMPUTED_VALUE"""),"")</f>
        <v/>
      </c>
      <c r="O5178" t="str">
        <f>IFERROR(__xludf.DUMMYFUNCTION("""COMPUTED_VALUE"""),"")</f>
        <v/>
      </c>
      <c r="P5178" t="str">
        <f>IFERROR(__xludf.DUMMYFUNCTION("""COMPUTED_VALUE"""),"ID ")</f>
        <v>ID </v>
      </c>
    </row>
    <row r="5179">
      <c r="A5179" s="6" t="str">
        <f>IFERROR(__xludf.DUMMYFUNCTION("""COMPUTED_VALUE"""),"")</f>
        <v/>
      </c>
      <c r="C5179" t="str">
        <f>IFERROR(__xludf.DUMMYFUNCTION("""COMPUTED_VALUE"""),"")</f>
        <v/>
      </c>
      <c r="D5179" t="str">
        <f>IFERROR(__xludf.DUMMYFUNCTION("""COMPUTED_VALUE"""),"")</f>
        <v/>
      </c>
      <c r="E5179" t="str">
        <f>IFERROR(__xludf.DUMMYFUNCTION("""COMPUTED_VALUE"""),"")</f>
        <v/>
      </c>
      <c r="F5179" t="str">
        <f>IFERROR(__xludf.DUMMYFUNCTION("""COMPUTED_VALUE"""),"")</f>
        <v/>
      </c>
      <c r="G5179" t="str">
        <f>IFERROR(__xludf.DUMMYFUNCTION("""COMPUTED_VALUE"""),"")</f>
        <v/>
      </c>
      <c r="H5179" s="2" t="str">
        <f>IFERROR(__xludf.DUMMYFUNCTION("""COMPUTED_VALUE"""),"")</f>
        <v/>
      </c>
      <c r="I5179" s="2" t="str">
        <f>IFERROR(__xludf.DUMMYFUNCTION("""COMPUTED_VALUE"""),"")</f>
        <v/>
      </c>
      <c r="J5179" s="2">
        <f>IFERROR(__xludf.DUMMYFUNCTION("""COMPUTED_VALUE"""),0.0)</f>
        <v>0</v>
      </c>
      <c r="K5179" s="5" t="str">
        <f>IFERROR(__xludf.DUMMYFUNCTION("""COMPUTED_VALUE"""),"")</f>
        <v/>
      </c>
      <c r="L5179" t="str">
        <f>IFERROR(__xludf.DUMMYFUNCTION("""COMPUTED_VALUE"""),"")</f>
        <v/>
      </c>
      <c r="M5179" t="str">
        <f>IFERROR(__xludf.DUMMYFUNCTION("""COMPUTED_VALUE"""),"")</f>
        <v/>
      </c>
      <c r="N5179" t="str">
        <f>IFERROR(__xludf.DUMMYFUNCTION("""COMPUTED_VALUE"""),"")</f>
        <v/>
      </c>
      <c r="O5179" t="str">
        <f>IFERROR(__xludf.DUMMYFUNCTION("""COMPUTED_VALUE"""),"")</f>
        <v/>
      </c>
      <c r="P5179" t="str">
        <f>IFERROR(__xludf.DUMMYFUNCTION("""COMPUTED_VALUE"""),"ID ")</f>
        <v>ID </v>
      </c>
    </row>
    <row r="5180">
      <c r="A5180" s="6" t="str">
        <f>IFERROR(__xludf.DUMMYFUNCTION("""COMPUTED_VALUE"""),"")</f>
        <v/>
      </c>
      <c r="C5180" t="str">
        <f>IFERROR(__xludf.DUMMYFUNCTION("""COMPUTED_VALUE"""),"")</f>
        <v/>
      </c>
      <c r="D5180" t="str">
        <f>IFERROR(__xludf.DUMMYFUNCTION("""COMPUTED_VALUE"""),"")</f>
        <v/>
      </c>
      <c r="E5180" t="str">
        <f>IFERROR(__xludf.DUMMYFUNCTION("""COMPUTED_VALUE"""),"")</f>
        <v/>
      </c>
      <c r="F5180" t="str">
        <f>IFERROR(__xludf.DUMMYFUNCTION("""COMPUTED_VALUE"""),"")</f>
        <v/>
      </c>
      <c r="G5180" t="str">
        <f>IFERROR(__xludf.DUMMYFUNCTION("""COMPUTED_VALUE"""),"")</f>
        <v/>
      </c>
      <c r="H5180" s="2" t="str">
        <f>IFERROR(__xludf.DUMMYFUNCTION("""COMPUTED_VALUE"""),"")</f>
        <v/>
      </c>
      <c r="I5180" s="2" t="str">
        <f>IFERROR(__xludf.DUMMYFUNCTION("""COMPUTED_VALUE"""),"")</f>
        <v/>
      </c>
      <c r="J5180" s="2">
        <f>IFERROR(__xludf.DUMMYFUNCTION("""COMPUTED_VALUE"""),0.0)</f>
        <v>0</v>
      </c>
      <c r="K5180" s="5" t="str">
        <f>IFERROR(__xludf.DUMMYFUNCTION("""COMPUTED_VALUE"""),"")</f>
        <v/>
      </c>
      <c r="L5180" t="str">
        <f>IFERROR(__xludf.DUMMYFUNCTION("""COMPUTED_VALUE"""),"")</f>
        <v/>
      </c>
      <c r="M5180" t="str">
        <f>IFERROR(__xludf.DUMMYFUNCTION("""COMPUTED_VALUE"""),"")</f>
        <v/>
      </c>
      <c r="N5180" t="str">
        <f>IFERROR(__xludf.DUMMYFUNCTION("""COMPUTED_VALUE"""),"")</f>
        <v/>
      </c>
      <c r="O5180" t="str">
        <f>IFERROR(__xludf.DUMMYFUNCTION("""COMPUTED_VALUE"""),"")</f>
        <v/>
      </c>
      <c r="P5180" t="str">
        <f>IFERROR(__xludf.DUMMYFUNCTION("""COMPUTED_VALUE"""),"ID ")</f>
        <v>ID </v>
      </c>
    </row>
    <row r="5181">
      <c r="A5181" s="6" t="str">
        <f>IFERROR(__xludf.DUMMYFUNCTION("""COMPUTED_VALUE"""),"")</f>
        <v/>
      </c>
      <c r="C5181" t="str">
        <f>IFERROR(__xludf.DUMMYFUNCTION("""COMPUTED_VALUE"""),"")</f>
        <v/>
      </c>
      <c r="D5181" t="str">
        <f>IFERROR(__xludf.DUMMYFUNCTION("""COMPUTED_VALUE"""),"")</f>
        <v/>
      </c>
      <c r="E5181" t="str">
        <f>IFERROR(__xludf.DUMMYFUNCTION("""COMPUTED_VALUE"""),"")</f>
        <v/>
      </c>
      <c r="F5181" t="str">
        <f>IFERROR(__xludf.DUMMYFUNCTION("""COMPUTED_VALUE"""),"")</f>
        <v/>
      </c>
      <c r="G5181" t="str">
        <f>IFERROR(__xludf.DUMMYFUNCTION("""COMPUTED_VALUE"""),"")</f>
        <v/>
      </c>
      <c r="H5181" s="2" t="str">
        <f>IFERROR(__xludf.DUMMYFUNCTION("""COMPUTED_VALUE"""),"")</f>
        <v/>
      </c>
      <c r="I5181" s="2" t="str">
        <f>IFERROR(__xludf.DUMMYFUNCTION("""COMPUTED_VALUE"""),"")</f>
        <v/>
      </c>
      <c r="J5181" s="2">
        <f>IFERROR(__xludf.DUMMYFUNCTION("""COMPUTED_VALUE"""),0.0)</f>
        <v>0</v>
      </c>
      <c r="K5181" s="5" t="str">
        <f>IFERROR(__xludf.DUMMYFUNCTION("""COMPUTED_VALUE"""),"")</f>
        <v/>
      </c>
      <c r="L5181" t="str">
        <f>IFERROR(__xludf.DUMMYFUNCTION("""COMPUTED_VALUE"""),"")</f>
        <v/>
      </c>
      <c r="M5181" t="str">
        <f>IFERROR(__xludf.DUMMYFUNCTION("""COMPUTED_VALUE"""),"")</f>
        <v/>
      </c>
      <c r="N5181" t="str">
        <f>IFERROR(__xludf.DUMMYFUNCTION("""COMPUTED_VALUE"""),"")</f>
        <v/>
      </c>
      <c r="O5181" t="str">
        <f>IFERROR(__xludf.DUMMYFUNCTION("""COMPUTED_VALUE"""),"")</f>
        <v/>
      </c>
      <c r="P5181" t="str">
        <f>IFERROR(__xludf.DUMMYFUNCTION("""COMPUTED_VALUE"""),"ID ")</f>
        <v>ID </v>
      </c>
    </row>
    <row r="5182">
      <c r="A5182" s="6" t="str">
        <f>IFERROR(__xludf.DUMMYFUNCTION("""COMPUTED_VALUE"""),"")</f>
        <v/>
      </c>
      <c r="C5182" t="str">
        <f>IFERROR(__xludf.DUMMYFUNCTION("""COMPUTED_VALUE"""),"")</f>
        <v/>
      </c>
      <c r="D5182" t="str">
        <f>IFERROR(__xludf.DUMMYFUNCTION("""COMPUTED_VALUE"""),"")</f>
        <v/>
      </c>
      <c r="E5182" t="str">
        <f>IFERROR(__xludf.DUMMYFUNCTION("""COMPUTED_VALUE"""),"")</f>
        <v/>
      </c>
      <c r="F5182" t="str">
        <f>IFERROR(__xludf.DUMMYFUNCTION("""COMPUTED_VALUE"""),"")</f>
        <v/>
      </c>
      <c r="G5182" t="str">
        <f>IFERROR(__xludf.DUMMYFUNCTION("""COMPUTED_VALUE"""),"")</f>
        <v/>
      </c>
      <c r="H5182" s="2" t="str">
        <f>IFERROR(__xludf.DUMMYFUNCTION("""COMPUTED_VALUE"""),"")</f>
        <v/>
      </c>
      <c r="I5182" s="2" t="str">
        <f>IFERROR(__xludf.DUMMYFUNCTION("""COMPUTED_VALUE"""),"")</f>
        <v/>
      </c>
      <c r="J5182" s="2">
        <f>IFERROR(__xludf.DUMMYFUNCTION("""COMPUTED_VALUE"""),0.0)</f>
        <v>0</v>
      </c>
      <c r="K5182" s="5" t="str">
        <f>IFERROR(__xludf.DUMMYFUNCTION("""COMPUTED_VALUE"""),"")</f>
        <v/>
      </c>
      <c r="L5182" t="str">
        <f>IFERROR(__xludf.DUMMYFUNCTION("""COMPUTED_VALUE"""),"")</f>
        <v/>
      </c>
      <c r="M5182" t="str">
        <f>IFERROR(__xludf.DUMMYFUNCTION("""COMPUTED_VALUE"""),"")</f>
        <v/>
      </c>
      <c r="N5182" t="str">
        <f>IFERROR(__xludf.DUMMYFUNCTION("""COMPUTED_VALUE"""),"")</f>
        <v/>
      </c>
      <c r="O5182" t="str">
        <f>IFERROR(__xludf.DUMMYFUNCTION("""COMPUTED_VALUE"""),"")</f>
        <v/>
      </c>
      <c r="P5182" t="str">
        <f>IFERROR(__xludf.DUMMYFUNCTION("""COMPUTED_VALUE"""),"ID ")</f>
        <v>ID </v>
      </c>
    </row>
    <row r="5183">
      <c r="A5183" s="6" t="str">
        <f>IFERROR(__xludf.DUMMYFUNCTION("""COMPUTED_VALUE"""),"")</f>
        <v/>
      </c>
      <c r="C5183" t="str">
        <f>IFERROR(__xludf.DUMMYFUNCTION("""COMPUTED_VALUE"""),"")</f>
        <v/>
      </c>
      <c r="D5183" t="str">
        <f>IFERROR(__xludf.DUMMYFUNCTION("""COMPUTED_VALUE"""),"")</f>
        <v/>
      </c>
      <c r="E5183" t="str">
        <f>IFERROR(__xludf.DUMMYFUNCTION("""COMPUTED_VALUE"""),"")</f>
        <v/>
      </c>
      <c r="F5183" t="str">
        <f>IFERROR(__xludf.DUMMYFUNCTION("""COMPUTED_VALUE"""),"")</f>
        <v/>
      </c>
      <c r="G5183" t="str">
        <f>IFERROR(__xludf.DUMMYFUNCTION("""COMPUTED_VALUE"""),"")</f>
        <v/>
      </c>
      <c r="H5183" s="2" t="str">
        <f>IFERROR(__xludf.DUMMYFUNCTION("""COMPUTED_VALUE"""),"")</f>
        <v/>
      </c>
      <c r="I5183" s="2" t="str">
        <f>IFERROR(__xludf.DUMMYFUNCTION("""COMPUTED_VALUE"""),"")</f>
        <v/>
      </c>
      <c r="J5183" s="2">
        <f>IFERROR(__xludf.DUMMYFUNCTION("""COMPUTED_VALUE"""),0.0)</f>
        <v>0</v>
      </c>
      <c r="K5183" s="5" t="str">
        <f>IFERROR(__xludf.DUMMYFUNCTION("""COMPUTED_VALUE"""),"")</f>
        <v/>
      </c>
      <c r="L5183" t="str">
        <f>IFERROR(__xludf.DUMMYFUNCTION("""COMPUTED_VALUE"""),"")</f>
        <v/>
      </c>
      <c r="M5183" t="str">
        <f>IFERROR(__xludf.DUMMYFUNCTION("""COMPUTED_VALUE"""),"")</f>
        <v/>
      </c>
      <c r="N5183" t="str">
        <f>IFERROR(__xludf.DUMMYFUNCTION("""COMPUTED_VALUE"""),"")</f>
        <v/>
      </c>
      <c r="O5183" t="str">
        <f>IFERROR(__xludf.DUMMYFUNCTION("""COMPUTED_VALUE"""),"")</f>
        <v/>
      </c>
      <c r="P5183" t="str">
        <f>IFERROR(__xludf.DUMMYFUNCTION("""COMPUTED_VALUE"""),"ID ")</f>
        <v>ID </v>
      </c>
    </row>
    <row r="5184">
      <c r="A5184" s="6" t="str">
        <f>IFERROR(__xludf.DUMMYFUNCTION("""COMPUTED_VALUE"""),"")</f>
        <v/>
      </c>
      <c r="C5184" t="str">
        <f>IFERROR(__xludf.DUMMYFUNCTION("""COMPUTED_VALUE"""),"")</f>
        <v/>
      </c>
      <c r="D5184" t="str">
        <f>IFERROR(__xludf.DUMMYFUNCTION("""COMPUTED_VALUE"""),"")</f>
        <v/>
      </c>
      <c r="E5184" t="str">
        <f>IFERROR(__xludf.DUMMYFUNCTION("""COMPUTED_VALUE"""),"")</f>
        <v/>
      </c>
      <c r="F5184" t="str">
        <f>IFERROR(__xludf.DUMMYFUNCTION("""COMPUTED_VALUE"""),"")</f>
        <v/>
      </c>
      <c r="G5184" t="str">
        <f>IFERROR(__xludf.DUMMYFUNCTION("""COMPUTED_VALUE"""),"")</f>
        <v/>
      </c>
      <c r="H5184" s="2" t="str">
        <f>IFERROR(__xludf.DUMMYFUNCTION("""COMPUTED_VALUE"""),"")</f>
        <v/>
      </c>
      <c r="I5184" s="2" t="str">
        <f>IFERROR(__xludf.DUMMYFUNCTION("""COMPUTED_VALUE"""),"")</f>
        <v/>
      </c>
      <c r="J5184" s="2">
        <f>IFERROR(__xludf.DUMMYFUNCTION("""COMPUTED_VALUE"""),0.0)</f>
        <v>0</v>
      </c>
      <c r="K5184" s="5" t="str">
        <f>IFERROR(__xludf.DUMMYFUNCTION("""COMPUTED_VALUE"""),"")</f>
        <v/>
      </c>
      <c r="L5184" t="str">
        <f>IFERROR(__xludf.DUMMYFUNCTION("""COMPUTED_VALUE"""),"")</f>
        <v/>
      </c>
      <c r="M5184" t="str">
        <f>IFERROR(__xludf.DUMMYFUNCTION("""COMPUTED_VALUE"""),"")</f>
        <v/>
      </c>
      <c r="N5184" t="str">
        <f>IFERROR(__xludf.DUMMYFUNCTION("""COMPUTED_VALUE"""),"")</f>
        <v/>
      </c>
      <c r="O5184" t="str">
        <f>IFERROR(__xludf.DUMMYFUNCTION("""COMPUTED_VALUE"""),"")</f>
        <v/>
      </c>
      <c r="P5184" t="str">
        <f>IFERROR(__xludf.DUMMYFUNCTION("""COMPUTED_VALUE"""),"ID ")</f>
        <v>ID </v>
      </c>
    </row>
    <row r="5185">
      <c r="A5185" s="6" t="str">
        <f>IFERROR(__xludf.DUMMYFUNCTION("""COMPUTED_VALUE"""),"")</f>
        <v/>
      </c>
      <c r="C5185" t="str">
        <f>IFERROR(__xludf.DUMMYFUNCTION("""COMPUTED_VALUE"""),"")</f>
        <v/>
      </c>
      <c r="D5185" t="str">
        <f>IFERROR(__xludf.DUMMYFUNCTION("""COMPUTED_VALUE"""),"")</f>
        <v/>
      </c>
      <c r="E5185" t="str">
        <f>IFERROR(__xludf.DUMMYFUNCTION("""COMPUTED_VALUE"""),"")</f>
        <v/>
      </c>
      <c r="F5185" t="str">
        <f>IFERROR(__xludf.DUMMYFUNCTION("""COMPUTED_VALUE"""),"")</f>
        <v/>
      </c>
      <c r="G5185" t="str">
        <f>IFERROR(__xludf.DUMMYFUNCTION("""COMPUTED_VALUE"""),"")</f>
        <v/>
      </c>
      <c r="H5185" s="2" t="str">
        <f>IFERROR(__xludf.DUMMYFUNCTION("""COMPUTED_VALUE"""),"")</f>
        <v/>
      </c>
      <c r="I5185" s="2" t="str">
        <f>IFERROR(__xludf.DUMMYFUNCTION("""COMPUTED_VALUE"""),"")</f>
        <v/>
      </c>
      <c r="J5185" s="2">
        <f>IFERROR(__xludf.DUMMYFUNCTION("""COMPUTED_VALUE"""),0.0)</f>
        <v>0</v>
      </c>
      <c r="K5185" s="5" t="str">
        <f>IFERROR(__xludf.DUMMYFUNCTION("""COMPUTED_VALUE"""),"")</f>
        <v/>
      </c>
      <c r="L5185" t="str">
        <f>IFERROR(__xludf.DUMMYFUNCTION("""COMPUTED_VALUE"""),"")</f>
        <v/>
      </c>
      <c r="M5185" t="str">
        <f>IFERROR(__xludf.DUMMYFUNCTION("""COMPUTED_VALUE"""),"")</f>
        <v/>
      </c>
      <c r="N5185" t="str">
        <f>IFERROR(__xludf.DUMMYFUNCTION("""COMPUTED_VALUE"""),"")</f>
        <v/>
      </c>
      <c r="O5185" t="str">
        <f>IFERROR(__xludf.DUMMYFUNCTION("""COMPUTED_VALUE"""),"")</f>
        <v/>
      </c>
      <c r="P5185" t="str">
        <f>IFERROR(__xludf.DUMMYFUNCTION("""COMPUTED_VALUE"""),"ID ")</f>
        <v>ID </v>
      </c>
    </row>
    <row r="5186">
      <c r="A5186" s="6" t="str">
        <f>IFERROR(__xludf.DUMMYFUNCTION("""COMPUTED_VALUE"""),"")</f>
        <v/>
      </c>
      <c r="C5186" t="str">
        <f>IFERROR(__xludf.DUMMYFUNCTION("""COMPUTED_VALUE"""),"")</f>
        <v/>
      </c>
      <c r="D5186" t="str">
        <f>IFERROR(__xludf.DUMMYFUNCTION("""COMPUTED_VALUE"""),"")</f>
        <v/>
      </c>
      <c r="E5186" t="str">
        <f>IFERROR(__xludf.DUMMYFUNCTION("""COMPUTED_VALUE"""),"")</f>
        <v/>
      </c>
      <c r="F5186" t="str">
        <f>IFERROR(__xludf.DUMMYFUNCTION("""COMPUTED_VALUE"""),"")</f>
        <v/>
      </c>
      <c r="G5186" t="str">
        <f>IFERROR(__xludf.DUMMYFUNCTION("""COMPUTED_VALUE"""),"")</f>
        <v/>
      </c>
      <c r="H5186" s="2" t="str">
        <f>IFERROR(__xludf.DUMMYFUNCTION("""COMPUTED_VALUE"""),"")</f>
        <v/>
      </c>
      <c r="I5186" s="2" t="str">
        <f>IFERROR(__xludf.DUMMYFUNCTION("""COMPUTED_VALUE"""),"")</f>
        <v/>
      </c>
      <c r="J5186" s="2">
        <f>IFERROR(__xludf.DUMMYFUNCTION("""COMPUTED_VALUE"""),0.0)</f>
        <v>0</v>
      </c>
      <c r="K5186" s="5" t="str">
        <f>IFERROR(__xludf.DUMMYFUNCTION("""COMPUTED_VALUE"""),"")</f>
        <v/>
      </c>
      <c r="L5186" t="str">
        <f>IFERROR(__xludf.DUMMYFUNCTION("""COMPUTED_VALUE"""),"")</f>
        <v/>
      </c>
      <c r="M5186" t="str">
        <f>IFERROR(__xludf.DUMMYFUNCTION("""COMPUTED_VALUE"""),"")</f>
        <v/>
      </c>
      <c r="N5186" t="str">
        <f>IFERROR(__xludf.DUMMYFUNCTION("""COMPUTED_VALUE"""),"")</f>
        <v/>
      </c>
      <c r="O5186" t="str">
        <f>IFERROR(__xludf.DUMMYFUNCTION("""COMPUTED_VALUE"""),"")</f>
        <v/>
      </c>
      <c r="P5186" t="str">
        <f>IFERROR(__xludf.DUMMYFUNCTION("""COMPUTED_VALUE"""),"ID ")</f>
        <v>ID </v>
      </c>
    </row>
    <row r="5187">
      <c r="A5187" s="6" t="str">
        <f>IFERROR(__xludf.DUMMYFUNCTION("""COMPUTED_VALUE"""),"")</f>
        <v/>
      </c>
      <c r="C5187" t="str">
        <f>IFERROR(__xludf.DUMMYFUNCTION("""COMPUTED_VALUE"""),"")</f>
        <v/>
      </c>
      <c r="D5187" t="str">
        <f>IFERROR(__xludf.DUMMYFUNCTION("""COMPUTED_VALUE"""),"")</f>
        <v/>
      </c>
      <c r="E5187" t="str">
        <f>IFERROR(__xludf.DUMMYFUNCTION("""COMPUTED_VALUE"""),"")</f>
        <v/>
      </c>
      <c r="F5187" t="str">
        <f>IFERROR(__xludf.DUMMYFUNCTION("""COMPUTED_VALUE"""),"")</f>
        <v/>
      </c>
      <c r="G5187" t="str">
        <f>IFERROR(__xludf.DUMMYFUNCTION("""COMPUTED_VALUE"""),"")</f>
        <v/>
      </c>
      <c r="H5187" s="2" t="str">
        <f>IFERROR(__xludf.DUMMYFUNCTION("""COMPUTED_VALUE"""),"")</f>
        <v/>
      </c>
      <c r="I5187" s="2" t="str">
        <f>IFERROR(__xludf.DUMMYFUNCTION("""COMPUTED_VALUE"""),"")</f>
        <v/>
      </c>
      <c r="J5187" s="2">
        <f>IFERROR(__xludf.DUMMYFUNCTION("""COMPUTED_VALUE"""),0.0)</f>
        <v>0</v>
      </c>
      <c r="K5187" s="5" t="str">
        <f>IFERROR(__xludf.DUMMYFUNCTION("""COMPUTED_VALUE"""),"")</f>
        <v/>
      </c>
      <c r="L5187" t="str">
        <f>IFERROR(__xludf.DUMMYFUNCTION("""COMPUTED_VALUE"""),"")</f>
        <v/>
      </c>
      <c r="M5187" t="str">
        <f>IFERROR(__xludf.DUMMYFUNCTION("""COMPUTED_VALUE"""),"")</f>
        <v/>
      </c>
      <c r="N5187" t="str">
        <f>IFERROR(__xludf.DUMMYFUNCTION("""COMPUTED_VALUE"""),"")</f>
        <v/>
      </c>
      <c r="O5187" t="str">
        <f>IFERROR(__xludf.DUMMYFUNCTION("""COMPUTED_VALUE"""),"")</f>
        <v/>
      </c>
      <c r="P5187" t="str">
        <f>IFERROR(__xludf.DUMMYFUNCTION("""COMPUTED_VALUE"""),"ID ")</f>
        <v>ID </v>
      </c>
    </row>
    <row r="5188">
      <c r="A5188" s="6" t="str">
        <f>IFERROR(__xludf.DUMMYFUNCTION("""COMPUTED_VALUE"""),"")</f>
        <v/>
      </c>
      <c r="C5188" t="str">
        <f>IFERROR(__xludf.DUMMYFUNCTION("""COMPUTED_VALUE"""),"")</f>
        <v/>
      </c>
      <c r="D5188" t="str">
        <f>IFERROR(__xludf.DUMMYFUNCTION("""COMPUTED_VALUE"""),"")</f>
        <v/>
      </c>
      <c r="E5188" t="str">
        <f>IFERROR(__xludf.DUMMYFUNCTION("""COMPUTED_VALUE"""),"")</f>
        <v/>
      </c>
      <c r="F5188" t="str">
        <f>IFERROR(__xludf.DUMMYFUNCTION("""COMPUTED_VALUE"""),"")</f>
        <v/>
      </c>
      <c r="G5188" t="str">
        <f>IFERROR(__xludf.DUMMYFUNCTION("""COMPUTED_VALUE"""),"")</f>
        <v/>
      </c>
      <c r="H5188" s="2" t="str">
        <f>IFERROR(__xludf.DUMMYFUNCTION("""COMPUTED_VALUE"""),"")</f>
        <v/>
      </c>
      <c r="I5188" s="2" t="str">
        <f>IFERROR(__xludf.DUMMYFUNCTION("""COMPUTED_VALUE"""),"")</f>
        <v/>
      </c>
      <c r="J5188" s="2">
        <f>IFERROR(__xludf.DUMMYFUNCTION("""COMPUTED_VALUE"""),0.0)</f>
        <v>0</v>
      </c>
      <c r="K5188" s="5" t="str">
        <f>IFERROR(__xludf.DUMMYFUNCTION("""COMPUTED_VALUE"""),"")</f>
        <v/>
      </c>
      <c r="L5188" t="str">
        <f>IFERROR(__xludf.DUMMYFUNCTION("""COMPUTED_VALUE"""),"")</f>
        <v/>
      </c>
      <c r="M5188" t="str">
        <f>IFERROR(__xludf.DUMMYFUNCTION("""COMPUTED_VALUE"""),"")</f>
        <v/>
      </c>
      <c r="N5188" t="str">
        <f>IFERROR(__xludf.DUMMYFUNCTION("""COMPUTED_VALUE"""),"")</f>
        <v/>
      </c>
      <c r="O5188" t="str">
        <f>IFERROR(__xludf.DUMMYFUNCTION("""COMPUTED_VALUE"""),"")</f>
        <v/>
      </c>
      <c r="P5188" t="str">
        <f>IFERROR(__xludf.DUMMYFUNCTION("""COMPUTED_VALUE"""),"ID ")</f>
        <v>ID </v>
      </c>
    </row>
    <row r="5189">
      <c r="A5189" s="6" t="str">
        <f>IFERROR(__xludf.DUMMYFUNCTION("""COMPUTED_VALUE"""),"")</f>
        <v/>
      </c>
      <c r="C5189" t="str">
        <f>IFERROR(__xludf.DUMMYFUNCTION("""COMPUTED_VALUE"""),"")</f>
        <v/>
      </c>
      <c r="D5189" t="str">
        <f>IFERROR(__xludf.DUMMYFUNCTION("""COMPUTED_VALUE"""),"")</f>
        <v/>
      </c>
      <c r="E5189" t="str">
        <f>IFERROR(__xludf.DUMMYFUNCTION("""COMPUTED_VALUE"""),"")</f>
        <v/>
      </c>
      <c r="F5189" t="str">
        <f>IFERROR(__xludf.DUMMYFUNCTION("""COMPUTED_VALUE"""),"")</f>
        <v/>
      </c>
      <c r="G5189" t="str">
        <f>IFERROR(__xludf.DUMMYFUNCTION("""COMPUTED_VALUE"""),"")</f>
        <v/>
      </c>
      <c r="H5189" s="2" t="str">
        <f>IFERROR(__xludf.DUMMYFUNCTION("""COMPUTED_VALUE"""),"")</f>
        <v/>
      </c>
      <c r="I5189" s="2" t="str">
        <f>IFERROR(__xludf.DUMMYFUNCTION("""COMPUTED_VALUE"""),"")</f>
        <v/>
      </c>
      <c r="J5189" s="2">
        <f>IFERROR(__xludf.DUMMYFUNCTION("""COMPUTED_VALUE"""),0.0)</f>
        <v>0</v>
      </c>
      <c r="K5189" s="5" t="str">
        <f>IFERROR(__xludf.DUMMYFUNCTION("""COMPUTED_VALUE"""),"")</f>
        <v/>
      </c>
      <c r="L5189" t="str">
        <f>IFERROR(__xludf.DUMMYFUNCTION("""COMPUTED_VALUE"""),"")</f>
        <v/>
      </c>
      <c r="M5189" t="str">
        <f>IFERROR(__xludf.DUMMYFUNCTION("""COMPUTED_VALUE"""),"")</f>
        <v/>
      </c>
      <c r="N5189" t="str">
        <f>IFERROR(__xludf.DUMMYFUNCTION("""COMPUTED_VALUE"""),"")</f>
        <v/>
      </c>
      <c r="O5189" t="str">
        <f>IFERROR(__xludf.DUMMYFUNCTION("""COMPUTED_VALUE"""),"")</f>
        <v/>
      </c>
      <c r="P5189" t="str">
        <f>IFERROR(__xludf.DUMMYFUNCTION("""COMPUTED_VALUE"""),"ID ")</f>
        <v>ID </v>
      </c>
    </row>
    <row r="5190">
      <c r="A5190" s="6" t="str">
        <f>IFERROR(__xludf.DUMMYFUNCTION("""COMPUTED_VALUE"""),"")</f>
        <v/>
      </c>
      <c r="C5190" t="str">
        <f>IFERROR(__xludf.DUMMYFUNCTION("""COMPUTED_VALUE"""),"")</f>
        <v/>
      </c>
      <c r="D5190" t="str">
        <f>IFERROR(__xludf.DUMMYFUNCTION("""COMPUTED_VALUE"""),"")</f>
        <v/>
      </c>
      <c r="E5190" t="str">
        <f>IFERROR(__xludf.DUMMYFUNCTION("""COMPUTED_VALUE"""),"")</f>
        <v/>
      </c>
      <c r="F5190" t="str">
        <f>IFERROR(__xludf.DUMMYFUNCTION("""COMPUTED_VALUE"""),"")</f>
        <v/>
      </c>
      <c r="G5190" t="str">
        <f>IFERROR(__xludf.DUMMYFUNCTION("""COMPUTED_VALUE"""),"")</f>
        <v/>
      </c>
      <c r="H5190" s="2" t="str">
        <f>IFERROR(__xludf.DUMMYFUNCTION("""COMPUTED_VALUE"""),"")</f>
        <v/>
      </c>
      <c r="I5190" s="2" t="str">
        <f>IFERROR(__xludf.DUMMYFUNCTION("""COMPUTED_VALUE"""),"")</f>
        <v/>
      </c>
      <c r="J5190" s="2">
        <f>IFERROR(__xludf.DUMMYFUNCTION("""COMPUTED_VALUE"""),0.0)</f>
        <v>0</v>
      </c>
      <c r="K5190" s="5" t="str">
        <f>IFERROR(__xludf.DUMMYFUNCTION("""COMPUTED_VALUE"""),"")</f>
        <v/>
      </c>
      <c r="L5190" t="str">
        <f>IFERROR(__xludf.DUMMYFUNCTION("""COMPUTED_VALUE"""),"")</f>
        <v/>
      </c>
      <c r="M5190" t="str">
        <f>IFERROR(__xludf.DUMMYFUNCTION("""COMPUTED_VALUE"""),"")</f>
        <v/>
      </c>
      <c r="N5190" t="str">
        <f>IFERROR(__xludf.DUMMYFUNCTION("""COMPUTED_VALUE"""),"")</f>
        <v/>
      </c>
      <c r="O5190" t="str">
        <f>IFERROR(__xludf.DUMMYFUNCTION("""COMPUTED_VALUE"""),"")</f>
        <v/>
      </c>
      <c r="P5190" t="str">
        <f>IFERROR(__xludf.DUMMYFUNCTION("""COMPUTED_VALUE"""),"ID ")</f>
        <v>ID </v>
      </c>
    </row>
    <row r="5191">
      <c r="A5191" s="6" t="str">
        <f>IFERROR(__xludf.DUMMYFUNCTION("""COMPUTED_VALUE"""),"")</f>
        <v/>
      </c>
      <c r="C5191" t="str">
        <f>IFERROR(__xludf.DUMMYFUNCTION("""COMPUTED_VALUE"""),"")</f>
        <v/>
      </c>
      <c r="D5191" t="str">
        <f>IFERROR(__xludf.DUMMYFUNCTION("""COMPUTED_VALUE"""),"")</f>
        <v/>
      </c>
      <c r="E5191" t="str">
        <f>IFERROR(__xludf.DUMMYFUNCTION("""COMPUTED_VALUE"""),"")</f>
        <v/>
      </c>
      <c r="F5191" t="str">
        <f>IFERROR(__xludf.DUMMYFUNCTION("""COMPUTED_VALUE"""),"")</f>
        <v/>
      </c>
      <c r="G5191" t="str">
        <f>IFERROR(__xludf.DUMMYFUNCTION("""COMPUTED_VALUE"""),"")</f>
        <v/>
      </c>
      <c r="H5191" s="2" t="str">
        <f>IFERROR(__xludf.DUMMYFUNCTION("""COMPUTED_VALUE"""),"")</f>
        <v/>
      </c>
      <c r="I5191" s="2" t="str">
        <f>IFERROR(__xludf.DUMMYFUNCTION("""COMPUTED_VALUE"""),"")</f>
        <v/>
      </c>
      <c r="J5191" s="2">
        <f>IFERROR(__xludf.DUMMYFUNCTION("""COMPUTED_VALUE"""),0.0)</f>
        <v>0</v>
      </c>
      <c r="K5191" s="5" t="str">
        <f>IFERROR(__xludf.DUMMYFUNCTION("""COMPUTED_VALUE"""),"")</f>
        <v/>
      </c>
      <c r="L5191" t="str">
        <f>IFERROR(__xludf.DUMMYFUNCTION("""COMPUTED_VALUE"""),"")</f>
        <v/>
      </c>
      <c r="M5191" t="str">
        <f>IFERROR(__xludf.DUMMYFUNCTION("""COMPUTED_VALUE"""),"")</f>
        <v/>
      </c>
      <c r="N5191" t="str">
        <f>IFERROR(__xludf.DUMMYFUNCTION("""COMPUTED_VALUE"""),"")</f>
        <v/>
      </c>
      <c r="O5191" t="str">
        <f>IFERROR(__xludf.DUMMYFUNCTION("""COMPUTED_VALUE"""),"")</f>
        <v/>
      </c>
      <c r="P5191" t="str">
        <f>IFERROR(__xludf.DUMMYFUNCTION("""COMPUTED_VALUE"""),"ID ")</f>
        <v>ID </v>
      </c>
    </row>
    <row r="5192">
      <c r="A5192" s="6" t="str">
        <f>IFERROR(__xludf.DUMMYFUNCTION("""COMPUTED_VALUE"""),"")</f>
        <v/>
      </c>
      <c r="C5192" t="str">
        <f>IFERROR(__xludf.DUMMYFUNCTION("""COMPUTED_VALUE"""),"")</f>
        <v/>
      </c>
      <c r="D5192" t="str">
        <f>IFERROR(__xludf.DUMMYFUNCTION("""COMPUTED_VALUE"""),"")</f>
        <v/>
      </c>
      <c r="E5192" t="str">
        <f>IFERROR(__xludf.DUMMYFUNCTION("""COMPUTED_VALUE"""),"")</f>
        <v/>
      </c>
      <c r="F5192" t="str">
        <f>IFERROR(__xludf.DUMMYFUNCTION("""COMPUTED_VALUE"""),"")</f>
        <v/>
      </c>
      <c r="G5192" t="str">
        <f>IFERROR(__xludf.DUMMYFUNCTION("""COMPUTED_VALUE"""),"")</f>
        <v/>
      </c>
      <c r="H5192" s="2" t="str">
        <f>IFERROR(__xludf.DUMMYFUNCTION("""COMPUTED_VALUE"""),"")</f>
        <v/>
      </c>
      <c r="I5192" s="2" t="str">
        <f>IFERROR(__xludf.DUMMYFUNCTION("""COMPUTED_VALUE"""),"")</f>
        <v/>
      </c>
      <c r="J5192" s="2">
        <f>IFERROR(__xludf.DUMMYFUNCTION("""COMPUTED_VALUE"""),0.0)</f>
        <v>0</v>
      </c>
      <c r="K5192" s="5" t="str">
        <f>IFERROR(__xludf.DUMMYFUNCTION("""COMPUTED_VALUE"""),"")</f>
        <v/>
      </c>
      <c r="L5192" t="str">
        <f>IFERROR(__xludf.DUMMYFUNCTION("""COMPUTED_VALUE"""),"")</f>
        <v/>
      </c>
      <c r="M5192" t="str">
        <f>IFERROR(__xludf.DUMMYFUNCTION("""COMPUTED_VALUE"""),"")</f>
        <v/>
      </c>
      <c r="N5192" t="str">
        <f>IFERROR(__xludf.DUMMYFUNCTION("""COMPUTED_VALUE"""),"")</f>
        <v/>
      </c>
      <c r="O5192" t="str">
        <f>IFERROR(__xludf.DUMMYFUNCTION("""COMPUTED_VALUE"""),"")</f>
        <v/>
      </c>
      <c r="P5192" t="str">
        <f>IFERROR(__xludf.DUMMYFUNCTION("""COMPUTED_VALUE"""),"ID ")</f>
        <v>ID </v>
      </c>
    </row>
    <row r="5193">
      <c r="A5193" s="6" t="str">
        <f>IFERROR(__xludf.DUMMYFUNCTION("""COMPUTED_VALUE"""),"")</f>
        <v/>
      </c>
      <c r="C5193" t="str">
        <f>IFERROR(__xludf.DUMMYFUNCTION("""COMPUTED_VALUE"""),"")</f>
        <v/>
      </c>
      <c r="D5193" t="str">
        <f>IFERROR(__xludf.DUMMYFUNCTION("""COMPUTED_VALUE"""),"")</f>
        <v/>
      </c>
      <c r="E5193" t="str">
        <f>IFERROR(__xludf.DUMMYFUNCTION("""COMPUTED_VALUE"""),"")</f>
        <v/>
      </c>
      <c r="F5193" t="str">
        <f>IFERROR(__xludf.DUMMYFUNCTION("""COMPUTED_VALUE"""),"")</f>
        <v/>
      </c>
      <c r="G5193" t="str">
        <f>IFERROR(__xludf.DUMMYFUNCTION("""COMPUTED_VALUE"""),"")</f>
        <v/>
      </c>
      <c r="H5193" s="2" t="str">
        <f>IFERROR(__xludf.DUMMYFUNCTION("""COMPUTED_VALUE"""),"")</f>
        <v/>
      </c>
      <c r="I5193" s="2" t="str">
        <f>IFERROR(__xludf.DUMMYFUNCTION("""COMPUTED_VALUE"""),"")</f>
        <v/>
      </c>
      <c r="J5193" s="2">
        <f>IFERROR(__xludf.DUMMYFUNCTION("""COMPUTED_VALUE"""),0.0)</f>
        <v>0</v>
      </c>
      <c r="K5193" s="5" t="str">
        <f>IFERROR(__xludf.DUMMYFUNCTION("""COMPUTED_VALUE"""),"")</f>
        <v/>
      </c>
      <c r="L5193" t="str">
        <f>IFERROR(__xludf.DUMMYFUNCTION("""COMPUTED_VALUE"""),"")</f>
        <v/>
      </c>
      <c r="M5193" t="str">
        <f>IFERROR(__xludf.DUMMYFUNCTION("""COMPUTED_VALUE"""),"")</f>
        <v/>
      </c>
      <c r="N5193" t="str">
        <f>IFERROR(__xludf.DUMMYFUNCTION("""COMPUTED_VALUE"""),"")</f>
        <v/>
      </c>
      <c r="O5193" t="str">
        <f>IFERROR(__xludf.DUMMYFUNCTION("""COMPUTED_VALUE"""),"")</f>
        <v/>
      </c>
      <c r="P5193" t="str">
        <f>IFERROR(__xludf.DUMMYFUNCTION("""COMPUTED_VALUE"""),"ID ")</f>
        <v>ID </v>
      </c>
    </row>
    <row r="5194">
      <c r="A5194" s="6" t="str">
        <f>IFERROR(__xludf.DUMMYFUNCTION("""COMPUTED_VALUE"""),"")</f>
        <v/>
      </c>
      <c r="C5194" t="str">
        <f>IFERROR(__xludf.DUMMYFUNCTION("""COMPUTED_VALUE"""),"")</f>
        <v/>
      </c>
      <c r="D5194" t="str">
        <f>IFERROR(__xludf.DUMMYFUNCTION("""COMPUTED_VALUE"""),"")</f>
        <v/>
      </c>
      <c r="E5194" t="str">
        <f>IFERROR(__xludf.DUMMYFUNCTION("""COMPUTED_VALUE"""),"")</f>
        <v/>
      </c>
      <c r="F5194" t="str">
        <f>IFERROR(__xludf.DUMMYFUNCTION("""COMPUTED_VALUE"""),"")</f>
        <v/>
      </c>
      <c r="G5194" t="str">
        <f>IFERROR(__xludf.DUMMYFUNCTION("""COMPUTED_VALUE"""),"")</f>
        <v/>
      </c>
      <c r="H5194" s="2" t="str">
        <f>IFERROR(__xludf.DUMMYFUNCTION("""COMPUTED_VALUE"""),"")</f>
        <v/>
      </c>
      <c r="I5194" s="2" t="str">
        <f>IFERROR(__xludf.DUMMYFUNCTION("""COMPUTED_VALUE"""),"")</f>
        <v/>
      </c>
      <c r="J5194" s="2">
        <f>IFERROR(__xludf.DUMMYFUNCTION("""COMPUTED_VALUE"""),0.0)</f>
        <v>0</v>
      </c>
      <c r="K5194" s="5" t="str">
        <f>IFERROR(__xludf.DUMMYFUNCTION("""COMPUTED_VALUE"""),"")</f>
        <v/>
      </c>
      <c r="L5194" t="str">
        <f>IFERROR(__xludf.DUMMYFUNCTION("""COMPUTED_VALUE"""),"")</f>
        <v/>
      </c>
      <c r="M5194" t="str">
        <f>IFERROR(__xludf.DUMMYFUNCTION("""COMPUTED_VALUE"""),"")</f>
        <v/>
      </c>
      <c r="N5194" t="str">
        <f>IFERROR(__xludf.DUMMYFUNCTION("""COMPUTED_VALUE"""),"")</f>
        <v/>
      </c>
      <c r="O5194" t="str">
        <f>IFERROR(__xludf.DUMMYFUNCTION("""COMPUTED_VALUE"""),"")</f>
        <v/>
      </c>
      <c r="P5194" t="str">
        <f>IFERROR(__xludf.DUMMYFUNCTION("""COMPUTED_VALUE"""),"ID ")</f>
        <v>ID </v>
      </c>
    </row>
    <row r="5195">
      <c r="A5195" s="6" t="str">
        <f>IFERROR(__xludf.DUMMYFUNCTION("""COMPUTED_VALUE"""),"")</f>
        <v/>
      </c>
      <c r="C5195" t="str">
        <f>IFERROR(__xludf.DUMMYFUNCTION("""COMPUTED_VALUE"""),"")</f>
        <v/>
      </c>
      <c r="D5195" t="str">
        <f>IFERROR(__xludf.DUMMYFUNCTION("""COMPUTED_VALUE"""),"")</f>
        <v/>
      </c>
      <c r="E5195" t="str">
        <f>IFERROR(__xludf.DUMMYFUNCTION("""COMPUTED_VALUE"""),"")</f>
        <v/>
      </c>
      <c r="F5195" t="str">
        <f>IFERROR(__xludf.DUMMYFUNCTION("""COMPUTED_VALUE"""),"")</f>
        <v/>
      </c>
      <c r="G5195" t="str">
        <f>IFERROR(__xludf.DUMMYFUNCTION("""COMPUTED_VALUE"""),"")</f>
        <v/>
      </c>
      <c r="H5195" s="2" t="str">
        <f>IFERROR(__xludf.DUMMYFUNCTION("""COMPUTED_VALUE"""),"")</f>
        <v/>
      </c>
      <c r="I5195" s="2" t="str">
        <f>IFERROR(__xludf.DUMMYFUNCTION("""COMPUTED_VALUE"""),"")</f>
        <v/>
      </c>
      <c r="J5195" s="2">
        <f>IFERROR(__xludf.DUMMYFUNCTION("""COMPUTED_VALUE"""),0.0)</f>
        <v>0</v>
      </c>
      <c r="K5195" s="5" t="str">
        <f>IFERROR(__xludf.DUMMYFUNCTION("""COMPUTED_VALUE"""),"")</f>
        <v/>
      </c>
      <c r="L5195" t="str">
        <f>IFERROR(__xludf.DUMMYFUNCTION("""COMPUTED_VALUE"""),"")</f>
        <v/>
      </c>
      <c r="M5195" t="str">
        <f>IFERROR(__xludf.DUMMYFUNCTION("""COMPUTED_VALUE"""),"")</f>
        <v/>
      </c>
      <c r="N5195" t="str">
        <f>IFERROR(__xludf.DUMMYFUNCTION("""COMPUTED_VALUE"""),"")</f>
        <v/>
      </c>
      <c r="O5195" t="str">
        <f>IFERROR(__xludf.DUMMYFUNCTION("""COMPUTED_VALUE"""),"")</f>
        <v/>
      </c>
      <c r="P5195" t="str">
        <f>IFERROR(__xludf.DUMMYFUNCTION("""COMPUTED_VALUE"""),"ID ")</f>
        <v>ID </v>
      </c>
    </row>
    <row r="5196">
      <c r="A5196" s="6" t="str">
        <f>IFERROR(__xludf.DUMMYFUNCTION("""COMPUTED_VALUE"""),"")</f>
        <v/>
      </c>
      <c r="C5196" t="str">
        <f>IFERROR(__xludf.DUMMYFUNCTION("""COMPUTED_VALUE"""),"")</f>
        <v/>
      </c>
      <c r="D5196" t="str">
        <f>IFERROR(__xludf.DUMMYFUNCTION("""COMPUTED_VALUE"""),"")</f>
        <v/>
      </c>
      <c r="E5196" t="str">
        <f>IFERROR(__xludf.DUMMYFUNCTION("""COMPUTED_VALUE"""),"")</f>
        <v/>
      </c>
      <c r="F5196" t="str">
        <f>IFERROR(__xludf.DUMMYFUNCTION("""COMPUTED_VALUE"""),"")</f>
        <v/>
      </c>
      <c r="G5196" t="str">
        <f>IFERROR(__xludf.DUMMYFUNCTION("""COMPUTED_VALUE"""),"")</f>
        <v/>
      </c>
      <c r="H5196" s="2" t="str">
        <f>IFERROR(__xludf.DUMMYFUNCTION("""COMPUTED_VALUE"""),"")</f>
        <v/>
      </c>
      <c r="I5196" s="2" t="str">
        <f>IFERROR(__xludf.DUMMYFUNCTION("""COMPUTED_VALUE"""),"")</f>
        <v/>
      </c>
      <c r="J5196" s="2">
        <f>IFERROR(__xludf.DUMMYFUNCTION("""COMPUTED_VALUE"""),0.0)</f>
        <v>0</v>
      </c>
      <c r="K5196" s="5" t="str">
        <f>IFERROR(__xludf.DUMMYFUNCTION("""COMPUTED_VALUE"""),"")</f>
        <v/>
      </c>
      <c r="L5196" t="str">
        <f>IFERROR(__xludf.DUMMYFUNCTION("""COMPUTED_VALUE"""),"")</f>
        <v/>
      </c>
      <c r="M5196" t="str">
        <f>IFERROR(__xludf.DUMMYFUNCTION("""COMPUTED_VALUE"""),"")</f>
        <v/>
      </c>
      <c r="N5196" t="str">
        <f>IFERROR(__xludf.DUMMYFUNCTION("""COMPUTED_VALUE"""),"")</f>
        <v/>
      </c>
      <c r="O5196" t="str">
        <f>IFERROR(__xludf.DUMMYFUNCTION("""COMPUTED_VALUE"""),"")</f>
        <v/>
      </c>
      <c r="P5196" t="str">
        <f>IFERROR(__xludf.DUMMYFUNCTION("""COMPUTED_VALUE"""),"ID ")</f>
        <v>ID </v>
      </c>
    </row>
    <row r="5197">
      <c r="A5197" s="6" t="str">
        <f>IFERROR(__xludf.DUMMYFUNCTION("""COMPUTED_VALUE"""),"")</f>
        <v/>
      </c>
      <c r="C5197" t="str">
        <f>IFERROR(__xludf.DUMMYFUNCTION("""COMPUTED_VALUE"""),"")</f>
        <v/>
      </c>
      <c r="D5197" t="str">
        <f>IFERROR(__xludf.DUMMYFUNCTION("""COMPUTED_VALUE"""),"")</f>
        <v/>
      </c>
      <c r="E5197" t="str">
        <f>IFERROR(__xludf.DUMMYFUNCTION("""COMPUTED_VALUE"""),"")</f>
        <v/>
      </c>
      <c r="F5197" t="str">
        <f>IFERROR(__xludf.DUMMYFUNCTION("""COMPUTED_VALUE"""),"")</f>
        <v/>
      </c>
      <c r="G5197" t="str">
        <f>IFERROR(__xludf.DUMMYFUNCTION("""COMPUTED_VALUE"""),"")</f>
        <v/>
      </c>
      <c r="H5197" s="2" t="str">
        <f>IFERROR(__xludf.DUMMYFUNCTION("""COMPUTED_VALUE"""),"")</f>
        <v/>
      </c>
      <c r="I5197" s="2" t="str">
        <f>IFERROR(__xludf.DUMMYFUNCTION("""COMPUTED_VALUE"""),"")</f>
        <v/>
      </c>
      <c r="J5197" s="2">
        <f>IFERROR(__xludf.DUMMYFUNCTION("""COMPUTED_VALUE"""),0.0)</f>
        <v>0</v>
      </c>
      <c r="K5197" s="5" t="str">
        <f>IFERROR(__xludf.DUMMYFUNCTION("""COMPUTED_VALUE"""),"")</f>
        <v/>
      </c>
      <c r="L5197" t="str">
        <f>IFERROR(__xludf.DUMMYFUNCTION("""COMPUTED_VALUE"""),"")</f>
        <v/>
      </c>
      <c r="M5197" t="str">
        <f>IFERROR(__xludf.DUMMYFUNCTION("""COMPUTED_VALUE"""),"")</f>
        <v/>
      </c>
      <c r="N5197" t="str">
        <f>IFERROR(__xludf.DUMMYFUNCTION("""COMPUTED_VALUE"""),"")</f>
        <v/>
      </c>
      <c r="O5197" t="str">
        <f>IFERROR(__xludf.DUMMYFUNCTION("""COMPUTED_VALUE"""),"")</f>
        <v/>
      </c>
      <c r="P5197" t="str">
        <f>IFERROR(__xludf.DUMMYFUNCTION("""COMPUTED_VALUE"""),"ID ")</f>
        <v>ID </v>
      </c>
    </row>
    <row r="5198">
      <c r="A5198" s="6" t="str">
        <f>IFERROR(__xludf.DUMMYFUNCTION("""COMPUTED_VALUE"""),"")</f>
        <v/>
      </c>
      <c r="C5198" t="str">
        <f>IFERROR(__xludf.DUMMYFUNCTION("""COMPUTED_VALUE"""),"")</f>
        <v/>
      </c>
      <c r="D5198" t="str">
        <f>IFERROR(__xludf.DUMMYFUNCTION("""COMPUTED_VALUE"""),"")</f>
        <v/>
      </c>
      <c r="E5198" t="str">
        <f>IFERROR(__xludf.DUMMYFUNCTION("""COMPUTED_VALUE"""),"")</f>
        <v/>
      </c>
      <c r="F5198" t="str">
        <f>IFERROR(__xludf.DUMMYFUNCTION("""COMPUTED_VALUE"""),"")</f>
        <v/>
      </c>
      <c r="G5198" t="str">
        <f>IFERROR(__xludf.DUMMYFUNCTION("""COMPUTED_VALUE"""),"")</f>
        <v/>
      </c>
      <c r="H5198" s="2" t="str">
        <f>IFERROR(__xludf.DUMMYFUNCTION("""COMPUTED_VALUE"""),"")</f>
        <v/>
      </c>
      <c r="I5198" s="2" t="str">
        <f>IFERROR(__xludf.DUMMYFUNCTION("""COMPUTED_VALUE"""),"")</f>
        <v/>
      </c>
      <c r="J5198" s="2">
        <f>IFERROR(__xludf.DUMMYFUNCTION("""COMPUTED_VALUE"""),0.0)</f>
        <v>0</v>
      </c>
      <c r="K5198" s="5" t="str">
        <f>IFERROR(__xludf.DUMMYFUNCTION("""COMPUTED_VALUE"""),"")</f>
        <v/>
      </c>
      <c r="L5198" t="str">
        <f>IFERROR(__xludf.DUMMYFUNCTION("""COMPUTED_VALUE"""),"")</f>
        <v/>
      </c>
      <c r="M5198" t="str">
        <f>IFERROR(__xludf.DUMMYFUNCTION("""COMPUTED_VALUE"""),"")</f>
        <v/>
      </c>
      <c r="N5198" t="str">
        <f>IFERROR(__xludf.DUMMYFUNCTION("""COMPUTED_VALUE"""),"")</f>
        <v/>
      </c>
      <c r="O5198" t="str">
        <f>IFERROR(__xludf.DUMMYFUNCTION("""COMPUTED_VALUE"""),"")</f>
        <v/>
      </c>
      <c r="P5198" t="str">
        <f>IFERROR(__xludf.DUMMYFUNCTION("""COMPUTED_VALUE"""),"ID ")</f>
        <v>ID </v>
      </c>
    </row>
    <row r="5199">
      <c r="A5199" s="6" t="str">
        <f>IFERROR(__xludf.DUMMYFUNCTION("""COMPUTED_VALUE"""),"")</f>
        <v/>
      </c>
      <c r="C5199" t="str">
        <f>IFERROR(__xludf.DUMMYFUNCTION("""COMPUTED_VALUE"""),"")</f>
        <v/>
      </c>
      <c r="D5199" t="str">
        <f>IFERROR(__xludf.DUMMYFUNCTION("""COMPUTED_VALUE"""),"")</f>
        <v/>
      </c>
      <c r="E5199" t="str">
        <f>IFERROR(__xludf.DUMMYFUNCTION("""COMPUTED_VALUE"""),"")</f>
        <v/>
      </c>
      <c r="F5199" t="str">
        <f>IFERROR(__xludf.DUMMYFUNCTION("""COMPUTED_VALUE"""),"")</f>
        <v/>
      </c>
      <c r="G5199" t="str">
        <f>IFERROR(__xludf.DUMMYFUNCTION("""COMPUTED_VALUE"""),"")</f>
        <v/>
      </c>
      <c r="H5199" s="2" t="str">
        <f>IFERROR(__xludf.DUMMYFUNCTION("""COMPUTED_VALUE"""),"")</f>
        <v/>
      </c>
      <c r="I5199" s="2" t="str">
        <f>IFERROR(__xludf.DUMMYFUNCTION("""COMPUTED_VALUE"""),"")</f>
        <v/>
      </c>
      <c r="J5199" s="2">
        <f>IFERROR(__xludf.DUMMYFUNCTION("""COMPUTED_VALUE"""),0.0)</f>
        <v>0</v>
      </c>
      <c r="K5199" s="5" t="str">
        <f>IFERROR(__xludf.DUMMYFUNCTION("""COMPUTED_VALUE"""),"")</f>
        <v/>
      </c>
      <c r="L5199" t="str">
        <f>IFERROR(__xludf.DUMMYFUNCTION("""COMPUTED_VALUE"""),"")</f>
        <v/>
      </c>
      <c r="M5199" t="str">
        <f>IFERROR(__xludf.DUMMYFUNCTION("""COMPUTED_VALUE"""),"")</f>
        <v/>
      </c>
      <c r="N5199" t="str">
        <f>IFERROR(__xludf.DUMMYFUNCTION("""COMPUTED_VALUE"""),"")</f>
        <v/>
      </c>
      <c r="O5199" t="str">
        <f>IFERROR(__xludf.DUMMYFUNCTION("""COMPUTED_VALUE"""),"")</f>
        <v/>
      </c>
      <c r="P5199" t="str">
        <f>IFERROR(__xludf.DUMMYFUNCTION("""COMPUTED_VALUE"""),"ID ")</f>
        <v>ID </v>
      </c>
    </row>
    <row r="5200">
      <c r="A5200" s="6" t="str">
        <f>IFERROR(__xludf.DUMMYFUNCTION("""COMPUTED_VALUE"""),"")</f>
        <v/>
      </c>
      <c r="C5200" t="str">
        <f>IFERROR(__xludf.DUMMYFUNCTION("""COMPUTED_VALUE"""),"")</f>
        <v/>
      </c>
      <c r="D5200" t="str">
        <f>IFERROR(__xludf.DUMMYFUNCTION("""COMPUTED_VALUE"""),"")</f>
        <v/>
      </c>
      <c r="E5200" t="str">
        <f>IFERROR(__xludf.DUMMYFUNCTION("""COMPUTED_VALUE"""),"")</f>
        <v/>
      </c>
      <c r="F5200" t="str">
        <f>IFERROR(__xludf.DUMMYFUNCTION("""COMPUTED_VALUE"""),"")</f>
        <v/>
      </c>
      <c r="G5200" t="str">
        <f>IFERROR(__xludf.DUMMYFUNCTION("""COMPUTED_VALUE"""),"")</f>
        <v/>
      </c>
      <c r="H5200" s="2" t="str">
        <f>IFERROR(__xludf.DUMMYFUNCTION("""COMPUTED_VALUE"""),"")</f>
        <v/>
      </c>
      <c r="I5200" s="2" t="str">
        <f>IFERROR(__xludf.DUMMYFUNCTION("""COMPUTED_VALUE"""),"")</f>
        <v/>
      </c>
      <c r="J5200" s="2">
        <f>IFERROR(__xludf.DUMMYFUNCTION("""COMPUTED_VALUE"""),0.0)</f>
        <v>0</v>
      </c>
      <c r="K5200" s="5" t="str">
        <f>IFERROR(__xludf.DUMMYFUNCTION("""COMPUTED_VALUE"""),"")</f>
        <v/>
      </c>
      <c r="L5200" t="str">
        <f>IFERROR(__xludf.DUMMYFUNCTION("""COMPUTED_VALUE"""),"")</f>
        <v/>
      </c>
      <c r="M5200" t="str">
        <f>IFERROR(__xludf.DUMMYFUNCTION("""COMPUTED_VALUE"""),"")</f>
        <v/>
      </c>
      <c r="N5200" t="str">
        <f>IFERROR(__xludf.DUMMYFUNCTION("""COMPUTED_VALUE"""),"")</f>
        <v/>
      </c>
      <c r="O5200" t="str">
        <f>IFERROR(__xludf.DUMMYFUNCTION("""COMPUTED_VALUE"""),"")</f>
        <v/>
      </c>
      <c r="P5200" t="str">
        <f>IFERROR(__xludf.DUMMYFUNCTION("""COMPUTED_VALUE"""),"ID ")</f>
        <v>ID </v>
      </c>
    </row>
    <row r="5201">
      <c r="A5201" s="6" t="str">
        <f>IFERROR(__xludf.DUMMYFUNCTION("""COMPUTED_VALUE"""),"")</f>
        <v/>
      </c>
      <c r="C5201" t="str">
        <f>IFERROR(__xludf.DUMMYFUNCTION("""COMPUTED_VALUE"""),"")</f>
        <v/>
      </c>
      <c r="D5201" t="str">
        <f>IFERROR(__xludf.DUMMYFUNCTION("""COMPUTED_VALUE"""),"")</f>
        <v/>
      </c>
      <c r="E5201" t="str">
        <f>IFERROR(__xludf.DUMMYFUNCTION("""COMPUTED_VALUE"""),"")</f>
        <v/>
      </c>
      <c r="F5201" t="str">
        <f>IFERROR(__xludf.DUMMYFUNCTION("""COMPUTED_VALUE"""),"")</f>
        <v/>
      </c>
      <c r="G5201" t="str">
        <f>IFERROR(__xludf.DUMMYFUNCTION("""COMPUTED_VALUE"""),"")</f>
        <v/>
      </c>
      <c r="H5201" s="2" t="str">
        <f>IFERROR(__xludf.DUMMYFUNCTION("""COMPUTED_VALUE"""),"")</f>
        <v/>
      </c>
      <c r="I5201" s="2" t="str">
        <f>IFERROR(__xludf.DUMMYFUNCTION("""COMPUTED_VALUE"""),"")</f>
        <v/>
      </c>
      <c r="J5201" s="2">
        <f>IFERROR(__xludf.DUMMYFUNCTION("""COMPUTED_VALUE"""),0.0)</f>
        <v>0</v>
      </c>
      <c r="K5201" s="5" t="str">
        <f>IFERROR(__xludf.DUMMYFUNCTION("""COMPUTED_VALUE"""),"")</f>
        <v/>
      </c>
      <c r="L5201" t="str">
        <f>IFERROR(__xludf.DUMMYFUNCTION("""COMPUTED_VALUE"""),"")</f>
        <v/>
      </c>
      <c r="M5201" t="str">
        <f>IFERROR(__xludf.DUMMYFUNCTION("""COMPUTED_VALUE"""),"")</f>
        <v/>
      </c>
      <c r="N5201" t="str">
        <f>IFERROR(__xludf.DUMMYFUNCTION("""COMPUTED_VALUE"""),"")</f>
        <v/>
      </c>
      <c r="O5201" t="str">
        <f>IFERROR(__xludf.DUMMYFUNCTION("""COMPUTED_VALUE"""),"")</f>
        <v/>
      </c>
      <c r="P5201" t="str">
        <f>IFERROR(__xludf.DUMMYFUNCTION("""COMPUTED_VALUE"""),"ID ")</f>
        <v>ID </v>
      </c>
    </row>
    <row r="5202">
      <c r="A5202" s="6" t="str">
        <f>IFERROR(__xludf.DUMMYFUNCTION("""COMPUTED_VALUE"""),"")</f>
        <v/>
      </c>
      <c r="C5202" t="str">
        <f>IFERROR(__xludf.DUMMYFUNCTION("""COMPUTED_VALUE"""),"")</f>
        <v/>
      </c>
      <c r="D5202" t="str">
        <f>IFERROR(__xludf.DUMMYFUNCTION("""COMPUTED_VALUE"""),"")</f>
        <v/>
      </c>
      <c r="E5202" t="str">
        <f>IFERROR(__xludf.DUMMYFUNCTION("""COMPUTED_VALUE"""),"")</f>
        <v/>
      </c>
      <c r="F5202" t="str">
        <f>IFERROR(__xludf.DUMMYFUNCTION("""COMPUTED_VALUE"""),"")</f>
        <v/>
      </c>
      <c r="G5202" t="str">
        <f>IFERROR(__xludf.DUMMYFUNCTION("""COMPUTED_VALUE"""),"")</f>
        <v/>
      </c>
      <c r="H5202" s="2" t="str">
        <f>IFERROR(__xludf.DUMMYFUNCTION("""COMPUTED_VALUE"""),"")</f>
        <v/>
      </c>
      <c r="I5202" s="2" t="str">
        <f>IFERROR(__xludf.DUMMYFUNCTION("""COMPUTED_VALUE"""),"")</f>
        <v/>
      </c>
      <c r="J5202" s="2">
        <f>IFERROR(__xludf.DUMMYFUNCTION("""COMPUTED_VALUE"""),0.0)</f>
        <v>0</v>
      </c>
      <c r="K5202" s="5" t="str">
        <f>IFERROR(__xludf.DUMMYFUNCTION("""COMPUTED_VALUE"""),"")</f>
        <v/>
      </c>
      <c r="L5202" t="str">
        <f>IFERROR(__xludf.DUMMYFUNCTION("""COMPUTED_VALUE"""),"")</f>
        <v/>
      </c>
      <c r="M5202" t="str">
        <f>IFERROR(__xludf.DUMMYFUNCTION("""COMPUTED_VALUE"""),"")</f>
        <v/>
      </c>
      <c r="N5202" t="str">
        <f>IFERROR(__xludf.DUMMYFUNCTION("""COMPUTED_VALUE"""),"")</f>
        <v/>
      </c>
      <c r="O5202" t="str">
        <f>IFERROR(__xludf.DUMMYFUNCTION("""COMPUTED_VALUE"""),"")</f>
        <v/>
      </c>
      <c r="P5202" t="str">
        <f>IFERROR(__xludf.DUMMYFUNCTION("""COMPUTED_VALUE"""),"ID ")</f>
        <v>ID </v>
      </c>
    </row>
    <row r="5203">
      <c r="A5203" s="6" t="str">
        <f>IFERROR(__xludf.DUMMYFUNCTION("""COMPUTED_VALUE"""),"")</f>
        <v/>
      </c>
      <c r="C5203" t="str">
        <f>IFERROR(__xludf.DUMMYFUNCTION("""COMPUTED_VALUE"""),"")</f>
        <v/>
      </c>
      <c r="D5203" t="str">
        <f>IFERROR(__xludf.DUMMYFUNCTION("""COMPUTED_VALUE"""),"")</f>
        <v/>
      </c>
      <c r="E5203" t="str">
        <f>IFERROR(__xludf.DUMMYFUNCTION("""COMPUTED_VALUE"""),"")</f>
        <v/>
      </c>
      <c r="F5203" t="str">
        <f>IFERROR(__xludf.DUMMYFUNCTION("""COMPUTED_VALUE"""),"")</f>
        <v/>
      </c>
      <c r="G5203" t="str">
        <f>IFERROR(__xludf.DUMMYFUNCTION("""COMPUTED_VALUE"""),"")</f>
        <v/>
      </c>
      <c r="H5203" s="2" t="str">
        <f>IFERROR(__xludf.DUMMYFUNCTION("""COMPUTED_VALUE"""),"")</f>
        <v/>
      </c>
      <c r="I5203" s="2" t="str">
        <f>IFERROR(__xludf.DUMMYFUNCTION("""COMPUTED_VALUE"""),"")</f>
        <v/>
      </c>
      <c r="J5203" s="2">
        <f>IFERROR(__xludf.DUMMYFUNCTION("""COMPUTED_VALUE"""),0.0)</f>
        <v>0</v>
      </c>
      <c r="K5203" s="5" t="str">
        <f>IFERROR(__xludf.DUMMYFUNCTION("""COMPUTED_VALUE"""),"")</f>
        <v/>
      </c>
      <c r="L5203" t="str">
        <f>IFERROR(__xludf.DUMMYFUNCTION("""COMPUTED_VALUE"""),"")</f>
        <v/>
      </c>
      <c r="M5203" t="str">
        <f>IFERROR(__xludf.DUMMYFUNCTION("""COMPUTED_VALUE"""),"")</f>
        <v/>
      </c>
      <c r="N5203" t="str">
        <f>IFERROR(__xludf.DUMMYFUNCTION("""COMPUTED_VALUE"""),"")</f>
        <v/>
      </c>
      <c r="O5203" t="str">
        <f>IFERROR(__xludf.DUMMYFUNCTION("""COMPUTED_VALUE"""),"")</f>
        <v/>
      </c>
      <c r="P5203" t="str">
        <f>IFERROR(__xludf.DUMMYFUNCTION("""COMPUTED_VALUE"""),"ID ")</f>
        <v>ID </v>
      </c>
    </row>
    <row r="5204">
      <c r="A5204" s="6" t="str">
        <f>IFERROR(__xludf.DUMMYFUNCTION("""COMPUTED_VALUE"""),"")</f>
        <v/>
      </c>
      <c r="C5204" t="str">
        <f>IFERROR(__xludf.DUMMYFUNCTION("""COMPUTED_VALUE"""),"")</f>
        <v/>
      </c>
      <c r="D5204" t="str">
        <f>IFERROR(__xludf.DUMMYFUNCTION("""COMPUTED_VALUE"""),"")</f>
        <v/>
      </c>
      <c r="E5204" t="str">
        <f>IFERROR(__xludf.DUMMYFUNCTION("""COMPUTED_VALUE"""),"")</f>
        <v/>
      </c>
      <c r="F5204" t="str">
        <f>IFERROR(__xludf.DUMMYFUNCTION("""COMPUTED_VALUE"""),"")</f>
        <v/>
      </c>
      <c r="G5204" t="str">
        <f>IFERROR(__xludf.DUMMYFUNCTION("""COMPUTED_VALUE"""),"")</f>
        <v/>
      </c>
      <c r="H5204" s="2" t="str">
        <f>IFERROR(__xludf.DUMMYFUNCTION("""COMPUTED_VALUE"""),"")</f>
        <v/>
      </c>
      <c r="I5204" s="2" t="str">
        <f>IFERROR(__xludf.DUMMYFUNCTION("""COMPUTED_VALUE"""),"")</f>
        <v/>
      </c>
      <c r="J5204" s="2">
        <f>IFERROR(__xludf.DUMMYFUNCTION("""COMPUTED_VALUE"""),0.0)</f>
        <v>0</v>
      </c>
      <c r="K5204" s="5" t="str">
        <f>IFERROR(__xludf.DUMMYFUNCTION("""COMPUTED_VALUE"""),"")</f>
        <v/>
      </c>
      <c r="L5204" t="str">
        <f>IFERROR(__xludf.DUMMYFUNCTION("""COMPUTED_VALUE"""),"")</f>
        <v/>
      </c>
      <c r="M5204" t="str">
        <f>IFERROR(__xludf.DUMMYFUNCTION("""COMPUTED_VALUE"""),"")</f>
        <v/>
      </c>
      <c r="N5204" t="str">
        <f>IFERROR(__xludf.DUMMYFUNCTION("""COMPUTED_VALUE"""),"")</f>
        <v/>
      </c>
      <c r="O5204" t="str">
        <f>IFERROR(__xludf.DUMMYFUNCTION("""COMPUTED_VALUE"""),"")</f>
        <v/>
      </c>
      <c r="P5204" t="str">
        <f>IFERROR(__xludf.DUMMYFUNCTION("""COMPUTED_VALUE"""),"ID ")</f>
        <v>ID </v>
      </c>
    </row>
    <row r="5205">
      <c r="A5205" s="6" t="str">
        <f>IFERROR(__xludf.DUMMYFUNCTION("""COMPUTED_VALUE"""),"")</f>
        <v/>
      </c>
      <c r="C5205" t="str">
        <f>IFERROR(__xludf.DUMMYFUNCTION("""COMPUTED_VALUE"""),"")</f>
        <v/>
      </c>
      <c r="D5205" t="str">
        <f>IFERROR(__xludf.DUMMYFUNCTION("""COMPUTED_VALUE"""),"")</f>
        <v/>
      </c>
      <c r="E5205" t="str">
        <f>IFERROR(__xludf.DUMMYFUNCTION("""COMPUTED_VALUE"""),"")</f>
        <v/>
      </c>
      <c r="F5205" t="str">
        <f>IFERROR(__xludf.DUMMYFUNCTION("""COMPUTED_VALUE"""),"")</f>
        <v/>
      </c>
      <c r="G5205" t="str">
        <f>IFERROR(__xludf.DUMMYFUNCTION("""COMPUTED_VALUE"""),"")</f>
        <v/>
      </c>
      <c r="H5205" s="2" t="str">
        <f>IFERROR(__xludf.DUMMYFUNCTION("""COMPUTED_VALUE"""),"")</f>
        <v/>
      </c>
      <c r="I5205" s="2" t="str">
        <f>IFERROR(__xludf.DUMMYFUNCTION("""COMPUTED_VALUE"""),"")</f>
        <v/>
      </c>
      <c r="J5205" s="2">
        <f>IFERROR(__xludf.DUMMYFUNCTION("""COMPUTED_VALUE"""),0.0)</f>
        <v>0</v>
      </c>
      <c r="K5205" s="5" t="str">
        <f>IFERROR(__xludf.DUMMYFUNCTION("""COMPUTED_VALUE"""),"")</f>
        <v/>
      </c>
      <c r="L5205" t="str">
        <f>IFERROR(__xludf.DUMMYFUNCTION("""COMPUTED_VALUE"""),"")</f>
        <v/>
      </c>
      <c r="M5205" t="str">
        <f>IFERROR(__xludf.DUMMYFUNCTION("""COMPUTED_VALUE"""),"")</f>
        <v/>
      </c>
      <c r="N5205" t="str">
        <f>IFERROR(__xludf.DUMMYFUNCTION("""COMPUTED_VALUE"""),"")</f>
        <v/>
      </c>
      <c r="O5205" t="str">
        <f>IFERROR(__xludf.DUMMYFUNCTION("""COMPUTED_VALUE"""),"")</f>
        <v/>
      </c>
      <c r="P5205" t="str">
        <f>IFERROR(__xludf.DUMMYFUNCTION("""COMPUTED_VALUE"""),"ID ")</f>
        <v>ID </v>
      </c>
    </row>
    <row r="5206">
      <c r="A5206" s="6" t="str">
        <f>IFERROR(__xludf.DUMMYFUNCTION("""COMPUTED_VALUE"""),"")</f>
        <v/>
      </c>
      <c r="C5206" t="str">
        <f>IFERROR(__xludf.DUMMYFUNCTION("""COMPUTED_VALUE"""),"")</f>
        <v/>
      </c>
      <c r="D5206" t="str">
        <f>IFERROR(__xludf.DUMMYFUNCTION("""COMPUTED_VALUE"""),"")</f>
        <v/>
      </c>
      <c r="E5206" t="str">
        <f>IFERROR(__xludf.DUMMYFUNCTION("""COMPUTED_VALUE"""),"")</f>
        <v/>
      </c>
      <c r="F5206" t="str">
        <f>IFERROR(__xludf.DUMMYFUNCTION("""COMPUTED_VALUE"""),"")</f>
        <v/>
      </c>
      <c r="G5206" t="str">
        <f>IFERROR(__xludf.DUMMYFUNCTION("""COMPUTED_VALUE"""),"")</f>
        <v/>
      </c>
      <c r="H5206" s="2" t="str">
        <f>IFERROR(__xludf.DUMMYFUNCTION("""COMPUTED_VALUE"""),"")</f>
        <v/>
      </c>
      <c r="I5206" s="2" t="str">
        <f>IFERROR(__xludf.DUMMYFUNCTION("""COMPUTED_VALUE"""),"")</f>
        <v/>
      </c>
      <c r="J5206" s="2">
        <f>IFERROR(__xludf.DUMMYFUNCTION("""COMPUTED_VALUE"""),0.0)</f>
        <v>0</v>
      </c>
      <c r="K5206" s="5" t="str">
        <f>IFERROR(__xludf.DUMMYFUNCTION("""COMPUTED_VALUE"""),"")</f>
        <v/>
      </c>
      <c r="L5206" t="str">
        <f>IFERROR(__xludf.DUMMYFUNCTION("""COMPUTED_VALUE"""),"")</f>
        <v/>
      </c>
      <c r="M5206" t="str">
        <f>IFERROR(__xludf.DUMMYFUNCTION("""COMPUTED_VALUE"""),"")</f>
        <v/>
      </c>
      <c r="N5206" t="str">
        <f>IFERROR(__xludf.DUMMYFUNCTION("""COMPUTED_VALUE"""),"")</f>
        <v/>
      </c>
      <c r="O5206" t="str">
        <f>IFERROR(__xludf.DUMMYFUNCTION("""COMPUTED_VALUE"""),"")</f>
        <v/>
      </c>
      <c r="P5206" t="str">
        <f>IFERROR(__xludf.DUMMYFUNCTION("""COMPUTED_VALUE"""),"ID ")</f>
        <v>ID </v>
      </c>
    </row>
    <row r="5207">
      <c r="A5207" s="6" t="str">
        <f>IFERROR(__xludf.DUMMYFUNCTION("""COMPUTED_VALUE"""),"")</f>
        <v/>
      </c>
      <c r="C5207" t="str">
        <f>IFERROR(__xludf.DUMMYFUNCTION("""COMPUTED_VALUE"""),"")</f>
        <v/>
      </c>
      <c r="D5207" t="str">
        <f>IFERROR(__xludf.DUMMYFUNCTION("""COMPUTED_VALUE"""),"")</f>
        <v/>
      </c>
      <c r="E5207" t="str">
        <f>IFERROR(__xludf.DUMMYFUNCTION("""COMPUTED_VALUE"""),"")</f>
        <v/>
      </c>
      <c r="F5207" t="str">
        <f>IFERROR(__xludf.DUMMYFUNCTION("""COMPUTED_VALUE"""),"")</f>
        <v/>
      </c>
      <c r="G5207" t="str">
        <f>IFERROR(__xludf.DUMMYFUNCTION("""COMPUTED_VALUE"""),"")</f>
        <v/>
      </c>
      <c r="H5207" s="2" t="str">
        <f>IFERROR(__xludf.DUMMYFUNCTION("""COMPUTED_VALUE"""),"")</f>
        <v/>
      </c>
      <c r="I5207" s="2" t="str">
        <f>IFERROR(__xludf.DUMMYFUNCTION("""COMPUTED_VALUE"""),"")</f>
        <v/>
      </c>
      <c r="J5207" s="2">
        <f>IFERROR(__xludf.DUMMYFUNCTION("""COMPUTED_VALUE"""),0.0)</f>
        <v>0</v>
      </c>
      <c r="K5207" s="5" t="str">
        <f>IFERROR(__xludf.DUMMYFUNCTION("""COMPUTED_VALUE"""),"")</f>
        <v/>
      </c>
      <c r="L5207" t="str">
        <f>IFERROR(__xludf.DUMMYFUNCTION("""COMPUTED_VALUE"""),"")</f>
        <v/>
      </c>
      <c r="M5207" t="str">
        <f>IFERROR(__xludf.DUMMYFUNCTION("""COMPUTED_VALUE"""),"")</f>
        <v/>
      </c>
      <c r="N5207" t="str">
        <f>IFERROR(__xludf.DUMMYFUNCTION("""COMPUTED_VALUE"""),"")</f>
        <v/>
      </c>
      <c r="O5207" t="str">
        <f>IFERROR(__xludf.DUMMYFUNCTION("""COMPUTED_VALUE"""),"")</f>
        <v/>
      </c>
      <c r="P5207" t="str">
        <f>IFERROR(__xludf.DUMMYFUNCTION("""COMPUTED_VALUE"""),"ID ")</f>
        <v>ID </v>
      </c>
    </row>
    <row r="5208">
      <c r="A5208" s="6" t="str">
        <f>IFERROR(__xludf.DUMMYFUNCTION("""COMPUTED_VALUE"""),"")</f>
        <v/>
      </c>
      <c r="C5208" t="str">
        <f>IFERROR(__xludf.DUMMYFUNCTION("""COMPUTED_VALUE"""),"")</f>
        <v/>
      </c>
      <c r="D5208" t="str">
        <f>IFERROR(__xludf.DUMMYFUNCTION("""COMPUTED_VALUE"""),"")</f>
        <v/>
      </c>
      <c r="E5208" t="str">
        <f>IFERROR(__xludf.DUMMYFUNCTION("""COMPUTED_VALUE"""),"")</f>
        <v/>
      </c>
      <c r="F5208" t="str">
        <f>IFERROR(__xludf.DUMMYFUNCTION("""COMPUTED_VALUE"""),"")</f>
        <v/>
      </c>
      <c r="G5208" t="str">
        <f>IFERROR(__xludf.DUMMYFUNCTION("""COMPUTED_VALUE"""),"")</f>
        <v/>
      </c>
      <c r="H5208" s="2" t="str">
        <f>IFERROR(__xludf.DUMMYFUNCTION("""COMPUTED_VALUE"""),"")</f>
        <v/>
      </c>
      <c r="I5208" s="2" t="str">
        <f>IFERROR(__xludf.DUMMYFUNCTION("""COMPUTED_VALUE"""),"")</f>
        <v/>
      </c>
      <c r="J5208" s="2">
        <f>IFERROR(__xludf.DUMMYFUNCTION("""COMPUTED_VALUE"""),0.0)</f>
        <v>0</v>
      </c>
      <c r="K5208" s="5" t="str">
        <f>IFERROR(__xludf.DUMMYFUNCTION("""COMPUTED_VALUE"""),"")</f>
        <v/>
      </c>
      <c r="L5208" t="str">
        <f>IFERROR(__xludf.DUMMYFUNCTION("""COMPUTED_VALUE"""),"")</f>
        <v/>
      </c>
      <c r="M5208" t="str">
        <f>IFERROR(__xludf.DUMMYFUNCTION("""COMPUTED_VALUE"""),"")</f>
        <v/>
      </c>
      <c r="N5208" t="str">
        <f>IFERROR(__xludf.DUMMYFUNCTION("""COMPUTED_VALUE"""),"")</f>
        <v/>
      </c>
      <c r="O5208" t="str">
        <f>IFERROR(__xludf.DUMMYFUNCTION("""COMPUTED_VALUE"""),"")</f>
        <v/>
      </c>
      <c r="P5208" t="str">
        <f>IFERROR(__xludf.DUMMYFUNCTION("""COMPUTED_VALUE"""),"ID ")</f>
        <v>ID </v>
      </c>
    </row>
    <row r="5209">
      <c r="A5209" s="6" t="str">
        <f>IFERROR(__xludf.DUMMYFUNCTION("""COMPUTED_VALUE"""),"")</f>
        <v/>
      </c>
      <c r="C5209" t="str">
        <f>IFERROR(__xludf.DUMMYFUNCTION("""COMPUTED_VALUE"""),"")</f>
        <v/>
      </c>
      <c r="D5209" t="str">
        <f>IFERROR(__xludf.DUMMYFUNCTION("""COMPUTED_VALUE"""),"")</f>
        <v/>
      </c>
      <c r="E5209" t="str">
        <f>IFERROR(__xludf.DUMMYFUNCTION("""COMPUTED_VALUE"""),"")</f>
        <v/>
      </c>
      <c r="F5209" t="str">
        <f>IFERROR(__xludf.DUMMYFUNCTION("""COMPUTED_VALUE"""),"")</f>
        <v/>
      </c>
      <c r="G5209" t="str">
        <f>IFERROR(__xludf.DUMMYFUNCTION("""COMPUTED_VALUE"""),"")</f>
        <v/>
      </c>
      <c r="H5209" s="2" t="str">
        <f>IFERROR(__xludf.DUMMYFUNCTION("""COMPUTED_VALUE"""),"")</f>
        <v/>
      </c>
      <c r="I5209" s="2" t="str">
        <f>IFERROR(__xludf.DUMMYFUNCTION("""COMPUTED_VALUE"""),"")</f>
        <v/>
      </c>
      <c r="J5209" s="2">
        <f>IFERROR(__xludf.DUMMYFUNCTION("""COMPUTED_VALUE"""),0.0)</f>
        <v>0</v>
      </c>
      <c r="K5209" s="5" t="str">
        <f>IFERROR(__xludf.DUMMYFUNCTION("""COMPUTED_VALUE"""),"")</f>
        <v/>
      </c>
      <c r="L5209" t="str">
        <f>IFERROR(__xludf.DUMMYFUNCTION("""COMPUTED_VALUE"""),"")</f>
        <v/>
      </c>
      <c r="M5209" t="str">
        <f>IFERROR(__xludf.DUMMYFUNCTION("""COMPUTED_VALUE"""),"")</f>
        <v/>
      </c>
      <c r="N5209" t="str">
        <f>IFERROR(__xludf.DUMMYFUNCTION("""COMPUTED_VALUE"""),"")</f>
        <v/>
      </c>
      <c r="O5209" t="str">
        <f>IFERROR(__xludf.DUMMYFUNCTION("""COMPUTED_VALUE"""),"")</f>
        <v/>
      </c>
      <c r="P5209" t="str">
        <f>IFERROR(__xludf.DUMMYFUNCTION("""COMPUTED_VALUE"""),"ID ")</f>
        <v>ID </v>
      </c>
    </row>
    <row r="5210">
      <c r="A5210" s="6" t="str">
        <f>IFERROR(__xludf.DUMMYFUNCTION("""COMPUTED_VALUE"""),"")</f>
        <v/>
      </c>
      <c r="C5210" t="str">
        <f>IFERROR(__xludf.DUMMYFUNCTION("""COMPUTED_VALUE"""),"")</f>
        <v/>
      </c>
      <c r="D5210" t="str">
        <f>IFERROR(__xludf.DUMMYFUNCTION("""COMPUTED_VALUE"""),"")</f>
        <v/>
      </c>
      <c r="E5210" t="str">
        <f>IFERROR(__xludf.DUMMYFUNCTION("""COMPUTED_VALUE"""),"")</f>
        <v/>
      </c>
      <c r="F5210" t="str">
        <f>IFERROR(__xludf.DUMMYFUNCTION("""COMPUTED_VALUE"""),"")</f>
        <v/>
      </c>
      <c r="G5210" t="str">
        <f>IFERROR(__xludf.DUMMYFUNCTION("""COMPUTED_VALUE"""),"")</f>
        <v/>
      </c>
      <c r="H5210" s="2" t="str">
        <f>IFERROR(__xludf.DUMMYFUNCTION("""COMPUTED_VALUE"""),"")</f>
        <v/>
      </c>
      <c r="I5210" s="2" t="str">
        <f>IFERROR(__xludf.DUMMYFUNCTION("""COMPUTED_VALUE"""),"")</f>
        <v/>
      </c>
      <c r="J5210" s="2">
        <f>IFERROR(__xludf.DUMMYFUNCTION("""COMPUTED_VALUE"""),0.0)</f>
        <v>0</v>
      </c>
      <c r="K5210" s="5" t="str">
        <f>IFERROR(__xludf.DUMMYFUNCTION("""COMPUTED_VALUE"""),"")</f>
        <v/>
      </c>
      <c r="L5210" t="str">
        <f>IFERROR(__xludf.DUMMYFUNCTION("""COMPUTED_VALUE"""),"")</f>
        <v/>
      </c>
      <c r="M5210" t="str">
        <f>IFERROR(__xludf.DUMMYFUNCTION("""COMPUTED_VALUE"""),"")</f>
        <v/>
      </c>
      <c r="N5210" t="str">
        <f>IFERROR(__xludf.DUMMYFUNCTION("""COMPUTED_VALUE"""),"")</f>
        <v/>
      </c>
      <c r="O5210" t="str">
        <f>IFERROR(__xludf.DUMMYFUNCTION("""COMPUTED_VALUE"""),"")</f>
        <v/>
      </c>
      <c r="P5210" t="str">
        <f>IFERROR(__xludf.DUMMYFUNCTION("""COMPUTED_VALUE"""),"ID ")</f>
        <v>ID </v>
      </c>
    </row>
    <row r="5211">
      <c r="A5211" s="6" t="str">
        <f>IFERROR(__xludf.DUMMYFUNCTION("""COMPUTED_VALUE"""),"")</f>
        <v/>
      </c>
      <c r="C5211" t="str">
        <f>IFERROR(__xludf.DUMMYFUNCTION("""COMPUTED_VALUE"""),"")</f>
        <v/>
      </c>
      <c r="D5211" t="str">
        <f>IFERROR(__xludf.DUMMYFUNCTION("""COMPUTED_VALUE"""),"")</f>
        <v/>
      </c>
      <c r="E5211" t="str">
        <f>IFERROR(__xludf.DUMMYFUNCTION("""COMPUTED_VALUE"""),"")</f>
        <v/>
      </c>
      <c r="F5211" t="str">
        <f>IFERROR(__xludf.DUMMYFUNCTION("""COMPUTED_VALUE"""),"")</f>
        <v/>
      </c>
      <c r="G5211" t="str">
        <f>IFERROR(__xludf.DUMMYFUNCTION("""COMPUTED_VALUE"""),"")</f>
        <v/>
      </c>
      <c r="H5211" s="2" t="str">
        <f>IFERROR(__xludf.DUMMYFUNCTION("""COMPUTED_VALUE"""),"")</f>
        <v/>
      </c>
      <c r="I5211" s="2" t="str">
        <f>IFERROR(__xludf.DUMMYFUNCTION("""COMPUTED_VALUE"""),"")</f>
        <v/>
      </c>
      <c r="J5211" s="2">
        <f>IFERROR(__xludf.DUMMYFUNCTION("""COMPUTED_VALUE"""),0.0)</f>
        <v>0</v>
      </c>
      <c r="K5211" s="5" t="str">
        <f>IFERROR(__xludf.DUMMYFUNCTION("""COMPUTED_VALUE"""),"")</f>
        <v/>
      </c>
      <c r="L5211" t="str">
        <f>IFERROR(__xludf.DUMMYFUNCTION("""COMPUTED_VALUE"""),"")</f>
        <v/>
      </c>
      <c r="M5211" t="str">
        <f>IFERROR(__xludf.DUMMYFUNCTION("""COMPUTED_VALUE"""),"")</f>
        <v/>
      </c>
      <c r="N5211" t="str">
        <f>IFERROR(__xludf.DUMMYFUNCTION("""COMPUTED_VALUE"""),"")</f>
        <v/>
      </c>
      <c r="O5211" t="str">
        <f>IFERROR(__xludf.DUMMYFUNCTION("""COMPUTED_VALUE"""),"")</f>
        <v/>
      </c>
      <c r="P5211" t="str">
        <f>IFERROR(__xludf.DUMMYFUNCTION("""COMPUTED_VALUE"""),"ID ")</f>
        <v>ID </v>
      </c>
    </row>
    <row r="5212">
      <c r="A5212" s="6" t="str">
        <f>IFERROR(__xludf.DUMMYFUNCTION("""COMPUTED_VALUE"""),"")</f>
        <v/>
      </c>
      <c r="C5212" t="str">
        <f>IFERROR(__xludf.DUMMYFUNCTION("""COMPUTED_VALUE"""),"")</f>
        <v/>
      </c>
      <c r="D5212" t="str">
        <f>IFERROR(__xludf.DUMMYFUNCTION("""COMPUTED_VALUE"""),"")</f>
        <v/>
      </c>
      <c r="E5212" t="str">
        <f>IFERROR(__xludf.DUMMYFUNCTION("""COMPUTED_VALUE"""),"")</f>
        <v/>
      </c>
      <c r="F5212" t="str">
        <f>IFERROR(__xludf.DUMMYFUNCTION("""COMPUTED_VALUE"""),"")</f>
        <v/>
      </c>
      <c r="G5212" t="str">
        <f>IFERROR(__xludf.DUMMYFUNCTION("""COMPUTED_VALUE"""),"")</f>
        <v/>
      </c>
      <c r="H5212" s="2" t="str">
        <f>IFERROR(__xludf.DUMMYFUNCTION("""COMPUTED_VALUE"""),"")</f>
        <v/>
      </c>
      <c r="I5212" s="2" t="str">
        <f>IFERROR(__xludf.DUMMYFUNCTION("""COMPUTED_VALUE"""),"")</f>
        <v/>
      </c>
      <c r="J5212" s="2">
        <f>IFERROR(__xludf.DUMMYFUNCTION("""COMPUTED_VALUE"""),0.0)</f>
        <v>0</v>
      </c>
      <c r="K5212" s="5" t="str">
        <f>IFERROR(__xludf.DUMMYFUNCTION("""COMPUTED_VALUE"""),"")</f>
        <v/>
      </c>
      <c r="L5212" t="str">
        <f>IFERROR(__xludf.DUMMYFUNCTION("""COMPUTED_VALUE"""),"")</f>
        <v/>
      </c>
      <c r="M5212" t="str">
        <f>IFERROR(__xludf.DUMMYFUNCTION("""COMPUTED_VALUE"""),"")</f>
        <v/>
      </c>
      <c r="N5212" t="str">
        <f>IFERROR(__xludf.DUMMYFUNCTION("""COMPUTED_VALUE"""),"")</f>
        <v/>
      </c>
      <c r="O5212" t="str">
        <f>IFERROR(__xludf.DUMMYFUNCTION("""COMPUTED_VALUE"""),"")</f>
        <v/>
      </c>
      <c r="P5212" t="str">
        <f>IFERROR(__xludf.DUMMYFUNCTION("""COMPUTED_VALUE"""),"ID ")</f>
        <v>ID </v>
      </c>
    </row>
    <row r="5213">
      <c r="A5213" s="6" t="str">
        <f>IFERROR(__xludf.DUMMYFUNCTION("""COMPUTED_VALUE"""),"")</f>
        <v/>
      </c>
      <c r="C5213" t="str">
        <f>IFERROR(__xludf.DUMMYFUNCTION("""COMPUTED_VALUE"""),"")</f>
        <v/>
      </c>
      <c r="D5213" t="str">
        <f>IFERROR(__xludf.DUMMYFUNCTION("""COMPUTED_VALUE"""),"")</f>
        <v/>
      </c>
      <c r="E5213" t="str">
        <f>IFERROR(__xludf.DUMMYFUNCTION("""COMPUTED_VALUE"""),"")</f>
        <v/>
      </c>
      <c r="F5213" t="str">
        <f>IFERROR(__xludf.DUMMYFUNCTION("""COMPUTED_VALUE"""),"")</f>
        <v/>
      </c>
      <c r="G5213" t="str">
        <f>IFERROR(__xludf.DUMMYFUNCTION("""COMPUTED_VALUE"""),"")</f>
        <v/>
      </c>
      <c r="H5213" s="2" t="str">
        <f>IFERROR(__xludf.DUMMYFUNCTION("""COMPUTED_VALUE"""),"")</f>
        <v/>
      </c>
      <c r="I5213" s="2" t="str">
        <f>IFERROR(__xludf.DUMMYFUNCTION("""COMPUTED_VALUE"""),"")</f>
        <v/>
      </c>
      <c r="J5213" s="2">
        <f>IFERROR(__xludf.DUMMYFUNCTION("""COMPUTED_VALUE"""),0.0)</f>
        <v>0</v>
      </c>
      <c r="K5213" s="5" t="str">
        <f>IFERROR(__xludf.DUMMYFUNCTION("""COMPUTED_VALUE"""),"")</f>
        <v/>
      </c>
      <c r="L5213" t="str">
        <f>IFERROR(__xludf.DUMMYFUNCTION("""COMPUTED_VALUE"""),"")</f>
        <v/>
      </c>
      <c r="M5213" t="str">
        <f>IFERROR(__xludf.DUMMYFUNCTION("""COMPUTED_VALUE"""),"")</f>
        <v/>
      </c>
      <c r="N5213" t="str">
        <f>IFERROR(__xludf.DUMMYFUNCTION("""COMPUTED_VALUE"""),"")</f>
        <v/>
      </c>
      <c r="O5213" t="str">
        <f>IFERROR(__xludf.DUMMYFUNCTION("""COMPUTED_VALUE"""),"")</f>
        <v/>
      </c>
      <c r="P5213" t="str">
        <f>IFERROR(__xludf.DUMMYFUNCTION("""COMPUTED_VALUE"""),"ID ")</f>
        <v>ID </v>
      </c>
    </row>
    <row r="5214">
      <c r="A5214" s="6" t="str">
        <f>IFERROR(__xludf.DUMMYFUNCTION("""COMPUTED_VALUE"""),"")</f>
        <v/>
      </c>
      <c r="C5214" t="str">
        <f>IFERROR(__xludf.DUMMYFUNCTION("""COMPUTED_VALUE"""),"")</f>
        <v/>
      </c>
      <c r="D5214" t="str">
        <f>IFERROR(__xludf.DUMMYFUNCTION("""COMPUTED_VALUE"""),"")</f>
        <v/>
      </c>
      <c r="E5214" t="str">
        <f>IFERROR(__xludf.DUMMYFUNCTION("""COMPUTED_VALUE"""),"")</f>
        <v/>
      </c>
      <c r="F5214" t="str">
        <f>IFERROR(__xludf.DUMMYFUNCTION("""COMPUTED_VALUE"""),"")</f>
        <v/>
      </c>
      <c r="G5214" t="str">
        <f>IFERROR(__xludf.DUMMYFUNCTION("""COMPUTED_VALUE"""),"")</f>
        <v/>
      </c>
      <c r="H5214" s="2" t="str">
        <f>IFERROR(__xludf.DUMMYFUNCTION("""COMPUTED_VALUE"""),"")</f>
        <v/>
      </c>
      <c r="I5214" s="2" t="str">
        <f>IFERROR(__xludf.DUMMYFUNCTION("""COMPUTED_VALUE"""),"")</f>
        <v/>
      </c>
      <c r="J5214" s="2">
        <f>IFERROR(__xludf.DUMMYFUNCTION("""COMPUTED_VALUE"""),0.0)</f>
        <v>0</v>
      </c>
      <c r="K5214" s="5" t="str">
        <f>IFERROR(__xludf.DUMMYFUNCTION("""COMPUTED_VALUE"""),"")</f>
        <v/>
      </c>
      <c r="L5214" t="str">
        <f>IFERROR(__xludf.DUMMYFUNCTION("""COMPUTED_VALUE"""),"")</f>
        <v/>
      </c>
      <c r="M5214" t="str">
        <f>IFERROR(__xludf.DUMMYFUNCTION("""COMPUTED_VALUE"""),"")</f>
        <v/>
      </c>
      <c r="N5214" t="str">
        <f>IFERROR(__xludf.DUMMYFUNCTION("""COMPUTED_VALUE"""),"")</f>
        <v/>
      </c>
      <c r="O5214" t="str">
        <f>IFERROR(__xludf.DUMMYFUNCTION("""COMPUTED_VALUE"""),"")</f>
        <v/>
      </c>
      <c r="P5214" t="str">
        <f>IFERROR(__xludf.DUMMYFUNCTION("""COMPUTED_VALUE"""),"ID ")</f>
        <v>ID </v>
      </c>
    </row>
    <row r="5215">
      <c r="A5215" s="6" t="str">
        <f>IFERROR(__xludf.DUMMYFUNCTION("""COMPUTED_VALUE"""),"")</f>
        <v/>
      </c>
      <c r="C5215" t="str">
        <f>IFERROR(__xludf.DUMMYFUNCTION("""COMPUTED_VALUE"""),"")</f>
        <v/>
      </c>
      <c r="D5215" t="str">
        <f>IFERROR(__xludf.DUMMYFUNCTION("""COMPUTED_VALUE"""),"")</f>
        <v/>
      </c>
      <c r="E5215" t="str">
        <f>IFERROR(__xludf.DUMMYFUNCTION("""COMPUTED_VALUE"""),"")</f>
        <v/>
      </c>
      <c r="F5215" t="str">
        <f>IFERROR(__xludf.DUMMYFUNCTION("""COMPUTED_VALUE"""),"")</f>
        <v/>
      </c>
      <c r="G5215" t="str">
        <f>IFERROR(__xludf.DUMMYFUNCTION("""COMPUTED_VALUE"""),"")</f>
        <v/>
      </c>
      <c r="H5215" s="2" t="str">
        <f>IFERROR(__xludf.DUMMYFUNCTION("""COMPUTED_VALUE"""),"")</f>
        <v/>
      </c>
      <c r="I5215" s="2" t="str">
        <f>IFERROR(__xludf.DUMMYFUNCTION("""COMPUTED_VALUE"""),"")</f>
        <v/>
      </c>
      <c r="J5215" s="2">
        <f>IFERROR(__xludf.DUMMYFUNCTION("""COMPUTED_VALUE"""),0.0)</f>
        <v>0</v>
      </c>
      <c r="K5215" s="5" t="str">
        <f>IFERROR(__xludf.DUMMYFUNCTION("""COMPUTED_VALUE"""),"")</f>
        <v/>
      </c>
      <c r="L5215" t="str">
        <f>IFERROR(__xludf.DUMMYFUNCTION("""COMPUTED_VALUE"""),"")</f>
        <v/>
      </c>
      <c r="M5215" t="str">
        <f>IFERROR(__xludf.DUMMYFUNCTION("""COMPUTED_VALUE"""),"")</f>
        <v/>
      </c>
      <c r="N5215" t="str">
        <f>IFERROR(__xludf.DUMMYFUNCTION("""COMPUTED_VALUE"""),"")</f>
        <v/>
      </c>
      <c r="O5215" t="str">
        <f>IFERROR(__xludf.DUMMYFUNCTION("""COMPUTED_VALUE"""),"")</f>
        <v/>
      </c>
      <c r="P5215" t="str">
        <f>IFERROR(__xludf.DUMMYFUNCTION("""COMPUTED_VALUE"""),"ID ")</f>
        <v>ID </v>
      </c>
    </row>
    <row r="5216">
      <c r="A5216" s="6" t="str">
        <f>IFERROR(__xludf.DUMMYFUNCTION("""COMPUTED_VALUE"""),"")</f>
        <v/>
      </c>
      <c r="C5216" t="str">
        <f>IFERROR(__xludf.DUMMYFUNCTION("""COMPUTED_VALUE"""),"")</f>
        <v/>
      </c>
      <c r="D5216" t="str">
        <f>IFERROR(__xludf.DUMMYFUNCTION("""COMPUTED_VALUE"""),"")</f>
        <v/>
      </c>
      <c r="E5216" t="str">
        <f>IFERROR(__xludf.DUMMYFUNCTION("""COMPUTED_VALUE"""),"")</f>
        <v/>
      </c>
      <c r="F5216" t="str">
        <f>IFERROR(__xludf.DUMMYFUNCTION("""COMPUTED_VALUE"""),"")</f>
        <v/>
      </c>
      <c r="G5216" t="str">
        <f>IFERROR(__xludf.DUMMYFUNCTION("""COMPUTED_VALUE"""),"")</f>
        <v/>
      </c>
      <c r="H5216" s="2" t="str">
        <f>IFERROR(__xludf.DUMMYFUNCTION("""COMPUTED_VALUE"""),"")</f>
        <v/>
      </c>
      <c r="I5216" s="2" t="str">
        <f>IFERROR(__xludf.DUMMYFUNCTION("""COMPUTED_VALUE"""),"")</f>
        <v/>
      </c>
      <c r="J5216" s="2">
        <f>IFERROR(__xludf.DUMMYFUNCTION("""COMPUTED_VALUE"""),0.0)</f>
        <v>0</v>
      </c>
      <c r="K5216" s="5" t="str">
        <f>IFERROR(__xludf.DUMMYFUNCTION("""COMPUTED_VALUE"""),"")</f>
        <v/>
      </c>
      <c r="L5216" t="str">
        <f>IFERROR(__xludf.DUMMYFUNCTION("""COMPUTED_VALUE"""),"")</f>
        <v/>
      </c>
      <c r="M5216" t="str">
        <f>IFERROR(__xludf.DUMMYFUNCTION("""COMPUTED_VALUE"""),"")</f>
        <v/>
      </c>
      <c r="N5216" t="str">
        <f>IFERROR(__xludf.DUMMYFUNCTION("""COMPUTED_VALUE"""),"")</f>
        <v/>
      </c>
      <c r="O5216" t="str">
        <f>IFERROR(__xludf.DUMMYFUNCTION("""COMPUTED_VALUE"""),"")</f>
        <v/>
      </c>
      <c r="P5216" t="str">
        <f>IFERROR(__xludf.DUMMYFUNCTION("""COMPUTED_VALUE"""),"ID ")</f>
        <v>ID </v>
      </c>
    </row>
    <row r="5217">
      <c r="A5217" s="6" t="str">
        <f>IFERROR(__xludf.DUMMYFUNCTION("""COMPUTED_VALUE"""),"")</f>
        <v/>
      </c>
      <c r="C5217" t="str">
        <f>IFERROR(__xludf.DUMMYFUNCTION("""COMPUTED_VALUE"""),"")</f>
        <v/>
      </c>
      <c r="D5217" t="str">
        <f>IFERROR(__xludf.DUMMYFUNCTION("""COMPUTED_VALUE"""),"")</f>
        <v/>
      </c>
      <c r="E5217" t="str">
        <f>IFERROR(__xludf.DUMMYFUNCTION("""COMPUTED_VALUE"""),"")</f>
        <v/>
      </c>
      <c r="F5217" t="str">
        <f>IFERROR(__xludf.DUMMYFUNCTION("""COMPUTED_VALUE"""),"")</f>
        <v/>
      </c>
      <c r="G5217" t="str">
        <f>IFERROR(__xludf.DUMMYFUNCTION("""COMPUTED_VALUE"""),"")</f>
        <v/>
      </c>
      <c r="H5217" s="2" t="str">
        <f>IFERROR(__xludf.DUMMYFUNCTION("""COMPUTED_VALUE"""),"")</f>
        <v/>
      </c>
      <c r="I5217" s="2" t="str">
        <f>IFERROR(__xludf.DUMMYFUNCTION("""COMPUTED_VALUE"""),"")</f>
        <v/>
      </c>
      <c r="J5217" s="2">
        <f>IFERROR(__xludf.DUMMYFUNCTION("""COMPUTED_VALUE"""),0.0)</f>
        <v>0</v>
      </c>
      <c r="K5217" s="5" t="str">
        <f>IFERROR(__xludf.DUMMYFUNCTION("""COMPUTED_VALUE"""),"")</f>
        <v/>
      </c>
      <c r="L5217" t="str">
        <f>IFERROR(__xludf.DUMMYFUNCTION("""COMPUTED_VALUE"""),"")</f>
        <v/>
      </c>
      <c r="M5217" t="str">
        <f>IFERROR(__xludf.DUMMYFUNCTION("""COMPUTED_VALUE"""),"")</f>
        <v/>
      </c>
      <c r="N5217" t="str">
        <f>IFERROR(__xludf.DUMMYFUNCTION("""COMPUTED_VALUE"""),"")</f>
        <v/>
      </c>
      <c r="O5217" t="str">
        <f>IFERROR(__xludf.DUMMYFUNCTION("""COMPUTED_VALUE"""),"")</f>
        <v/>
      </c>
      <c r="P5217" t="str">
        <f>IFERROR(__xludf.DUMMYFUNCTION("""COMPUTED_VALUE"""),"ID ")</f>
        <v>ID </v>
      </c>
    </row>
    <row r="5218">
      <c r="A5218" s="6" t="str">
        <f>IFERROR(__xludf.DUMMYFUNCTION("""COMPUTED_VALUE"""),"")</f>
        <v/>
      </c>
      <c r="C5218" t="str">
        <f>IFERROR(__xludf.DUMMYFUNCTION("""COMPUTED_VALUE"""),"")</f>
        <v/>
      </c>
      <c r="D5218" t="str">
        <f>IFERROR(__xludf.DUMMYFUNCTION("""COMPUTED_VALUE"""),"")</f>
        <v/>
      </c>
      <c r="E5218" t="str">
        <f>IFERROR(__xludf.DUMMYFUNCTION("""COMPUTED_VALUE"""),"")</f>
        <v/>
      </c>
      <c r="F5218" t="str">
        <f>IFERROR(__xludf.DUMMYFUNCTION("""COMPUTED_VALUE"""),"")</f>
        <v/>
      </c>
      <c r="G5218" t="str">
        <f>IFERROR(__xludf.DUMMYFUNCTION("""COMPUTED_VALUE"""),"")</f>
        <v/>
      </c>
      <c r="H5218" s="2" t="str">
        <f>IFERROR(__xludf.DUMMYFUNCTION("""COMPUTED_VALUE"""),"")</f>
        <v/>
      </c>
      <c r="I5218" s="2" t="str">
        <f>IFERROR(__xludf.DUMMYFUNCTION("""COMPUTED_VALUE"""),"")</f>
        <v/>
      </c>
      <c r="J5218" s="2">
        <f>IFERROR(__xludf.DUMMYFUNCTION("""COMPUTED_VALUE"""),0.0)</f>
        <v>0</v>
      </c>
      <c r="K5218" s="5" t="str">
        <f>IFERROR(__xludf.DUMMYFUNCTION("""COMPUTED_VALUE"""),"")</f>
        <v/>
      </c>
      <c r="L5218" t="str">
        <f>IFERROR(__xludf.DUMMYFUNCTION("""COMPUTED_VALUE"""),"")</f>
        <v/>
      </c>
      <c r="M5218" t="str">
        <f>IFERROR(__xludf.DUMMYFUNCTION("""COMPUTED_VALUE"""),"")</f>
        <v/>
      </c>
      <c r="N5218" t="str">
        <f>IFERROR(__xludf.DUMMYFUNCTION("""COMPUTED_VALUE"""),"")</f>
        <v/>
      </c>
      <c r="O5218" t="str">
        <f>IFERROR(__xludf.DUMMYFUNCTION("""COMPUTED_VALUE"""),"")</f>
        <v/>
      </c>
      <c r="P5218" t="str">
        <f>IFERROR(__xludf.DUMMYFUNCTION("""COMPUTED_VALUE"""),"ID ")</f>
        <v>ID </v>
      </c>
    </row>
    <row r="5219">
      <c r="A5219" s="6" t="str">
        <f>IFERROR(__xludf.DUMMYFUNCTION("""COMPUTED_VALUE"""),"")</f>
        <v/>
      </c>
      <c r="C5219" t="str">
        <f>IFERROR(__xludf.DUMMYFUNCTION("""COMPUTED_VALUE"""),"")</f>
        <v/>
      </c>
      <c r="D5219" t="str">
        <f>IFERROR(__xludf.DUMMYFUNCTION("""COMPUTED_VALUE"""),"")</f>
        <v/>
      </c>
      <c r="E5219" t="str">
        <f>IFERROR(__xludf.DUMMYFUNCTION("""COMPUTED_VALUE"""),"")</f>
        <v/>
      </c>
      <c r="F5219" t="str">
        <f>IFERROR(__xludf.DUMMYFUNCTION("""COMPUTED_VALUE"""),"")</f>
        <v/>
      </c>
      <c r="G5219" t="str">
        <f>IFERROR(__xludf.DUMMYFUNCTION("""COMPUTED_VALUE"""),"")</f>
        <v/>
      </c>
      <c r="H5219" s="2" t="str">
        <f>IFERROR(__xludf.DUMMYFUNCTION("""COMPUTED_VALUE"""),"")</f>
        <v/>
      </c>
      <c r="I5219" s="2" t="str">
        <f>IFERROR(__xludf.DUMMYFUNCTION("""COMPUTED_VALUE"""),"")</f>
        <v/>
      </c>
      <c r="J5219" s="2">
        <f>IFERROR(__xludf.DUMMYFUNCTION("""COMPUTED_VALUE"""),0.0)</f>
        <v>0</v>
      </c>
      <c r="K5219" s="5" t="str">
        <f>IFERROR(__xludf.DUMMYFUNCTION("""COMPUTED_VALUE"""),"")</f>
        <v/>
      </c>
      <c r="L5219" t="str">
        <f>IFERROR(__xludf.DUMMYFUNCTION("""COMPUTED_VALUE"""),"")</f>
        <v/>
      </c>
      <c r="M5219" t="str">
        <f>IFERROR(__xludf.DUMMYFUNCTION("""COMPUTED_VALUE"""),"")</f>
        <v/>
      </c>
      <c r="N5219" t="str">
        <f>IFERROR(__xludf.DUMMYFUNCTION("""COMPUTED_VALUE"""),"")</f>
        <v/>
      </c>
      <c r="O5219" t="str">
        <f>IFERROR(__xludf.DUMMYFUNCTION("""COMPUTED_VALUE"""),"")</f>
        <v/>
      </c>
      <c r="P5219" t="str">
        <f>IFERROR(__xludf.DUMMYFUNCTION("""COMPUTED_VALUE"""),"ID ")</f>
        <v>ID </v>
      </c>
    </row>
    <row r="5220">
      <c r="A5220" s="6" t="str">
        <f>IFERROR(__xludf.DUMMYFUNCTION("""COMPUTED_VALUE"""),"")</f>
        <v/>
      </c>
      <c r="C5220" t="str">
        <f>IFERROR(__xludf.DUMMYFUNCTION("""COMPUTED_VALUE"""),"")</f>
        <v/>
      </c>
      <c r="D5220" t="str">
        <f>IFERROR(__xludf.DUMMYFUNCTION("""COMPUTED_VALUE"""),"")</f>
        <v/>
      </c>
      <c r="E5220" t="str">
        <f>IFERROR(__xludf.DUMMYFUNCTION("""COMPUTED_VALUE"""),"")</f>
        <v/>
      </c>
      <c r="F5220" t="str">
        <f>IFERROR(__xludf.DUMMYFUNCTION("""COMPUTED_VALUE"""),"")</f>
        <v/>
      </c>
      <c r="G5220" t="str">
        <f>IFERROR(__xludf.DUMMYFUNCTION("""COMPUTED_VALUE"""),"")</f>
        <v/>
      </c>
      <c r="H5220" s="2" t="str">
        <f>IFERROR(__xludf.DUMMYFUNCTION("""COMPUTED_VALUE"""),"")</f>
        <v/>
      </c>
      <c r="I5220" s="2" t="str">
        <f>IFERROR(__xludf.DUMMYFUNCTION("""COMPUTED_VALUE"""),"")</f>
        <v/>
      </c>
      <c r="J5220" s="2">
        <f>IFERROR(__xludf.DUMMYFUNCTION("""COMPUTED_VALUE"""),0.0)</f>
        <v>0</v>
      </c>
      <c r="K5220" s="5" t="str">
        <f>IFERROR(__xludf.DUMMYFUNCTION("""COMPUTED_VALUE"""),"")</f>
        <v/>
      </c>
      <c r="L5220" t="str">
        <f>IFERROR(__xludf.DUMMYFUNCTION("""COMPUTED_VALUE"""),"")</f>
        <v/>
      </c>
      <c r="M5220" t="str">
        <f>IFERROR(__xludf.DUMMYFUNCTION("""COMPUTED_VALUE"""),"")</f>
        <v/>
      </c>
      <c r="N5220" t="str">
        <f>IFERROR(__xludf.DUMMYFUNCTION("""COMPUTED_VALUE"""),"")</f>
        <v/>
      </c>
      <c r="O5220" t="str">
        <f>IFERROR(__xludf.DUMMYFUNCTION("""COMPUTED_VALUE"""),"")</f>
        <v/>
      </c>
      <c r="P5220" t="str">
        <f>IFERROR(__xludf.DUMMYFUNCTION("""COMPUTED_VALUE"""),"ID ")</f>
        <v>ID </v>
      </c>
    </row>
    <row r="5221">
      <c r="A5221" s="6" t="str">
        <f>IFERROR(__xludf.DUMMYFUNCTION("""COMPUTED_VALUE"""),"")</f>
        <v/>
      </c>
      <c r="C5221" t="str">
        <f>IFERROR(__xludf.DUMMYFUNCTION("""COMPUTED_VALUE"""),"")</f>
        <v/>
      </c>
      <c r="D5221" t="str">
        <f>IFERROR(__xludf.DUMMYFUNCTION("""COMPUTED_VALUE"""),"")</f>
        <v/>
      </c>
      <c r="E5221" t="str">
        <f>IFERROR(__xludf.DUMMYFUNCTION("""COMPUTED_VALUE"""),"")</f>
        <v/>
      </c>
      <c r="F5221" t="str">
        <f>IFERROR(__xludf.DUMMYFUNCTION("""COMPUTED_VALUE"""),"")</f>
        <v/>
      </c>
      <c r="G5221" t="str">
        <f>IFERROR(__xludf.DUMMYFUNCTION("""COMPUTED_VALUE"""),"")</f>
        <v/>
      </c>
      <c r="H5221" s="2" t="str">
        <f>IFERROR(__xludf.DUMMYFUNCTION("""COMPUTED_VALUE"""),"")</f>
        <v/>
      </c>
      <c r="I5221" s="2" t="str">
        <f>IFERROR(__xludf.DUMMYFUNCTION("""COMPUTED_VALUE"""),"")</f>
        <v/>
      </c>
      <c r="J5221" s="2">
        <f>IFERROR(__xludf.DUMMYFUNCTION("""COMPUTED_VALUE"""),0.0)</f>
        <v>0</v>
      </c>
      <c r="K5221" s="5" t="str">
        <f>IFERROR(__xludf.DUMMYFUNCTION("""COMPUTED_VALUE"""),"")</f>
        <v/>
      </c>
      <c r="L5221" t="str">
        <f>IFERROR(__xludf.DUMMYFUNCTION("""COMPUTED_VALUE"""),"")</f>
        <v/>
      </c>
      <c r="M5221" t="str">
        <f>IFERROR(__xludf.DUMMYFUNCTION("""COMPUTED_VALUE"""),"")</f>
        <v/>
      </c>
      <c r="N5221" t="str">
        <f>IFERROR(__xludf.DUMMYFUNCTION("""COMPUTED_VALUE"""),"")</f>
        <v/>
      </c>
      <c r="O5221" t="str">
        <f>IFERROR(__xludf.DUMMYFUNCTION("""COMPUTED_VALUE"""),"")</f>
        <v/>
      </c>
      <c r="P5221" t="str">
        <f>IFERROR(__xludf.DUMMYFUNCTION("""COMPUTED_VALUE"""),"ID ")</f>
        <v>ID </v>
      </c>
    </row>
    <row r="5222">
      <c r="A5222" s="6" t="str">
        <f>IFERROR(__xludf.DUMMYFUNCTION("""COMPUTED_VALUE"""),"")</f>
        <v/>
      </c>
      <c r="C5222" t="str">
        <f>IFERROR(__xludf.DUMMYFUNCTION("""COMPUTED_VALUE"""),"")</f>
        <v/>
      </c>
      <c r="D5222" t="str">
        <f>IFERROR(__xludf.DUMMYFUNCTION("""COMPUTED_VALUE"""),"")</f>
        <v/>
      </c>
      <c r="E5222" t="str">
        <f>IFERROR(__xludf.DUMMYFUNCTION("""COMPUTED_VALUE"""),"")</f>
        <v/>
      </c>
      <c r="F5222" t="str">
        <f>IFERROR(__xludf.DUMMYFUNCTION("""COMPUTED_VALUE"""),"")</f>
        <v/>
      </c>
      <c r="G5222" t="str">
        <f>IFERROR(__xludf.DUMMYFUNCTION("""COMPUTED_VALUE"""),"")</f>
        <v/>
      </c>
      <c r="H5222" s="2" t="str">
        <f>IFERROR(__xludf.DUMMYFUNCTION("""COMPUTED_VALUE"""),"")</f>
        <v/>
      </c>
      <c r="I5222" s="2" t="str">
        <f>IFERROR(__xludf.DUMMYFUNCTION("""COMPUTED_VALUE"""),"")</f>
        <v/>
      </c>
      <c r="J5222" s="2">
        <f>IFERROR(__xludf.DUMMYFUNCTION("""COMPUTED_VALUE"""),0.0)</f>
        <v>0</v>
      </c>
      <c r="K5222" s="5" t="str">
        <f>IFERROR(__xludf.DUMMYFUNCTION("""COMPUTED_VALUE"""),"")</f>
        <v/>
      </c>
      <c r="L5222" t="str">
        <f>IFERROR(__xludf.DUMMYFUNCTION("""COMPUTED_VALUE"""),"")</f>
        <v/>
      </c>
      <c r="M5222" t="str">
        <f>IFERROR(__xludf.DUMMYFUNCTION("""COMPUTED_VALUE"""),"")</f>
        <v/>
      </c>
      <c r="N5222" t="str">
        <f>IFERROR(__xludf.DUMMYFUNCTION("""COMPUTED_VALUE"""),"")</f>
        <v/>
      </c>
      <c r="O5222" t="str">
        <f>IFERROR(__xludf.DUMMYFUNCTION("""COMPUTED_VALUE"""),"")</f>
        <v/>
      </c>
      <c r="P5222" t="str">
        <f>IFERROR(__xludf.DUMMYFUNCTION("""COMPUTED_VALUE"""),"ID ")</f>
        <v>ID </v>
      </c>
    </row>
    <row r="5223">
      <c r="A5223" s="6" t="str">
        <f>IFERROR(__xludf.DUMMYFUNCTION("""COMPUTED_VALUE"""),"")</f>
        <v/>
      </c>
      <c r="C5223" t="str">
        <f>IFERROR(__xludf.DUMMYFUNCTION("""COMPUTED_VALUE"""),"")</f>
        <v/>
      </c>
      <c r="D5223" t="str">
        <f>IFERROR(__xludf.DUMMYFUNCTION("""COMPUTED_VALUE"""),"")</f>
        <v/>
      </c>
      <c r="E5223" t="str">
        <f>IFERROR(__xludf.DUMMYFUNCTION("""COMPUTED_VALUE"""),"")</f>
        <v/>
      </c>
      <c r="F5223" t="str">
        <f>IFERROR(__xludf.DUMMYFUNCTION("""COMPUTED_VALUE"""),"")</f>
        <v/>
      </c>
      <c r="G5223" t="str">
        <f>IFERROR(__xludf.DUMMYFUNCTION("""COMPUTED_VALUE"""),"")</f>
        <v/>
      </c>
      <c r="H5223" s="2" t="str">
        <f>IFERROR(__xludf.DUMMYFUNCTION("""COMPUTED_VALUE"""),"")</f>
        <v/>
      </c>
      <c r="I5223" s="2" t="str">
        <f>IFERROR(__xludf.DUMMYFUNCTION("""COMPUTED_VALUE"""),"")</f>
        <v/>
      </c>
      <c r="J5223" s="2">
        <f>IFERROR(__xludf.DUMMYFUNCTION("""COMPUTED_VALUE"""),0.0)</f>
        <v>0</v>
      </c>
      <c r="K5223" s="5" t="str">
        <f>IFERROR(__xludf.DUMMYFUNCTION("""COMPUTED_VALUE"""),"")</f>
        <v/>
      </c>
      <c r="L5223" t="str">
        <f>IFERROR(__xludf.DUMMYFUNCTION("""COMPUTED_VALUE"""),"")</f>
        <v/>
      </c>
      <c r="M5223" t="str">
        <f>IFERROR(__xludf.DUMMYFUNCTION("""COMPUTED_VALUE"""),"")</f>
        <v/>
      </c>
      <c r="N5223" t="str">
        <f>IFERROR(__xludf.DUMMYFUNCTION("""COMPUTED_VALUE"""),"")</f>
        <v/>
      </c>
      <c r="O5223" t="str">
        <f>IFERROR(__xludf.DUMMYFUNCTION("""COMPUTED_VALUE"""),"")</f>
        <v/>
      </c>
      <c r="P5223" t="str">
        <f>IFERROR(__xludf.DUMMYFUNCTION("""COMPUTED_VALUE"""),"ID ")</f>
        <v>ID </v>
      </c>
    </row>
    <row r="5224">
      <c r="A5224" s="6" t="str">
        <f>IFERROR(__xludf.DUMMYFUNCTION("""COMPUTED_VALUE"""),"")</f>
        <v/>
      </c>
      <c r="C5224" t="str">
        <f>IFERROR(__xludf.DUMMYFUNCTION("""COMPUTED_VALUE"""),"")</f>
        <v/>
      </c>
      <c r="D5224" t="str">
        <f>IFERROR(__xludf.DUMMYFUNCTION("""COMPUTED_VALUE"""),"")</f>
        <v/>
      </c>
      <c r="E5224" t="str">
        <f>IFERROR(__xludf.DUMMYFUNCTION("""COMPUTED_VALUE"""),"")</f>
        <v/>
      </c>
      <c r="F5224" t="str">
        <f>IFERROR(__xludf.DUMMYFUNCTION("""COMPUTED_VALUE"""),"")</f>
        <v/>
      </c>
      <c r="G5224" t="str">
        <f>IFERROR(__xludf.DUMMYFUNCTION("""COMPUTED_VALUE"""),"")</f>
        <v/>
      </c>
      <c r="H5224" s="2" t="str">
        <f>IFERROR(__xludf.DUMMYFUNCTION("""COMPUTED_VALUE"""),"")</f>
        <v/>
      </c>
      <c r="I5224" s="2" t="str">
        <f>IFERROR(__xludf.DUMMYFUNCTION("""COMPUTED_VALUE"""),"")</f>
        <v/>
      </c>
      <c r="J5224" s="2">
        <f>IFERROR(__xludf.DUMMYFUNCTION("""COMPUTED_VALUE"""),0.0)</f>
        <v>0</v>
      </c>
      <c r="K5224" s="5" t="str">
        <f>IFERROR(__xludf.DUMMYFUNCTION("""COMPUTED_VALUE"""),"")</f>
        <v/>
      </c>
      <c r="L5224" t="str">
        <f>IFERROR(__xludf.DUMMYFUNCTION("""COMPUTED_VALUE"""),"")</f>
        <v/>
      </c>
      <c r="M5224" t="str">
        <f>IFERROR(__xludf.DUMMYFUNCTION("""COMPUTED_VALUE"""),"")</f>
        <v/>
      </c>
      <c r="N5224" t="str">
        <f>IFERROR(__xludf.DUMMYFUNCTION("""COMPUTED_VALUE"""),"")</f>
        <v/>
      </c>
      <c r="O5224" t="str">
        <f>IFERROR(__xludf.DUMMYFUNCTION("""COMPUTED_VALUE"""),"")</f>
        <v/>
      </c>
      <c r="P5224" t="str">
        <f>IFERROR(__xludf.DUMMYFUNCTION("""COMPUTED_VALUE"""),"ID ")</f>
        <v>ID </v>
      </c>
    </row>
    <row r="5225">
      <c r="A5225" s="6" t="str">
        <f>IFERROR(__xludf.DUMMYFUNCTION("""COMPUTED_VALUE"""),"")</f>
        <v/>
      </c>
      <c r="C5225" t="str">
        <f>IFERROR(__xludf.DUMMYFUNCTION("""COMPUTED_VALUE"""),"")</f>
        <v/>
      </c>
      <c r="D5225" t="str">
        <f>IFERROR(__xludf.DUMMYFUNCTION("""COMPUTED_VALUE"""),"")</f>
        <v/>
      </c>
      <c r="E5225" t="str">
        <f>IFERROR(__xludf.DUMMYFUNCTION("""COMPUTED_VALUE"""),"")</f>
        <v/>
      </c>
      <c r="F5225" t="str">
        <f>IFERROR(__xludf.DUMMYFUNCTION("""COMPUTED_VALUE"""),"")</f>
        <v/>
      </c>
      <c r="G5225" t="str">
        <f>IFERROR(__xludf.DUMMYFUNCTION("""COMPUTED_VALUE"""),"")</f>
        <v/>
      </c>
      <c r="H5225" s="2" t="str">
        <f>IFERROR(__xludf.DUMMYFUNCTION("""COMPUTED_VALUE"""),"")</f>
        <v/>
      </c>
      <c r="I5225" s="2" t="str">
        <f>IFERROR(__xludf.DUMMYFUNCTION("""COMPUTED_VALUE"""),"")</f>
        <v/>
      </c>
      <c r="J5225" s="2">
        <f>IFERROR(__xludf.DUMMYFUNCTION("""COMPUTED_VALUE"""),0.0)</f>
        <v>0</v>
      </c>
      <c r="K5225" s="5" t="str">
        <f>IFERROR(__xludf.DUMMYFUNCTION("""COMPUTED_VALUE"""),"")</f>
        <v/>
      </c>
      <c r="L5225" t="str">
        <f>IFERROR(__xludf.DUMMYFUNCTION("""COMPUTED_VALUE"""),"")</f>
        <v/>
      </c>
      <c r="M5225" t="str">
        <f>IFERROR(__xludf.DUMMYFUNCTION("""COMPUTED_VALUE"""),"")</f>
        <v/>
      </c>
      <c r="N5225" t="str">
        <f>IFERROR(__xludf.DUMMYFUNCTION("""COMPUTED_VALUE"""),"")</f>
        <v/>
      </c>
      <c r="O5225" t="str">
        <f>IFERROR(__xludf.DUMMYFUNCTION("""COMPUTED_VALUE"""),"")</f>
        <v/>
      </c>
      <c r="P5225" t="str">
        <f>IFERROR(__xludf.DUMMYFUNCTION("""COMPUTED_VALUE"""),"ID ")</f>
        <v>ID </v>
      </c>
    </row>
    <row r="5226">
      <c r="A5226" s="6" t="str">
        <f>IFERROR(__xludf.DUMMYFUNCTION("""COMPUTED_VALUE"""),"")</f>
        <v/>
      </c>
      <c r="C5226" t="str">
        <f>IFERROR(__xludf.DUMMYFUNCTION("""COMPUTED_VALUE"""),"")</f>
        <v/>
      </c>
      <c r="D5226" t="str">
        <f>IFERROR(__xludf.DUMMYFUNCTION("""COMPUTED_VALUE"""),"")</f>
        <v/>
      </c>
      <c r="E5226" t="str">
        <f>IFERROR(__xludf.DUMMYFUNCTION("""COMPUTED_VALUE"""),"")</f>
        <v/>
      </c>
      <c r="F5226" t="str">
        <f>IFERROR(__xludf.DUMMYFUNCTION("""COMPUTED_VALUE"""),"")</f>
        <v/>
      </c>
      <c r="G5226" t="str">
        <f>IFERROR(__xludf.DUMMYFUNCTION("""COMPUTED_VALUE"""),"")</f>
        <v/>
      </c>
      <c r="H5226" s="2" t="str">
        <f>IFERROR(__xludf.DUMMYFUNCTION("""COMPUTED_VALUE"""),"")</f>
        <v/>
      </c>
      <c r="I5226" s="2" t="str">
        <f>IFERROR(__xludf.DUMMYFUNCTION("""COMPUTED_VALUE"""),"")</f>
        <v/>
      </c>
      <c r="J5226" s="2">
        <f>IFERROR(__xludf.DUMMYFUNCTION("""COMPUTED_VALUE"""),0.0)</f>
        <v>0</v>
      </c>
      <c r="K5226" s="5" t="str">
        <f>IFERROR(__xludf.DUMMYFUNCTION("""COMPUTED_VALUE"""),"")</f>
        <v/>
      </c>
      <c r="L5226" t="str">
        <f>IFERROR(__xludf.DUMMYFUNCTION("""COMPUTED_VALUE"""),"")</f>
        <v/>
      </c>
      <c r="M5226" t="str">
        <f>IFERROR(__xludf.DUMMYFUNCTION("""COMPUTED_VALUE"""),"")</f>
        <v/>
      </c>
      <c r="N5226" t="str">
        <f>IFERROR(__xludf.DUMMYFUNCTION("""COMPUTED_VALUE"""),"")</f>
        <v/>
      </c>
      <c r="O5226" t="str">
        <f>IFERROR(__xludf.DUMMYFUNCTION("""COMPUTED_VALUE"""),"")</f>
        <v/>
      </c>
      <c r="P5226" t="str">
        <f>IFERROR(__xludf.DUMMYFUNCTION("""COMPUTED_VALUE"""),"ID ")</f>
        <v>ID </v>
      </c>
    </row>
    <row r="5227">
      <c r="A5227" s="6" t="str">
        <f>IFERROR(__xludf.DUMMYFUNCTION("""COMPUTED_VALUE"""),"")</f>
        <v/>
      </c>
      <c r="C5227" t="str">
        <f>IFERROR(__xludf.DUMMYFUNCTION("""COMPUTED_VALUE"""),"")</f>
        <v/>
      </c>
      <c r="D5227" t="str">
        <f>IFERROR(__xludf.DUMMYFUNCTION("""COMPUTED_VALUE"""),"")</f>
        <v/>
      </c>
      <c r="E5227" t="str">
        <f>IFERROR(__xludf.DUMMYFUNCTION("""COMPUTED_VALUE"""),"")</f>
        <v/>
      </c>
      <c r="F5227" t="str">
        <f>IFERROR(__xludf.DUMMYFUNCTION("""COMPUTED_VALUE"""),"")</f>
        <v/>
      </c>
      <c r="G5227" t="str">
        <f>IFERROR(__xludf.DUMMYFUNCTION("""COMPUTED_VALUE"""),"")</f>
        <v/>
      </c>
      <c r="H5227" s="2" t="str">
        <f>IFERROR(__xludf.DUMMYFUNCTION("""COMPUTED_VALUE"""),"")</f>
        <v/>
      </c>
      <c r="I5227" s="2" t="str">
        <f>IFERROR(__xludf.DUMMYFUNCTION("""COMPUTED_VALUE"""),"")</f>
        <v/>
      </c>
      <c r="J5227" s="2">
        <f>IFERROR(__xludf.DUMMYFUNCTION("""COMPUTED_VALUE"""),0.0)</f>
        <v>0</v>
      </c>
      <c r="K5227" s="5" t="str">
        <f>IFERROR(__xludf.DUMMYFUNCTION("""COMPUTED_VALUE"""),"")</f>
        <v/>
      </c>
      <c r="L5227" t="str">
        <f>IFERROR(__xludf.DUMMYFUNCTION("""COMPUTED_VALUE"""),"")</f>
        <v/>
      </c>
      <c r="M5227" t="str">
        <f>IFERROR(__xludf.DUMMYFUNCTION("""COMPUTED_VALUE"""),"")</f>
        <v/>
      </c>
      <c r="N5227" t="str">
        <f>IFERROR(__xludf.DUMMYFUNCTION("""COMPUTED_VALUE"""),"")</f>
        <v/>
      </c>
      <c r="O5227" t="str">
        <f>IFERROR(__xludf.DUMMYFUNCTION("""COMPUTED_VALUE"""),"")</f>
        <v/>
      </c>
      <c r="P5227" t="str">
        <f>IFERROR(__xludf.DUMMYFUNCTION("""COMPUTED_VALUE"""),"ID ")</f>
        <v>ID </v>
      </c>
    </row>
    <row r="5228">
      <c r="A5228" s="6" t="str">
        <f>IFERROR(__xludf.DUMMYFUNCTION("""COMPUTED_VALUE"""),"")</f>
        <v/>
      </c>
      <c r="C5228" t="str">
        <f>IFERROR(__xludf.DUMMYFUNCTION("""COMPUTED_VALUE"""),"")</f>
        <v/>
      </c>
      <c r="D5228" t="str">
        <f>IFERROR(__xludf.DUMMYFUNCTION("""COMPUTED_VALUE"""),"")</f>
        <v/>
      </c>
      <c r="E5228" t="str">
        <f>IFERROR(__xludf.DUMMYFUNCTION("""COMPUTED_VALUE"""),"")</f>
        <v/>
      </c>
      <c r="F5228" t="str">
        <f>IFERROR(__xludf.DUMMYFUNCTION("""COMPUTED_VALUE"""),"")</f>
        <v/>
      </c>
      <c r="G5228" t="str">
        <f>IFERROR(__xludf.DUMMYFUNCTION("""COMPUTED_VALUE"""),"")</f>
        <v/>
      </c>
      <c r="H5228" s="2" t="str">
        <f>IFERROR(__xludf.DUMMYFUNCTION("""COMPUTED_VALUE"""),"")</f>
        <v/>
      </c>
      <c r="I5228" s="2" t="str">
        <f>IFERROR(__xludf.DUMMYFUNCTION("""COMPUTED_VALUE"""),"")</f>
        <v/>
      </c>
      <c r="J5228" s="2">
        <f>IFERROR(__xludf.DUMMYFUNCTION("""COMPUTED_VALUE"""),0.0)</f>
        <v>0</v>
      </c>
      <c r="K5228" s="5" t="str">
        <f>IFERROR(__xludf.DUMMYFUNCTION("""COMPUTED_VALUE"""),"")</f>
        <v/>
      </c>
      <c r="L5228" t="str">
        <f>IFERROR(__xludf.DUMMYFUNCTION("""COMPUTED_VALUE"""),"")</f>
        <v/>
      </c>
      <c r="M5228" t="str">
        <f>IFERROR(__xludf.DUMMYFUNCTION("""COMPUTED_VALUE"""),"")</f>
        <v/>
      </c>
      <c r="N5228" t="str">
        <f>IFERROR(__xludf.DUMMYFUNCTION("""COMPUTED_VALUE"""),"")</f>
        <v/>
      </c>
      <c r="O5228" t="str">
        <f>IFERROR(__xludf.DUMMYFUNCTION("""COMPUTED_VALUE"""),"")</f>
        <v/>
      </c>
      <c r="P5228" t="str">
        <f>IFERROR(__xludf.DUMMYFUNCTION("""COMPUTED_VALUE"""),"ID ")</f>
        <v>ID </v>
      </c>
    </row>
    <row r="5229">
      <c r="A5229" s="6" t="str">
        <f>IFERROR(__xludf.DUMMYFUNCTION("""COMPUTED_VALUE"""),"")</f>
        <v/>
      </c>
      <c r="C5229" t="str">
        <f>IFERROR(__xludf.DUMMYFUNCTION("""COMPUTED_VALUE"""),"")</f>
        <v/>
      </c>
      <c r="D5229" t="str">
        <f>IFERROR(__xludf.DUMMYFUNCTION("""COMPUTED_VALUE"""),"")</f>
        <v/>
      </c>
      <c r="E5229" t="str">
        <f>IFERROR(__xludf.DUMMYFUNCTION("""COMPUTED_VALUE"""),"")</f>
        <v/>
      </c>
      <c r="F5229" t="str">
        <f>IFERROR(__xludf.DUMMYFUNCTION("""COMPUTED_VALUE"""),"")</f>
        <v/>
      </c>
      <c r="G5229" t="str">
        <f>IFERROR(__xludf.DUMMYFUNCTION("""COMPUTED_VALUE"""),"")</f>
        <v/>
      </c>
      <c r="H5229" s="2" t="str">
        <f>IFERROR(__xludf.DUMMYFUNCTION("""COMPUTED_VALUE"""),"")</f>
        <v/>
      </c>
      <c r="I5229" s="2" t="str">
        <f>IFERROR(__xludf.DUMMYFUNCTION("""COMPUTED_VALUE"""),"")</f>
        <v/>
      </c>
      <c r="J5229" s="2">
        <f>IFERROR(__xludf.DUMMYFUNCTION("""COMPUTED_VALUE"""),0.0)</f>
        <v>0</v>
      </c>
      <c r="K5229" s="5" t="str">
        <f>IFERROR(__xludf.DUMMYFUNCTION("""COMPUTED_VALUE"""),"")</f>
        <v/>
      </c>
      <c r="L5229" t="str">
        <f>IFERROR(__xludf.DUMMYFUNCTION("""COMPUTED_VALUE"""),"")</f>
        <v/>
      </c>
      <c r="M5229" t="str">
        <f>IFERROR(__xludf.DUMMYFUNCTION("""COMPUTED_VALUE"""),"")</f>
        <v/>
      </c>
      <c r="N5229" t="str">
        <f>IFERROR(__xludf.DUMMYFUNCTION("""COMPUTED_VALUE"""),"")</f>
        <v/>
      </c>
      <c r="O5229" t="str">
        <f>IFERROR(__xludf.DUMMYFUNCTION("""COMPUTED_VALUE"""),"")</f>
        <v/>
      </c>
      <c r="P5229" t="str">
        <f>IFERROR(__xludf.DUMMYFUNCTION("""COMPUTED_VALUE"""),"ID ")</f>
        <v>ID </v>
      </c>
    </row>
    <row r="5230">
      <c r="A5230" s="6" t="str">
        <f>IFERROR(__xludf.DUMMYFUNCTION("""COMPUTED_VALUE"""),"")</f>
        <v/>
      </c>
      <c r="C5230" t="str">
        <f>IFERROR(__xludf.DUMMYFUNCTION("""COMPUTED_VALUE"""),"")</f>
        <v/>
      </c>
      <c r="D5230" t="str">
        <f>IFERROR(__xludf.DUMMYFUNCTION("""COMPUTED_VALUE"""),"")</f>
        <v/>
      </c>
      <c r="E5230" t="str">
        <f>IFERROR(__xludf.DUMMYFUNCTION("""COMPUTED_VALUE"""),"")</f>
        <v/>
      </c>
      <c r="F5230" t="str">
        <f>IFERROR(__xludf.DUMMYFUNCTION("""COMPUTED_VALUE"""),"")</f>
        <v/>
      </c>
      <c r="G5230" t="str">
        <f>IFERROR(__xludf.DUMMYFUNCTION("""COMPUTED_VALUE"""),"")</f>
        <v/>
      </c>
      <c r="H5230" s="2" t="str">
        <f>IFERROR(__xludf.DUMMYFUNCTION("""COMPUTED_VALUE"""),"")</f>
        <v/>
      </c>
      <c r="I5230" s="2" t="str">
        <f>IFERROR(__xludf.DUMMYFUNCTION("""COMPUTED_VALUE"""),"")</f>
        <v/>
      </c>
      <c r="J5230" s="2">
        <f>IFERROR(__xludf.DUMMYFUNCTION("""COMPUTED_VALUE"""),0.0)</f>
        <v>0</v>
      </c>
      <c r="K5230" s="5" t="str">
        <f>IFERROR(__xludf.DUMMYFUNCTION("""COMPUTED_VALUE"""),"")</f>
        <v/>
      </c>
      <c r="L5230" t="str">
        <f>IFERROR(__xludf.DUMMYFUNCTION("""COMPUTED_VALUE"""),"")</f>
        <v/>
      </c>
      <c r="M5230" t="str">
        <f>IFERROR(__xludf.DUMMYFUNCTION("""COMPUTED_VALUE"""),"")</f>
        <v/>
      </c>
      <c r="N5230" t="str">
        <f>IFERROR(__xludf.DUMMYFUNCTION("""COMPUTED_VALUE"""),"")</f>
        <v/>
      </c>
      <c r="O5230" t="str">
        <f>IFERROR(__xludf.DUMMYFUNCTION("""COMPUTED_VALUE"""),"")</f>
        <v/>
      </c>
      <c r="P5230" t="str">
        <f>IFERROR(__xludf.DUMMYFUNCTION("""COMPUTED_VALUE"""),"ID ")</f>
        <v>ID </v>
      </c>
    </row>
    <row r="5231">
      <c r="A5231" s="6" t="str">
        <f>IFERROR(__xludf.DUMMYFUNCTION("""COMPUTED_VALUE"""),"")</f>
        <v/>
      </c>
      <c r="C5231" t="str">
        <f>IFERROR(__xludf.DUMMYFUNCTION("""COMPUTED_VALUE"""),"")</f>
        <v/>
      </c>
      <c r="D5231" t="str">
        <f>IFERROR(__xludf.DUMMYFUNCTION("""COMPUTED_VALUE"""),"")</f>
        <v/>
      </c>
      <c r="E5231" t="str">
        <f>IFERROR(__xludf.DUMMYFUNCTION("""COMPUTED_VALUE"""),"")</f>
        <v/>
      </c>
      <c r="F5231" t="str">
        <f>IFERROR(__xludf.DUMMYFUNCTION("""COMPUTED_VALUE"""),"")</f>
        <v/>
      </c>
      <c r="G5231" t="str">
        <f>IFERROR(__xludf.DUMMYFUNCTION("""COMPUTED_VALUE"""),"")</f>
        <v/>
      </c>
      <c r="H5231" s="2" t="str">
        <f>IFERROR(__xludf.DUMMYFUNCTION("""COMPUTED_VALUE"""),"")</f>
        <v/>
      </c>
      <c r="I5231" s="2" t="str">
        <f>IFERROR(__xludf.DUMMYFUNCTION("""COMPUTED_VALUE"""),"")</f>
        <v/>
      </c>
      <c r="J5231" s="2">
        <f>IFERROR(__xludf.DUMMYFUNCTION("""COMPUTED_VALUE"""),0.0)</f>
        <v>0</v>
      </c>
      <c r="K5231" s="5" t="str">
        <f>IFERROR(__xludf.DUMMYFUNCTION("""COMPUTED_VALUE"""),"")</f>
        <v/>
      </c>
      <c r="L5231" t="str">
        <f>IFERROR(__xludf.DUMMYFUNCTION("""COMPUTED_VALUE"""),"")</f>
        <v/>
      </c>
      <c r="M5231" t="str">
        <f>IFERROR(__xludf.DUMMYFUNCTION("""COMPUTED_VALUE"""),"")</f>
        <v/>
      </c>
      <c r="N5231" t="str">
        <f>IFERROR(__xludf.DUMMYFUNCTION("""COMPUTED_VALUE"""),"")</f>
        <v/>
      </c>
      <c r="O5231" t="str">
        <f>IFERROR(__xludf.DUMMYFUNCTION("""COMPUTED_VALUE"""),"")</f>
        <v/>
      </c>
      <c r="P5231" t="str">
        <f>IFERROR(__xludf.DUMMYFUNCTION("""COMPUTED_VALUE"""),"ID ")</f>
        <v>ID </v>
      </c>
    </row>
    <row r="5232">
      <c r="A5232" s="6" t="str">
        <f>IFERROR(__xludf.DUMMYFUNCTION("""COMPUTED_VALUE"""),"")</f>
        <v/>
      </c>
      <c r="C5232" t="str">
        <f>IFERROR(__xludf.DUMMYFUNCTION("""COMPUTED_VALUE"""),"")</f>
        <v/>
      </c>
      <c r="D5232" t="str">
        <f>IFERROR(__xludf.DUMMYFUNCTION("""COMPUTED_VALUE"""),"")</f>
        <v/>
      </c>
      <c r="E5232" t="str">
        <f>IFERROR(__xludf.DUMMYFUNCTION("""COMPUTED_VALUE"""),"")</f>
        <v/>
      </c>
      <c r="F5232" t="str">
        <f>IFERROR(__xludf.DUMMYFUNCTION("""COMPUTED_VALUE"""),"")</f>
        <v/>
      </c>
      <c r="G5232" t="str">
        <f>IFERROR(__xludf.DUMMYFUNCTION("""COMPUTED_VALUE"""),"")</f>
        <v/>
      </c>
      <c r="H5232" s="2" t="str">
        <f>IFERROR(__xludf.DUMMYFUNCTION("""COMPUTED_VALUE"""),"")</f>
        <v/>
      </c>
      <c r="I5232" s="2" t="str">
        <f>IFERROR(__xludf.DUMMYFUNCTION("""COMPUTED_VALUE"""),"")</f>
        <v/>
      </c>
      <c r="J5232" s="2">
        <f>IFERROR(__xludf.DUMMYFUNCTION("""COMPUTED_VALUE"""),0.0)</f>
        <v>0</v>
      </c>
      <c r="K5232" s="5" t="str">
        <f>IFERROR(__xludf.DUMMYFUNCTION("""COMPUTED_VALUE"""),"")</f>
        <v/>
      </c>
      <c r="L5232" t="str">
        <f>IFERROR(__xludf.DUMMYFUNCTION("""COMPUTED_VALUE"""),"")</f>
        <v/>
      </c>
      <c r="M5232" t="str">
        <f>IFERROR(__xludf.DUMMYFUNCTION("""COMPUTED_VALUE"""),"")</f>
        <v/>
      </c>
      <c r="N5232" t="str">
        <f>IFERROR(__xludf.DUMMYFUNCTION("""COMPUTED_VALUE"""),"")</f>
        <v/>
      </c>
      <c r="O5232" t="str">
        <f>IFERROR(__xludf.DUMMYFUNCTION("""COMPUTED_VALUE"""),"")</f>
        <v/>
      </c>
      <c r="P5232" t="str">
        <f>IFERROR(__xludf.DUMMYFUNCTION("""COMPUTED_VALUE"""),"ID ")</f>
        <v>ID </v>
      </c>
    </row>
    <row r="5233">
      <c r="A5233" s="6" t="str">
        <f>IFERROR(__xludf.DUMMYFUNCTION("""COMPUTED_VALUE"""),"")</f>
        <v/>
      </c>
      <c r="C5233" t="str">
        <f>IFERROR(__xludf.DUMMYFUNCTION("""COMPUTED_VALUE"""),"")</f>
        <v/>
      </c>
      <c r="D5233" t="str">
        <f>IFERROR(__xludf.DUMMYFUNCTION("""COMPUTED_VALUE"""),"")</f>
        <v/>
      </c>
      <c r="E5233" t="str">
        <f>IFERROR(__xludf.DUMMYFUNCTION("""COMPUTED_VALUE"""),"")</f>
        <v/>
      </c>
      <c r="F5233" t="str">
        <f>IFERROR(__xludf.DUMMYFUNCTION("""COMPUTED_VALUE"""),"")</f>
        <v/>
      </c>
      <c r="G5233" t="str">
        <f>IFERROR(__xludf.DUMMYFUNCTION("""COMPUTED_VALUE"""),"")</f>
        <v/>
      </c>
      <c r="H5233" s="2" t="str">
        <f>IFERROR(__xludf.DUMMYFUNCTION("""COMPUTED_VALUE"""),"")</f>
        <v/>
      </c>
      <c r="I5233" s="2" t="str">
        <f>IFERROR(__xludf.DUMMYFUNCTION("""COMPUTED_VALUE"""),"")</f>
        <v/>
      </c>
      <c r="J5233" s="2">
        <f>IFERROR(__xludf.DUMMYFUNCTION("""COMPUTED_VALUE"""),0.0)</f>
        <v>0</v>
      </c>
      <c r="K5233" s="5" t="str">
        <f>IFERROR(__xludf.DUMMYFUNCTION("""COMPUTED_VALUE"""),"")</f>
        <v/>
      </c>
      <c r="L5233" t="str">
        <f>IFERROR(__xludf.DUMMYFUNCTION("""COMPUTED_VALUE"""),"")</f>
        <v/>
      </c>
      <c r="M5233" t="str">
        <f>IFERROR(__xludf.DUMMYFUNCTION("""COMPUTED_VALUE"""),"")</f>
        <v/>
      </c>
      <c r="N5233" t="str">
        <f>IFERROR(__xludf.DUMMYFUNCTION("""COMPUTED_VALUE"""),"")</f>
        <v/>
      </c>
      <c r="O5233" t="str">
        <f>IFERROR(__xludf.DUMMYFUNCTION("""COMPUTED_VALUE"""),"")</f>
        <v/>
      </c>
      <c r="P5233" t="str">
        <f>IFERROR(__xludf.DUMMYFUNCTION("""COMPUTED_VALUE"""),"ID ")</f>
        <v>ID </v>
      </c>
    </row>
    <row r="5234">
      <c r="A5234" s="6" t="str">
        <f>IFERROR(__xludf.DUMMYFUNCTION("""COMPUTED_VALUE"""),"")</f>
        <v/>
      </c>
      <c r="C5234" t="str">
        <f>IFERROR(__xludf.DUMMYFUNCTION("""COMPUTED_VALUE"""),"")</f>
        <v/>
      </c>
      <c r="D5234" t="str">
        <f>IFERROR(__xludf.DUMMYFUNCTION("""COMPUTED_VALUE"""),"")</f>
        <v/>
      </c>
      <c r="E5234" t="str">
        <f>IFERROR(__xludf.DUMMYFUNCTION("""COMPUTED_VALUE"""),"")</f>
        <v/>
      </c>
      <c r="F5234" t="str">
        <f>IFERROR(__xludf.DUMMYFUNCTION("""COMPUTED_VALUE"""),"")</f>
        <v/>
      </c>
      <c r="G5234" t="str">
        <f>IFERROR(__xludf.DUMMYFUNCTION("""COMPUTED_VALUE"""),"")</f>
        <v/>
      </c>
      <c r="H5234" s="2" t="str">
        <f>IFERROR(__xludf.DUMMYFUNCTION("""COMPUTED_VALUE"""),"")</f>
        <v/>
      </c>
      <c r="I5234" s="2" t="str">
        <f>IFERROR(__xludf.DUMMYFUNCTION("""COMPUTED_VALUE"""),"")</f>
        <v/>
      </c>
      <c r="J5234" s="2">
        <f>IFERROR(__xludf.DUMMYFUNCTION("""COMPUTED_VALUE"""),0.0)</f>
        <v>0</v>
      </c>
      <c r="K5234" s="5" t="str">
        <f>IFERROR(__xludf.DUMMYFUNCTION("""COMPUTED_VALUE"""),"")</f>
        <v/>
      </c>
      <c r="L5234" t="str">
        <f>IFERROR(__xludf.DUMMYFUNCTION("""COMPUTED_VALUE"""),"")</f>
        <v/>
      </c>
      <c r="M5234" t="str">
        <f>IFERROR(__xludf.DUMMYFUNCTION("""COMPUTED_VALUE"""),"")</f>
        <v/>
      </c>
      <c r="N5234" t="str">
        <f>IFERROR(__xludf.DUMMYFUNCTION("""COMPUTED_VALUE"""),"")</f>
        <v/>
      </c>
      <c r="O5234" t="str">
        <f>IFERROR(__xludf.DUMMYFUNCTION("""COMPUTED_VALUE"""),"")</f>
        <v/>
      </c>
      <c r="P5234" t="str">
        <f>IFERROR(__xludf.DUMMYFUNCTION("""COMPUTED_VALUE"""),"ID ")</f>
        <v>ID </v>
      </c>
    </row>
    <row r="5235">
      <c r="A5235" s="6" t="str">
        <f>IFERROR(__xludf.DUMMYFUNCTION("""COMPUTED_VALUE"""),"")</f>
        <v/>
      </c>
      <c r="C5235" t="str">
        <f>IFERROR(__xludf.DUMMYFUNCTION("""COMPUTED_VALUE"""),"")</f>
        <v/>
      </c>
      <c r="D5235" t="str">
        <f>IFERROR(__xludf.DUMMYFUNCTION("""COMPUTED_VALUE"""),"")</f>
        <v/>
      </c>
      <c r="E5235" t="str">
        <f>IFERROR(__xludf.DUMMYFUNCTION("""COMPUTED_VALUE"""),"")</f>
        <v/>
      </c>
      <c r="F5235" t="str">
        <f>IFERROR(__xludf.DUMMYFUNCTION("""COMPUTED_VALUE"""),"")</f>
        <v/>
      </c>
      <c r="G5235" t="str">
        <f>IFERROR(__xludf.DUMMYFUNCTION("""COMPUTED_VALUE"""),"")</f>
        <v/>
      </c>
      <c r="H5235" s="2" t="str">
        <f>IFERROR(__xludf.DUMMYFUNCTION("""COMPUTED_VALUE"""),"")</f>
        <v/>
      </c>
      <c r="I5235" s="2" t="str">
        <f>IFERROR(__xludf.DUMMYFUNCTION("""COMPUTED_VALUE"""),"")</f>
        <v/>
      </c>
      <c r="J5235" s="2">
        <f>IFERROR(__xludf.DUMMYFUNCTION("""COMPUTED_VALUE"""),0.0)</f>
        <v>0</v>
      </c>
      <c r="K5235" s="5" t="str">
        <f>IFERROR(__xludf.DUMMYFUNCTION("""COMPUTED_VALUE"""),"")</f>
        <v/>
      </c>
      <c r="L5235" t="str">
        <f>IFERROR(__xludf.DUMMYFUNCTION("""COMPUTED_VALUE"""),"")</f>
        <v/>
      </c>
      <c r="M5235" t="str">
        <f>IFERROR(__xludf.DUMMYFUNCTION("""COMPUTED_VALUE"""),"")</f>
        <v/>
      </c>
      <c r="N5235" t="str">
        <f>IFERROR(__xludf.DUMMYFUNCTION("""COMPUTED_VALUE"""),"")</f>
        <v/>
      </c>
      <c r="O5235" t="str">
        <f>IFERROR(__xludf.DUMMYFUNCTION("""COMPUTED_VALUE"""),"")</f>
        <v/>
      </c>
      <c r="P5235" t="str">
        <f>IFERROR(__xludf.DUMMYFUNCTION("""COMPUTED_VALUE"""),"ID ")</f>
        <v>ID </v>
      </c>
    </row>
    <row r="5236">
      <c r="A5236" s="6" t="str">
        <f>IFERROR(__xludf.DUMMYFUNCTION("""COMPUTED_VALUE"""),"")</f>
        <v/>
      </c>
      <c r="C5236" t="str">
        <f>IFERROR(__xludf.DUMMYFUNCTION("""COMPUTED_VALUE"""),"")</f>
        <v/>
      </c>
      <c r="D5236" t="str">
        <f>IFERROR(__xludf.DUMMYFUNCTION("""COMPUTED_VALUE"""),"")</f>
        <v/>
      </c>
      <c r="E5236" t="str">
        <f>IFERROR(__xludf.DUMMYFUNCTION("""COMPUTED_VALUE"""),"")</f>
        <v/>
      </c>
      <c r="F5236" t="str">
        <f>IFERROR(__xludf.DUMMYFUNCTION("""COMPUTED_VALUE"""),"")</f>
        <v/>
      </c>
      <c r="G5236" t="str">
        <f>IFERROR(__xludf.DUMMYFUNCTION("""COMPUTED_VALUE"""),"")</f>
        <v/>
      </c>
      <c r="H5236" s="2" t="str">
        <f>IFERROR(__xludf.DUMMYFUNCTION("""COMPUTED_VALUE"""),"")</f>
        <v/>
      </c>
      <c r="I5236" s="2" t="str">
        <f>IFERROR(__xludf.DUMMYFUNCTION("""COMPUTED_VALUE"""),"")</f>
        <v/>
      </c>
      <c r="J5236" s="2">
        <f>IFERROR(__xludf.DUMMYFUNCTION("""COMPUTED_VALUE"""),0.0)</f>
        <v>0</v>
      </c>
      <c r="K5236" s="5" t="str">
        <f>IFERROR(__xludf.DUMMYFUNCTION("""COMPUTED_VALUE"""),"")</f>
        <v/>
      </c>
      <c r="L5236" t="str">
        <f>IFERROR(__xludf.DUMMYFUNCTION("""COMPUTED_VALUE"""),"")</f>
        <v/>
      </c>
      <c r="M5236" t="str">
        <f>IFERROR(__xludf.DUMMYFUNCTION("""COMPUTED_VALUE"""),"")</f>
        <v/>
      </c>
      <c r="N5236" t="str">
        <f>IFERROR(__xludf.DUMMYFUNCTION("""COMPUTED_VALUE"""),"")</f>
        <v/>
      </c>
      <c r="O5236" t="str">
        <f>IFERROR(__xludf.DUMMYFUNCTION("""COMPUTED_VALUE"""),"")</f>
        <v/>
      </c>
      <c r="P5236" t="str">
        <f>IFERROR(__xludf.DUMMYFUNCTION("""COMPUTED_VALUE"""),"ID ")</f>
        <v>ID </v>
      </c>
    </row>
    <row r="5237">
      <c r="A5237" s="6" t="str">
        <f>IFERROR(__xludf.DUMMYFUNCTION("""COMPUTED_VALUE"""),"")</f>
        <v/>
      </c>
      <c r="C5237" t="str">
        <f>IFERROR(__xludf.DUMMYFUNCTION("""COMPUTED_VALUE"""),"")</f>
        <v/>
      </c>
      <c r="D5237" t="str">
        <f>IFERROR(__xludf.DUMMYFUNCTION("""COMPUTED_VALUE"""),"")</f>
        <v/>
      </c>
      <c r="E5237" t="str">
        <f>IFERROR(__xludf.DUMMYFUNCTION("""COMPUTED_VALUE"""),"")</f>
        <v/>
      </c>
      <c r="F5237" t="str">
        <f>IFERROR(__xludf.DUMMYFUNCTION("""COMPUTED_VALUE"""),"")</f>
        <v/>
      </c>
      <c r="G5237" t="str">
        <f>IFERROR(__xludf.DUMMYFUNCTION("""COMPUTED_VALUE"""),"")</f>
        <v/>
      </c>
      <c r="H5237" s="2" t="str">
        <f>IFERROR(__xludf.DUMMYFUNCTION("""COMPUTED_VALUE"""),"")</f>
        <v/>
      </c>
      <c r="I5237" s="2" t="str">
        <f>IFERROR(__xludf.DUMMYFUNCTION("""COMPUTED_VALUE"""),"")</f>
        <v/>
      </c>
      <c r="J5237" s="2">
        <f>IFERROR(__xludf.DUMMYFUNCTION("""COMPUTED_VALUE"""),0.0)</f>
        <v>0</v>
      </c>
      <c r="K5237" s="5" t="str">
        <f>IFERROR(__xludf.DUMMYFUNCTION("""COMPUTED_VALUE"""),"")</f>
        <v/>
      </c>
      <c r="L5237" t="str">
        <f>IFERROR(__xludf.DUMMYFUNCTION("""COMPUTED_VALUE"""),"")</f>
        <v/>
      </c>
      <c r="M5237" t="str">
        <f>IFERROR(__xludf.DUMMYFUNCTION("""COMPUTED_VALUE"""),"")</f>
        <v/>
      </c>
      <c r="N5237" t="str">
        <f>IFERROR(__xludf.DUMMYFUNCTION("""COMPUTED_VALUE"""),"")</f>
        <v/>
      </c>
      <c r="O5237" t="str">
        <f>IFERROR(__xludf.DUMMYFUNCTION("""COMPUTED_VALUE"""),"")</f>
        <v/>
      </c>
      <c r="P5237" t="str">
        <f>IFERROR(__xludf.DUMMYFUNCTION("""COMPUTED_VALUE"""),"ID ")</f>
        <v>ID </v>
      </c>
    </row>
    <row r="5238">
      <c r="A5238" s="6" t="str">
        <f>IFERROR(__xludf.DUMMYFUNCTION("""COMPUTED_VALUE"""),"")</f>
        <v/>
      </c>
      <c r="C5238" t="str">
        <f>IFERROR(__xludf.DUMMYFUNCTION("""COMPUTED_VALUE"""),"")</f>
        <v/>
      </c>
      <c r="D5238" t="str">
        <f>IFERROR(__xludf.DUMMYFUNCTION("""COMPUTED_VALUE"""),"")</f>
        <v/>
      </c>
      <c r="E5238" t="str">
        <f>IFERROR(__xludf.DUMMYFUNCTION("""COMPUTED_VALUE"""),"")</f>
        <v/>
      </c>
      <c r="F5238" t="str">
        <f>IFERROR(__xludf.DUMMYFUNCTION("""COMPUTED_VALUE"""),"")</f>
        <v/>
      </c>
      <c r="G5238" t="str">
        <f>IFERROR(__xludf.DUMMYFUNCTION("""COMPUTED_VALUE"""),"")</f>
        <v/>
      </c>
      <c r="H5238" s="2" t="str">
        <f>IFERROR(__xludf.DUMMYFUNCTION("""COMPUTED_VALUE"""),"")</f>
        <v/>
      </c>
      <c r="I5238" s="2" t="str">
        <f>IFERROR(__xludf.DUMMYFUNCTION("""COMPUTED_VALUE"""),"")</f>
        <v/>
      </c>
      <c r="J5238" s="2">
        <f>IFERROR(__xludf.DUMMYFUNCTION("""COMPUTED_VALUE"""),0.0)</f>
        <v>0</v>
      </c>
      <c r="K5238" s="5" t="str">
        <f>IFERROR(__xludf.DUMMYFUNCTION("""COMPUTED_VALUE"""),"")</f>
        <v/>
      </c>
      <c r="L5238" t="str">
        <f>IFERROR(__xludf.DUMMYFUNCTION("""COMPUTED_VALUE"""),"")</f>
        <v/>
      </c>
      <c r="M5238" t="str">
        <f>IFERROR(__xludf.DUMMYFUNCTION("""COMPUTED_VALUE"""),"")</f>
        <v/>
      </c>
      <c r="N5238" t="str">
        <f>IFERROR(__xludf.DUMMYFUNCTION("""COMPUTED_VALUE"""),"")</f>
        <v/>
      </c>
      <c r="O5238" t="str">
        <f>IFERROR(__xludf.DUMMYFUNCTION("""COMPUTED_VALUE"""),"")</f>
        <v/>
      </c>
      <c r="P5238" t="str">
        <f>IFERROR(__xludf.DUMMYFUNCTION("""COMPUTED_VALUE"""),"ID ")</f>
        <v>ID </v>
      </c>
    </row>
    <row r="5239">
      <c r="A5239" s="6" t="str">
        <f>IFERROR(__xludf.DUMMYFUNCTION("""COMPUTED_VALUE"""),"")</f>
        <v/>
      </c>
      <c r="C5239" t="str">
        <f>IFERROR(__xludf.DUMMYFUNCTION("""COMPUTED_VALUE"""),"")</f>
        <v/>
      </c>
      <c r="D5239" t="str">
        <f>IFERROR(__xludf.DUMMYFUNCTION("""COMPUTED_VALUE"""),"")</f>
        <v/>
      </c>
      <c r="E5239" t="str">
        <f>IFERROR(__xludf.DUMMYFUNCTION("""COMPUTED_VALUE"""),"")</f>
        <v/>
      </c>
      <c r="F5239" t="str">
        <f>IFERROR(__xludf.DUMMYFUNCTION("""COMPUTED_VALUE"""),"")</f>
        <v/>
      </c>
      <c r="G5239" t="str">
        <f>IFERROR(__xludf.DUMMYFUNCTION("""COMPUTED_VALUE"""),"")</f>
        <v/>
      </c>
      <c r="H5239" s="2" t="str">
        <f>IFERROR(__xludf.DUMMYFUNCTION("""COMPUTED_VALUE"""),"")</f>
        <v/>
      </c>
      <c r="I5239" s="2" t="str">
        <f>IFERROR(__xludf.DUMMYFUNCTION("""COMPUTED_VALUE"""),"")</f>
        <v/>
      </c>
      <c r="J5239" s="2">
        <f>IFERROR(__xludf.DUMMYFUNCTION("""COMPUTED_VALUE"""),0.0)</f>
        <v>0</v>
      </c>
      <c r="K5239" s="5" t="str">
        <f>IFERROR(__xludf.DUMMYFUNCTION("""COMPUTED_VALUE"""),"")</f>
        <v/>
      </c>
      <c r="L5239" t="str">
        <f>IFERROR(__xludf.DUMMYFUNCTION("""COMPUTED_VALUE"""),"")</f>
        <v/>
      </c>
      <c r="M5239" t="str">
        <f>IFERROR(__xludf.DUMMYFUNCTION("""COMPUTED_VALUE"""),"")</f>
        <v/>
      </c>
      <c r="N5239" t="str">
        <f>IFERROR(__xludf.DUMMYFUNCTION("""COMPUTED_VALUE"""),"")</f>
        <v/>
      </c>
      <c r="O5239" t="str">
        <f>IFERROR(__xludf.DUMMYFUNCTION("""COMPUTED_VALUE"""),"")</f>
        <v/>
      </c>
      <c r="P5239" t="str">
        <f>IFERROR(__xludf.DUMMYFUNCTION("""COMPUTED_VALUE"""),"ID ")</f>
        <v>ID </v>
      </c>
    </row>
    <row r="5240">
      <c r="A5240" s="6" t="str">
        <f>IFERROR(__xludf.DUMMYFUNCTION("""COMPUTED_VALUE"""),"")</f>
        <v/>
      </c>
      <c r="C5240" t="str">
        <f>IFERROR(__xludf.DUMMYFUNCTION("""COMPUTED_VALUE"""),"")</f>
        <v/>
      </c>
      <c r="D5240" t="str">
        <f>IFERROR(__xludf.DUMMYFUNCTION("""COMPUTED_VALUE"""),"")</f>
        <v/>
      </c>
      <c r="E5240" t="str">
        <f>IFERROR(__xludf.DUMMYFUNCTION("""COMPUTED_VALUE"""),"")</f>
        <v/>
      </c>
      <c r="F5240" t="str">
        <f>IFERROR(__xludf.DUMMYFUNCTION("""COMPUTED_VALUE"""),"")</f>
        <v/>
      </c>
      <c r="G5240" t="str">
        <f>IFERROR(__xludf.DUMMYFUNCTION("""COMPUTED_VALUE"""),"")</f>
        <v/>
      </c>
      <c r="H5240" s="2" t="str">
        <f>IFERROR(__xludf.DUMMYFUNCTION("""COMPUTED_VALUE"""),"")</f>
        <v/>
      </c>
      <c r="I5240" s="2" t="str">
        <f>IFERROR(__xludf.DUMMYFUNCTION("""COMPUTED_VALUE"""),"")</f>
        <v/>
      </c>
      <c r="J5240" s="2">
        <f>IFERROR(__xludf.DUMMYFUNCTION("""COMPUTED_VALUE"""),0.0)</f>
        <v>0</v>
      </c>
      <c r="K5240" s="5" t="str">
        <f>IFERROR(__xludf.DUMMYFUNCTION("""COMPUTED_VALUE"""),"")</f>
        <v/>
      </c>
      <c r="L5240" t="str">
        <f>IFERROR(__xludf.DUMMYFUNCTION("""COMPUTED_VALUE"""),"")</f>
        <v/>
      </c>
      <c r="M5240" t="str">
        <f>IFERROR(__xludf.DUMMYFUNCTION("""COMPUTED_VALUE"""),"")</f>
        <v/>
      </c>
      <c r="N5240" t="str">
        <f>IFERROR(__xludf.DUMMYFUNCTION("""COMPUTED_VALUE"""),"")</f>
        <v/>
      </c>
      <c r="O5240" t="str">
        <f>IFERROR(__xludf.DUMMYFUNCTION("""COMPUTED_VALUE"""),"")</f>
        <v/>
      </c>
      <c r="P5240" t="str">
        <f>IFERROR(__xludf.DUMMYFUNCTION("""COMPUTED_VALUE"""),"ID ")</f>
        <v>ID </v>
      </c>
    </row>
    <row r="5241">
      <c r="A5241" s="6" t="str">
        <f>IFERROR(__xludf.DUMMYFUNCTION("""COMPUTED_VALUE"""),"")</f>
        <v/>
      </c>
      <c r="C5241" t="str">
        <f>IFERROR(__xludf.DUMMYFUNCTION("""COMPUTED_VALUE"""),"")</f>
        <v/>
      </c>
      <c r="D5241" t="str">
        <f>IFERROR(__xludf.DUMMYFUNCTION("""COMPUTED_VALUE"""),"")</f>
        <v/>
      </c>
      <c r="E5241" t="str">
        <f>IFERROR(__xludf.DUMMYFUNCTION("""COMPUTED_VALUE"""),"")</f>
        <v/>
      </c>
      <c r="F5241" t="str">
        <f>IFERROR(__xludf.DUMMYFUNCTION("""COMPUTED_VALUE"""),"")</f>
        <v/>
      </c>
      <c r="G5241" t="str">
        <f>IFERROR(__xludf.DUMMYFUNCTION("""COMPUTED_VALUE"""),"")</f>
        <v/>
      </c>
      <c r="H5241" s="2" t="str">
        <f>IFERROR(__xludf.DUMMYFUNCTION("""COMPUTED_VALUE"""),"")</f>
        <v/>
      </c>
      <c r="I5241" s="2" t="str">
        <f>IFERROR(__xludf.DUMMYFUNCTION("""COMPUTED_VALUE"""),"")</f>
        <v/>
      </c>
      <c r="J5241" s="2">
        <f>IFERROR(__xludf.DUMMYFUNCTION("""COMPUTED_VALUE"""),0.0)</f>
        <v>0</v>
      </c>
      <c r="K5241" s="5" t="str">
        <f>IFERROR(__xludf.DUMMYFUNCTION("""COMPUTED_VALUE"""),"")</f>
        <v/>
      </c>
      <c r="L5241" t="str">
        <f>IFERROR(__xludf.DUMMYFUNCTION("""COMPUTED_VALUE"""),"")</f>
        <v/>
      </c>
      <c r="M5241" t="str">
        <f>IFERROR(__xludf.DUMMYFUNCTION("""COMPUTED_VALUE"""),"")</f>
        <v/>
      </c>
      <c r="N5241" t="str">
        <f>IFERROR(__xludf.DUMMYFUNCTION("""COMPUTED_VALUE"""),"")</f>
        <v/>
      </c>
      <c r="O5241" t="str">
        <f>IFERROR(__xludf.DUMMYFUNCTION("""COMPUTED_VALUE"""),"")</f>
        <v/>
      </c>
      <c r="P5241" t="str">
        <f>IFERROR(__xludf.DUMMYFUNCTION("""COMPUTED_VALUE"""),"ID ")</f>
        <v>ID </v>
      </c>
    </row>
    <row r="5242">
      <c r="A5242" s="6" t="str">
        <f>IFERROR(__xludf.DUMMYFUNCTION("""COMPUTED_VALUE"""),"")</f>
        <v/>
      </c>
      <c r="C5242" t="str">
        <f>IFERROR(__xludf.DUMMYFUNCTION("""COMPUTED_VALUE"""),"")</f>
        <v/>
      </c>
      <c r="D5242" t="str">
        <f>IFERROR(__xludf.DUMMYFUNCTION("""COMPUTED_VALUE"""),"")</f>
        <v/>
      </c>
      <c r="E5242" t="str">
        <f>IFERROR(__xludf.DUMMYFUNCTION("""COMPUTED_VALUE"""),"")</f>
        <v/>
      </c>
      <c r="F5242" t="str">
        <f>IFERROR(__xludf.DUMMYFUNCTION("""COMPUTED_VALUE"""),"")</f>
        <v/>
      </c>
      <c r="G5242" t="str">
        <f>IFERROR(__xludf.DUMMYFUNCTION("""COMPUTED_VALUE"""),"")</f>
        <v/>
      </c>
      <c r="H5242" s="2" t="str">
        <f>IFERROR(__xludf.DUMMYFUNCTION("""COMPUTED_VALUE"""),"")</f>
        <v/>
      </c>
      <c r="I5242" s="2" t="str">
        <f>IFERROR(__xludf.DUMMYFUNCTION("""COMPUTED_VALUE"""),"")</f>
        <v/>
      </c>
      <c r="J5242" s="2">
        <f>IFERROR(__xludf.DUMMYFUNCTION("""COMPUTED_VALUE"""),0.0)</f>
        <v>0</v>
      </c>
      <c r="K5242" s="5" t="str">
        <f>IFERROR(__xludf.DUMMYFUNCTION("""COMPUTED_VALUE"""),"")</f>
        <v/>
      </c>
      <c r="L5242" t="str">
        <f>IFERROR(__xludf.DUMMYFUNCTION("""COMPUTED_VALUE"""),"")</f>
        <v/>
      </c>
      <c r="M5242" t="str">
        <f>IFERROR(__xludf.DUMMYFUNCTION("""COMPUTED_VALUE"""),"")</f>
        <v/>
      </c>
      <c r="N5242" t="str">
        <f>IFERROR(__xludf.DUMMYFUNCTION("""COMPUTED_VALUE"""),"")</f>
        <v/>
      </c>
      <c r="O5242" t="str">
        <f>IFERROR(__xludf.DUMMYFUNCTION("""COMPUTED_VALUE"""),"")</f>
        <v/>
      </c>
      <c r="P5242" t="str">
        <f>IFERROR(__xludf.DUMMYFUNCTION("""COMPUTED_VALUE"""),"ID ")</f>
        <v>ID </v>
      </c>
    </row>
    <row r="5243">
      <c r="A5243" s="6" t="str">
        <f>IFERROR(__xludf.DUMMYFUNCTION("""COMPUTED_VALUE"""),"")</f>
        <v/>
      </c>
      <c r="C5243" t="str">
        <f>IFERROR(__xludf.DUMMYFUNCTION("""COMPUTED_VALUE"""),"")</f>
        <v/>
      </c>
      <c r="D5243" t="str">
        <f>IFERROR(__xludf.DUMMYFUNCTION("""COMPUTED_VALUE"""),"")</f>
        <v/>
      </c>
      <c r="E5243" t="str">
        <f>IFERROR(__xludf.DUMMYFUNCTION("""COMPUTED_VALUE"""),"")</f>
        <v/>
      </c>
      <c r="F5243" t="str">
        <f>IFERROR(__xludf.DUMMYFUNCTION("""COMPUTED_VALUE"""),"")</f>
        <v/>
      </c>
      <c r="G5243" t="str">
        <f>IFERROR(__xludf.DUMMYFUNCTION("""COMPUTED_VALUE"""),"")</f>
        <v/>
      </c>
      <c r="H5243" s="2" t="str">
        <f>IFERROR(__xludf.DUMMYFUNCTION("""COMPUTED_VALUE"""),"")</f>
        <v/>
      </c>
      <c r="I5243" s="2" t="str">
        <f>IFERROR(__xludf.DUMMYFUNCTION("""COMPUTED_VALUE"""),"")</f>
        <v/>
      </c>
      <c r="J5243" s="2">
        <f>IFERROR(__xludf.DUMMYFUNCTION("""COMPUTED_VALUE"""),0.0)</f>
        <v>0</v>
      </c>
      <c r="K5243" s="5" t="str">
        <f>IFERROR(__xludf.DUMMYFUNCTION("""COMPUTED_VALUE"""),"")</f>
        <v/>
      </c>
      <c r="L5243" t="str">
        <f>IFERROR(__xludf.DUMMYFUNCTION("""COMPUTED_VALUE"""),"")</f>
        <v/>
      </c>
      <c r="M5243" t="str">
        <f>IFERROR(__xludf.DUMMYFUNCTION("""COMPUTED_VALUE"""),"")</f>
        <v/>
      </c>
      <c r="N5243" t="str">
        <f>IFERROR(__xludf.DUMMYFUNCTION("""COMPUTED_VALUE"""),"")</f>
        <v/>
      </c>
      <c r="O5243" t="str">
        <f>IFERROR(__xludf.DUMMYFUNCTION("""COMPUTED_VALUE"""),"")</f>
        <v/>
      </c>
      <c r="P5243" t="str">
        <f>IFERROR(__xludf.DUMMYFUNCTION("""COMPUTED_VALUE"""),"ID ")</f>
        <v>ID </v>
      </c>
    </row>
    <row r="5244">
      <c r="A5244" s="6" t="str">
        <f>IFERROR(__xludf.DUMMYFUNCTION("""COMPUTED_VALUE"""),"")</f>
        <v/>
      </c>
      <c r="C5244" t="str">
        <f>IFERROR(__xludf.DUMMYFUNCTION("""COMPUTED_VALUE"""),"")</f>
        <v/>
      </c>
      <c r="D5244" t="str">
        <f>IFERROR(__xludf.DUMMYFUNCTION("""COMPUTED_VALUE"""),"")</f>
        <v/>
      </c>
      <c r="E5244" t="str">
        <f>IFERROR(__xludf.DUMMYFUNCTION("""COMPUTED_VALUE"""),"")</f>
        <v/>
      </c>
      <c r="F5244" t="str">
        <f>IFERROR(__xludf.DUMMYFUNCTION("""COMPUTED_VALUE"""),"")</f>
        <v/>
      </c>
      <c r="G5244" t="str">
        <f>IFERROR(__xludf.DUMMYFUNCTION("""COMPUTED_VALUE"""),"")</f>
        <v/>
      </c>
      <c r="H5244" s="2" t="str">
        <f>IFERROR(__xludf.DUMMYFUNCTION("""COMPUTED_VALUE"""),"")</f>
        <v/>
      </c>
      <c r="I5244" s="2" t="str">
        <f>IFERROR(__xludf.DUMMYFUNCTION("""COMPUTED_VALUE"""),"")</f>
        <v/>
      </c>
      <c r="J5244" s="2">
        <f>IFERROR(__xludf.DUMMYFUNCTION("""COMPUTED_VALUE"""),0.0)</f>
        <v>0</v>
      </c>
      <c r="K5244" s="5" t="str">
        <f>IFERROR(__xludf.DUMMYFUNCTION("""COMPUTED_VALUE"""),"")</f>
        <v/>
      </c>
      <c r="L5244" t="str">
        <f>IFERROR(__xludf.DUMMYFUNCTION("""COMPUTED_VALUE"""),"")</f>
        <v/>
      </c>
      <c r="M5244" t="str">
        <f>IFERROR(__xludf.DUMMYFUNCTION("""COMPUTED_VALUE"""),"")</f>
        <v/>
      </c>
      <c r="N5244" t="str">
        <f>IFERROR(__xludf.DUMMYFUNCTION("""COMPUTED_VALUE"""),"")</f>
        <v/>
      </c>
      <c r="O5244" t="str">
        <f>IFERROR(__xludf.DUMMYFUNCTION("""COMPUTED_VALUE"""),"")</f>
        <v/>
      </c>
      <c r="P5244" t="str">
        <f>IFERROR(__xludf.DUMMYFUNCTION("""COMPUTED_VALUE"""),"ID ")</f>
        <v>ID </v>
      </c>
    </row>
    <row r="5245">
      <c r="A5245" s="6" t="str">
        <f>IFERROR(__xludf.DUMMYFUNCTION("""COMPUTED_VALUE"""),"")</f>
        <v/>
      </c>
      <c r="C5245" t="str">
        <f>IFERROR(__xludf.DUMMYFUNCTION("""COMPUTED_VALUE"""),"")</f>
        <v/>
      </c>
      <c r="D5245" t="str">
        <f>IFERROR(__xludf.DUMMYFUNCTION("""COMPUTED_VALUE"""),"")</f>
        <v/>
      </c>
      <c r="E5245" t="str">
        <f>IFERROR(__xludf.DUMMYFUNCTION("""COMPUTED_VALUE"""),"")</f>
        <v/>
      </c>
      <c r="F5245" t="str">
        <f>IFERROR(__xludf.DUMMYFUNCTION("""COMPUTED_VALUE"""),"")</f>
        <v/>
      </c>
      <c r="G5245" t="str">
        <f>IFERROR(__xludf.DUMMYFUNCTION("""COMPUTED_VALUE"""),"")</f>
        <v/>
      </c>
      <c r="H5245" s="2" t="str">
        <f>IFERROR(__xludf.DUMMYFUNCTION("""COMPUTED_VALUE"""),"")</f>
        <v/>
      </c>
      <c r="I5245" s="2" t="str">
        <f>IFERROR(__xludf.DUMMYFUNCTION("""COMPUTED_VALUE"""),"")</f>
        <v/>
      </c>
      <c r="J5245" s="2">
        <f>IFERROR(__xludf.DUMMYFUNCTION("""COMPUTED_VALUE"""),0.0)</f>
        <v>0</v>
      </c>
      <c r="K5245" s="5" t="str">
        <f>IFERROR(__xludf.DUMMYFUNCTION("""COMPUTED_VALUE"""),"")</f>
        <v/>
      </c>
      <c r="L5245" t="str">
        <f>IFERROR(__xludf.DUMMYFUNCTION("""COMPUTED_VALUE"""),"")</f>
        <v/>
      </c>
      <c r="M5245" t="str">
        <f>IFERROR(__xludf.DUMMYFUNCTION("""COMPUTED_VALUE"""),"")</f>
        <v/>
      </c>
      <c r="N5245" t="str">
        <f>IFERROR(__xludf.DUMMYFUNCTION("""COMPUTED_VALUE"""),"")</f>
        <v/>
      </c>
      <c r="O5245" t="str">
        <f>IFERROR(__xludf.DUMMYFUNCTION("""COMPUTED_VALUE"""),"")</f>
        <v/>
      </c>
      <c r="P5245" t="str">
        <f>IFERROR(__xludf.DUMMYFUNCTION("""COMPUTED_VALUE"""),"ID ")</f>
        <v>ID </v>
      </c>
    </row>
    <row r="5246">
      <c r="A5246" s="6" t="str">
        <f>IFERROR(__xludf.DUMMYFUNCTION("""COMPUTED_VALUE"""),"")</f>
        <v/>
      </c>
      <c r="C5246" t="str">
        <f>IFERROR(__xludf.DUMMYFUNCTION("""COMPUTED_VALUE"""),"")</f>
        <v/>
      </c>
      <c r="D5246" t="str">
        <f>IFERROR(__xludf.DUMMYFUNCTION("""COMPUTED_VALUE"""),"")</f>
        <v/>
      </c>
      <c r="E5246" t="str">
        <f>IFERROR(__xludf.DUMMYFUNCTION("""COMPUTED_VALUE"""),"")</f>
        <v/>
      </c>
      <c r="F5246" t="str">
        <f>IFERROR(__xludf.DUMMYFUNCTION("""COMPUTED_VALUE"""),"")</f>
        <v/>
      </c>
      <c r="G5246" t="str">
        <f>IFERROR(__xludf.DUMMYFUNCTION("""COMPUTED_VALUE"""),"")</f>
        <v/>
      </c>
      <c r="H5246" s="2" t="str">
        <f>IFERROR(__xludf.DUMMYFUNCTION("""COMPUTED_VALUE"""),"")</f>
        <v/>
      </c>
      <c r="I5246" s="2" t="str">
        <f>IFERROR(__xludf.DUMMYFUNCTION("""COMPUTED_VALUE"""),"")</f>
        <v/>
      </c>
      <c r="J5246" s="2">
        <f>IFERROR(__xludf.DUMMYFUNCTION("""COMPUTED_VALUE"""),0.0)</f>
        <v>0</v>
      </c>
      <c r="K5246" s="5" t="str">
        <f>IFERROR(__xludf.DUMMYFUNCTION("""COMPUTED_VALUE"""),"")</f>
        <v/>
      </c>
      <c r="L5246" t="str">
        <f>IFERROR(__xludf.DUMMYFUNCTION("""COMPUTED_VALUE"""),"")</f>
        <v/>
      </c>
      <c r="M5246" t="str">
        <f>IFERROR(__xludf.DUMMYFUNCTION("""COMPUTED_VALUE"""),"")</f>
        <v/>
      </c>
      <c r="N5246" t="str">
        <f>IFERROR(__xludf.DUMMYFUNCTION("""COMPUTED_VALUE"""),"")</f>
        <v/>
      </c>
      <c r="O5246" t="str">
        <f>IFERROR(__xludf.DUMMYFUNCTION("""COMPUTED_VALUE"""),"")</f>
        <v/>
      </c>
      <c r="P5246" t="str">
        <f>IFERROR(__xludf.DUMMYFUNCTION("""COMPUTED_VALUE"""),"ID ")</f>
        <v>ID </v>
      </c>
    </row>
    <row r="5247">
      <c r="A5247" s="6" t="str">
        <f>IFERROR(__xludf.DUMMYFUNCTION("""COMPUTED_VALUE"""),"")</f>
        <v/>
      </c>
      <c r="C5247" t="str">
        <f>IFERROR(__xludf.DUMMYFUNCTION("""COMPUTED_VALUE"""),"")</f>
        <v/>
      </c>
      <c r="D5247" t="str">
        <f>IFERROR(__xludf.DUMMYFUNCTION("""COMPUTED_VALUE"""),"")</f>
        <v/>
      </c>
      <c r="E5247" t="str">
        <f>IFERROR(__xludf.DUMMYFUNCTION("""COMPUTED_VALUE"""),"")</f>
        <v/>
      </c>
      <c r="F5247" t="str">
        <f>IFERROR(__xludf.DUMMYFUNCTION("""COMPUTED_VALUE"""),"")</f>
        <v/>
      </c>
      <c r="G5247" t="str">
        <f>IFERROR(__xludf.DUMMYFUNCTION("""COMPUTED_VALUE"""),"")</f>
        <v/>
      </c>
      <c r="H5247" s="2" t="str">
        <f>IFERROR(__xludf.DUMMYFUNCTION("""COMPUTED_VALUE"""),"")</f>
        <v/>
      </c>
      <c r="I5247" s="2" t="str">
        <f>IFERROR(__xludf.DUMMYFUNCTION("""COMPUTED_VALUE"""),"")</f>
        <v/>
      </c>
      <c r="J5247" s="2">
        <f>IFERROR(__xludf.DUMMYFUNCTION("""COMPUTED_VALUE"""),0.0)</f>
        <v>0</v>
      </c>
      <c r="K5247" s="5" t="str">
        <f>IFERROR(__xludf.DUMMYFUNCTION("""COMPUTED_VALUE"""),"")</f>
        <v/>
      </c>
      <c r="L5247" t="str">
        <f>IFERROR(__xludf.DUMMYFUNCTION("""COMPUTED_VALUE"""),"")</f>
        <v/>
      </c>
      <c r="M5247" t="str">
        <f>IFERROR(__xludf.DUMMYFUNCTION("""COMPUTED_VALUE"""),"")</f>
        <v/>
      </c>
      <c r="N5247" t="str">
        <f>IFERROR(__xludf.DUMMYFUNCTION("""COMPUTED_VALUE"""),"")</f>
        <v/>
      </c>
      <c r="O5247" t="str">
        <f>IFERROR(__xludf.DUMMYFUNCTION("""COMPUTED_VALUE"""),"")</f>
        <v/>
      </c>
      <c r="P5247" t="str">
        <f>IFERROR(__xludf.DUMMYFUNCTION("""COMPUTED_VALUE"""),"ID ")</f>
        <v>ID </v>
      </c>
    </row>
    <row r="5248">
      <c r="A5248" s="6" t="str">
        <f>IFERROR(__xludf.DUMMYFUNCTION("""COMPUTED_VALUE"""),"")</f>
        <v/>
      </c>
      <c r="C5248" t="str">
        <f>IFERROR(__xludf.DUMMYFUNCTION("""COMPUTED_VALUE"""),"")</f>
        <v/>
      </c>
      <c r="D5248" t="str">
        <f>IFERROR(__xludf.DUMMYFUNCTION("""COMPUTED_VALUE"""),"")</f>
        <v/>
      </c>
      <c r="E5248" t="str">
        <f>IFERROR(__xludf.DUMMYFUNCTION("""COMPUTED_VALUE"""),"")</f>
        <v/>
      </c>
      <c r="F5248" t="str">
        <f>IFERROR(__xludf.DUMMYFUNCTION("""COMPUTED_VALUE"""),"")</f>
        <v/>
      </c>
      <c r="G5248" t="str">
        <f>IFERROR(__xludf.DUMMYFUNCTION("""COMPUTED_VALUE"""),"")</f>
        <v/>
      </c>
      <c r="H5248" s="2" t="str">
        <f>IFERROR(__xludf.DUMMYFUNCTION("""COMPUTED_VALUE"""),"")</f>
        <v/>
      </c>
      <c r="I5248" s="2" t="str">
        <f>IFERROR(__xludf.DUMMYFUNCTION("""COMPUTED_VALUE"""),"")</f>
        <v/>
      </c>
      <c r="J5248" s="2">
        <f>IFERROR(__xludf.DUMMYFUNCTION("""COMPUTED_VALUE"""),0.0)</f>
        <v>0</v>
      </c>
      <c r="K5248" s="5" t="str">
        <f>IFERROR(__xludf.DUMMYFUNCTION("""COMPUTED_VALUE"""),"")</f>
        <v/>
      </c>
      <c r="L5248" t="str">
        <f>IFERROR(__xludf.DUMMYFUNCTION("""COMPUTED_VALUE"""),"")</f>
        <v/>
      </c>
      <c r="M5248" t="str">
        <f>IFERROR(__xludf.DUMMYFUNCTION("""COMPUTED_VALUE"""),"")</f>
        <v/>
      </c>
      <c r="N5248" t="str">
        <f>IFERROR(__xludf.DUMMYFUNCTION("""COMPUTED_VALUE"""),"")</f>
        <v/>
      </c>
      <c r="O5248" t="str">
        <f>IFERROR(__xludf.DUMMYFUNCTION("""COMPUTED_VALUE"""),"")</f>
        <v/>
      </c>
      <c r="P5248" t="str">
        <f>IFERROR(__xludf.DUMMYFUNCTION("""COMPUTED_VALUE"""),"ID ")</f>
        <v>ID </v>
      </c>
    </row>
    <row r="5249">
      <c r="A5249" s="6" t="str">
        <f>IFERROR(__xludf.DUMMYFUNCTION("""COMPUTED_VALUE"""),"")</f>
        <v/>
      </c>
      <c r="C5249" t="str">
        <f>IFERROR(__xludf.DUMMYFUNCTION("""COMPUTED_VALUE"""),"")</f>
        <v/>
      </c>
      <c r="D5249" t="str">
        <f>IFERROR(__xludf.DUMMYFUNCTION("""COMPUTED_VALUE"""),"")</f>
        <v/>
      </c>
      <c r="E5249" t="str">
        <f>IFERROR(__xludf.DUMMYFUNCTION("""COMPUTED_VALUE"""),"")</f>
        <v/>
      </c>
      <c r="F5249" t="str">
        <f>IFERROR(__xludf.DUMMYFUNCTION("""COMPUTED_VALUE"""),"")</f>
        <v/>
      </c>
      <c r="G5249" t="str">
        <f>IFERROR(__xludf.DUMMYFUNCTION("""COMPUTED_VALUE"""),"")</f>
        <v/>
      </c>
      <c r="H5249" s="2" t="str">
        <f>IFERROR(__xludf.DUMMYFUNCTION("""COMPUTED_VALUE"""),"")</f>
        <v/>
      </c>
      <c r="I5249" s="2" t="str">
        <f>IFERROR(__xludf.DUMMYFUNCTION("""COMPUTED_VALUE"""),"")</f>
        <v/>
      </c>
      <c r="J5249" s="2">
        <f>IFERROR(__xludf.DUMMYFUNCTION("""COMPUTED_VALUE"""),0.0)</f>
        <v>0</v>
      </c>
      <c r="K5249" s="5" t="str">
        <f>IFERROR(__xludf.DUMMYFUNCTION("""COMPUTED_VALUE"""),"")</f>
        <v/>
      </c>
      <c r="L5249" t="str">
        <f>IFERROR(__xludf.DUMMYFUNCTION("""COMPUTED_VALUE"""),"")</f>
        <v/>
      </c>
      <c r="M5249" t="str">
        <f>IFERROR(__xludf.DUMMYFUNCTION("""COMPUTED_VALUE"""),"")</f>
        <v/>
      </c>
      <c r="N5249" t="str">
        <f>IFERROR(__xludf.DUMMYFUNCTION("""COMPUTED_VALUE"""),"")</f>
        <v/>
      </c>
      <c r="O5249" t="str">
        <f>IFERROR(__xludf.DUMMYFUNCTION("""COMPUTED_VALUE"""),"")</f>
        <v/>
      </c>
      <c r="P5249" t="str">
        <f>IFERROR(__xludf.DUMMYFUNCTION("""COMPUTED_VALUE"""),"ID ")</f>
        <v>ID </v>
      </c>
    </row>
    <row r="5250">
      <c r="A5250" s="6" t="str">
        <f>IFERROR(__xludf.DUMMYFUNCTION("""COMPUTED_VALUE"""),"")</f>
        <v/>
      </c>
      <c r="C5250" t="str">
        <f>IFERROR(__xludf.DUMMYFUNCTION("""COMPUTED_VALUE"""),"")</f>
        <v/>
      </c>
      <c r="D5250" t="str">
        <f>IFERROR(__xludf.DUMMYFUNCTION("""COMPUTED_VALUE"""),"")</f>
        <v/>
      </c>
      <c r="E5250" t="str">
        <f>IFERROR(__xludf.DUMMYFUNCTION("""COMPUTED_VALUE"""),"")</f>
        <v/>
      </c>
      <c r="F5250" t="str">
        <f>IFERROR(__xludf.DUMMYFUNCTION("""COMPUTED_VALUE"""),"")</f>
        <v/>
      </c>
      <c r="G5250" t="str">
        <f>IFERROR(__xludf.DUMMYFUNCTION("""COMPUTED_VALUE"""),"")</f>
        <v/>
      </c>
      <c r="H5250" s="2" t="str">
        <f>IFERROR(__xludf.DUMMYFUNCTION("""COMPUTED_VALUE"""),"")</f>
        <v/>
      </c>
      <c r="I5250" s="2" t="str">
        <f>IFERROR(__xludf.DUMMYFUNCTION("""COMPUTED_VALUE"""),"")</f>
        <v/>
      </c>
      <c r="J5250" s="2">
        <f>IFERROR(__xludf.DUMMYFUNCTION("""COMPUTED_VALUE"""),0.0)</f>
        <v>0</v>
      </c>
      <c r="K5250" s="5" t="str">
        <f>IFERROR(__xludf.DUMMYFUNCTION("""COMPUTED_VALUE"""),"")</f>
        <v/>
      </c>
      <c r="L5250" t="str">
        <f>IFERROR(__xludf.DUMMYFUNCTION("""COMPUTED_VALUE"""),"")</f>
        <v/>
      </c>
      <c r="M5250" t="str">
        <f>IFERROR(__xludf.DUMMYFUNCTION("""COMPUTED_VALUE"""),"")</f>
        <v/>
      </c>
      <c r="N5250" t="str">
        <f>IFERROR(__xludf.DUMMYFUNCTION("""COMPUTED_VALUE"""),"")</f>
        <v/>
      </c>
      <c r="O5250" t="str">
        <f>IFERROR(__xludf.DUMMYFUNCTION("""COMPUTED_VALUE"""),"")</f>
        <v/>
      </c>
      <c r="P5250" t="str">
        <f>IFERROR(__xludf.DUMMYFUNCTION("""COMPUTED_VALUE"""),"ID ")</f>
        <v>ID </v>
      </c>
    </row>
    <row r="5251">
      <c r="A5251" s="6" t="str">
        <f>IFERROR(__xludf.DUMMYFUNCTION("""COMPUTED_VALUE"""),"")</f>
        <v/>
      </c>
      <c r="C5251" t="str">
        <f>IFERROR(__xludf.DUMMYFUNCTION("""COMPUTED_VALUE"""),"")</f>
        <v/>
      </c>
      <c r="D5251" t="str">
        <f>IFERROR(__xludf.DUMMYFUNCTION("""COMPUTED_VALUE"""),"")</f>
        <v/>
      </c>
      <c r="E5251" t="str">
        <f>IFERROR(__xludf.DUMMYFUNCTION("""COMPUTED_VALUE"""),"")</f>
        <v/>
      </c>
      <c r="F5251" t="str">
        <f>IFERROR(__xludf.DUMMYFUNCTION("""COMPUTED_VALUE"""),"")</f>
        <v/>
      </c>
      <c r="G5251" t="str">
        <f>IFERROR(__xludf.DUMMYFUNCTION("""COMPUTED_VALUE"""),"")</f>
        <v/>
      </c>
      <c r="H5251" s="2" t="str">
        <f>IFERROR(__xludf.DUMMYFUNCTION("""COMPUTED_VALUE"""),"")</f>
        <v/>
      </c>
      <c r="I5251" s="2" t="str">
        <f>IFERROR(__xludf.DUMMYFUNCTION("""COMPUTED_VALUE"""),"")</f>
        <v/>
      </c>
      <c r="J5251" s="2">
        <f>IFERROR(__xludf.DUMMYFUNCTION("""COMPUTED_VALUE"""),0.0)</f>
        <v>0</v>
      </c>
      <c r="K5251" s="5" t="str">
        <f>IFERROR(__xludf.DUMMYFUNCTION("""COMPUTED_VALUE"""),"")</f>
        <v/>
      </c>
      <c r="L5251" t="str">
        <f>IFERROR(__xludf.DUMMYFUNCTION("""COMPUTED_VALUE"""),"")</f>
        <v/>
      </c>
      <c r="M5251" t="str">
        <f>IFERROR(__xludf.DUMMYFUNCTION("""COMPUTED_VALUE"""),"")</f>
        <v/>
      </c>
      <c r="N5251" t="str">
        <f>IFERROR(__xludf.DUMMYFUNCTION("""COMPUTED_VALUE"""),"")</f>
        <v/>
      </c>
      <c r="O5251" t="str">
        <f>IFERROR(__xludf.DUMMYFUNCTION("""COMPUTED_VALUE"""),"")</f>
        <v/>
      </c>
      <c r="P5251" t="str">
        <f>IFERROR(__xludf.DUMMYFUNCTION("""COMPUTED_VALUE"""),"ID ")</f>
        <v>ID </v>
      </c>
    </row>
    <row r="5252">
      <c r="A5252" s="6" t="str">
        <f>IFERROR(__xludf.DUMMYFUNCTION("""COMPUTED_VALUE"""),"")</f>
        <v/>
      </c>
      <c r="C5252" t="str">
        <f>IFERROR(__xludf.DUMMYFUNCTION("""COMPUTED_VALUE"""),"")</f>
        <v/>
      </c>
      <c r="D5252" t="str">
        <f>IFERROR(__xludf.DUMMYFUNCTION("""COMPUTED_VALUE"""),"")</f>
        <v/>
      </c>
      <c r="E5252" t="str">
        <f>IFERROR(__xludf.DUMMYFUNCTION("""COMPUTED_VALUE"""),"")</f>
        <v/>
      </c>
      <c r="F5252" t="str">
        <f>IFERROR(__xludf.DUMMYFUNCTION("""COMPUTED_VALUE"""),"")</f>
        <v/>
      </c>
      <c r="G5252" t="str">
        <f>IFERROR(__xludf.DUMMYFUNCTION("""COMPUTED_VALUE"""),"")</f>
        <v/>
      </c>
      <c r="H5252" s="2" t="str">
        <f>IFERROR(__xludf.DUMMYFUNCTION("""COMPUTED_VALUE"""),"")</f>
        <v/>
      </c>
      <c r="I5252" s="2" t="str">
        <f>IFERROR(__xludf.DUMMYFUNCTION("""COMPUTED_VALUE"""),"")</f>
        <v/>
      </c>
      <c r="J5252" s="2">
        <f>IFERROR(__xludf.DUMMYFUNCTION("""COMPUTED_VALUE"""),0.0)</f>
        <v>0</v>
      </c>
      <c r="K5252" s="5" t="str">
        <f>IFERROR(__xludf.DUMMYFUNCTION("""COMPUTED_VALUE"""),"")</f>
        <v/>
      </c>
      <c r="L5252" t="str">
        <f>IFERROR(__xludf.DUMMYFUNCTION("""COMPUTED_VALUE"""),"")</f>
        <v/>
      </c>
      <c r="M5252" t="str">
        <f>IFERROR(__xludf.DUMMYFUNCTION("""COMPUTED_VALUE"""),"")</f>
        <v/>
      </c>
      <c r="N5252" t="str">
        <f>IFERROR(__xludf.DUMMYFUNCTION("""COMPUTED_VALUE"""),"")</f>
        <v/>
      </c>
      <c r="O5252" t="str">
        <f>IFERROR(__xludf.DUMMYFUNCTION("""COMPUTED_VALUE"""),"")</f>
        <v/>
      </c>
      <c r="P5252" t="str">
        <f>IFERROR(__xludf.DUMMYFUNCTION("""COMPUTED_VALUE"""),"ID ")</f>
        <v>ID </v>
      </c>
    </row>
    <row r="5253">
      <c r="A5253" s="6" t="str">
        <f>IFERROR(__xludf.DUMMYFUNCTION("""COMPUTED_VALUE"""),"")</f>
        <v/>
      </c>
      <c r="C5253" t="str">
        <f>IFERROR(__xludf.DUMMYFUNCTION("""COMPUTED_VALUE"""),"")</f>
        <v/>
      </c>
      <c r="D5253" t="str">
        <f>IFERROR(__xludf.DUMMYFUNCTION("""COMPUTED_VALUE"""),"")</f>
        <v/>
      </c>
      <c r="E5253" t="str">
        <f>IFERROR(__xludf.DUMMYFUNCTION("""COMPUTED_VALUE"""),"")</f>
        <v/>
      </c>
      <c r="F5253" t="str">
        <f>IFERROR(__xludf.DUMMYFUNCTION("""COMPUTED_VALUE"""),"")</f>
        <v/>
      </c>
      <c r="G5253" t="str">
        <f>IFERROR(__xludf.DUMMYFUNCTION("""COMPUTED_VALUE"""),"")</f>
        <v/>
      </c>
      <c r="H5253" s="2" t="str">
        <f>IFERROR(__xludf.DUMMYFUNCTION("""COMPUTED_VALUE"""),"")</f>
        <v/>
      </c>
      <c r="I5253" s="2" t="str">
        <f>IFERROR(__xludf.DUMMYFUNCTION("""COMPUTED_VALUE"""),"")</f>
        <v/>
      </c>
      <c r="J5253" s="2">
        <f>IFERROR(__xludf.DUMMYFUNCTION("""COMPUTED_VALUE"""),0.0)</f>
        <v>0</v>
      </c>
      <c r="K5253" s="5" t="str">
        <f>IFERROR(__xludf.DUMMYFUNCTION("""COMPUTED_VALUE"""),"")</f>
        <v/>
      </c>
      <c r="L5253" t="str">
        <f>IFERROR(__xludf.DUMMYFUNCTION("""COMPUTED_VALUE"""),"")</f>
        <v/>
      </c>
      <c r="M5253" t="str">
        <f>IFERROR(__xludf.DUMMYFUNCTION("""COMPUTED_VALUE"""),"")</f>
        <v/>
      </c>
      <c r="N5253" t="str">
        <f>IFERROR(__xludf.DUMMYFUNCTION("""COMPUTED_VALUE"""),"")</f>
        <v/>
      </c>
      <c r="O5253" t="str">
        <f>IFERROR(__xludf.DUMMYFUNCTION("""COMPUTED_VALUE"""),"")</f>
        <v/>
      </c>
      <c r="P5253" t="str">
        <f>IFERROR(__xludf.DUMMYFUNCTION("""COMPUTED_VALUE"""),"ID ")</f>
        <v>ID </v>
      </c>
    </row>
    <row r="5254">
      <c r="A5254" s="6" t="str">
        <f>IFERROR(__xludf.DUMMYFUNCTION("""COMPUTED_VALUE"""),"")</f>
        <v/>
      </c>
      <c r="C5254" t="str">
        <f>IFERROR(__xludf.DUMMYFUNCTION("""COMPUTED_VALUE"""),"")</f>
        <v/>
      </c>
      <c r="D5254" t="str">
        <f>IFERROR(__xludf.DUMMYFUNCTION("""COMPUTED_VALUE"""),"")</f>
        <v/>
      </c>
      <c r="E5254" t="str">
        <f>IFERROR(__xludf.DUMMYFUNCTION("""COMPUTED_VALUE"""),"")</f>
        <v/>
      </c>
      <c r="F5254" t="str">
        <f>IFERROR(__xludf.DUMMYFUNCTION("""COMPUTED_VALUE"""),"")</f>
        <v/>
      </c>
      <c r="G5254" t="str">
        <f>IFERROR(__xludf.DUMMYFUNCTION("""COMPUTED_VALUE"""),"")</f>
        <v/>
      </c>
      <c r="H5254" s="2" t="str">
        <f>IFERROR(__xludf.DUMMYFUNCTION("""COMPUTED_VALUE"""),"")</f>
        <v/>
      </c>
      <c r="I5254" s="2" t="str">
        <f>IFERROR(__xludf.DUMMYFUNCTION("""COMPUTED_VALUE"""),"")</f>
        <v/>
      </c>
      <c r="J5254" s="2">
        <f>IFERROR(__xludf.DUMMYFUNCTION("""COMPUTED_VALUE"""),0.0)</f>
        <v>0</v>
      </c>
      <c r="K5254" s="5" t="str">
        <f>IFERROR(__xludf.DUMMYFUNCTION("""COMPUTED_VALUE"""),"")</f>
        <v/>
      </c>
      <c r="L5254" t="str">
        <f>IFERROR(__xludf.DUMMYFUNCTION("""COMPUTED_VALUE"""),"")</f>
        <v/>
      </c>
      <c r="M5254" t="str">
        <f>IFERROR(__xludf.DUMMYFUNCTION("""COMPUTED_VALUE"""),"")</f>
        <v/>
      </c>
      <c r="N5254" t="str">
        <f>IFERROR(__xludf.DUMMYFUNCTION("""COMPUTED_VALUE"""),"")</f>
        <v/>
      </c>
      <c r="O5254" t="str">
        <f>IFERROR(__xludf.DUMMYFUNCTION("""COMPUTED_VALUE"""),"")</f>
        <v/>
      </c>
      <c r="P5254" t="str">
        <f>IFERROR(__xludf.DUMMYFUNCTION("""COMPUTED_VALUE"""),"ID ")</f>
        <v>ID </v>
      </c>
    </row>
    <row r="5255">
      <c r="A5255" s="6" t="str">
        <f>IFERROR(__xludf.DUMMYFUNCTION("""COMPUTED_VALUE"""),"")</f>
        <v/>
      </c>
      <c r="C5255" t="str">
        <f>IFERROR(__xludf.DUMMYFUNCTION("""COMPUTED_VALUE"""),"")</f>
        <v/>
      </c>
      <c r="D5255" t="str">
        <f>IFERROR(__xludf.DUMMYFUNCTION("""COMPUTED_VALUE"""),"")</f>
        <v/>
      </c>
      <c r="E5255" t="str">
        <f>IFERROR(__xludf.DUMMYFUNCTION("""COMPUTED_VALUE"""),"")</f>
        <v/>
      </c>
      <c r="F5255" t="str">
        <f>IFERROR(__xludf.DUMMYFUNCTION("""COMPUTED_VALUE"""),"")</f>
        <v/>
      </c>
      <c r="G5255" t="str">
        <f>IFERROR(__xludf.DUMMYFUNCTION("""COMPUTED_VALUE"""),"")</f>
        <v/>
      </c>
      <c r="H5255" s="2" t="str">
        <f>IFERROR(__xludf.DUMMYFUNCTION("""COMPUTED_VALUE"""),"")</f>
        <v/>
      </c>
      <c r="I5255" s="2" t="str">
        <f>IFERROR(__xludf.DUMMYFUNCTION("""COMPUTED_VALUE"""),"")</f>
        <v/>
      </c>
      <c r="J5255" s="2">
        <f>IFERROR(__xludf.DUMMYFUNCTION("""COMPUTED_VALUE"""),0.0)</f>
        <v>0</v>
      </c>
      <c r="K5255" s="5" t="str">
        <f>IFERROR(__xludf.DUMMYFUNCTION("""COMPUTED_VALUE"""),"")</f>
        <v/>
      </c>
      <c r="L5255" t="str">
        <f>IFERROR(__xludf.DUMMYFUNCTION("""COMPUTED_VALUE"""),"")</f>
        <v/>
      </c>
      <c r="M5255" t="str">
        <f>IFERROR(__xludf.DUMMYFUNCTION("""COMPUTED_VALUE"""),"")</f>
        <v/>
      </c>
      <c r="N5255" t="str">
        <f>IFERROR(__xludf.DUMMYFUNCTION("""COMPUTED_VALUE"""),"")</f>
        <v/>
      </c>
      <c r="O5255" t="str">
        <f>IFERROR(__xludf.DUMMYFUNCTION("""COMPUTED_VALUE"""),"")</f>
        <v/>
      </c>
      <c r="P5255" t="str">
        <f>IFERROR(__xludf.DUMMYFUNCTION("""COMPUTED_VALUE"""),"ID ")</f>
        <v>ID </v>
      </c>
    </row>
    <row r="5256">
      <c r="A5256" s="6" t="str">
        <f>IFERROR(__xludf.DUMMYFUNCTION("""COMPUTED_VALUE"""),"")</f>
        <v/>
      </c>
      <c r="C5256" t="str">
        <f>IFERROR(__xludf.DUMMYFUNCTION("""COMPUTED_VALUE"""),"")</f>
        <v/>
      </c>
      <c r="D5256" t="str">
        <f>IFERROR(__xludf.DUMMYFUNCTION("""COMPUTED_VALUE"""),"")</f>
        <v/>
      </c>
      <c r="E5256" t="str">
        <f>IFERROR(__xludf.DUMMYFUNCTION("""COMPUTED_VALUE"""),"")</f>
        <v/>
      </c>
      <c r="F5256" t="str">
        <f>IFERROR(__xludf.DUMMYFUNCTION("""COMPUTED_VALUE"""),"")</f>
        <v/>
      </c>
      <c r="G5256" t="str">
        <f>IFERROR(__xludf.DUMMYFUNCTION("""COMPUTED_VALUE"""),"")</f>
        <v/>
      </c>
      <c r="H5256" s="2" t="str">
        <f>IFERROR(__xludf.DUMMYFUNCTION("""COMPUTED_VALUE"""),"")</f>
        <v/>
      </c>
      <c r="I5256" s="2" t="str">
        <f>IFERROR(__xludf.DUMMYFUNCTION("""COMPUTED_VALUE"""),"")</f>
        <v/>
      </c>
      <c r="J5256" s="2">
        <f>IFERROR(__xludf.DUMMYFUNCTION("""COMPUTED_VALUE"""),0.0)</f>
        <v>0</v>
      </c>
      <c r="K5256" s="5" t="str">
        <f>IFERROR(__xludf.DUMMYFUNCTION("""COMPUTED_VALUE"""),"")</f>
        <v/>
      </c>
      <c r="L5256" t="str">
        <f>IFERROR(__xludf.DUMMYFUNCTION("""COMPUTED_VALUE"""),"")</f>
        <v/>
      </c>
      <c r="M5256" t="str">
        <f>IFERROR(__xludf.DUMMYFUNCTION("""COMPUTED_VALUE"""),"")</f>
        <v/>
      </c>
      <c r="N5256" t="str">
        <f>IFERROR(__xludf.DUMMYFUNCTION("""COMPUTED_VALUE"""),"")</f>
        <v/>
      </c>
      <c r="O5256" t="str">
        <f>IFERROR(__xludf.DUMMYFUNCTION("""COMPUTED_VALUE"""),"")</f>
        <v/>
      </c>
      <c r="P5256" t="str">
        <f>IFERROR(__xludf.DUMMYFUNCTION("""COMPUTED_VALUE"""),"ID ")</f>
        <v>ID </v>
      </c>
    </row>
    <row r="5257">
      <c r="A5257" s="6" t="str">
        <f>IFERROR(__xludf.DUMMYFUNCTION("""COMPUTED_VALUE"""),"")</f>
        <v/>
      </c>
      <c r="C5257" t="str">
        <f>IFERROR(__xludf.DUMMYFUNCTION("""COMPUTED_VALUE"""),"")</f>
        <v/>
      </c>
      <c r="D5257" t="str">
        <f>IFERROR(__xludf.DUMMYFUNCTION("""COMPUTED_VALUE"""),"")</f>
        <v/>
      </c>
      <c r="E5257" t="str">
        <f>IFERROR(__xludf.DUMMYFUNCTION("""COMPUTED_VALUE"""),"")</f>
        <v/>
      </c>
      <c r="F5257" t="str">
        <f>IFERROR(__xludf.DUMMYFUNCTION("""COMPUTED_VALUE"""),"")</f>
        <v/>
      </c>
      <c r="G5257" t="str">
        <f>IFERROR(__xludf.DUMMYFUNCTION("""COMPUTED_VALUE"""),"")</f>
        <v/>
      </c>
      <c r="H5257" s="2" t="str">
        <f>IFERROR(__xludf.DUMMYFUNCTION("""COMPUTED_VALUE"""),"")</f>
        <v/>
      </c>
      <c r="I5257" s="2" t="str">
        <f>IFERROR(__xludf.DUMMYFUNCTION("""COMPUTED_VALUE"""),"")</f>
        <v/>
      </c>
      <c r="J5257" s="2">
        <f>IFERROR(__xludf.DUMMYFUNCTION("""COMPUTED_VALUE"""),0.0)</f>
        <v>0</v>
      </c>
      <c r="K5257" s="5" t="str">
        <f>IFERROR(__xludf.DUMMYFUNCTION("""COMPUTED_VALUE"""),"")</f>
        <v/>
      </c>
      <c r="L5257" t="str">
        <f>IFERROR(__xludf.DUMMYFUNCTION("""COMPUTED_VALUE"""),"")</f>
        <v/>
      </c>
      <c r="M5257" t="str">
        <f>IFERROR(__xludf.DUMMYFUNCTION("""COMPUTED_VALUE"""),"")</f>
        <v/>
      </c>
      <c r="N5257" t="str">
        <f>IFERROR(__xludf.DUMMYFUNCTION("""COMPUTED_VALUE"""),"")</f>
        <v/>
      </c>
      <c r="O5257" t="str">
        <f>IFERROR(__xludf.DUMMYFUNCTION("""COMPUTED_VALUE"""),"")</f>
        <v/>
      </c>
      <c r="P5257" t="str">
        <f>IFERROR(__xludf.DUMMYFUNCTION("""COMPUTED_VALUE"""),"ID ")</f>
        <v>ID </v>
      </c>
    </row>
    <row r="5258">
      <c r="A5258" s="6" t="str">
        <f>IFERROR(__xludf.DUMMYFUNCTION("""COMPUTED_VALUE"""),"")</f>
        <v/>
      </c>
      <c r="C5258" t="str">
        <f>IFERROR(__xludf.DUMMYFUNCTION("""COMPUTED_VALUE"""),"")</f>
        <v/>
      </c>
      <c r="D5258" t="str">
        <f>IFERROR(__xludf.DUMMYFUNCTION("""COMPUTED_VALUE"""),"")</f>
        <v/>
      </c>
      <c r="E5258" t="str">
        <f>IFERROR(__xludf.DUMMYFUNCTION("""COMPUTED_VALUE"""),"")</f>
        <v/>
      </c>
      <c r="F5258" t="str">
        <f>IFERROR(__xludf.DUMMYFUNCTION("""COMPUTED_VALUE"""),"")</f>
        <v/>
      </c>
      <c r="G5258" t="str">
        <f>IFERROR(__xludf.DUMMYFUNCTION("""COMPUTED_VALUE"""),"")</f>
        <v/>
      </c>
      <c r="H5258" s="2" t="str">
        <f>IFERROR(__xludf.DUMMYFUNCTION("""COMPUTED_VALUE"""),"")</f>
        <v/>
      </c>
      <c r="I5258" s="2" t="str">
        <f>IFERROR(__xludf.DUMMYFUNCTION("""COMPUTED_VALUE"""),"")</f>
        <v/>
      </c>
      <c r="J5258" s="2">
        <f>IFERROR(__xludf.DUMMYFUNCTION("""COMPUTED_VALUE"""),0.0)</f>
        <v>0</v>
      </c>
      <c r="K5258" s="5" t="str">
        <f>IFERROR(__xludf.DUMMYFUNCTION("""COMPUTED_VALUE"""),"")</f>
        <v/>
      </c>
      <c r="L5258" t="str">
        <f>IFERROR(__xludf.DUMMYFUNCTION("""COMPUTED_VALUE"""),"")</f>
        <v/>
      </c>
      <c r="M5258" t="str">
        <f>IFERROR(__xludf.DUMMYFUNCTION("""COMPUTED_VALUE"""),"")</f>
        <v/>
      </c>
      <c r="N5258" t="str">
        <f>IFERROR(__xludf.DUMMYFUNCTION("""COMPUTED_VALUE"""),"")</f>
        <v/>
      </c>
      <c r="O5258" t="str">
        <f>IFERROR(__xludf.DUMMYFUNCTION("""COMPUTED_VALUE"""),"")</f>
        <v/>
      </c>
      <c r="P5258" t="str">
        <f>IFERROR(__xludf.DUMMYFUNCTION("""COMPUTED_VALUE"""),"ID ")</f>
        <v>ID </v>
      </c>
    </row>
    <row r="5259">
      <c r="A5259" s="6" t="str">
        <f>IFERROR(__xludf.DUMMYFUNCTION("""COMPUTED_VALUE"""),"")</f>
        <v/>
      </c>
      <c r="C5259" t="str">
        <f>IFERROR(__xludf.DUMMYFUNCTION("""COMPUTED_VALUE"""),"")</f>
        <v/>
      </c>
      <c r="D5259" t="str">
        <f>IFERROR(__xludf.DUMMYFUNCTION("""COMPUTED_VALUE"""),"")</f>
        <v/>
      </c>
      <c r="E5259" t="str">
        <f>IFERROR(__xludf.DUMMYFUNCTION("""COMPUTED_VALUE"""),"")</f>
        <v/>
      </c>
      <c r="F5259" t="str">
        <f>IFERROR(__xludf.DUMMYFUNCTION("""COMPUTED_VALUE"""),"")</f>
        <v/>
      </c>
      <c r="G5259" t="str">
        <f>IFERROR(__xludf.DUMMYFUNCTION("""COMPUTED_VALUE"""),"")</f>
        <v/>
      </c>
      <c r="H5259" s="2" t="str">
        <f>IFERROR(__xludf.DUMMYFUNCTION("""COMPUTED_VALUE"""),"")</f>
        <v/>
      </c>
      <c r="I5259" s="2" t="str">
        <f>IFERROR(__xludf.DUMMYFUNCTION("""COMPUTED_VALUE"""),"")</f>
        <v/>
      </c>
      <c r="J5259" s="2">
        <f>IFERROR(__xludf.DUMMYFUNCTION("""COMPUTED_VALUE"""),0.0)</f>
        <v>0</v>
      </c>
      <c r="K5259" s="5" t="str">
        <f>IFERROR(__xludf.DUMMYFUNCTION("""COMPUTED_VALUE"""),"")</f>
        <v/>
      </c>
      <c r="L5259" t="str">
        <f>IFERROR(__xludf.DUMMYFUNCTION("""COMPUTED_VALUE"""),"")</f>
        <v/>
      </c>
      <c r="M5259" t="str">
        <f>IFERROR(__xludf.DUMMYFUNCTION("""COMPUTED_VALUE"""),"")</f>
        <v/>
      </c>
      <c r="N5259" t="str">
        <f>IFERROR(__xludf.DUMMYFUNCTION("""COMPUTED_VALUE"""),"")</f>
        <v/>
      </c>
      <c r="O5259" t="str">
        <f>IFERROR(__xludf.DUMMYFUNCTION("""COMPUTED_VALUE"""),"")</f>
        <v/>
      </c>
      <c r="P5259" t="str">
        <f>IFERROR(__xludf.DUMMYFUNCTION("""COMPUTED_VALUE"""),"ID ")</f>
        <v>ID </v>
      </c>
    </row>
    <row r="5260">
      <c r="A5260" s="6" t="str">
        <f>IFERROR(__xludf.DUMMYFUNCTION("""COMPUTED_VALUE"""),"")</f>
        <v/>
      </c>
      <c r="C5260" t="str">
        <f>IFERROR(__xludf.DUMMYFUNCTION("""COMPUTED_VALUE"""),"")</f>
        <v/>
      </c>
      <c r="D5260" t="str">
        <f>IFERROR(__xludf.DUMMYFUNCTION("""COMPUTED_VALUE"""),"")</f>
        <v/>
      </c>
      <c r="E5260" t="str">
        <f>IFERROR(__xludf.DUMMYFUNCTION("""COMPUTED_VALUE"""),"")</f>
        <v/>
      </c>
      <c r="F5260" t="str">
        <f>IFERROR(__xludf.DUMMYFUNCTION("""COMPUTED_VALUE"""),"")</f>
        <v/>
      </c>
      <c r="G5260" t="str">
        <f>IFERROR(__xludf.DUMMYFUNCTION("""COMPUTED_VALUE"""),"")</f>
        <v/>
      </c>
      <c r="H5260" s="2" t="str">
        <f>IFERROR(__xludf.DUMMYFUNCTION("""COMPUTED_VALUE"""),"")</f>
        <v/>
      </c>
      <c r="I5260" s="2" t="str">
        <f>IFERROR(__xludf.DUMMYFUNCTION("""COMPUTED_VALUE"""),"")</f>
        <v/>
      </c>
      <c r="J5260" s="2">
        <f>IFERROR(__xludf.DUMMYFUNCTION("""COMPUTED_VALUE"""),0.0)</f>
        <v>0</v>
      </c>
      <c r="K5260" s="5" t="str">
        <f>IFERROR(__xludf.DUMMYFUNCTION("""COMPUTED_VALUE"""),"")</f>
        <v/>
      </c>
      <c r="L5260" t="str">
        <f>IFERROR(__xludf.DUMMYFUNCTION("""COMPUTED_VALUE"""),"")</f>
        <v/>
      </c>
      <c r="M5260" t="str">
        <f>IFERROR(__xludf.DUMMYFUNCTION("""COMPUTED_VALUE"""),"")</f>
        <v/>
      </c>
      <c r="N5260" t="str">
        <f>IFERROR(__xludf.DUMMYFUNCTION("""COMPUTED_VALUE"""),"")</f>
        <v/>
      </c>
      <c r="O5260" t="str">
        <f>IFERROR(__xludf.DUMMYFUNCTION("""COMPUTED_VALUE"""),"")</f>
        <v/>
      </c>
      <c r="P5260" t="str">
        <f>IFERROR(__xludf.DUMMYFUNCTION("""COMPUTED_VALUE"""),"ID ")</f>
        <v>ID </v>
      </c>
    </row>
    <row r="5261">
      <c r="A5261" s="6" t="str">
        <f>IFERROR(__xludf.DUMMYFUNCTION("""COMPUTED_VALUE"""),"")</f>
        <v/>
      </c>
      <c r="C5261" t="str">
        <f>IFERROR(__xludf.DUMMYFUNCTION("""COMPUTED_VALUE"""),"")</f>
        <v/>
      </c>
      <c r="D5261" t="str">
        <f>IFERROR(__xludf.DUMMYFUNCTION("""COMPUTED_VALUE"""),"")</f>
        <v/>
      </c>
      <c r="E5261" t="str">
        <f>IFERROR(__xludf.DUMMYFUNCTION("""COMPUTED_VALUE"""),"")</f>
        <v/>
      </c>
      <c r="F5261" t="str">
        <f>IFERROR(__xludf.DUMMYFUNCTION("""COMPUTED_VALUE"""),"")</f>
        <v/>
      </c>
      <c r="G5261" t="str">
        <f>IFERROR(__xludf.DUMMYFUNCTION("""COMPUTED_VALUE"""),"")</f>
        <v/>
      </c>
      <c r="H5261" s="2" t="str">
        <f>IFERROR(__xludf.DUMMYFUNCTION("""COMPUTED_VALUE"""),"")</f>
        <v/>
      </c>
      <c r="I5261" s="2" t="str">
        <f>IFERROR(__xludf.DUMMYFUNCTION("""COMPUTED_VALUE"""),"")</f>
        <v/>
      </c>
      <c r="J5261" s="2">
        <f>IFERROR(__xludf.DUMMYFUNCTION("""COMPUTED_VALUE"""),0.0)</f>
        <v>0</v>
      </c>
      <c r="K5261" s="5" t="str">
        <f>IFERROR(__xludf.DUMMYFUNCTION("""COMPUTED_VALUE"""),"")</f>
        <v/>
      </c>
      <c r="L5261" t="str">
        <f>IFERROR(__xludf.DUMMYFUNCTION("""COMPUTED_VALUE"""),"")</f>
        <v/>
      </c>
      <c r="M5261" t="str">
        <f>IFERROR(__xludf.DUMMYFUNCTION("""COMPUTED_VALUE"""),"")</f>
        <v/>
      </c>
      <c r="N5261" t="str">
        <f>IFERROR(__xludf.DUMMYFUNCTION("""COMPUTED_VALUE"""),"")</f>
        <v/>
      </c>
      <c r="O5261" t="str">
        <f>IFERROR(__xludf.DUMMYFUNCTION("""COMPUTED_VALUE"""),"")</f>
        <v/>
      </c>
      <c r="P5261" t="str">
        <f>IFERROR(__xludf.DUMMYFUNCTION("""COMPUTED_VALUE"""),"ID ")</f>
        <v>ID </v>
      </c>
    </row>
    <row r="5262">
      <c r="A5262" s="6" t="str">
        <f>IFERROR(__xludf.DUMMYFUNCTION("""COMPUTED_VALUE"""),"")</f>
        <v/>
      </c>
      <c r="C5262" t="str">
        <f>IFERROR(__xludf.DUMMYFUNCTION("""COMPUTED_VALUE"""),"")</f>
        <v/>
      </c>
      <c r="D5262" t="str">
        <f>IFERROR(__xludf.DUMMYFUNCTION("""COMPUTED_VALUE"""),"")</f>
        <v/>
      </c>
      <c r="E5262" t="str">
        <f>IFERROR(__xludf.DUMMYFUNCTION("""COMPUTED_VALUE"""),"")</f>
        <v/>
      </c>
      <c r="F5262" t="str">
        <f>IFERROR(__xludf.DUMMYFUNCTION("""COMPUTED_VALUE"""),"")</f>
        <v/>
      </c>
      <c r="G5262" t="str">
        <f>IFERROR(__xludf.DUMMYFUNCTION("""COMPUTED_VALUE"""),"")</f>
        <v/>
      </c>
      <c r="H5262" s="2" t="str">
        <f>IFERROR(__xludf.DUMMYFUNCTION("""COMPUTED_VALUE"""),"")</f>
        <v/>
      </c>
      <c r="I5262" s="2" t="str">
        <f>IFERROR(__xludf.DUMMYFUNCTION("""COMPUTED_VALUE"""),"")</f>
        <v/>
      </c>
      <c r="J5262" s="2">
        <f>IFERROR(__xludf.DUMMYFUNCTION("""COMPUTED_VALUE"""),0.0)</f>
        <v>0</v>
      </c>
      <c r="K5262" s="5" t="str">
        <f>IFERROR(__xludf.DUMMYFUNCTION("""COMPUTED_VALUE"""),"")</f>
        <v/>
      </c>
      <c r="L5262" t="str">
        <f>IFERROR(__xludf.DUMMYFUNCTION("""COMPUTED_VALUE"""),"")</f>
        <v/>
      </c>
      <c r="M5262" t="str">
        <f>IFERROR(__xludf.DUMMYFUNCTION("""COMPUTED_VALUE"""),"")</f>
        <v/>
      </c>
      <c r="N5262" t="str">
        <f>IFERROR(__xludf.DUMMYFUNCTION("""COMPUTED_VALUE"""),"")</f>
        <v/>
      </c>
      <c r="O5262" t="str">
        <f>IFERROR(__xludf.DUMMYFUNCTION("""COMPUTED_VALUE"""),"")</f>
        <v/>
      </c>
      <c r="P5262" t="str">
        <f>IFERROR(__xludf.DUMMYFUNCTION("""COMPUTED_VALUE"""),"ID ")</f>
        <v>ID </v>
      </c>
    </row>
    <row r="5263">
      <c r="A5263" s="6" t="str">
        <f>IFERROR(__xludf.DUMMYFUNCTION("""COMPUTED_VALUE"""),"")</f>
        <v/>
      </c>
      <c r="C5263" t="str">
        <f>IFERROR(__xludf.DUMMYFUNCTION("""COMPUTED_VALUE"""),"")</f>
        <v/>
      </c>
      <c r="D5263" t="str">
        <f>IFERROR(__xludf.DUMMYFUNCTION("""COMPUTED_VALUE"""),"")</f>
        <v/>
      </c>
      <c r="E5263" t="str">
        <f>IFERROR(__xludf.DUMMYFUNCTION("""COMPUTED_VALUE"""),"")</f>
        <v/>
      </c>
      <c r="F5263" t="str">
        <f>IFERROR(__xludf.DUMMYFUNCTION("""COMPUTED_VALUE"""),"")</f>
        <v/>
      </c>
      <c r="G5263" t="str">
        <f>IFERROR(__xludf.DUMMYFUNCTION("""COMPUTED_VALUE"""),"")</f>
        <v/>
      </c>
      <c r="H5263" s="2" t="str">
        <f>IFERROR(__xludf.DUMMYFUNCTION("""COMPUTED_VALUE"""),"")</f>
        <v/>
      </c>
      <c r="I5263" s="2" t="str">
        <f>IFERROR(__xludf.DUMMYFUNCTION("""COMPUTED_VALUE"""),"")</f>
        <v/>
      </c>
      <c r="J5263" s="2">
        <f>IFERROR(__xludf.DUMMYFUNCTION("""COMPUTED_VALUE"""),0.0)</f>
        <v>0</v>
      </c>
      <c r="K5263" s="5" t="str">
        <f>IFERROR(__xludf.DUMMYFUNCTION("""COMPUTED_VALUE"""),"")</f>
        <v/>
      </c>
      <c r="L5263" t="str">
        <f>IFERROR(__xludf.DUMMYFUNCTION("""COMPUTED_VALUE"""),"")</f>
        <v/>
      </c>
      <c r="M5263" t="str">
        <f>IFERROR(__xludf.DUMMYFUNCTION("""COMPUTED_VALUE"""),"")</f>
        <v/>
      </c>
      <c r="N5263" t="str">
        <f>IFERROR(__xludf.DUMMYFUNCTION("""COMPUTED_VALUE"""),"")</f>
        <v/>
      </c>
      <c r="O5263" t="str">
        <f>IFERROR(__xludf.DUMMYFUNCTION("""COMPUTED_VALUE"""),"")</f>
        <v/>
      </c>
      <c r="P5263" t="str">
        <f>IFERROR(__xludf.DUMMYFUNCTION("""COMPUTED_VALUE"""),"ID ")</f>
        <v>ID </v>
      </c>
    </row>
    <row r="5264">
      <c r="A5264" s="6" t="str">
        <f>IFERROR(__xludf.DUMMYFUNCTION("""COMPUTED_VALUE"""),"")</f>
        <v/>
      </c>
      <c r="C5264" t="str">
        <f>IFERROR(__xludf.DUMMYFUNCTION("""COMPUTED_VALUE"""),"")</f>
        <v/>
      </c>
      <c r="D5264" t="str">
        <f>IFERROR(__xludf.DUMMYFUNCTION("""COMPUTED_VALUE"""),"")</f>
        <v/>
      </c>
      <c r="E5264" t="str">
        <f>IFERROR(__xludf.DUMMYFUNCTION("""COMPUTED_VALUE"""),"")</f>
        <v/>
      </c>
      <c r="F5264" t="str">
        <f>IFERROR(__xludf.DUMMYFUNCTION("""COMPUTED_VALUE"""),"")</f>
        <v/>
      </c>
      <c r="G5264" t="str">
        <f>IFERROR(__xludf.DUMMYFUNCTION("""COMPUTED_VALUE"""),"")</f>
        <v/>
      </c>
      <c r="H5264" s="2" t="str">
        <f>IFERROR(__xludf.DUMMYFUNCTION("""COMPUTED_VALUE"""),"")</f>
        <v/>
      </c>
      <c r="I5264" s="2" t="str">
        <f>IFERROR(__xludf.DUMMYFUNCTION("""COMPUTED_VALUE"""),"")</f>
        <v/>
      </c>
      <c r="J5264" s="2">
        <f>IFERROR(__xludf.DUMMYFUNCTION("""COMPUTED_VALUE"""),0.0)</f>
        <v>0</v>
      </c>
      <c r="K5264" s="5" t="str">
        <f>IFERROR(__xludf.DUMMYFUNCTION("""COMPUTED_VALUE"""),"")</f>
        <v/>
      </c>
      <c r="L5264" t="str">
        <f>IFERROR(__xludf.DUMMYFUNCTION("""COMPUTED_VALUE"""),"")</f>
        <v/>
      </c>
      <c r="M5264" t="str">
        <f>IFERROR(__xludf.DUMMYFUNCTION("""COMPUTED_VALUE"""),"")</f>
        <v/>
      </c>
      <c r="N5264" t="str">
        <f>IFERROR(__xludf.DUMMYFUNCTION("""COMPUTED_VALUE"""),"")</f>
        <v/>
      </c>
      <c r="O5264" t="str">
        <f>IFERROR(__xludf.DUMMYFUNCTION("""COMPUTED_VALUE"""),"")</f>
        <v/>
      </c>
      <c r="P5264" t="str">
        <f>IFERROR(__xludf.DUMMYFUNCTION("""COMPUTED_VALUE"""),"ID ")</f>
        <v>ID </v>
      </c>
    </row>
    <row r="5265">
      <c r="A5265" s="6" t="str">
        <f>IFERROR(__xludf.DUMMYFUNCTION("""COMPUTED_VALUE"""),"")</f>
        <v/>
      </c>
      <c r="C5265" t="str">
        <f>IFERROR(__xludf.DUMMYFUNCTION("""COMPUTED_VALUE"""),"")</f>
        <v/>
      </c>
      <c r="D5265" t="str">
        <f>IFERROR(__xludf.DUMMYFUNCTION("""COMPUTED_VALUE"""),"")</f>
        <v/>
      </c>
      <c r="E5265" t="str">
        <f>IFERROR(__xludf.DUMMYFUNCTION("""COMPUTED_VALUE"""),"")</f>
        <v/>
      </c>
      <c r="F5265" t="str">
        <f>IFERROR(__xludf.DUMMYFUNCTION("""COMPUTED_VALUE"""),"")</f>
        <v/>
      </c>
      <c r="G5265" t="str">
        <f>IFERROR(__xludf.DUMMYFUNCTION("""COMPUTED_VALUE"""),"")</f>
        <v/>
      </c>
      <c r="H5265" s="2" t="str">
        <f>IFERROR(__xludf.DUMMYFUNCTION("""COMPUTED_VALUE"""),"")</f>
        <v/>
      </c>
      <c r="I5265" s="2" t="str">
        <f>IFERROR(__xludf.DUMMYFUNCTION("""COMPUTED_VALUE"""),"")</f>
        <v/>
      </c>
      <c r="J5265" s="2">
        <f>IFERROR(__xludf.DUMMYFUNCTION("""COMPUTED_VALUE"""),0.0)</f>
        <v>0</v>
      </c>
      <c r="K5265" s="5" t="str">
        <f>IFERROR(__xludf.DUMMYFUNCTION("""COMPUTED_VALUE"""),"")</f>
        <v/>
      </c>
      <c r="L5265" t="str">
        <f>IFERROR(__xludf.DUMMYFUNCTION("""COMPUTED_VALUE"""),"")</f>
        <v/>
      </c>
      <c r="M5265" t="str">
        <f>IFERROR(__xludf.DUMMYFUNCTION("""COMPUTED_VALUE"""),"")</f>
        <v/>
      </c>
      <c r="N5265" t="str">
        <f>IFERROR(__xludf.DUMMYFUNCTION("""COMPUTED_VALUE"""),"")</f>
        <v/>
      </c>
      <c r="O5265" t="str">
        <f>IFERROR(__xludf.DUMMYFUNCTION("""COMPUTED_VALUE"""),"")</f>
        <v/>
      </c>
      <c r="P5265" t="str">
        <f>IFERROR(__xludf.DUMMYFUNCTION("""COMPUTED_VALUE"""),"ID ")</f>
        <v>ID </v>
      </c>
    </row>
    <row r="5266">
      <c r="A5266" s="6" t="str">
        <f>IFERROR(__xludf.DUMMYFUNCTION("""COMPUTED_VALUE"""),"")</f>
        <v/>
      </c>
      <c r="C5266" t="str">
        <f>IFERROR(__xludf.DUMMYFUNCTION("""COMPUTED_VALUE"""),"")</f>
        <v/>
      </c>
      <c r="D5266" t="str">
        <f>IFERROR(__xludf.DUMMYFUNCTION("""COMPUTED_VALUE"""),"")</f>
        <v/>
      </c>
      <c r="E5266" t="str">
        <f>IFERROR(__xludf.DUMMYFUNCTION("""COMPUTED_VALUE"""),"")</f>
        <v/>
      </c>
      <c r="F5266" t="str">
        <f>IFERROR(__xludf.DUMMYFUNCTION("""COMPUTED_VALUE"""),"")</f>
        <v/>
      </c>
      <c r="G5266" t="str">
        <f>IFERROR(__xludf.DUMMYFUNCTION("""COMPUTED_VALUE"""),"")</f>
        <v/>
      </c>
      <c r="H5266" s="2" t="str">
        <f>IFERROR(__xludf.DUMMYFUNCTION("""COMPUTED_VALUE"""),"")</f>
        <v/>
      </c>
      <c r="I5266" s="2" t="str">
        <f>IFERROR(__xludf.DUMMYFUNCTION("""COMPUTED_VALUE"""),"")</f>
        <v/>
      </c>
      <c r="J5266" s="2">
        <f>IFERROR(__xludf.DUMMYFUNCTION("""COMPUTED_VALUE"""),0.0)</f>
        <v>0</v>
      </c>
      <c r="K5266" s="5" t="str">
        <f>IFERROR(__xludf.DUMMYFUNCTION("""COMPUTED_VALUE"""),"")</f>
        <v/>
      </c>
      <c r="L5266" t="str">
        <f>IFERROR(__xludf.DUMMYFUNCTION("""COMPUTED_VALUE"""),"")</f>
        <v/>
      </c>
      <c r="M5266" t="str">
        <f>IFERROR(__xludf.DUMMYFUNCTION("""COMPUTED_VALUE"""),"")</f>
        <v/>
      </c>
      <c r="N5266" t="str">
        <f>IFERROR(__xludf.DUMMYFUNCTION("""COMPUTED_VALUE"""),"")</f>
        <v/>
      </c>
      <c r="O5266" t="str">
        <f>IFERROR(__xludf.DUMMYFUNCTION("""COMPUTED_VALUE"""),"")</f>
        <v/>
      </c>
      <c r="P5266" t="str">
        <f>IFERROR(__xludf.DUMMYFUNCTION("""COMPUTED_VALUE"""),"ID ")</f>
        <v>ID </v>
      </c>
    </row>
    <row r="5267">
      <c r="A5267" s="6" t="str">
        <f>IFERROR(__xludf.DUMMYFUNCTION("""COMPUTED_VALUE"""),"")</f>
        <v/>
      </c>
      <c r="C5267" t="str">
        <f>IFERROR(__xludf.DUMMYFUNCTION("""COMPUTED_VALUE"""),"")</f>
        <v/>
      </c>
      <c r="D5267" t="str">
        <f>IFERROR(__xludf.DUMMYFUNCTION("""COMPUTED_VALUE"""),"")</f>
        <v/>
      </c>
      <c r="E5267" t="str">
        <f>IFERROR(__xludf.DUMMYFUNCTION("""COMPUTED_VALUE"""),"")</f>
        <v/>
      </c>
      <c r="F5267" t="str">
        <f>IFERROR(__xludf.DUMMYFUNCTION("""COMPUTED_VALUE"""),"")</f>
        <v/>
      </c>
      <c r="G5267" t="str">
        <f>IFERROR(__xludf.DUMMYFUNCTION("""COMPUTED_VALUE"""),"")</f>
        <v/>
      </c>
      <c r="H5267" s="2" t="str">
        <f>IFERROR(__xludf.DUMMYFUNCTION("""COMPUTED_VALUE"""),"")</f>
        <v/>
      </c>
      <c r="I5267" s="2" t="str">
        <f>IFERROR(__xludf.DUMMYFUNCTION("""COMPUTED_VALUE"""),"")</f>
        <v/>
      </c>
      <c r="J5267" s="2">
        <f>IFERROR(__xludf.DUMMYFUNCTION("""COMPUTED_VALUE"""),0.0)</f>
        <v>0</v>
      </c>
      <c r="K5267" s="5" t="str">
        <f>IFERROR(__xludf.DUMMYFUNCTION("""COMPUTED_VALUE"""),"")</f>
        <v/>
      </c>
      <c r="L5267" t="str">
        <f>IFERROR(__xludf.DUMMYFUNCTION("""COMPUTED_VALUE"""),"")</f>
        <v/>
      </c>
      <c r="M5267" t="str">
        <f>IFERROR(__xludf.DUMMYFUNCTION("""COMPUTED_VALUE"""),"")</f>
        <v/>
      </c>
      <c r="N5267" t="str">
        <f>IFERROR(__xludf.DUMMYFUNCTION("""COMPUTED_VALUE"""),"")</f>
        <v/>
      </c>
      <c r="O5267" t="str">
        <f>IFERROR(__xludf.DUMMYFUNCTION("""COMPUTED_VALUE"""),"")</f>
        <v/>
      </c>
      <c r="P5267" t="str">
        <f>IFERROR(__xludf.DUMMYFUNCTION("""COMPUTED_VALUE"""),"ID ")</f>
        <v>ID </v>
      </c>
    </row>
    <row r="5268">
      <c r="A5268" s="6" t="str">
        <f>IFERROR(__xludf.DUMMYFUNCTION("""COMPUTED_VALUE"""),"")</f>
        <v/>
      </c>
      <c r="C5268" t="str">
        <f>IFERROR(__xludf.DUMMYFUNCTION("""COMPUTED_VALUE"""),"")</f>
        <v/>
      </c>
      <c r="D5268" t="str">
        <f>IFERROR(__xludf.DUMMYFUNCTION("""COMPUTED_VALUE"""),"")</f>
        <v/>
      </c>
      <c r="E5268" t="str">
        <f>IFERROR(__xludf.DUMMYFUNCTION("""COMPUTED_VALUE"""),"")</f>
        <v/>
      </c>
      <c r="F5268" t="str">
        <f>IFERROR(__xludf.DUMMYFUNCTION("""COMPUTED_VALUE"""),"")</f>
        <v/>
      </c>
      <c r="G5268" t="str">
        <f>IFERROR(__xludf.DUMMYFUNCTION("""COMPUTED_VALUE"""),"")</f>
        <v/>
      </c>
      <c r="H5268" s="2" t="str">
        <f>IFERROR(__xludf.DUMMYFUNCTION("""COMPUTED_VALUE"""),"")</f>
        <v/>
      </c>
      <c r="I5268" s="2" t="str">
        <f>IFERROR(__xludf.DUMMYFUNCTION("""COMPUTED_VALUE"""),"")</f>
        <v/>
      </c>
      <c r="J5268" s="2">
        <f>IFERROR(__xludf.DUMMYFUNCTION("""COMPUTED_VALUE"""),0.0)</f>
        <v>0</v>
      </c>
      <c r="K5268" s="5" t="str">
        <f>IFERROR(__xludf.DUMMYFUNCTION("""COMPUTED_VALUE"""),"")</f>
        <v/>
      </c>
      <c r="L5268" t="str">
        <f>IFERROR(__xludf.DUMMYFUNCTION("""COMPUTED_VALUE"""),"")</f>
        <v/>
      </c>
      <c r="M5268" t="str">
        <f>IFERROR(__xludf.DUMMYFUNCTION("""COMPUTED_VALUE"""),"")</f>
        <v/>
      </c>
      <c r="N5268" t="str">
        <f>IFERROR(__xludf.DUMMYFUNCTION("""COMPUTED_VALUE"""),"")</f>
        <v/>
      </c>
      <c r="O5268" t="str">
        <f>IFERROR(__xludf.DUMMYFUNCTION("""COMPUTED_VALUE"""),"")</f>
        <v/>
      </c>
      <c r="P5268" t="str">
        <f>IFERROR(__xludf.DUMMYFUNCTION("""COMPUTED_VALUE"""),"ID ")</f>
        <v>ID </v>
      </c>
    </row>
    <row r="5269">
      <c r="A5269" s="6" t="str">
        <f>IFERROR(__xludf.DUMMYFUNCTION("""COMPUTED_VALUE"""),"")</f>
        <v/>
      </c>
      <c r="C5269" t="str">
        <f>IFERROR(__xludf.DUMMYFUNCTION("""COMPUTED_VALUE"""),"")</f>
        <v/>
      </c>
      <c r="D5269" t="str">
        <f>IFERROR(__xludf.DUMMYFUNCTION("""COMPUTED_VALUE"""),"")</f>
        <v/>
      </c>
      <c r="E5269" t="str">
        <f>IFERROR(__xludf.DUMMYFUNCTION("""COMPUTED_VALUE"""),"")</f>
        <v/>
      </c>
      <c r="F5269" t="str">
        <f>IFERROR(__xludf.DUMMYFUNCTION("""COMPUTED_VALUE"""),"")</f>
        <v/>
      </c>
      <c r="G5269" t="str">
        <f>IFERROR(__xludf.DUMMYFUNCTION("""COMPUTED_VALUE"""),"")</f>
        <v/>
      </c>
      <c r="H5269" s="2" t="str">
        <f>IFERROR(__xludf.DUMMYFUNCTION("""COMPUTED_VALUE"""),"")</f>
        <v/>
      </c>
      <c r="I5269" s="2" t="str">
        <f>IFERROR(__xludf.DUMMYFUNCTION("""COMPUTED_VALUE"""),"")</f>
        <v/>
      </c>
      <c r="J5269" s="2">
        <f>IFERROR(__xludf.DUMMYFUNCTION("""COMPUTED_VALUE"""),0.0)</f>
        <v>0</v>
      </c>
      <c r="K5269" s="5" t="str">
        <f>IFERROR(__xludf.DUMMYFUNCTION("""COMPUTED_VALUE"""),"")</f>
        <v/>
      </c>
      <c r="L5269" t="str">
        <f>IFERROR(__xludf.DUMMYFUNCTION("""COMPUTED_VALUE"""),"")</f>
        <v/>
      </c>
      <c r="M5269" t="str">
        <f>IFERROR(__xludf.DUMMYFUNCTION("""COMPUTED_VALUE"""),"")</f>
        <v/>
      </c>
      <c r="N5269" t="str">
        <f>IFERROR(__xludf.DUMMYFUNCTION("""COMPUTED_VALUE"""),"")</f>
        <v/>
      </c>
      <c r="O5269" t="str">
        <f>IFERROR(__xludf.DUMMYFUNCTION("""COMPUTED_VALUE"""),"")</f>
        <v/>
      </c>
      <c r="P5269" t="str">
        <f>IFERROR(__xludf.DUMMYFUNCTION("""COMPUTED_VALUE"""),"ID ")</f>
        <v>ID </v>
      </c>
    </row>
    <row r="5270">
      <c r="A5270" s="6" t="str">
        <f>IFERROR(__xludf.DUMMYFUNCTION("""COMPUTED_VALUE"""),"")</f>
        <v/>
      </c>
      <c r="C5270" t="str">
        <f>IFERROR(__xludf.DUMMYFUNCTION("""COMPUTED_VALUE"""),"")</f>
        <v/>
      </c>
      <c r="D5270" t="str">
        <f>IFERROR(__xludf.DUMMYFUNCTION("""COMPUTED_VALUE"""),"")</f>
        <v/>
      </c>
      <c r="E5270" t="str">
        <f>IFERROR(__xludf.DUMMYFUNCTION("""COMPUTED_VALUE"""),"")</f>
        <v/>
      </c>
      <c r="F5270" t="str">
        <f>IFERROR(__xludf.DUMMYFUNCTION("""COMPUTED_VALUE"""),"")</f>
        <v/>
      </c>
      <c r="G5270" t="str">
        <f>IFERROR(__xludf.DUMMYFUNCTION("""COMPUTED_VALUE"""),"")</f>
        <v/>
      </c>
      <c r="H5270" s="2" t="str">
        <f>IFERROR(__xludf.DUMMYFUNCTION("""COMPUTED_VALUE"""),"")</f>
        <v/>
      </c>
      <c r="I5270" s="2" t="str">
        <f>IFERROR(__xludf.DUMMYFUNCTION("""COMPUTED_VALUE"""),"")</f>
        <v/>
      </c>
      <c r="J5270" s="2">
        <f>IFERROR(__xludf.DUMMYFUNCTION("""COMPUTED_VALUE"""),0.0)</f>
        <v>0</v>
      </c>
      <c r="K5270" s="5" t="str">
        <f>IFERROR(__xludf.DUMMYFUNCTION("""COMPUTED_VALUE"""),"")</f>
        <v/>
      </c>
      <c r="L5270" t="str">
        <f>IFERROR(__xludf.DUMMYFUNCTION("""COMPUTED_VALUE"""),"")</f>
        <v/>
      </c>
      <c r="M5270" t="str">
        <f>IFERROR(__xludf.DUMMYFUNCTION("""COMPUTED_VALUE"""),"")</f>
        <v/>
      </c>
      <c r="N5270" t="str">
        <f>IFERROR(__xludf.DUMMYFUNCTION("""COMPUTED_VALUE"""),"")</f>
        <v/>
      </c>
      <c r="O5270" t="str">
        <f>IFERROR(__xludf.DUMMYFUNCTION("""COMPUTED_VALUE"""),"")</f>
        <v/>
      </c>
      <c r="P5270" t="str">
        <f>IFERROR(__xludf.DUMMYFUNCTION("""COMPUTED_VALUE"""),"ID ")</f>
        <v>ID </v>
      </c>
    </row>
    <row r="5271">
      <c r="A5271" s="6" t="str">
        <f>IFERROR(__xludf.DUMMYFUNCTION("""COMPUTED_VALUE"""),"")</f>
        <v/>
      </c>
      <c r="C5271" t="str">
        <f>IFERROR(__xludf.DUMMYFUNCTION("""COMPUTED_VALUE"""),"")</f>
        <v/>
      </c>
      <c r="D5271" t="str">
        <f>IFERROR(__xludf.DUMMYFUNCTION("""COMPUTED_VALUE"""),"")</f>
        <v/>
      </c>
      <c r="E5271" t="str">
        <f>IFERROR(__xludf.DUMMYFUNCTION("""COMPUTED_VALUE"""),"")</f>
        <v/>
      </c>
      <c r="F5271" t="str">
        <f>IFERROR(__xludf.DUMMYFUNCTION("""COMPUTED_VALUE"""),"")</f>
        <v/>
      </c>
      <c r="G5271" t="str">
        <f>IFERROR(__xludf.DUMMYFUNCTION("""COMPUTED_VALUE"""),"")</f>
        <v/>
      </c>
      <c r="H5271" s="2" t="str">
        <f>IFERROR(__xludf.DUMMYFUNCTION("""COMPUTED_VALUE"""),"")</f>
        <v/>
      </c>
      <c r="I5271" s="2" t="str">
        <f>IFERROR(__xludf.DUMMYFUNCTION("""COMPUTED_VALUE"""),"")</f>
        <v/>
      </c>
      <c r="J5271" s="2">
        <f>IFERROR(__xludf.DUMMYFUNCTION("""COMPUTED_VALUE"""),0.0)</f>
        <v>0</v>
      </c>
      <c r="K5271" s="5" t="str">
        <f>IFERROR(__xludf.DUMMYFUNCTION("""COMPUTED_VALUE"""),"")</f>
        <v/>
      </c>
      <c r="L5271" t="str">
        <f>IFERROR(__xludf.DUMMYFUNCTION("""COMPUTED_VALUE"""),"")</f>
        <v/>
      </c>
      <c r="M5271" t="str">
        <f>IFERROR(__xludf.DUMMYFUNCTION("""COMPUTED_VALUE"""),"")</f>
        <v/>
      </c>
      <c r="N5271" t="str">
        <f>IFERROR(__xludf.DUMMYFUNCTION("""COMPUTED_VALUE"""),"")</f>
        <v/>
      </c>
      <c r="O5271" t="str">
        <f>IFERROR(__xludf.DUMMYFUNCTION("""COMPUTED_VALUE"""),"")</f>
        <v/>
      </c>
      <c r="P5271" t="str">
        <f>IFERROR(__xludf.DUMMYFUNCTION("""COMPUTED_VALUE"""),"ID ")</f>
        <v>ID </v>
      </c>
    </row>
    <row r="5272">
      <c r="A5272" s="6" t="str">
        <f>IFERROR(__xludf.DUMMYFUNCTION("""COMPUTED_VALUE"""),"")</f>
        <v/>
      </c>
      <c r="C5272" t="str">
        <f>IFERROR(__xludf.DUMMYFUNCTION("""COMPUTED_VALUE"""),"")</f>
        <v/>
      </c>
      <c r="D5272" t="str">
        <f>IFERROR(__xludf.DUMMYFUNCTION("""COMPUTED_VALUE"""),"")</f>
        <v/>
      </c>
      <c r="E5272" t="str">
        <f>IFERROR(__xludf.DUMMYFUNCTION("""COMPUTED_VALUE"""),"")</f>
        <v/>
      </c>
      <c r="F5272" t="str">
        <f>IFERROR(__xludf.DUMMYFUNCTION("""COMPUTED_VALUE"""),"")</f>
        <v/>
      </c>
      <c r="G5272" t="str">
        <f>IFERROR(__xludf.DUMMYFUNCTION("""COMPUTED_VALUE"""),"")</f>
        <v/>
      </c>
      <c r="H5272" s="2" t="str">
        <f>IFERROR(__xludf.DUMMYFUNCTION("""COMPUTED_VALUE"""),"")</f>
        <v/>
      </c>
      <c r="I5272" s="2" t="str">
        <f>IFERROR(__xludf.DUMMYFUNCTION("""COMPUTED_VALUE"""),"")</f>
        <v/>
      </c>
      <c r="J5272" s="2">
        <f>IFERROR(__xludf.DUMMYFUNCTION("""COMPUTED_VALUE"""),0.0)</f>
        <v>0</v>
      </c>
      <c r="K5272" s="5" t="str">
        <f>IFERROR(__xludf.DUMMYFUNCTION("""COMPUTED_VALUE"""),"")</f>
        <v/>
      </c>
      <c r="L5272" t="str">
        <f>IFERROR(__xludf.DUMMYFUNCTION("""COMPUTED_VALUE"""),"")</f>
        <v/>
      </c>
      <c r="M5272" t="str">
        <f>IFERROR(__xludf.DUMMYFUNCTION("""COMPUTED_VALUE"""),"")</f>
        <v/>
      </c>
      <c r="N5272" t="str">
        <f>IFERROR(__xludf.DUMMYFUNCTION("""COMPUTED_VALUE"""),"")</f>
        <v/>
      </c>
      <c r="O5272" t="str">
        <f>IFERROR(__xludf.DUMMYFUNCTION("""COMPUTED_VALUE"""),"")</f>
        <v/>
      </c>
      <c r="P5272" t="str">
        <f>IFERROR(__xludf.DUMMYFUNCTION("""COMPUTED_VALUE"""),"ID ")</f>
        <v>ID </v>
      </c>
    </row>
    <row r="5273">
      <c r="A5273" s="6" t="str">
        <f>IFERROR(__xludf.DUMMYFUNCTION("""COMPUTED_VALUE"""),"")</f>
        <v/>
      </c>
      <c r="C5273" t="str">
        <f>IFERROR(__xludf.DUMMYFUNCTION("""COMPUTED_VALUE"""),"")</f>
        <v/>
      </c>
      <c r="D5273" t="str">
        <f>IFERROR(__xludf.DUMMYFUNCTION("""COMPUTED_VALUE"""),"")</f>
        <v/>
      </c>
      <c r="E5273" t="str">
        <f>IFERROR(__xludf.DUMMYFUNCTION("""COMPUTED_VALUE"""),"")</f>
        <v/>
      </c>
      <c r="F5273" t="str">
        <f>IFERROR(__xludf.DUMMYFUNCTION("""COMPUTED_VALUE"""),"")</f>
        <v/>
      </c>
      <c r="G5273" t="str">
        <f>IFERROR(__xludf.DUMMYFUNCTION("""COMPUTED_VALUE"""),"")</f>
        <v/>
      </c>
      <c r="H5273" s="2" t="str">
        <f>IFERROR(__xludf.DUMMYFUNCTION("""COMPUTED_VALUE"""),"")</f>
        <v/>
      </c>
      <c r="I5273" s="2" t="str">
        <f>IFERROR(__xludf.DUMMYFUNCTION("""COMPUTED_VALUE"""),"")</f>
        <v/>
      </c>
      <c r="J5273" s="2">
        <f>IFERROR(__xludf.DUMMYFUNCTION("""COMPUTED_VALUE"""),0.0)</f>
        <v>0</v>
      </c>
      <c r="K5273" s="5" t="str">
        <f>IFERROR(__xludf.DUMMYFUNCTION("""COMPUTED_VALUE"""),"")</f>
        <v/>
      </c>
      <c r="L5273" t="str">
        <f>IFERROR(__xludf.DUMMYFUNCTION("""COMPUTED_VALUE"""),"")</f>
        <v/>
      </c>
      <c r="M5273" t="str">
        <f>IFERROR(__xludf.DUMMYFUNCTION("""COMPUTED_VALUE"""),"")</f>
        <v/>
      </c>
      <c r="N5273" t="str">
        <f>IFERROR(__xludf.DUMMYFUNCTION("""COMPUTED_VALUE"""),"")</f>
        <v/>
      </c>
      <c r="O5273" t="str">
        <f>IFERROR(__xludf.DUMMYFUNCTION("""COMPUTED_VALUE"""),"")</f>
        <v/>
      </c>
      <c r="P5273" t="str">
        <f>IFERROR(__xludf.DUMMYFUNCTION("""COMPUTED_VALUE"""),"ID ")</f>
        <v>ID </v>
      </c>
    </row>
    <row r="5274">
      <c r="A5274" s="6" t="str">
        <f>IFERROR(__xludf.DUMMYFUNCTION("""COMPUTED_VALUE"""),"")</f>
        <v/>
      </c>
      <c r="C5274" t="str">
        <f>IFERROR(__xludf.DUMMYFUNCTION("""COMPUTED_VALUE"""),"")</f>
        <v/>
      </c>
      <c r="D5274" t="str">
        <f>IFERROR(__xludf.DUMMYFUNCTION("""COMPUTED_VALUE"""),"")</f>
        <v/>
      </c>
      <c r="E5274" t="str">
        <f>IFERROR(__xludf.DUMMYFUNCTION("""COMPUTED_VALUE"""),"")</f>
        <v/>
      </c>
      <c r="F5274" t="str">
        <f>IFERROR(__xludf.DUMMYFUNCTION("""COMPUTED_VALUE"""),"")</f>
        <v/>
      </c>
      <c r="G5274" t="str">
        <f>IFERROR(__xludf.DUMMYFUNCTION("""COMPUTED_VALUE"""),"")</f>
        <v/>
      </c>
      <c r="H5274" s="2" t="str">
        <f>IFERROR(__xludf.DUMMYFUNCTION("""COMPUTED_VALUE"""),"")</f>
        <v/>
      </c>
      <c r="I5274" s="2" t="str">
        <f>IFERROR(__xludf.DUMMYFUNCTION("""COMPUTED_VALUE"""),"")</f>
        <v/>
      </c>
      <c r="J5274" s="2">
        <f>IFERROR(__xludf.DUMMYFUNCTION("""COMPUTED_VALUE"""),0.0)</f>
        <v>0</v>
      </c>
      <c r="K5274" s="5" t="str">
        <f>IFERROR(__xludf.DUMMYFUNCTION("""COMPUTED_VALUE"""),"")</f>
        <v/>
      </c>
      <c r="L5274" t="str">
        <f>IFERROR(__xludf.DUMMYFUNCTION("""COMPUTED_VALUE"""),"")</f>
        <v/>
      </c>
      <c r="M5274" t="str">
        <f>IFERROR(__xludf.DUMMYFUNCTION("""COMPUTED_VALUE"""),"")</f>
        <v/>
      </c>
      <c r="N5274" t="str">
        <f>IFERROR(__xludf.DUMMYFUNCTION("""COMPUTED_VALUE"""),"")</f>
        <v/>
      </c>
      <c r="O5274" t="str">
        <f>IFERROR(__xludf.DUMMYFUNCTION("""COMPUTED_VALUE"""),"")</f>
        <v/>
      </c>
      <c r="P5274" t="str">
        <f>IFERROR(__xludf.DUMMYFUNCTION("""COMPUTED_VALUE"""),"ID ")</f>
        <v>ID </v>
      </c>
    </row>
    <row r="5275">
      <c r="A5275" s="6" t="str">
        <f>IFERROR(__xludf.DUMMYFUNCTION("""COMPUTED_VALUE"""),"")</f>
        <v/>
      </c>
      <c r="C5275" t="str">
        <f>IFERROR(__xludf.DUMMYFUNCTION("""COMPUTED_VALUE"""),"")</f>
        <v/>
      </c>
      <c r="D5275" t="str">
        <f>IFERROR(__xludf.DUMMYFUNCTION("""COMPUTED_VALUE"""),"")</f>
        <v/>
      </c>
      <c r="E5275" t="str">
        <f>IFERROR(__xludf.DUMMYFUNCTION("""COMPUTED_VALUE"""),"")</f>
        <v/>
      </c>
      <c r="F5275" t="str">
        <f>IFERROR(__xludf.DUMMYFUNCTION("""COMPUTED_VALUE"""),"")</f>
        <v/>
      </c>
      <c r="G5275" t="str">
        <f>IFERROR(__xludf.DUMMYFUNCTION("""COMPUTED_VALUE"""),"")</f>
        <v/>
      </c>
      <c r="H5275" s="2" t="str">
        <f>IFERROR(__xludf.DUMMYFUNCTION("""COMPUTED_VALUE"""),"")</f>
        <v/>
      </c>
      <c r="I5275" s="2" t="str">
        <f>IFERROR(__xludf.DUMMYFUNCTION("""COMPUTED_VALUE"""),"")</f>
        <v/>
      </c>
      <c r="J5275" s="2">
        <f>IFERROR(__xludf.DUMMYFUNCTION("""COMPUTED_VALUE"""),0.0)</f>
        <v>0</v>
      </c>
      <c r="K5275" s="5" t="str">
        <f>IFERROR(__xludf.DUMMYFUNCTION("""COMPUTED_VALUE"""),"")</f>
        <v/>
      </c>
      <c r="L5275" t="str">
        <f>IFERROR(__xludf.DUMMYFUNCTION("""COMPUTED_VALUE"""),"")</f>
        <v/>
      </c>
      <c r="M5275" t="str">
        <f>IFERROR(__xludf.DUMMYFUNCTION("""COMPUTED_VALUE"""),"")</f>
        <v/>
      </c>
      <c r="N5275" t="str">
        <f>IFERROR(__xludf.DUMMYFUNCTION("""COMPUTED_VALUE"""),"")</f>
        <v/>
      </c>
      <c r="O5275" t="str">
        <f>IFERROR(__xludf.DUMMYFUNCTION("""COMPUTED_VALUE"""),"")</f>
        <v/>
      </c>
      <c r="P5275" t="str">
        <f>IFERROR(__xludf.DUMMYFUNCTION("""COMPUTED_VALUE"""),"ID ")</f>
        <v>ID </v>
      </c>
    </row>
    <row r="5276">
      <c r="A5276" s="6" t="str">
        <f>IFERROR(__xludf.DUMMYFUNCTION("""COMPUTED_VALUE"""),"")</f>
        <v/>
      </c>
      <c r="C5276" t="str">
        <f>IFERROR(__xludf.DUMMYFUNCTION("""COMPUTED_VALUE"""),"")</f>
        <v/>
      </c>
      <c r="D5276" t="str">
        <f>IFERROR(__xludf.DUMMYFUNCTION("""COMPUTED_VALUE"""),"")</f>
        <v/>
      </c>
      <c r="E5276" t="str">
        <f>IFERROR(__xludf.DUMMYFUNCTION("""COMPUTED_VALUE"""),"")</f>
        <v/>
      </c>
      <c r="F5276" t="str">
        <f>IFERROR(__xludf.DUMMYFUNCTION("""COMPUTED_VALUE"""),"")</f>
        <v/>
      </c>
      <c r="G5276" t="str">
        <f>IFERROR(__xludf.DUMMYFUNCTION("""COMPUTED_VALUE"""),"")</f>
        <v/>
      </c>
      <c r="H5276" s="2" t="str">
        <f>IFERROR(__xludf.DUMMYFUNCTION("""COMPUTED_VALUE"""),"")</f>
        <v/>
      </c>
      <c r="I5276" s="2" t="str">
        <f>IFERROR(__xludf.DUMMYFUNCTION("""COMPUTED_VALUE"""),"")</f>
        <v/>
      </c>
      <c r="J5276" s="2">
        <f>IFERROR(__xludf.DUMMYFUNCTION("""COMPUTED_VALUE"""),0.0)</f>
        <v>0</v>
      </c>
      <c r="K5276" s="5" t="str">
        <f>IFERROR(__xludf.DUMMYFUNCTION("""COMPUTED_VALUE"""),"")</f>
        <v/>
      </c>
      <c r="L5276" t="str">
        <f>IFERROR(__xludf.DUMMYFUNCTION("""COMPUTED_VALUE"""),"")</f>
        <v/>
      </c>
      <c r="M5276" t="str">
        <f>IFERROR(__xludf.DUMMYFUNCTION("""COMPUTED_VALUE"""),"")</f>
        <v/>
      </c>
      <c r="N5276" t="str">
        <f>IFERROR(__xludf.DUMMYFUNCTION("""COMPUTED_VALUE"""),"")</f>
        <v/>
      </c>
      <c r="O5276" t="str">
        <f>IFERROR(__xludf.DUMMYFUNCTION("""COMPUTED_VALUE"""),"")</f>
        <v/>
      </c>
      <c r="P5276" t="str">
        <f>IFERROR(__xludf.DUMMYFUNCTION("""COMPUTED_VALUE"""),"ID ")</f>
        <v>ID </v>
      </c>
    </row>
    <row r="5277">
      <c r="A5277" s="6" t="str">
        <f>IFERROR(__xludf.DUMMYFUNCTION("""COMPUTED_VALUE"""),"")</f>
        <v/>
      </c>
      <c r="C5277" t="str">
        <f>IFERROR(__xludf.DUMMYFUNCTION("""COMPUTED_VALUE"""),"")</f>
        <v/>
      </c>
      <c r="D5277" t="str">
        <f>IFERROR(__xludf.DUMMYFUNCTION("""COMPUTED_VALUE"""),"")</f>
        <v/>
      </c>
      <c r="E5277" t="str">
        <f>IFERROR(__xludf.DUMMYFUNCTION("""COMPUTED_VALUE"""),"")</f>
        <v/>
      </c>
      <c r="F5277" t="str">
        <f>IFERROR(__xludf.DUMMYFUNCTION("""COMPUTED_VALUE"""),"")</f>
        <v/>
      </c>
      <c r="G5277" t="str">
        <f>IFERROR(__xludf.DUMMYFUNCTION("""COMPUTED_VALUE"""),"")</f>
        <v/>
      </c>
      <c r="H5277" s="2" t="str">
        <f>IFERROR(__xludf.DUMMYFUNCTION("""COMPUTED_VALUE"""),"")</f>
        <v/>
      </c>
      <c r="I5277" s="2" t="str">
        <f>IFERROR(__xludf.DUMMYFUNCTION("""COMPUTED_VALUE"""),"")</f>
        <v/>
      </c>
      <c r="J5277" s="2">
        <f>IFERROR(__xludf.DUMMYFUNCTION("""COMPUTED_VALUE"""),0.0)</f>
        <v>0</v>
      </c>
      <c r="K5277" s="5" t="str">
        <f>IFERROR(__xludf.DUMMYFUNCTION("""COMPUTED_VALUE"""),"")</f>
        <v/>
      </c>
      <c r="L5277" t="str">
        <f>IFERROR(__xludf.DUMMYFUNCTION("""COMPUTED_VALUE"""),"")</f>
        <v/>
      </c>
      <c r="M5277" t="str">
        <f>IFERROR(__xludf.DUMMYFUNCTION("""COMPUTED_VALUE"""),"")</f>
        <v/>
      </c>
      <c r="N5277" t="str">
        <f>IFERROR(__xludf.DUMMYFUNCTION("""COMPUTED_VALUE"""),"")</f>
        <v/>
      </c>
      <c r="O5277" t="str">
        <f>IFERROR(__xludf.DUMMYFUNCTION("""COMPUTED_VALUE"""),"")</f>
        <v/>
      </c>
      <c r="P5277" t="str">
        <f>IFERROR(__xludf.DUMMYFUNCTION("""COMPUTED_VALUE"""),"ID ")</f>
        <v>ID </v>
      </c>
    </row>
    <row r="5278">
      <c r="A5278" s="6" t="str">
        <f>IFERROR(__xludf.DUMMYFUNCTION("""COMPUTED_VALUE"""),"")</f>
        <v/>
      </c>
      <c r="C5278" t="str">
        <f>IFERROR(__xludf.DUMMYFUNCTION("""COMPUTED_VALUE"""),"")</f>
        <v/>
      </c>
      <c r="D5278" t="str">
        <f>IFERROR(__xludf.DUMMYFUNCTION("""COMPUTED_VALUE"""),"")</f>
        <v/>
      </c>
      <c r="E5278" t="str">
        <f>IFERROR(__xludf.DUMMYFUNCTION("""COMPUTED_VALUE"""),"")</f>
        <v/>
      </c>
      <c r="F5278" t="str">
        <f>IFERROR(__xludf.DUMMYFUNCTION("""COMPUTED_VALUE"""),"")</f>
        <v/>
      </c>
      <c r="G5278" t="str">
        <f>IFERROR(__xludf.DUMMYFUNCTION("""COMPUTED_VALUE"""),"")</f>
        <v/>
      </c>
      <c r="H5278" s="2" t="str">
        <f>IFERROR(__xludf.DUMMYFUNCTION("""COMPUTED_VALUE"""),"")</f>
        <v/>
      </c>
      <c r="I5278" s="2" t="str">
        <f>IFERROR(__xludf.DUMMYFUNCTION("""COMPUTED_VALUE"""),"")</f>
        <v/>
      </c>
      <c r="J5278" s="2">
        <f>IFERROR(__xludf.DUMMYFUNCTION("""COMPUTED_VALUE"""),0.0)</f>
        <v>0</v>
      </c>
      <c r="K5278" s="5" t="str">
        <f>IFERROR(__xludf.DUMMYFUNCTION("""COMPUTED_VALUE"""),"")</f>
        <v/>
      </c>
      <c r="L5278" t="str">
        <f>IFERROR(__xludf.DUMMYFUNCTION("""COMPUTED_VALUE"""),"")</f>
        <v/>
      </c>
      <c r="M5278" t="str">
        <f>IFERROR(__xludf.DUMMYFUNCTION("""COMPUTED_VALUE"""),"")</f>
        <v/>
      </c>
      <c r="N5278" t="str">
        <f>IFERROR(__xludf.DUMMYFUNCTION("""COMPUTED_VALUE"""),"")</f>
        <v/>
      </c>
      <c r="O5278" t="str">
        <f>IFERROR(__xludf.DUMMYFUNCTION("""COMPUTED_VALUE"""),"")</f>
        <v/>
      </c>
      <c r="P5278" t="str">
        <f>IFERROR(__xludf.DUMMYFUNCTION("""COMPUTED_VALUE"""),"ID ")</f>
        <v>ID </v>
      </c>
    </row>
    <row r="5279">
      <c r="A5279" s="6" t="str">
        <f>IFERROR(__xludf.DUMMYFUNCTION("""COMPUTED_VALUE"""),"")</f>
        <v/>
      </c>
      <c r="C5279" t="str">
        <f>IFERROR(__xludf.DUMMYFUNCTION("""COMPUTED_VALUE"""),"")</f>
        <v/>
      </c>
      <c r="D5279" t="str">
        <f>IFERROR(__xludf.DUMMYFUNCTION("""COMPUTED_VALUE"""),"")</f>
        <v/>
      </c>
      <c r="E5279" t="str">
        <f>IFERROR(__xludf.DUMMYFUNCTION("""COMPUTED_VALUE"""),"")</f>
        <v/>
      </c>
      <c r="F5279" t="str">
        <f>IFERROR(__xludf.DUMMYFUNCTION("""COMPUTED_VALUE"""),"")</f>
        <v/>
      </c>
      <c r="G5279" t="str">
        <f>IFERROR(__xludf.DUMMYFUNCTION("""COMPUTED_VALUE"""),"")</f>
        <v/>
      </c>
      <c r="H5279" s="2" t="str">
        <f>IFERROR(__xludf.DUMMYFUNCTION("""COMPUTED_VALUE"""),"")</f>
        <v/>
      </c>
      <c r="I5279" s="2" t="str">
        <f>IFERROR(__xludf.DUMMYFUNCTION("""COMPUTED_VALUE"""),"")</f>
        <v/>
      </c>
      <c r="J5279" s="2">
        <f>IFERROR(__xludf.DUMMYFUNCTION("""COMPUTED_VALUE"""),0.0)</f>
        <v>0</v>
      </c>
      <c r="K5279" s="5" t="str">
        <f>IFERROR(__xludf.DUMMYFUNCTION("""COMPUTED_VALUE"""),"")</f>
        <v/>
      </c>
      <c r="L5279" t="str">
        <f>IFERROR(__xludf.DUMMYFUNCTION("""COMPUTED_VALUE"""),"")</f>
        <v/>
      </c>
      <c r="M5279" t="str">
        <f>IFERROR(__xludf.DUMMYFUNCTION("""COMPUTED_VALUE"""),"")</f>
        <v/>
      </c>
      <c r="N5279" t="str">
        <f>IFERROR(__xludf.DUMMYFUNCTION("""COMPUTED_VALUE"""),"")</f>
        <v/>
      </c>
      <c r="O5279" t="str">
        <f>IFERROR(__xludf.DUMMYFUNCTION("""COMPUTED_VALUE"""),"")</f>
        <v/>
      </c>
      <c r="P5279" t="str">
        <f>IFERROR(__xludf.DUMMYFUNCTION("""COMPUTED_VALUE"""),"ID ")</f>
        <v>ID </v>
      </c>
    </row>
    <row r="5280">
      <c r="A5280" s="6" t="str">
        <f>IFERROR(__xludf.DUMMYFUNCTION("""COMPUTED_VALUE"""),"")</f>
        <v/>
      </c>
      <c r="C5280" t="str">
        <f>IFERROR(__xludf.DUMMYFUNCTION("""COMPUTED_VALUE"""),"")</f>
        <v/>
      </c>
      <c r="D5280" t="str">
        <f>IFERROR(__xludf.DUMMYFUNCTION("""COMPUTED_VALUE"""),"")</f>
        <v/>
      </c>
      <c r="E5280" t="str">
        <f>IFERROR(__xludf.DUMMYFUNCTION("""COMPUTED_VALUE"""),"")</f>
        <v/>
      </c>
      <c r="F5280" t="str">
        <f>IFERROR(__xludf.DUMMYFUNCTION("""COMPUTED_VALUE"""),"")</f>
        <v/>
      </c>
      <c r="G5280" t="str">
        <f>IFERROR(__xludf.DUMMYFUNCTION("""COMPUTED_VALUE"""),"")</f>
        <v/>
      </c>
      <c r="H5280" s="2" t="str">
        <f>IFERROR(__xludf.DUMMYFUNCTION("""COMPUTED_VALUE"""),"")</f>
        <v/>
      </c>
      <c r="I5280" s="2" t="str">
        <f>IFERROR(__xludf.DUMMYFUNCTION("""COMPUTED_VALUE"""),"")</f>
        <v/>
      </c>
      <c r="J5280" s="2">
        <f>IFERROR(__xludf.DUMMYFUNCTION("""COMPUTED_VALUE"""),0.0)</f>
        <v>0</v>
      </c>
      <c r="K5280" s="5" t="str">
        <f>IFERROR(__xludf.DUMMYFUNCTION("""COMPUTED_VALUE"""),"")</f>
        <v/>
      </c>
      <c r="L5280" t="str">
        <f>IFERROR(__xludf.DUMMYFUNCTION("""COMPUTED_VALUE"""),"")</f>
        <v/>
      </c>
      <c r="M5280" t="str">
        <f>IFERROR(__xludf.DUMMYFUNCTION("""COMPUTED_VALUE"""),"")</f>
        <v/>
      </c>
      <c r="N5280" t="str">
        <f>IFERROR(__xludf.DUMMYFUNCTION("""COMPUTED_VALUE"""),"")</f>
        <v/>
      </c>
      <c r="O5280" t="str">
        <f>IFERROR(__xludf.DUMMYFUNCTION("""COMPUTED_VALUE"""),"")</f>
        <v/>
      </c>
      <c r="P5280" t="str">
        <f>IFERROR(__xludf.DUMMYFUNCTION("""COMPUTED_VALUE"""),"ID ")</f>
        <v>ID </v>
      </c>
    </row>
    <row r="5281">
      <c r="A5281" s="6" t="str">
        <f>IFERROR(__xludf.DUMMYFUNCTION("""COMPUTED_VALUE"""),"")</f>
        <v/>
      </c>
      <c r="C5281" t="str">
        <f>IFERROR(__xludf.DUMMYFUNCTION("""COMPUTED_VALUE"""),"")</f>
        <v/>
      </c>
      <c r="D5281" t="str">
        <f>IFERROR(__xludf.DUMMYFUNCTION("""COMPUTED_VALUE"""),"")</f>
        <v/>
      </c>
      <c r="E5281" t="str">
        <f>IFERROR(__xludf.DUMMYFUNCTION("""COMPUTED_VALUE"""),"")</f>
        <v/>
      </c>
      <c r="F5281" t="str">
        <f>IFERROR(__xludf.DUMMYFUNCTION("""COMPUTED_VALUE"""),"")</f>
        <v/>
      </c>
      <c r="G5281" t="str">
        <f>IFERROR(__xludf.DUMMYFUNCTION("""COMPUTED_VALUE"""),"")</f>
        <v/>
      </c>
      <c r="H5281" s="2" t="str">
        <f>IFERROR(__xludf.DUMMYFUNCTION("""COMPUTED_VALUE"""),"")</f>
        <v/>
      </c>
      <c r="I5281" s="2" t="str">
        <f>IFERROR(__xludf.DUMMYFUNCTION("""COMPUTED_VALUE"""),"")</f>
        <v/>
      </c>
      <c r="J5281" s="2">
        <f>IFERROR(__xludf.DUMMYFUNCTION("""COMPUTED_VALUE"""),0.0)</f>
        <v>0</v>
      </c>
      <c r="K5281" s="5" t="str">
        <f>IFERROR(__xludf.DUMMYFUNCTION("""COMPUTED_VALUE"""),"")</f>
        <v/>
      </c>
      <c r="L5281" t="str">
        <f>IFERROR(__xludf.DUMMYFUNCTION("""COMPUTED_VALUE"""),"")</f>
        <v/>
      </c>
      <c r="M5281" t="str">
        <f>IFERROR(__xludf.DUMMYFUNCTION("""COMPUTED_VALUE"""),"")</f>
        <v/>
      </c>
      <c r="N5281" t="str">
        <f>IFERROR(__xludf.DUMMYFUNCTION("""COMPUTED_VALUE"""),"")</f>
        <v/>
      </c>
      <c r="O5281" t="str">
        <f>IFERROR(__xludf.DUMMYFUNCTION("""COMPUTED_VALUE"""),"")</f>
        <v/>
      </c>
      <c r="P5281" t="str">
        <f>IFERROR(__xludf.DUMMYFUNCTION("""COMPUTED_VALUE"""),"ID ")</f>
        <v>ID </v>
      </c>
    </row>
    <row r="5282">
      <c r="A5282" s="6" t="str">
        <f>IFERROR(__xludf.DUMMYFUNCTION("""COMPUTED_VALUE"""),"")</f>
        <v/>
      </c>
      <c r="C5282" t="str">
        <f>IFERROR(__xludf.DUMMYFUNCTION("""COMPUTED_VALUE"""),"")</f>
        <v/>
      </c>
      <c r="D5282" t="str">
        <f>IFERROR(__xludf.DUMMYFUNCTION("""COMPUTED_VALUE"""),"")</f>
        <v/>
      </c>
      <c r="E5282" t="str">
        <f>IFERROR(__xludf.DUMMYFUNCTION("""COMPUTED_VALUE"""),"")</f>
        <v/>
      </c>
      <c r="F5282" t="str">
        <f>IFERROR(__xludf.DUMMYFUNCTION("""COMPUTED_VALUE"""),"")</f>
        <v/>
      </c>
      <c r="G5282" t="str">
        <f>IFERROR(__xludf.DUMMYFUNCTION("""COMPUTED_VALUE"""),"")</f>
        <v/>
      </c>
      <c r="H5282" s="2" t="str">
        <f>IFERROR(__xludf.DUMMYFUNCTION("""COMPUTED_VALUE"""),"")</f>
        <v/>
      </c>
      <c r="I5282" s="2" t="str">
        <f>IFERROR(__xludf.DUMMYFUNCTION("""COMPUTED_VALUE"""),"")</f>
        <v/>
      </c>
      <c r="J5282" s="2">
        <f>IFERROR(__xludf.DUMMYFUNCTION("""COMPUTED_VALUE"""),0.0)</f>
        <v>0</v>
      </c>
      <c r="K5282" s="5" t="str">
        <f>IFERROR(__xludf.DUMMYFUNCTION("""COMPUTED_VALUE"""),"")</f>
        <v/>
      </c>
      <c r="L5282" t="str">
        <f>IFERROR(__xludf.DUMMYFUNCTION("""COMPUTED_VALUE"""),"")</f>
        <v/>
      </c>
      <c r="M5282" t="str">
        <f>IFERROR(__xludf.DUMMYFUNCTION("""COMPUTED_VALUE"""),"")</f>
        <v/>
      </c>
      <c r="N5282" t="str">
        <f>IFERROR(__xludf.DUMMYFUNCTION("""COMPUTED_VALUE"""),"")</f>
        <v/>
      </c>
      <c r="O5282" t="str">
        <f>IFERROR(__xludf.DUMMYFUNCTION("""COMPUTED_VALUE"""),"")</f>
        <v/>
      </c>
      <c r="P5282" t="str">
        <f>IFERROR(__xludf.DUMMYFUNCTION("""COMPUTED_VALUE"""),"ID ")</f>
        <v>ID </v>
      </c>
    </row>
    <row r="5283">
      <c r="A5283" s="6" t="str">
        <f>IFERROR(__xludf.DUMMYFUNCTION("""COMPUTED_VALUE"""),"")</f>
        <v/>
      </c>
      <c r="C5283" t="str">
        <f>IFERROR(__xludf.DUMMYFUNCTION("""COMPUTED_VALUE"""),"")</f>
        <v/>
      </c>
      <c r="D5283" t="str">
        <f>IFERROR(__xludf.DUMMYFUNCTION("""COMPUTED_VALUE"""),"")</f>
        <v/>
      </c>
      <c r="E5283" t="str">
        <f>IFERROR(__xludf.DUMMYFUNCTION("""COMPUTED_VALUE"""),"")</f>
        <v/>
      </c>
      <c r="F5283" t="str">
        <f>IFERROR(__xludf.DUMMYFUNCTION("""COMPUTED_VALUE"""),"")</f>
        <v/>
      </c>
      <c r="G5283" t="str">
        <f>IFERROR(__xludf.DUMMYFUNCTION("""COMPUTED_VALUE"""),"")</f>
        <v/>
      </c>
      <c r="H5283" s="2" t="str">
        <f>IFERROR(__xludf.DUMMYFUNCTION("""COMPUTED_VALUE"""),"")</f>
        <v/>
      </c>
      <c r="I5283" s="2" t="str">
        <f>IFERROR(__xludf.DUMMYFUNCTION("""COMPUTED_VALUE"""),"")</f>
        <v/>
      </c>
      <c r="J5283" s="2">
        <f>IFERROR(__xludf.DUMMYFUNCTION("""COMPUTED_VALUE"""),0.0)</f>
        <v>0</v>
      </c>
      <c r="K5283" s="5" t="str">
        <f>IFERROR(__xludf.DUMMYFUNCTION("""COMPUTED_VALUE"""),"")</f>
        <v/>
      </c>
      <c r="L5283" t="str">
        <f>IFERROR(__xludf.DUMMYFUNCTION("""COMPUTED_VALUE"""),"")</f>
        <v/>
      </c>
      <c r="M5283" t="str">
        <f>IFERROR(__xludf.DUMMYFUNCTION("""COMPUTED_VALUE"""),"")</f>
        <v/>
      </c>
      <c r="N5283" t="str">
        <f>IFERROR(__xludf.DUMMYFUNCTION("""COMPUTED_VALUE"""),"")</f>
        <v/>
      </c>
      <c r="O5283" t="str">
        <f>IFERROR(__xludf.DUMMYFUNCTION("""COMPUTED_VALUE"""),"")</f>
        <v/>
      </c>
      <c r="P5283" t="str">
        <f>IFERROR(__xludf.DUMMYFUNCTION("""COMPUTED_VALUE"""),"ID ")</f>
        <v>ID </v>
      </c>
    </row>
    <row r="5284">
      <c r="A5284" s="6" t="str">
        <f>IFERROR(__xludf.DUMMYFUNCTION("""COMPUTED_VALUE"""),"")</f>
        <v/>
      </c>
      <c r="C5284" t="str">
        <f>IFERROR(__xludf.DUMMYFUNCTION("""COMPUTED_VALUE"""),"")</f>
        <v/>
      </c>
      <c r="D5284" t="str">
        <f>IFERROR(__xludf.DUMMYFUNCTION("""COMPUTED_VALUE"""),"")</f>
        <v/>
      </c>
      <c r="E5284" t="str">
        <f>IFERROR(__xludf.DUMMYFUNCTION("""COMPUTED_VALUE"""),"")</f>
        <v/>
      </c>
      <c r="F5284" t="str">
        <f>IFERROR(__xludf.DUMMYFUNCTION("""COMPUTED_VALUE"""),"")</f>
        <v/>
      </c>
      <c r="G5284" t="str">
        <f>IFERROR(__xludf.DUMMYFUNCTION("""COMPUTED_VALUE"""),"")</f>
        <v/>
      </c>
      <c r="H5284" s="2" t="str">
        <f>IFERROR(__xludf.DUMMYFUNCTION("""COMPUTED_VALUE"""),"")</f>
        <v/>
      </c>
      <c r="I5284" s="2" t="str">
        <f>IFERROR(__xludf.DUMMYFUNCTION("""COMPUTED_VALUE"""),"")</f>
        <v/>
      </c>
      <c r="J5284" s="2">
        <f>IFERROR(__xludf.DUMMYFUNCTION("""COMPUTED_VALUE"""),0.0)</f>
        <v>0</v>
      </c>
      <c r="K5284" s="5" t="str">
        <f>IFERROR(__xludf.DUMMYFUNCTION("""COMPUTED_VALUE"""),"")</f>
        <v/>
      </c>
      <c r="L5284" t="str">
        <f>IFERROR(__xludf.DUMMYFUNCTION("""COMPUTED_VALUE"""),"")</f>
        <v/>
      </c>
      <c r="M5284" t="str">
        <f>IFERROR(__xludf.DUMMYFUNCTION("""COMPUTED_VALUE"""),"")</f>
        <v/>
      </c>
      <c r="N5284" t="str">
        <f>IFERROR(__xludf.DUMMYFUNCTION("""COMPUTED_VALUE"""),"")</f>
        <v/>
      </c>
      <c r="O5284" t="str">
        <f>IFERROR(__xludf.DUMMYFUNCTION("""COMPUTED_VALUE"""),"")</f>
        <v/>
      </c>
      <c r="P5284" t="str">
        <f>IFERROR(__xludf.DUMMYFUNCTION("""COMPUTED_VALUE"""),"ID ")</f>
        <v>ID </v>
      </c>
    </row>
    <row r="5285">
      <c r="A5285" s="6" t="str">
        <f>IFERROR(__xludf.DUMMYFUNCTION("""COMPUTED_VALUE"""),"")</f>
        <v/>
      </c>
      <c r="C5285" t="str">
        <f>IFERROR(__xludf.DUMMYFUNCTION("""COMPUTED_VALUE"""),"")</f>
        <v/>
      </c>
      <c r="D5285" t="str">
        <f>IFERROR(__xludf.DUMMYFUNCTION("""COMPUTED_VALUE"""),"")</f>
        <v/>
      </c>
      <c r="E5285" t="str">
        <f>IFERROR(__xludf.DUMMYFUNCTION("""COMPUTED_VALUE"""),"")</f>
        <v/>
      </c>
      <c r="F5285" t="str">
        <f>IFERROR(__xludf.DUMMYFUNCTION("""COMPUTED_VALUE"""),"")</f>
        <v/>
      </c>
      <c r="G5285" t="str">
        <f>IFERROR(__xludf.DUMMYFUNCTION("""COMPUTED_VALUE"""),"")</f>
        <v/>
      </c>
      <c r="H5285" s="2" t="str">
        <f>IFERROR(__xludf.DUMMYFUNCTION("""COMPUTED_VALUE"""),"")</f>
        <v/>
      </c>
      <c r="I5285" s="2" t="str">
        <f>IFERROR(__xludf.DUMMYFUNCTION("""COMPUTED_VALUE"""),"")</f>
        <v/>
      </c>
      <c r="J5285" s="2">
        <f>IFERROR(__xludf.DUMMYFUNCTION("""COMPUTED_VALUE"""),0.0)</f>
        <v>0</v>
      </c>
      <c r="K5285" s="5" t="str">
        <f>IFERROR(__xludf.DUMMYFUNCTION("""COMPUTED_VALUE"""),"")</f>
        <v/>
      </c>
      <c r="L5285" t="str">
        <f>IFERROR(__xludf.DUMMYFUNCTION("""COMPUTED_VALUE"""),"")</f>
        <v/>
      </c>
      <c r="M5285" t="str">
        <f>IFERROR(__xludf.DUMMYFUNCTION("""COMPUTED_VALUE"""),"")</f>
        <v/>
      </c>
      <c r="N5285" t="str">
        <f>IFERROR(__xludf.DUMMYFUNCTION("""COMPUTED_VALUE"""),"")</f>
        <v/>
      </c>
      <c r="O5285" t="str">
        <f>IFERROR(__xludf.DUMMYFUNCTION("""COMPUTED_VALUE"""),"")</f>
        <v/>
      </c>
      <c r="P5285" t="str">
        <f>IFERROR(__xludf.DUMMYFUNCTION("""COMPUTED_VALUE"""),"ID ")</f>
        <v>ID </v>
      </c>
    </row>
    <row r="5286">
      <c r="A5286" s="6" t="str">
        <f>IFERROR(__xludf.DUMMYFUNCTION("""COMPUTED_VALUE"""),"")</f>
        <v/>
      </c>
      <c r="C5286" t="str">
        <f>IFERROR(__xludf.DUMMYFUNCTION("""COMPUTED_VALUE"""),"")</f>
        <v/>
      </c>
      <c r="D5286" t="str">
        <f>IFERROR(__xludf.DUMMYFUNCTION("""COMPUTED_VALUE"""),"")</f>
        <v/>
      </c>
      <c r="E5286" t="str">
        <f>IFERROR(__xludf.DUMMYFUNCTION("""COMPUTED_VALUE"""),"")</f>
        <v/>
      </c>
      <c r="F5286" t="str">
        <f>IFERROR(__xludf.DUMMYFUNCTION("""COMPUTED_VALUE"""),"")</f>
        <v/>
      </c>
      <c r="G5286" t="str">
        <f>IFERROR(__xludf.DUMMYFUNCTION("""COMPUTED_VALUE"""),"")</f>
        <v/>
      </c>
      <c r="H5286" s="2" t="str">
        <f>IFERROR(__xludf.DUMMYFUNCTION("""COMPUTED_VALUE"""),"")</f>
        <v/>
      </c>
      <c r="I5286" s="2" t="str">
        <f>IFERROR(__xludf.DUMMYFUNCTION("""COMPUTED_VALUE"""),"")</f>
        <v/>
      </c>
      <c r="J5286" s="2">
        <f>IFERROR(__xludf.DUMMYFUNCTION("""COMPUTED_VALUE"""),0.0)</f>
        <v>0</v>
      </c>
      <c r="K5286" s="5" t="str">
        <f>IFERROR(__xludf.DUMMYFUNCTION("""COMPUTED_VALUE"""),"")</f>
        <v/>
      </c>
      <c r="L5286" t="str">
        <f>IFERROR(__xludf.DUMMYFUNCTION("""COMPUTED_VALUE"""),"")</f>
        <v/>
      </c>
      <c r="M5286" t="str">
        <f>IFERROR(__xludf.DUMMYFUNCTION("""COMPUTED_VALUE"""),"")</f>
        <v/>
      </c>
      <c r="N5286" t="str">
        <f>IFERROR(__xludf.DUMMYFUNCTION("""COMPUTED_VALUE"""),"")</f>
        <v/>
      </c>
      <c r="O5286" t="str">
        <f>IFERROR(__xludf.DUMMYFUNCTION("""COMPUTED_VALUE"""),"")</f>
        <v/>
      </c>
      <c r="P5286" t="str">
        <f>IFERROR(__xludf.DUMMYFUNCTION("""COMPUTED_VALUE"""),"ID ")</f>
        <v>ID </v>
      </c>
    </row>
    <row r="5287">
      <c r="A5287" s="6" t="str">
        <f>IFERROR(__xludf.DUMMYFUNCTION("""COMPUTED_VALUE"""),"")</f>
        <v/>
      </c>
      <c r="C5287" t="str">
        <f>IFERROR(__xludf.DUMMYFUNCTION("""COMPUTED_VALUE"""),"")</f>
        <v/>
      </c>
      <c r="D5287" t="str">
        <f>IFERROR(__xludf.DUMMYFUNCTION("""COMPUTED_VALUE"""),"")</f>
        <v/>
      </c>
      <c r="E5287" t="str">
        <f>IFERROR(__xludf.DUMMYFUNCTION("""COMPUTED_VALUE"""),"")</f>
        <v/>
      </c>
      <c r="F5287" t="str">
        <f>IFERROR(__xludf.DUMMYFUNCTION("""COMPUTED_VALUE"""),"")</f>
        <v/>
      </c>
      <c r="G5287" t="str">
        <f>IFERROR(__xludf.DUMMYFUNCTION("""COMPUTED_VALUE"""),"")</f>
        <v/>
      </c>
      <c r="H5287" s="2" t="str">
        <f>IFERROR(__xludf.DUMMYFUNCTION("""COMPUTED_VALUE"""),"")</f>
        <v/>
      </c>
      <c r="I5287" s="2" t="str">
        <f>IFERROR(__xludf.DUMMYFUNCTION("""COMPUTED_VALUE"""),"")</f>
        <v/>
      </c>
      <c r="J5287" s="2">
        <f>IFERROR(__xludf.DUMMYFUNCTION("""COMPUTED_VALUE"""),0.0)</f>
        <v>0</v>
      </c>
      <c r="K5287" s="5" t="str">
        <f>IFERROR(__xludf.DUMMYFUNCTION("""COMPUTED_VALUE"""),"")</f>
        <v/>
      </c>
      <c r="L5287" t="str">
        <f>IFERROR(__xludf.DUMMYFUNCTION("""COMPUTED_VALUE"""),"")</f>
        <v/>
      </c>
      <c r="M5287" t="str">
        <f>IFERROR(__xludf.DUMMYFUNCTION("""COMPUTED_VALUE"""),"")</f>
        <v/>
      </c>
      <c r="N5287" t="str">
        <f>IFERROR(__xludf.DUMMYFUNCTION("""COMPUTED_VALUE"""),"")</f>
        <v/>
      </c>
      <c r="O5287" t="str">
        <f>IFERROR(__xludf.DUMMYFUNCTION("""COMPUTED_VALUE"""),"")</f>
        <v/>
      </c>
      <c r="P5287" t="str">
        <f>IFERROR(__xludf.DUMMYFUNCTION("""COMPUTED_VALUE"""),"ID ")</f>
        <v>ID </v>
      </c>
    </row>
    <row r="5288">
      <c r="A5288" s="6" t="str">
        <f>IFERROR(__xludf.DUMMYFUNCTION("""COMPUTED_VALUE"""),"")</f>
        <v/>
      </c>
      <c r="C5288" t="str">
        <f>IFERROR(__xludf.DUMMYFUNCTION("""COMPUTED_VALUE"""),"")</f>
        <v/>
      </c>
      <c r="D5288" t="str">
        <f>IFERROR(__xludf.DUMMYFUNCTION("""COMPUTED_VALUE"""),"")</f>
        <v/>
      </c>
      <c r="E5288" t="str">
        <f>IFERROR(__xludf.DUMMYFUNCTION("""COMPUTED_VALUE"""),"")</f>
        <v/>
      </c>
      <c r="F5288" t="str">
        <f>IFERROR(__xludf.DUMMYFUNCTION("""COMPUTED_VALUE"""),"")</f>
        <v/>
      </c>
      <c r="G5288" t="str">
        <f>IFERROR(__xludf.DUMMYFUNCTION("""COMPUTED_VALUE"""),"")</f>
        <v/>
      </c>
      <c r="H5288" s="2" t="str">
        <f>IFERROR(__xludf.DUMMYFUNCTION("""COMPUTED_VALUE"""),"")</f>
        <v/>
      </c>
      <c r="I5288" s="2" t="str">
        <f>IFERROR(__xludf.DUMMYFUNCTION("""COMPUTED_VALUE"""),"")</f>
        <v/>
      </c>
      <c r="J5288" s="2">
        <f>IFERROR(__xludf.DUMMYFUNCTION("""COMPUTED_VALUE"""),0.0)</f>
        <v>0</v>
      </c>
      <c r="K5288" s="5" t="str">
        <f>IFERROR(__xludf.DUMMYFUNCTION("""COMPUTED_VALUE"""),"")</f>
        <v/>
      </c>
      <c r="L5288" t="str">
        <f>IFERROR(__xludf.DUMMYFUNCTION("""COMPUTED_VALUE"""),"")</f>
        <v/>
      </c>
      <c r="M5288" t="str">
        <f>IFERROR(__xludf.DUMMYFUNCTION("""COMPUTED_VALUE"""),"")</f>
        <v/>
      </c>
      <c r="N5288" t="str">
        <f>IFERROR(__xludf.DUMMYFUNCTION("""COMPUTED_VALUE"""),"")</f>
        <v/>
      </c>
      <c r="O5288" t="str">
        <f>IFERROR(__xludf.DUMMYFUNCTION("""COMPUTED_VALUE"""),"")</f>
        <v/>
      </c>
      <c r="P5288" t="str">
        <f>IFERROR(__xludf.DUMMYFUNCTION("""COMPUTED_VALUE"""),"ID ")</f>
        <v>ID </v>
      </c>
    </row>
    <row r="5289">
      <c r="A5289" s="6" t="str">
        <f>IFERROR(__xludf.DUMMYFUNCTION("""COMPUTED_VALUE"""),"")</f>
        <v/>
      </c>
      <c r="C5289" t="str">
        <f>IFERROR(__xludf.DUMMYFUNCTION("""COMPUTED_VALUE"""),"")</f>
        <v/>
      </c>
      <c r="D5289" t="str">
        <f>IFERROR(__xludf.DUMMYFUNCTION("""COMPUTED_VALUE"""),"")</f>
        <v/>
      </c>
      <c r="E5289" t="str">
        <f>IFERROR(__xludf.DUMMYFUNCTION("""COMPUTED_VALUE"""),"")</f>
        <v/>
      </c>
      <c r="F5289" t="str">
        <f>IFERROR(__xludf.DUMMYFUNCTION("""COMPUTED_VALUE"""),"")</f>
        <v/>
      </c>
      <c r="G5289" t="str">
        <f>IFERROR(__xludf.DUMMYFUNCTION("""COMPUTED_VALUE"""),"")</f>
        <v/>
      </c>
      <c r="H5289" s="2" t="str">
        <f>IFERROR(__xludf.DUMMYFUNCTION("""COMPUTED_VALUE"""),"")</f>
        <v/>
      </c>
      <c r="I5289" s="2" t="str">
        <f>IFERROR(__xludf.DUMMYFUNCTION("""COMPUTED_VALUE"""),"")</f>
        <v/>
      </c>
      <c r="J5289" s="2">
        <f>IFERROR(__xludf.DUMMYFUNCTION("""COMPUTED_VALUE"""),0.0)</f>
        <v>0</v>
      </c>
      <c r="K5289" s="5" t="str">
        <f>IFERROR(__xludf.DUMMYFUNCTION("""COMPUTED_VALUE"""),"")</f>
        <v/>
      </c>
      <c r="L5289" t="str">
        <f>IFERROR(__xludf.DUMMYFUNCTION("""COMPUTED_VALUE"""),"")</f>
        <v/>
      </c>
      <c r="M5289" t="str">
        <f>IFERROR(__xludf.DUMMYFUNCTION("""COMPUTED_VALUE"""),"")</f>
        <v/>
      </c>
      <c r="N5289" t="str">
        <f>IFERROR(__xludf.DUMMYFUNCTION("""COMPUTED_VALUE"""),"")</f>
        <v/>
      </c>
      <c r="O5289" t="str">
        <f>IFERROR(__xludf.DUMMYFUNCTION("""COMPUTED_VALUE"""),"")</f>
        <v/>
      </c>
      <c r="P5289" t="str">
        <f>IFERROR(__xludf.DUMMYFUNCTION("""COMPUTED_VALUE"""),"ID ")</f>
        <v>ID </v>
      </c>
    </row>
    <row r="5290">
      <c r="A5290" s="6" t="str">
        <f>IFERROR(__xludf.DUMMYFUNCTION("""COMPUTED_VALUE"""),"")</f>
        <v/>
      </c>
      <c r="C5290" t="str">
        <f>IFERROR(__xludf.DUMMYFUNCTION("""COMPUTED_VALUE"""),"")</f>
        <v/>
      </c>
      <c r="D5290" t="str">
        <f>IFERROR(__xludf.DUMMYFUNCTION("""COMPUTED_VALUE"""),"")</f>
        <v/>
      </c>
      <c r="E5290" t="str">
        <f>IFERROR(__xludf.DUMMYFUNCTION("""COMPUTED_VALUE"""),"")</f>
        <v/>
      </c>
      <c r="F5290" t="str">
        <f>IFERROR(__xludf.DUMMYFUNCTION("""COMPUTED_VALUE"""),"")</f>
        <v/>
      </c>
      <c r="G5290" t="str">
        <f>IFERROR(__xludf.DUMMYFUNCTION("""COMPUTED_VALUE"""),"")</f>
        <v/>
      </c>
      <c r="H5290" s="2" t="str">
        <f>IFERROR(__xludf.DUMMYFUNCTION("""COMPUTED_VALUE"""),"")</f>
        <v/>
      </c>
      <c r="I5290" s="2" t="str">
        <f>IFERROR(__xludf.DUMMYFUNCTION("""COMPUTED_VALUE"""),"")</f>
        <v/>
      </c>
      <c r="J5290" s="2">
        <f>IFERROR(__xludf.DUMMYFUNCTION("""COMPUTED_VALUE"""),0.0)</f>
        <v>0</v>
      </c>
      <c r="K5290" s="5" t="str">
        <f>IFERROR(__xludf.DUMMYFUNCTION("""COMPUTED_VALUE"""),"")</f>
        <v/>
      </c>
      <c r="L5290" t="str">
        <f>IFERROR(__xludf.DUMMYFUNCTION("""COMPUTED_VALUE"""),"")</f>
        <v/>
      </c>
      <c r="M5290" t="str">
        <f>IFERROR(__xludf.DUMMYFUNCTION("""COMPUTED_VALUE"""),"")</f>
        <v/>
      </c>
      <c r="N5290" t="str">
        <f>IFERROR(__xludf.DUMMYFUNCTION("""COMPUTED_VALUE"""),"")</f>
        <v/>
      </c>
      <c r="O5290" t="str">
        <f>IFERROR(__xludf.DUMMYFUNCTION("""COMPUTED_VALUE"""),"")</f>
        <v/>
      </c>
      <c r="P5290" t="str">
        <f>IFERROR(__xludf.DUMMYFUNCTION("""COMPUTED_VALUE"""),"ID ")</f>
        <v>ID </v>
      </c>
    </row>
    <row r="5291">
      <c r="A5291" s="6" t="str">
        <f>IFERROR(__xludf.DUMMYFUNCTION("""COMPUTED_VALUE"""),"")</f>
        <v/>
      </c>
      <c r="C5291" t="str">
        <f>IFERROR(__xludf.DUMMYFUNCTION("""COMPUTED_VALUE"""),"")</f>
        <v/>
      </c>
      <c r="D5291" t="str">
        <f>IFERROR(__xludf.DUMMYFUNCTION("""COMPUTED_VALUE"""),"")</f>
        <v/>
      </c>
      <c r="E5291" t="str">
        <f>IFERROR(__xludf.DUMMYFUNCTION("""COMPUTED_VALUE"""),"")</f>
        <v/>
      </c>
      <c r="F5291" t="str">
        <f>IFERROR(__xludf.DUMMYFUNCTION("""COMPUTED_VALUE"""),"")</f>
        <v/>
      </c>
      <c r="G5291" t="str">
        <f>IFERROR(__xludf.DUMMYFUNCTION("""COMPUTED_VALUE"""),"")</f>
        <v/>
      </c>
      <c r="H5291" s="2" t="str">
        <f>IFERROR(__xludf.DUMMYFUNCTION("""COMPUTED_VALUE"""),"")</f>
        <v/>
      </c>
      <c r="I5291" s="2" t="str">
        <f>IFERROR(__xludf.DUMMYFUNCTION("""COMPUTED_VALUE"""),"")</f>
        <v/>
      </c>
      <c r="J5291" s="2">
        <f>IFERROR(__xludf.DUMMYFUNCTION("""COMPUTED_VALUE"""),0.0)</f>
        <v>0</v>
      </c>
      <c r="K5291" s="5" t="str">
        <f>IFERROR(__xludf.DUMMYFUNCTION("""COMPUTED_VALUE"""),"")</f>
        <v/>
      </c>
      <c r="L5291" t="str">
        <f>IFERROR(__xludf.DUMMYFUNCTION("""COMPUTED_VALUE"""),"")</f>
        <v/>
      </c>
      <c r="M5291" t="str">
        <f>IFERROR(__xludf.DUMMYFUNCTION("""COMPUTED_VALUE"""),"")</f>
        <v/>
      </c>
      <c r="N5291" t="str">
        <f>IFERROR(__xludf.DUMMYFUNCTION("""COMPUTED_VALUE"""),"")</f>
        <v/>
      </c>
      <c r="O5291" t="str">
        <f>IFERROR(__xludf.DUMMYFUNCTION("""COMPUTED_VALUE"""),"")</f>
        <v/>
      </c>
      <c r="P5291" t="str">
        <f>IFERROR(__xludf.DUMMYFUNCTION("""COMPUTED_VALUE"""),"ID ")</f>
        <v>ID </v>
      </c>
    </row>
    <row r="5292">
      <c r="A5292" s="6" t="str">
        <f>IFERROR(__xludf.DUMMYFUNCTION("""COMPUTED_VALUE"""),"")</f>
        <v/>
      </c>
      <c r="C5292" t="str">
        <f>IFERROR(__xludf.DUMMYFUNCTION("""COMPUTED_VALUE"""),"")</f>
        <v/>
      </c>
      <c r="D5292" t="str">
        <f>IFERROR(__xludf.DUMMYFUNCTION("""COMPUTED_VALUE"""),"")</f>
        <v/>
      </c>
      <c r="E5292" t="str">
        <f>IFERROR(__xludf.DUMMYFUNCTION("""COMPUTED_VALUE"""),"")</f>
        <v/>
      </c>
      <c r="F5292" t="str">
        <f>IFERROR(__xludf.DUMMYFUNCTION("""COMPUTED_VALUE"""),"")</f>
        <v/>
      </c>
      <c r="G5292" t="str">
        <f>IFERROR(__xludf.DUMMYFUNCTION("""COMPUTED_VALUE"""),"")</f>
        <v/>
      </c>
      <c r="H5292" s="2" t="str">
        <f>IFERROR(__xludf.DUMMYFUNCTION("""COMPUTED_VALUE"""),"")</f>
        <v/>
      </c>
      <c r="I5292" s="2" t="str">
        <f>IFERROR(__xludf.DUMMYFUNCTION("""COMPUTED_VALUE"""),"")</f>
        <v/>
      </c>
      <c r="J5292" s="2">
        <f>IFERROR(__xludf.DUMMYFUNCTION("""COMPUTED_VALUE"""),0.0)</f>
        <v>0</v>
      </c>
      <c r="K5292" s="5" t="str">
        <f>IFERROR(__xludf.DUMMYFUNCTION("""COMPUTED_VALUE"""),"")</f>
        <v/>
      </c>
      <c r="L5292" t="str">
        <f>IFERROR(__xludf.DUMMYFUNCTION("""COMPUTED_VALUE"""),"")</f>
        <v/>
      </c>
      <c r="M5292" t="str">
        <f>IFERROR(__xludf.DUMMYFUNCTION("""COMPUTED_VALUE"""),"")</f>
        <v/>
      </c>
      <c r="N5292" t="str">
        <f>IFERROR(__xludf.DUMMYFUNCTION("""COMPUTED_VALUE"""),"")</f>
        <v/>
      </c>
      <c r="O5292" t="str">
        <f>IFERROR(__xludf.DUMMYFUNCTION("""COMPUTED_VALUE"""),"")</f>
        <v/>
      </c>
      <c r="P5292" t="str">
        <f>IFERROR(__xludf.DUMMYFUNCTION("""COMPUTED_VALUE"""),"ID ")</f>
        <v>ID </v>
      </c>
    </row>
    <row r="5293">
      <c r="A5293" s="6" t="str">
        <f>IFERROR(__xludf.DUMMYFUNCTION("""COMPUTED_VALUE"""),"")</f>
        <v/>
      </c>
      <c r="C5293" t="str">
        <f>IFERROR(__xludf.DUMMYFUNCTION("""COMPUTED_VALUE"""),"")</f>
        <v/>
      </c>
      <c r="D5293" t="str">
        <f>IFERROR(__xludf.DUMMYFUNCTION("""COMPUTED_VALUE"""),"")</f>
        <v/>
      </c>
      <c r="E5293" t="str">
        <f>IFERROR(__xludf.DUMMYFUNCTION("""COMPUTED_VALUE"""),"")</f>
        <v/>
      </c>
      <c r="F5293" t="str">
        <f>IFERROR(__xludf.DUMMYFUNCTION("""COMPUTED_VALUE"""),"")</f>
        <v/>
      </c>
      <c r="G5293" t="str">
        <f>IFERROR(__xludf.DUMMYFUNCTION("""COMPUTED_VALUE"""),"")</f>
        <v/>
      </c>
      <c r="H5293" s="2" t="str">
        <f>IFERROR(__xludf.DUMMYFUNCTION("""COMPUTED_VALUE"""),"")</f>
        <v/>
      </c>
      <c r="I5293" s="2" t="str">
        <f>IFERROR(__xludf.DUMMYFUNCTION("""COMPUTED_VALUE"""),"")</f>
        <v/>
      </c>
      <c r="J5293" s="2">
        <f>IFERROR(__xludf.DUMMYFUNCTION("""COMPUTED_VALUE"""),0.0)</f>
        <v>0</v>
      </c>
      <c r="K5293" s="5" t="str">
        <f>IFERROR(__xludf.DUMMYFUNCTION("""COMPUTED_VALUE"""),"")</f>
        <v/>
      </c>
      <c r="L5293" t="str">
        <f>IFERROR(__xludf.DUMMYFUNCTION("""COMPUTED_VALUE"""),"")</f>
        <v/>
      </c>
      <c r="M5293" t="str">
        <f>IFERROR(__xludf.DUMMYFUNCTION("""COMPUTED_VALUE"""),"")</f>
        <v/>
      </c>
      <c r="N5293" t="str">
        <f>IFERROR(__xludf.DUMMYFUNCTION("""COMPUTED_VALUE"""),"")</f>
        <v/>
      </c>
      <c r="O5293" t="str">
        <f>IFERROR(__xludf.DUMMYFUNCTION("""COMPUTED_VALUE"""),"")</f>
        <v/>
      </c>
      <c r="P5293" t="str">
        <f>IFERROR(__xludf.DUMMYFUNCTION("""COMPUTED_VALUE"""),"ID ")</f>
        <v>ID </v>
      </c>
    </row>
    <row r="5294">
      <c r="A5294" s="6" t="str">
        <f>IFERROR(__xludf.DUMMYFUNCTION("""COMPUTED_VALUE"""),"")</f>
        <v/>
      </c>
      <c r="C5294" t="str">
        <f>IFERROR(__xludf.DUMMYFUNCTION("""COMPUTED_VALUE"""),"")</f>
        <v/>
      </c>
      <c r="D5294" t="str">
        <f>IFERROR(__xludf.DUMMYFUNCTION("""COMPUTED_VALUE"""),"")</f>
        <v/>
      </c>
      <c r="E5294" t="str">
        <f>IFERROR(__xludf.DUMMYFUNCTION("""COMPUTED_VALUE"""),"")</f>
        <v/>
      </c>
      <c r="F5294" t="str">
        <f>IFERROR(__xludf.DUMMYFUNCTION("""COMPUTED_VALUE"""),"")</f>
        <v/>
      </c>
      <c r="G5294" t="str">
        <f>IFERROR(__xludf.DUMMYFUNCTION("""COMPUTED_VALUE"""),"")</f>
        <v/>
      </c>
      <c r="H5294" s="2" t="str">
        <f>IFERROR(__xludf.DUMMYFUNCTION("""COMPUTED_VALUE"""),"")</f>
        <v/>
      </c>
      <c r="I5294" s="2" t="str">
        <f>IFERROR(__xludf.DUMMYFUNCTION("""COMPUTED_VALUE"""),"")</f>
        <v/>
      </c>
      <c r="J5294" s="2">
        <f>IFERROR(__xludf.DUMMYFUNCTION("""COMPUTED_VALUE"""),0.0)</f>
        <v>0</v>
      </c>
      <c r="K5294" s="5" t="str">
        <f>IFERROR(__xludf.DUMMYFUNCTION("""COMPUTED_VALUE"""),"")</f>
        <v/>
      </c>
      <c r="L5294" t="str">
        <f>IFERROR(__xludf.DUMMYFUNCTION("""COMPUTED_VALUE"""),"")</f>
        <v/>
      </c>
      <c r="M5294" t="str">
        <f>IFERROR(__xludf.DUMMYFUNCTION("""COMPUTED_VALUE"""),"")</f>
        <v/>
      </c>
      <c r="N5294" t="str">
        <f>IFERROR(__xludf.DUMMYFUNCTION("""COMPUTED_VALUE"""),"")</f>
        <v/>
      </c>
      <c r="O5294" t="str">
        <f>IFERROR(__xludf.DUMMYFUNCTION("""COMPUTED_VALUE"""),"")</f>
        <v/>
      </c>
      <c r="P5294" t="str">
        <f>IFERROR(__xludf.DUMMYFUNCTION("""COMPUTED_VALUE"""),"ID ")</f>
        <v>ID </v>
      </c>
    </row>
    <row r="5295">
      <c r="A5295" s="6" t="str">
        <f>IFERROR(__xludf.DUMMYFUNCTION("""COMPUTED_VALUE"""),"")</f>
        <v/>
      </c>
      <c r="C5295" t="str">
        <f>IFERROR(__xludf.DUMMYFUNCTION("""COMPUTED_VALUE"""),"")</f>
        <v/>
      </c>
      <c r="D5295" t="str">
        <f>IFERROR(__xludf.DUMMYFUNCTION("""COMPUTED_VALUE"""),"")</f>
        <v/>
      </c>
      <c r="E5295" t="str">
        <f>IFERROR(__xludf.DUMMYFUNCTION("""COMPUTED_VALUE"""),"")</f>
        <v/>
      </c>
      <c r="F5295" t="str">
        <f>IFERROR(__xludf.DUMMYFUNCTION("""COMPUTED_VALUE"""),"")</f>
        <v/>
      </c>
      <c r="G5295" t="str">
        <f>IFERROR(__xludf.DUMMYFUNCTION("""COMPUTED_VALUE"""),"")</f>
        <v/>
      </c>
      <c r="H5295" s="2" t="str">
        <f>IFERROR(__xludf.DUMMYFUNCTION("""COMPUTED_VALUE"""),"")</f>
        <v/>
      </c>
      <c r="I5295" s="2" t="str">
        <f>IFERROR(__xludf.DUMMYFUNCTION("""COMPUTED_VALUE"""),"")</f>
        <v/>
      </c>
      <c r="J5295" s="2">
        <f>IFERROR(__xludf.DUMMYFUNCTION("""COMPUTED_VALUE"""),0.0)</f>
        <v>0</v>
      </c>
      <c r="K5295" s="5" t="str">
        <f>IFERROR(__xludf.DUMMYFUNCTION("""COMPUTED_VALUE"""),"")</f>
        <v/>
      </c>
      <c r="L5295" t="str">
        <f>IFERROR(__xludf.DUMMYFUNCTION("""COMPUTED_VALUE"""),"")</f>
        <v/>
      </c>
      <c r="M5295" t="str">
        <f>IFERROR(__xludf.DUMMYFUNCTION("""COMPUTED_VALUE"""),"")</f>
        <v/>
      </c>
      <c r="N5295" t="str">
        <f>IFERROR(__xludf.DUMMYFUNCTION("""COMPUTED_VALUE"""),"")</f>
        <v/>
      </c>
      <c r="O5295" t="str">
        <f>IFERROR(__xludf.DUMMYFUNCTION("""COMPUTED_VALUE"""),"")</f>
        <v/>
      </c>
      <c r="P5295" t="str">
        <f>IFERROR(__xludf.DUMMYFUNCTION("""COMPUTED_VALUE"""),"ID ")</f>
        <v>ID </v>
      </c>
    </row>
    <row r="5296">
      <c r="A5296" s="6" t="str">
        <f>IFERROR(__xludf.DUMMYFUNCTION("""COMPUTED_VALUE"""),"")</f>
        <v/>
      </c>
      <c r="C5296" t="str">
        <f>IFERROR(__xludf.DUMMYFUNCTION("""COMPUTED_VALUE"""),"")</f>
        <v/>
      </c>
      <c r="D5296" t="str">
        <f>IFERROR(__xludf.DUMMYFUNCTION("""COMPUTED_VALUE"""),"")</f>
        <v/>
      </c>
      <c r="E5296" t="str">
        <f>IFERROR(__xludf.DUMMYFUNCTION("""COMPUTED_VALUE"""),"")</f>
        <v/>
      </c>
      <c r="F5296" t="str">
        <f>IFERROR(__xludf.DUMMYFUNCTION("""COMPUTED_VALUE"""),"")</f>
        <v/>
      </c>
      <c r="G5296" t="str">
        <f>IFERROR(__xludf.DUMMYFUNCTION("""COMPUTED_VALUE"""),"")</f>
        <v/>
      </c>
      <c r="H5296" s="2" t="str">
        <f>IFERROR(__xludf.DUMMYFUNCTION("""COMPUTED_VALUE"""),"")</f>
        <v/>
      </c>
      <c r="I5296" s="2" t="str">
        <f>IFERROR(__xludf.DUMMYFUNCTION("""COMPUTED_VALUE"""),"")</f>
        <v/>
      </c>
      <c r="J5296" s="2">
        <f>IFERROR(__xludf.DUMMYFUNCTION("""COMPUTED_VALUE"""),0.0)</f>
        <v>0</v>
      </c>
      <c r="K5296" s="5" t="str">
        <f>IFERROR(__xludf.DUMMYFUNCTION("""COMPUTED_VALUE"""),"")</f>
        <v/>
      </c>
      <c r="L5296" t="str">
        <f>IFERROR(__xludf.DUMMYFUNCTION("""COMPUTED_VALUE"""),"")</f>
        <v/>
      </c>
      <c r="M5296" t="str">
        <f>IFERROR(__xludf.DUMMYFUNCTION("""COMPUTED_VALUE"""),"")</f>
        <v/>
      </c>
      <c r="N5296" t="str">
        <f>IFERROR(__xludf.DUMMYFUNCTION("""COMPUTED_VALUE"""),"")</f>
        <v/>
      </c>
      <c r="O5296" t="str">
        <f>IFERROR(__xludf.DUMMYFUNCTION("""COMPUTED_VALUE"""),"")</f>
        <v/>
      </c>
      <c r="P5296" t="str">
        <f>IFERROR(__xludf.DUMMYFUNCTION("""COMPUTED_VALUE"""),"ID ")</f>
        <v>ID </v>
      </c>
    </row>
    <row r="5297">
      <c r="A5297" s="6" t="str">
        <f>IFERROR(__xludf.DUMMYFUNCTION("""COMPUTED_VALUE"""),"")</f>
        <v/>
      </c>
      <c r="C5297" t="str">
        <f>IFERROR(__xludf.DUMMYFUNCTION("""COMPUTED_VALUE"""),"")</f>
        <v/>
      </c>
      <c r="D5297" t="str">
        <f>IFERROR(__xludf.DUMMYFUNCTION("""COMPUTED_VALUE"""),"")</f>
        <v/>
      </c>
      <c r="E5297" t="str">
        <f>IFERROR(__xludf.DUMMYFUNCTION("""COMPUTED_VALUE"""),"")</f>
        <v/>
      </c>
      <c r="F5297" t="str">
        <f>IFERROR(__xludf.DUMMYFUNCTION("""COMPUTED_VALUE"""),"")</f>
        <v/>
      </c>
      <c r="G5297" t="str">
        <f>IFERROR(__xludf.DUMMYFUNCTION("""COMPUTED_VALUE"""),"")</f>
        <v/>
      </c>
      <c r="H5297" s="2" t="str">
        <f>IFERROR(__xludf.DUMMYFUNCTION("""COMPUTED_VALUE"""),"")</f>
        <v/>
      </c>
      <c r="I5297" s="2" t="str">
        <f>IFERROR(__xludf.DUMMYFUNCTION("""COMPUTED_VALUE"""),"")</f>
        <v/>
      </c>
      <c r="J5297" s="2">
        <f>IFERROR(__xludf.DUMMYFUNCTION("""COMPUTED_VALUE"""),0.0)</f>
        <v>0</v>
      </c>
      <c r="K5297" s="5" t="str">
        <f>IFERROR(__xludf.DUMMYFUNCTION("""COMPUTED_VALUE"""),"")</f>
        <v/>
      </c>
      <c r="L5297" t="str">
        <f>IFERROR(__xludf.DUMMYFUNCTION("""COMPUTED_VALUE"""),"")</f>
        <v/>
      </c>
      <c r="M5297" t="str">
        <f>IFERROR(__xludf.DUMMYFUNCTION("""COMPUTED_VALUE"""),"")</f>
        <v/>
      </c>
      <c r="N5297" t="str">
        <f>IFERROR(__xludf.DUMMYFUNCTION("""COMPUTED_VALUE"""),"")</f>
        <v/>
      </c>
      <c r="O5297" t="str">
        <f>IFERROR(__xludf.DUMMYFUNCTION("""COMPUTED_VALUE"""),"")</f>
        <v/>
      </c>
      <c r="P5297" t="str">
        <f>IFERROR(__xludf.DUMMYFUNCTION("""COMPUTED_VALUE"""),"ID ")</f>
        <v>ID </v>
      </c>
    </row>
    <row r="5298">
      <c r="A5298" s="6" t="str">
        <f>IFERROR(__xludf.DUMMYFUNCTION("""COMPUTED_VALUE"""),"")</f>
        <v/>
      </c>
      <c r="C5298" t="str">
        <f>IFERROR(__xludf.DUMMYFUNCTION("""COMPUTED_VALUE"""),"")</f>
        <v/>
      </c>
      <c r="D5298" t="str">
        <f>IFERROR(__xludf.DUMMYFUNCTION("""COMPUTED_VALUE"""),"")</f>
        <v/>
      </c>
      <c r="E5298" t="str">
        <f>IFERROR(__xludf.DUMMYFUNCTION("""COMPUTED_VALUE"""),"")</f>
        <v/>
      </c>
      <c r="F5298" t="str">
        <f>IFERROR(__xludf.DUMMYFUNCTION("""COMPUTED_VALUE"""),"")</f>
        <v/>
      </c>
      <c r="G5298" t="str">
        <f>IFERROR(__xludf.DUMMYFUNCTION("""COMPUTED_VALUE"""),"")</f>
        <v/>
      </c>
      <c r="H5298" s="2" t="str">
        <f>IFERROR(__xludf.DUMMYFUNCTION("""COMPUTED_VALUE"""),"")</f>
        <v/>
      </c>
      <c r="I5298" s="2" t="str">
        <f>IFERROR(__xludf.DUMMYFUNCTION("""COMPUTED_VALUE"""),"")</f>
        <v/>
      </c>
      <c r="J5298" s="2">
        <f>IFERROR(__xludf.DUMMYFUNCTION("""COMPUTED_VALUE"""),0.0)</f>
        <v>0</v>
      </c>
      <c r="K5298" s="5" t="str">
        <f>IFERROR(__xludf.DUMMYFUNCTION("""COMPUTED_VALUE"""),"")</f>
        <v/>
      </c>
      <c r="L5298" t="str">
        <f>IFERROR(__xludf.DUMMYFUNCTION("""COMPUTED_VALUE"""),"")</f>
        <v/>
      </c>
      <c r="M5298" t="str">
        <f>IFERROR(__xludf.DUMMYFUNCTION("""COMPUTED_VALUE"""),"")</f>
        <v/>
      </c>
      <c r="N5298" t="str">
        <f>IFERROR(__xludf.DUMMYFUNCTION("""COMPUTED_VALUE"""),"")</f>
        <v/>
      </c>
      <c r="O5298" t="str">
        <f>IFERROR(__xludf.DUMMYFUNCTION("""COMPUTED_VALUE"""),"")</f>
        <v/>
      </c>
      <c r="P5298" t="str">
        <f>IFERROR(__xludf.DUMMYFUNCTION("""COMPUTED_VALUE"""),"ID ")</f>
        <v>ID </v>
      </c>
    </row>
    <row r="5299">
      <c r="A5299" s="6" t="str">
        <f>IFERROR(__xludf.DUMMYFUNCTION("""COMPUTED_VALUE"""),"")</f>
        <v/>
      </c>
      <c r="C5299" t="str">
        <f>IFERROR(__xludf.DUMMYFUNCTION("""COMPUTED_VALUE"""),"")</f>
        <v/>
      </c>
      <c r="D5299" t="str">
        <f>IFERROR(__xludf.DUMMYFUNCTION("""COMPUTED_VALUE"""),"")</f>
        <v/>
      </c>
      <c r="E5299" t="str">
        <f>IFERROR(__xludf.DUMMYFUNCTION("""COMPUTED_VALUE"""),"")</f>
        <v/>
      </c>
      <c r="F5299" t="str">
        <f>IFERROR(__xludf.DUMMYFUNCTION("""COMPUTED_VALUE"""),"")</f>
        <v/>
      </c>
      <c r="G5299" t="str">
        <f>IFERROR(__xludf.DUMMYFUNCTION("""COMPUTED_VALUE"""),"")</f>
        <v/>
      </c>
      <c r="H5299" s="2" t="str">
        <f>IFERROR(__xludf.DUMMYFUNCTION("""COMPUTED_VALUE"""),"")</f>
        <v/>
      </c>
      <c r="I5299" s="2" t="str">
        <f>IFERROR(__xludf.DUMMYFUNCTION("""COMPUTED_VALUE"""),"")</f>
        <v/>
      </c>
      <c r="J5299" s="2">
        <f>IFERROR(__xludf.DUMMYFUNCTION("""COMPUTED_VALUE"""),0.0)</f>
        <v>0</v>
      </c>
      <c r="K5299" s="5" t="str">
        <f>IFERROR(__xludf.DUMMYFUNCTION("""COMPUTED_VALUE"""),"")</f>
        <v/>
      </c>
      <c r="L5299" t="str">
        <f>IFERROR(__xludf.DUMMYFUNCTION("""COMPUTED_VALUE"""),"")</f>
        <v/>
      </c>
      <c r="M5299" t="str">
        <f>IFERROR(__xludf.DUMMYFUNCTION("""COMPUTED_VALUE"""),"")</f>
        <v/>
      </c>
      <c r="N5299" t="str">
        <f>IFERROR(__xludf.DUMMYFUNCTION("""COMPUTED_VALUE"""),"")</f>
        <v/>
      </c>
      <c r="O5299" t="str">
        <f>IFERROR(__xludf.DUMMYFUNCTION("""COMPUTED_VALUE"""),"")</f>
        <v/>
      </c>
      <c r="P5299" t="str">
        <f>IFERROR(__xludf.DUMMYFUNCTION("""COMPUTED_VALUE"""),"ID ")</f>
        <v>ID </v>
      </c>
    </row>
    <row r="5300">
      <c r="A5300" s="6" t="str">
        <f>IFERROR(__xludf.DUMMYFUNCTION("""COMPUTED_VALUE"""),"")</f>
        <v/>
      </c>
      <c r="C5300" t="str">
        <f>IFERROR(__xludf.DUMMYFUNCTION("""COMPUTED_VALUE"""),"")</f>
        <v/>
      </c>
      <c r="D5300" t="str">
        <f>IFERROR(__xludf.DUMMYFUNCTION("""COMPUTED_VALUE"""),"")</f>
        <v/>
      </c>
      <c r="E5300" t="str">
        <f>IFERROR(__xludf.DUMMYFUNCTION("""COMPUTED_VALUE"""),"")</f>
        <v/>
      </c>
      <c r="F5300" t="str">
        <f>IFERROR(__xludf.DUMMYFUNCTION("""COMPUTED_VALUE"""),"")</f>
        <v/>
      </c>
      <c r="G5300" t="str">
        <f>IFERROR(__xludf.DUMMYFUNCTION("""COMPUTED_VALUE"""),"")</f>
        <v/>
      </c>
      <c r="H5300" s="2" t="str">
        <f>IFERROR(__xludf.DUMMYFUNCTION("""COMPUTED_VALUE"""),"")</f>
        <v/>
      </c>
      <c r="I5300" s="2" t="str">
        <f>IFERROR(__xludf.DUMMYFUNCTION("""COMPUTED_VALUE"""),"")</f>
        <v/>
      </c>
      <c r="J5300" s="2">
        <f>IFERROR(__xludf.DUMMYFUNCTION("""COMPUTED_VALUE"""),0.0)</f>
        <v>0</v>
      </c>
      <c r="K5300" s="5" t="str">
        <f>IFERROR(__xludf.DUMMYFUNCTION("""COMPUTED_VALUE"""),"")</f>
        <v/>
      </c>
      <c r="L5300" t="str">
        <f>IFERROR(__xludf.DUMMYFUNCTION("""COMPUTED_VALUE"""),"")</f>
        <v/>
      </c>
      <c r="M5300" t="str">
        <f>IFERROR(__xludf.DUMMYFUNCTION("""COMPUTED_VALUE"""),"")</f>
        <v/>
      </c>
      <c r="N5300" t="str">
        <f>IFERROR(__xludf.DUMMYFUNCTION("""COMPUTED_VALUE"""),"")</f>
        <v/>
      </c>
      <c r="O5300" t="str">
        <f>IFERROR(__xludf.DUMMYFUNCTION("""COMPUTED_VALUE"""),"")</f>
        <v/>
      </c>
      <c r="P5300" t="str">
        <f>IFERROR(__xludf.DUMMYFUNCTION("""COMPUTED_VALUE"""),"ID ")</f>
        <v>ID </v>
      </c>
    </row>
    <row r="5301">
      <c r="A5301" s="6" t="str">
        <f>IFERROR(__xludf.DUMMYFUNCTION("""COMPUTED_VALUE"""),"")</f>
        <v/>
      </c>
      <c r="C5301" t="str">
        <f>IFERROR(__xludf.DUMMYFUNCTION("""COMPUTED_VALUE"""),"")</f>
        <v/>
      </c>
      <c r="D5301" t="str">
        <f>IFERROR(__xludf.DUMMYFUNCTION("""COMPUTED_VALUE"""),"")</f>
        <v/>
      </c>
      <c r="E5301" t="str">
        <f>IFERROR(__xludf.DUMMYFUNCTION("""COMPUTED_VALUE"""),"")</f>
        <v/>
      </c>
      <c r="F5301" t="str">
        <f>IFERROR(__xludf.DUMMYFUNCTION("""COMPUTED_VALUE"""),"")</f>
        <v/>
      </c>
      <c r="G5301" t="str">
        <f>IFERROR(__xludf.DUMMYFUNCTION("""COMPUTED_VALUE"""),"")</f>
        <v/>
      </c>
      <c r="H5301" s="2" t="str">
        <f>IFERROR(__xludf.DUMMYFUNCTION("""COMPUTED_VALUE"""),"")</f>
        <v/>
      </c>
      <c r="I5301" s="2" t="str">
        <f>IFERROR(__xludf.DUMMYFUNCTION("""COMPUTED_VALUE"""),"")</f>
        <v/>
      </c>
      <c r="J5301" s="2">
        <f>IFERROR(__xludf.DUMMYFUNCTION("""COMPUTED_VALUE"""),0.0)</f>
        <v>0</v>
      </c>
      <c r="K5301" s="5" t="str">
        <f>IFERROR(__xludf.DUMMYFUNCTION("""COMPUTED_VALUE"""),"")</f>
        <v/>
      </c>
      <c r="L5301" t="str">
        <f>IFERROR(__xludf.DUMMYFUNCTION("""COMPUTED_VALUE"""),"")</f>
        <v/>
      </c>
      <c r="M5301" t="str">
        <f>IFERROR(__xludf.DUMMYFUNCTION("""COMPUTED_VALUE"""),"")</f>
        <v/>
      </c>
      <c r="N5301" t="str">
        <f>IFERROR(__xludf.DUMMYFUNCTION("""COMPUTED_VALUE"""),"")</f>
        <v/>
      </c>
      <c r="O5301" t="str">
        <f>IFERROR(__xludf.DUMMYFUNCTION("""COMPUTED_VALUE"""),"")</f>
        <v/>
      </c>
      <c r="P5301" t="str">
        <f>IFERROR(__xludf.DUMMYFUNCTION("""COMPUTED_VALUE"""),"ID ")</f>
        <v>ID </v>
      </c>
    </row>
    <row r="5302">
      <c r="A5302" s="6" t="str">
        <f>IFERROR(__xludf.DUMMYFUNCTION("""COMPUTED_VALUE"""),"")</f>
        <v/>
      </c>
      <c r="C5302" t="str">
        <f>IFERROR(__xludf.DUMMYFUNCTION("""COMPUTED_VALUE"""),"")</f>
        <v/>
      </c>
      <c r="D5302" t="str">
        <f>IFERROR(__xludf.DUMMYFUNCTION("""COMPUTED_VALUE"""),"")</f>
        <v/>
      </c>
      <c r="E5302" t="str">
        <f>IFERROR(__xludf.DUMMYFUNCTION("""COMPUTED_VALUE"""),"")</f>
        <v/>
      </c>
      <c r="F5302" t="str">
        <f>IFERROR(__xludf.DUMMYFUNCTION("""COMPUTED_VALUE"""),"")</f>
        <v/>
      </c>
      <c r="G5302" t="str">
        <f>IFERROR(__xludf.DUMMYFUNCTION("""COMPUTED_VALUE"""),"")</f>
        <v/>
      </c>
      <c r="H5302" s="2" t="str">
        <f>IFERROR(__xludf.DUMMYFUNCTION("""COMPUTED_VALUE"""),"")</f>
        <v/>
      </c>
      <c r="I5302" s="2" t="str">
        <f>IFERROR(__xludf.DUMMYFUNCTION("""COMPUTED_VALUE"""),"")</f>
        <v/>
      </c>
      <c r="J5302" s="2">
        <f>IFERROR(__xludf.DUMMYFUNCTION("""COMPUTED_VALUE"""),0.0)</f>
        <v>0</v>
      </c>
      <c r="K5302" s="5" t="str">
        <f>IFERROR(__xludf.DUMMYFUNCTION("""COMPUTED_VALUE"""),"")</f>
        <v/>
      </c>
      <c r="L5302" t="str">
        <f>IFERROR(__xludf.DUMMYFUNCTION("""COMPUTED_VALUE"""),"")</f>
        <v/>
      </c>
      <c r="M5302" t="str">
        <f>IFERROR(__xludf.DUMMYFUNCTION("""COMPUTED_VALUE"""),"")</f>
        <v/>
      </c>
      <c r="N5302" t="str">
        <f>IFERROR(__xludf.DUMMYFUNCTION("""COMPUTED_VALUE"""),"")</f>
        <v/>
      </c>
      <c r="O5302" t="str">
        <f>IFERROR(__xludf.DUMMYFUNCTION("""COMPUTED_VALUE"""),"")</f>
        <v/>
      </c>
      <c r="P5302" t="str">
        <f>IFERROR(__xludf.DUMMYFUNCTION("""COMPUTED_VALUE"""),"ID ")</f>
        <v>ID </v>
      </c>
    </row>
    <row r="5303">
      <c r="A5303" s="6" t="str">
        <f>IFERROR(__xludf.DUMMYFUNCTION("""COMPUTED_VALUE"""),"")</f>
        <v/>
      </c>
      <c r="C5303" t="str">
        <f>IFERROR(__xludf.DUMMYFUNCTION("""COMPUTED_VALUE"""),"")</f>
        <v/>
      </c>
      <c r="D5303" t="str">
        <f>IFERROR(__xludf.DUMMYFUNCTION("""COMPUTED_VALUE"""),"")</f>
        <v/>
      </c>
      <c r="E5303" t="str">
        <f>IFERROR(__xludf.DUMMYFUNCTION("""COMPUTED_VALUE"""),"")</f>
        <v/>
      </c>
      <c r="F5303" t="str">
        <f>IFERROR(__xludf.DUMMYFUNCTION("""COMPUTED_VALUE"""),"")</f>
        <v/>
      </c>
      <c r="G5303" t="str">
        <f>IFERROR(__xludf.DUMMYFUNCTION("""COMPUTED_VALUE"""),"")</f>
        <v/>
      </c>
      <c r="H5303" s="2" t="str">
        <f>IFERROR(__xludf.DUMMYFUNCTION("""COMPUTED_VALUE"""),"")</f>
        <v/>
      </c>
      <c r="I5303" s="2" t="str">
        <f>IFERROR(__xludf.DUMMYFUNCTION("""COMPUTED_VALUE"""),"")</f>
        <v/>
      </c>
      <c r="J5303" s="2">
        <f>IFERROR(__xludf.DUMMYFUNCTION("""COMPUTED_VALUE"""),0.0)</f>
        <v>0</v>
      </c>
      <c r="K5303" s="5" t="str">
        <f>IFERROR(__xludf.DUMMYFUNCTION("""COMPUTED_VALUE"""),"")</f>
        <v/>
      </c>
      <c r="L5303" t="str">
        <f>IFERROR(__xludf.DUMMYFUNCTION("""COMPUTED_VALUE"""),"")</f>
        <v/>
      </c>
      <c r="M5303" t="str">
        <f>IFERROR(__xludf.DUMMYFUNCTION("""COMPUTED_VALUE"""),"")</f>
        <v/>
      </c>
      <c r="N5303" t="str">
        <f>IFERROR(__xludf.DUMMYFUNCTION("""COMPUTED_VALUE"""),"")</f>
        <v/>
      </c>
      <c r="O5303" t="str">
        <f>IFERROR(__xludf.DUMMYFUNCTION("""COMPUTED_VALUE"""),"")</f>
        <v/>
      </c>
      <c r="P5303" t="str">
        <f>IFERROR(__xludf.DUMMYFUNCTION("""COMPUTED_VALUE"""),"ID ")</f>
        <v>ID </v>
      </c>
    </row>
    <row r="5304">
      <c r="A5304" s="6" t="str">
        <f>IFERROR(__xludf.DUMMYFUNCTION("""COMPUTED_VALUE"""),"")</f>
        <v/>
      </c>
      <c r="C5304" t="str">
        <f>IFERROR(__xludf.DUMMYFUNCTION("""COMPUTED_VALUE"""),"")</f>
        <v/>
      </c>
      <c r="D5304" t="str">
        <f>IFERROR(__xludf.DUMMYFUNCTION("""COMPUTED_VALUE"""),"")</f>
        <v/>
      </c>
      <c r="E5304" t="str">
        <f>IFERROR(__xludf.DUMMYFUNCTION("""COMPUTED_VALUE"""),"")</f>
        <v/>
      </c>
      <c r="F5304" t="str">
        <f>IFERROR(__xludf.DUMMYFUNCTION("""COMPUTED_VALUE"""),"")</f>
        <v/>
      </c>
      <c r="G5304" t="str">
        <f>IFERROR(__xludf.DUMMYFUNCTION("""COMPUTED_VALUE"""),"")</f>
        <v/>
      </c>
      <c r="H5304" s="2" t="str">
        <f>IFERROR(__xludf.DUMMYFUNCTION("""COMPUTED_VALUE"""),"")</f>
        <v/>
      </c>
      <c r="I5304" s="2" t="str">
        <f>IFERROR(__xludf.DUMMYFUNCTION("""COMPUTED_VALUE"""),"")</f>
        <v/>
      </c>
      <c r="J5304" s="2">
        <f>IFERROR(__xludf.DUMMYFUNCTION("""COMPUTED_VALUE"""),0.0)</f>
        <v>0</v>
      </c>
      <c r="K5304" s="5" t="str">
        <f>IFERROR(__xludf.DUMMYFUNCTION("""COMPUTED_VALUE"""),"")</f>
        <v/>
      </c>
      <c r="L5304" t="str">
        <f>IFERROR(__xludf.DUMMYFUNCTION("""COMPUTED_VALUE"""),"")</f>
        <v/>
      </c>
      <c r="M5304" t="str">
        <f>IFERROR(__xludf.DUMMYFUNCTION("""COMPUTED_VALUE"""),"")</f>
        <v/>
      </c>
      <c r="N5304" t="str">
        <f>IFERROR(__xludf.DUMMYFUNCTION("""COMPUTED_VALUE"""),"")</f>
        <v/>
      </c>
      <c r="O5304" t="str">
        <f>IFERROR(__xludf.DUMMYFUNCTION("""COMPUTED_VALUE"""),"")</f>
        <v/>
      </c>
      <c r="P5304" t="str">
        <f>IFERROR(__xludf.DUMMYFUNCTION("""COMPUTED_VALUE"""),"ID ")</f>
        <v>ID </v>
      </c>
    </row>
    <row r="5305">
      <c r="A5305" s="6" t="str">
        <f>IFERROR(__xludf.DUMMYFUNCTION("""COMPUTED_VALUE"""),"")</f>
        <v/>
      </c>
      <c r="C5305" t="str">
        <f>IFERROR(__xludf.DUMMYFUNCTION("""COMPUTED_VALUE"""),"")</f>
        <v/>
      </c>
      <c r="D5305" t="str">
        <f>IFERROR(__xludf.DUMMYFUNCTION("""COMPUTED_VALUE"""),"")</f>
        <v/>
      </c>
      <c r="E5305" t="str">
        <f>IFERROR(__xludf.DUMMYFUNCTION("""COMPUTED_VALUE"""),"")</f>
        <v/>
      </c>
      <c r="F5305" t="str">
        <f>IFERROR(__xludf.DUMMYFUNCTION("""COMPUTED_VALUE"""),"")</f>
        <v/>
      </c>
      <c r="G5305" t="str">
        <f>IFERROR(__xludf.DUMMYFUNCTION("""COMPUTED_VALUE"""),"")</f>
        <v/>
      </c>
      <c r="H5305" s="2" t="str">
        <f>IFERROR(__xludf.DUMMYFUNCTION("""COMPUTED_VALUE"""),"")</f>
        <v/>
      </c>
      <c r="I5305" s="2" t="str">
        <f>IFERROR(__xludf.DUMMYFUNCTION("""COMPUTED_VALUE"""),"")</f>
        <v/>
      </c>
      <c r="J5305" s="2">
        <f>IFERROR(__xludf.DUMMYFUNCTION("""COMPUTED_VALUE"""),0.0)</f>
        <v>0</v>
      </c>
      <c r="K5305" s="5" t="str">
        <f>IFERROR(__xludf.DUMMYFUNCTION("""COMPUTED_VALUE"""),"")</f>
        <v/>
      </c>
      <c r="L5305" t="str">
        <f>IFERROR(__xludf.DUMMYFUNCTION("""COMPUTED_VALUE"""),"")</f>
        <v/>
      </c>
      <c r="M5305" t="str">
        <f>IFERROR(__xludf.DUMMYFUNCTION("""COMPUTED_VALUE"""),"")</f>
        <v/>
      </c>
      <c r="N5305" t="str">
        <f>IFERROR(__xludf.DUMMYFUNCTION("""COMPUTED_VALUE"""),"")</f>
        <v/>
      </c>
      <c r="O5305" t="str">
        <f>IFERROR(__xludf.DUMMYFUNCTION("""COMPUTED_VALUE"""),"")</f>
        <v/>
      </c>
      <c r="P5305" t="str">
        <f>IFERROR(__xludf.DUMMYFUNCTION("""COMPUTED_VALUE"""),"ID ")</f>
        <v>ID </v>
      </c>
    </row>
    <row r="5306">
      <c r="A5306" s="6" t="str">
        <f>IFERROR(__xludf.DUMMYFUNCTION("""COMPUTED_VALUE"""),"")</f>
        <v/>
      </c>
      <c r="C5306" t="str">
        <f>IFERROR(__xludf.DUMMYFUNCTION("""COMPUTED_VALUE"""),"")</f>
        <v/>
      </c>
      <c r="D5306" t="str">
        <f>IFERROR(__xludf.DUMMYFUNCTION("""COMPUTED_VALUE"""),"")</f>
        <v/>
      </c>
      <c r="E5306" t="str">
        <f>IFERROR(__xludf.DUMMYFUNCTION("""COMPUTED_VALUE"""),"")</f>
        <v/>
      </c>
      <c r="F5306" t="str">
        <f>IFERROR(__xludf.DUMMYFUNCTION("""COMPUTED_VALUE"""),"")</f>
        <v/>
      </c>
      <c r="G5306" t="str">
        <f>IFERROR(__xludf.DUMMYFUNCTION("""COMPUTED_VALUE"""),"")</f>
        <v/>
      </c>
      <c r="H5306" s="2" t="str">
        <f>IFERROR(__xludf.DUMMYFUNCTION("""COMPUTED_VALUE"""),"")</f>
        <v/>
      </c>
      <c r="I5306" s="2" t="str">
        <f>IFERROR(__xludf.DUMMYFUNCTION("""COMPUTED_VALUE"""),"")</f>
        <v/>
      </c>
      <c r="J5306" s="2">
        <f>IFERROR(__xludf.DUMMYFUNCTION("""COMPUTED_VALUE"""),0.0)</f>
        <v>0</v>
      </c>
      <c r="K5306" s="5" t="str">
        <f>IFERROR(__xludf.DUMMYFUNCTION("""COMPUTED_VALUE"""),"")</f>
        <v/>
      </c>
      <c r="L5306" t="str">
        <f>IFERROR(__xludf.DUMMYFUNCTION("""COMPUTED_VALUE"""),"")</f>
        <v/>
      </c>
      <c r="M5306" t="str">
        <f>IFERROR(__xludf.DUMMYFUNCTION("""COMPUTED_VALUE"""),"")</f>
        <v/>
      </c>
      <c r="N5306" t="str">
        <f>IFERROR(__xludf.DUMMYFUNCTION("""COMPUTED_VALUE"""),"")</f>
        <v/>
      </c>
      <c r="O5306" t="str">
        <f>IFERROR(__xludf.DUMMYFUNCTION("""COMPUTED_VALUE"""),"")</f>
        <v/>
      </c>
      <c r="P5306" t="str">
        <f>IFERROR(__xludf.DUMMYFUNCTION("""COMPUTED_VALUE"""),"ID ")</f>
        <v>ID </v>
      </c>
    </row>
    <row r="5307">
      <c r="A5307" s="6" t="str">
        <f>IFERROR(__xludf.DUMMYFUNCTION("""COMPUTED_VALUE"""),"")</f>
        <v/>
      </c>
      <c r="C5307" t="str">
        <f>IFERROR(__xludf.DUMMYFUNCTION("""COMPUTED_VALUE"""),"")</f>
        <v/>
      </c>
      <c r="D5307" t="str">
        <f>IFERROR(__xludf.DUMMYFUNCTION("""COMPUTED_VALUE"""),"")</f>
        <v/>
      </c>
      <c r="E5307" t="str">
        <f>IFERROR(__xludf.DUMMYFUNCTION("""COMPUTED_VALUE"""),"")</f>
        <v/>
      </c>
      <c r="F5307" t="str">
        <f>IFERROR(__xludf.DUMMYFUNCTION("""COMPUTED_VALUE"""),"")</f>
        <v/>
      </c>
      <c r="G5307" t="str">
        <f>IFERROR(__xludf.DUMMYFUNCTION("""COMPUTED_VALUE"""),"")</f>
        <v/>
      </c>
      <c r="H5307" s="2" t="str">
        <f>IFERROR(__xludf.DUMMYFUNCTION("""COMPUTED_VALUE"""),"")</f>
        <v/>
      </c>
      <c r="I5307" s="2" t="str">
        <f>IFERROR(__xludf.DUMMYFUNCTION("""COMPUTED_VALUE"""),"")</f>
        <v/>
      </c>
      <c r="J5307" s="2">
        <f>IFERROR(__xludf.DUMMYFUNCTION("""COMPUTED_VALUE"""),0.0)</f>
        <v>0</v>
      </c>
      <c r="K5307" s="5" t="str">
        <f>IFERROR(__xludf.DUMMYFUNCTION("""COMPUTED_VALUE"""),"")</f>
        <v/>
      </c>
      <c r="L5307" t="str">
        <f>IFERROR(__xludf.DUMMYFUNCTION("""COMPUTED_VALUE"""),"")</f>
        <v/>
      </c>
      <c r="M5307" t="str">
        <f>IFERROR(__xludf.DUMMYFUNCTION("""COMPUTED_VALUE"""),"")</f>
        <v/>
      </c>
      <c r="N5307" t="str">
        <f>IFERROR(__xludf.DUMMYFUNCTION("""COMPUTED_VALUE"""),"")</f>
        <v/>
      </c>
      <c r="O5307" t="str">
        <f>IFERROR(__xludf.DUMMYFUNCTION("""COMPUTED_VALUE"""),"")</f>
        <v/>
      </c>
      <c r="P5307" t="str">
        <f>IFERROR(__xludf.DUMMYFUNCTION("""COMPUTED_VALUE"""),"ID ")</f>
        <v>ID </v>
      </c>
    </row>
    <row r="5308">
      <c r="A5308" s="6" t="str">
        <f>IFERROR(__xludf.DUMMYFUNCTION("""COMPUTED_VALUE"""),"")</f>
        <v/>
      </c>
      <c r="C5308" t="str">
        <f>IFERROR(__xludf.DUMMYFUNCTION("""COMPUTED_VALUE"""),"")</f>
        <v/>
      </c>
      <c r="D5308" t="str">
        <f>IFERROR(__xludf.DUMMYFUNCTION("""COMPUTED_VALUE"""),"")</f>
        <v/>
      </c>
      <c r="E5308" t="str">
        <f>IFERROR(__xludf.DUMMYFUNCTION("""COMPUTED_VALUE"""),"")</f>
        <v/>
      </c>
      <c r="F5308" t="str">
        <f>IFERROR(__xludf.DUMMYFUNCTION("""COMPUTED_VALUE"""),"")</f>
        <v/>
      </c>
      <c r="G5308" t="str">
        <f>IFERROR(__xludf.DUMMYFUNCTION("""COMPUTED_VALUE"""),"")</f>
        <v/>
      </c>
      <c r="H5308" s="2" t="str">
        <f>IFERROR(__xludf.DUMMYFUNCTION("""COMPUTED_VALUE"""),"")</f>
        <v/>
      </c>
      <c r="I5308" s="2" t="str">
        <f>IFERROR(__xludf.DUMMYFUNCTION("""COMPUTED_VALUE"""),"")</f>
        <v/>
      </c>
      <c r="J5308" s="2">
        <f>IFERROR(__xludf.DUMMYFUNCTION("""COMPUTED_VALUE"""),0.0)</f>
        <v>0</v>
      </c>
      <c r="K5308" s="5" t="str">
        <f>IFERROR(__xludf.DUMMYFUNCTION("""COMPUTED_VALUE"""),"")</f>
        <v/>
      </c>
      <c r="L5308" t="str">
        <f>IFERROR(__xludf.DUMMYFUNCTION("""COMPUTED_VALUE"""),"")</f>
        <v/>
      </c>
      <c r="M5308" t="str">
        <f>IFERROR(__xludf.DUMMYFUNCTION("""COMPUTED_VALUE"""),"")</f>
        <v/>
      </c>
      <c r="N5308" t="str">
        <f>IFERROR(__xludf.DUMMYFUNCTION("""COMPUTED_VALUE"""),"")</f>
        <v/>
      </c>
      <c r="O5308" t="str">
        <f>IFERROR(__xludf.DUMMYFUNCTION("""COMPUTED_VALUE"""),"")</f>
        <v/>
      </c>
      <c r="P5308" t="str">
        <f>IFERROR(__xludf.DUMMYFUNCTION("""COMPUTED_VALUE"""),"ID ")</f>
        <v>ID </v>
      </c>
    </row>
    <row r="5309">
      <c r="A5309" s="6" t="str">
        <f>IFERROR(__xludf.DUMMYFUNCTION("""COMPUTED_VALUE"""),"")</f>
        <v/>
      </c>
      <c r="C5309" t="str">
        <f>IFERROR(__xludf.DUMMYFUNCTION("""COMPUTED_VALUE"""),"")</f>
        <v/>
      </c>
      <c r="D5309" t="str">
        <f>IFERROR(__xludf.DUMMYFUNCTION("""COMPUTED_VALUE"""),"")</f>
        <v/>
      </c>
      <c r="E5309" t="str">
        <f>IFERROR(__xludf.DUMMYFUNCTION("""COMPUTED_VALUE"""),"")</f>
        <v/>
      </c>
      <c r="F5309" t="str">
        <f>IFERROR(__xludf.DUMMYFUNCTION("""COMPUTED_VALUE"""),"")</f>
        <v/>
      </c>
      <c r="G5309" t="str">
        <f>IFERROR(__xludf.DUMMYFUNCTION("""COMPUTED_VALUE"""),"")</f>
        <v/>
      </c>
      <c r="H5309" s="2" t="str">
        <f>IFERROR(__xludf.DUMMYFUNCTION("""COMPUTED_VALUE"""),"")</f>
        <v/>
      </c>
      <c r="I5309" s="2" t="str">
        <f>IFERROR(__xludf.DUMMYFUNCTION("""COMPUTED_VALUE"""),"")</f>
        <v/>
      </c>
      <c r="J5309" s="2">
        <f>IFERROR(__xludf.DUMMYFUNCTION("""COMPUTED_VALUE"""),0.0)</f>
        <v>0</v>
      </c>
      <c r="K5309" s="5" t="str">
        <f>IFERROR(__xludf.DUMMYFUNCTION("""COMPUTED_VALUE"""),"")</f>
        <v/>
      </c>
      <c r="L5309" t="str">
        <f>IFERROR(__xludf.DUMMYFUNCTION("""COMPUTED_VALUE"""),"")</f>
        <v/>
      </c>
      <c r="M5309" t="str">
        <f>IFERROR(__xludf.DUMMYFUNCTION("""COMPUTED_VALUE"""),"")</f>
        <v/>
      </c>
      <c r="N5309" t="str">
        <f>IFERROR(__xludf.DUMMYFUNCTION("""COMPUTED_VALUE"""),"")</f>
        <v/>
      </c>
      <c r="O5309" t="str">
        <f>IFERROR(__xludf.DUMMYFUNCTION("""COMPUTED_VALUE"""),"")</f>
        <v/>
      </c>
      <c r="P5309" t="str">
        <f>IFERROR(__xludf.DUMMYFUNCTION("""COMPUTED_VALUE"""),"ID ")</f>
        <v>ID </v>
      </c>
    </row>
    <row r="5310">
      <c r="A5310" s="6" t="str">
        <f>IFERROR(__xludf.DUMMYFUNCTION("""COMPUTED_VALUE"""),"")</f>
        <v/>
      </c>
      <c r="C5310" t="str">
        <f>IFERROR(__xludf.DUMMYFUNCTION("""COMPUTED_VALUE"""),"")</f>
        <v/>
      </c>
      <c r="D5310" t="str">
        <f>IFERROR(__xludf.DUMMYFUNCTION("""COMPUTED_VALUE"""),"")</f>
        <v/>
      </c>
      <c r="E5310" t="str">
        <f>IFERROR(__xludf.DUMMYFUNCTION("""COMPUTED_VALUE"""),"")</f>
        <v/>
      </c>
      <c r="F5310" t="str">
        <f>IFERROR(__xludf.DUMMYFUNCTION("""COMPUTED_VALUE"""),"")</f>
        <v/>
      </c>
      <c r="G5310" t="str">
        <f>IFERROR(__xludf.DUMMYFUNCTION("""COMPUTED_VALUE"""),"")</f>
        <v/>
      </c>
      <c r="H5310" s="2" t="str">
        <f>IFERROR(__xludf.DUMMYFUNCTION("""COMPUTED_VALUE"""),"")</f>
        <v/>
      </c>
      <c r="I5310" s="2" t="str">
        <f>IFERROR(__xludf.DUMMYFUNCTION("""COMPUTED_VALUE"""),"")</f>
        <v/>
      </c>
      <c r="J5310" s="2">
        <f>IFERROR(__xludf.DUMMYFUNCTION("""COMPUTED_VALUE"""),0.0)</f>
        <v>0</v>
      </c>
      <c r="K5310" s="5" t="str">
        <f>IFERROR(__xludf.DUMMYFUNCTION("""COMPUTED_VALUE"""),"")</f>
        <v/>
      </c>
      <c r="L5310" t="str">
        <f>IFERROR(__xludf.DUMMYFUNCTION("""COMPUTED_VALUE"""),"")</f>
        <v/>
      </c>
      <c r="M5310" t="str">
        <f>IFERROR(__xludf.DUMMYFUNCTION("""COMPUTED_VALUE"""),"")</f>
        <v/>
      </c>
      <c r="N5310" t="str">
        <f>IFERROR(__xludf.DUMMYFUNCTION("""COMPUTED_VALUE"""),"")</f>
        <v/>
      </c>
      <c r="O5310" t="str">
        <f>IFERROR(__xludf.DUMMYFUNCTION("""COMPUTED_VALUE"""),"")</f>
        <v/>
      </c>
      <c r="P5310" t="str">
        <f>IFERROR(__xludf.DUMMYFUNCTION("""COMPUTED_VALUE"""),"ID ")</f>
        <v>ID </v>
      </c>
    </row>
    <row r="5311">
      <c r="A5311" s="6" t="str">
        <f>IFERROR(__xludf.DUMMYFUNCTION("""COMPUTED_VALUE"""),"")</f>
        <v/>
      </c>
      <c r="C5311" t="str">
        <f>IFERROR(__xludf.DUMMYFUNCTION("""COMPUTED_VALUE"""),"")</f>
        <v/>
      </c>
      <c r="D5311" t="str">
        <f>IFERROR(__xludf.DUMMYFUNCTION("""COMPUTED_VALUE"""),"")</f>
        <v/>
      </c>
      <c r="E5311" t="str">
        <f>IFERROR(__xludf.DUMMYFUNCTION("""COMPUTED_VALUE"""),"")</f>
        <v/>
      </c>
      <c r="F5311" t="str">
        <f>IFERROR(__xludf.DUMMYFUNCTION("""COMPUTED_VALUE"""),"")</f>
        <v/>
      </c>
      <c r="G5311" t="str">
        <f>IFERROR(__xludf.DUMMYFUNCTION("""COMPUTED_VALUE"""),"")</f>
        <v/>
      </c>
      <c r="H5311" s="2" t="str">
        <f>IFERROR(__xludf.DUMMYFUNCTION("""COMPUTED_VALUE"""),"")</f>
        <v/>
      </c>
      <c r="I5311" s="2" t="str">
        <f>IFERROR(__xludf.DUMMYFUNCTION("""COMPUTED_VALUE"""),"")</f>
        <v/>
      </c>
      <c r="J5311" s="2">
        <f>IFERROR(__xludf.DUMMYFUNCTION("""COMPUTED_VALUE"""),0.0)</f>
        <v>0</v>
      </c>
      <c r="K5311" s="5" t="str">
        <f>IFERROR(__xludf.DUMMYFUNCTION("""COMPUTED_VALUE"""),"")</f>
        <v/>
      </c>
      <c r="L5311" t="str">
        <f>IFERROR(__xludf.DUMMYFUNCTION("""COMPUTED_VALUE"""),"")</f>
        <v/>
      </c>
      <c r="M5311" t="str">
        <f>IFERROR(__xludf.DUMMYFUNCTION("""COMPUTED_VALUE"""),"")</f>
        <v/>
      </c>
      <c r="N5311" t="str">
        <f>IFERROR(__xludf.DUMMYFUNCTION("""COMPUTED_VALUE"""),"")</f>
        <v/>
      </c>
      <c r="O5311" t="str">
        <f>IFERROR(__xludf.DUMMYFUNCTION("""COMPUTED_VALUE"""),"")</f>
        <v/>
      </c>
      <c r="P5311" t="str">
        <f>IFERROR(__xludf.DUMMYFUNCTION("""COMPUTED_VALUE"""),"ID ")</f>
        <v>ID </v>
      </c>
    </row>
    <row r="5312">
      <c r="A5312" s="6" t="str">
        <f>IFERROR(__xludf.DUMMYFUNCTION("""COMPUTED_VALUE"""),"")</f>
        <v/>
      </c>
      <c r="C5312" t="str">
        <f>IFERROR(__xludf.DUMMYFUNCTION("""COMPUTED_VALUE"""),"")</f>
        <v/>
      </c>
      <c r="D5312" t="str">
        <f>IFERROR(__xludf.DUMMYFUNCTION("""COMPUTED_VALUE"""),"")</f>
        <v/>
      </c>
      <c r="E5312" t="str">
        <f>IFERROR(__xludf.DUMMYFUNCTION("""COMPUTED_VALUE"""),"")</f>
        <v/>
      </c>
      <c r="F5312" t="str">
        <f>IFERROR(__xludf.DUMMYFUNCTION("""COMPUTED_VALUE"""),"")</f>
        <v/>
      </c>
      <c r="G5312" t="str">
        <f>IFERROR(__xludf.DUMMYFUNCTION("""COMPUTED_VALUE"""),"")</f>
        <v/>
      </c>
      <c r="H5312" s="2" t="str">
        <f>IFERROR(__xludf.DUMMYFUNCTION("""COMPUTED_VALUE"""),"")</f>
        <v/>
      </c>
      <c r="I5312" s="2" t="str">
        <f>IFERROR(__xludf.DUMMYFUNCTION("""COMPUTED_VALUE"""),"")</f>
        <v/>
      </c>
      <c r="J5312" s="2">
        <f>IFERROR(__xludf.DUMMYFUNCTION("""COMPUTED_VALUE"""),0.0)</f>
        <v>0</v>
      </c>
      <c r="K5312" s="5" t="str">
        <f>IFERROR(__xludf.DUMMYFUNCTION("""COMPUTED_VALUE"""),"")</f>
        <v/>
      </c>
      <c r="L5312" t="str">
        <f>IFERROR(__xludf.DUMMYFUNCTION("""COMPUTED_VALUE"""),"")</f>
        <v/>
      </c>
      <c r="M5312" t="str">
        <f>IFERROR(__xludf.DUMMYFUNCTION("""COMPUTED_VALUE"""),"")</f>
        <v/>
      </c>
      <c r="N5312" t="str">
        <f>IFERROR(__xludf.DUMMYFUNCTION("""COMPUTED_VALUE"""),"")</f>
        <v/>
      </c>
      <c r="O5312" t="str">
        <f>IFERROR(__xludf.DUMMYFUNCTION("""COMPUTED_VALUE"""),"")</f>
        <v/>
      </c>
      <c r="P5312" t="str">
        <f>IFERROR(__xludf.DUMMYFUNCTION("""COMPUTED_VALUE"""),"ID ")</f>
        <v>ID </v>
      </c>
    </row>
    <row r="5313">
      <c r="A5313" s="6" t="str">
        <f>IFERROR(__xludf.DUMMYFUNCTION("""COMPUTED_VALUE"""),"")</f>
        <v/>
      </c>
      <c r="C5313" t="str">
        <f>IFERROR(__xludf.DUMMYFUNCTION("""COMPUTED_VALUE"""),"")</f>
        <v/>
      </c>
      <c r="D5313" t="str">
        <f>IFERROR(__xludf.DUMMYFUNCTION("""COMPUTED_VALUE"""),"")</f>
        <v/>
      </c>
      <c r="E5313" t="str">
        <f>IFERROR(__xludf.DUMMYFUNCTION("""COMPUTED_VALUE"""),"")</f>
        <v/>
      </c>
      <c r="F5313" t="str">
        <f>IFERROR(__xludf.DUMMYFUNCTION("""COMPUTED_VALUE"""),"")</f>
        <v/>
      </c>
      <c r="G5313" t="str">
        <f>IFERROR(__xludf.DUMMYFUNCTION("""COMPUTED_VALUE"""),"")</f>
        <v/>
      </c>
      <c r="H5313" s="2" t="str">
        <f>IFERROR(__xludf.DUMMYFUNCTION("""COMPUTED_VALUE"""),"")</f>
        <v/>
      </c>
      <c r="I5313" s="2" t="str">
        <f>IFERROR(__xludf.DUMMYFUNCTION("""COMPUTED_VALUE"""),"")</f>
        <v/>
      </c>
      <c r="J5313" s="2">
        <f>IFERROR(__xludf.DUMMYFUNCTION("""COMPUTED_VALUE"""),0.0)</f>
        <v>0</v>
      </c>
      <c r="K5313" s="5" t="str">
        <f>IFERROR(__xludf.DUMMYFUNCTION("""COMPUTED_VALUE"""),"")</f>
        <v/>
      </c>
      <c r="L5313" t="str">
        <f>IFERROR(__xludf.DUMMYFUNCTION("""COMPUTED_VALUE"""),"")</f>
        <v/>
      </c>
      <c r="M5313" t="str">
        <f>IFERROR(__xludf.DUMMYFUNCTION("""COMPUTED_VALUE"""),"")</f>
        <v/>
      </c>
      <c r="N5313" t="str">
        <f>IFERROR(__xludf.DUMMYFUNCTION("""COMPUTED_VALUE"""),"")</f>
        <v/>
      </c>
      <c r="O5313" t="str">
        <f>IFERROR(__xludf.DUMMYFUNCTION("""COMPUTED_VALUE"""),"")</f>
        <v/>
      </c>
      <c r="P5313" t="str">
        <f>IFERROR(__xludf.DUMMYFUNCTION("""COMPUTED_VALUE"""),"ID ")</f>
        <v>ID </v>
      </c>
    </row>
    <row r="5314">
      <c r="A5314" s="6" t="str">
        <f>IFERROR(__xludf.DUMMYFUNCTION("""COMPUTED_VALUE"""),"")</f>
        <v/>
      </c>
      <c r="C5314" t="str">
        <f>IFERROR(__xludf.DUMMYFUNCTION("""COMPUTED_VALUE"""),"")</f>
        <v/>
      </c>
      <c r="D5314" t="str">
        <f>IFERROR(__xludf.DUMMYFUNCTION("""COMPUTED_VALUE"""),"")</f>
        <v/>
      </c>
      <c r="E5314" t="str">
        <f>IFERROR(__xludf.DUMMYFUNCTION("""COMPUTED_VALUE"""),"")</f>
        <v/>
      </c>
      <c r="F5314" t="str">
        <f>IFERROR(__xludf.DUMMYFUNCTION("""COMPUTED_VALUE"""),"")</f>
        <v/>
      </c>
      <c r="G5314" t="str">
        <f>IFERROR(__xludf.DUMMYFUNCTION("""COMPUTED_VALUE"""),"")</f>
        <v/>
      </c>
      <c r="H5314" s="2" t="str">
        <f>IFERROR(__xludf.DUMMYFUNCTION("""COMPUTED_VALUE"""),"")</f>
        <v/>
      </c>
      <c r="I5314" s="2" t="str">
        <f>IFERROR(__xludf.DUMMYFUNCTION("""COMPUTED_VALUE"""),"")</f>
        <v/>
      </c>
      <c r="J5314" s="2">
        <f>IFERROR(__xludf.DUMMYFUNCTION("""COMPUTED_VALUE"""),0.0)</f>
        <v>0</v>
      </c>
      <c r="K5314" s="5" t="str">
        <f>IFERROR(__xludf.DUMMYFUNCTION("""COMPUTED_VALUE"""),"")</f>
        <v/>
      </c>
      <c r="L5314" t="str">
        <f>IFERROR(__xludf.DUMMYFUNCTION("""COMPUTED_VALUE"""),"")</f>
        <v/>
      </c>
      <c r="M5314" t="str">
        <f>IFERROR(__xludf.DUMMYFUNCTION("""COMPUTED_VALUE"""),"")</f>
        <v/>
      </c>
      <c r="N5314" t="str">
        <f>IFERROR(__xludf.DUMMYFUNCTION("""COMPUTED_VALUE"""),"")</f>
        <v/>
      </c>
      <c r="O5314" t="str">
        <f>IFERROR(__xludf.DUMMYFUNCTION("""COMPUTED_VALUE"""),"")</f>
        <v/>
      </c>
      <c r="P5314" t="str">
        <f>IFERROR(__xludf.DUMMYFUNCTION("""COMPUTED_VALUE"""),"ID ")</f>
        <v>ID </v>
      </c>
    </row>
    <row r="5315">
      <c r="A5315" s="6" t="str">
        <f>IFERROR(__xludf.DUMMYFUNCTION("""COMPUTED_VALUE"""),"")</f>
        <v/>
      </c>
      <c r="C5315" t="str">
        <f>IFERROR(__xludf.DUMMYFUNCTION("""COMPUTED_VALUE"""),"")</f>
        <v/>
      </c>
      <c r="D5315" t="str">
        <f>IFERROR(__xludf.DUMMYFUNCTION("""COMPUTED_VALUE"""),"")</f>
        <v/>
      </c>
      <c r="E5315" t="str">
        <f>IFERROR(__xludf.DUMMYFUNCTION("""COMPUTED_VALUE"""),"")</f>
        <v/>
      </c>
      <c r="F5315" t="str">
        <f>IFERROR(__xludf.DUMMYFUNCTION("""COMPUTED_VALUE"""),"")</f>
        <v/>
      </c>
      <c r="G5315" t="str">
        <f>IFERROR(__xludf.DUMMYFUNCTION("""COMPUTED_VALUE"""),"")</f>
        <v/>
      </c>
      <c r="H5315" s="2" t="str">
        <f>IFERROR(__xludf.DUMMYFUNCTION("""COMPUTED_VALUE"""),"")</f>
        <v/>
      </c>
      <c r="I5315" s="2" t="str">
        <f>IFERROR(__xludf.DUMMYFUNCTION("""COMPUTED_VALUE"""),"")</f>
        <v/>
      </c>
      <c r="J5315" s="2">
        <f>IFERROR(__xludf.DUMMYFUNCTION("""COMPUTED_VALUE"""),0.0)</f>
        <v>0</v>
      </c>
      <c r="K5315" s="5" t="str">
        <f>IFERROR(__xludf.DUMMYFUNCTION("""COMPUTED_VALUE"""),"")</f>
        <v/>
      </c>
      <c r="L5315" t="str">
        <f>IFERROR(__xludf.DUMMYFUNCTION("""COMPUTED_VALUE"""),"")</f>
        <v/>
      </c>
      <c r="M5315" t="str">
        <f>IFERROR(__xludf.DUMMYFUNCTION("""COMPUTED_VALUE"""),"")</f>
        <v/>
      </c>
      <c r="N5315" t="str">
        <f>IFERROR(__xludf.DUMMYFUNCTION("""COMPUTED_VALUE"""),"")</f>
        <v/>
      </c>
      <c r="O5315" t="str">
        <f>IFERROR(__xludf.DUMMYFUNCTION("""COMPUTED_VALUE"""),"")</f>
        <v/>
      </c>
      <c r="P5315" t="str">
        <f>IFERROR(__xludf.DUMMYFUNCTION("""COMPUTED_VALUE"""),"ID ")</f>
        <v>ID </v>
      </c>
    </row>
    <row r="5316">
      <c r="A5316" s="6" t="str">
        <f>IFERROR(__xludf.DUMMYFUNCTION("""COMPUTED_VALUE"""),"")</f>
        <v/>
      </c>
      <c r="C5316" t="str">
        <f>IFERROR(__xludf.DUMMYFUNCTION("""COMPUTED_VALUE"""),"")</f>
        <v/>
      </c>
      <c r="D5316" t="str">
        <f>IFERROR(__xludf.DUMMYFUNCTION("""COMPUTED_VALUE"""),"")</f>
        <v/>
      </c>
      <c r="E5316" t="str">
        <f>IFERROR(__xludf.DUMMYFUNCTION("""COMPUTED_VALUE"""),"")</f>
        <v/>
      </c>
      <c r="F5316" t="str">
        <f>IFERROR(__xludf.DUMMYFUNCTION("""COMPUTED_VALUE"""),"")</f>
        <v/>
      </c>
      <c r="G5316" t="str">
        <f>IFERROR(__xludf.DUMMYFUNCTION("""COMPUTED_VALUE"""),"")</f>
        <v/>
      </c>
      <c r="H5316" s="2" t="str">
        <f>IFERROR(__xludf.DUMMYFUNCTION("""COMPUTED_VALUE"""),"")</f>
        <v/>
      </c>
      <c r="I5316" s="2" t="str">
        <f>IFERROR(__xludf.DUMMYFUNCTION("""COMPUTED_VALUE"""),"")</f>
        <v/>
      </c>
      <c r="J5316" s="2">
        <f>IFERROR(__xludf.DUMMYFUNCTION("""COMPUTED_VALUE"""),0.0)</f>
        <v>0</v>
      </c>
      <c r="K5316" s="5" t="str">
        <f>IFERROR(__xludf.DUMMYFUNCTION("""COMPUTED_VALUE"""),"")</f>
        <v/>
      </c>
      <c r="L5316" t="str">
        <f>IFERROR(__xludf.DUMMYFUNCTION("""COMPUTED_VALUE"""),"")</f>
        <v/>
      </c>
      <c r="M5316" t="str">
        <f>IFERROR(__xludf.DUMMYFUNCTION("""COMPUTED_VALUE"""),"")</f>
        <v/>
      </c>
      <c r="N5316" t="str">
        <f>IFERROR(__xludf.DUMMYFUNCTION("""COMPUTED_VALUE"""),"")</f>
        <v/>
      </c>
      <c r="O5316" t="str">
        <f>IFERROR(__xludf.DUMMYFUNCTION("""COMPUTED_VALUE"""),"")</f>
        <v/>
      </c>
      <c r="P5316" t="str">
        <f>IFERROR(__xludf.DUMMYFUNCTION("""COMPUTED_VALUE"""),"ID ")</f>
        <v>ID </v>
      </c>
    </row>
    <row r="5317">
      <c r="A5317" s="6" t="str">
        <f>IFERROR(__xludf.DUMMYFUNCTION("""COMPUTED_VALUE"""),"")</f>
        <v/>
      </c>
      <c r="C5317" t="str">
        <f>IFERROR(__xludf.DUMMYFUNCTION("""COMPUTED_VALUE"""),"")</f>
        <v/>
      </c>
      <c r="D5317" t="str">
        <f>IFERROR(__xludf.DUMMYFUNCTION("""COMPUTED_VALUE"""),"")</f>
        <v/>
      </c>
      <c r="E5317" t="str">
        <f>IFERROR(__xludf.DUMMYFUNCTION("""COMPUTED_VALUE"""),"")</f>
        <v/>
      </c>
      <c r="F5317" t="str">
        <f>IFERROR(__xludf.DUMMYFUNCTION("""COMPUTED_VALUE"""),"")</f>
        <v/>
      </c>
      <c r="G5317" t="str">
        <f>IFERROR(__xludf.DUMMYFUNCTION("""COMPUTED_VALUE"""),"")</f>
        <v/>
      </c>
      <c r="H5317" s="2" t="str">
        <f>IFERROR(__xludf.DUMMYFUNCTION("""COMPUTED_VALUE"""),"")</f>
        <v/>
      </c>
      <c r="I5317" s="2" t="str">
        <f>IFERROR(__xludf.DUMMYFUNCTION("""COMPUTED_VALUE"""),"")</f>
        <v/>
      </c>
      <c r="J5317" s="2">
        <f>IFERROR(__xludf.DUMMYFUNCTION("""COMPUTED_VALUE"""),0.0)</f>
        <v>0</v>
      </c>
      <c r="K5317" s="5" t="str">
        <f>IFERROR(__xludf.DUMMYFUNCTION("""COMPUTED_VALUE"""),"")</f>
        <v/>
      </c>
      <c r="L5317" t="str">
        <f>IFERROR(__xludf.DUMMYFUNCTION("""COMPUTED_VALUE"""),"")</f>
        <v/>
      </c>
      <c r="M5317" t="str">
        <f>IFERROR(__xludf.DUMMYFUNCTION("""COMPUTED_VALUE"""),"")</f>
        <v/>
      </c>
      <c r="N5317" t="str">
        <f>IFERROR(__xludf.DUMMYFUNCTION("""COMPUTED_VALUE"""),"")</f>
        <v/>
      </c>
      <c r="O5317" t="str">
        <f>IFERROR(__xludf.DUMMYFUNCTION("""COMPUTED_VALUE"""),"")</f>
        <v/>
      </c>
      <c r="P5317" t="str">
        <f>IFERROR(__xludf.DUMMYFUNCTION("""COMPUTED_VALUE"""),"ID ")</f>
        <v>ID </v>
      </c>
    </row>
    <row r="5318">
      <c r="A5318" s="6" t="str">
        <f>IFERROR(__xludf.DUMMYFUNCTION("""COMPUTED_VALUE"""),"")</f>
        <v/>
      </c>
      <c r="C5318" t="str">
        <f>IFERROR(__xludf.DUMMYFUNCTION("""COMPUTED_VALUE"""),"")</f>
        <v/>
      </c>
      <c r="D5318" t="str">
        <f>IFERROR(__xludf.DUMMYFUNCTION("""COMPUTED_VALUE"""),"")</f>
        <v/>
      </c>
      <c r="E5318" t="str">
        <f>IFERROR(__xludf.DUMMYFUNCTION("""COMPUTED_VALUE"""),"")</f>
        <v/>
      </c>
      <c r="F5318" t="str">
        <f>IFERROR(__xludf.DUMMYFUNCTION("""COMPUTED_VALUE"""),"")</f>
        <v/>
      </c>
      <c r="G5318" t="str">
        <f>IFERROR(__xludf.DUMMYFUNCTION("""COMPUTED_VALUE"""),"")</f>
        <v/>
      </c>
      <c r="H5318" s="2" t="str">
        <f>IFERROR(__xludf.DUMMYFUNCTION("""COMPUTED_VALUE"""),"")</f>
        <v/>
      </c>
      <c r="I5318" s="2" t="str">
        <f>IFERROR(__xludf.DUMMYFUNCTION("""COMPUTED_VALUE"""),"")</f>
        <v/>
      </c>
      <c r="J5318" s="2">
        <f>IFERROR(__xludf.DUMMYFUNCTION("""COMPUTED_VALUE"""),0.0)</f>
        <v>0</v>
      </c>
      <c r="K5318" s="5" t="str">
        <f>IFERROR(__xludf.DUMMYFUNCTION("""COMPUTED_VALUE"""),"")</f>
        <v/>
      </c>
      <c r="L5318" t="str">
        <f>IFERROR(__xludf.DUMMYFUNCTION("""COMPUTED_VALUE"""),"")</f>
        <v/>
      </c>
      <c r="M5318" t="str">
        <f>IFERROR(__xludf.DUMMYFUNCTION("""COMPUTED_VALUE"""),"")</f>
        <v/>
      </c>
      <c r="N5318" t="str">
        <f>IFERROR(__xludf.DUMMYFUNCTION("""COMPUTED_VALUE"""),"")</f>
        <v/>
      </c>
      <c r="O5318" t="str">
        <f>IFERROR(__xludf.DUMMYFUNCTION("""COMPUTED_VALUE"""),"")</f>
        <v/>
      </c>
      <c r="P5318" t="str">
        <f>IFERROR(__xludf.DUMMYFUNCTION("""COMPUTED_VALUE"""),"ID ")</f>
        <v>ID </v>
      </c>
    </row>
    <row r="5319">
      <c r="A5319" s="6" t="str">
        <f>IFERROR(__xludf.DUMMYFUNCTION("""COMPUTED_VALUE"""),"")</f>
        <v/>
      </c>
      <c r="C5319" t="str">
        <f>IFERROR(__xludf.DUMMYFUNCTION("""COMPUTED_VALUE"""),"")</f>
        <v/>
      </c>
      <c r="D5319" t="str">
        <f>IFERROR(__xludf.DUMMYFUNCTION("""COMPUTED_VALUE"""),"")</f>
        <v/>
      </c>
      <c r="E5319" t="str">
        <f>IFERROR(__xludf.DUMMYFUNCTION("""COMPUTED_VALUE"""),"")</f>
        <v/>
      </c>
      <c r="F5319" t="str">
        <f>IFERROR(__xludf.DUMMYFUNCTION("""COMPUTED_VALUE"""),"")</f>
        <v/>
      </c>
      <c r="G5319" t="str">
        <f>IFERROR(__xludf.DUMMYFUNCTION("""COMPUTED_VALUE"""),"")</f>
        <v/>
      </c>
      <c r="H5319" s="2" t="str">
        <f>IFERROR(__xludf.DUMMYFUNCTION("""COMPUTED_VALUE"""),"")</f>
        <v/>
      </c>
      <c r="I5319" s="2" t="str">
        <f>IFERROR(__xludf.DUMMYFUNCTION("""COMPUTED_VALUE"""),"")</f>
        <v/>
      </c>
      <c r="J5319" s="2">
        <f>IFERROR(__xludf.DUMMYFUNCTION("""COMPUTED_VALUE"""),0.0)</f>
        <v>0</v>
      </c>
      <c r="K5319" s="5" t="str">
        <f>IFERROR(__xludf.DUMMYFUNCTION("""COMPUTED_VALUE"""),"")</f>
        <v/>
      </c>
      <c r="L5319" t="str">
        <f>IFERROR(__xludf.DUMMYFUNCTION("""COMPUTED_VALUE"""),"")</f>
        <v/>
      </c>
      <c r="M5319" t="str">
        <f>IFERROR(__xludf.DUMMYFUNCTION("""COMPUTED_VALUE"""),"")</f>
        <v/>
      </c>
      <c r="N5319" t="str">
        <f>IFERROR(__xludf.DUMMYFUNCTION("""COMPUTED_VALUE"""),"")</f>
        <v/>
      </c>
      <c r="O5319" t="str">
        <f>IFERROR(__xludf.DUMMYFUNCTION("""COMPUTED_VALUE"""),"")</f>
        <v/>
      </c>
      <c r="P5319" t="str">
        <f>IFERROR(__xludf.DUMMYFUNCTION("""COMPUTED_VALUE"""),"ID ")</f>
        <v>ID </v>
      </c>
    </row>
    <row r="5320">
      <c r="A5320" s="6" t="str">
        <f>IFERROR(__xludf.DUMMYFUNCTION("""COMPUTED_VALUE"""),"")</f>
        <v/>
      </c>
      <c r="C5320" t="str">
        <f>IFERROR(__xludf.DUMMYFUNCTION("""COMPUTED_VALUE"""),"")</f>
        <v/>
      </c>
      <c r="D5320" t="str">
        <f>IFERROR(__xludf.DUMMYFUNCTION("""COMPUTED_VALUE"""),"")</f>
        <v/>
      </c>
      <c r="E5320" t="str">
        <f>IFERROR(__xludf.DUMMYFUNCTION("""COMPUTED_VALUE"""),"")</f>
        <v/>
      </c>
      <c r="F5320" t="str">
        <f>IFERROR(__xludf.DUMMYFUNCTION("""COMPUTED_VALUE"""),"")</f>
        <v/>
      </c>
      <c r="G5320" t="str">
        <f>IFERROR(__xludf.DUMMYFUNCTION("""COMPUTED_VALUE"""),"")</f>
        <v/>
      </c>
      <c r="H5320" s="2" t="str">
        <f>IFERROR(__xludf.DUMMYFUNCTION("""COMPUTED_VALUE"""),"")</f>
        <v/>
      </c>
      <c r="I5320" s="2" t="str">
        <f>IFERROR(__xludf.DUMMYFUNCTION("""COMPUTED_VALUE"""),"")</f>
        <v/>
      </c>
      <c r="J5320" s="2">
        <f>IFERROR(__xludf.DUMMYFUNCTION("""COMPUTED_VALUE"""),0.0)</f>
        <v>0</v>
      </c>
      <c r="K5320" s="5" t="str">
        <f>IFERROR(__xludf.DUMMYFUNCTION("""COMPUTED_VALUE"""),"")</f>
        <v/>
      </c>
      <c r="L5320" t="str">
        <f>IFERROR(__xludf.DUMMYFUNCTION("""COMPUTED_VALUE"""),"")</f>
        <v/>
      </c>
      <c r="M5320" t="str">
        <f>IFERROR(__xludf.DUMMYFUNCTION("""COMPUTED_VALUE"""),"")</f>
        <v/>
      </c>
      <c r="N5320" t="str">
        <f>IFERROR(__xludf.DUMMYFUNCTION("""COMPUTED_VALUE"""),"")</f>
        <v/>
      </c>
      <c r="O5320" t="str">
        <f>IFERROR(__xludf.DUMMYFUNCTION("""COMPUTED_VALUE"""),"")</f>
        <v/>
      </c>
      <c r="P5320" t="str">
        <f>IFERROR(__xludf.DUMMYFUNCTION("""COMPUTED_VALUE"""),"ID ")</f>
        <v>ID </v>
      </c>
    </row>
    <row r="5321">
      <c r="A5321" s="6" t="str">
        <f>IFERROR(__xludf.DUMMYFUNCTION("""COMPUTED_VALUE"""),"")</f>
        <v/>
      </c>
      <c r="C5321" t="str">
        <f>IFERROR(__xludf.DUMMYFUNCTION("""COMPUTED_VALUE"""),"")</f>
        <v/>
      </c>
      <c r="D5321" t="str">
        <f>IFERROR(__xludf.DUMMYFUNCTION("""COMPUTED_VALUE"""),"")</f>
        <v/>
      </c>
      <c r="E5321" t="str">
        <f>IFERROR(__xludf.DUMMYFUNCTION("""COMPUTED_VALUE"""),"")</f>
        <v/>
      </c>
      <c r="F5321" t="str">
        <f>IFERROR(__xludf.DUMMYFUNCTION("""COMPUTED_VALUE"""),"")</f>
        <v/>
      </c>
      <c r="G5321" t="str">
        <f>IFERROR(__xludf.DUMMYFUNCTION("""COMPUTED_VALUE"""),"")</f>
        <v/>
      </c>
      <c r="H5321" s="2" t="str">
        <f>IFERROR(__xludf.DUMMYFUNCTION("""COMPUTED_VALUE"""),"")</f>
        <v/>
      </c>
      <c r="I5321" s="2" t="str">
        <f>IFERROR(__xludf.DUMMYFUNCTION("""COMPUTED_VALUE"""),"")</f>
        <v/>
      </c>
      <c r="J5321" s="2">
        <f>IFERROR(__xludf.DUMMYFUNCTION("""COMPUTED_VALUE"""),0.0)</f>
        <v>0</v>
      </c>
      <c r="K5321" s="5" t="str">
        <f>IFERROR(__xludf.DUMMYFUNCTION("""COMPUTED_VALUE"""),"")</f>
        <v/>
      </c>
      <c r="L5321" t="str">
        <f>IFERROR(__xludf.DUMMYFUNCTION("""COMPUTED_VALUE"""),"")</f>
        <v/>
      </c>
      <c r="M5321" t="str">
        <f>IFERROR(__xludf.DUMMYFUNCTION("""COMPUTED_VALUE"""),"")</f>
        <v/>
      </c>
      <c r="N5321" t="str">
        <f>IFERROR(__xludf.DUMMYFUNCTION("""COMPUTED_VALUE"""),"")</f>
        <v/>
      </c>
      <c r="O5321" t="str">
        <f>IFERROR(__xludf.DUMMYFUNCTION("""COMPUTED_VALUE"""),"")</f>
        <v/>
      </c>
      <c r="P5321" t="str">
        <f>IFERROR(__xludf.DUMMYFUNCTION("""COMPUTED_VALUE"""),"ID ")</f>
        <v>ID </v>
      </c>
    </row>
    <row r="5322">
      <c r="A5322" s="6" t="str">
        <f>IFERROR(__xludf.DUMMYFUNCTION("""COMPUTED_VALUE"""),"")</f>
        <v/>
      </c>
      <c r="C5322" t="str">
        <f>IFERROR(__xludf.DUMMYFUNCTION("""COMPUTED_VALUE"""),"")</f>
        <v/>
      </c>
      <c r="D5322" t="str">
        <f>IFERROR(__xludf.DUMMYFUNCTION("""COMPUTED_VALUE"""),"")</f>
        <v/>
      </c>
      <c r="E5322" t="str">
        <f>IFERROR(__xludf.DUMMYFUNCTION("""COMPUTED_VALUE"""),"")</f>
        <v/>
      </c>
      <c r="F5322" t="str">
        <f>IFERROR(__xludf.DUMMYFUNCTION("""COMPUTED_VALUE"""),"")</f>
        <v/>
      </c>
      <c r="G5322" t="str">
        <f>IFERROR(__xludf.DUMMYFUNCTION("""COMPUTED_VALUE"""),"")</f>
        <v/>
      </c>
      <c r="H5322" s="2" t="str">
        <f>IFERROR(__xludf.DUMMYFUNCTION("""COMPUTED_VALUE"""),"")</f>
        <v/>
      </c>
      <c r="I5322" s="2" t="str">
        <f>IFERROR(__xludf.DUMMYFUNCTION("""COMPUTED_VALUE"""),"")</f>
        <v/>
      </c>
      <c r="J5322" s="2">
        <f>IFERROR(__xludf.DUMMYFUNCTION("""COMPUTED_VALUE"""),0.0)</f>
        <v>0</v>
      </c>
      <c r="K5322" s="5" t="str">
        <f>IFERROR(__xludf.DUMMYFUNCTION("""COMPUTED_VALUE"""),"")</f>
        <v/>
      </c>
      <c r="L5322" t="str">
        <f>IFERROR(__xludf.DUMMYFUNCTION("""COMPUTED_VALUE"""),"")</f>
        <v/>
      </c>
      <c r="M5322" t="str">
        <f>IFERROR(__xludf.DUMMYFUNCTION("""COMPUTED_VALUE"""),"")</f>
        <v/>
      </c>
      <c r="N5322" t="str">
        <f>IFERROR(__xludf.DUMMYFUNCTION("""COMPUTED_VALUE"""),"")</f>
        <v/>
      </c>
      <c r="O5322" t="str">
        <f>IFERROR(__xludf.DUMMYFUNCTION("""COMPUTED_VALUE"""),"")</f>
        <v/>
      </c>
      <c r="P5322" t="str">
        <f>IFERROR(__xludf.DUMMYFUNCTION("""COMPUTED_VALUE"""),"ID ")</f>
        <v>ID </v>
      </c>
    </row>
    <row r="5323">
      <c r="A5323" s="6" t="str">
        <f>IFERROR(__xludf.DUMMYFUNCTION("""COMPUTED_VALUE"""),"")</f>
        <v/>
      </c>
      <c r="C5323" t="str">
        <f>IFERROR(__xludf.DUMMYFUNCTION("""COMPUTED_VALUE"""),"")</f>
        <v/>
      </c>
      <c r="D5323" t="str">
        <f>IFERROR(__xludf.DUMMYFUNCTION("""COMPUTED_VALUE"""),"")</f>
        <v/>
      </c>
      <c r="E5323" t="str">
        <f>IFERROR(__xludf.DUMMYFUNCTION("""COMPUTED_VALUE"""),"")</f>
        <v/>
      </c>
      <c r="F5323" t="str">
        <f>IFERROR(__xludf.DUMMYFUNCTION("""COMPUTED_VALUE"""),"")</f>
        <v/>
      </c>
      <c r="G5323" t="str">
        <f>IFERROR(__xludf.DUMMYFUNCTION("""COMPUTED_VALUE"""),"")</f>
        <v/>
      </c>
      <c r="H5323" s="2" t="str">
        <f>IFERROR(__xludf.DUMMYFUNCTION("""COMPUTED_VALUE"""),"")</f>
        <v/>
      </c>
      <c r="I5323" s="2" t="str">
        <f>IFERROR(__xludf.DUMMYFUNCTION("""COMPUTED_VALUE"""),"")</f>
        <v/>
      </c>
      <c r="J5323" s="2">
        <f>IFERROR(__xludf.DUMMYFUNCTION("""COMPUTED_VALUE"""),0.0)</f>
        <v>0</v>
      </c>
      <c r="K5323" s="5" t="str">
        <f>IFERROR(__xludf.DUMMYFUNCTION("""COMPUTED_VALUE"""),"")</f>
        <v/>
      </c>
      <c r="L5323" t="str">
        <f>IFERROR(__xludf.DUMMYFUNCTION("""COMPUTED_VALUE"""),"")</f>
        <v/>
      </c>
      <c r="M5323" t="str">
        <f>IFERROR(__xludf.DUMMYFUNCTION("""COMPUTED_VALUE"""),"")</f>
        <v/>
      </c>
      <c r="N5323" t="str">
        <f>IFERROR(__xludf.DUMMYFUNCTION("""COMPUTED_VALUE"""),"")</f>
        <v/>
      </c>
      <c r="O5323" t="str">
        <f>IFERROR(__xludf.DUMMYFUNCTION("""COMPUTED_VALUE"""),"")</f>
        <v/>
      </c>
      <c r="P5323" t="str">
        <f>IFERROR(__xludf.DUMMYFUNCTION("""COMPUTED_VALUE"""),"ID ")</f>
        <v>ID </v>
      </c>
    </row>
    <row r="5324">
      <c r="A5324" s="6" t="str">
        <f>IFERROR(__xludf.DUMMYFUNCTION("""COMPUTED_VALUE"""),"")</f>
        <v/>
      </c>
      <c r="C5324" t="str">
        <f>IFERROR(__xludf.DUMMYFUNCTION("""COMPUTED_VALUE"""),"")</f>
        <v/>
      </c>
      <c r="D5324" t="str">
        <f>IFERROR(__xludf.DUMMYFUNCTION("""COMPUTED_VALUE"""),"")</f>
        <v/>
      </c>
      <c r="E5324" t="str">
        <f>IFERROR(__xludf.DUMMYFUNCTION("""COMPUTED_VALUE"""),"")</f>
        <v/>
      </c>
      <c r="F5324" t="str">
        <f>IFERROR(__xludf.DUMMYFUNCTION("""COMPUTED_VALUE"""),"")</f>
        <v/>
      </c>
      <c r="G5324" t="str">
        <f>IFERROR(__xludf.DUMMYFUNCTION("""COMPUTED_VALUE"""),"")</f>
        <v/>
      </c>
      <c r="H5324" s="2" t="str">
        <f>IFERROR(__xludf.DUMMYFUNCTION("""COMPUTED_VALUE"""),"")</f>
        <v/>
      </c>
      <c r="I5324" s="2" t="str">
        <f>IFERROR(__xludf.DUMMYFUNCTION("""COMPUTED_VALUE"""),"")</f>
        <v/>
      </c>
      <c r="J5324" s="2">
        <f>IFERROR(__xludf.DUMMYFUNCTION("""COMPUTED_VALUE"""),0.0)</f>
        <v>0</v>
      </c>
      <c r="K5324" s="5" t="str">
        <f>IFERROR(__xludf.DUMMYFUNCTION("""COMPUTED_VALUE"""),"")</f>
        <v/>
      </c>
      <c r="L5324" t="str">
        <f>IFERROR(__xludf.DUMMYFUNCTION("""COMPUTED_VALUE"""),"")</f>
        <v/>
      </c>
      <c r="M5324" t="str">
        <f>IFERROR(__xludf.DUMMYFUNCTION("""COMPUTED_VALUE"""),"")</f>
        <v/>
      </c>
      <c r="N5324" t="str">
        <f>IFERROR(__xludf.DUMMYFUNCTION("""COMPUTED_VALUE"""),"")</f>
        <v/>
      </c>
      <c r="O5324" t="str">
        <f>IFERROR(__xludf.DUMMYFUNCTION("""COMPUTED_VALUE"""),"")</f>
        <v/>
      </c>
      <c r="P5324" t="str">
        <f>IFERROR(__xludf.DUMMYFUNCTION("""COMPUTED_VALUE"""),"ID ")</f>
        <v>ID </v>
      </c>
    </row>
    <row r="5325">
      <c r="A5325" s="6" t="str">
        <f>IFERROR(__xludf.DUMMYFUNCTION("""COMPUTED_VALUE"""),"")</f>
        <v/>
      </c>
      <c r="C5325" t="str">
        <f>IFERROR(__xludf.DUMMYFUNCTION("""COMPUTED_VALUE"""),"")</f>
        <v/>
      </c>
      <c r="D5325" t="str">
        <f>IFERROR(__xludf.DUMMYFUNCTION("""COMPUTED_VALUE"""),"")</f>
        <v/>
      </c>
      <c r="E5325" t="str">
        <f>IFERROR(__xludf.DUMMYFUNCTION("""COMPUTED_VALUE"""),"")</f>
        <v/>
      </c>
      <c r="F5325" t="str">
        <f>IFERROR(__xludf.DUMMYFUNCTION("""COMPUTED_VALUE"""),"")</f>
        <v/>
      </c>
      <c r="G5325" t="str">
        <f>IFERROR(__xludf.DUMMYFUNCTION("""COMPUTED_VALUE"""),"")</f>
        <v/>
      </c>
      <c r="H5325" s="2" t="str">
        <f>IFERROR(__xludf.DUMMYFUNCTION("""COMPUTED_VALUE"""),"")</f>
        <v/>
      </c>
      <c r="I5325" s="2" t="str">
        <f>IFERROR(__xludf.DUMMYFUNCTION("""COMPUTED_VALUE"""),"")</f>
        <v/>
      </c>
      <c r="J5325" s="2">
        <f>IFERROR(__xludf.DUMMYFUNCTION("""COMPUTED_VALUE"""),0.0)</f>
        <v>0</v>
      </c>
      <c r="K5325" s="5" t="str">
        <f>IFERROR(__xludf.DUMMYFUNCTION("""COMPUTED_VALUE"""),"")</f>
        <v/>
      </c>
      <c r="L5325" t="str">
        <f>IFERROR(__xludf.DUMMYFUNCTION("""COMPUTED_VALUE"""),"")</f>
        <v/>
      </c>
      <c r="M5325" t="str">
        <f>IFERROR(__xludf.DUMMYFUNCTION("""COMPUTED_VALUE"""),"")</f>
        <v/>
      </c>
      <c r="N5325" t="str">
        <f>IFERROR(__xludf.DUMMYFUNCTION("""COMPUTED_VALUE"""),"")</f>
        <v/>
      </c>
      <c r="O5325" t="str">
        <f>IFERROR(__xludf.DUMMYFUNCTION("""COMPUTED_VALUE"""),"")</f>
        <v/>
      </c>
      <c r="P5325" t="str">
        <f>IFERROR(__xludf.DUMMYFUNCTION("""COMPUTED_VALUE"""),"ID ")</f>
        <v>ID </v>
      </c>
    </row>
    <row r="5326">
      <c r="A5326" s="6" t="str">
        <f>IFERROR(__xludf.DUMMYFUNCTION("""COMPUTED_VALUE"""),"")</f>
        <v/>
      </c>
      <c r="C5326" t="str">
        <f>IFERROR(__xludf.DUMMYFUNCTION("""COMPUTED_VALUE"""),"")</f>
        <v/>
      </c>
      <c r="D5326" t="str">
        <f>IFERROR(__xludf.DUMMYFUNCTION("""COMPUTED_VALUE"""),"")</f>
        <v/>
      </c>
      <c r="E5326" t="str">
        <f>IFERROR(__xludf.DUMMYFUNCTION("""COMPUTED_VALUE"""),"")</f>
        <v/>
      </c>
      <c r="F5326" t="str">
        <f>IFERROR(__xludf.DUMMYFUNCTION("""COMPUTED_VALUE"""),"")</f>
        <v/>
      </c>
      <c r="G5326" t="str">
        <f>IFERROR(__xludf.DUMMYFUNCTION("""COMPUTED_VALUE"""),"")</f>
        <v/>
      </c>
      <c r="H5326" s="2" t="str">
        <f>IFERROR(__xludf.DUMMYFUNCTION("""COMPUTED_VALUE"""),"")</f>
        <v/>
      </c>
      <c r="I5326" s="2" t="str">
        <f>IFERROR(__xludf.DUMMYFUNCTION("""COMPUTED_VALUE"""),"")</f>
        <v/>
      </c>
      <c r="J5326" s="2">
        <f>IFERROR(__xludf.DUMMYFUNCTION("""COMPUTED_VALUE"""),0.0)</f>
        <v>0</v>
      </c>
      <c r="K5326" s="5" t="str">
        <f>IFERROR(__xludf.DUMMYFUNCTION("""COMPUTED_VALUE"""),"")</f>
        <v/>
      </c>
      <c r="L5326" t="str">
        <f>IFERROR(__xludf.DUMMYFUNCTION("""COMPUTED_VALUE"""),"")</f>
        <v/>
      </c>
      <c r="M5326" t="str">
        <f>IFERROR(__xludf.DUMMYFUNCTION("""COMPUTED_VALUE"""),"")</f>
        <v/>
      </c>
      <c r="N5326" t="str">
        <f>IFERROR(__xludf.DUMMYFUNCTION("""COMPUTED_VALUE"""),"")</f>
        <v/>
      </c>
      <c r="O5326" t="str">
        <f>IFERROR(__xludf.DUMMYFUNCTION("""COMPUTED_VALUE"""),"")</f>
        <v/>
      </c>
      <c r="P5326" t="str">
        <f>IFERROR(__xludf.DUMMYFUNCTION("""COMPUTED_VALUE"""),"ID ")</f>
        <v>ID </v>
      </c>
    </row>
    <row r="5327">
      <c r="A5327" s="6" t="str">
        <f>IFERROR(__xludf.DUMMYFUNCTION("""COMPUTED_VALUE"""),"")</f>
        <v/>
      </c>
      <c r="C5327" t="str">
        <f>IFERROR(__xludf.DUMMYFUNCTION("""COMPUTED_VALUE"""),"")</f>
        <v/>
      </c>
      <c r="D5327" t="str">
        <f>IFERROR(__xludf.DUMMYFUNCTION("""COMPUTED_VALUE"""),"")</f>
        <v/>
      </c>
      <c r="E5327" t="str">
        <f>IFERROR(__xludf.DUMMYFUNCTION("""COMPUTED_VALUE"""),"")</f>
        <v/>
      </c>
      <c r="F5327" t="str">
        <f>IFERROR(__xludf.DUMMYFUNCTION("""COMPUTED_VALUE"""),"")</f>
        <v/>
      </c>
      <c r="G5327" t="str">
        <f>IFERROR(__xludf.DUMMYFUNCTION("""COMPUTED_VALUE"""),"")</f>
        <v/>
      </c>
      <c r="H5327" s="2" t="str">
        <f>IFERROR(__xludf.DUMMYFUNCTION("""COMPUTED_VALUE"""),"")</f>
        <v/>
      </c>
      <c r="I5327" s="2" t="str">
        <f>IFERROR(__xludf.DUMMYFUNCTION("""COMPUTED_VALUE"""),"")</f>
        <v/>
      </c>
      <c r="J5327" s="2">
        <f>IFERROR(__xludf.DUMMYFUNCTION("""COMPUTED_VALUE"""),0.0)</f>
        <v>0</v>
      </c>
      <c r="K5327" s="5" t="str">
        <f>IFERROR(__xludf.DUMMYFUNCTION("""COMPUTED_VALUE"""),"")</f>
        <v/>
      </c>
      <c r="L5327" t="str">
        <f>IFERROR(__xludf.DUMMYFUNCTION("""COMPUTED_VALUE"""),"")</f>
        <v/>
      </c>
      <c r="M5327" t="str">
        <f>IFERROR(__xludf.DUMMYFUNCTION("""COMPUTED_VALUE"""),"")</f>
        <v/>
      </c>
      <c r="N5327" t="str">
        <f>IFERROR(__xludf.DUMMYFUNCTION("""COMPUTED_VALUE"""),"")</f>
        <v/>
      </c>
      <c r="O5327" t="str">
        <f>IFERROR(__xludf.DUMMYFUNCTION("""COMPUTED_VALUE"""),"")</f>
        <v/>
      </c>
      <c r="P5327" t="str">
        <f>IFERROR(__xludf.DUMMYFUNCTION("""COMPUTED_VALUE"""),"ID ")</f>
        <v>ID </v>
      </c>
    </row>
    <row r="5328">
      <c r="A5328" s="6" t="str">
        <f>IFERROR(__xludf.DUMMYFUNCTION("""COMPUTED_VALUE"""),"")</f>
        <v/>
      </c>
      <c r="C5328" t="str">
        <f>IFERROR(__xludf.DUMMYFUNCTION("""COMPUTED_VALUE"""),"")</f>
        <v/>
      </c>
      <c r="D5328" t="str">
        <f>IFERROR(__xludf.DUMMYFUNCTION("""COMPUTED_VALUE"""),"")</f>
        <v/>
      </c>
      <c r="E5328" t="str">
        <f>IFERROR(__xludf.DUMMYFUNCTION("""COMPUTED_VALUE"""),"")</f>
        <v/>
      </c>
      <c r="F5328" t="str">
        <f>IFERROR(__xludf.DUMMYFUNCTION("""COMPUTED_VALUE"""),"")</f>
        <v/>
      </c>
      <c r="G5328" t="str">
        <f>IFERROR(__xludf.DUMMYFUNCTION("""COMPUTED_VALUE"""),"")</f>
        <v/>
      </c>
      <c r="H5328" s="2" t="str">
        <f>IFERROR(__xludf.DUMMYFUNCTION("""COMPUTED_VALUE"""),"")</f>
        <v/>
      </c>
      <c r="I5328" s="2" t="str">
        <f>IFERROR(__xludf.DUMMYFUNCTION("""COMPUTED_VALUE"""),"")</f>
        <v/>
      </c>
      <c r="J5328" s="2">
        <f>IFERROR(__xludf.DUMMYFUNCTION("""COMPUTED_VALUE"""),0.0)</f>
        <v>0</v>
      </c>
      <c r="K5328" s="5" t="str">
        <f>IFERROR(__xludf.DUMMYFUNCTION("""COMPUTED_VALUE"""),"")</f>
        <v/>
      </c>
      <c r="L5328" t="str">
        <f>IFERROR(__xludf.DUMMYFUNCTION("""COMPUTED_VALUE"""),"")</f>
        <v/>
      </c>
      <c r="M5328" t="str">
        <f>IFERROR(__xludf.DUMMYFUNCTION("""COMPUTED_VALUE"""),"")</f>
        <v/>
      </c>
      <c r="N5328" t="str">
        <f>IFERROR(__xludf.DUMMYFUNCTION("""COMPUTED_VALUE"""),"")</f>
        <v/>
      </c>
      <c r="O5328" t="str">
        <f>IFERROR(__xludf.DUMMYFUNCTION("""COMPUTED_VALUE"""),"")</f>
        <v/>
      </c>
      <c r="P5328" t="str">
        <f>IFERROR(__xludf.DUMMYFUNCTION("""COMPUTED_VALUE"""),"ID ")</f>
        <v>ID </v>
      </c>
    </row>
    <row r="5329">
      <c r="A5329" s="6" t="str">
        <f>IFERROR(__xludf.DUMMYFUNCTION("""COMPUTED_VALUE"""),"")</f>
        <v/>
      </c>
      <c r="C5329" t="str">
        <f>IFERROR(__xludf.DUMMYFUNCTION("""COMPUTED_VALUE"""),"")</f>
        <v/>
      </c>
      <c r="D5329" t="str">
        <f>IFERROR(__xludf.DUMMYFUNCTION("""COMPUTED_VALUE"""),"")</f>
        <v/>
      </c>
      <c r="E5329" t="str">
        <f>IFERROR(__xludf.DUMMYFUNCTION("""COMPUTED_VALUE"""),"")</f>
        <v/>
      </c>
      <c r="F5329" t="str">
        <f>IFERROR(__xludf.DUMMYFUNCTION("""COMPUTED_VALUE"""),"")</f>
        <v/>
      </c>
      <c r="G5329" t="str">
        <f>IFERROR(__xludf.DUMMYFUNCTION("""COMPUTED_VALUE"""),"")</f>
        <v/>
      </c>
      <c r="H5329" s="2" t="str">
        <f>IFERROR(__xludf.DUMMYFUNCTION("""COMPUTED_VALUE"""),"")</f>
        <v/>
      </c>
      <c r="I5329" s="2" t="str">
        <f>IFERROR(__xludf.DUMMYFUNCTION("""COMPUTED_VALUE"""),"")</f>
        <v/>
      </c>
      <c r="J5329" s="2">
        <f>IFERROR(__xludf.DUMMYFUNCTION("""COMPUTED_VALUE"""),0.0)</f>
        <v>0</v>
      </c>
      <c r="K5329" s="5" t="str">
        <f>IFERROR(__xludf.DUMMYFUNCTION("""COMPUTED_VALUE"""),"")</f>
        <v/>
      </c>
      <c r="L5329" t="str">
        <f>IFERROR(__xludf.DUMMYFUNCTION("""COMPUTED_VALUE"""),"")</f>
        <v/>
      </c>
      <c r="M5329" t="str">
        <f>IFERROR(__xludf.DUMMYFUNCTION("""COMPUTED_VALUE"""),"")</f>
        <v/>
      </c>
      <c r="N5329" t="str">
        <f>IFERROR(__xludf.DUMMYFUNCTION("""COMPUTED_VALUE"""),"")</f>
        <v/>
      </c>
      <c r="O5329" t="str">
        <f>IFERROR(__xludf.DUMMYFUNCTION("""COMPUTED_VALUE"""),"")</f>
        <v/>
      </c>
      <c r="P5329" t="str">
        <f>IFERROR(__xludf.DUMMYFUNCTION("""COMPUTED_VALUE"""),"ID ")</f>
        <v>ID </v>
      </c>
    </row>
    <row r="5330">
      <c r="A5330" s="6" t="str">
        <f>IFERROR(__xludf.DUMMYFUNCTION("""COMPUTED_VALUE"""),"")</f>
        <v/>
      </c>
      <c r="C5330" t="str">
        <f>IFERROR(__xludf.DUMMYFUNCTION("""COMPUTED_VALUE"""),"")</f>
        <v/>
      </c>
      <c r="D5330" t="str">
        <f>IFERROR(__xludf.DUMMYFUNCTION("""COMPUTED_VALUE"""),"")</f>
        <v/>
      </c>
      <c r="E5330" t="str">
        <f>IFERROR(__xludf.DUMMYFUNCTION("""COMPUTED_VALUE"""),"")</f>
        <v/>
      </c>
      <c r="F5330" t="str">
        <f>IFERROR(__xludf.DUMMYFUNCTION("""COMPUTED_VALUE"""),"")</f>
        <v/>
      </c>
      <c r="G5330" t="str">
        <f>IFERROR(__xludf.DUMMYFUNCTION("""COMPUTED_VALUE"""),"")</f>
        <v/>
      </c>
      <c r="H5330" s="2" t="str">
        <f>IFERROR(__xludf.DUMMYFUNCTION("""COMPUTED_VALUE"""),"")</f>
        <v/>
      </c>
      <c r="I5330" s="2" t="str">
        <f>IFERROR(__xludf.DUMMYFUNCTION("""COMPUTED_VALUE"""),"")</f>
        <v/>
      </c>
      <c r="J5330" s="2">
        <f>IFERROR(__xludf.DUMMYFUNCTION("""COMPUTED_VALUE"""),0.0)</f>
        <v>0</v>
      </c>
      <c r="K5330" s="5" t="str">
        <f>IFERROR(__xludf.DUMMYFUNCTION("""COMPUTED_VALUE"""),"")</f>
        <v/>
      </c>
      <c r="L5330" t="str">
        <f>IFERROR(__xludf.DUMMYFUNCTION("""COMPUTED_VALUE"""),"")</f>
        <v/>
      </c>
      <c r="M5330" t="str">
        <f>IFERROR(__xludf.DUMMYFUNCTION("""COMPUTED_VALUE"""),"")</f>
        <v/>
      </c>
      <c r="N5330" t="str">
        <f>IFERROR(__xludf.DUMMYFUNCTION("""COMPUTED_VALUE"""),"")</f>
        <v/>
      </c>
      <c r="O5330" t="str">
        <f>IFERROR(__xludf.DUMMYFUNCTION("""COMPUTED_VALUE"""),"")</f>
        <v/>
      </c>
      <c r="P5330" t="str">
        <f>IFERROR(__xludf.DUMMYFUNCTION("""COMPUTED_VALUE"""),"ID ")</f>
        <v>ID </v>
      </c>
    </row>
    <row r="5331">
      <c r="A5331" s="6" t="str">
        <f>IFERROR(__xludf.DUMMYFUNCTION("""COMPUTED_VALUE"""),"")</f>
        <v/>
      </c>
      <c r="C5331" t="str">
        <f>IFERROR(__xludf.DUMMYFUNCTION("""COMPUTED_VALUE"""),"")</f>
        <v/>
      </c>
      <c r="D5331" t="str">
        <f>IFERROR(__xludf.DUMMYFUNCTION("""COMPUTED_VALUE"""),"")</f>
        <v/>
      </c>
      <c r="E5331" t="str">
        <f>IFERROR(__xludf.DUMMYFUNCTION("""COMPUTED_VALUE"""),"")</f>
        <v/>
      </c>
      <c r="F5331" t="str">
        <f>IFERROR(__xludf.DUMMYFUNCTION("""COMPUTED_VALUE"""),"")</f>
        <v/>
      </c>
      <c r="G5331" t="str">
        <f>IFERROR(__xludf.DUMMYFUNCTION("""COMPUTED_VALUE"""),"")</f>
        <v/>
      </c>
      <c r="H5331" s="2" t="str">
        <f>IFERROR(__xludf.DUMMYFUNCTION("""COMPUTED_VALUE"""),"")</f>
        <v/>
      </c>
      <c r="I5331" s="2" t="str">
        <f>IFERROR(__xludf.DUMMYFUNCTION("""COMPUTED_VALUE"""),"")</f>
        <v/>
      </c>
      <c r="J5331" s="2">
        <f>IFERROR(__xludf.DUMMYFUNCTION("""COMPUTED_VALUE"""),0.0)</f>
        <v>0</v>
      </c>
      <c r="K5331" s="5" t="str">
        <f>IFERROR(__xludf.DUMMYFUNCTION("""COMPUTED_VALUE"""),"")</f>
        <v/>
      </c>
      <c r="L5331" t="str">
        <f>IFERROR(__xludf.DUMMYFUNCTION("""COMPUTED_VALUE"""),"")</f>
        <v/>
      </c>
      <c r="M5331" t="str">
        <f>IFERROR(__xludf.DUMMYFUNCTION("""COMPUTED_VALUE"""),"")</f>
        <v/>
      </c>
      <c r="N5331" t="str">
        <f>IFERROR(__xludf.DUMMYFUNCTION("""COMPUTED_VALUE"""),"")</f>
        <v/>
      </c>
      <c r="O5331" t="str">
        <f>IFERROR(__xludf.DUMMYFUNCTION("""COMPUTED_VALUE"""),"")</f>
        <v/>
      </c>
      <c r="P5331" t="str">
        <f>IFERROR(__xludf.DUMMYFUNCTION("""COMPUTED_VALUE"""),"ID ")</f>
        <v>ID </v>
      </c>
    </row>
    <row r="5332">
      <c r="A5332" s="6" t="str">
        <f>IFERROR(__xludf.DUMMYFUNCTION("""COMPUTED_VALUE"""),"")</f>
        <v/>
      </c>
      <c r="C5332" t="str">
        <f>IFERROR(__xludf.DUMMYFUNCTION("""COMPUTED_VALUE"""),"")</f>
        <v/>
      </c>
      <c r="D5332" t="str">
        <f>IFERROR(__xludf.DUMMYFUNCTION("""COMPUTED_VALUE"""),"")</f>
        <v/>
      </c>
      <c r="E5332" t="str">
        <f>IFERROR(__xludf.DUMMYFUNCTION("""COMPUTED_VALUE"""),"")</f>
        <v/>
      </c>
      <c r="F5332" t="str">
        <f>IFERROR(__xludf.DUMMYFUNCTION("""COMPUTED_VALUE"""),"")</f>
        <v/>
      </c>
      <c r="G5332" t="str">
        <f>IFERROR(__xludf.DUMMYFUNCTION("""COMPUTED_VALUE"""),"")</f>
        <v/>
      </c>
      <c r="H5332" s="2" t="str">
        <f>IFERROR(__xludf.DUMMYFUNCTION("""COMPUTED_VALUE"""),"")</f>
        <v/>
      </c>
      <c r="I5332" s="2" t="str">
        <f>IFERROR(__xludf.DUMMYFUNCTION("""COMPUTED_VALUE"""),"")</f>
        <v/>
      </c>
      <c r="J5332" s="2">
        <f>IFERROR(__xludf.DUMMYFUNCTION("""COMPUTED_VALUE"""),0.0)</f>
        <v>0</v>
      </c>
      <c r="K5332" s="5" t="str">
        <f>IFERROR(__xludf.DUMMYFUNCTION("""COMPUTED_VALUE"""),"")</f>
        <v/>
      </c>
      <c r="L5332" t="str">
        <f>IFERROR(__xludf.DUMMYFUNCTION("""COMPUTED_VALUE"""),"")</f>
        <v/>
      </c>
      <c r="M5332" t="str">
        <f>IFERROR(__xludf.DUMMYFUNCTION("""COMPUTED_VALUE"""),"")</f>
        <v/>
      </c>
      <c r="N5332" t="str">
        <f>IFERROR(__xludf.DUMMYFUNCTION("""COMPUTED_VALUE"""),"")</f>
        <v/>
      </c>
      <c r="O5332" t="str">
        <f>IFERROR(__xludf.DUMMYFUNCTION("""COMPUTED_VALUE"""),"")</f>
        <v/>
      </c>
      <c r="P5332" t="str">
        <f>IFERROR(__xludf.DUMMYFUNCTION("""COMPUTED_VALUE"""),"ID ")</f>
        <v>ID </v>
      </c>
    </row>
    <row r="5333">
      <c r="A5333" s="6" t="str">
        <f>IFERROR(__xludf.DUMMYFUNCTION("""COMPUTED_VALUE"""),"")</f>
        <v/>
      </c>
      <c r="C5333" t="str">
        <f>IFERROR(__xludf.DUMMYFUNCTION("""COMPUTED_VALUE"""),"")</f>
        <v/>
      </c>
      <c r="D5333" t="str">
        <f>IFERROR(__xludf.DUMMYFUNCTION("""COMPUTED_VALUE"""),"")</f>
        <v/>
      </c>
      <c r="E5333" t="str">
        <f>IFERROR(__xludf.DUMMYFUNCTION("""COMPUTED_VALUE"""),"")</f>
        <v/>
      </c>
      <c r="F5333" t="str">
        <f>IFERROR(__xludf.DUMMYFUNCTION("""COMPUTED_VALUE"""),"")</f>
        <v/>
      </c>
      <c r="G5333" t="str">
        <f>IFERROR(__xludf.DUMMYFUNCTION("""COMPUTED_VALUE"""),"")</f>
        <v/>
      </c>
      <c r="H5333" s="2" t="str">
        <f>IFERROR(__xludf.DUMMYFUNCTION("""COMPUTED_VALUE"""),"")</f>
        <v/>
      </c>
      <c r="I5333" s="2" t="str">
        <f>IFERROR(__xludf.DUMMYFUNCTION("""COMPUTED_VALUE"""),"")</f>
        <v/>
      </c>
      <c r="J5333" s="2">
        <f>IFERROR(__xludf.DUMMYFUNCTION("""COMPUTED_VALUE"""),0.0)</f>
        <v>0</v>
      </c>
      <c r="K5333" s="5" t="str">
        <f>IFERROR(__xludf.DUMMYFUNCTION("""COMPUTED_VALUE"""),"")</f>
        <v/>
      </c>
      <c r="L5333" t="str">
        <f>IFERROR(__xludf.DUMMYFUNCTION("""COMPUTED_VALUE"""),"")</f>
        <v/>
      </c>
      <c r="M5333" t="str">
        <f>IFERROR(__xludf.DUMMYFUNCTION("""COMPUTED_VALUE"""),"")</f>
        <v/>
      </c>
      <c r="N5333" t="str">
        <f>IFERROR(__xludf.DUMMYFUNCTION("""COMPUTED_VALUE"""),"")</f>
        <v/>
      </c>
      <c r="O5333" t="str">
        <f>IFERROR(__xludf.DUMMYFUNCTION("""COMPUTED_VALUE"""),"")</f>
        <v/>
      </c>
      <c r="P5333" t="str">
        <f>IFERROR(__xludf.DUMMYFUNCTION("""COMPUTED_VALUE"""),"ID ")</f>
        <v>ID </v>
      </c>
    </row>
    <row r="5334">
      <c r="A5334" s="6" t="str">
        <f>IFERROR(__xludf.DUMMYFUNCTION("""COMPUTED_VALUE"""),"")</f>
        <v/>
      </c>
      <c r="C5334" t="str">
        <f>IFERROR(__xludf.DUMMYFUNCTION("""COMPUTED_VALUE"""),"")</f>
        <v/>
      </c>
      <c r="D5334" t="str">
        <f>IFERROR(__xludf.DUMMYFUNCTION("""COMPUTED_VALUE"""),"")</f>
        <v/>
      </c>
      <c r="E5334" t="str">
        <f>IFERROR(__xludf.DUMMYFUNCTION("""COMPUTED_VALUE"""),"")</f>
        <v/>
      </c>
      <c r="F5334" t="str">
        <f>IFERROR(__xludf.DUMMYFUNCTION("""COMPUTED_VALUE"""),"")</f>
        <v/>
      </c>
      <c r="G5334" t="str">
        <f>IFERROR(__xludf.DUMMYFUNCTION("""COMPUTED_VALUE"""),"")</f>
        <v/>
      </c>
      <c r="H5334" s="2" t="str">
        <f>IFERROR(__xludf.DUMMYFUNCTION("""COMPUTED_VALUE"""),"")</f>
        <v/>
      </c>
      <c r="I5334" s="2" t="str">
        <f>IFERROR(__xludf.DUMMYFUNCTION("""COMPUTED_VALUE"""),"")</f>
        <v/>
      </c>
      <c r="J5334" s="2">
        <f>IFERROR(__xludf.DUMMYFUNCTION("""COMPUTED_VALUE"""),0.0)</f>
        <v>0</v>
      </c>
      <c r="K5334" s="5" t="str">
        <f>IFERROR(__xludf.DUMMYFUNCTION("""COMPUTED_VALUE"""),"")</f>
        <v/>
      </c>
      <c r="L5334" t="str">
        <f>IFERROR(__xludf.DUMMYFUNCTION("""COMPUTED_VALUE"""),"")</f>
        <v/>
      </c>
      <c r="M5334" t="str">
        <f>IFERROR(__xludf.DUMMYFUNCTION("""COMPUTED_VALUE"""),"")</f>
        <v/>
      </c>
      <c r="N5334" t="str">
        <f>IFERROR(__xludf.DUMMYFUNCTION("""COMPUTED_VALUE"""),"")</f>
        <v/>
      </c>
      <c r="O5334" t="str">
        <f>IFERROR(__xludf.DUMMYFUNCTION("""COMPUTED_VALUE"""),"")</f>
        <v/>
      </c>
      <c r="P5334" t="str">
        <f>IFERROR(__xludf.DUMMYFUNCTION("""COMPUTED_VALUE"""),"ID ")</f>
        <v>ID </v>
      </c>
    </row>
    <row r="5335">
      <c r="A5335" s="6" t="str">
        <f>IFERROR(__xludf.DUMMYFUNCTION("""COMPUTED_VALUE"""),"")</f>
        <v/>
      </c>
      <c r="C5335" t="str">
        <f>IFERROR(__xludf.DUMMYFUNCTION("""COMPUTED_VALUE"""),"")</f>
        <v/>
      </c>
      <c r="D5335" t="str">
        <f>IFERROR(__xludf.DUMMYFUNCTION("""COMPUTED_VALUE"""),"")</f>
        <v/>
      </c>
      <c r="E5335" t="str">
        <f>IFERROR(__xludf.DUMMYFUNCTION("""COMPUTED_VALUE"""),"")</f>
        <v/>
      </c>
      <c r="F5335" t="str">
        <f>IFERROR(__xludf.DUMMYFUNCTION("""COMPUTED_VALUE"""),"")</f>
        <v/>
      </c>
      <c r="G5335" t="str">
        <f>IFERROR(__xludf.DUMMYFUNCTION("""COMPUTED_VALUE"""),"")</f>
        <v/>
      </c>
      <c r="H5335" s="2" t="str">
        <f>IFERROR(__xludf.DUMMYFUNCTION("""COMPUTED_VALUE"""),"")</f>
        <v/>
      </c>
      <c r="I5335" s="2" t="str">
        <f>IFERROR(__xludf.DUMMYFUNCTION("""COMPUTED_VALUE"""),"")</f>
        <v/>
      </c>
      <c r="J5335" s="2">
        <f>IFERROR(__xludf.DUMMYFUNCTION("""COMPUTED_VALUE"""),0.0)</f>
        <v>0</v>
      </c>
      <c r="K5335" s="5" t="str">
        <f>IFERROR(__xludf.DUMMYFUNCTION("""COMPUTED_VALUE"""),"")</f>
        <v/>
      </c>
      <c r="L5335" t="str">
        <f>IFERROR(__xludf.DUMMYFUNCTION("""COMPUTED_VALUE"""),"")</f>
        <v/>
      </c>
      <c r="M5335" t="str">
        <f>IFERROR(__xludf.DUMMYFUNCTION("""COMPUTED_VALUE"""),"")</f>
        <v/>
      </c>
      <c r="N5335" t="str">
        <f>IFERROR(__xludf.DUMMYFUNCTION("""COMPUTED_VALUE"""),"")</f>
        <v/>
      </c>
      <c r="O5335" t="str">
        <f>IFERROR(__xludf.DUMMYFUNCTION("""COMPUTED_VALUE"""),"")</f>
        <v/>
      </c>
      <c r="P5335" t="str">
        <f>IFERROR(__xludf.DUMMYFUNCTION("""COMPUTED_VALUE"""),"ID ")</f>
        <v>ID </v>
      </c>
    </row>
    <row r="5336">
      <c r="A5336" s="6" t="str">
        <f>IFERROR(__xludf.DUMMYFUNCTION("""COMPUTED_VALUE"""),"")</f>
        <v/>
      </c>
      <c r="C5336" t="str">
        <f>IFERROR(__xludf.DUMMYFUNCTION("""COMPUTED_VALUE"""),"")</f>
        <v/>
      </c>
      <c r="D5336" t="str">
        <f>IFERROR(__xludf.DUMMYFUNCTION("""COMPUTED_VALUE"""),"")</f>
        <v/>
      </c>
      <c r="E5336" t="str">
        <f>IFERROR(__xludf.DUMMYFUNCTION("""COMPUTED_VALUE"""),"")</f>
        <v/>
      </c>
      <c r="F5336" t="str">
        <f>IFERROR(__xludf.DUMMYFUNCTION("""COMPUTED_VALUE"""),"")</f>
        <v/>
      </c>
      <c r="G5336" t="str">
        <f>IFERROR(__xludf.DUMMYFUNCTION("""COMPUTED_VALUE"""),"")</f>
        <v/>
      </c>
      <c r="H5336" s="2" t="str">
        <f>IFERROR(__xludf.DUMMYFUNCTION("""COMPUTED_VALUE"""),"")</f>
        <v/>
      </c>
      <c r="I5336" s="2" t="str">
        <f>IFERROR(__xludf.DUMMYFUNCTION("""COMPUTED_VALUE"""),"")</f>
        <v/>
      </c>
      <c r="J5336" s="2">
        <f>IFERROR(__xludf.DUMMYFUNCTION("""COMPUTED_VALUE"""),0.0)</f>
        <v>0</v>
      </c>
      <c r="K5336" s="5" t="str">
        <f>IFERROR(__xludf.DUMMYFUNCTION("""COMPUTED_VALUE"""),"")</f>
        <v/>
      </c>
      <c r="L5336" t="str">
        <f>IFERROR(__xludf.DUMMYFUNCTION("""COMPUTED_VALUE"""),"")</f>
        <v/>
      </c>
      <c r="M5336" t="str">
        <f>IFERROR(__xludf.DUMMYFUNCTION("""COMPUTED_VALUE"""),"")</f>
        <v/>
      </c>
      <c r="N5336" t="str">
        <f>IFERROR(__xludf.DUMMYFUNCTION("""COMPUTED_VALUE"""),"")</f>
        <v/>
      </c>
      <c r="O5336" t="str">
        <f>IFERROR(__xludf.DUMMYFUNCTION("""COMPUTED_VALUE"""),"")</f>
        <v/>
      </c>
      <c r="P5336" t="str">
        <f>IFERROR(__xludf.DUMMYFUNCTION("""COMPUTED_VALUE"""),"ID ")</f>
        <v>ID </v>
      </c>
    </row>
    <row r="5337">
      <c r="A5337" s="6" t="str">
        <f>IFERROR(__xludf.DUMMYFUNCTION("""COMPUTED_VALUE"""),"")</f>
        <v/>
      </c>
      <c r="C5337" t="str">
        <f>IFERROR(__xludf.DUMMYFUNCTION("""COMPUTED_VALUE"""),"")</f>
        <v/>
      </c>
      <c r="D5337" t="str">
        <f>IFERROR(__xludf.DUMMYFUNCTION("""COMPUTED_VALUE"""),"")</f>
        <v/>
      </c>
      <c r="E5337" t="str">
        <f>IFERROR(__xludf.DUMMYFUNCTION("""COMPUTED_VALUE"""),"")</f>
        <v/>
      </c>
      <c r="F5337" t="str">
        <f>IFERROR(__xludf.DUMMYFUNCTION("""COMPUTED_VALUE"""),"")</f>
        <v/>
      </c>
      <c r="G5337" t="str">
        <f>IFERROR(__xludf.DUMMYFUNCTION("""COMPUTED_VALUE"""),"")</f>
        <v/>
      </c>
      <c r="H5337" s="2" t="str">
        <f>IFERROR(__xludf.DUMMYFUNCTION("""COMPUTED_VALUE"""),"")</f>
        <v/>
      </c>
      <c r="I5337" s="2" t="str">
        <f>IFERROR(__xludf.DUMMYFUNCTION("""COMPUTED_VALUE"""),"")</f>
        <v/>
      </c>
      <c r="J5337" s="2">
        <f>IFERROR(__xludf.DUMMYFUNCTION("""COMPUTED_VALUE"""),0.0)</f>
        <v>0</v>
      </c>
      <c r="K5337" s="5" t="str">
        <f>IFERROR(__xludf.DUMMYFUNCTION("""COMPUTED_VALUE"""),"")</f>
        <v/>
      </c>
      <c r="L5337" t="str">
        <f>IFERROR(__xludf.DUMMYFUNCTION("""COMPUTED_VALUE"""),"")</f>
        <v/>
      </c>
      <c r="M5337" t="str">
        <f>IFERROR(__xludf.DUMMYFUNCTION("""COMPUTED_VALUE"""),"")</f>
        <v/>
      </c>
      <c r="N5337" t="str">
        <f>IFERROR(__xludf.DUMMYFUNCTION("""COMPUTED_VALUE"""),"")</f>
        <v/>
      </c>
      <c r="O5337" t="str">
        <f>IFERROR(__xludf.DUMMYFUNCTION("""COMPUTED_VALUE"""),"")</f>
        <v/>
      </c>
      <c r="P5337" t="str">
        <f>IFERROR(__xludf.DUMMYFUNCTION("""COMPUTED_VALUE"""),"ID ")</f>
        <v>ID </v>
      </c>
    </row>
    <row r="5338">
      <c r="A5338" s="6" t="str">
        <f>IFERROR(__xludf.DUMMYFUNCTION("""COMPUTED_VALUE"""),"")</f>
        <v/>
      </c>
      <c r="C5338" t="str">
        <f>IFERROR(__xludf.DUMMYFUNCTION("""COMPUTED_VALUE"""),"")</f>
        <v/>
      </c>
      <c r="D5338" t="str">
        <f>IFERROR(__xludf.DUMMYFUNCTION("""COMPUTED_VALUE"""),"")</f>
        <v/>
      </c>
      <c r="E5338" t="str">
        <f>IFERROR(__xludf.DUMMYFUNCTION("""COMPUTED_VALUE"""),"")</f>
        <v/>
      </c>
      <c r="F5338" t="str">
        <f>IFERROR(__xludf.DUMMYFUNCTION("""COMPUTED_VALUE"""),"")</f>
        <v/>
      </c>
      <c r="G5338" t="str">
        <f>IFERROR(__xludf.DUMMYFUNCTION("""COMPUTED_VALUE"""),"")</f>
        <v/>
      </c>
      <c r="H5338" s="2" t="str">
        <f>IFERROR(__xludf.DUMMYFUNCTION("""COMPUTED_VALUE"""),"")</f>
        <v/>
      </c>
      <c r="I5338" s="2" t="str">
        <f>IFERROR(__xludf.DUMMYFUNCTION("""COMPUTED_VALUE"""),"")</f>
        <v/>
      </c>
      <c r="J5338" s="2">
        <f>IFERROR(__xludf.DUMMYFUNCTION("""COMPUTED_VALUE"""),0.0)</f>
        <v>0</v>
      </c>
      <c r="K5338" s="5" t="str">
        <f>IFERROR(__xludf.DUMMYFUNCTION("""COMPUTED_VALUE"""),"")</f>
        <v/>
      </c>
      <c r="L5338" t="str">
        <f>IFERROR(__xludf.DUMMYFUNCTION("""COMPUTED_VALUE"""),"")</f>
        <v/>
      </c>
      <c r="M5338" t="str">
        <f>IFERROR(__xludf.DUMMYFUNCTION("""COMPUTED_VALUE"""),"")</f>
        <v/>
      </c>
      <c r="N5338" t="str">
        <f>IFERROR(__xludf.DUMMYFUNCTION("""COMPUTED_VALUE"""),"")</f>
        <v/>
      </c>
      <c r="O5338" t="str">
        <f>IFERROR(__xludf.DUMMYFUNCTION("""COMPUTED_VALUE"""),"")</f>
        <v/>
      </c>
      <c r="P5338" t="str">
        <f>IFERROR(__xludf.DUMMYFUNCTION("""COMPUTED_VALUE"""),"ID ")</f>
        <v>ID </v>
      </c>
    </row>
    <row r="5339">
      <c r="A5339" s="6" t="str">
        <f>IFERROR(__xludf.DUMMYFUNCTION("""COMPUTED_VALUE"""),"")</f>
        <v/>
      </c>
      <c r="C5339" t="str">
        <f>IFERROR(__xludf.DUMMYFUNCTION("""COMPUTED_VALUE"""),"")</f>
        <v/>
      </c>
      <c r="D5339" t="str">
        <f>IFERROR(__xludf.DUMMYFUNCTION("""COMPUTED_VALUE"""),"")</f>
        <v/>
      </c>
      <c r="E5339" t="str">
        <f>IFERROR(__xludf.DUMMYFUNCTION("""COMPUTED_VALUE"""),"")</f>
        <v/>
      </c>
      <c r="F5339" t="str">
        <f>IFERROR(__xludf.DUMMYFUNCTION("""COMPUTED_VALUE"""),"")</f>
        <v/>
      </c>
      <c r="G5339" t="str">
        <f>IFERROR(__xludf.DUMMYFUNCTION("""COMPUTED_VALUE"""),"")</f>
        <v/>
      </c>
      <c r="H5339" s="2" t="str">
        <f>IFERROR(__xludf.DUMMYFUNCTION("""COMPUTED_VALUE"""),"")</f>
        <v/>
      </c>
      <c r="I5339" s="2" t="str">
        <f>IFERROR(__xludf.DUMMYFUNCTION("""COMPUTED_VALUE"""),"")</f>
        <v/>
      </c>
      <c r="J5339" s="2">
        <f>IFERROR(__xludf.DUMMYFUNCTION("""COMPUTED_VALUE"""),0.0)</f>
        <v>0</v>
      </c>
      <c r="K5339" s="5" t="str">
        <f>IFERROR(__xludf.DUMMYFUNCTION("""COMPUTED_VALUE"""),"")</f>
        <v/>
      </c>
      <c r="L5339" t="str">
        <f>IFERROR(__xludf.DUMMYFUNCTION("""COMPUTED_VALUE"""),"")</f>
        <v/>
      </c>
      <c r="M5339" t="str">
        <f>IFERROR(__xludf.DUMMYFUNCTION("""COMPUTED_VALUE"""),"")</f>
        <v/>
      </c>
      <c r="N5339" t="str">
        <f>IFERROR(__xludf.DUMMYFUNCTION("""COMPUTED_VALUE"""),"")</f>
        <v/>
      </c>
      <c r="O5339" t="str">
        <f>IFERROR(__xludf.DUMMYFUNCTION("""COMPUTED_VALUE"""),"")</f>
        <v/>
      </c>
      <c r="P5339" t="str">
        <f>IFERROR(__xludf.DUMMYFUNCTION("""COMPUTED_VALUE"""),"ID ")</f>
        <v>ID </v>
      </c>
    </row>
    <row r="5340">
      <c r="A5340" s="6" t="str">
        <f>IFERROR(__xludf.DUMMYFUNCTION("""COMPUTED_VALUE"""),"")</f>
        <v/>
      </c>
      <c r="C5340" t="str">
        <f>IFERROR(__xludf.DUMMYFUNCTION("""COMPUTED_VALUE"""),"")</f>
        <v/>
      </c>
      <c r="D5340" t="str">
        <f>IFERROR(__xludf.DUMMYFUNCTION("""COMPUTED_VALUE"""),"")</f>
        <v/>
      </c>
      <c r="E5340" t="str">
        <f>IFERROR(__xludf.DUMMYFUNCTION("""COMPUTED_VALUE"""),"")</f>
        <v/>
      </c>
      <c r="F5340" t="str">
        <f>IFERROR(__xludf.DUMMYFUNCTION("""COMPUTED_VALUE"""),"")</f>
        <v/>
      </c>
      <c r="G5340" t="str">
        <f>IFERROR(__xludf.DUMMYFUNCTION("""COMPUTED_VALUE"""),"")</f>
        <v/>
      </c>
      <c r="H5340" s="2" t="str">
        <f>IFERROR(__xludf.DUMMYFUNCTION("""COMPUTED_VALUE"""),"")</f>
        <v/>
      </c>
      <c r="I5340" s="2" t="str">
        <f>IFERROR(__xludf.DUMMYFUNCTION("""COMPUTED_VALUE"""),"")</f>
        <v/>
      </c>
      <c r="J5340" s="2">
        <f>IFERROR(__xludf.DUMMYFUNCTION("""COMPUTED_VALUE"""),0.0)</f>
        <v>0</v>
      </c>
      <c r="K5340" s="5" t="str">
        <f>IFERROR(__xludf.DUMMYFUNCTION("""COMPUTED_VALUE"""),"")</f>
        <v/>
      </c>
      <c r="L5340" t="str">
        <f>IFERROR(__xludf.DUMMYFUNCTION("""COMPUTED_VALUE"""),"")</f>
        <v/>
      </c>
      <c r="M5340" t="str">
        <f>IFERROR(__xludf.DUMMYFUNCTION("""COMPUTED_VALUE"""),"")</f>
        <v/>
      </c>
      <c r="N5340" t="str">
        <f>IFERROR(__xludf.DUMMYFUNCTION("""COMPUTED_VALUE"""),"")</f>
        <v/>
      </c>
      <c r="O5340" t="str">
        <f>IFERROR(__xludf.DUMMYFUNCTION("""COMPUTED_VALUE"""),"")</f>
        <v/>
      </c>
      <c r="P5340" t="str">
        <f>IFERROR(__xludf.DUMMYFUNCTION("""COMPUTED_VALUE"""),"ID ")</f>
        <v>ID </v>
      </c>
    </row>
    <row r="5341">
      <c r="A5341" s="6" t="str">
        <f>IFERROR(__xludf.DUMMYFUNCTION("""COMPUTED_VALUE"""),"")</f>
        <v/>
      </c>
      <c r="C5341" t="str">
        <f>IFERROR(__xludf.DUMMYFUNCTION("""COMPUTED_VALUE"""),"")</f>
        <v/>
      </c>
      <c r="D5341" t="str">
        <f>IFERROR(__xludf.DUMMYFUNCTION("""COMPUTED_VALUE"""),"")</f>
        <v/>
      </c>
      <c r="E5341" t="str">
        <f>IFERROR(__xludf.DUMMYFUNCTION("""COMPUTED_VALUE"""),"")</f>
        <v/>
      </c>
      <c r="F5341" t="str">
        <f>IFERROR(__xludf.DUMMYFUNCTION("""COMPUTED_VALUE"""),"")</f>
        <v/>
      </c>
      <c r="G5341" t="str">
        <f>IFERROR(__xludf.DUMMYFUNCTION("""COMPUTED_VALUE"""),"")</f>
        <v/>
      </c>
      <c r="H5341" s="2" t="str">
        <f>IFERROR(__xludf.DUMMYFUNCTION("""COMPUTED_VALUE"""),"")</f>
        <v/>
      </c>
      <c r="I5341" s="2" t="str">
        <f>IFERROR(__xludf.DUMMYFUNCTION("""COMPUTED_VALUE"""),"")</f>
        <v/>
      </c>
      <c r="J5341" s="2">
        <f>IFERROR(__xludf.DUMMYFUNCTION("""COMPUTED_VALUE"""),0.0)</f>
        <v>0</v>
      </c>
      <c r="K5341" s="5" t="str">
        <f>IFERROR(__xludf.DUMMYFUNCTION("""COMPUTED_VALUE"""),"")</f>
        <v/>
      </c>
      <c r="L5341" t="str">
        <f>IFERROR(__xludf.DUMMYFUNCTION("""COMPUTED_VALUE"""),"")</f>
        <v/>
      </c>
      <c r="M5341" t="str">
        <f>IFERROR(__xludf.DUMMYFUNCTION("""COMPUTED_VALUE"""),"")</f>
        <v/>
      </c>
      <c r="N5341" t="str">
        <f>IFERROR(__xludf.DUMMYFUNCTION("""COMPUTED_VALUE"""),"")</f>
        <v/>
      </c>
      <c r="O5341" t="str">
        <f>IFERROR(__xludf.DUMMYFUNCTION("""COMPUTED_VALUE"""),"")</f>
        <v/>
      </c>
      <c r="P5341" t="str">
        <f>IFERROR(__xludf.DUMMYFUNCTION("""COMPUTED_VALUE"""),"ID ")</f>
        <v>ID </v>
      </c>
    </row>
    <row r="5342">
      <c r="A5342" s="6" t="str">
        <f>IFERROR(__xludf.DUMMYFUNCTION("""COMPUTED_VALUE"""),"")</f>
        <v/>
      </c>
      <c r="C5342" t="str">
        <f>IFERROR(__xludf.DUMMYFUNCTION("""COMPUTED_VALUE"""),"")</f>
        <v/>
      </c>
      <c r="D5342" t="str">
        <f>IFERROR(__xludf.DUMMYFUNCTION("""COMPUTED_VALUE"""),"")</f>
        <v/>
      </c>
      <c r="E5342" t="str">
        <f>IFERROR(__xludf.DUMMYFUNCTION("""COMPUTED_VALUE"""),"")</f>
        <v/>
      </c>
      <c r="F5342" t="str">
        <f>IFERROR(__xludf.DUMMYFUNCTION("""COMPUTED_VALUE"""),"")</f>
        <v/>
      </c>
      <c r="G5342" t="str">
        <f>IFERROR(__xludf.DUMMYFUNCTION("""COMPUTED_VALUE"""),"")</f>
        <v/>
      </c>
      <c r="H5342" s="2" t="str">
        <f>IFERROR(__xludf.DUMMYFUNCTION("""COMPUTED_VALUE"""),"")</f>
        <v/>
      </c>
      <c r="I5342" s="2" t="str">
        <f>IFERROR(__xludf.DUMMYFUNCTION("""COMPUTED_VALUE"""),"")</f>
        <v/>
      </c>
      <c r="J5342" s="2">
        <f>IFERROR(__xludf.DUMMYFUNCTION("""COMPUTED_VALUE"""),0.0)</f>
        <v>0</v>
      </c>
      <c r="K5342" s="5" t="str">
        <f>IFERROR(__xludf.DUMMYFUNCTION("""COMPUTED_VALUE"""),"")</f>
        <v/>
      </c>
      <c r="L5342" t="str">
        <f>IFERROR(__xludf.DUMMYFUNCTION("""COMPUTED_VALUE"""),"")</f>
        <v/>
      </c>
      <c r="M5342" t="str">
        <f>IFERROR(__xludf.DUMMYFUNCTION("""COMPUTED_VALUE"""),"")</f>
        <v/>
      </c>
      <c r="N5342" t="str">
        <f>IFERROR(__xludf.DUMMYFUNCTION("""COMPUTED_VALUE"""),"")</f>
        <v/>
      </c>
      <c r="O5342" t="str">
        <f>IFERROR(__xludf.DUMMYFUNCTION("""COMPUTED_VALUE"""),"")</f>
        <v/>
      </c>
      <c r="P5342" t="str">
        <f>IFERROR(__xludf.DUMMYFUNCTION("""COMPUTED_VALUE"""),"ID ")</f>
        <v>ID </v>
      </c>
    </row>
    <row r="5343">
      <c r="A5343" s="6" t="str">
        <f>IFERROR(__xludf.DUMMYFUNCTION("""COMPUTED_VALUE"""),"")</f>
        <v/>
      </c>
      <c r="C5343" t="str">
        <f>IFERROR(__xludf.DUMMYFUNCTION("""COMPUTED_VALUE"""),"")</f>
        <v/>
      </c>
      <c r="D5343" t="str">
        <f>IFERROR(__xludf.DUMMYFUNCTION("""COMPUTED_VALUE"""),"")</f>
        <v/>
      </c>
      <c r="E5343" t="str">
        <f>IFERROR(__xludf.DUMMYFUNCTION("""COMPUTED_VALUE"""),"")</f>
        <v/>
      </c>
      <c r="F5343" t="str">
        <f>IFERROR(__xludf.DUMMYFUNCTION("""COMPUTED_VALUE"""),"")</f>
        <v/>
      </c>
      <c r="G5343" t="str">
        <f>IFERROR(__xludf.DUMMYFUNCTION("""COMPUTED_VALUE"""),"")</f>
        <v/>
      </c>
      <c r="H5343" s="2" t="str">
        <f>IFERROR(__xludf.DUMMYFUNCTION("""COMPUTED_VALUE"""),"")</f>
        <v/>
      </c>
      <c r="I5343" s="2" t="str">
        <f>IFERROR(__xludf.DUMMYFUNCTION("""COMPUTED_VALUE"""),"")</f>
        <v/>
      </c>
      <c r="J5343" s="2">
        <f>IFERROR(__xludf.DUMMYFUNCTION("""COMPUTED_VALUE"""),0.0)</f>
        <v>0</v>
      </c>
      <c r="K5343" s="5" t="str">
        <f>IFERROR(__xludf.DUMMYFUNCTION("""COMPUTED_VALUE"""),"")</f>
        <v/>
      </c>
      <c r="L5343" t="str">
        <f>IFERROR(__xludf.DUMMYFUNCTION("""COMPUTED_VALUE"""),"")</f>
        <v/>
      </c>
      <c r="M5343" t="str">
        <f>IFERROR(__xludf.DUMMYFUNCTION("""COMPUTED_VALUE"""),"")</f>
        <v/>
      </c>
      <c r="N5343" t="str">
        <f>IFERROR(__xludf.DUMMYFUNCTION("""COMPUTED_VALUE"""),"")</f>
        <v/>
      </c>
      <c r="O5343" t="str">
        <f>IFERROR(__xludf.DUMMYFUNCTION("""COMPUTED_VALUE"""),"")</f>
        <v/>
      </c>
      <c r="P5343" t="str">
        <f>IFERROR(__xludf.DUMMYFUNCTION("""COMPUTED_VALUE"""),"ID ")</f>
        <v>ID </v>
      </c>
    </row>
    <row r="5344">
      <c r="A5344" s="6" t="str">
        <f>IFERROR(__xludf.DUMMYFUNCTION("""COMPUTED_VALUE"""),"")</f>
        <v/>
      </c>
      <c r="C5344" t="str">
        <f>IFERROR(__xludf.DUMMYFUNCTION("""COMPUTED_VALUE"""),"")</f>
        <v/>
      </c>
      <c r="D5344" t="str">
        <f>IFERROR(__xludf.DUMMYFUNCTION("""COMPUTED_VALUE"""),"")</f>
        <v/>
      </c>
      <c r="E5344" t="str">
        <f>IFERROR(__xludf.DUMMYFUNCTION("""COMPUTED_VALUE"""),"")</f>
        <v/>
      </c>
      <c r="F5344" t="str">
        <f>IFERROR(__xludf.DUMMYFUNCTION("""COMPUTED_VALUE"""),"")</f>
        <v/>
      </c>
      <c r="G5344" t="str">
        <f>IFERROR(__xludf.DUMMYFUNCTION("""COMPUTED_VALUE"""),"")</f>
        <v/>
      </c>
      <c r="H5344" s="2" t="str">
        <f>IFERROR(__xludf.DUMMYFUNCTION("""COMPUTED_VALUE"""),"")</f>
        <v/>
      </c>
      <c r="I5344" s="2" t="str">
        <f>IFERROR(__xludf.DUMMYFUNCTION("""COMPUTED_VALUE"""),"")</f>
        <v/>
      </c>
      <c r="J5344" s="2">
        <f>IFERROR(__xludf.DUMMYFUNCTION("""COMPUTED_VALUE"""),0.0)</f>
        <v>0</v>
      </c>
      <c r="K5344" s="5" t="str">
        <f>IFERROR(__xludf.DUMMYFUNCTION("""COMPUTED_VALUE"""),"")</f>
        <v/>
      </c>
      <c r="L5344" t="str">
        <f>IFERROR(__xludf.DUMMYFUNCTION("""COMPUTED_VALUE"""),"")</f>
        <v/>
      </c>
      <c r="M5344" t="str">
        <f>IFERROR(__xludf.DUMMYFUNCTION("""COMPUTED_VALUE"""),"")</f>
        <v/>
      </c>
      <c r="N5344" t="str">
        <f>IFERROR(__xludf.DUMMYFUNCTION("""COMPUTED_VALUE"""),"")</f>
        <v/>
      </c>
      <c r="O5344" t="str">
        <f>IFERROR(__xludf.DUMMYFUNCTION("""COMPUTED_VALUE"""),"")</f>
        <v/>
      </c>
      <c r="P5344" t="str">
        <f>IFERROR(__xludf.DUMMYFUNCTION("""COMPUTED_VALUE"""),"ID ")</f>
        <v>ID </v>
      </c>
    </row>
    <row r="5345">
      <c r="A5345" s="6" t="str">
        <f>IFERROR(__xludf.DUMMYFUNCTION("""COMPUTED_VALUE"""),"")</f>
        <v/>
      </c>
      <c r="C5345" t="str">
        <f>IFERROR(__xludf.DUMMYFUNCTION("""COMPUTED_VALUE"""),"")</f>
        <v/>
      </c>
      <c r="D5345" t="str">
        <f>IFERROR(__xludf.DUMMYFUNCTION("""COMPUTED_VALUE"""),"")</f>
        <v/>
      </c>
      <c r="E5345" t="str">
        <f>IFERROR(__xludf.DUMMYFUNCTION("""COMPUTED_VALUE"""),"")</f>
        <v/>
      </c>
      <c r="F5345" t="str">
        <f>IFERROR(__xludf.DUMMYFUNCTION("""COMPUTED_VALUE"""),"")</f>
        <v/>
      </c>
      <c r="G5345" t="str">
        <f>IFERROR(__xludf.DUMMYFUNCTION("""COMPUTED_VALUE"""),"")</f>
        <v/>
      </c>
      <c r="H5345" s="2" t="str">
        <f>IFERROR(__xludf.DUMMYFUNCTION("""COMPUTED_VALUE"""),"")</f>
        <v/>
      </c>
      <c r="I5345" s="2" t="str">
        <f>IFERROR(__xludf.DUMMYFUNCTION("""COMPUTED_VALUE"""),"")</f>
        <v/>
      </c>
      <c r="J5345" s="2">
        <f>IFERROR(__xludf.DUMMYFUNCTION("""COMPUTED_VALUE"""),0.0)</f>
        <v>0</v>
      </c>
      <c r="K5345" s="5" t="str">
        <f>IFERROR(__xludf.DUMMYFUNCTION("""COMPUTED_VALUE"""),"")</f>
        <v/>
      </c>
      <c r="L5345" t="str">
        <f>IFERROR(__xludf.DUMMYFUNCTION("""COMPUTED_VALUE"""),"")</f>
        <v/>
      </c>
      <c r="M5345" t="str">
        <f>IFERROR(__xludf.DUMMYFUNCTION("""COMPUTED_VALUE"""),"")</f>
        <v/>
      </c>
      <c r="N5345" t="str">
        <f>IFERROR(__xludf.DUMMYFUNCTION("""COMPUTED_VALUE"""),"")</f>
        <v/>
      </c>
      <c r="O5345" t="str">
        <f>IFERROR(__xludf.DUMMYFUNCTION("""COMPUTED_VALUE"""),"")</f>
        <v/>
      </c>
      <c r="P5345" t="str">
        <f>IFERROR(__xludf.DUMMYFUNCTION("""COMPUTED_VALUE"""),"ID ")</f>
        <v>ID </v>
      </c>
    </row>
    <row r="5346">
      <c r="A5346" s="6" t="str">
        <f>IFERROR(__xludf.DUMMYFUNCTION("""COMPUTED_VALUE"""),"")</f>
        <v/>
      </c>
      <c r="C5346" t="str">
        <f>IFERROR(__xludf.DUMMYFUNCTION("""COMPUTED_VALUE"""),"")</f>
        <v/>
      </c>
      <c r="D5346" t="str">
        <f>IFERROR(__xludf.DUMMYFUNCTION("""COMPUTED_VALUE"""),"")</f>
        <v/>
      </c>
      <c r="E5346" t="str">
        <f>IFERROR(__xludf.DUMMYFUNCTION("""COMPUTED_VALUE"""),"")</f>
        <v/>
      </c>
      <c r="F5346" t="str">
        <f>IFERROR(__xludf.DUMMYFUNCTION("""COMPUTED_VALUE"""),"")</f>
        <v/>
      </c>
      <c r="G5346" t="str">
        <f>IFERROR(__xludf.DUMMYFUNCTION("""COMPUTED_VALUE"""),"")</f>
        <v/>
      </c>
      <c r="H5346" s="2" t="str">
        <f>IFERROR(__xludf.DUMMYFUNCTION("""COMPUTED_VALUE"""),"")</f>
        <v/>
      </c>
      <c r="I5346" s="2" t="str">
        <f>IFERROR(__xludf.DUMMYFUNCTION("""COMPUTED_VALUE"""),"")</f>
        <v/>
      </c>
      <c r="J5346" s="2">
        <f>IFERROR(__xludf.DUMMYFUNCTION("""COMPUTED_VALUE"""),0.0)</f>
        <v>0</v>
      </c>
      <c r="K5346" s="5" t="str">
        <f>IFERROR(__xludf.DUMMYFUNCTION("""COMPUTED_VALUE"""),"")</f>
        <v/>
      </c>
      <c r="L5346" t="str">
        <f>IFERROR(__xludf.DUMMYFUNCTION("""COMPUTED_VALUE"""),"")</f>
        <v/>
      </c>
      <c r="M5346" t="str">
        <f>IFERROR(__xludf.DUMMYFUNCTION("""COMPUTED_VALUE"""),"")</f>
        <v/>
      </c>
      <c r="N5346" t="str">
        <f>IFERROR(__xludf.DUMMYFUNCTION("""COMPUTED_VALUE"""),"")</f>
        <v/>
      </c>
      <c r="O5346" t="str">
        <f>IFERROR(__xludf.DUMMYFUNCTION("""COMPUTED_VALUE"""),"")</f>
        <v/>
      </c>
      <c r="P5346" t="str">
        <f>IFERROR(__xludf.DUMMYFUNCTION("""COMPUTED_VALUE"""),"ID ")</f>
        <v>ID </v>
      </c>
    </row>
    <row r="5347">
      <c r="A5347" s="6" t="str">
        <f>IFERROR(__xludf.DUMMYFUNCTION("""COMPUTED_VALUE"""),"")</f>
        <v/>
      </c>
      <c r="C5347" t="str">
        <f>IFERROR(__xludf.DUMMYFUNCTION("""COMPUTED_VALUE"""),"")</f>
        <v/>
      </c>
      <c r="D5347" t="str">
        <f>IFERROR(__xludf.DUMMYFUNCTION("""COMPUTED_VALUE"""),"")</f>
        <v/>
      </c>
      <c r="E5347" t="str">
        <f>IFERROR(__xludf.DUMMYFUNCTION("""COMPUTED_VALUE"""),"")</f>
        <v/>
      </c>
      <c r="F5347" t="str">
        <f>IFERROR(__xludf.DUMMYFUNCTION("""COMPUTED_VALUE"""),"")</f>
        <v/>
      </c>
      <c r="G5347" t="str">
        <f>IFERROR(__xludf.DUMMYFUNCTION("""COMPUTED_VALUE"""),"")</f>
        <v/>
      </c>
      <c r="H5347" s="2" t="str">
        <f>IFERROR(__xludf.DUMMYFUNCTION("""COMPUTED_VALUE"""),"")</f>
        <v/>
      </c>
      <c r="I5347" s="2" t="str">
        <f>IFERROR(__xludf.DUMMYFUNCTION("""COMPUTED_VALUE"""),"")</f>
        <v/>
      </c>
      <c r="J5347" s="2">
        <f>IFERROR(__xludf.DUMMYFUNCTION("""COMPUTED_VALUE"""),0.0)</f>
        <v>0</v>
      </c>
      <c r="K5347" s="5" t="str">
        <f>IFERROR(__xludf.DUMMYFUNCTION("""COMPUTED_VALUE"""),"")</f>
        <v/>
      </c>
      <c r="L5347" t="str">
        <f>IFERROR(__xludf.DUMMYFUNCTION("""COMPUTED_VALUE"""),"")</f>
        <v/>
      </c>
      <c r="M5347" t="str">
        <f>IFERROR(__xludf.DUMMYFUNCTION("""COMPUTED_VALUE"""),"")</f>
        <v/>
      </c>
      <c r="N5347" t="str">
        <f>IFERROR(__xludf.DUMMYFUNCTION("""COMPUTED_VALUE"""),"")</f>
        <v/>
      </c>
      <c r="O5347" t="str">
        <f>IFERROR(__xludf.DUMMYFUNCTION("""COMPUTED_VALUE"""),"")</f>
        <v/>
      </c>
      <c r="P5347" t="str">
        <f>IFERROR(__xludf.DUMMYFUNCTION("""COMPUTED_VALUE"""),"ID ")</f>
        <v>ID </v>
      </c>
    </row>
    <row r="5348">
      <c r="A5348" s="6" t="str">
        <f>IFERROR(__xludf.DUMMYFUNCTION("""COMPUTED_VALUE"""),"")</f>
        <v/>
      </c>
      <c r="C5348" t="str">
        <f>IFERROR(__xludf.DUMMYFUNCTION("""COMPUTED_VALUE"""),"")</f>
        <v/>
      </c>
      <c r="D5348" t="str">
        <f>IFERROR(__xludf.DUMMYFUNCTION("""COMPUTED_VALUE"""),"")</f>
        <v/>
      </c>
      <c r="E5348" t="str">
        <f>IFERROR(__xludf.DUMMYFUNCTION("""COMPUTED_VALUE"""),"")</f>
        <v/>
      </c>
      <c r="F5348" t="str">
        <f>IFERROR(__xludf.DUMMYFUNCTION("""COMPUTED_VALUE"""),"")</f>
        <v/>
      </c>
      <c r="G5348" t="str">
        <f>IFERROR(__xludf.DUMMYFUNCTION("""COMPUTED_VALUE"""),"")</f>
        <v/>
      </c>
      <c r="H5348" s="2" t="str">
        <f>IFERROR(__xludf.DUMMYFUNCTION("""COMPUTED_VALUE"""),"")</f>
        <v/>
      </c>
      <c r="I5348" s="2" t="str">
        <f>IFERROR(__xludf.DUMMYFUNCTION("""COMPUTED_VALUE"""),"")</f>
        <v/>
      </c>
      <c r="J5348" s="2">
        <f>IFERROR(__xludf.DUMMYFUNCTION("""COMPUTED_VALUE"""),0.0)</f>
        <v>0</v>
      </c>
      <c r="K5348" s="5" t="str">
        <f>IFERROR(__xludf.DUMMYFUNCTION("""COMPUTED_VALUE"""),"")</f>
        <v/>
      </c>
      <c r="L5348" t="str">
        <f>IFERROR(__xludf.DUMMYFUNCTION("""COMPUTED_VALUE"""),"")</f>
        <v/>
      </c>
      <c r="M5348" t="str">
        <f>IFERROR(__xludf.DUMMYFUNCTION("""COMPUTED_VALUE"""),"")</f>
        <v/>
      </c>
      <c r="N5348" t="str">
        <f>IFERROR(__xludf.DUMMYFUNCTION("""COMPUTED_VALUE"""),"")</f>
        <v/>
      </c>
      <c r="O5348" t="str">
        <f>IFERROR(__xludf.DUMMYFUNCTION("""COMPUTED_VALUE"""),"")</f>
        <v/>
      </c>
      <c r="P5348" t="str">
        <f>IFERROR(__xludf.DUMMYFUNCTION("""COMPUTED_VALUE"""),"ID ")</f>
        <v>ID </v>
      </c>
    </row>
    <row r="5349">
      <c r="A5349" s="6" t="str">
        <f>IFERROR(__xludf.DUMMYFUNCTION("""COMPUTED_VALUE"""),"")</f>
        <v/>
      </c>
      <c r="C5349" t="str">
        <f>IFERROR(__xludf.DUMMYFUNCTION("""COMPUTED_VALUE"""),"")</f>
        <v/>
      </c>
      <c r="D5349" t="str">
        <f>IFERROR(__xludf.DUMMYFUNCTION("""COMPUTED_VALUE"""),"")</f>
        <v/>
      </c>
      <c r="E5349" t="str">
        <f>IFERROR(__xludf.DUMMYFUNCTION("""COMPUTED_VALUE"""),"")</f>
        <v/>
      </c>
      <c r="F5349" t="str">
        <f>IFERROR(__xludf.DUMMYFUNCTION("""COMPUTED_VALUE"""),"")</f>
        <v/>
      </c>
      <c r="G5349" t="str">
        <f>IFERROR(__xludf.DUMMYFUNCTION("""COMPUTED_VALUE"""),"")</f>
        <v/>
      </c>
      <c r="H5349" s="2" t="str">
        <f>IFERROR(__xludf.DUMMYFUNCTION("""COMPUTED_VALUE"""),"")</f>
        <v/>
      </c>
      <c r="I5349" s="2" t="str">
        <f>IFERROR(__xludf.DUMMYFUNCTION("""COMPUTED_VALUE"""),"")</f>
        <v/>
      </c>
      <c r="J5349" s="2">
        <f>IFERROR(__xludf.DUMMYFUNCTION("""COMPUTED_VALUE"""),0.0)</f>
        <v>0</v>
      </c>
      <c r="K5349" s="5" t="str">
        <f>IFERROR(__xludf.DUMMYFUNCTION("""COMPUTED_VALUE"""),"")</f>
        <v/>
      </c>
      <c r="L5349" t="str">
        <f>IFERROR(__xludf.DUMMYFUNCTION("""COMPUTED_VALUE"""),"")</f>
        <v/>
      </c>
      <c r="M5349" t="str">
        <f>IFERROR(__xludf.DUMMYFUNCTION("""COMPUTED_VALUE"""),"")</f>
        <v/>
      </c>
      <c r="N5349" t="str">
        <f>IFERROR(__xludf.DUMMYFUNCTION("""COMPUTED_VALUE"""),"")</f>
        <v/>
      </c>
      <c r="O5349" t="str">
        <f>IFERROR(__xludf.DUMMYFUNCTION("""COMPUTED_VALUE"""),"")</f>
        <v/>
      </c>
      <c r="P5349" t="str">
        <f>IFERROR(__xludf.DUMMYFUNCTION("""COMPUTED_VALUE"""),"ID ")</f>
        <v>ID </v>
      </c>
    </row>
    <row r="5350">
      <c r="A5350" s="6" t="str">
        <f>IFERROR(__xludf.DUMMYFUNCTION("""COMPUTED_VALUE"""),"")</f>
        <v/>
      </c>
      <c r="C5350" t="str">
        <f>IFERROR(__xludf.DUMMYFUNCTION("""COMPUTED_VALUE"""),"")</f>
        <v/>
      </c>
      <c r="D5350" t="str">
        <f>IFERROR(__xludf.DUMMYFUNCTION("""COMPUTED_VALUE"""),"")</f>
        <v/>
      </c>
      <c r="E5350" t="str">
        <f>IFERROR(__xludf.DUMMYFUNCTION("""COMPUTED_VALUE"""),"")</f>
        <v/>
      </c>
      <c r="F5350" t="str">
        <f>IFERROR(__xludf.DUMMYFUNCTION("""COMPUTED_VALUE"""),"")</f>
        <v/>
      </c>
      <c r="G5350" t="str">
        <f>IFERROR(__xludf.DUMMYFUNCTION("""COMPUTED_VALUE"""),"")</f>
        <v/>
      </c>
      <c r="H5350" s="2" t="str">
        <f>IFERROR(__xludf.DUMMYFUNCTION("""COMPUTED_VALUE"""),"")</f>
        <v/>
      </c>
      <c r="I5350" s="2" t="str">
        <f>IFERROR(__xludf.DUMMYFUNCTION("""COMPUTED_VALUE"""),"")</f>
        <v/>
      </c>
      <c r="J5350" s="2">
        <f>IFERROR(__xludf.DUMMYFUNCTION("""COMPUTED_VALUE"""),0.0)</f>
        <v>0</v>
      </c>
      <c r="K5350" s="5" t="str">
        <f>IFERROR(__xludf.DUMMYFUNCTION("""COMPUTED_VALUE"""),"")</f>
        <v/>
      </c>
      <c r="L5350" t="str">
        <f>IFERROR(__xludf.DUMMYFUNCTION("""COMPUTED_VALUE"""),"")</f>
        <v/>
      </c>
      <c r="M5350" t="str">
        <f>IFERROR(__xludf.DUMMYFUNCTION("""COMPUTED_VALUE"""),"")</f>
        <v/>
      </c>
      <c r="N5350" t="str">
        <f>IFERROR(__xludf.DUMMYFUNCTION("""COMPUTED_VALUE"""),"")</f>
        <v/>
      </c>
      <c r="O5350" t="str">
        <f>IFERROR(__xludf.DUMMYFUNCTION("""COMPUTED_VALUE"""),"")</f>
        <v/>
      </c>
      <c r="P5350" t="str">
        <f>IFERROR(__xludf.DUMMYFUNCTION("""COMPUTED_VALUE"""),"ID ")</f>
        <v>ID </v>
      </c>
    </row>
    <row r="5351">
      <c r="A5351" s="6" t="str">
        <f>IFERROR(__xludf.DUMMYFUNCTION("""COMPUTED_VALUE"""),"")</f>
        <v/>
      </c>
      <c r="C5351" t="str">
        <f>IFERROR(__xludf.DUMMYFUNCTION("""COMPUTED_VALUE"""),"")</f>
        <v/>
      </c>
      <c r="D5351" t="str">
        <f>IFERROR(__xludf.DUMMYFUNCTION("""COMPUTED_VALUE"""),"")</f>
        <v/>
      </c>
      <c r="E5351" t="str">
        <f>IFERROR(__xludf.DUMMYFUNCTION("""COMPUTED_VALUE"""),"")</f>
        <v/>
      </c>
      <c r="F5351" t="str">
        <f>IFERROR(__xludf.DUMMYFUNCTION("""COMPUTED_VALUE"""),"")</f>
        <v/>
      </c>
      <c r="G5351" t="str">
        <f>IFERROR(__xludf.DUMMYFUNCTION("""COMPUTED_VALUE"""),"")</f>
        <v/>
      </c>
      <c r="H5351" s="2" t="str">
        <f>IFERROR(__xludf.DUMMYFUNCTION("""COMPUTED_VALUE"""),"")</f>
        <v/>
      </c>
      <c r="I5351" s="2" t="str">
        <f>IFERROR(__xludf.DUMMYFUNCTION("""COMPUTED_VALUE"""),"")</f>
        <v/>
      </c>
      <c r="J5351" s="2">
        <f>IFERROR(__xludf.DUMMYFUNCTION("""COMPUTED_VALUE"""),0.0)</f>
        <v>0</v>
      </c>
      <c r="K5351" s="5" t="str">
        <f>IFERROR(__xludf.DUMMYFUNCTION("""COMPUTED_VALUE"""),"")</f>
        <v/>
      </c>
      <c r="L5351" t="str">
        <f>IFERROR(__xludf.DUMMYFUNCTION("""COMPUTED_VALUE"""),"")</f>
        <v/>
      </c>
      <c r="M5351" t="str">
        <f>IFERROR(__xludf.DUMMYFUNCTION("""COMPUTED_VALUE"""),"")</f>
        <v/>
      </c>
      <c r="N5351" t="str">
        <f>IFERROR(__xludf.DUMMYFUNCTION("""COMPUTED_VALUE"""),"")</f>
        <v/>
      </c>
      <c r="O5351" t="str">
        <f>IFERROR(__xludf.DUMMYFUNCTION("""COMPUTED_VALUE"""),"")</f>
        <v/>
      </c>
      <c r="P5351" t="str">
        <f>IFERROR(__xludf.DUMMYFUNCTION("""COMPUTED_VALUE"""),"ID ")</f>
        <v>ID </v>
      </c>
    </row>
    <row r="5352">
      <c r="A5352" s="6" t="str">
        <f>IFERROR(__xludf.DUMMYFUNCTION("""COMPUTED_VALUE"""),"")</f>
        <v/>
      </c>
      <c r="C5352" t="str">
        <f>IFERROR(__xludf.DUMMYFUNCTION("""COMPUTED_VALUE"""),"")</f>
        <v/>
      </c>
      <c r="D5352" t="str">
        <f>IFERROR(__xludf.DUMMYFUNCTION("""COMPUTED_VALUE"""),"")</f>
        <v/>
      </c>
      <c r="E5352" t="str">
        <f>IFERROR(__xludf.DUMMYFUNCTION("""COMPUTED_VALUE"""),"")</f>
        <v/>
      </c>
      <c r="F5352" t="str">
        <f>IFERROR(__xludf.DUMMYFUNCTION("""COMPUTED_VALUE"""),"")</f>
        <v/>
      </c>
      <c r="G5352" t="str">
        <f>IFERROR(__xludf.DUMMYFUNCTION("""COMPUTED_VALUE"""),"")</f>
        <v/>
      </c>
      <c r="H5352" s="2" t="str">
        <f>IFERROR(__xludf.DUMMYFUNCTION("""COMPUTED_VALUE"""),"")</f>
        <v/>
      </c>
      <c r="I5352" s="2" t="str">
        <f>IFERROR(__xludf.DUMMYFUNCTION("""COMPUTED_VALUE"""),"")</f>
        <v/>
      </c>
      <c r="J5352" s="2">
        <f>IFERROR(__xludf.DUMMYFUNCTION("""COMPUTED_VALUE"""),0.0)</f>
        <v>0</v>
      </c>
      <c r="K5352" s="5" t="str">
        <f>IFERROR(__xludf.DUMMYFUNCTION("""COMPUTED_VALUE"""),"")</f>
        <v/>
      </c>
      <c r="L5352" t="str">
        <f>IFERROR(__xludf.DUMMYFUNCTION("""COMPUTED_VALUE"""),"")</f>
        <v/>
      </c>
      <c r="M5352" t="str">
        <f>IFERROR(__xludf.DUMMYFUNCTION("""COMPUTED_VALUE"""),"")</f>
        <v/>
      </c>
      <c r="N5352" t="str">
        <f>IFERROR(__xludf.DUMMYFUNCTION("""COMPUTED_VALUE"""),"")</f>
        <v/>
      </c>
      <c r="O5352" t="str">
        <f>IFERROR(__xludf.DUMMYFUNCTION("""COMPUTED_VALUE"""),"")</f>
        <v/>
      </c>
      <c r="P5352" t="str">
        <f>IFERROR(__xludf.DUMMYFUNCTION("""COMPUTED_VALUE"""),"ID ")</f>
        <v>ID </v>
      </c>
    </row>
    <row r="5353">
      <c r="A5353" s="6" t="str">
        <f>IFERROR(__xludf.DUMMYFUNCTION("""COMPUTED_VALUE"""),"")</f>
        <v/>
      </c>
      <c r="C5353" t="str">
        <f>IFERROR(__xludf.DUMMYFUNCTION("""COMPUTED_VALUE"""),"")</f>
        <v/>
      </c>
      <c r="D5353" t="str">
        <f>IFERROR(__xludf.DUMMYFUNCTION("""COMPUTED_VALUE"""),"")</f>
        <v/>
      </c>
      <c r="E5353" t="str">
        <f>IFERROR(__xludf.DUMMYFUNCTION("""COMPUTED_VALUE"""),"")</f>
        <v/>
      </c>
      <c r="F5353" t="str">
        <f>IFERROR(__xludf.DUMMYFUNCTION("""COMPUTED_VALUE"""),"")</f>
        <v/>
      </c>
      <c r="G5353" t="str">
        <f>IFERROR(__xludf.DUMMYFUNCTION("""COMPUTED_VALUE"""),"")</f>
        <v/>
      </c>
      <c r="H5353" s="2" t="str">
        <f>IFERROR(__xludf.DUMMYFUNCTION("""COMPUTED_VALUE"""),"")</f>
        <v/>
      </c>
      <c r="I5353" s="2" t="str">
        <f>IFERROR(__xludf.DUMMYFUNCTION("""COMPUTED_VALUE"""),"")</f>
        <v/>
      </c>
      <c r="J5353" s="2">
        <f>IFERROR(__xludf.DUMMYFUNCTION("""COMPUTED_VALUE"""),0.0)</f>
        <v>0</v>
      </c>
      <c r="K5353" s="5" t="str">
        <f>IFERROR(__xludf.DUMMYFUNCTION("""COMPUTED_VALUE"""),"")</f>
        <v/>
      </c>
      <c r="L5353" t="str">
        <f>IFERROR(__xludf.DUMMYFUNCTION("""COMPUTED_VALUE"""),"")</f>
        <v/>
      </c>
      <c r="M5353" t="str">
        <f>IFERROR(__xludf.DUMMYFUNCTION("""COMPUTED_VALUE"""),"")</f>
        <v/>
      </c>
      <c r="N5353" t="str">
        <f>IFERROR(__xludf.DUMMYFUNCTION("""COMPUTED_VALUE"""),"")</f>
        <v/>
      </c>
      <c r="O5353" t="str">
        <f>IFERROR(__xludf.DUMMYFUNCTION("""COMPUTED_VALUE"""),"")</f>
        <v/>
      </c>
      <c r="P5353" t="str">
        <f>IFERROR(__xludf.DUMMYFUNCTION("""COMPUTED_VALUE"""),"ID ")</f>
        <v>ID </v>
      </c>
    </row>
    <row r="5354">
      <c r="A5354" s="6" t="str">
        <f>IFERROR(__xludf.DUMMYFUNCTION("""COMPUTED_VALUE"""),"")</f>
        <v/>
      </c>
      <c r="C5354" t="str">
        <f>IFERROR(__xludf.DUMMYFUNCTION("""COMPUTED_VALUE"""),"")</f>
        <v/>
      </c>
      <c r="D5354" t="str">
        <f>IFERROR(__xludf.DUMMYFUNCTION("""COMPUTED_VALUE"""),"")</f>
        <v/>
      </c>
      <c r="E5354" t="str">
        <f>IFERROR(__xludf.DUMMYFUNCTION("""COMPUTED_VALUE"""),"")</f>
        <v/>
      </c>
      <c r="F5354" t="str">
        <f>IFERROR(__xludf.DUMMYFUNCTION("""COMPUTED_VALUE"""),"")</f>
        <v/>
      </c>
      <c r="G5354" t="str">
        <f>IFERROR(__xludf.DUMMYFUNCTION("""COMPUTED_VALUE"""),"")</f>
        <v/>
      </c>
      <c r="H5354" s="2" t="str">
        <f>IFERROR(__xludf.DUMMYFUNCTION("""COMPUTED_VALUE"""),"")</f>
        <v/>
      </c>
      <c r="I5354" s="2" t="str">
        <f>IFERROR(__xludf.DUMMYFUNCTION("""COMPUTED_VALUE"""),"")</f>
        <v/>
      </c>
      <c r="J5354" s="2">
        <f>IFERROR(__xludf.DUMMYFUNCTION("""COMPUTED_VALUE"""),0.0)</f>
        <v>0</v>
      </c>
      <c r="K5354" s="5" t="str">
        <f>IFERROR(__xludf.DUMMYFUNCTION("""COMPUTED_VALUE"""),"")</f>
        <v/>
      </c>
      <c r="L5354" t="str">
        <f>IFERROR(__xludf.DUMMYFUNCTION("""COMPUTED_VALUE"""),"")</f>
        <v/>
      </c>
      <c r="M5354" t="str">
        <f>IFERROR(__xludf.DUMMYFUNCTION("""COMPUTED_VALUE"""),"")</f>
        <v/>
      </c>
      <c r="N5354" t="str">
        <f>IFERROR(__xludf.DUMMYFUNCTION("""COMPUTED_VALUE"""),"")</f>
        <v/>
      </c>
      <c r="O5354" t="str">
        <f>IFERROR(__xludf.DUMMYFUNCTION("""COMPUTED_VALUE"""),"")</f>
        <v/>
      </c>
      <c r="P5354" t="str">
        <f>IFERROR(__xludf.DUMMYFUNCTION("""COMPUTED_VALUE"""),"ID ")</f>
        <v>ID </v>
      </c>
    </row>
    <row r="5355">
      <c r="A5355" s="6" t="str">
        <f>IFERROR(__xludf.DUMMYFUNCTION("""COMPUTED_VALUE"""),"")</f>
        <v/>
      </c>
      <c r="C5355" t="str">
        <f>IFERROR(__xludf.DUMMYFUNCTION("""COMPUTED_VALUE"""),"")</f>
        <v/>
      </c>
      <c r="D5355" t="str">
        <f>IFERROR(__xludf.DUMMYFUNCTION("""COMPUTED_VALUE"""),"")</f>
        <v/>
      </c>
      <c r="E5355" t="str">
        <f>IFERROR(__xludf.DUMMYFUNCTION("""COMPUTED_VALUE"""),"")</f>
        <v/>
      </c>
      <c r="F5355" t="str">
        <f>IFERROR(__xludf.DUMMYFUNCTION("""COMPUTED_VALUE"""),"")</f>
        <v/>
      </c>
      <c r="G5355" t="str">
        <f>IFERROR(__xludf.DUMMYFUNCTION("""COMPUTED_VALUE"""),"")</f>
        <v/>
      </c>
      <c r="H5355" s="2" t="str">
        <f>IFERROR(__xludf.DUMMYFUNCTION("""COMPUTED_VALUE"""),"")</f>
        <v/>
      </c>
      <c r="I5355" s="2" t="str">
        <f>IFERROR(__xludf.DUMMYFUNCTION("""COMPUTED_VALUE"""),"")</f>
        <v/>
      </c>
      <c r="J5355" s="2">
        <f>IFERROR(__xludf.DUMMYFUNCTION("""COMPUTED_VALUE"""),0.0)</f>
        <v>0</v>
      </c>
      <c r="K5355" s="5" t="str">
        <f>IFERROR(__xludf.DUMMYFUNCTION("""COMPUTED_VALUE"""),"")</f>
        <v/>
      </c>
      <c r="L5355" t="str">
        <f>IFERROR(__xludf.DUMMYFUNCTION("""COMPUTED_VALUE"""),"")</f>
        <v/>
      </c>
      <c r="M5355" t="str">
        <f>IFERROR(__xludf.DUMMYFUNCTION("""COMPUTED_VALUE"""),"")</f>
        <v/>
      </c>
      <c r="N5355" t="str">
        <f>IFERROR(__xludf.DUMMYFUNCTION("""COMPUTED_VALUE"""),"")</f>
        <v/>
      </c>
      <c r="O5355" t="str">
        <f>IFERROR(__xludf.DUMMYFUNCTION("""COMPUTED_VALUE"""),"")</f>
        <v/>
      </c>
      <c r="P5355" t="str">
        <f>IFERROR(__xludf.DUMMYFUNCTION("""COMPUTED_VALUE"""),"ID ")</f>
        <v>ID </v>
      </c>
    </row>
    <row r="5356">
      <c r="A5356" s="6" t="str">
        <f>IFERROR(__xludf.DUMMYFUNCTION("""COMPUTED_VALUE"""),"")</f>
        <v/>
      </c>
      <c r="C5356" t="str">
        <f>IFERROR(__xludf.DUMMYFUNCTION("""COMPUTED_VALUE"""),"")</f>
        <v/>
      </c>
      <c r="D5356" t="str">
        <f>IFERROR(__xludf.DUMMYFUNCTION("""COMPUTED_VALUE"""),"")</f>
        <v/>
      </c>
      <c r="E5356" t="str">
        <f>IFERROR(__xludf.DUMMYFUNCTION("""COMPUTED_VALUE"""),"")</f>
        <v/>
      </c>
      <c r="F5356" t="str">
        <f>IFERROR(__xludf.DUMMYFUNCTION("""COMPUTED_VALUE"""),"")</f>
        <v/>
      </c>
      <c r="G5356" t="str">
        <f>IFERROR(__xludf.DUMMYFUNCTION("""COMPUTED_VALUE"""),"")</f>
        <v/>
      </c>
      <c r="H5356" s="2" t="str">
        <f>IFERROR(__xludf.DUMMYFUNCTION("""COMPUTED_VALUE"""),"")</f>
        <v/>
      </c>
      <c r="I5356" s="2" t="str">
        <f>IFERROR(__xludf.DUMMYFUNCTION("""COMPUTED_VALUE"""),"")</f>
        <v/>
      </c>
      <c r="J5356" s="2">
        <f>IFERROR(__xludf.DUMMYFUNCTION("""COMPUTED_VALUE"""),0.0)</f>
        <v>0</v>
      </c>
      <c r="K5356" s="5" t="str">
        <f>IFERROR(__xludf.DUMMYFUNCTION("""COMPUTED_VALUE"""),"")</f>
        <v/>
      </c>
      <c r="L5356" t="str">
        <f>IFERROR(__xludf.DUMMYFUNCTION("""COMPUTED_VALUE"""),"")</f>
        <v/>
      </c>
      <c r="M5356" t="str">
        <f>IFERROR(__xludf.DUMMYFUNCTION("""COMPUTED_VALUE"""),"")</f>
        <v/>
      </c>
      <c r="N5356" t="str">
        <f>IFERROR(__xludf.DUMMYFUNCTION("""COMPUTED_VALUE"""),"")</f>
        <v/>
      </c>
      <c r="O5356" t="str">
        <f>IFERROR(__xludf.DUMMYFUNCTION("""COMPUTED_VALUE"""),"")</f>
        <v/>
      </c>
      <c r="P5356" t="str">
        <f>IFERROR(__xludf.DUMMYFUNCTION("""COMPUTED_VALUE"""),"ID ")</f>
        <v>ID </v>
      </c>
    </row>
    <row r="5357">
      <c r="A5357" s="6" t="str">
        <f>IFERROR(__xludf.DUMMYFUNCTION("""COMPUTED_VALUE"""),"")</f>
        <v/>
      </c>
      <c r="C5357" t="str">
        <f>IFERROR(__xludf.DUMMYFUNCTION("""COMPUTED_VALUE"""),"")</f>
        <v/>
      </c>
      <c r="D5357" t="str">
        <f>IFERROR(__xludf.DUMMYFUNCTION("""COMPUTED_VALUE"""),"")</f>
        <v/>
      </c>
      <c r="E5357" t="str">
        <f>IFERROR(__xludf.DUMMYFUNCTION("""COMPUTED_VALUE"""),"")</f>
        <v/>
      </c>
      <c r="F5357" t="str">
        <f>IFERROR(__xludf.DUMMYFUNCTION("""COMPUTED_VALUE"""),"")</f>
        <v/>
      </c>
      <c r="G5357" t="str">
        <f>IFERROR(__xludf.DUMMYFUNCTION("""COMPUTED_VALUE"""),"")</f>
        <v/>
      </c>
      <c r="H5357" s="2" t="str">
        <f>IFERROR(__xludf.DUMMYFUNCTION("""COMPUTED_VALUE"""),"")</f>
        <v/>
      </c>
      <c r="I5357" s="2" t="str">
        <f>IFERROR(__xludf.DUMMYFUNCTION("""COMPUTED_VALUE"""),"")</f>
        <v/>
      </c>
      <c r="J5357" s="2">
        <f>IFERROR(__xludf.DUMMYFUNCTION("""COMPUTED_VALUE"""),0.0)</f>
        <v>0</v>
      </c>
      <c r="K5357" s="5" t="str">
        <f>IFERROR(__xludf.DUMMYFUNCTION("""COMPUTED_VALUE"""),"")</f>
        <v/>
      </c>
      <c r="L5357" t="str">
        <f>IFERROR(__xludf.DUMMYFUNCTION("""COMPUTED_VALUE"""),"")</f>
        <v/>
      </c>
      <c r="M5357" t="str">
        <f>IFERROR(__xludf.DUMMYFUNCTION("""COMPUTED_VALUE"""),"")</f>
        <v/>
      </c>
      <c r="N5357" t="str">
        <f>IFERROR(__xludf.DUMMYFUNCTION("""COMPUTED_VALUE"""),"")</f>
        <v/>
      </c>
      <c r="O5357" t="str">
        <f>IFERROR(__xludf.DUMMYFUNCTION("""COMPUTED_VALUE"""),"")</f>
        <v/>
      </c>
      <c r="P5357" t="str">
        <f>IFERROR(__xludf.DUMMYFUNCTION("""COMPUTED_VALUE"""),"ID ")</f>
        <v>ID </v>
      </c>
    </row>
    <row r="5358">
      <c r="A5358" s="6" t="str">
        <f>IFERROR(__xludf.DUMMYFUNCTION("""COMPUTED_VALUE"""),"")</f>
        <v/>
      </c>
      <c r="C5358" t="str">
        <f>IFERROR(__xludf.DUMMYFUNCTION("""COMPUTED_VALUE"""),"")</f>
        <v/>
      </c>
      <c r="D5358" t="str">
        <f>IFERROR(__xludf.DUMMYFUNCTION("""COMPUTED_VALUE"""),"")</f>
        <v/>
      </c>
      <c r="E5358" t="str">
        <f>IFERROR(__xludf.DUMMYFUNCTION("""COMPUTED_VALUE"""),"")</f>
        <v/>
      </c>
      <c r="F5358" t="str">
        <f>IFERROR(__xludf.DUMMYFUNCTION("""COMPUTED_VALUE"""),"")</f>
        <v/>
      </c>
      <c r="G5358" t="str">
        <f>IFERROR(__xludf.DUMMYFUNCTION("""COMPUTED_VALUE"""),"")</f>
        <v/>
      </c>
      <c r="H5358" s="2" t="str">
        <f>IFERROR(__xludf.DUMMYFUNCTION("""COMPUTED_VALUE"""),"")</f>
        <v/>
      </c>
      <c r="I5358" s="2" t="str">
        <f>IFERROR(__xludf.DUMMYFUNCTION("""COMPUTED_VALUE"""),"")</f>
        <v/>
      </c>
      <c r="J5358" s="2">
        <f>IFERROR(__xludf.DUMMYFUNCTION("""COMPUTED_VALUE"""),0.0)</f>
        <v>0</v>
      </c>
      <c r="K5358" s="5" t="str">
        <f>IFERROR(__xludf.DUMMYFUNCTION("""COMPUTED_VALUE"""),"")</f>
        <v/>
      </c>
      <c r="L5358" t="str">
        <f>IFERROR(__xludf.DUMMYFUNCTION("""COMPUTED_VALUE"""),"")</f>
        <v/>
      </c>
      <c r="M5358" t="str">
        <f>IFERROR(__xludf.DUMMYFUNCTION("""COMPUTED_VALUE"""),"")</f>
        <v/>
      </c>
      <c r="N5358" t="str">
        <f>IFERROR(__xludf.DUMMYFUNCTION("""COMPUTED_VALUE"""),"")</f>
        <v/>
      </c>
      <c r="O5358" t="str">
        <f>IFERROR(__xludf.DUMMYFUNCTION("""COMPUTED_VALUE"""),"")</f>
        <v/>
      </c>
      <c r="P5358" t="str">
        <f>IFERROR(__xludf.DUMMYFUNCTION("""COMPUTED_VALUE"""),"ID ")</f>
        <v>ID </v>
      </c>
    </row>
    <row r="5359">
      <c r="A5359" s="6" t="str">
        <f>IFERROR(__xludf.DUMMYFUNCTION("""COMPUTED_VALUE"""),"")</f>
        <v/>
      </c>
      <c r="C5359" t="str">
        <f>IFERROR(__xludf.DUMMYFUNCTION("""COMPUTED_VALUE"""),"")</f>
        <v/>
      </c>
      <c r="D5359" t="str">
        <f>IFERROR(__xludf.DUMMYFUNCTION("""COMPUTED_VALUE"""),"")</f>
        <v/>
      </c>
      <c r="E5359" t="str">
        <f>IFERROR(__xludf.DUMMYFUNCTION("""COMPUTED_VALUE"""),"")</f>
        <v/>
      </c>
      <c r="F5359" t="str">
        <f>IFERROR(__xludf.DUMMYFUNCTION("""COMPUTED_VALUE"""),"")</f>
        <v/>
      </c>
      <c r="G5359" t="str">
        <f>IFERROR(__xludf.DUMMYFUNCTION("""COMPUTED_VALUE"""),"")</f>
        <v/>
      </c>
      <c r="H5359" s="2" t="str">
        <f>IFERROR(__xludf.DUMMYFUNCTION("""COMPUTED_VALUE"""),"")</f>
        <v/>
      </c>
      <c r="I5359" s="2" t="str">
        <f>IFERROR(__xludf.DUMMYFUNCTION("""COMPUTED_VALUE"""),"")</f>
        <v/>
      </c>
      <c r="J5359" s="2">
        <f>IFERROR(__xludf.DUMMYFUNCTION("""COMPUTED_VALUE"""),0.0)</f>
        <v>0</v>
      </c>
      <c r="K5359" s="5" t="str">
        <f>IFERROR(__xludf.DUMMYFUNCTION("""COMPUTED_VALUE"""),"")</f>
        <v/>
      </c>
      <c r="L5359" t="str">
        <f>IFERROR(__xludf.DUMMYFUNCTION("""COMPUTED_VALUE"""),"")</f>
        <v/>
      </c>
      <c r="M5359" t="str">
        <f>IFERROR(__xludf.DUMMYFUNCTION("""COMPUTED_VALUE"""),"")</f>
        <v/>
      </c>
      <c r="N5359" t="str">
        <f>IFERROR(__xludf.DUMMYFUNCTION("""COMPUTED_VALUE"""),"")</f>
        <v/>
      </c>
      <c r="O5359" t="str">
        <f>IFERROR(__xludf.DUMMYFUNCTION("""COMPUTED_VALUE"""),"")</f>
        <v/>
      </c>
      <c r="P5359" t="str">
        <f>IFERROR(__xludf.DUMMYFUNCTION("""COMPUTED_VALUE"""),"ID ")</f>
        <v>ID </v>
      </c>
    </row>
    <row r="5360">
      <c r="A5360" s="6" t="str">
        <f>IFERROR(__xludf.DUMMYFUNCTION("""COMPUTED_VALUE"""),"")</f>
        <v/>
      </c>
      <c r="C5360" t="str">
        <f>IFERROR(__xludf.DUMMYFUNCTION("""COMPUTED_VALUE"""),"")</f>
        <v/>
      </c>
      <c r="D5360" t="str">
        <f>IFERROR(__xludf.DUMMYFUNCTION("""COMPUTED_VALUE"""),"")</f>
        <v/>
      </c>
      <c r="E5360" t="str">
        <f>IFERROR(__xludf.DUMMYFUNCTION("""COMPUTED_VALUE"""),"")</f>
        <v/>
      </c>
      <c r="F5360" t="str">
        <f>IFERROR(__xludf.DUMMYFUNCTION("""COMPUTED_VALUE"""),"")</f>
        <v/>
      </c>
      <c r="G5360" t="str">
        <f>IFERROR(__xludf.DUMMYFUNCTION("""COMPUTED_VALUE"""),"")</f>
        <v/>
      </c>
      <c r="H5360" s="2" t="str">
        <f>IFERROR(__xludf.DUMMYFUNCTION("""COMPUTED_VALUE"""),"")</f>
        <v/>
      </c>
      <c r="I5360" s="2" t="str">
        <f>IFERROR(__xludf.DUMMYFUNCTION("""COMPUTED_VALUE"""),"")</f>
        <v/>
      </c>
      <c r="J5360" s="2">
        <f>IFERROR(__xludf.DUMMYFUNCTION("""COMPUTED_VALUE"""),0.0)</f>
        <v>0</v>
      </c>
      <c r="K5360" s="5" t="str">
        <f>IFERROR(__xludf.DUMMYFUNCTION("""COMPUTED_VALUE"""),"")</f>
        <v/>
      </c>
      <c r="L5360" t="str">
        <f>IFERROR(__xludf.DUMMYFUNCTION("""COMPUTED_VALUE"""),"")</f>
        <v/>
      </c>
      <c r="M5360" t="str">
        <f>IFERROR(__xludf.DUMMYFUNCTION("""COMPUTED_VALUE"""),"")</f>
        <v/>
      </c>
      <c r="N5360" t="str">
        <f>IFERROR(__xludf.DUMMYFUNCTION("""COMPUTED_VALUE"""),"")</f>
        <v/>
      </c>
      <c r="O5360" t="str">
        <f>IFERROR(__xludf.DUMMYFUNCTION("""COMPUTED_VALUE"""),"")</f>
        <v/>
      </c>
      <c r="P5360" t="str">
        <f>IFERROR(__xludf.DUMMYFUNCTION("""COMPUTED_VALUE"""),"ID ")</f>
        <v>ID </v>
      </c>
    </row>
    <row r="5361">
      <c r="A5361" s="6" t="str">
        <f>IFERROR(__xludf.DUMMYFUNCTION("""COMPUTED_VALUE"""),"")</f>
        <v/>
      </c>
      <c r="C5361" t="str">
        <f>IFERROR(__xludf.DUMMYFUNCTION("""COMPUTED_VALUE"""),"")</f>
        <v/>
      </c>
      <c r="D5361" t="str">
        <f>IFERROR(__xludf.DUMMYFUNCTION("""COMPUTED_VALUE"""),"")</f>
        <v/>
      </c>
      <c r="E5361" t="str">
        <f>IFERROR(__xludf.DUMMYFUNCTION("""COMPUTED_VALUE"""),"")</f>
        <v/>
      </c>
      <c r="F5361" t="str">
        <f>IFERROR(__xludf.DUMMYFUNCTION("""COMPUTED_VALUE"""),"")</f>
        <v/>
      </c>
      <c r="G5361" t="str">
        <f>IFERROR(__xludf.DUMMYFUNCTION("""COMPUTED_VALUE"""),"")</f>
        <v/>
      </c>
      <c r="H5361" s="2" t="str">
        <f>IFERROR(__xludf.DUMMYFUNCTION("""COMPUTED_VALUE"""),"")</f>
        <v/>
      </c>
      <c r="I5361" s="2" t="str">
        <f>IFERROR(__xludf.DUMMYFUNCTION("""COMPUTED_VALUE"""),"")</f>
        <v/>
      </c>
      <c r="J5361" s="2">
        <f>IFERROR(__xludf.DUMMYFUNCTION("""COMPUTED_VALUE"""),0.0)</f>
        <v>0</v>
      </c>
      <c r="K5361" s="5" t="str">
        <f>IFERROR(__xludf.DUMMYFUNCTION("""COMPUTED_VALUE"""),"")</f>
        <v/>
      </c>
      <c r="L5361" t="str">
        <f>IFERROR(__xludf.DUMMYFUNCTION("""COMPUTED_VALUE"""),"")</f>
        <v/>
      </c>
      <c r="M5361" t="str">
        <f>IFERROR(__xludf.DUMMYFUNCTION("""COMPUTED_VALUE"""),"")</f>
        <v/>
      </c>
      <c r="N5361" t="str">
        <f>IFERROR(__xludf.DUMMYFUNCTION("""COMPUTED_VALUE"""),"")</f>
        <v/>
      </c>
      <c r="O5361" t="str">
        <f>IFERROR(__xludf.DUMMYFUNCTION("""COMPUTED_VALUE"""),"")</f>
        <v/>
      </c>
      <c r="P5361" t="str">
        <f>IFERROR(__xludf.DUMMYFUNCTION("""COMPUTED_VALUE"""),"ID ")</f>
        <v>ID </v>
      </c>
    </row>
    <row r="5362">
      <c r="A5362" s="6" t="str">
        <f>IFERROR(__xludf.DUMMYFUNCTION("""COMPUTED_VALUE"""),"")</f>
        <v/>
      </c>
      <c r="C5362" t="str">
        <f>IFERROR(__xludf.DUMMYFUNCTION("""COMPUTED_VALUE"""),"")</f>
        <v/>
      </c>
      <c r="D5362" t="str">
        <f>IFERROR(__xludf.DUMMYFUNCTION("""COMPUTED_VALUE"""),"")</f>
        <v/>
      </c>
      <c r="E5362" t="str">
        <f>IFERROR(__xludf.DUMMYFUNCTION("""COMPUTED_VALUE"""),"")</f>
        <v/>
      </c>
      <c r="F5362" t="str">
        <f>IFERROR(__xludf.DUMMYFUNCTION("""COMPUTED_VALUE"""),"")</f>
        <v/>
      </c>
      <c r="G5362" t="str">
        <f>IFERROR(__xludf.DUMMYFUNCTION("""COMPUTED_VALUE"""),"")</f>
        <v/>
      </c>
      <c r="H5362" s="2" t="str">
        <f>IFERROR(__xludf.DUMMYFUNCTION("""COMPUTED_VALUE"""),"")</f>
        <v/>
      </c>
      <c r="I5362" s="2" t="str">
        <f>IFERROR(__xludf.DUMMYFUNCTION("""COMPUTED_VALUE"""),"")</f>
        <v/>
      </c>
      <c r="J5362" s="2">
        <f>IFERROR(__xludf.DUMMYFUNCTION("""COMPUTED_VALUE"""),0.0)</f>
        <v>0</v>
      </c>
      <c r="K5362" s="5" t="str">
        <f>IFERROR(__xludf.DUMMYFUNCTION("""COMPUTED_VALUE"""),"")</f>
        <v/>
      </c>
      <c r="L5362" t="str">
        <f>IFERROR(__xludf.DUMMYFUNCTION("""COMPUTED_VALUE"""),"")</f>
        <v/>
      </c>
      <c r="M5362" t="str">
        <f>IFERROR(__xludf.DUMMYFUNCTION("""COMPUTED_VALUE"""),"")</f>
        <v/>
      </c>
      <c r="N5362" t="str">
        <f>IFERROR(__xludf.DUMMYFUNCTION("""COMPUTED_VALUE"""),"")</f>
        <v/>
      </c>
      <c r="O5362" t="str">
        <f>IFERROR(__xludf.DUMMYFUNCTION("""COMPUTED_VALUE"""),"")</f>
        <v/>
      </c>
      <c r="P5362" t="str">
        <f>IFERROR(__xludf.DUMMYFUNCTION("""COMPUTED_VALUE"""),"ID ")</f>
        <v>ID </v>
      </c>
    </row>
    <row r="5363">
      <c r="A5363" s="6" t="str">
        <f>IFERROR(__xludf.DUMMYFUNCTION("""COMPUTED_VALUE"""),"")</f>
        <v/>
      </c>
      <c r="C5363" t="str">
        <f>IFERROR(__xludf.DUMMYFUNCTION("""COMPUTED_VALUE"""),"")</f>
        <v/>
      </c>
      <c r="D5363" t="str">
        <f>IFERROR(__xludf.DUMMYFUNCTION("""COMPUTED_VALUE"""),"")</f>
        <v/>
      </c>
      <c r="E5363" t="str">
        <f>IFERROR(__xludf.DUMMYFUNCTION("""COMPUTED_VALUE"""),"")</f>
        <v/>
      </c>
      <c r="F5363" t="str">
        <f>IFERROR(__xludf.DUMMYFUNCTION("""COMPUTED_VALUE"""),"")</f>
        <v/>
      </c>
      <c r="G5363" t="str">
        <f>IFERROR(__xludf.DUMMYFUNCTION("""COMPUTED_VALUE"""),"")</f>
        <v/>
      </c>
      <c r="H5363" s="2" t="str">
        <f>IFERROR(__xludf.DUMMYFUNCTION("""COMPUTED_VALUE"""),"")</f>
        <v/>
      </c>
      <c r="I5363" s="2" t="str">
        <f>IFERROR(__xludf.DUMMYFUNCTION("""COMPUTED_VALUE"""),"")</f>
        <v/>
      </c>
      <c r="J5363" s="2">
        <f>IFERROR(__xludf.DUMMYFUNCTION("""COMPUTED_VALUE"""),0.0)</f>
        <v>0</v>
      </c>
      <c r="K5363" s="5" t="str">
        <f>IFERROR(__xludf.DUMMYFUNCTION("""COMPUTED_VALUE"""),"")</f>
        <v/>
      </c>
      <c r="L5363" t="str">
        <f>IFERROR(__xludf.DUMMYFUNCTION("""COMPUTED_VALUE"""),"")</f>
        <v/>
      </c>
      <c r="M5363" t="str">
        <f>IFERROR(__xludf.DUMMYFUNCTION("""COMPUTED_VALUE"""),"")</f>
        <v/>
      </c>
      <c r="N5363" t="str">
        <f>IFERROR(__xludf.DUMMYFUNCTION("""COMPUTED_VALUE"""),"")</f>
        <v/>
      </c>
      <c r="O5363" t="str">
        <f>IFERROR(__xludf.DUMMYFUNCTION("""COMPUTED_VALUE"""),"")</f>
        <v/>
      </c>
      <c r="P5363" t="str">
        <f>IFERROR(__xludf.DUMMYFUNCTION("""COMPUTED_VALUE"""),"ID ")</f>
        <v>ID </v>
      </c>
    </row>
    <row r="5364">
      <c r="A5364" s="6" t="str">
        <f>IFERROR(__xludf.DUMMYFUNCTION("""COMPUTED_VALUE"""),"")</f>
        <v/>
      </c>
      <c r="C5364" t="str">
        <f>IFERROR(__xludf.DUMMYFUNCTION("""COMPUTED_VALUE"""),"")</f>
        <v/>
      </c>
      <c r="D5364" t="str">
        <f>IFERROR(__xludf.DUMMYFUNCTION("""COMPUTED_VALUE"""),"")</f>
        <v/>
      </c>
      <c r="E5364" t="str">
        <f>IFERROR(__xludf.DUMMYFUNCTION("""COMPUTED_VALUE"""),"")</f>
        <v/>
      </c>
      <c r="F5364" t="str">
        <f>IFERROR(__xludf.DUMMYFUNCTION("""COMPUTED_VALUE"""),"")</f>
        <v/>
      </c>
      <c r="G5364" t="str">
        <f>IFERROR(__xludf.DUMMYFUNCTION("""COMPUTED_VALUE"""),"")</f>
        <v/>
      </c>
      <c r="H5364" s="2" t="str">
        <f>IFERROR(__xludf.DUMMYFUNCTION("""COMPUTED_VALUE"""),"")</f>
        <v/>
      </c>
      <c r="I5364" s="2" t="str">
        <f>IFERROR(__xludf.DUMMYFUNCTION("""COMPUTED_VALUE"""),"")</f>
        <v/>
      </c>
      <c r="J5364" s="2">
        <f>IFERROR(__xludf.DUMMYFUNCTION("""COMPUTED_VALUE"""),0.0)</f>
        <v>0</v>
      </c>
      <c r="K5364" s="5" t="str">
        <f>IFERROR(__xludf.DUMMYFUNCTION("""COMPUTED_VALUE"""),"")</f>
        <v/>
      </c>
      <c r="L5364" t="str">
        <f>IFERROR(__xludf.DUMMYFUNCTION("""COMPUTED_VALUE"""),"")</f>
        <v/>
      </c>
      <c r="M5364" t="str">
        <f>IFERROR(__xludf.DUMMYFUNCTION("""COMPUTED_VALUE"""),"")</f>
        <v/>
      </c>
      <c r="N5364" t="str">
        <f>IFERROR(__xludf.DUMMYFUNCTION("""COMPUTED_VALUE"""),"")</f>
        <v/>
      </c>
      <c r="O5364" t="str">
        <f>IFERROR(__xludf.DUMMYFUNCTION("""COMPUTED_VALUE"""),"")</f>
        <v/>
      </c>
      <c r="P5364" t="str">
        <f>IFERROR(__xludf.DUMMYFUNCTION("""COMPUTED_VALUE"""),"ID ")</f>
        <v>ID </v>
      </c>
    </row>
    <row r="5365">
      <c r="A5365" s="6" t="str">
        <f>IFERROR(__xludf.DUMMYFUNCTION("""COMPUTED_VALUE"""),"")</f>
        <v/>
      </c>
      <c r="C5365" t="str">
        <f>IFERROR(__xludf.DUMMYFUNCTION("""COMPUTED_VALUE"""),"")</f>
        <v/>
      </c>
      <c r="D5365" t="str">
        <f>IFERROR(__xludf.DUMMYFUNCTION("""COMPUTED_VALUE"""),"")</f>
        <v/>
      </c>
      <c r="E5365" t="str">
        <f>IFERROR(__xludf.DUMMYFUNCTION("""COMPUTED_VALUE"""),"")</f>
        <v/>
      </c>
      <c r="F5365" t="str">
        <f>IFERROR(__xludf.DUMMYFUNCTION("""COMPUTED_VALUE"""),"")</f>
        <v/>
      </c>
      <c r="G5365" t="str">
        <f>IFERROR(__xludf.DUMMYFUNCTION("""COMPUTED_VALUE"""),"")</f>
        <v/>
      </c>
      <c r="H5365" s="2" t="str">
        <f>IFERROR(__xludf.DUMMYFUNCTION("""COMPUTED_VALUE"""),"")</f>
        <v/>
      </c>
      <c r="I5365" s="2" t="str">
        <f>IFERROR(__xludf.DUMMYFUNCTION("""COMPUTED_VALUE"""),"")</f>
        <v/>
      </c>
      <c r="J5365" s="2">
        <f>IFERROR(__xludf.DUMMYFUNCTION("""COMPUTED_VALUE"""),0.0)</f>
        <v>0</v>
      </c>
      <c r="K5365" s="5" t="str">
        <f>IFERROR(__xludf.DUMMYFUNCTION("""COMPUTED_VALUE"""),"")</f>
        <v/>
      </c>
      <c r="L5365" t="str">
        <f>IFERROR(__xludf.DUMMYFUNCTION("""COMPUTED_VALUE"""),"")</f>
        <v/>
      </c>
      <c r="M5365" t="str">
        <f>IFERROR(__xludf.DUMMYFUNCTION("""COMPUTED_VALUE"""),"")</f>
        <v/>
      </c>
      <c r="N5365" t="str">
        <f>IFERROR(__xludf.DUMMYFUNCTION("""COMPUTED_VALUE"""),"")</f>
        <v/>
      </c>
      <c r="O5365" t="str">
        <f>IFERROR(__xludf.DUMMYFUNCTION("""COMPUTED_VALUE"""),"")</f>
        <v/>
      </c>
      <c r="P5365" t="str">
        <f>IFERROR(__xludf.DUMMYFUNCTION("""COMPUTED_VALUE"""),"ID ")</f>
        <v>ID </v>
      </c>
    </row>
    <row r="5366">
      <c r="A5366" s="6" t="str">
        <f>IFERROR(__xludf.DUMMYFUNCTION("""COMPUTED_VALUE"""),"")</f>
        <v/>
      </c>
      <c r="C5366" t="str">
        <f>IFERROR(__xludf.DUMMYFUNCTION("""COMPUTED_VALUE"""),"")</f>
        <v/>
      </c>
      <c r="D5366" t="str">
        <f>IFERROR(__xludf.DUMMYFUNCTION("""COMPUTED_VALUE"""),"")</f>
        <v/>
      </c>
      <c r="E5366" t="str">
        <f>IFERROR(__xludf.DUMMYFUNCTION("""COMPUTED_VALUE"""),"")</f>
        <v/>
      </c>
      <c r="F5366" t="str">
        <f>IFERROR(__xludf.DUMMYFUNCTION("""COMPUTED_VALUE"""),"")</f>
        <v/>
      </c>
      <c r="G5366" t="str">
        <f>IFERROR(__xludf.DUMMYFUNCTION("""COMPUTED_VALUE"""),"")</f>
        <v/>
      </c>
      <c r="H5366" s="2" t="str">
        <f>IFERROR(__xludf.DUMMYFUNCTION("""COMPUTED_VALUE"""),"")</f>
        <v/>
      </c>
      <c r="I5366" s="2" t="str">
        <f>IFERROR(__xludf.DUMMYFUNCTION("""COMPUTED_VALUE"""),"")</f>
        <v/>
      </c>
      <c r="J5366" s="2">
        <f>IFERROR(__xludf.DUMMYFUNCTION("""COMPUTED_VALUE"""),0.0)</f>
        <v>0</v>
      </c>
      <c r="K5366" s="5" t="str">
        <f>IFERROR(__xludf.DUMMYFUNCTION("""COMPUTED_VALUE"""),"")</f>
        <v/>
      </c>
      <c r="L5366" t="str">
        <f>IFERROR(__xludf.DUMMYFUNCTION("""COMPUTED_VALUE"""),"")</f>
        <v/>
      </c>
      <c r="M5366" t="str">
        <f>IFERROR(__xludf.DUMMYFUNCTION("""COMPUTED_VALUE"""),"")</f>
        <v/>
      </c>
      <c r="N5366" t="str">
        <f>IFERROR(__xludf.DUMMYFUNCTION("""COMPUTED_VALUE"""),"")</f>
        <v/>
      </c>
      <c r="O5366" t="str">
        <f>IFERROR(__xludf.DUMMYFUNCTION("""COMPUTED_VALUE"""),"")</f>
        <v/>
      </c>
      <c r="P5366" t="str">
        <f>IFERROR(__xludf.DUMMYFUNCTION("""COMPUTED_VALUE"""),"ID ")</f>
        <v>ID </v>
      </c>
    </row>
    <row r="5367">
      <c r="A5367" s="6" t="str">
        <f>IFERROR(__xludf.DUMMYFUNCTION("""COMPUTED_VALUE"""),"")</f>
        <v/>
      </c>
      <c r="C5367" t="str">
        <f>IFERROR(__xludf.DUMMYFUNCTION("""COMPUTED_VALUE"""),"")</f>
        <v/>
      </c>
      <c r="D5367" t="str">
        <f>IFERROR(__xludf.DUMMYFUNCTION("""COMPUTED_VALUE"""),"")</f>
        <v/>
      </c>
      <c r="E5367" t="str">
        <f>IFERROR(__xludf.DUMMYFUNCTION("""COMPUTED_VALUE"""),"")</f>
        <v/>
      </c>
      <c r="F5367" t="str">
        <f>IFERROR(__xludf.DUMMYFUNCTION("""COMPUTED_VALUE"""),"")</f>
        <v/>
      </c>
      <c r="G5367" t="str">
        <f>IFERROR(__xludf.DUMMYFUNCTION("""COMPUTED_VALUE"""),"")</f>
        <v/>
      </c>
      <c r="H5367" s="2" t="str">
        <f>IFERROR(__xludf.DUMMYFUNCTION("""COMPUTED_VALUE"""),"")</f>
        <v/>
      </c>
      <c r="I5367" s="2" t="str">
        <f>IFERROR(__xludf.DUMMYFUNCTION("""COMPUTED_VALUE"""),"")</f>
        <v/>
      </c>
      <c r="J5367" s="2">
        <f>IFERROR(__xludf.DUMMYFUNCTION("""COMPUTED_VALUE"""),0.0)</f>
        <v>0</v>
      </c>
      <c r="K5367" s="5" t="str">
        <f>IFERROR(__xludf.DUMMYFUNCTION("""COMPUTED_VALUE"""),"")</f>
        <v/>
      </c>
      <c r="L5367" t="str">
        <f>IFERROR(__xludf.DUMMYFUNCTION("""COMPUTED_VALUE"""),"")</f>
        <v/>
      </c>
      <c r="M5367" t="str">
        <f>IFERROR(__xludf.DUMMYFUNCTION("""COMPUTED_VALUE"""),"")</f>
        <v/>
      </c>
      <c r="N5367" t="str">
        <f>IFERROR(__xludf.DUMMYFUNCTION("""COMPUTED_VALUE"""),"")</f>
        <v/>
      </c>
      <c r="O5367" t="str">
        <f>IFERROR(__xludf.DUMMYFUNCTION("""COMPUTED_VALUE"""),"")</f>
        <v/>
      </c>
      <c r="P5367" t="str">
        <f>IFERROR(__xludf.DUMMYFUNCTION("""COMPUTED_VALUE"""),"ID ")</f>
        <v>ID </v>
      </c>
    </row>
    <row r="5368">
      <c r="A5368" s="6" t="str">
        <f>IFERROR(__xludf.DUMMYFUNCTION("""COMPUTED_VALUE"""),"")</f>
        <v/>
      </c>
      <c r="C5368" t="str">
        <f>IFERROR(__xludf.DUMMYFUNCTION("""COMPUTED_VALUE"""),"")</f>
        <v/>
      </c>
      <c r="D5368" t="str">
        <f>IFERROR(__xludf.DUMMYFUNCTION("""COMPUTED_VALUE"""),"")</f>
        <v/>
      </c>
      <c r="E5368" t="str">
        <f>IFERROR(__xludf.DUMMYFUNCTION("""COMPUTED_VALUE"""),"")</f>
        <v/>
      </c>
      <c r="F5368" t="str">
        <f>IFERROR(__xludf.DUMMYFUNCTION("""COMPUTED_VALUE"""),"")</f>
        <v/>
      </c>
      <c r="G5368" t="str">
        <f>IFERROR(__xludf.DUMMYFUNCTION("""COMPUTED_VALUE"""),"")</f>
        <v/>
      </c>
      <c r="H5368" s="2" t="str">
        <f>IFERROR(__xludf.DUMMYFUNCTION("""COMPUTED_VALUE"""),"")</f>
        <v/>
      </c>
      <c r="I5368" s="2" t="str">
        <f>IFERROR(__xludf.DUMMYFUNCTION("""COMPUTED_VALUE"""),"")</f>
        <v/>
      </c>
      <c r="J5368" s="2">
        <f>IFERROR(__xludf.DUMMYFUNCTION("""COMPUTED_VALUE"""),0.0)</f>
        <v>0</v>
      </c>
      <c r="K5368" s="5" t="str">
        <f>IFERROR(__xludf.DUMMYFUNCTION("""COMPUTED_VALUE"""),"")</f>
        <v/>
      </c>
      <c r="L5368" t="str">
        <f>IFERROR(__xludf.DUMMYFUNCTION("""COMPUTED_VALUE"""),"")</f>
        <v/>
      </c>
      <c r="M5368" t="str">
        <f>IFERROR(__xludf.DUMMYFUNCTION("""COMPUTED_VALUE"""),"")</f>
        <v/>
      </c>
      <c r="N5368" t="str">
        <f>IFERROR(__xludf.DUMMYFUNCTION("""COMPUTED_VALUE"""),"")</f>
        <v/>
      </c>
      <c r="O5368" t="str">
        <f>IFERROR(__xludf.DUMMYFUNCTION("""COMPUTED_VALUE"""),"")</f>
        <v/>
      </c>
      <c r="P5368" t="str">
        <f>IFERROR(__xludf.DUMMYFUNCTION("""COMPUTED_VALUE"""),"ID ")</f>
        <v>ID </v>
      </c>
    </row>
    <row r="5369">
      <c r="A5369" s="6" t="str">
        <f>IFERROR(__xludf.DUMMYFUNCTION("""COMPUTED_VALUE"""),"")</f>
        <v/>
      </c>
      <c r="C5369" t="str">
        <f>IFERROR(__xludf.DUMMYFUNCTION("""COMPUTED_VALUE"""),"")</f>
        <v/>
      </c>
      <c r="D5369" t="str">
        <f>IFERROR(__xludf.DUMMYFUNCTION("""COMPUTED_VALUE"""),"")</f>
        <v/>
      </c>
      <c r="E5369" t="str">
        <f>IFERROR(__xludf.DUMMYFUNCTION("""COMPUTED_VALUE"""),"")</f>
        <v/>
      </c>
      <c r="F5369" t="str">
        <f>IFERROR(__xludf.DUMMYFUNCTION("""COMPUTED_VALUE"""),"")</f>
        <v/>
      </c>
      <c r="G5369" t="str">
        <f>IFERROR(__xludf.DUMMYFUNCTION("""COMPUTED_VALUE"""),"")</f>
        <v/>
      </c>
      <c r="H5369" s="2" t="str">
        <f>IFERROR(__xludf.DUMMYFUNCTION("""COMPUTED_VALUE"""),"")</f>
        <v/>
      </c>
      <c r="I5369" s="2" t="str">
        <f>IFERROR(__xludf.DUMMYFUNCTION("""COMPUTED_VALUE"""),"")</f>
        <v/>
      </c>
      <c r="J5369" s="2">
        <f>IFERROR(__xludf.DUMMYFUNCTION("""COMPUTED_VALUE"""),0.0)</f>
        <v>0</v>
      </c>
      <c r="K5369" s="5" t="str">
        <f>IFERROR(__xludf.DUMMYFUNCTION("""COMPUTED_VALUE"""),"")</f>
        <v/>
      </c>
      <c r="L5369" t="str">
        <f>IFERROR(__xludf.DUMMYFUNCTION("""COMPUTED_VALUE"""),"")</f>
        <v/>
      </c>
      <c r="M5369" t="str">
        <f>IFERROR(__xludf.DUMMYFUNCTION("""COMPUTED_VALUE"""),"")</f>
        <v/>
      </c>
      <c r="N5369" t="str">
        <f>IFERROR(__xludf.DUMMYFUNCTION("""COMPUTED_VALUE"""),"")</f>
        <v/>
      </c>
      <c r="O5369" t="str">
        <f>IFERROR(__xludf.DUMMYFUNCTION("""COMPUTED_VALUE"""),"")</f>
        <v/>
      </c>
      <c r="P5369" t="str">
        <f>IFERROR(__xludf.DUMMYFUNCTION("""COMPUTED_VALUE"""),"ID ")</f>
        <v>ID </v>
      </c>
    </row>
    <row r="5370">
      <c r="A5370" s="6" t="str">
        <f>IFERROR(__xludf.DUMMYFUNCTION("""COMPUTED_VALUE"""),"")</f>
        <v/>
      </c>
      <c r="C5370" t="str">
        <f>IFERROR(__xludf.DUMMYFUNCTION("""COMPUTED_VALUE"""),"")</f>
        <v/>
      </c>
      <c r="D5370" t="str">
        <f>IFERROR(__xludf.DUMMYFUNCTION("""COMPUTED_VALUE"""),"")</f>
        <v/>
      </c>
      <c r="E5370" t="str">
        <f>IFERROR(__xludf.DUMMYFUNCTION("""COMPUTED_VALUE"""),"")</f>
        <v/>
      </c>
      <c r="F5370" t="str">
        <f>IFERROR(__xludf.DUMMYFUNCTION("""COMPUTED_VALUE"""),"")</f>
        <v/>
      </c>
      <c r="G5370" t="str">
        <f>IFERROR(__xludf.DUMMYFUNCTION("""COMPUTED_VALUE"""),"")</f>
        <v/>
      </c>
      <c r="H5370" s="2" t="str">
        <f>IFERROR(__xludf.DUMMYFUNCTION("""COMPUTED_VALUE"""),"")</f>
        <v/>
      </c>
      <c r="I5370" s="2" t="str">
        <f>IFERROR(__xludf.DUMMYFUNCTION("""COMPUTED_VALUE"""),"")</f>
        <v/>
      </c>
      <c r="J5370" s="2">
        <f>IFERROR(__xludf.DUMMYFUNCTION("""COMPUTED_VALUE"""),0.0)</f>
        <v>0</v>
      </c>
      <c r="K5370" s="5" t="str">
        <f>IFERROR(__xludf.DUMMYFUNCTION("""COMPUTED_VALUE"""),"")</f>
        <v/>
      </c>
      <c r="L5370" t="str">
        <f>IFERROR(__xludf.DUMMYFUNCTION("""COMPUTED_VALUE"""),"")</f>
        <v/>
      </c>
      <c r="M5370" t="str">
        <f>IFERROR(__xludf.DUMMYFUNCTION("""COMPUTED_VALUE"""),"")</f>
        <v/>
      </c>
      <c r="N5370" t="str">
        <f>IFERROR(__xludf.DUMMYFUNCTION("""COMPUTED_VALUE"""),"")</f>
        <v/>
      </c>
      <c r="O5370" t="str">
        <f>IFERROR(__xludf.DUMMYFUNCTION("""COMPUTED_VALUE"""),"")</f>
        <v/>
      </c>
      <c r="P5370" t="str">
        <f>IFERROR(__xludf.DUMMYFUNCTION("""COMPUTED_VALUE"""),"ID ")</f>
        <v>ID </v>
      </c>
    </row>
    <row r="5371">
      <c r="A5371" s="6" t="str">
        <f>IFERROR(__xludf.DUMMYFUNCTION("""COMPUTED_VALUE"""),"")</f>
        <v/>
      </c>
      <c r="C5371" t="str">
        <f>IFERROR(__xludf.DUMMYFUNCTION("""COMPUTED_VALUE"""),"")</f>
        <v/>
      </c>
      <c r="D5371" t="str">
        <f>IFERROR(__xludf.DUMMYFUNCTION("""COMPUTED_VALUE"""),"")</f>
        <v/>
      </c>
      <c r="E5371" t="str">
        <f>IFERROR(__xludf.DUMMYFUNCTION("""COMPUTED_VALUE"""),"")</f>
        <v/>
      </c>
      <c r="F5371" t="str">
        <f>IFERROR(__xludf.DUMMYFUNCTION("""COMPUTED_VALUE"""),"")</f>
        <v/>
      </c>
      <c r="G5371" t="str">
        <f>IFERROR(__xludf.DUMMYFUNCTION("""COMPUTED_VALUE"""),"")</f>
        <v/>
      </c>
      <c r="H5371" s="2" t="str">
        <f>IFERROR(__xludf.DUMMYFUNCTION("""COMPUTED_VALUE"""),"")</f>
        <v/>
      </c>
      <c r="I5371" s="2" t="str">
        <f>IFERROR(__xludf.DUMMYFUNCTION("""COMPUTED_VALUE"""),"")</f>
        <v/>
      </c>
      <c r="J5371" s="2">
        <f>IFERROR(__xludf.DUMMYFUNCTION("""COMPUTED_VALUE"""),0.0)</f>
        <v>0</v>
      </c>
      <c r="K5371" s="5" t="str">
        <f>IFERROR(__xludf.DUMMYFUNCTION("""COMPUTED_VALUE"""),"")</f>
        <v/>
      </c>
      <c r="L5371" t="str">
        <f>IFERROR(__xludf.DUMMYFUNCTION("""COMPUTED_VALUE"""),"")</f>
        <v/>
      </c>
      <c r="M5371" t="str">
        <f>IFERROR(__xludf.DUMMYFUNCTION("""COMPUTED_VALUE"""),"")</f>
        <v/>
      </c>
      <c r="N5371" t="str">
        <f>IFERROR(__xludf.DUMMYFUNCTION("""COMPUTED_VALUE"""),"")</f>
        <v/>
      </c>
      <c r="O5371" t="str">
        <f>IFERROR(__xludf.DUMMYFUNCTION("""COMPUTED_VALUE"""),"")</f>
        <v/>
      </c>
      <c r="P5371" t="str">
        <f>IFERROR(__xludf.DUMMYFUNCTION("""COMPUTED_VALUE"""),"ID ")</f>
        <v>ID </v>
      </c>
    </row>
    <row r="5372">
      <c r="A5372" s="6" t="str">
        <f>IFERROR(__xludf.DUMMYFUNCTION("""COMPUTED_VALUE"""),"")</f>
        <v/>
      </c>
      <c r="C5372" t="str">
        <f>IFERROR(__xludf.DUMMYFUNCTION("""COMPUTED_VALUE"""),"")</f>
        <v/>
      </c>
      <c r="D5372" t="str">
        <f>IFERROR(__xludf.DUMMYFUNCTION("""COMPUTED_VALUE"""),"")</f>
        <v/>
      </c>
      <c r="E5372" t="str">
        <f>IFERROR(__xludf.DUMMYFUNCTION("""COMPUTED_VALUE"""),"")</f>
        <v/>
      </c>
      <c r="F5372" t="str">
        <f>IFERROR(__xludf.DUMMYFUNCTION("""COMPUTED_VALUE"""),"")</f>
        <v/>
      </c>
      <c r="G5372" t="str">
        <f>IFERROR(__xludf.DUMMYFUNCTION("""COMPUTED_VALUE"""),"")</f>
        <v/>
      </c>
      <c r="H5372" s="2" t="str">
        <f>IFERROR(__xludf.DUMMYFUNCTION("""COMPUTED_VALUE"""),"")</f>
        <v/>
      </c>
      <c r="I5372" s="2" t="str">
        <f>IFERROR(__xludf.DUMMYFUNCTION("""COMPUTED_VALUE"""),"")</f>
        <v/>
      </c>
      <c r="J5372" s="2">
        <f>IFERROR(__xludf.DUMMYFUNCTION("""COMPUTED_VALUE"""),0.0)</f>
        <v>0</v>
      </c>
      <c r="K5372" s="5" t="str">
        <f>IFERROR(__xludf.DUMMYFUNCTION("""COMPUTED_VALUE"""),"")</f>
        <v/>
      </c>
      <c r="L5372" t="str">
        <f>IFERROR(__xludf.DUMMYFUNCTION("""COMPUTED_VALUE"""),"")</f>
        <v/>
      </c>
      <c r="M5372" t="str">
        <f>IFERROR(__xludf.DUMMYFUNCTION("""COMPUTED_VALUE"""),"")</f>
        <v/>
      </c>
      <c r="N5372" t="str">
        <f>IFERROR(__xludf.DUMMYFUNCTION("""COMPUTED_VALUE"""),"")</f>
        <v/>
      </c>
      <c r="O5372" t="str">
        <f>IFERROR(__xludf.DUMMYFUNCTION("""COMPUTED_VALUE"""),"")</f>
        <v/>
      </c>
      <c r="P5372" t="str">
        <f>IFERROR(__xludf.DUMMYFUNCTION("""COMPUTED_VALUE"""),"ID ")</f>
        <v>ID </v>
      </c>
    </row>
    <row r="5373">
      <c r="A5373" s="6" t="str">
        <f>IFERROR(__xludf.DUMMYFUNCTION("""COMPUTED_VALUE"""),"")</f>
        <v/>
      </c>
      <c r="C5373" t="str">
        <f>IFERROR(__xludf.DUMMYFUNCTION("""COMPUTED_VALUE"""),"")</f>
        <v/>
      </c>
      <c r="D5373" t="str">
        <f>IFERROR(__xludf.DUMMYFUNCTION("""COMPUTED_VALUE"""),"")</f>
        <v/>
      </c>
      <c r="E5373" t="str">
        <f>IFERROR(__xludf.DUMMYFUNCTION("""COMPUTED_VALUE"""),"")</f>
        <v/>
      </c>
      <c r="F5373" t="str">
        <f>IFERROR(__xludf.DUMMYFUNCTION("""COMPUTED_VALUE"""),"")</f>
        <v/>
      </c>
      <c r="G5373" t="str">
        <f>IFERROR(__xludf.DUMMYFUNCTION("""COMPUTED_VALUE"""),"")</f>
        <v/>
      </c>
      <c r="H5373" s="2" t="str">
        <f>IFERROR(__xludf.DUMMYFUNCTION("""COMPUTED_VALUE"""),"")</f>
        <v/>
      </c>
      <c r="I5373" s="2" t="str">
        <f>IFERROR(__xludf.DUMMYFUNCTION("""COMPUTED_VALUE"""),"")</f>
        <v/>
      </c>
      <c r="J5373" s="2">
        <f>IFERROR(__xludf.DUMMYFUNCTION("""COMPUTED_VALUE"""),0.0)</f>
        <v>0</v>
      </c>
      <c r="K5373" s="5" t="str">
        <f>IFERROR(__xludf.DUMMYFUNCTION("""COMPUTED_VALUE"""),"")</f>
        <v/>
      </c>
      <c r="L5373" t="str">
        <f>IFERROR(__xludf.DUMMYFUNCTION("""COMPUTED_VALUE"""),"")</f>
        <v/>
      </c>
      <c r="M5373" t="str">
        <f>IFERROR(__xludf.DUMMYFUNCTION("""COMPUTED_VALUE"""),"")</f>
        <v/>
      </c>
      <c r="N5373" t="str">
        <f>IFERROR(__xludf.DUMMYFUNCTION("""COMPUTED_VALUE"""),"")</f>
        <v/>
      </c>
      <c r="O5373" t="str">
        <f>IFERROR(__xludf.DUMMYFUNCTION("""COMPUTED_VALUE"""),"")</f>
        <v/>
      </c>
      <c r="P5373" t="str">
        <f>IFERROR(__xludf.DUMMYFUNCTION("""COMPUTED_VALUE"""),"ID ")</f>
        <v>ID </v>
      </c>
    </row>
    <row r="5374">
      <c r="A5374" s="6" t="str">
        <f>IFERROR(__xludf.DUMMYFUNCTION("""COMPUTED_VALUE"""),"")</f>
        <v/>
      </c>
      <c r="C5374" t="str">
        <f>IFERROR(__xludf.DUMMYFUNCTION("""COMPUTED_VALUE"""),"")</f>
        <v/>
      </c>
      <c r="D5374" t="str">
        <f>IFERROR(__xludf.DUMMYFUNCTION("""COMPUTED_VALUE"""),"")</f>
        <v/>
      </c>
      <c r="E5374" t="str">
        <f>IFERROR(__xludf.DUMMYFUNCTION("""COMPUTED_VALUE"""),"")</f>
        <v/>
      </c>
      <c r="F5374" t="str">
        <f>IFERROR(__xludf.DUMMYFUNCTION("""COMPUTED_VALUE"""),"")</f>
        <v/>
      </c>
      <c r="G5374" t="str">
        <f>IFERROR(__xludf.DUMMYFUNCTION("""COMPUTED_VALUE"""),"")</f>
        <v/>
      </c>
      <c r="H5374" s="2" t="str">
        <f>IFERROR(__xludf.DUMMYFUNCTION("""COMPUTED_VALUE"""),"")</f>
        <v/>
      </c>
      <c r="I5374" s="2" t="str">
        <f>IFERROR(__xludf.DUMMYFUNCTION("""COMPUTED_VALUE"""),"")</f>
        <v/>
      </c>
      <c r="J5374" s="2">
        <f>IFERROR(__xludf.DUMMYFUNCTION("""COMPUTED_VALUE"""),0.0)</f>
        <v>0</v>
      </c>
      <c r="K5374" s="5" t="str">
        <f>IFERROR(__xludf.DUMMYFUNCTION("""COMPUTED_VALUE"""),"")</f>
        <v/>
      </c>
      <c r="L5374" t="str">
        <f>IFERROR(__xludf.DUMMYFUNCTION("""COMPUTED_VALUE"""),"")</f>
        <v/>
      </c>
      <c r="M5374" t="str">
        <f>IFERROR(__xludf.DUMMYFUNCTION("""COMPUTED_VALUE"""),"")</f>
        <v/>
      </c>
      <c r="N5374" t="str">
        <f>IFERROR(__xludf.DUMMYFUNCTION("""COMPUTED_VALUE"""),"")</f>
        <v/>
      </c>
      <c r="O5374" t="str">
        <f>IFERROR(__xludf.DUMMYFUNCTION("""COMPUTED_VALUE"""),"")</f>
        <v/>
      </c>
      <c r="P5374" t="str">
        <f>IFERROR(__xludf.DUMMYFUNCTION("""COMPUTED_VALUE"""),"ID ")</f>
        <v>ID </v>
      </c>
    </row>
    <row r="5375">
      <c r="A5375" s="6" t="str">
        <f>IFERROR(__xludf.DUMMYFUNCTION("""COMPUTED_VALUE"""),"")</f>
        <v/>
      </c>
      <c r="C5375" t="str">
        <f>IFERROR(__xludf.DUMMYFUNCTION("""COMPUTED_VALUE"""),"")</f>
        <v/>
      </c>
      <c r="D5375" t="str">
        <f>IFERROR(__xludf.DUMMYFUNCTION("""COMPUTED_VALUE"""),"")</f>
        <v/>
      </c>
      <c r="E5375" t="str">
        <f>IFERROR(__xludf.DUMMYFUNCTION("""COMPUTED_VALUE"""),"")</f>
        <v/>
      </c>
      <c r="F5375" t="str">
        <f>IFERROR(__xludf.DUMMYFUNCTION("""COMPUTED_VALUE"""),"")</f>
        <v/>
      </c>
      <c r="G5375" t="str">
        <f>IFERROR(__xludf.DUMMYFUNCTION("""COMPUTED_VALUE"""),"")</f>
        <v/>
      </c>
      <c r="H5375" s="2" t="str">
        <f>IFERROR(__xludf.DUMMYFUNCTION("""COMPUTED_VALUE"""),"")</f>
        <v/>
      </c>
      <c r="I5375" s="2" t="str">
        <f>IFERROR(__xludf.DUMMYFUNCTION("""COMPUTED_VALUE"""),"")</f>
        <v/>
      </c>
      <c r="J5375" s="2">
        <f>IFERROR(__xludf.DUMMYFUNCTION("""COMPUTED_VALUE"""),0.0)</f>
        <v>0</v>
      </c>
      <c r="K5375" s="5" t="str">
        <f>IFERROR(__xludf.DUMMYFUNCTION("""COMPUTED_VALUE"""),"")</f>
        <v/>
      </c>
      <c r="L5375" t="str">
        <f>IFERROR(__xludf.DUMMYFUNCTION("""COMPUTED_VALUE"""),"")</f>
        <v/>
      </c>
      <c r="M5375" t="str">
        <f>IFERROR(__xludf.DUMMYFUNCTION("""COMPUTED_VALUE"""),"")</f>
        <v/>
      </c>
      <c r="N5375" t="str">
        <f>IFERROR(__xludf.DUMMYFUNCTION("""COMPUTED_VALUE"""),"")</f>
        <v/>
      </c>
      <c r="O5375" t="str">
        <f>IFERROR(__xludf.DUMMYFUNCTION("""COMPUTED_VALUE"""),"")</f>
        <v/>
      </c>
      <c r="P5375" t="str">
        <f>IFERROR(__xludf.DUMMYFUNCTION("""COMPUTED_VALUE"""),"ID ")</f>
        <v>ID </v>
      </c>
    </row>
    <row r="5376">
      <c r="A5376" s="6" t="str">
        <f>IFERROR(__xludf.DUMMYFUNCTION("""COMPUTED_VALUE"""),"")</f>
        <v/>
      </c>
      <c r="C5376" t="str">
        <f>IFERROR(__xludf.DUMMYFUNCTION("""COMPUTED_VALUE"""),"")</f>
        <v/>
      </c>
      <c r="D5376" t="str">
        <f>IFERROR(__xludf.DUMMYFUNCTION("""COMPUTED_VALUE"""),"")</f>
        <v/>
      </c>
      <c r="E5376" t="str">
        <f>IFERROR(__xludf.DUMMYFUNCTION("""COMPUTED_VALUE"""),"")</f>
        <v/>
      </c>
      <c r="F5376" t="str">
        <f>IFERROR(__xludf.DUMMYFUNCTION("""COMPUTED_VALUE"""),"")</f>
        <v/>
      </c>
      <c r="G5376" t="str">
        <f>IFERROR(__xludf.DUMMYFUNCTION("""COMPUTED_VALUE"""),"")</f>
        <v/>
      </c>
      <c r="H5376" s="2" t="str">
        <f>IFERROR(__xludf.DUMMYFUNCTION("""COMPUTED_VALUE"""),"")</f>
        <v/>
      </c>
      <c r="I5376" s="2" t="str">
        <f>IFERROR(__xludf.DUMMYFUNCTION("""COMPUTED_VALUE"""),"")</f>
        <v/>
      </c>
      <c r="J5376" s="2">
        <f>IFERROR(__xludf.DUMMYFUNCTION("""COMPUTED_VALUE"""),0.0)</f>
        <v>0</v>
      </c>
      <c r="K5376" s="5" t="str">
        <f>IFERROR(__xludf.DUMMYFUNCTION("""COMPUTED_VALUE"""),"")</f>
        <v/>
      </c>
      <c r="L5376" t="str">
        <f>IFERROR(__xludf.DUMMYFUNCTION("""COMPUTED_VALUE"""),"")</f>
        <v/>
      </c>
      <c r="M5376" t="str">
        <f>IFERROR(__xludf.DUMMYFUNCTION("""COMPUTED_VALUE"""),"")</f>
        <v/>
      </c>
      <c r="N5376" t="str">
        <f>IFERROR(__xludf.DUMMYFUNCTION("""COMPUTED_VALUE"""),"")</f>
        <v/>
      </c>
      <c r="O5376" t="str">
        <f>IFERROR(__xludf.DUMMYFUNCTION("""COMPUTED_VALUE"""),"")</f>
        <v/>
      </c>
      <c r="P5376" t="str">
        <f>IFERROR(__xludf.DUMMYFUNCTION("""COMPUTED_VALUE"""),"ID ")</f>
        <v>ID </v>
      </c>
    </row>
    <row r="5377">
      <c r="A5377" s="6" t="str">
        <f>IFERROR(__xludf.DUMMYFUNCTION("""COMPUTED_VALUE"""),"")</f>
        <v/>
      </c>
      <c r="C5377" t="str">
        <f>IFERROR(__xludf.DUMMYFUNCTION("""COMPUTED_VALUE"""),"")</f>
        <v/>
      </c>
      <c r="D5377" t="str">
        <f>IFERROR(__xludf.DUMMYFUNCTION("""COMPUTED_VALUE"""),"")</f>
        <v/>
      </c>
      <c r="E5377" t="str">
        <f>IFERROR(__xludf.DUMMYFUNCTION("""COMPUTED_VALUE"""),"")</f>
        <v/>
      </c>
      <c r="F5377" t="str">
        <f>IFERROR(__xludf.DUMMYFUNCTION("""COMPUTED_VALUE"""),"")</f>
        <v/>
      </c>
      <c r="G5377" t="str">
        <f>IFERROR(__xludf.DUMMYFUNCTION("""COMPUTED_VALUE"""),"")</f>
        <v/>
      </c>
      <c r="H5377" s="2" t="str">
        <f>IFERROR(__xludf.DUMMYFUNCTION("""COMPUTED_VALUE"""),"")</f>
        <v/>
      </c>
      <c r="I5377" s="2" t="str">
        <f>IFERROR(__xludf.DUMMYFUNCTION("""COMPUTED_VALUE"""),"")</f>
        <v/>
      </c>
      <c r="J5377" s="2">
        <f>IFERROR(__xludf.DUMMYFUNCTION("""COMPUTED_VALUE"""),0.0)</f>
        <v>0</v>
      </c>
      <c r="K5377" s="5" t="str">
        <f>IFERROR(__xludf.DUMMYFUNCTION("""COMPUTED_VALUE"""),"")</f>
        <v/>
      </c>
      <c r="L5377" t="str">
        <f>IFERROR(__xludf.DUMMYFUNCTION("""COMPUTED_VALUE"""),"")</f>
        <v/>
      </c>
      <c r="M5377" t="str">
        <f>IFERROR(__xludf.DUMMYFUNCTION("""COMPUTED_VALUE"""),"")</f>
        <v/>
      </c>
      <c r="N5377" t="str">
        <f>IFERROR(__xludf.DUMMYFUNCTION("""COMPUTED_VALUE"""),"")</f>
        <v/>
      </c>
      <c r="O5377" t="str">
        <f>IFERROR(__xludf.DUMMYFUNCTION("""COMPUTED_VALUE"""),"")</f>
        <v/>
      </c>
      <c r="P5377" t="str">
        <f>IFERROR(__xludf.DUMMYFUNCTION("""COMPUTED_VALUE"""),"ID ")</f>
        <v>ID </v>
      </c>
    </row>
    <row r="5378">
      <c r="A5378" s="6" t="str">
        <f>IFERROR(__xludf.DUMMYFUNCTION("""COMPUTED_VALUE"""),"")</f>
        <v/>
      </c>
      <c r="C5378" t="str">
        <f>IFERROR(__xludf.DUMMYFUNCTION("""COMPUTED_VALUE"""),"")</f>
        <v/>
      </c>
      <c r="D5378" t="str">
        <f>IFERROR(__xludf.DUMMYFUNCTION("""COMPUTED_VALUE"""),"")</f>
        <v/>
      </c>
      <c r="E5378" t="str">
        <f>IFERROR(__xludf.DUMMYFUNCTION("""COMPUTED_VALUE"""),"")</f>
        <v/>
      </c>
      <c r="F5378" t="str">
        <f>IFERROR(__xludf.DUMMYFUNCTION("""COMPUTED_VALUE"""),"")</f>
        <v/>
      </c>
      <c r="G5378" t="str">
        <f>IFERROR(__xludf.DUMMYFUNCTION("""COMPUTED_VALUE"""),"")</f>
        <v/>
      </c>
      <c r="H5378" s="2" t="str">
        <f>IFERROR(__xludf.DUMMYFUNCTION("""COMPUTED_VALUE"""),"")</f>
        <v/>
      </c>
      <c r="I5378" s="2" t="str">
        <f>IFERROR(__xludf.DUMMYFUNCTION("""COMPUTED_VALUE"""),"")</f>
        <v/>
      </c>
      <c r="J5378" s="2">
        <f>IFERROR(__xludf.DUMMYFUNCTION("""COMPUTED_VALUE"""),0.0)</f>
        <v>0</v>
      </c>
      <c r="K5378" s="5" t="str">
        <f>IFERROR(__xludf.DUMMYFUNCTION("""COMPUTED_VALUE"""),"")</f>
        <v/>
      </c>
      <c r="L5378" t="str">
        <f>IFERROR(__xludf.DUMMYFUNCTION("""COMPUTED_VALUE"""),"")</f>
        <v/>
      </c>
      <c r="M5378" t="str">
        <f>IFERROR(__xludf.DUMMYFUNCTION("""COMPUTED_VALUE"""),"")</f>
        <v/>
      </c>
      <c r="N5378" t="str">
        <f>IFERROR(__xludf.DUMMYFUNCTION("""COMPUTED_VALUE"""),"")</f>
        <v/>
      </c>
      <c r="O5378" t="str">
        <f>IFERROR(__xludf.DUMMYFUNCTION("""COMPUTED_VALUE"""),"")</f>
        <v/>
      </c>
      <c r="P5378" t="str">
        <f>IFERROR(__xludf.DUMMYFUNCTION("""COMPUTED_VALUE"""),"ID ")</f>
        <v>ID </v>
      </c>
    </row>
    <row r="5379">
      <c r="A5379" s="6" t="str">
        <f>IFERROR(__xludf.DUMMYFUNCTION("""COMPUTED_VALUE"""),"")</f>
        <v/>
      </c>
      <c r="C5379" t="str">
        <f>IFERROR(__xludf.DUMMYFUNCTION("""COMPUTED_VALUE"""),"")</f>
        <v/>
      </c>
      <c r="D5379" t="str">
        <f>IFERROR(__xludf.DUMMYFUNCTION("""COMPUTED_VALUE"""),"")</f>
        <v/>
      </c>
      <c r="E5379" t="str">
        <f>IFERROR(__xludf.DUMMYFUNCTION("""COMPUTED_VALUE"""),"")</f>
        <v/>
      </c>
      <c r="F5379" t="str">
        <f>IFERROR(__xludf.DUMMYFUNCTION("""COMPUTED_VALUE"""),"")</f>
        <v/>
      </c>
      <c r="G5379" t="str">
        <f>IFERROR(__xludf.DUMMYFUNCTION("""COMPUTED_VALUE"""),"")</f>
        <v/>
      </c>
      <c r="H5379" s="2" t="str">
        <f>IFERROR(__xludf.DUMMYFUNCTION("""COMPUTED_VALUE"""),"")</f>
        <v/>
      </c>
      <c r="I5379" s="2" t="str">
        <f>IFERROR(__xludf.DUMMYFUNCTION("""COMPUTED_VALUE"""),"")</f>
        <v/>
      </c>
      <c r="J5379" s="2">
        <f>IFERROR(__xludf.DUMMYFUNCTION("""COMPUTED_VALUE"""),0.0)</f>
        <v>0</v>
      </c>
      <c r="K5379" s="5" t="str">
        <f>IFERROR(__xludf.DUMMYFUNCTION("""COMPUTED_VALUE"""),"")</f>
        <v/>
      </c>
      <c r="L5379" t="str">
        <f>IFERROR(__xludf.DUMMYFUNCTION("""COMPUTED_VALUE"""),"")</f>
        <v/>
      </c>
      <c r="M5379" t="str">
        <f>IFERROR(__xludf.DUMMYFUNCTION("""COMPUTED_VALUE"""),"")</f>
        <v/>
      </c>
      <c r="N5379" t="str">
        <f>IFERROR(__xludf.DUMMYFUNCTION("""COMPUTED_VALUE"""),"")</f>
        <v/>
      </c>
      <c r="O5379" t="str">
        <f>IFERROR(__xludf.DUMMYFUNCTION("""COMPUTED_VALUE"""),"")</f>
        <v/>
      </c>
      <c r="P5379" t="str">
        <f>IFERROR(__xludf.DUMMYFUNCTION("""COMPUTED_VALUE"""),"ID ")</f>
        <v>ID </v>
      </c>
    </row>
    <row r="5380">
      <c r="A5380" s="6" t="str">
        <f>IFERROR(__xludf.DUMMYFUNCTION("""COMPUTED_VALUE"""),"")</f>
        <v/>
      </c>
      <c r="C5380" t="str">
        <f>IFERROR(__xludf.DUMMYFUNCTION("""COMPUTED_VALUE"""),"")</f>
        <v/>
      </c>
      <c r="D5380" t="str">
        <f>IFERROR(__xludf.DUMMYFUNCTION("""COMPUTED_VALUE"""),"")</f>
        <v/>
      </c>
      <c r="E5380" t="str">
        <f>IFERROR(__xludf.DUMMYFUNCTION("""COMPUTED_VALUE"""),"")</f>
        <v/>
      </c>
      <c r="F5380" t="str">
        <f>IFERROR(__xludf.DUMMYFUNCTION("""COMPUTED_VALUE"""),"")</f>
        <v/>
      </c>
      <c r="G5380" t="str">
        <f>IFERROR(__xludf.DUMMYFUNCTION("""COMPUTED_VALUE"""),"")</f>
        <v/>
      </c>
      <c r="H5380" s="2" t="str">
        <f>IFERROR(__xludf.DUMMYFUNCTION("""COMPUTED_VALUE"""),"")</f>
        <v/>
      </c>
      <c r="I5380" s="2" t="str">
        <f>IFERROR(__xludf.DUMMYFUNCTION("""COMPUTED_VALUE"""),"")</f>
        <v/>
      </c>
      <c r="J5380" s="2">
        <f>IFERROR(__xludf.DUMMYFUNCTION("""COMPUTED_VALUE"""),0.0)</f>
        <v>0</v>
      </c>
      <c r="K5380" s="5" t="str">
        <f>IFERROR(__xludf.DUMMYFUNCTION("""COMPUTED_VALUE"""),"")</f>
        <v/>
      </c>
      <c r="L5380" t="str">
        <f>IFERROR(__xludf.DUMMYFUNCTION("""COMPUTED_VALUE"""),"")</f>
        <v/>
      </c>
      <c r="M5380" t="str">
        <f>IFERROR(__xludf.DUMMYFUNCTION("""COMPUTED_VALUE"""),"")</f>
        <v/>
      </c>
      <c r="N5380" t="str">
        <f>IFERROR(__xludf.DUMMYFUNCTION("""COMPUTED_VALUE"""),"")</f>
        <v/>
      </c>
      <c r="O5380" t="str">
        <f>IFERROR(__xludf.DUMMYFUNCTION("""COMPUTED_VALUE"""),"")</f>
        <v/>
      </c>
      <c r="P5380" t="str">
        <f>IFERROR(__xludf.DUMMYFUNCTION("""COMPUTED_VALUE"""),"ID ")</f>
        <v>ID </v>
      </c>
    </row>
    <row r="5381">
      <c r="A5381" s="6" t="str">
        <f>IFERROR(__xludf.DUMMYFUNCTION("""COMPUTED_VALUE"""),"")</f>
        <v/>
      </c>
      <c r="C5381" t="str">
        <f>IFERROR(__xludf.DUMMYFUNCTION("""COMPUTED_VALUE"""),"")</f>
        <v/>
      </c>
      <c r="D5381" t="str">
        <f>IFERROR(__xludf.DUMMYFUNCTION("""COMPUTED_VALUE"""),"")</f>
        <v/>
      </c>
      <c r="E5381" t="str">
        <f>IFERROR(__xludf.DUMMYFUNCTION("""COMPUTED_VALUE"""),"")</f>
        <v/>
      </c>
      <c r="F5381" t="str">
        <f>IFERROR(__xludf.DUMMYFUNCTION("""COMPUTED_VALUE"""),"")</f>
        <v/>
      </c>
      <c r="G5381" t="str">
        <f>IFERROR(__xludf.DUMMYFUNCTION("""COMPUTED_VALUE"""),"")</f>
        <v/>
      </c>
      <c r="H5381" s="2" t="str">
        <f>IFERROR(__xludf.DUMMYFUNCTION("""COMPUTED_VALUE"""),"")</f>
        <v/>
      </c>
      <c r="I5381" s="2" t="str">
        <f>IFERROR(__xludf.DUMMYFUNCTION("""COMPUTED_VALUE"""),"")</f>
        <v/>
      </c>
      <c r="J5381" s="2">
        <f>IFERROR(__xludf.DUMMYFUNCTION("""COMPUTED_VALUE"""),0.0)</f>
        <v>0</v>
      </c>
      <c r="K5381" s="5" t="str">
        <f>IFERROR(__xludf.DUMMYFUNCTION("""COMPUTED_VALUE"""),"")</f>
        <v/>
      </c>
      <c r="L5381" t="str">
        <f>IFERROR(__xludf.DUMMYFUNCTION("""COMPUTED_VALUE"""),"")</f>
        <v/>
      </c>
      <c r="M5381" t="str">
        <f>IFERROR(__xludf.DUMMYFUNCTION("""COMPUTED_VALUE"""),"")</f>
        <v/>
      </c>
      <c r="N5381" t="str">
        <f>IFERROR(__xludf.DUMMYFUNCTION("""COMPUTED_VALUE"""),"")</f>
        <v/>
      </c>
      <c r="O5381" t="str">
        <f>IFERROR(__xludf.DUMMYFUNCTION("""COMPUTED_VALUE"""),"")</f>
        <v/>
      </c>
      <c r="P5381" t="str">
        <f>IFERROR(__xludf.DUMMYFUNCTION("""COMPUTED_VALUE"""),"ID ")</f>
        <v>ID </v>
      </c>
    </row>
    <row r="5382">
      <c r="A5382" s="6" t="str">
        <f>IFERROR(__xludf.DUMMYFUNCTION("""COMPUTED_VALUE"""),"")</f>
        <v/>
      </c>
      <c r="C5382" t="str">
        <f>IFERROR(__xludf.DUMMYFUNCTION("""COMPUTED_VALUE"""),"")</f>
        <v/>
      </c>
      <c r="D5382" t="str">
        <f>IFERROR(__xludf.DUMMYFUNCTION("""COMPUTED_VALUE"""),"")</f>
        <v/>
      </c>
      <c r="E5382" t="str">
        <f>IFERROR(__xludf.DUMMYFUNCTION("""COMPUTED_VALUE"""),"")</f>
        <v/>
      </c>
      <c r="F5382" t="str">
        <f>IFERROR(__xludf.DUMMYFUNCTION("""COMPUTED_VALUE"""),"")</f>
        <v/>
      </c>
      <c r="G5382" t="str">
        <f>IFERROR(__xludf.DUMMYFUNCTION("""COMPUTED_VALUE"""),"")</f>
        <v/>
      </c>
      <c r="H5382" s="2" t="str">
        <f>IFERROR(__xludf.DUMMYFUNCTION("""COMPUTED_VALUE"""),"")</f>
        <v/>
      </c>
      <c r="I5382" s="2" t="str">
        <f>IFERROR(__xludf.DUMMYFUNCTION("""COMPUTED_VALUE"""),"")</f>
        <v/>
      </c>
      <c r="J5382" s="2">
        <f>IFERROR(__xludf.DUMMYFUNCTION("""COMPUTED_VALUE"""),0.0)</f>
        <v>0</v>
      </c>
      <c r="K5382" s="5" t="str">
        <f>IFERROR(__xludf.DUMMYFUNCTION("""COMPUTED_VALUE"""),"")</f>
        <v/>
      </c>
      <c r="L5382" t="str">
        <f>IFERROR(__xludf.DUMMYFUNCTION("""COMPUTED_VALUE"""),"")</f>
        <v/>
      </c>
      <c r="M5382" t="str">
        <f>IFERROR(__xludf.DUMMYFUNCTION("""COMPUTED_VALUE"""),"")</f>
        <v/>
      </c>
      <c r="N5382" t="str">
        <f>IFERROR(__xludf.DUMMYFUNCTION("""COMPUTED_VALUE"""),"")</f>
        <v/>
      </c>
      <c r="O5382" t="str">
        <f>IFERROR(__xludf.DUMMYFUNCTION("""COMPUTED_VALUE"""),"")</f>
        <v/>
      </c>
      <c r="P5382" t="str">
        <f>IFERROR(__xludf.DUMMYFUNCTION("""COMPUTED_VALUE"""),"ID ")</f>
        <v>ID </v>
      </c>
    </row>
    <row r="5383">
      <c r="A5383" s="6" t="str">
        <f>IFERROR(__xludf.DUMMYFUNCTION("""COMPUTED_VALUE"""),"")</f>
        <v/>
      </c>
      <c r="C5383" t="str">
        <f>IFERROR(__xludf.DUMMYFUNCTION("""COMPUTED_VALUE"""),"")</f>
        <v/>
      </c>
      <c r="D5383" t="str">
        <f>IFERROR(__xludf.DUMMYFUNCTION("""COMPUTED_VALUE"""),"")</f>
        <v/>
      </c>
      <c r="E5383" t="str">
        <f>IFERROR(__xludf.DUMMYFUNCTION("""COMPUTED_VALUE"""),"")</f>
        <v/>
      </c>
      <c r="F5383" t="str">
        <f>IFERROR(__xludf.DUMMYFUNCTION("""COMPUTED_VALUE"""),"")</f>
        <v/>
      </c>
      <c r="G5383" t="str">
        <f>IFERROR(__xludf.DUMMYFUNCTION("""COMPUTED_VALUE"""),"")</f>
        <v/>
      </c>
      <c r="H5383" s="2" t="str">
        <f>IFERROR(__xludf.DUMMYFUNCTION("""COMPUTED_VALUE"""),"")</f>
        <v/>
      </c>
      <c r="I5383" s="2" t="str">
        <f>IFERROR(__xludf.DUMMYFUNCTION("""COMPUTED_VALUE"""),"")</f>
        <v/>
      </c>
      <c r="J5383" s="2">
        <f>IFERROR(__xludf.DUMMYFUNCTION("""COMPUTED_VALUE"""),0.0)</f>
        <v>0</v>
      </c>
      <c r="K5383" s="5" t="str">
        <f>IFERROR(__xludf.DUMMYFUNCTION("""COMPUTED_VALUE"""),"")</f>
        <v/>
      </c>
      <c r="L5383" t="str">
        <f>IFERROR(__xludf.DUMMYFUNCTION("""COMPUTED_VALUE"""),"")</f>
        <v/>
      </c>
      <c r="M5383" t="str">
        <f>IFERROR(__xludf.DUMMYFUNCTION("""COMPUTED_VALUE"""),"")</f>
        <v/>
      </c>
      <c r="N5383" t="str">
        <f>IFERROR(__xludf.DUMMYFUNCTION("""COMPUTED_VALUE"""),"")</f>
        <v/>
      </c>
      <c r="O5383" t="str">
        <f>IFERROR(__xludf.DUMMYFUNCTION("""COMPUTED_VALUE"""),"")</f>
        <v/>
      </c>
      <c r="P5383" t="str">
        <f>IFERROR(__xludf.DUMMYFUNCTION("""COMPUTED_VALUE"""),"ID ")</f>
        <v>ID </v>
      </c>
    </row>
    <row r="5384">
      <c r="A5384" s="6" t="str">
        <f>IFERROR(__xludf.DUMMYFUNCTION("""COMPUTED_VALUE"""),"")</f>
        <v/>
      </c>
      <c r="C5384" t="str">
        <f>IFERROR(__xludf.DUMMYFUNCTION("""COMPUTED_VALUE"""),"")</f>
        <v/>
      </c>
      <c r="D5384" t="str">
        <f>IFERROR(__xludf.DUMMYFUNCTION("""COMPUTED_VALUE"""),"")</f>
        <v/>
      </c>
      <c r="E5384" t="str">
        <f>IFERROR(__xludf.DUMMYFUNCTION("""COMPUTED_VALUE"""),"")</f>
        <v/>
      </c>
      <c r="F5384" t="str">
        <f>IFERROR(__xludf.DUMMYFUNCTION("""COMPUTED_VALUE"""),"")</f>
        <v/>
      </c>
      <c r="G5384" t="str">
        <f>IFERROR(__xludf.DUMMYFUNCTION("""COMPUTED_VALUE"""),"")</f>
        <v/>
      </c>
      <c r="H5384" s="2" t="str">
        <f>IFERROR(__xludf.DUMMYFUNCTION("""COMPUTED_VALUE"""),"")</f>
        <v/>
      </c>
      <c r="I5384" s="2" t="str">
        <f>IFERROR(__xludf.DUMMYFUNCTION("""COMPUTED_VALUE"""),"")</f>
        <v/>
      </c>
      <c r="J5384" s="2">
        <f>IFERROR(__xludf.DUMMYFUNCTION("""COMPUTED_VALUE"""),0.0)</f>
        <v>0</v>
      </c>
      <c r="K5384" s="5" t="str">
        <f>IFERROR(__xludf.DUMMYFUNCTION("""COMPUTED_VALUE"""),"")</f>
        <v/>
      </c>
      <c r="L5384" t="str">
        <f>IFERROR(__xludf.DUMMYFUNCTION("""COMPUTED_VALUE"""),"")</f>
        <v/>
      </c>
      <c r="M5384" t="str">
        <f>IFERROR(__xludf.DUMMYFUNCTION("""COMPUTED_VALUE"""),"")</f>
        <v/>
      </c>
      <c r="N5384" t="str">
        <f>IFERROR(__xludf.DUMMYFUNCTION("""COMPUTED_VALUE"""),"")</f>
        <v/>
      </c>
      <c r="O5384" t="str">
        <f>IFERROR(__xludf.DUMMYFUNCTION("""COMPUTED_VALUE"""),"")</f>
        <v/>
      </c>
      <c r="P5384" t="str">
        <f>IFERROR(__xludf.DUMMYFUNCTION("""COMPUTED_VALUE"""),"ID ")</f>
        <v>ID </v>
      </c>
    </row>
    <row r="5385">
      <c r="A5385" s="6" t="str">
        <f>IFERROR(__xludf.DUMMYFUNCTION("""COMPUTED_VALUE"""),"")</f>
        <v/>
      </c>
      <c r="C5385" t="str">
        <f>IFERROR(__xludf.DUMMYFUNCTION("""COMPUTED_VALUE"""),"")</f>
        <v/>
      </c>
      <c r="D5385" t="str">
        <f>IFERROR(__xludf.DUMMYFUNCTION("""COMPUTED_VALUE"""),"")</f>
        <v/>
      </c>
      <c r="E5385" t="str">
        <f>IFERROR(__xludf.DUMMYFUNCTION("""COMPUTED_VALUE"""),"")</f>
        <v/>
      </c>
      <c r="F5385" t="str">
        <f>IFERROR(__xludf.DUMMYFUNCTION("""COMPUTED_VALUE"""),"")</f>
        <v/>
      </c>
      <c r="G5385" t="str">
        <f>IFERROR(__xludf.DUMMYFUNCTION("""COMPUTED_VALUE"""),"")</f>
        <v/>
      </c>
      <c r="H5385" s="2" t="str">
        <f>IFERROR(__xludf.DUMMYFUNCTION("""COMPUTED_VALUE"""),"")</f>
        <v/>
      </c>
      <c r="I5385" s="2" t="str">
        <f>IFERROR(__xludf.DUMMYFUNCTION("""COMPUTED_VALUE"""),"")</f>
        <v/>
      </c>
      <c r="J5385" s="2">
        <f>IFERROR(__xludf.DUMMYFUNCTION("""COMPUTED_VALUE"""),0.0)</f>
        <v>0</v>
      </c>
      <c r="K5385" s="5" t="str">
        <f>IFERROR(__xludf.DUMMYFUNCTION("""COMPUTED_VALUE"""),"")</f>
        <v/>
      </c>
      <c r="L5385" t="str">
        <f>IFERROR(__xludf.DUMMYFUNCTION("""COMPUTED_VALUE"""),"")</f>
        <v/>
      </c>
      <c r="M5385" t="str">
        <f>IFERROR(__xludf.DUMMYFUNCTION("""COMPUTED_VALUE"""),"")</f>
        <v/>
      </c>
      <c r="N5385" t="str">
        <f>IFERROR(__xludf.DUMMYFUNCTION("""COMPUTED_VALUE"""),"")</f>
        <v/>
      </c>
      <c r="O5385" t="str">
        <f>IFERROR(__xludf.DUMMYFUNCTION("""COMPUTED_VALUE"""),"")</f>
        <v/>
      </c>
      <c r="P5385" t="str">
        <f>IFERROR(__xludf.DUMMYFUNCTION("""COMPUTED_VALUE"""),"ID ")</f>
        <v>ID </v>
      </c>
    </row>
    <row r="5386">
      <c r="A5386" s="6" t="str">
        <f>IFERROR(__xludf.DUMMYFUNCTION("""COMPUTED_VALUE"""),"")</f>
        <v/>
      </c>
      <c r="C5386" t="str">
        <f>IFERROR(__xludf.DUMMYFUNCTION("""COMPUTED_VALUE"""),"")</f>
        <v/>
      </c>
      <c r="D5386" t="str">
        <f>IFERROR(__xludf.DUMMYFUNCTION("""COMPUTED_VALUE"""),"")</f>
        <v/>
      </c>
      <c r="E5386" t="str">
        <f>IFERROR(__xludf.DUMMYFUNCTION("""COMPUTED_VALUE"""),"")</f>
        <v/>
      </c>
      <c r="F5386" t="str">
        <f>IFERROR(__xludf.DUMMYFUNCTION("""COMPUTED_VALUE"""),"")</f>
        <v/>
      </c>
      <c r="G5386" t="str">
        <f>IFERROR(__xludf.DUMMYFUNCTION("""COMPUTED_VALUE"""),"")</f>
        <v/>
      </c>
      <c r="H5386" s="2" t="str">
        <f>IFERROR(__xludf.DUMMYFUNCTION("""COMPUTED_VALUE"""),"")</f>
        <v/>
      </c>
      <c r="I5386" s="2" t="str">
        <f>IFERROR(__xludf.DUMMYFUNCTION("""COMPUTED_VALUE"""),"")</f>
        <v/>
      </c>
      <c r="J5386" s="2">
        <f>IFERROR(__xludf.DUMMYFUNCTION("""COMPUTED_VALUE"""),0.0)</f>
        <v>0</v>
      </c>
      <c r="K5386" s="5" t="str">
        <f>IFERROR(__xludf.DUMMYFUNCTION("""COMPUTED_VALUE"""),"")</f>
        <v/>
      </c>
      <c r="L5386" t="str">
        <f>IFERROR(__xludf.DUMMYFUNCTION("""COMPUTED_VALUE"""),"")</f>
        <v/>
      </c>
      <c r="M5386" t="str">
        <f>IFERROR(__xludf.DUMMYFUNCTION("""COMPUTED_VALUE"""),"")</f>
        <v/>
      </c>
      <c r="N5386" t="str">
        <f>IFERROR(__xludf.DUMMYFUNCTION("""COMPUTED_VALUE"""),"")</f>
        <v/>
      </c>
      <c r="O5386" t="str">
        <f>IFERROR(__xludf.DUMMYFUNCTION("""COMPUTED_VALUE"""),"")</f>
        <v/>
      </c>
      <c r="P5386" t="str">
        <f>IFERROR(__xludf.DUMMYFUNCTION("""COMPUTED_VALUE"""),"ID ")</f>
        <v>ID </v>
      </c>
    </row>
    <row r="5387">
      <c r="A5387" s="6" t="str">
        <f>IFERROR(__xludf.DUMMYFUNCTION("""COMPUTED_VALUE"""),"")</f>
        <v/>
      </c>
      <c r="C5387" t="str">
        <f>IFERROR(__xludf.DUMMYFUNCTION("""COMPUTED_VALUE"""),"")</f>
        <v/>
      </c>
      <c r="D5387" t="str">
        <f>IFERROR(__xludf.DUMMYFUNCTION("""COMPUTED_VALUE"""),"")</f>
        <v/>
      </c>
      <c r="E5387" t="str">
        <f>IFERROR(__xludf.DUMMYFUNCTION("""COMPUTED_VALUE"""),"")</f>
        <v/>
      </c>
      <c r="F5387" t="str">
        <f>IFERROR(__xludf.DUMMYFUNCTION("""COMPUTED_VALUE"""),"")</f>
        <v/>
      </c>
      <c r="G5387" t="str">
        <f>IFERROR(__xludf.DUMMYFUNCTION("""COMPUTED_VALUE"""),"")</f>
        <v/>
      </c>
      <c r="H5387" s="2" t="str">
        <f>IFERROR(__xludf.DUMMYFUNCTION("""COMPUTED_VALUE"""),"")</f>
        <v/>
      </c>
      <c r="I5387" s="2" t="str">
        <f>IFERROR(__xludf.DUMMYFUNCTION("""COMPUTED_VALUE"""),"")</f>
        <v/>
      </c>
      <c r="J5387" s="2">
        <f>IFERROR(__xludf.DUMMYFUNCTION("""COMPUTED_VALUE"""),0.0)</f>
        <v>0</v>
      </c>
      <c r="K5387" s="5" t="str">
        <f>IFERROR(__xludf.DUMMYFUNCTION("""COMPUTED_VALUE"""),"")</f>
        <v/>
      </c>
      <c r="L5387" t="str">
        <f>IFERROR(__xludf.DUMMYFUNCTION("""COMPUTED_VALUE"""),"")</f>
        <v/>
      </c>
      <c r="M5387" t="str">
        <f>IFERROR(__xludf.DUMMYFUNCTION("""COMPUTED_VALUE"""),"")</f>
        <v/>
      </c>
      <c r="N5387" t="str">
        <f>IFERROR(__xludf.DUMMYFUNCTION("""COMPUTED_VALUE"""),"")</f>
        <v/>
      </c>
      <c r="O5387" t="str">
        <f>IFERROR(__xludf.DUMMYFUNCTION("""COMPUTED_VALUE"""),"")</f>
        <v/>
      </c>
      <c r="P5387" t="str">
        <f>IFERROR(__xludf.DUMMYFUNCTION("""COMPUTED_VALUE"""),"ID ")</f>
        <v>ID </v>
      </c>
    </row>
    <row r="5388">
      <c r="A5388" s="6" t="str">
        <f>IFERROR(__xludf.DUMMYFUNCTION("""COMPUTED_VALUE"""),"")</f>
        <v/>
      </c>
      <c r="C5388" t="str">
        <f>IFERROR(__xludf.DUMMYFUNCTION("""COMPUTED_VALUE"""),"")</f>
        <v/>
      </c>
      <c r="D5388" t="str">
        <f>IFERROR(__xludf.DUMMYFUNCTION("""COMPUTED_VALUE"""),"")</f>
        <v/>
      </c>
      <c r="E5388" t="str">
        <f>IFERROR(__xludf.DUMMYFUNCTION("""COMPUTED_VALUE"""),"")</f>
        <v/>
      </c>
      <c r="F5388" t="str">
        <f>IFERROR(__xludf.DUMMYFUNCTION("""COMPUTED_VALUE"""),"")</f>
        <v/>
      </c>
      <c r="G5388" t="str">
        <f>IFERROR(__xludf.DUMMYFUNCTION("""COMPUTED_VALUE"""),"")</f>
        <v/>
      </c>
      <c r="H5388" s="2" t="str">
        <f>IFERROR(__xludf.DUMMYFUNCTION("""COMPUTED_VALUE"""),"")</f>
        <v/>
      </c>
      <c r="I5388" s="2" t="str">
        <f>IFERROR(__xludf.DUMMYFUNCTION("""COMPUTED_VALUE"""),"")</f>
        <v/>
      </c>
      <c r="J5388" s="2">
        <f>IFERROR(__xludf.DUMMYFUNCTION("""COMPUTED_VALUE"""),0.0)</f>
        <v>0</v>
      </c>
      <c r="K5388" s="5" t="str">
        <f>IFERROR(__xludf.DUMMYFUNCTION("""COMPUTED_VALUE"""),"")</f>
        <v/>
      </c>
      <c r="L5388" t="str">
        <f>IFERROR(__xludf.DUMMYFUNCTION("""COMPUTED_VALUE"""),"")</f>
        <v/>
      </c>
      <c r="M5388" t="str">
        <f>IFERROR(__xludf.DUMMYFUNCTION("""COMPUTED_VALUE"""),"")</f>
        <v/>
      </c>
      <c r="N5388" t="str">
        <f>IFERROR(__xludf.DUMMYFUNCTION("""COMPUTED_VALUE"""),"")</f>
        <v/>
      </c>
      <c r="O5388" t="str">
        <f>IFERROR(__xludf.DUMMYFUNCTION("""COMPUTED_VALUE"""),"")</f>
        <v/>
      </c>
      <c r="P5388" t="str">
        <f>IFERROR(__xludf.DUMMYFUNCTION("""COMPUTED_VALUE"""),"ID ")</f>
        <v>ID </v>
      </c>
    </row>
    <row r="5389">
      <c r="A5389" s="6" t="str">
        <f>IFERROR(__xludf.DUMMYFUNCTION("""COMPUTED_VALUE"""),"")</f>
        <v/>
      </c>
      <c r="C5389" t="str">
        <f>IFERROR(__xludf.DUMMYFUNCTION("""COMPUTED_VALUE"""),"")</f>
        <v/>
      </c>
      <c r="D5389" t="str">
        <f>IFERROR(__xludf.DUMMYFUNCTION("""COMPUTED_VALUE"""),"")</f>
        <v/>
      </c>
      <c r="E5389" t="str">
        <f>IFERROR(__xludf.DUMMYFUNCTION("""COMPUTED_VALUE"""),"")</f>
        <v/>
      </c>
      <c r="F5389" t="str">
        <f>IFERROR(__xludf.DUMMYFUNCTION("""COMPUTED_VALUE"""),"")</f>
        <v/>
      </c>
      <c r="G5389" t="str">
        <f>IFERROR(__xludf.DUMMYFUNCTION("""COMPUTED_VALUE"""),"")</f>
        <v/>
      </c>
      <c r="H5389" s="2" t="str">
        <f>IFERROR(__xludf.DUMMYFUNCTION("""COMPUTED_VALUE"""),"")</f>
        <v/>
      </c>
      <c r="I5389" s="2" t="str">
        <f>IFERROR(__xludf.DUMMYFUNCTION("""COMPUTED_VALUE"""),"")</f>
        <v/>
      </c>
      <c r="J5389" s="2">
        <f>IFERROR(__xludf.DUMMYFUNCTION("""COMPUTED_VALUE"""),0.0)</f>
        <v>0</v>
      </c>
      <c r="K5389" s="5" t="str">
        <f>IFERROR(__xludf.DUMMYFUNCTION("""COMPUTED_VALUE"""),"")</f>
        <v/>
      </c>
      <c r="L5389" t="str">
        <f>IFERROR(__xludf.DUMMYFUNCTION("""COMPUTED_VALUE"""),"")</f>
        <v/>
      </c>
      <c r="M5389" t="str">
        <f>IFERROR(__xludf.DUMMYFUNCTION("""COMPUTED_VALUE"""),"")</f>
        <v/>
      </c>
      <c r="N5389" t="str">
        <f>IFERROR(__xludf.DUMMYFUNCTION("""COMPUTED_VALUE"""),"")</f>
        <v/>
      </c>
      <c r="O5389" t="str">
        <f>IFERROR(__xludf.DUMMYFUNCTION("""COMPUTED_VALUE"""),"")</f>
        <v/>
      </c>
      <c r="P5389" t="str">
        <f>IFERROR(__xludf.DUMMYFUNCTION("""COMPUTED_VALUE"""),"ID ")</f>
        <v>ID </v>
      </c>
    </row>
    <row r="5390">
      <c r="A5390" s="6" t="str">
        <f>IFERROR(__xludf.DUMMYFUNCTION("""COMPUTED_VALUE"""),"")</f>
        <v/>
      </c>
      <c r="C5390" t="str">
        <f>IFERROR(__xludf.DUMMYFUNCTION("""COMPUTED_VALUE"""),"")</f>
        <v/>
      </c>
      <c r="D5390" t="str">
        <f>IFERROR(__xludf.DUMMYFUNCTION("""COMPUTED_VALUE"""),"")</f>
        <v/>
      </c>
      <c r="E5390" t="str">
        <f>IFERROR(__xludf.DUMMYFUNCTION("""COMPUTED_VALUE"""),"")</f>
        <v/>
      </c>
      <c r="F5390" t="str">
        <f>IFERROR(__xludf.DUMMYFUNCTION("""COMPUTED_VALUE"""),"")</f>
        <v/>
      </c>
      <c r="G5390" t="str">
        <f>IFERROR(__xludf.DUMMYFUNCTION("""COMPUTED_VALUE"""),"")</f>
        <v/>
      </c>
      <c r="H5390" s="2" t="str">
        <f>IFERROR(__xludf.DUMMYFUNCTION("""COMPUTED_VALUE"""),"")</f>
        <v/>
      </c>
      <c r="I5390" s="2" t="str">
        <f>IFERROR(__xludf.DUMMYFUNCTION("""COMPUTED_VALUE"""),"")</f>
        <v/>
      </c>
      <c r="J5390" s="2">
        <f>IFERROR(__xludf.DUMMYFUNCTION("""COMPUTED_VALUE"""),0.0)</f>
        <v>0</v>
      </c>
      <c r="K5390" s="5" t="str">
        <f>IFERROR(__xludf.DUMMYFUNCTION("""COMPUTED_VALUE"""),"")</f>
        <v/>
      </c>
      <c r="L5390" t="str">
        <f>IFERROR(__xludf.DUMMYFUNCTION("""COMPUTED_VALUE"""),"")</f>
        <v/>
      </c>
      <c r="M5390" t="str">
        <f>IFERROR(__xludf.DUMMYFUNCTION("""COMPUTED_VALUE"""),"")</f>
        <v/>
      </c>
      <c r="N5390" t="str">
        <f>IFERROR(__xludf.DUMMYFUNCTION("""COMPUTED_VALUE"""),"")</f>
        <v/>
      </c>
      <c r="O5390" t="str">
        <f>IFERROR(__xludf.DUMMYFUNCTION("""COMPUTED_VALUE"""),"")</f>
        <v/>
      </c>
      <c r="P5390" t="str">
        <f>IFERROR(__xludf.DUMMYFUNCTION("""COMPUTED_VALUE"""),"ID ")</f>
        <v>ID </v>
      </c>
    </row>
    <row r="5391">
      <c r="A5391" s="6" t="str">
        <f>IFERROR(__xludf.DUMMYFUNCTION("""COMPUTED_VALUE"""),"")</f>
        <v/>
      </c>
      <c r="C5391" t="str">
        <f>IFERROR(__xludf.DUMMYFUNCTION("""COMPUTED_VALUE"""),"")</f>
        <v/>
      </c>
      <c r="D5391" t="str">
        <f>IFERROR(__xludf.DUMMYFUNCTION("""COMPUTED_VALUE"""),"")</f>
        <v/>
      </c>
      <c r="E5391" t="str">
        <f>IFERROR(__xludf.DUMMYFUNCTION("""COMPUTED_VALUE"""),"")</f>
        <v/>
      </c>
      <c r="F5391" t="str">
        <f>IFERROR(__xludf.DUMMYFUNCTION("""COMPUTED_VALUE"""),"")</f>
        <v/>
      </c>
      <c r="G5391" t="str">
        <f>IFERROR(__xludf.DUMMYFUNCTION("""COMPUTED_VALUE"""),"")</f>
        <v/>
      </c>
      <c r="H5391" s="2" t="str">
        <f>IFERROR(__xludf.DUMMYFUNCTION("""COMPUTED_VALUE"""),"")</f>
        <v/>
      </c>
      <c r="I5391" s="2" t="str">
        <f>IFERROR(__xludf.DUMMYFUNCTION("""COMPUTED_VALUE"""),"")</f>
        <v/>
      </c>
      <c r="J5391" s="2">
        <f>IFERROR(__xludf.DUMMYFUNCTION("""COMPUTED_VALUE"""),0.0)</f>
        <v>0</v>
      </c>
      <c r="K5391" s="5" t="str">
        <f>IFERROR(__xludf.DUMMYFUNCTION("""COMPUTED_VALUE"""),"")</f>
        <v/>
      </c>
      <c r="L5391" t="str">
        <f>IFERROR(__xludf.DUMMYFUNCTION("""COMPUTED_VALUE"""),"")</f>
        <v/>
      </c>
      <c r="M5391" t="str">
        <f>IFERROR(__xludf.DUMMYFUNCTION("""COMPUTED_VALUE"""),"")</f>
        <v/>
      </c>
      <c r="N5391" t="str">
        <f>IFERROR(__xludf.DUMMYFUNCTION("""COMPUTED_VALUE"""),"")</f>
        <v/>
      </c>
      <c r="O5391" t="str">
        <f>IFERROR(__xludf.DUMMYFUNCTION("""COMPUTED_VALUE"""),"")</f>
        <v/>
      </c>
      <c r="P5391" t="str">
        <f>IFERROR(__xludf.DUMMYFUNCTION("""COMPUTED_VALUE"""),"ID ")</f>
        <v>ID </v>
      </c>
    </row>
    <row r="5392">
      <c r="A5392" s="6" t="str">
        <f>IFERROR(__xludf.DUMMYFUNCTION("""COMPUTED_VALUE"""),"")</f>
        <v/>
      </c>
      <c r="C5392" t="str">
        <f>IFERROR(__xludf.DUMMYFUNCTION("""COMPUTED_VALUE"""),"")</f>
        <v/>
      </c>
      <c r="D5392" t="str">
        <f>IFERROR(__xludf.DUMMYFUNCTION("""COMPUTED_VALUE"""),"")</f>
        <v/>
      </c>
      <c r="E5392" t="str">
        <f>IFERROR(__xludf.DUMMYFUNCTION("""COMPUTED_VALUE"""),"")</f>
        <v/>
      </c>
      <c r="F5392" t="str">
        <f>IFERROR(__xludf.DUMMYFUNCTION("""COMPUTED_VALUE"""),"")</f>
        <v/>
      </c>
      <c r="G5392" t="str">
        <f>IFERROR(__xludf.DUMMYFUNCTION("""COMPUTED_VALUE"""),"")</f>
        <v/>
      </c>
      <c r="H5392" s="2" t="str">
        <f>IFERROR(__xludf.DUMMYFUNCTION("""COMPUTED_VALUE"""),"")</f>
        <v/>
      </c>
      <c r="I5392" s="2" t="str">
        <f>IFERROR(__xludf.DUMMYFUNCTION("""COMPUTED_VALUE"""),"")</f>
        <v/>
      </c>
      <c r="J5392" s="2">
        <f>IFERROR(__xludf.DUMMYFUNCTION("""COMPUTED_VALUE"""),0.0)</f>
        <v>0</v>
      </c>
      <c r="K5392" s="5" t="str">
        <f>IFERROR(__xludf.DUMMYFUNCTION("""COMPUTED_VALUE"""),"")</f>
        <v/>
      </c>
      <c r="L5392" t="str">
        <f>IFERROR(__xludf.DUMMYFUNCTION("""COMPUTED_VALUE"""),"")</f>
        <v/>
      </c>
      <c r="M5392" t="str">
        <f>IFERROR(__xludf.DUMMYFUNCTION("""COMPUTED_VALUE"""),"")</f>
        <v/>
      </c>
      <c r="N5392" t="str">
        <f>IFERROR(__xludf.DUMMYFUNCTION("""COMPUTED_VALUE"""),"")</f>
        <v/>
      </c>
      <c r="O5392" t="str">
        <f>IFERROR(__xludf.DUMMYFUNCTION("""COMPUTED_VALUE"""),"")</f>
        <v/>
      </c>
      <c r="P5392" t="str">
        <f>IFERROR(__xludf.DUMMYFUNCTION("""COMPUTED_VALUE"""),"ID ")</f>
        <v>ID </v>
      </c>
    </row>
    <row r="5393">
      <c r="A5393" s="6" t="str">
        <f>IFERROR(__xludf.DUMMYFUNCTION("""COMPUTED_VALUE"""),"")</f>
        <v/>
      </c>
      <c r="C5393" t="str">
        <f>IFERROR(__xludf.DUMMYFUNCTION("""COMPUTED_VALUE"""),"")</f>
        <v/>
      </c>
      <c r="D5393" t="str">
        <f>IFERROR(__xludf.DUMMYFUNCTION("""COMPUTED_VALUE"""),"")</f>
        <v/>
      </c>
      <c r="E5393" t="str">
        <f>IFERROR(__xludf.DUMMYFUNCTION("""COMPUTED_VALUE"""),"")</f>
        <v/>
      </c>
      <c r="F5393" t="str">
        <f>IFERROR(__xludf.DUMMYFUNCTION("""COMPUTED_VALUE"""),"")</f>
        <v/>
      </c>
      <c r="G5393" t="str">
        <f>IFERROR(__xludf.DUMMYFUNCTION("""COMPUTED_VALUE"""),"")</f>
        <v/>
      </c>
      <c r="H5393" s="2" t="str">
        <f>IFERROR(__xludf.DUMMYFUNCTION("""COMPUTED_VALUE"""),"")</f>
        <v/>
      </c>
      <c r="I5393" s="2" t="str">
        <f>IFERROR(__xludf.DUMMYFUNCTION("""COMPUTED_VALUE"""),"")</f>
        <v/>
      </c>
      <c r="J5393" s="2">
        <f>IFERROR(__xludf.DUMMYFUNCTION("""COMPUTED_VALUE"""),0.0)</f>
        <v>0</v>
      </c>
      <c r="K5393" s="5" t="str">
        <f>IFERROR(__xludf.DUMMYFUNCTION("""COMPUTED_VALUE"""),"")</f>
        <v/>
      </c>
      <c r="L5393" t="str">
        <f>IFERROR(__xludf.DUMMYFUNCTION("""COMPUTED_VALUE"""),"")</f>
        <v/>
      </c>
      <c r="M5393" t="str">
        <f>IFERROR(__xludf.DUMMYFUNCTION("""COMPUTED_VALUE"""),"")</f>
        <v/>
      </c>
      <c r="N5393" t="str">
        <f>IFERROR(__xludf.DUMMYFUNCTION("""COMPUTED_VALUE"""),"")</f>
        <v/>
      </c>
      <c r="O5393" t="str">
        <f>IFERROR(__xludf.DUMMYFUNCTION("""COMPUTED_VALUE"""),"")</f>
        <v/>
      </c>
      <c r="P5393" t="str">
        <f>IFERROR(__xludf.DUMMYFUNCTION("""COMPUTED_VALUE"""),"ID ")</f>
        <v>ID </v>
      </c>
    </row>
    <row r="5394">
      <c r="A5394" s="6" t="str">
        <f>IFERROR(__xludf.DUMMYFUNCTION("""COMPUTED_VALUE"""),"")</f>
        <v/>
      </c>
      <c r="C5394" t="str">
        <f>IFERROR(__xludf.DUMMYFUNCTION("""COMPUTED_VALUE"""),"")</f>
        <v/>
      </c>
      <c r="D5394" t="str">
        <f>IFERROR(__xludf.DUMMYFUNCTION("""COMPUTED_VALUE"""),"")</f>
        <v/>
      </c>
      <c r="E5394" t="str">
        <f>IFERROR(__xludf.DUMMYFUNCTION("""COMPUTED_VALUE"""),"")</f>
        <v/>
      </c>
      <c r="F5394" t="str">
        <f>IFERROR(__xludf.DUMMYFUNCTION("""COMPUTED_VALUE"""),"")</f>
        <v/>
      </c>
      <c r="G5394" t="str">
        <f>IFERROR(__xludf.DUMMYFUNCTION("""COMPUTED_VALUE"""),"")</f>
        <v/>
      </c>
      <c r="H5394" s="2" t="str">
        <f>IFERROR(__xludf.DUMMYFUNCTION("""COMPUTED_VALUE"""),"")</f>
        <v/>
      </c>
      <c r="I5394" s="2" t="str">
        <f>IFERROR(__xludf.DUMMYFUNCTION("""COMPUTED_VALUE"""),"")</f>
        <v/>
      </c>
      <c r="J5394" s="2">
        <f>IFERROR(__xludf.DUMMYFUNCTION("""COMPUTED_VALUE"""),0.0)</f>
        <v>0</v>
      </c>
      <c r="K5394" s="5" t="str">
        <f>IFERROR(__xludf.DUMMYFUNCTION("""COMPUTED_VALUE"""),"")</f>
        <v/>
      </c>
      <c r="L5394" t="str">
        <f>IFERROR(__xludf.DUMMYFUNCTION("""COMPUTED_VALUE"""),"")</f>
        <v/>
      </c>
      <c r="M5394" t="str">
        <f>IFERROR(__xludf.DUMMYFUNCTION("""COMPUTED_VALUE"""),"")</f>
        <v/>
      </c>
      <c r="N5394" t="str">
        <f>IFERROR(__xludf.DUMMYFUNCTION("""COMPUTED_VALUE"""),"")</f>
        <v/>
      </c>
      <c r="O5394" t="str">
        <f>IFERROR(__xludf.DUMMYFUNCTION("""COMPUTED_VALUE"""),"")</f>
        <v/>
      </c>
      <c r="P5394" t="str">
        <f>IFERROR(__xludf.DUMMYFUNCTION("""COMPUTED_VALUE"""),"ID ")</f>
        <v>ID </v>
      </c>
    </row>
    <row r="5395">
      <c r="A5395" s="6" t="str">
        <f>IFERROR(__xludf.DUMMYFUNCTION("""COMPUTED_VALUE"""),"")</f>
        <v/>
      </c>
      <c r="C5395" t="str">
        <f>IFERROR(__xludf.DUMMYFUNCTION("""COMPUTED_VALUE"""),"")</f>
        <v/>
      </c>
      <c r="D5395" t="str">
        <f>IFERROR(__xludf.DUMMYFUNCTION("""COMPUTED_VALUE"""),"")</f>
        <v/>
      </c>
      <c r="E5395" t="str">
        <f>IFERROR(__xludf.DUMMYFUNCTION("""COMPUTED_VALUE"""),"")</f>
        <v/>
      </c>
      <c r="F5395" t="str">
        <f>IFERROR(__xludf.DUMMYFUNCTION("""COMPUTED_VALUE"""),"")</f>
        <v/>
      </c>
      <c r="G5395" t="str">
        <f>IFERROR(__xludf.DUMMYFUNCTION("""COMPUTED_VALUE"""),"")</f>
        <v/>
      </c>
      <c r="H5395" s="2" t="str">
        <f>IFERROR(__xludf.DUMMYFUNCTION("""COMPUTED_VALUE"""),"")</f>
        <v/>
      </c>
      <c r="I5395" s="2" t="str">
        <f>IFERROR(__xludf.DUMMYFUNCTION("""COMPUTED_VALUE"""),"")</f>
        <v/>
      </c>
      <c r="J5395" s="2">
        <f>IFERROR(__xludf.DUMMYFUNCTION("""COMPUTED_VALUE"""),0.0)</f>
        <v>0</v>
      </c>
      <c r="K5395" s="5" t="str">
        <f>IFERROR(__xludf.DUMMYFUNCTION("""COMPUTED_VALUE"""),"")</f>
        <v/>
      </c>
      <c r="L5395" t="str">
        <f>IFERROR(__xludf.DUMMYFUNCTION("""COMPUTED_VALUE"""),"")</f>
        <v/>
      </c>
      <c r="M5395" t="str">
        <f>IFERROR(__xludf.DUMMYFUNCTION("""COMPUTED_VALUE"""),"")</f>
        <v/>
      </c>
      <c r="N5395" t="str">
        <f>IFERROR(__xludf.DUMMYFUNCTION("""COMPUTED_VALUE"""),"")</f>
        <v/>
      </c>
      <c r="O5395" t="str">
        <f>IFERROR(__xludf.DUMMYFUNCTION("""COMPUTED_VALUE"""),"")</f>
        <v/>
      </c>
      <c r="P5395" t="str">
        <f>IFERROR(__xludf.DUMMYFUNCTION("""COMPUTED_VALUE"""),"ID ")</f>
        <v>ID </v>
      </c>
    </row>
    <row r="5396">
      <c r="A5396" s="6" t="str">
        <f>IFERROR(__xludf.DUMMYFUNCTION("""COMPUTED_VALUE"""),"")</f>
        <v/>
      </c>
      <c r="C5396" t="str">
        <f>IFERROR(__xludf.DUMMYFUNCTION("""COMPUTED_VALUE"""),"")</f>
        <v/>
      </c>
      <c r="D5396" t="str">
        <f>IFERROR(__xludf.DUMMYFUNCTION("""COMPUTED_VALUE"""),"")</f>
        <v/>
      </c>
      <c r="E5396" t="str">
        <f>IFERROR(__xludf.DUMMYFUNCTION("""COMPUTED_VALUE"""),"")</f>
        <v/>
      </c>
      <c r="F5396" t="str">
        <f>IFERROR(__xludf.DUMMYFUNCTION("""COMPUTED_VALUE"""),"")</f>
        <v/>
      </c>
      <c r="G5396" t="str">
        <f>IFERROR(__xludf.DUMMYFUNCTION("""COMPUTED_VALUE"""),"")</f>
        <v/>
      </c>
      <c r="H5396" s="2" t="str">
        <f>IFERROR(__xludf.DUMMYFUNCTION("""COMPUTED_VALUE"""),"")</f>
        <v/>
      </c>
      <c r="I5396" s="2" t="str">
        <f>IFERROR(__xludf.DUMMYFUNCTION("""COMPUTED_VALUE"""),"")</f>
        <v/>
      </c>
      <c r="J5396" s="2">
        <f>IFERROR(__xludf.DUMMYFUNCTION("""COMPUTED_VALUE"""),0.0)</f>
        <v>0</v>
      </c>
      <c r="K5396" s="5" t="str">
        <f>IFERROR(__xludf.DUMMYFUNCTION("""COMPUTED_VALUE"""),"")</f>
        <v/>
      </c>
      <c r="L5396" t="str">
        <f>IFERROR(__xludf.DUMMYFUNCTION("""COMPUTED_VALUE"""),"")</f>
        <v/>
      </c>
      <c r="M5396" t="str">
        <f>IFERROR(__xludf.DUMMYFUNCTION("""COMPUTED_VALUE"""),"")</f>
        <v/>
      </c>
      <c r="N5396" t="str">
        <f>IFERROR(__xludf.DUMMYFUNCTION("""COMPUTED_VALUE"""),"")</f>
        <v/>
      </c>
      <c r="O5396" t="str">
        <f>IFERROR(__xludf.DUMMYFUNCTION("""COMPUTED_VALUE"""),"")</f>
        <v/>
      </c>
      <c r="P5396" t="str">
        <f>IFERROR(__xludf.DUMMYFUNCTION("""COMPUTED_VALUE"""),"ID ")</f>
        <v>ID </v>
      </c>
    </row>
    <row r="5397">
      <c r="A5397" s="6" t="str">
        <f>IFERROR(__xludf.DUMMYFUNCTION("""COMPUTED_VALUE"""),"")</f>
        <v/>
      </c>
      <c r="C5397" t="str">
        <f>IFERROR(__xludf.DUMMYFUNCTION("""COMPUTED_VALUE"""),"")</f>
        <v/>
      </c>
      <c r="D5397" t="str">
        <f>IFERROR(__xludf.DUMMYFUNCTION("""COMPUTED_VALUE"""),"")</f>
        <v/>
      </c>
      <c r="E5397" t="str">
        <f>IFERROR(__xludf.DUMMYFUNCTION("""COMPUTED_VALUE"""),"")</f>
        <v/>
      </c>
      <c r="F5397" t="str">
        <f>IFERROR(__xludf.DUMMYFUNCTION("""COMPUTED_VALUE"""),"")</f>
        <v/>
      </c>
      <c r="G5397" t="str">
        <f>IFERROR(__xludf.DUMMYFUNCTION("""COMPUTED_VALUE"""),"")</f>
        <v/>
      </c>
      <c r="H5397" s="2" t="str">
        <f>IFERROR(__xludf.DUMMYFUNCTION("""COMPUTED_VALUE"""),"")</f>
        <v/>
      </c>
      <c r="I5397" s="2" t="str">
        <f>IFERROR(__xludf.DUMMYFUNCTION("""COMPUTED_VALUE"""),"")</f>
        <v/>
      </c>
      <c r="J5397" s="2">
        <f>IFERROR(__xludf.DUMMYFUNCTION("""COMPUTED_VALUE"""),0.0)</f>
        <v>0</v>
      </c>
      <c r="K5397" s="5" t="str">
        <f>IFERROR(__xludf.DUMMYFUNCTION("""COMPUTED_VALUE"""),"")</f>
        <v/>
      </c>
      <c r="L5397" t="str">
        <f>IFERROR(__xludf.DUMMYFUNCTION("""COMPUTED_VALUE"""),"")</f>
        <v/>
      </c>
      <c r="M5397" t="str">
        <f>IFERROR(__xludf.DUMMYFUNCTION("""COMPUTED_VALUE"""),"")</f>
        <v/>
      </c>
      <c r="N5397" t="str">
        <f>IFERROR(__xludf.DUMMYFUNCTION("""COMPUTED_VALUE"""),"")</f>
        <v/>
      </c>
      <c r="O5397" t="str">
        <f>IFERROR(__xludf.DUMMYFUNCTION("""COMPUTED_VALUE"""),"")</f>
        <v/>
      </c>
      <c r="P5397" t="str">
        <f>IFERROR(__xludf.DUMMYFUNCTION("""COMPUTED_VALUE"""),"ID ")</f>
        <v>ID </v>
      </c>
    </row>
    <row r="5398">
      <c r="A5398" s="6" t="str">
        <f>IFERROR(__xludf.DUMMYFUNCTION("""COMPUTED_VALUE"""),"")</f>
        <v/>
      </c>
      <c r="C5398" t="str">
        <f>IFERROR(__xludf.DUMMYFUNCTION("""COMPUTED_VALUE"""),"")</f>
        <v/>
      </c>
      <c r="D5398" t="str">
        <f>IFERROR(__xludf.DUMMYFUNCTION("""COMPUTED_VALUE"""),"")</f>
        <v/>
      </c>
      <c r="E5398" t="str">
        <f>IFERROR(__xludf.DUMMYFUNCTION("""COMPUTED_VALUE"""),"")</f>
        <v/>
      </c>
      <c r="F5398" t="str">
        <f>IFERROR(__xludf.DUMMYFUNCTION("""COMPUTED_VALUE"""),"")</f>
        <v/>
      </c>
      <c r="G5398" t="str">
        <f>IFERROR(__xludf.DUMMYFUNCTION("""COMPUTED_VALUE"""),"")</f>
        <v/>
      </c>
      <c r="H5398" s="2" t="str">
        <f>IFERROR(__xludf.DUMMYFUNCTION("""COMPUTED_VALUE"""),"")</f>
        <v/>
      </c>
      <c r="I5398" s="2" t="str">
        <f>IFERROR(__xludf.DUMMYFUNCTION("""COMPUTED_VALUE"""),"")</f>
        <v/>
      </c>
      <c r="J5398" s="2">
        <f>IFERROR(__xludf.DUMMYFUNCTION("""COMPUTED_VALUE"""),0.0)</f>
        <v>0</v>
      </c>
      <c r="K5398" s="5" t="str">
        <f>IFERROR(__xludf.DUMMYFUNCTION("""COMPUTED_VALUE"""),"")</f>
        <v/>
      </c>
      <c r="L5398" t="str">
        <f>IFERROR(__xludf.DUMMYFUNCTION("""COMPUTED_VALUE"""),"")</f>
        <v/>
      </c>
      <c r="M5398" t="str">
        <f>IFERROR(__xludf.DUMMYFUNCTION("""COMPUTED_VALUE"""),"")</f>
        <v/>
      </c>
      <c r="N5398" t="str">
        <f>IFERROR(__xludf.DUMMYFUNCTION("""COMPUTED_VALUE"""),"")</f>
        <v/>
      </c>
      <c r="O5398" t="str">
        <f>IFERROR(__xludf.DUMMYFUNCTION("""COMPUTED_VALUE"""),"")</f>
        <v/>
      </c>
      <c r="P5398" t="str">
        <f>IFERROR(__xludf.DUMMYFUNCTION("""COMPUTED_VALUE"""),"ID ")</f>
        <v>ID </v>
      </c>
    </row>
    <row r="5399">
      <c r="A5399" s="6" t="str">
        <f>IFERROR(__xludf.DUMMYFUNCTION("""COMPUTED_VALUE"""),"")</f>
        <v/>
      </c>
      <c r="C5399" t="str">
        <f>IFERROR(__xludf.DUMMYFUNCTION("""COMPUTED_VALUE"""),"")</f>
        <v/>
      </c>
      <c r="D5399" t="str">
        <f>IFERROR(__xludf.DUMMYFUNCTION("""COMPUTED_VALUE"""),"")</f>
        <v/>
      </c>
      <c r="E5399" t="str">
        <f>IFERROR(__xludf.DUMMYFUNCTION("""COMPUTED_VALUE"""),"")</f>
        <v/>
      </c>
      <c r="F5399" t="str">
        <f>IFERROR(__xludf.DUMMYFUNCTION("""COMPUTED_VALUE"""),"")</f>
        <v/>
      </c>
      <c r="G5399" t="str">
        <f>IFERROR(__xludf.DUMMYFUNCTION("""COMPUTED_VALUE"""),"")</f>
        <v/>
      </c>
      <c r="H5399" s="2" t="str">
        <f>IFERROR(__xludf.DUMMYFUNCTION("""COMPUTED_VALUE"""),"")</f>
        <v/>
      </c>
      <c r="I5399" s="2" t="str">
        <f>IFERROR(__xludf.DUMMYFUNCTION("""COMPUTED_VALUE"""),"")</f>
        <v/>
      </c>
      <c r="J5399" s="2">
        <f>IFERROR(__xludf.DUMMYFUNCTION("""COMPUTED_VALUE"""),0.0)</f>
        <v>0</v>
      </c>
      <c r="K5399" s="5" t="str">
        <f>IFERROR(__xludf.DUMMYFUNCTION("""COMPUTED_VALUE"""),"")</f>
        <v/>
      </c>
      <c r="L5399" t="str">
        <f>IFERROR(__xludf.DUMMYFUNCTION("""COMPUTED_VALUE"""),"")</f>
        <v/>
      </c>
      <c r="M5399" t="str">
        <f>IFERROR(__xludf.DUMMYFUNCTION("""COMPUTED_VALUE"""),"")</f>
        <v/>
      </c>
      <c r="N5399" t="str">
        <f>IFERROR(__xludf.DUMMYFUNCTION("""COMPUTED_VALUE"""),"")</f>
        <v/>
      </c>
      <c r="O5399" t="str">
        <f>IFERROR(__xludf.DUMMYFUNCTION("""COMPUTED_VALUE"""),"")</f>
        <v/>
      </c>
      <c r="P5399" t="str">
        <f>IFERROR(__xludf.DUMMYFUNCTION("""COMPUTED_VALUE"""),"ID ")</f>
        <v>ID </v>
      </c>
    </row>
    <row r="5400">
      <c r="A5400" s="6" t="str">
        <f>IFERROR(__xludf.DUMMYFUNCTION("""COMPUTED_VALUE"""),"")</f>
        <v/>
      </c>
      <c r="C5400" t="str">
        <f>IFERROR(__xludf.DUMMYFUNCTION("""COMPUTED_VALUE"""),"")</f>
        <v/>
      </c>
      <c r="D5400" t="str">
        <f>IFERROR(__xludf.DUMMYFUNCTION("""COMPUTED_VALUE"""),"")</f>
        <v/>
      </c>
      <c r="E5400" t="str">
        <f>IFERROR(__xludf.DUMMYFUNCTION("""COMPUTED_VALUE"""),"")</f>
        <v/>
      </c>
      <c r="F5400" t="str">
        <f>IFERROR(__xludf.DUMMYFUNCTION("""COMPUTED_VALUE"""),"")</f>
        <v/>
      </c>
      <c r="G5400" t="str">
        <f>IFERROR(__xludf.DUMMYFUNCTION("""COMPUTED_VALUE"""),"")</f>
        <v/>
      </c>
      <c r="H5400" s="2" t="str">
        <f>IFERROR(__xludf.DUMMYFUNCTION("""COMPUTED_VALUE"""),"")</f>
        <v/>
      </c>
      <c r="I5400" s="2" t="str">
        <f>IFERROR(__xludf.DUMMYFUNCTION("""COMPUTED_VALUE"""),"")</f>
        <v/>
      </c>
      <c r="J5400" s="2">
        <f>IFERROR(__xludf.DUMMYFUNCTION("""COMPUTED_VALUE"""),0.0)</f>
        <v>0</v>
      </c>
      <c r="K5400" s="5" t="str">
        <f>IFERROR(__xludf.DUMMYFUNCTION("""COMPUTED_VALUE"""),"")</f>
        <v/>
      </c>
      <c r="L5400" t="str">
        <f>IFERROR(__xludf.DUMMYFUNCTION("""COMPUTED_VALUE"""),"")</f>
        <v/>
      </c>
      <c r="M5400" t="str">
        <f>IFERROR(__xludf.DUMMYFUNCTION("""COMPUTED_VALUE"""),"")</f>
        <v/>
      </c>
      <c r="N5400" t="str">
        <f>IFERROR(__xludf.DUMMYFUNCTION("""COMPUTED_VALUE"""),"")</f>
        <v/>
      </c>
      <c r="O5400" t="str">
        <f>IFERROR(__xludf.DUMMYFUNCTION("""COMPUTED_VALUE"""),"")</f>
        <v/>
      </c>
      <c r="P5400" t="str">
        <f>IFERROR(__xludf.DUMMYFUNCTION("""COMPUTED_VALUE"""),"ID ")</f>
        <v>ID </v>
      </c>
    </row>
    <row r="5401">
      <c r="A5401" s="6" t="str">
        <f>IFERROR(__xludf.DUMMYFUNCTION("""COMPUTED_VALUE"""),"")</f>
        <v/>
      </c>
      <c r="C5401" t="str">
        <f>IFERROR(__xludf.DUMMYFUNCTION("""COMPUTED_VALUE"""),"")</f>
        <v/>
      </c>
      <c r="D5401" t="str">
        <f>IFERROR(__xludf.DUMMYFUNCTION("""COMPUTED_VALUE"""),"")</f>
        <v/>
      </c>
      <c r="E5401" t="str">
        <f>IFERROR(__xludf.DUMMYFUNCTION("""COMPUTED_VALUE"""),"")</f>
        <v/>
      </c>
      <c r="F5401" t="str">
        <f>IFERROR(__xludf.DUMMYFUNCTION("""COMPUTED_VALUE"""),"")</f>
        <v/>
      </c>
      <c r="G5401" t="str">
        <f>IFERROR(__xludf.DUMMYFUNCTION("""COMPUTED_VALUE"""),"")</f>
        <v/>
      </c>
      <c r="H5401" s="2" t="str">
        <f>IFERROR(__xludf.DUMMYFUNCTION("""COMPUTED_VALUE"""),"")</f>
        <v/>
      </c>
      <c r="I5401" s="2" t="str">
        <f>IFERROR(__xludf.DUMMYFUNCTION("""COMPUTED_VALUE"""),"")</f>
        <v/>
      </c>
      <c r="J5401" s="2">
        <f>IFERROR(__xludf.DUMMYFUNCTION("""COMPUTED_VALUE"""),0.0)</f>
        <v>0</v>
      </c>
      <c r="K5401" s="5" t="str">
        <f>IFERROR(__xludf.DUMMYFUNCTION("""COMPUTED_VALUE"""),"")</f>
        <v/>
      </c>
      <c r="L5401" t="str">
        <f>IFERROR(__xludf.DUMMYFUNCTION("""COMPUTED_VALUE"""),"")</f>
        <v/>
      </c>
      <c r="M5401" t="str">
        <f>IFERROR(__xludf.DUMMYFUNCTION("""COMPUTED_VALUE"""),"")</f>
        <v/>
      </c>
      <c r="N5401" t="str">
        <f>IFERROR(__xludf.DUMMYFUNCTION("""COMPUTED_VALUE"""),"")</f>
        <v/>
      </c>
      <c r="O5401" t="str">
        <f>IFERROR(__xludf.DUMMYFUNCTION("""COMPUTED_VALUE"""),"")</f>
        <v/>
      </c>
      <c r="P5401" t="str">
        <f>IFERROR(__xludf.DUMMYFUNCTION("""COMPUTED_VALUE"""),"ID ")</f>
        <v>ID </v>
      </c>
    </row>
    <row r="5402">
      <c r="A5402" s="6" t="str">
        <f>IFERROR(__xludf.DUMMYFUNCTION("""COMPUTED_VALUE"""),"")</f>
        <v/>
      </c>
      <c r="C5402" t="str">
        <f>IFERROR(__xludf.DUMMYFUNCTION("""COMPUTED_VALUE"""),"")</f>
        <v/>
      </c>
      <c r="D5402" t="str">
        <f>IFERROR(__xludf.DUMMYFUNCTION("""COMPUTED_VALUE"""),"")</f>
        <v/>
      </c>
      <c r="E5402" t="str">
        <f>IFERROR(__xludf.DUMMYFUNCTION("""COMPUTED_VALUE"""),"")</f>
        <v/>
      </c>
      <c r="F5402" t="str">
        <f>IFERROR(__xludf.DUMMYFUNCTION("""COMPUTED_VALUE"""),"")</f>
        <v/>
      </c>
      <c r="G5402" t="str">
        <f>IFERROR(__xludf.DUMMYFUNCTION("""COMPUTED_VALUE"""),"")</f>
        <v/>
      </c>
      <c r="H5402" s="2" t="str">
        <f>IFERROR(__xludf.DUMMYFUNCTION("""COMPUTED_VALUE"""),"")</f>
        <v/>
      </c>
      <c r="I5402" s="2" t="str">
        <f>IFERROR(__xludf.DUMMYFUNCTION("""COMPUTED_VALUE"""),"")</f>
        <v/>
      </c>
      <c r="J5402" s="2">
        <f>IFERROR(__xludf.DUMMYFUNCTION("""COMPUTED_VALUE"""),0.0)</f>
        <v>0</v>
      </c>
      <c r="K5402" s="5" t="str">
        <f>IFERROR(__xludf.DUMMYFUNCTION("""COMPUTED_VALUE"""),"")</f>
        <v/>
      </c>
      <c r="L5402" t="str">
        <f>IFERROR(__xludf.DUMMYFUNCTION("""COMPUTED_VALUE"""),"")</f>
        <v/>
      </c>
      <c r="M5402" t="str">
        <f>IFERROR(__xludf.DUMMYFUNCTION("""COMPUTED_VALUE"""),"")</f>
        <v/>
      </c>
      <c r="N5402" t="str">
        <f>IFERROR(__xludf.DUMMYFUNCTION("""COMPUTED_VALUE"""),"")</f>
        <v/>
      </c>
      <c r="O5402" t="str">
        <f>IFERROR(__xludf.DUMMYFUNCTION("""COMPUTED_VALUE"""),"")</f>
        <v/>
      </c>
      <c r="P5402" t="str">
        <f>IFERROR(__xludf.DUMMYFUNCTION("""COMPUTED_VALUE"""),"ID ")</f>
        <v>ID </v>
      </c>
    </row>
    <row r="5403">
      <c r="A5403" s="6" t="str">
        <f>IFERROR(__xludf.DUMMYFUNCTION("""COMPUTED_VALUE"""),"")</f>
        <v/>
      </c>
      <c r="C5403" t="str">
        <f>IFERROR(__xludf.DUMMYFUNCTION("""COMPUTED_VALUE"""),"")</f>
        <v/>
      </c>
      <c r="D5403" t="str">
        <f>IFERROR(__xludf.DUMMYFUNCTION("""COMPUTED_VALUE"""),"")</f>
        <v/>
      </c>
      <c r="E5403" t="str">
        <f>IFERROR(__xludf.DUMMYFUNCTION("""COMPUTED_VALUE"""),"")</f>
        <v/>
      </c>
      <c r="F5403" t="str">
        <f>IFERROR(__xludf.DUMMYFUNCTION("""COMPUTED_VALUE"""),"")</f>
        <v/>
      </c>
      <c r="G5403" t="str">
        <f>IFERROR(__xludf.DUMMYFUNCTION("""COMPUTED_VALUE"""),"")</f>
        <v/>
      </c>
      <c r="H5403" s="2" t="str">
        <f>IFERROR(__xludf.DUMMYFUNCTION("""COMPUTED_VALUE"""),"")</f>
        <v/>
      </c>
      <c r="I5403" s="2" t="str">
        <f>IFERROR(__xludf.DUMMYFUNCTION("""COMPUTED_VALUE"""),"")</f>
        <v/>
      </c>
      <c r="J5403" s="2">
        <f>IFERROR(__xludf.DUMMYFUNCTION("""COMPUTED_VALUE"""),0.0)</f>
        <v>0</v>
      </c>
      <c r="K5403" s="5" t="str">
        <f>IFERROR(__xludf.DUMMYFUNCTION("""COMPUTED_VALUE"""),"")</f>
        <v/>
      </c>
      <c r="L5403" t="str">
        <f>IFERROR(__xludf.DUMMYFUNCTION("""COMPUTED_VALUE"""),"")</f>
        <v/>
      </c>
      <c r="M5403" t="str">
        <f>IFERROR(__xludf.DUMMYFUNCTION("""COMPUTED_VALUE"""),"")</f>
        <v/>
      </c>
      <c r="N5403" t="str">
        <f>IFERROR(__xludf.DUMMYFUNCTION("""COMPUTED_VALUE"""),"")</f>
        <v/>
      </c>
      <c r="O5403" t="str">
        <f>IFERROR(__xludf.DUMMYFUNCTION("""COMPUTED_VALUE"""),"")</f>
        <v/>
      </c>
      <c r="P5403" t="str">
        <f>IFERROR(__xludf.DUMMYFUNCTION("""COMPUTED_VALUE"""),"ID ")</f>
        <v>ID </v>
      </c>
    </row>
    <row r="5404">
      <c r="A5404" s="6" t="str">
        <f>IFERROR(__xludf.DUMMYFUNCTION("""COMPUTED_VALUE"""),"")</f>
        <v/>
      </c>
      <c r="C5404" t="str">
        <f>IFERROR(__xludf.DUMMYFUNCTION("""COMPUTED_VALUE"""),"")</f>
        <v/>
      </c>
      <c r="D5404" t="str">
        <f>IFERROR(__xludf.DUMMYFUNCTION("""COMPUTED_VALUE"""),"")</f>
        <v/>
      </c>
      <c r="E5404" t="str">
        <f>IFERROR(__xludf.DUMMYFUNCTION("""COMPUTED_VALUE"""),"")</f>
        <v/>
      </c>
      <c r="F5404" t="str">
        <f>IFERROR(__xludf.DUMMYFUNCTION("""COMPUTED_VALUE"""),"")</f>
        <v/>
      </c>
      <c r="G5404" t="str">
        <f>IFERROR(__xludf.DUMMYFUNCTION("""COMPUTED_VALUE"""),"")</f>
        <v/>
      </c>
      <c r="H5404" s="2" t="str">
        <f>IFERROR(__xludf.DUMMYFUNCTION("""COMPUTED_VALUE"""),"")</f>
        <v/>
      </c>
      <c r="I5404" s="2" t="str">
        <f>IFERROR(__xludf.DUMMYFUNCTION("""COMPUTED_VALUE"""),"")</f>
        <v/>
      </c>
      <c r="J5404" s="2">
        <f>IFERROR(__xludf.DUMMYFUNCTION("""COMPUTED_VALUE"""),0.0)</f>
        <v>0</v>
      </c>
      <c r="K5404" s="5" t="str">
        <f>IFERROR(__xludf.DUMMYFUNCTION("""COMPUTED_VALUE"""),"")</f>
        <v/>
      </c>
      <c r="L5404" t="str">
        <f>IFERROR(__xludf.DUMMYFUNCTION("""COMPUTED_VALUE"""),"")</f>
        <v/>
      </c>
      <c r="M5404" t="str">
        <f>IFERROR(__xludf.DUMMYFUNCTION("""COMPUTED_VALUE"""),"")</f>
        <v/>
      </c>
      <c r="N5404" t="str">
        <f>IFERROR(__xludf.DUMMYFUNCTION("""COMPUTED_VALUE"""),"")</f>
        <v/>
      </c>
      <c r="O5404" t="str">
        <f>IFERROR(__xludf.DUMMYFUNCTION("""COMPUTED_VALUE"""),"")</f>
        <v/>
      </c>
      <c r="P5404" t="str">
        <f>IFERROR(__xludf.DUMMYFUNCTION("""COMPUTED_VALUE"""),"ID ")</f>
        <v>ID </v>
      </c>
    </row>
    <row r="5405">
      <c r="A5405" s="6" t="str">
        <f>IFERROR(__xludf.DUMMYFUNCTION("""COMPUTED_VALUE"""),"")</f>
        <v/>
      </c>
      <c r="C5405" t="str">
        <f>IFERROR(__xludf.DUMMYFUNCTION("""COMPUTED_VALUE"""),"")</f>
        <v/>
      </c>
      <c r="D5405" t="str">
        <f>IFERROR(__xludf.DUMMYFUNCTION("""COMPUTED_VALUE"""),"")</f>
        <v/>
      </c>
      <c r="E5405" t="str">
        <f>IFERROR(__xludf.DUMMYFUNCTION("""COMPUTED_VALUE"""),"")</f>
        <v/>
      </c>
      <c r="F5405" t="str">
        <f>IFERROR(__xludf.DUMMYFUNCTION("""COMPUTED_VALUE"""),"")</f>
        <v/>
      </c>
      <c r="G5405" t="str">
        <f>IFERROR(__xludf.DUMMYFUNCTION("""COMPUTED_VALUE"""),"")</f>
        <v/>
      </c>
      <c r="H5405" s="2" t="str">
        <f>IFERROR(__xludf.DUMMYFUNCTION("""COMPUTED_VALUE"""),"")</f>
        <v/>
      </c>
      <c r="I5405" s="2" t="str">
        <f>IFERROR(__xludf.DUMMYFUNCTION("""COMPUTED_VALUE"""),"")</f>
        <v/>
      </c>
      <c r="J5405" s="2">
        <f>IFERROR(__xludf.DUMMYFUNCTION("""COMPUTED_VALUE"""),0.0)</f>
        <v>0</v>
      </c>
      <c r="K5405" s="5" t="str">
        <f>IFERROR(__xludf.DUMMYFUNCTION("""COMPUTED_VALUE"""),"")</f>
        <v/>
      </c>
      <c r="L5405" t="str">
        <f>IFERROR(__xludf.DUMMYFUNCTION("""COMPUTED_VALUE"""),"")</f>
        <v/>
      </c>
      <c r="M5405" t="str">
        <f>IFERROR(__xludf.DUMMYFUNCTION("""COMPUTED_VALUE"""),"")</f>
        <v/>
      </c>
      <c r="N5405" t="str">
        <f>IFERROR(__xludf.DUMMYFUNCTION("""COMPUTED_VALUE"""),"")</f>
        <v/>
      </c>
      <c r="O5405" t="str">
        <f>IFERROR(__xludf.DUMMYFUNCTION("""COMPUTED_VALUE"""),"")</f>
        <v/>
      </c>
      <c r="P5405" t="str">
        <f>IFERROR(__xludf.DUMMYFUNCTION("""COMPUTED_VALUE"""),"ID ")</f>
        <v>ID </v>
      </c>
    </row>
    <row r="5406">
      <c r="A5406" s="6" t="str">
        <f>IFERROR(__xludf.DUMMYFUNCTION("""COMPUTED_VALUE"""),"")</f>
        <v/>
      </c>
      <c r="C5406" t="str">
        <f>IFERROR(__xludf.DUMMYFUNCTION("""COMPUTED_VALUE"""),"")</f>
        <v/>
      </c>
      <c r="D5406" t="str">
        <f>IFERROR(__xludf.DUMMYFUNCTION("""COMPUTED_VALUE"""),"")</f>
        <v/>
      </c>
      <c r="E5406" t="str">
        <f>IFERROR(__xludf.DUMMYFUNCTION("""COMPUTED_VALUE"""),"")</f>
        <v/>
      </c>
      <c r="F5406" t="str">
        <f>IFERROR(__xludf.DUMMYFUNCTION("""COMPUTED_VALUE"""),"")</f>
        <v/>
      </c>
      <c r="G5406" t="str">
        <f>IFERROR(__xludf.DUMMYFUNCTION("""COMPUTED_VALUE"""),"")</f>
        <v/>
      </c>
      <c r="H5406" s="2" t="str">
        <f>IFERROR(__xludf.DUMMYFUNCTION("""COMPUTED_VALUE"""),"")</f>
        <v/>
      </c>
      <c r="I5406" s="2" t="str">
        <f>IFERROR(__xludf.DUMMYFUNCTION("""COMPUTED_VALUE"""),"")</f>
        <v/>
      </c>
      <c r="J5406" s="2">
        <f>IFERROR(__xludf.DUMMYFUNCTION("""COMPUTED_VALUE"""),0.0)</f>
        <v>0</v>
      </c>
      <c r="K5406" s="5" t="str">
        <f>IFERROR(__xludf.DUMMYFUNCTION("""COMPUTED_VALUE"""),"")</f>
        <v/>
      </c>
      <c r="L5406" t="str">
        <f>IFERROR(__xludf.DUMMYFUNCTION("""COMPUTED_VALUE"""),"")</f>
        <v/>
      </c>
      <c r="M5406" t="str">
        <f>IFERROR(__xludf.DUMMYFUNCTION("""COMPUTED_VALUE"""),"")</f>
        <v/>
      </c>
      <c r="N5406" t="str">
        <f>IFERROR(__xludf.DUMMYFUNCTION("""COMPUTED_VALUE"""),"")</f>
        <v/>
      </c>
      <c r="O5406" t="str">
        <f>IFERROR(__xludf.DUMMYFUNCTION("""COMPUTED_VALUE"""),"")</f>
        <v/>
      </c>
      <c r="P5406" t="str">
        <f>IFERROR(__xludf.DUMMYFUNCTION("""COMPUTED_VALUE"""),"ID ")</f>
        <v>ID </v>
      </c>
    </row>
    <row r="5407">
      <c r="A5407" s="6" t="str">
        <f>IFERROR(__xludf.DUMMYFUNCTION("""COMPUTED_VALUE"""),"")</f>
        <v/>
      </c>
      <c r="C5407" t="str">
        <f>IFERROR(__xludf.DUMMYFUNCTION("""COMPUTED_VALUE"""),"")</f>
        <v/>
      </c>
      <c r="D5407" t="str">
        <f>IFERROR(__xludf.DUMMYFUNCTION("""COMPUTED_VALUE"""),"")</f>
        <v/>
      </c>
      <c r="E5407" t="str">
        <f>IFERROR(__xludf.DUMMYFUNCTION("""COMPUTED_VALUE"""),"")</f>
        <v/>
      </c>
      <c r="F5407" t="str">
        <f>IFERROR(__xludf.DUMMYFUNCTION("""COMPUTED_VALUE"""),"")</f>
        <v/>
      </c>
      <c r="G5407" t="str">
        <f>IFERROR(__xludf.DUMMYFUNCTION("""COMPUTED_VALUE"""),"")</f>
        <v/>
      </c>
      <c r="H5407" s="2" t="str">
        <f>IFERROR(__xludf.DUMMYFUNCTION("""COMPUTED_VALUE"""),"")</f>
        <v/>
      </c>
      <c r="I5407" s="2" t="str">
        <f>IFERROR(__xludf.DUMMYFUNCTION("""COMPUTED_VALUE"""),"")</f>
        <v/>
      </c>
      <c r="J5407" s="2">
        <f>IFERROR(__xludf.DUMMYFUNCTION("""COMPUTED_VALUE"""),0.0)</f>
        <v>0</v>
      </c>
      <c r="K5407" s="5" t="str">
        <f>IFERROR(__xludf.DUMMYFUNCTION("""COMPUTED_VALUE"""),"")</f>
        <v/>
      </c>
      <c r="L5407" t="str">
        <f>IFERROR(__xludf.DUMMYFUNCTION("""COMPUTED_VALUE"""),"")</f>
        <v/>
      </c>
      <c r="M5407" t="str">
        <f>IFERROR(__xludf.DUMMYFUNCTION("""COMPUTED_VALUE"""),"")</f>
        <v/>
      </c>
      <c r="N5407" t="str">
        <f>IFERROR(__xludf.DUMMYFUNCTION("""COMPUTED_VALUE"""),"")</f>
        <v/>
      </c>
      <c r="O5407" t="str">
        <f>IFERROR(__xludf.DUMMYFUNCTION("""COMPUTED_VALUE"""),"")</f>
        <v/>
      </c>
      <c r="P5407" t="str">
        <f>IFERROR(__xludf.DUMMYFUNCTION("""COMPUTED_VALUE"""),"ID ")</f>
        <v>ID </v>
      </c>
    </row>
    <row r="5408">
      <c r="A5408" s="6" t="str">
        <f>IFERROR(__xludf.DUMMYFUNCTION("""COMPUTED_VALUE"""),"")</f>
        <v/>
      </c>
      <c r="C5408" t="str">
        <f>IFERROR(__xludf.DUMMYFUNCTION("""COMPUTED_VALUE"""),"")</f>
        <v/>
      </c>
      <c r="D5408" t="str">
        <f>IFERROR(__xludf.DUMMYFUNCTION("""COMPUTED_VALUE"""),"")</f>
        <v/>
      </c>
      <c r="E5408" t="str">
        <f>IFERROR(__xludf.DUMMYFUNCTION("""COMPUTED_VALUE"""),"")</f>
        <v/>
      </c>
      <c r="F5408" t="str">
        <f>IFERROR(__xludf.DUMMYFUNCTION("""COMPUTED_VALUE"""),"")</f>
        <v/>
      </c>
      <c r="G5408" t="str">
        <f>IFERROR(__xludf.DUMMYFUNCTION("""COMPUTED_VALUE"""),"")</f>
        <v/>
      </c>
      <c r="H5408" s="2" t="str">
        <f>IFERROR(__xludf.DUMMYFUNCTION("""COMPUTED_VALUE"""),"")</f>
        <v/>
      </c>
      <c r="I5408" s="2" t="str">
        <f>IFERROR(__xludf.DUMMYFUNCTION("""COMPUTED_VALUE"""),"")</f>
        <v/>
      </c>
      <c r="J5408" s="2">
        <f>IFERROR(__xludf.DUMMYFUNCTION("""COMPUTED_VALUE"""),0.0)</f>
        <v>0</v>
      </c>
      <c r="K5408" s="5" t="str">
        <f>IFERROR(__xludf.DUMMYFUNCTION("""COMPUTED_VALUE"""),"")</f>
        <v/>
      </c>
      <c r="L5408" t="str">
        <f>IFERROR(__xludf.DUMMYFUNCTION("""COMPUTED_VALUE"""),"")</f>
        <v/>
      </c>
      <c r="M5408" t="str">
        <f>IFERROR(__xludf.DUMMYFUNCTION("""COMPUTED_VALUE"""),"")</f>
        <v/>
      </c>
      <c r="N5408" t="str">
        <f>IFERROR(__xludf.DUMMYFUNCTION("""COMPUTED_VALUE"""),"")</f>
        <v/>
      </c>
      <c r="O5408" t="str">
        <f>IFERROR(__xludf.DUMMYFUNCTION("""COMPUTED_VALUE"""),"")</f>
        <v/>
      </c>
      <c r="P5408" t="str">
        <f>IFERROR(__xludf.DUMMYFUNCTION("""COMPUTED_VALUE"""),"ID ")</f>
        <v>ID </v>
      </c>
    </row>
    <row r="5409">
      <c r="A5409" s="6" t="str">
        <f>IFERROR(__xludf.DUMMYFUNCTION("""COMPUTED_VALUE"""),"")</f>
        <v/>
      </c>
      <c r="C5409" t="str">
        <f>IFERROR(__xludf.DUMMYFUNCTION("""COMPUTED_VALUE"""),"")</f>
        <v/>
      </c>
      <c r="D5409" t="str">
        <f>IFERROR(__xludf.DUMMYFUNCTION("""COMPUTED_VALUE"""),"")</f>
        <v/>
      </c>
      <c r="E5409" t="str">
        <f>IFERROR(__xludf.DUMMYFUNCTION("""COMPUTED_VALUE"""),"")</f>
        <v/>
      </c>
      <c r="F5409" t="str">
        <f>IFERROR(__xludf.DUMMYFUNCTION("""COMPUTED_VALUE"""),"")</f>
        <v/>
      </c>
      <c r="G5409" t="str">
        <f>IFERROR(__xludf.DUMMYFUNCTION("""COMPUTED_VALUE"""),"")</f>
        <v/>
      </c>
      <c r="H5409" s="2" t="str">
        <f>IFERROR(__xludf.DUMMYFUNCTION("""COMPUTED_VALUE"""),"")</f>
        <v/>
      </c>
      <c r="I5409" s="2" t="str">
        <f>IFERROR(__xludf.DUMMYFUNCTION("""COMPUTED_VALUE"""),"")</f>
        <v/>
      </c>
      <c r="J5409" s="2">
        <f>IFERROR(__xludf.DUMMYFUNCTION("""COMPUTED_VALUE"""),0.0)</f>
        <v>0</v>
      </c>
      <c r="K5409" s="5" t="str">
        <f>IFERROR(__xludf.DUMMYFUNCTION("""COMPUTED_VALUE"""),"")</f>
        <v/>
      </c>
      <c r="L5409" t="str">
        <f>IFERROR(__xludf.DUMMYFUNCTION("""COMPUTED_VALUE"""),"")</f>
        <v/>
      </c>
      <c r="M5409" t="str">
        <f>IFERROR(__xludf.DUMMYFUNCTION("""COMPUTED_VALUE"""),"")</f>
        <v/>
      </c>
      <c r="N5409" t="str">
        <f>IFERROR(__xludf.DUMMYFUNCTION("""COMPUTED_VALUE"""),"")</f>
        <v/>
      </c>
      <c r="O5409" t="str">
        <f>IFERROR(__xludf.DUMMYFUNCTION("""COMPUTED_VALUE"""),"")</f>
        <v/>
      </c>
      <c r="P5409" t="str">
        <f>IFERROR(__xludf.DUMMYFUNCTION("""COMPUTED_VALUE"""),"ID ")</f>
        <v>ID </v>
      </c>
    </row>
    <row r="5410">
      <c r="A5410" s="6" t="str">
        <f>IFERROR(__xludf.DUMMYFUNCTION("""COMPUTED_VALUE"""),"")</f>
        <v/>
      </c>
      <c r="C5410" t="str">
        <f>IFERROR(__xludf.DUMMYFUNCTION("""COMPUTED_VALUE"""),"")</f>
        <v/>
      </c>
      <c r="D5410" t="str">
        <f>IFERROR(__xludf.DUMMYFUNCTION("""COMPUTED_VALUE"""),"")</f>
        <v/>
      </c>
      <c r="E5410" t="str">
        <f>IFERROR(__xludf.DUMMYFUNCTION("""COMPUTED_VALUE"""),"")</f>
        <v/>
      </c>
      <c r="F5410" t="str">
        <f>IFERROR(__xludf.DUMMYFUNCTION("""COMPUTED_VALUE"""),"")</f>
        <v/>
      </c>
      <c r="G5410" t="str">
        <f>IFERROR(__xludf.DUMMYFUNCTION("""COMPUTED_VALUE"""),"")</f>
        <v/>
      </c>
      <c r="H5410" s="2" t="str">
        <f>IFERROR(__xludf.DUMMYFUNCTION("""COMPUTED_VALUE"""),"")</f>
        <v/>
      </c>
      <c r="I5410" s="2" t="str">
        <f>IFERROR(__xludf.DUMMYFUNCTION("""COMPUTED_VALUE"""),"")</f>
        <v/>
      </c>
      <c r="J5410" s="2">
        <f>IFERROR(__xludf.DUMMYFUNCTION("""COMPUTED_VALUE"""),0.0)</f>
        <v>0</v>
      </c>
      <c r="K5410" s="5" t="str">
        <f>IFERROR(__xludf.DUMMYFUNCTION("""COMPUTED_VALUE"""),"")</f>
        <v/>
      </c>
      <c r="L5410" t="str">
        <f>IFERROR(__xludf.DUMMYFUNCTION("""COMPUTED_VALUE"""),"")</f>
        <v/>
      </c>
      <c r="M5410" t="str">
        <f>IFERROR(__xludf.DUMMYFUNCTION("""COMPUTED_VALUE"""),"")</f>
        <v/>
      </c>
      <c r="N5410" t="str">
        <f>IFERROR(__xludf.DUMMYFUNCTION("""COMPUTED_VALUE"""),"")</f>
        <v/>
      </c>
      <c r="O5410" t="str">
        <f>IFERROR(__xludf.DUMMYFUNCTION("""COMPUTED_VALUE"""),"")</f>
        <v/>
      </c>
      <c r="P5410" t="str">
        <f>IFERROR(__xludf.DUMMYFUNCTION("""COMPUTED_VALUE"""),"ID ")</f>
        <v>ID </v>
      </c>
    </row>
    <row r="5411">
      <c r="A5411" s="6" t="str">
        <f>IFERROR(__xludf.DUMMYFUNCTION("""COMPUTED_VALUE"""),"")</f>
        <v/>
      </c>
      <c r="C5411" t="str">
        <f>IFERROR(__xludf.DUMMYFUNCTION("""COMPUTED_VALUE"""),"")</f>
        <v/>
      </c>
      <c r="D5411" t="str">
        <f>IFERROR(__xludf.DUMMYFUNCTION("""COMPUTED_VALUE"""),"")</f>
        <v/>
      </c>
      <c r="E5411" t="str">
        <f>IFERROR(__xludf.DUMMYFUNCTION("""COMPUTED_VALUE"""),"")</f>
        <v/>
      </c>
      <c r="F5411" t="str">
        <f>IFERROR(__xludf.DUMMYFUNCTION("""COMPUTED_VALUE"""),"")</f>
        <v/>
      </c>
      <c r="G5411" t="str">
        <f>IFERROR(__xludf.DUMMYFUNCTION("""COMPUTED_VALUE"""),"")</f>
        <v/>
      </c>
      <c r="H5411" s="2" t="str">
        <f>IFERROR(__xludf.DUMMYFUNCTION("""COMPUTED_VALUE"""),"")</f>
        <v/>
      </c>
      <c r="I5411" s="2" t="str">
        <f>IFERROR(__xludf.DUMMYFUNCTION("""COMPUTED_VALUE"""),"")</f>
        <v/>
      </c>
      <c r="J5411" s="2">
        <f>IFERROR(__xludf.DUMMYFUNCTION("""COMPUTED_VALUE"""),0.0)</f>
        <v>0</v>
      </c>
      <c r="K5411" s="5" t="str">
        <f>IFERROR(__xludf.DUMMYFUNCTION("""COMPUTED_VALUE"""),"")</f>
        <v/>
      </c>
      <c r="L5411" t="str">
        <f>IFERROR(__xludf.DUMMYFUNCTION("""COMPUTED_VALUE"""),"")</f>
        <v/>
      </c>
      <c r="M5411" t="str">
        <f>IFERROR(__xludf.DUMMYFUNCTION("""COMPUTED_VALUE"""),"")</f>
        <v/>
      </c>
      <c r="N5411" t="str">
        <f>IFERROR(__xludf.DUMMYFUNCTION("""COMPUTED_VALUE"""),"")</f>
        <v/>
      </c>
      <c r="O5411" t="str">
        <f>IFERROR(__xludf.DUMMYFUNCTION("""COMPUTED_VALUE"""),"")</f>
        <v/>
      </c>
      <c r="P5411" t="str">
        <f>IFERROR(__xludf.DUMMYFUNCTION("""COMPUTED_VALUE"""),"ID ")</f>
        <v>ID </v>
      </c>
    </row>
    <row r="5412">
      <c r="A5412" s="6" t="str">
        <f>IFERROR(__xludf.DUMMYFUNCTION("""COMPUTED_VALUE"""),"")</f>
        <v/>
      </c>
      <c r="C5412" t="str">
        <f>IFERROR(__xludf.DUMMYFUNCTION("""COMPUTED_VALUE"""),"")</f>
        <v/>
      </c>
      <c r="D5412" t="str">
        <f>IFERROR(__xludf.DUMMYFUNCTION("""COMPUTED_VALUE"""),"")</f>
        <v/>
      </c>
      <c r="E5412" t="str">
        <f>IFERROR(__xludf.DUMMYFUNCTION("""COMPUTED_VALUE"""),"")</f>
        <v/>
      </c>
      <c r="F5412" t="str">
        <f>IFERROR(__xludf.DUMMYFUNCTION("""COMPUTED_VALUE"""),"")</f>
        <v/>
      </c>
      <c r="G5412" t="str">
        <f>IFERROR(__xludf.DUMMYFUNCTION("""COMPUTED_VALUE"""),"")</f>
        <v/>
      </c>
      <c r="H5412" s="2" t="str">
        <f>IFERROR(__xludf.DUMMYFUNCTION("""COMPUTED_VALUE"""),"")</f>
        <v/>
      </c>
      <c r="I5412" s="2" t="str">
        <f>IFERROR(__xludf.DUMMYFUNCTION("""COMPUTED_VALUE"""),"")</f>
        <v/>
      </c>
      <c r="J5412" s="2">
        <f>IFERROR(__xludf.DUMMYFUNCTION("""COMPUTED_VALUE"""),0.0)</f>
        <v>0</v>
      </c>
      <c r="K5412" s="5" t="str">
        <f>IFERROR(__xludf.DUMMYFUNCTION("""COMPUTED_VALUE"""),"")</f>
        <v/>
      </c>
      <c r="L5412" t="str">
        <f>IFERROR(__xludf.DUMMYFUNCTION("""COMPUTED_VALUE"""),"")</f>
        <v/>
      </c>
      <c r="M5412" t="str">
        <f>IFERROR(__xludf.DUMMYFUNCTION("""COMPUTED_VALUE"""),"")</f>
        <v/>
      </c>
      <c r="N5412" t="str">
        <f>IFERROR(__xludf.DUMMYFUNCTION("""COMPUTED_VALUE"""),"")</f>
        <v/>
      </c>
      <c r="O5412" t="str">
        <f>IFERROR(__xludf.DUMMYFUNCTION("""COMPUTED_VALUE"""),"")</f>
        <v/>
      </c>
      <c r="P5412" t="str">
        <f>IFERROR(__xludf.DUMMYFUNCTION("""COMPUTED_VALUE"""),"ID ")</f>
        <v>ID </v>
      </c>
    </row>
    <row r="5413">
      <c r="A5413" s="6" t="str">
        <f>IFERROR(__xludf.DUMMYFUNCTION("""COMPUTED_VALUE"""),"")</f>
        <v/>
      </c>
      <c r="C5413" t="str">
        <f>IFERROR(__xludf.DUMMYFUNCTION("""COMPUTED_VALUE"""),"")</f>
        <v/>
      </c>
      <c r="D5413" t="str">
        <f>IFERROR(__xludf.DUMMYFUNCTION("""COMPUTED_VALUE"""),"")</f>
        <v/>
      </c>
      <c r="E5413" t="str">
        <f>IFERROR(__xludf.DUMMYFUNCTION("""COMPUTED_VALUE"""),"")</f>
        <v/>
      </c>
      <c r="F5413" t="str">
        <f>IFERROR(__xludf.DUMMYFUNCTION("""COMPUTED_VALUE"""),"")</f>
        <v/>
      </c>
      <c r="G5413" t="str">
        <f>IFERROR(__xludf.DUMMYFUNCTION("""COMPUTED_VALUE"""),"")</f>
        <v/>
      </c>
      <c r="H5413" s="2" t="str">
        <f>IFERROR(__xludf.DUMMYFUNCTION("""COMPUTED_VALUE"""),"")</f>
        <v/>
      </c>
      <c r="I5413" s="2" t="str">
        <f>IFERROR(__xludf.DUMMYFUNCTION("""COMPUTED_VALUE"""),"")</f>
        <v/>
      </c>
      <c r="J5413" s="2">
        <f>IFERROR(__xludf.DUMMYFUNCTION("""COMPUTED_VALUE"""),0.0)</f>
        <v>0</v>
      </c>
      <c r="K5413" s="5" t="str">
        <f>IFERROR(__xludf.DUMMYFUNCTION("""COMPUTED_VALUE"""),"")</f>
        <v/>
      </c>
      <c r="L5413" t="str">
        <f>IFERROR(__xludf.DUMMYFUNCTION("""COMPUTED_VALUE"""),"")</f>
        <v/>
      </c>
      <c r="M5413" t="str">
        <f>IFERROR(__xludf.DUMMYFUNCTION("""COMPUTED_VALUE"""),"")</f>
        <v/>
      </c>
      <c r="N5413" t="str">
        <f>IFERROR(__xludf.DUMMYFUNCTION("""COMPUTED_VALUE"""),"")</f>
        <v/>
      </c>
      <c r="O5413" t="str">
        <f>IFERROR(__xludf.DUMMYFUNCTION("""COMPUTED_VALUE"""),"")</f>
        <v/>
      </c>
      <c r="P5413" t="str">
        <f>IFERROR(__xludf.DUMMYFUNCTION("""COMPUTED_VALUE"""),"ID ")</f>
        <v>ID </v>
      </c>
    </row>
    <row r="5414">
      <c r="A5414" s="6" t="str">
        <f>IFERROR(__xludf.DUMMYFUNCTION("""COMPUTED_VALUE"""),"")</f>
        <v/>
      </c>
      <c r="C5414" t="str">
        <f>IFERROR(__xludf.DUMMYFUNCTION("""COMPUTED_VALUE"""),"")</f>
        <v/>
      </c>
      <c r="D5414" t="str">
        <f>IFERROR(__xludf.DUMMYFUNCTION("""COMPUTED_VALUE"""),"")</f>
        <v/>
      </c>
      <c r="E5414" t="str">
        <f>IFERROR(__xludf.DUMMYFUNCTION("""COMPUTED_VALUE"""),"")</f>
        <v/>
      </c>
      <c r="F5414" t="str">
        <f>IFERROR(__xludf.DUMMYFUNCTION("""COMPUTED_VALUE"""),"")</f>
        <v/>
      </c>
      <c r="G5414" t="str">
        <f>IFERROR(__xludf.DUMMYFUNCTION("""COMPUTED_VALUE"""),"")</f>
        <v/>
      </c>
      <c r="H5414" s="2" t="str">
        <f>IFERROR(__xludf.DUMMYFUNCTION("""COMPUTED_VALUE"""),"")</f>
        <v/>
      </c>
      <c r="I5414" s="2" t="str">
        <f>IFERROR(__xludf.DUMMYFUNCTION("""COMPUTED_VALUE"""),"")</f>
        <v/>
      </c>
      <c r="J5414" s="2">
        <f>IFERROR(__xludf.DUMMYFUNCTION("""COMPUTED_VALUE"""),0.0)</f>
        <v>0</v>
      </c>
      <c r="K5414" s="5" t="str">
        <f>IFERROR(__xludf.DUMMYFUNCTION("""COMPUTED_VALUE"""),"")</f>
        <v/>
      </c>
      <c r="L5414" t="str">
        <f>IFERROR(__xludf.DUMMYFUNCTION("""COMPUTED_VALUE"""),"")</f>
        <v/>
      </c>
      <c r="M5414" t="str">
        <f>IFERROR(__xludf.DUMMYFUNCTION("""COMPUTED_VALUE"""),"")</f>
        <v/>
      </c>
      <c r="N5414" t="str">
        <f>IFERROR(__xludf.DUMMYFUNCTION("""COMPUTED_VALUE"""),"")</f>
        <v/>
      </c>
      <c r="O5414" t="str">
        <f>IFERROR(__xludf.DUMMYFUNCTION("""COMPUTED_VALUE"""),"")</f>
        <v/>
      </c>
      <c r="P5414" t="str">
        <f>IFERROR(__xludf.DUMMYFUNCTION("""COMPUTED_VALUE"""),"ID ")</f>
        <v>ID </v>
      </c>
    </row>
    <row r="5415">
      <c r="A5415" s="6" t="str">
        <f>IFERROR(__xludf.DUMMYFUNCTION("""COMPUTED_VALUE"""),"")</f>
        <v/>
      </c>
      <c r="C5415" t="str">
        <f>IFERROR(__xludf.DUMMYFUNCTION("""COMPUTED_VALUE"""),"")</f>
        <v/>
      </c>
      <c r="D5415" t="str">
        <f>IFERROR(__xludf.DUMMYFUNCTION("""COMPUTED_VALUE"""),"")</f>
        <v/>
      </c>
      <c r="E5415" t="str">
        <f>IFERROR(__xludf.DUMMYFUNCTION("""COMPUTED_VALUE"""),"")</f>
        <v/>
      </c>
      <c r="F5415" t="str">
        <f>IFERROR(__xludf.DUMMYFUNCTION("""COMPUTED_VALUE"""),"")</f>
        <v/>
      </c>
      <c r="G5415" t="str">
        <f>IFERROR(__xludf.DUMMYFUNCTION("""COMPUTED_VALUE"""),"")</f>
        <v/>
      </c>
      <c r="H5415" s="2" t="str">
        <f>IFERROR(__xludf.DUMMYFUNCTION("""COMPUTED_VALUE"""),"")</f>
        <v/>
      </c>
      <c r="I5415" s="2" t="str">
        <f>IFERROR(__xludf.DUMMYFUNCTION("""COMPUTED_VALUE"""),"")</f>
        <v/>
      </c>
      <c r="J5415" s="2">
        <f>IFERROR(__xludf.DUMMYFUNCTION("""COMPUTED_VALUE"""),0.0)</f>
        <v>0</v>
      </c>
      <c r="K5415" s="5" t="str">
        <f>IFERROR(__xludf.DUMMYFUNCTION("""COMPUTED_VALUE"""),"")</f>
        <v/>
      </c>
      <c r="L5415" t="str">
        <f>IFERROR(__xludf.DUMMYFUNCTION("""COMPUTED_VALUE"""),"")</f>
        <v/>
      </c>
      <c r="M5415" t="str">
        <f>IFERROR(__xludf.DUMMYFUNCTION("""COMPUTED_VALUE"""),"")</f>
        <v/>
      </c>
      <c r="N5415" t="str">
        <f>IFERROR(__xludf.DUMMYFUNCTION("""COMPUTED_VALUE"""),"")</f>
        <v/>
      </c>
      <c r="O5415" t="str">
        <f>IFERROR(__xludf.DUMMYFUNCTION("""COMPUTED_VALUE"""),"")</f>
        <v/>
      </c>
      <c r="P5415" t="str">
        <f>IFERROR(__xludf.DUMMYFUNCTION("""COMPUTED_VALUE"""),"ID ")</f>
        <v>ID </v>
      </c>
    </row>
    <row r="5416">
      <c r="A5416" s="6" t="str">
        <f>IFERROR(__xludf.DUMMYFUNCTION("""COMPUTED_VALUE"""),"")</f>
        <v/>
      </c>
      <c r="C5416" t="str">
        <f>IFERROR(__xludf.DUMMYFUNCTION("""COMPUTED_VALUE"""),"")</f>
        <v/>
      </c>
      <c r="D5416" t="str">
        <f>IFERROR(__xludf.DUMMYFUNCTION("""COMPUTED_VALUE"""),"")</f>
        <v/>
      </c>
      <c r="E5416" t="str">
        <f>IFERROR(__xludf.DUMMYFUNCTION("""COMPUTED_VALUE"""),"")</f>
        <v/>
      </c>
      <c r="F5416" t="str">
        <f>IFERROR(__xludf.DUMMYFUNCTION("""COMPUTED_VALUE"""),"")</f>
        <v/>
      </c>
      <c r="G5416" t="str">
        <f>IFERROR(__xludf.DUMMYFUNCTION("""COMPUTED_VALUE"""),"")</f>
        <v/>
      </c>
      <c r="H5416" s="2" t="str">
        <f>IFERROR(__xludf.DUMMYFUNCTION("""COMPUTED_VALUE"""),"")</f>
        <v/>
      </c>
      <c r="I5416" s="2" t="str">
        <f>IFERROR(__xludf.DUMMYFUNCTION("""COMPUTED_VALUE"""),"")</f>
        <v/>
      </c>
      <c r="J5416" s="2">
        <f>IFERROR(__xludf.DUMMYFUNCTION("""COMPUTED_VALUE"""),0.0)</f>
        <v>0</v>
      </c>
      <c r="K5416" s="5" t="str">
        <f>IFERROR(__xludf.DUMMYFUNCTION("""COMPUTED_VALUE"""),"")</f>
        <v/>
      </c>
      <c r="L5416" t="str">
        <f>IFERROR(__xludf.DUMMYFUNCTION("""COMPUTED_VALUE"""),"")</f>
        <v/>
      </c>
      <c r="M5416" t="str">
        <f>IFERROR(__xludf.DUMMYFUNCTION("""COMPUTED_VALUE"""),"")</f>
        <v/>
      </c>
      <c r="N5416" t="str">
        <f>IFERROR(__xludf.DUMMYFUNCTION("""COMPUTED_VALUE"""),"")</f>
        <v/>
      </c>
      <c r="O5416" t="str">
        <f>IFERROR(__xludf.DUMMYFUNCTION("""COMPUTED_VALUE"""),"")</f>
        <v/>
      </c>
      <c r="P5416" t="str">
        <f>IFERROR(__xludf.DUMMYFUNCTION("""COMPUTED_VALUE"""),"ID ")</f>
        <v>ID </v>
      </c>
    </row>
    <row r="5417">
      <c r="A5417" s="6" t="str">
        <f>IFERROR(__xludf.DUMMYFUNCTION("""COMPUTED_VALUE"""),"")</f>
        <v/>
      </c>
      <c r="C5417" t="str">
        <f>IFERROR(__xludf.DUMMYFUNCTION("""COMPUTED_VALUE"""),"")</f>
        <v/>
      </c>
      <c r="D5417" t="str">
        <f>IFERROR(__xludf.DUMMYFUNCTION("""COMPUTED_VALUE"""),"")</f>
        <v/>
      </c>
      <c r="E5417" t="str">
        <f>IFERROR(__xludf.DUMMYFUNCTION("""COMPUTED_VALUE"""),"")</f>
        <v/>
      </c>
      <c r="F5417" t="str">
        <f>IFERROR(__xludf.DUMMYFUNCTION("""COMPUTED_VALUE"""),"")</f>
        <v/>
      </c>
      <c r="G5417" t="str">
        <f>IFERROR(__xludf.DUMMYFUNCTION("""COMPUTED_VALUE"""),"")</f>
        <v/>
      </c>
      <c r="H5417" s="2" t="str">
        <f>IFERROR(__xludf.DUMMYFUNCTION("""COMPUTED_VALUE"""),"")</f>
        <v/>
      </c>
      <c r="I5417" s="2" t="str">
        <f>IFERROR(__xludf.DUMMYFUNCTION("""COMPUTED_VALUE"""),"")</f>
        <v/>
      </c>
      <c r="J5417" s="2">
        <f>IFERROR(__xludf.DUMMYFUNCTION("""COMPUTED_VALUE"""),0.0)</f>
        <v>0</v>
      </c>
      <c r="K5417" s="5" t="str">
        <f>IFERROR(__xludf.DUMMYFUNCTION("""COMPUTED_VALUE"""),"")</f>
        <v/>
      </c>
      <c r="L5417" t="str">
        <f>IFERROR(__xludf.DUMMYFUNCTION("""COMPUTED_VALUE"""),"")</f>
        <v/>
      </c>
      <c r="M5417" t="str">
        <f>IFERROR(__xludf.DUMMYFUNCTION("""COMPUTED_VALUE"""),"")</f>
        <v/>
      </c>
      <c r="N5417" t="str">
        <f>IFERROR(__xludf.DUMMYFUNCTION("""COMPUTED_VALUE"""),"")</f>
        <v/>
      </c>
      <c r="O5417" t="str">
        <f>IFERROR(__xludf.DUMMYFUNCTION("""COMPUTED_VALUE"""),"")</f>
        <v/>
      </c>
      <c r="P5417" t="str">
        <f>IFERROR(__xludf.DUMMYFUNCTION("""COMPUTED_VALUE"""),"ID ")</f>
        <v>ID </v>
      </c>
    </row>
    <row r="5418">
      <c r="A5418" s="6" t="str">
        <f>IFERROR(__xludf.DUMMYFUNCTION("""COMPUTED_VALUE"""),"")</f>
        <v/>
      </c>
      <c r="C5418" t="str">
        <f>IFERROR(__xludf.DUMMYFUNCTION("""COMPUTED_VALUE"""),"")</f>
        <v/>
      </c>
      <c r="D5418" t="str">
        <f>IFERROR(__xludf.DUMMYFUNCTION("""COMPUTED_VALUE"""),"")</f>
        <v/>
      </c>
      <c r="E5418" t="str">
        <f>IFERROR(__xludf.DUMMYFUNCTION("""COMPUTED_VALUE"""),"")</f>
        <v/>
      </c>
      <c r="F5418" t="str">
        <f>IFERROR(__xludf.DUMMYFUNCTION("""COMPUTED_VALUE"""),"")</f>
        <v/>
      </c>
      <c r="G5418" t="str">
        <f>IFERROR(__xludf.DUMMYFUNCTION("""COMPUTED_VALUE"""),"")</f>
        <v/>
      </c>
      <c r="H5418" s="2" t="str">
        <f>IFERROR(__xludf.DUMMYFUNCTION("""COMPUTED_VALUE"""),"")</f>
        <v/>
      </c>
      <c r="I5418" s="2" t="str">
        <f>IFERROR(__xludf.DUMMYFUNCTION("""COMPUTED_VALUE"""),"")</f>
        <v/>
      </c>
      <c r="J5418" s="2">
        <f>IFERROR(__xludf.DUMMYFUNCTION("""COMPUTED_VALUE"""),0.0)</f>
        <v>0</v>
      </c>
      <c r="K5418" s="5" t="str">
        <f>IFERROR(__xludf.DUMMYFUNCTION("""COMPUTED_VALUE"""),"")</f>
        <v/>
      </c>
      <c r="L5418" t="str">
        <f>IFERROR(__xludf.DUMMYFUNCTION("""COMPUTED_VALUE"""),"")</f>
        <v/>
      </c>
      <c r="M5418" t="str">
        <f>IFERROR(__xludf.DUMMYFUNCTION("""COMPUTED_VALUE"""),"")</f>
        <v/>
      </c>
      <c r="N5418" t="str">
        <f>IFERROR(__xludf.DUMMYFUNCTION("""COMPUTED_VALUE"""),"")</f>
        <v/>
      </c>
      <c r="O5418" t="str">
        <f>IFERROR(__xludf.DUMMYFUNCTION("""COMPUTED_VALUE"""),"")</f>
        <v/>
      </c>
      <c r="P5418" t="str">
        <f>IFERROR(__xludf.DUMMYFUNCTION("""COMPUTED_VALUE"""),"ID ")</f>
        <v>ID </v>
      </c>
    </row>
    <row r="5419">
      <c r="A5419" s="6" t="str">
        <f>IFERROR(__xludf.DUMMYFUNCTION("""COMPUTED_VALUE"""),"")</f>
        <v/>
      </c>
      <c r="C5419" t="str">
        <f>IFERROR(__xludf.DUMMYFUNCTION("""COMPUTED_VALUE"""),"")</f>
        <v/>
      </c>
      <c r="D5419" t="str">
        <f>IFERROR(__xludf.DUMMYFUNCTION("""COMPUTED_VALUE"""),"")</f>
        <v/>
      </c>
      <c r="E5419" t="str">
        <f>IFERROR(__xludf.DUMMYFUNCTION("""COMPUTED_VALUE"""),"")</f>
        <v/>
      </c>
      <c r="F5419" t="str">
        <f>IFERROR(__xludf.DUMMYFUNCTION("""COMPUTED_VALUE"""),"")</f>
        <v/>
      </c>
      <c r="G5419" t="str">
        <f>IFERROR(__xludf.DUMMYFUNCTION("""COMPUTED_VALUE"""),"")</f>
        <v/>
      </c>
      <c r="H5419" s="2" t="str">
        <f>IFERROR(__xludf.DUMMYFUNCTION("""COMPUTED_VALUE"""),"")</f>
        <v/>
      </c>
      <c r="I5419" s="2" t="str">
        <f>IFERROR(__xludf.DUMMYFUNCTION("""COMPUTED_VALUE"""),"")</f>
        <v/>
      </c>
      <c r="J5419" s="2">
        <f>IFERROR(__xludf.DUMMYFUNCTION("""COMPUTED_VALUE"""),0.0)</f>
        <v>0</v>
      </c>
      <c r="K5419" s="5" t="str">
        <f>IFERROR(__xludf.DUMMYFUNCTION("""COMPUTED_VALUE"""),"")</f>
        <v/>
      </c>
      <c r="L5419" t="str">
        <f>IFERROR(__xludf.DUMMYFUNCTION("""COMPUTED_VALUE"""),"")</f>
        <v/>
      </c>
      <c r="M5419" t="str">
        <f>IFERROR(__xludf.DUMMYFUNCTION("""COMPUTED_VALUE"""),"")</f>
        <v/>
      </c>
      <c r="N5419" t="str">
        <f>IFERROR(__xludf.DUMMYFUNCTION("""COMPUTED_VALUE"""),"")</f>
        <v/>
      </c>
      <c r="O5419" t="str">
        <f>IFERROR(__xludf.DUMMYFUNCTION("""COMPUTED_VALUE"""),"")</f>
        <v/>
      </c>
      <c r="P5419" t="str">
        <f>IFERROR(__xludf.DUMMYFUNCTION("""COMPUTED_VALUE"""),"ID ")</f>
        <v>ID </v>
      </c>
    </row>
    <row r="5420">
      <c r="A5420" s="6" t="str">
        <f>IFERROR(__xludf.DUMMYFUNCTION("""COMPUTED_VALUE"""),"")</f>
        <v/>
      </c>
      <c r="C5420" t="str">
        <f>IFERROR(__xludf.DUMMYFUNCTION("""COMPUTED_VALUE"""),"")</f>
        <v/>
      </c>
      <c r="D5420" t="str">
        <f>IFERROR(__xludf.DUMMYFUNCTION("""COMPUTED_VALUE"""),"")</f>
        <v/>
      </c>
      <c r="E5420" t="str">
        <f>IFERROR(__xludf.DUMMYFUNCTION("""COMPUTED_VALUE"""),"")</f>
        <v/>
      </c>
      <c r="F5420" t="str">
        <f>IFERROR(__xludf.DUMMYFUNCTION("""COMPUTED_VALUE"""),"")</f>
        <v/>
      </c>
      <c r="G5420" t="str">
        <f>IFERROR(__xludf.DUMMYFUNCTION("""COMPUTED_VALUE"""),"")</f>
        <v/>
      </c>
      <c r="H5420" s="2" t="str">
        <f>IFERROR(__xludf.DUMMYFUNCTION("""COMPUTED_VALUE"""),"")</f>
        <v/>
      </c>
      <c r="I5420" s="2" t="str">
        <f>IFERROR(__xludf.DUMMYFUNCTION("""COMPUTED_VALUE"""),"")</f>
        <v/>
      </c>
      <c r="J5420" s="2">
        <f>IFERROR(__xludf.DUMMYFUNCTION("""COMPUTED_VALUE"""),0.0)</f>
        <v>0</v>
      </c>
      <c r="K5420" s="5" t="str">
        <f>IFERROR(__xludf.DUMMYFUNCTION("""COMPUTED_VALUE"""),"")</f>
        <v/>
      </c>
      <c r="L5420" t="str">
        <f>IFERROR(__xludf.DUMMYFUNCTION("""COMPUTED_VALUE"""),"")</f>
        <v/>
      </c>
      <c r="M5420" t="str">
        <f>IFERROR(__xludf.DUMMYFUNCTION("""COMPUTED_VALUE"""),"")</f>
        <v/>
      </c>
      <c r="N5420" t="str">
        <f>IFERROR(__xludf.DUMMYFUNCTION("""COMPUTED_VALUE"""),"")</f>
        <v/>
      </c>
      <c r="O5420" t="str">
        <f>IFERROR(__xludf.DUMMYFUNCTION("""COMPUTED_VALUE"""),"")</f>
        <v/>
      </c>
      <c r="P5420" t="str">
        <f>IFERROR(__xludf.DUMMYFUNCTION("""COMPUTED_VALUE"""),"ID ")</f>
        <v>ID </v>
      </c>
    </row>
    <row r="5421">
      <c r="A5421" s="6" t="str">
        <f>IFERROR(__xludf.DUMMYFUNCTION("""COMPUTED_VALUE"""),"")</f>
        <v/>
      </c>
      <c r="C5421" t="str">
        <f>IFERROR(__xludf.DUMMYFUNCTION("""COMPUTED_VALUE"""),"")</f>
        <v/>
      </c>
      <c r="D5421" t="str">
        <f>IFERROR(__xludf.DUMMYFUNCTION("""COMPUTED_VALUE"""),"")</f>
        <v/>
      </c>
      <c r="E5421" t="str">
        <f>IFERROR(__xludf.DUMMYFUNCTION("""COMPUTED_VALUE"""),"")</f>
        <v/>
      </c>
      <c r="F5421" t="str">
        <f>IFERROR(__xludf.DUMMYFUNCTION("""COMPUTED_VALUE"""),"")</f>
        <v/>
      </c>
      <c r="G5421" t="str">
        <f>IFERROR(__xludf.DUMMYFUNCTION("""COMPUTED_VALUE"""),"")</f>
        <v/>
      </c>
      <c r="H5421" s="2" t="str">
        <f>IFERROR(__xludf.DUMMYFUNCTION("""COMPUTED_VALUE"""),"")</f>
        <v/>
      </c>
      <c r="I5421" s="2" t="str">
        <f>IFERROR(__xludf.DUMMYFUNCTION("""COMPUTED_VALUE"""),"")</f>
        <v/>
      </c>
      <c r="J5421" s="2">
        <f>IFERROR(__xludf.DUMMYFUNCTION("""COMPUTED_VALUE"""),0.0)</f>
        <v>0</v>
      </c>
      <c r="K5421" s="5" t="str">
        <f>IFERROR(__xludf.DUMMYFUNCTION("""COMPUTED_VALUE"""),"")</f>
        <v/>
      </c>
      <c r="L5421" t="str">
        <f>IFERROR(__xludf.DUMMYFUNCTION("""COMPUTED_VALUE"""),"")</f>
        <v/>
      </c>
      <c r="M5421" t="str">
        <f>IFERROR(__xludf.DUMMYFUNCTION("""COMPUTED_VALUE"""),"")</f>
        <v/>
      </c>
      <c r="N5421" t="str">
        <f>IFERROR(__xludf.DUMMYFUNCTION("""COMPUTED_VALUE"""),"")</f>
        <v/>
      </c>
      <c r="O5421" t="str">
        <f>IFERROR(__xludf.DUMMYFUNCTION("""COMPUTED_VALUE"""),"")</f>
        <v/>
      </c>
      <c r="P5421" t="str">
        <f>IFERROR(__xludf.DUMMYFUNCTION("""COMPUTED_VALUE"""),"ID ")</f>
        <v>ID </v>
      </c>
    </row>
    <row r="5422">
      <c r="A5422" s="6" t="str">
        <f>IFERROR(__xludf.DUMMYFUNCTION("""COMPUTED_VALUE"""),"")</f>
        <v/>
      </c>
      <c r="C5422" t="str">
        <f>IFERROR(__xludf.DUMMYFUNCTION("""COMPUTED_VALUE"""),"")</f>
        <v/>
      </c>
      <c r="D5422" t="str">
        <f>IFERROR(__xludf.DUMMYFUNCTION("""COMPUTED_VALUE"""),"")</f>
        <v/>
      </c>
      <c r="E5422" t="str">
        <f>IFERROR(__xludf.DUMMYFUNCTION("""COMPUTED_VALUE"""),"")</f>
        <v/>
      </c>
      <c r="F5422" t="str">
        <f>IFERROR(__xludf.DUMMYFUNCTION("""COMPUTED_VALUE"""),"")</f>
        <v/>
      </c>
      <c r="G5422" t="str">
        <f>IFERROR(__xludf.DUMMYFUNCTION("""COMPUTED_VALUE"""),"")</f>
        <v/>
      </c>
      <c r="H5422" s="2" t="str">
        <f>IFERROR(__xludf.DUMMYFUNCTION("""COMPUTED_VALUE"""),"")</f>
        <v/>
      </c>
      <c r="I5422" s="2" t="str">
        <f>IFERROR(__xludf.DUMMYFUNCTION("""COMPUTED_VALUE"""),"")</f>
        <v/>
      </c>
      <c r="J5422" s="2">
        <f>IFERROR(__xludf.DUMMYFUNCTION("""COMPUTED_VALUE"""),0.0)</f>
        <v>0</v>
      </c>
      <c r="K5422" s="5" t="str">
        <f>IFERROR(__xludf.DUMMYFUNCTION("""COMPUTED_VALUE"""),"")</f>
        <v/>
      </c>
      <c r="L5422" t="str">
        <f>IFERROR(__xludf.DUMMYFUNCTION("""COMPUTED_VALUE"""),"")</f>
        <v/>
      </c>
      <c r="M5422" t="str">
        <f>IFERROR(__xludf.DUMMYFUNCTION("""COMPUTED_VALUE"""),"")</f>
        <v/>
      </c>
      <c r="N5422" t="str">
        <f>IFERROR(__xludf.DUMMYFUNCTION("""COMPUTED_VALUE"""),"")</f>
        <v/>
      </c>
      <c r="O5422" t="str">
        <f>IFERROR(__xludf.DUMMYFUNCTION("""COMPUTED_VALUE"""),"")</f>
        <v/>
      </c>
      <c r="P5422" t="str">
        <f>IFERROR(__xludf.DUMMYFUNCTION("""COMPUTED_VALUE"""),"ID ")</f>
        <v>ID </v>
      </c>
    </row>
    <row r="5423">
      <c r="A5423" s="6" t="str">
        <f>IFERROR(__xludf.DUMMYFUNCTION("""COMPUTED_VALUE"""),"")</f>
        <v/>
      </c>
      <c r="C5423" t="str">
        <f>IFERROR(__xludf.DUMMYFUNCTION("""COMPUTED_VALUE"""),"")</f>
        <v/>
      </c>
      <c r="D5423" t="str">
        <f>IFERROR(__xludf.DUMMYFUNCTION("""COMPUTED_VALUE"""),"")</f>
        <v/>
      </c>
      <c r="E5423" t="str">
        <f>IFERROR(__xludf.DUMMYFUNCTION("""COMPUTED_VALUE"""),"")</f>
        <v/>
      </c>
      <c r="F5423" t="str">
        <f>IFERROR(__xludf.DUMMYFUNCTION("""COMPUTED_VALUE"""),"")</f>
        <v/>
      </c>
      <c r="G5423" t="str">
        <f>IFERROR(__xludf.DUMMYFUNCTION("""COMPUTED_VALUE"""),"")</f>
        <v/>
      </c>
      <c r="H5423" s="2" t="str">
        <f>IFERROR(__xludf.DUMMYFUNCTION("""COMPUTED_VALUE"""),"")</f>
        <v/>
      </c>
      <c r="I5423" s="2" t="str">
        <f>IFERROR(__xludf.DUMMYFUNCTION("""COMPUTED_VALUE"""),"")</f>
        <v/>
      </c>
      <c r="J5423" s="2">
        <f>IFERROR(__xludf.DUMMYFUNCTION("""COMPUTED_VALUE"""),0.0)</f>
        <v>0</v>
      </c>
      <c r="K5423" s="5" t="str">
        <f>IFERROR(__xludf.DUMMYFUNCTION("""COMPUTED_VALUE"""),"")</f>
        <v/>
      </c>
      <c r="L5423" t="str">
        <f>IFERROR(__xludf.DUMMYFUNCTION("""COMPUTED_VALUE"""),"")</f>
        <v/>
      </c>
      <c r="M5423" t="str">
        <f>IFERROR(__xludf.DUMMYFUNCTION("""COMPUTED_VALUE"""),"")</f>
        <v/>
      </c>
      <c r="N5423" t="str">
        <f>IFERROR(__xludf.DUMMYFUNCTION("""COMPUTED_VALUE"""),"")</f>
        <v/>
      </c>
      <c r="O5423" t="str">
        <f>IFERROR(__xludf.DUMMYFUNCTION("""COMPUTED_VALUE"""),"")</f>
        <v/>
      </c>
      <c r="P5423" t="str">
        <f>IFERROR(__xludf.DUMMYFUNCTION("""COMPUTED_VALUE"""),"ID ")</f>
        <v>ID </v>
      </c>
    </row>
    <row r="5424">
      <c r="A5424" s="6" t="str">
        <f>IFERROR(__xludf.DUMMYFUNCTION("""COMPUTED_VALUE"""),"")</f>
        <v/>
      </c>
      <c r="C5424" t="str">
        <f>IFERROR(__xludf.DUMMYFUNCTION("""COMPUTED_VALUE"""),"")</f>
        <v/>
      </c>
      <c r="D5424" t="str">
        <f>IFERROR(__xludf.DUMMYFUNCTION("""COMPUTED_VALUE"""),"")</f>
        <v/>
      </c>
      <c r="E5424" t="str">
        <f>IFERROR(__xludf.DUMMYFUNCTION("""COMPUTED_VALUE"""),"")</f>
        <v/>
      </c>
      <c r="F5424" t="str">
        <f>IFERROR(__xludf.DUMMYFUNCTION("""COMPUTED_VALUE"""),"")</f>
        <v/>
      </c>
      <c r="G5424" t="str">
        <f>IFERROR(__xludf.DUMMYFUNCTION("""COMPUTED_VALUE"""),"")</f>
        <v/>
      </c>
      <c r="H5424" s="2" t="str">
        <f>IFERROR(__xludf.DUMMYFUNCTION("""COMPUTED_VALUE"""),"")</f>
        <v/>
      </c>
      <c r="I5424" s="2" t="str">
        <f>IFERROR(__xludf.DUMMYFUNCTION("""COMPUTED_VALUE"""),"")</f>
        <v/>
      </c>
      <c r="J5424" s="2">
        <f>IFERROR(__xludf.DUMMYFUNCTION("""COMPUTED_VALUE"""),0.0)</f>
        <v>0</v>
      </c>
      <c r="K5424" s="5" t="str">
        <f>IFERROR(__xludf.DUMMYFUNCTION("""COMPUTED_VALUE"""),"")</f>
        <v/>
      </c>
      <c r="L5424" t="str">
        <f>IFERROR(__xludf.DUMMYFUNCTION("""COMPUTED_VALUE"""),"")</f>
        <v/>
      </c>
      <c r="M5424" t="str">
        <f>IFERROR(__xludf.DUMMYFUNCTION("""COMPUTED_VALUE"""),"")</f>
        <v/>
      </c>
      <c r="N5424" t="str">
        <f>IFERROR(__xludf.DUMMYFUNCTION("""COMPUTED_VALUE"""),"")</f>
        <v/>
      </c>
      <c r="O5424" t="str">
        <f>IFERROR(__xludf.DUMMYFUNCTION("""COMPUTED_VALUE"""),"")</f>
        <v/>
      </c>
      <c r="P5424" t="str">
        <f>IFERROR(__xludf.DUMMYFUNCTION("""COMPUTED_VALUE"""),"ID ")</f>
        <v>ID </v>
      </c>
    </row>
    <row r="5425">
      <c r="A5425" s="6" t="str">
        <f>IFERROR(__xludf.DUMMYFUNCTION("""COMPUTED_VALUE"""),"")</f>
        <v/>
      </c>
      <c r="C5425" t="str">
        <f>IFERROR(__xludf.DUMMYFUNCTION("""COMPUTED_VALUE"""),"")</f>
        <v/>
      </c>
      <c r="D5425" t="str">
        <f>IFERROR(__xludf.DUMMYFUNCTION("""COMPUTED_VALUE"""),"")</f>
        <v/>
      </c>
      <c r="E5425" t="str">
        <f>IFERROR(__xludf.DUMMYFUNCTION("""COMPUTED_VALUE"""),"")</f>
        <v/>
      </c>
      <c r="F5425" t="str">
        <f>IFERROR(__xludf.DUMMYFUNCTION("""COMPUTED_VALUE"""),"")</f>
        <v/>
      </c>
      <c r="G5425" t="str">
        <f>IFERROR(__xludf.DUMMYFUNCTION("""COMPUTED_VALUE"""),"")</f>
        <v/>
      </c>
      <c r="H5425" s="2" t="str">
        <f>IFERROR(__xludf.DUMMYFUNCTION("""COMPUTED_VALUE"""),"")</f>
        <v/>
      </c>
      <c r="I5425" s="2" t="str">
        <f>IFERROR(__xludf.DUMMYFUNCTION("""COMPUTED_VALUE"""),"")</f>
        <v/>
      </c>
      <c r="J5425" s="2">
        <f>IFERROR(__xludf.DUMMYFUNCTION("""COMPUTED_VALUE"""),0.0)</f>
        <v>0</v>
      </c>
      <c r="K5425" s="5" t="str">
        <f>IFERROR(__xludf.DUMMYFUNCTION("""COMPUTED_VALUE"""),"")</f>
        <v/>
      </c>
      <c r="L5425" t="str">
        <f>IFERROR(__xludf.DUMMYFUNCTION("""COMPUTED_VALUE"""),"")</f>
        <v/>
      </c>
      <c r="M5425" t="str">
        <f>IFERROR(__xludf.DUMMYFUNCTION("""COMPUTED_VALUE"""),"")</f>
        <v/>
      </c>
      <c r="N5425" t="str">
        <f>IFERROR(__xludf.DUMMYFUNCTION("""COMPUTED_VALUE"""),"")</f>
        <v/>
      </c>
      <c r="O5425" t="str">
        <f>IFERROR(__xludf.DUMMYFUNCTION("""COMPUTED_VALUE"""),"")</f>
        <v/>
      </c>
      <c r="P5425" t="str">
        <f>IFERROR(__xludf.DUMMYFUNCTION("""COMPUTED_VALUE"""),"ID ")</f>
        <v>ID </v>
      </c>
    </row>
    <row r="5426">
      <c r="A5426" s="6" t="str">
        <f>IFERROR(__xludf.DUMMYFUNCTION("""COMPUTED_VALUE"""),"")</f>
        <v/>
      </c>
      <c r="C5426" t="str">
        <f>IFERROR(__xludf.DUMMYFUNCTION("""COMPUTED_VALUE"""),"")</f>
        <v/>
      </c>
      <c r="D5426" t="str">
        <f>IFERROR(__xludf.DUMMYFUNCTION("""COMPUTED_VALUE"""),"")</f>
        <v/>
      </c>
      <c r="E5426" t="str">
        <f>IFERROR(__xludf.DUMMYFUNCTION("""COMPUTED_VALUE"""),"")</f>
        <v/>
      </c>
      <c r="F5426" t="str">
        <f>IFERROR(__xludf.DUMMYFUNCTION("""COMPUTED_VALUE"""),"")</f>
        <v/>
      </c>
      <c r="G5426" t="str">
        <f>IFERROR(__xludf.DUMMYFUNCTION("""COMPUTED_VALUE"""),"")</f>
        <v/>
      </c>
      <c r="H5426" s="2" t="str">
        <f>IFERROR(__xludf.DUMMYFUNCTION("""COMPUTED_VALUE"""),"")</f>
        <v/>
      </c>
      <c r="I5426" s="2" t="str">
        <f>IFERROR(__xludf.DUMMYFUNCTION("""COMPUTED_VALUE"""),"")</f>
        <v/>
      </c>
      <c r="J5426" s="2">
        <f>IFERROR(__xludf.DUMMYFUNCTION("""COMPUTED_VALUE"""),0.0)</f>
        <v>0</v>
      </c>
      <c r="K5426" s="5" t="str">
        <f>IFERROR(__xludf.DUMMYFUNCTION("""COMPUTED_VALUE"""),"")</f>
        <v/>
      </c>
      <c r="L5426" t="str">
        <f>IFERROR(__xludf.DUMMYFUNCTION("""COMPUTED_VALUE"""),"")</f>
        <v/>
      </c>
      <c r="M5426" t="str">
        <f>IFERROR(__xludf.DUMMYFUNCTION("""COMPUTED_VALUE"""),"")</f>
        <v/>
      </c>
      <c r="N5426" t="str">
        <f>IFERROR(__xludf.DUMMYFUNCTION("""COMPUTED_VALUE"""),"")</f>
        <v/>
      </c>
      <c r="O5426" t="str">
        <f>IFERROR(__xludf.DUMMYFUNCTION("""COMPUTED_VALUE"""),"")</f>
        <v/>
      </c>
      <c r="P5426" t="str">
        <f>IFERROR(__xludf.DUMMYFUNCTION("""COMPUTED_VALUE"""),"ID ")</f>
        <v>ID </v>
      </c>
    </row>
    <row r="5427">
      <c r="A5427" s="6" t="str">
        <f>IFERROR(__xludf.DUMMYFUNCTION("""COMPUTED_VALUE"""),"")</f>
        <v/>
      </c>
      <c r="C5427" t="str">
        <f>IFERROR(__xludf.DUMMYFUNCTION("""COMPUTED_VALUE"""),"")</f>
        <v/>
      </c>
      <c r="D5427" t="str">
        <f>IFERROR(__xludf.DUMMYFUNCTION("""COMPUTED_VALUE"""),"")</f>
        <v/>
      </c>
      <c r="E5427" t="str">
        <f>IFERROR(__xludf.DUMMYFUNCTION("""COMPUTED_VALUE"""),"")</f>
        <v/>
      </c>
      <c r="F5427" t="str">
        <f>IFERROR(__xludf.DUMMYFUNCTION("""COMPUTED_VALUE"""),"")</f>
        <v/>
      </c>
      <c r="G5427" t="str">
        <f>IFERROR(__xludf.DUMMYFUNCTION("""COMPUTED_VALUE"""),"")</f>
        <v/>
      </c>
      <c r="H5427" s="2" t="str">
        <f>IFERROR(__xludf.DUMMYFUNCTION("""COMPUTED_VALUE"""),"")</f>
        <v/>
      </c>
      <c r="I5427" s="2" t="str">
        <f>IFERROR(__xludf.DUMMYFUNCTION("""COMPUTED_VALUE"""),"")</f>
        <v/>
      </c>
      <c r="J5427" s="2">
        <f>IFERROR(__xludf.DUMMYFUNCTION("""COMPUTED_VALUE"""),0.0)</f>
        <v>0</v>
      </c>
      <c r="K5427" s="5" t="str">
        <f>IFERROR(__xludf.DUMMYFUNCTION("""COMPUTED_VALUE"""),"")</f>
        <v/>
      </c>
      <c r="L5427" t="str">
        <f>IFERROR(__xludf.DUMMYFUNCTION("""COMPUTED_VALUE"""),"")</f>
        <v/>
      </c>
      <c r="M5427" t="str">
        <f>IFERROR(__xludf.DUMMYFUNCTION("""COMPUTED_VALUE"""),"")</f>
        <v/>
      </c>
      <c r="N5427" t="str">
        <f>IFERROR(__xludf.DUMMYFUNCTION("""COMPUTED_VALUE"""),"")</f>
        <v/>
      </c>
      <c r="O5427" t="str">
        <f>IFERROR(__xludf.DUMMYFUNCTION("""COMPUTED_VALUE"""),"")</f>
        <v/>
      </c>
      <c r="P5427" t="str">
        <f>IFERROR(__xludf.DUMMYFUNCTION("""COMPUTED_VALUE"""),"ID ")</f>
        <v>ID </v>
      </c>
    </row>
    <row r="5428">
      <c r="A5428" s="6" t="str">
        <f>IFERROR(__xludf.DUMMYFUNCTION("""COMPUTED_VALUE"""),"")</f>
        <v/>
      </c>
      <c r="C5428" t="str">
        <f>IFERROR(__xludf.DUMMYFUNCTION("""COMPUTED_VALUE"""),"")</f>
        <v/>
      </c>
      <c r="D5428" t="str">
        <f>IFERROR(__xludf.DUMMYFUNCTION("""COMPUTED_VALUE"""),"")</f>
        <v/>
      </c>
      <c r="E5428" t="str">
        <f>IFERROR(__xludf.DUMMYFUNCTION("""COMPUTED_VALUE"""),"")</f>
        <v/>
      </c>
      <c r="F5428" t="str">
        <f>IFERROR(__xludf.DUMMYFUNCTION("""COMPUTED_VALUE"""),"")</f>
        <v/>
      </c>
      <c r="G5428" t="str">
        <f>IFERROR(__xludf.DUMMYFUNCTION("""COMPUTED_VALUE"""),"")</f>
        <v/>
      </c>
      <c r="H5428" s="2" t="str">
        <f>IFERROR(__xludf.DUMMYFUNCTION("""COMPUTED_VALUE"""),"")</f>
        <v/>
      </c>
      <c r="I5428" s="2" t="str">
        <f>IFERROR(__xludf.DUMMYFUNCTION("""COMPUTED_VALUE"""),"")</f>
        <v/>
      </c>
      <c r="J5428" s="2">
        <f>IFERROR(__xludf.DUMMYFUNCTION("""COMPUTED_VALUE"""),0.0)</f>
        <v>0</v>
      </c>
      <c r="K5428" s="5" t="str">
        <f>IFERROR(__xludf.DUMMYFUNCTION("""COMPUTED_VALUE"""),"")</f>
        <v/>
      </c>
      <c r="L5428" t="str">
        <f>IFERROR(__xludf.DUMMYFUNCTION("""COMPUTED_VALUE"""),"")</f>
        <v/>
      </c>
      <c r="M5428" t="str">
        <f>IFERROR(__xludf.DUMMYFUNCTION("""COMPUTED_VALUE"""),"")</f>
        <v/>
      </c>
      <c r="N5428" t="str">
        <f>IFERROR(__xludf.DUMMYFUNCTION("""COMPUTED_VALUE"""),"")</f>
        <v/>
      </c>
      <c r="O5428" t="str">
        <f>IFERROR(__xludf.DUMMYFUNCTION("""COMPUTED_VALUE"""),"")</f>
        <v/>
      </c>
      <c r="P5428" t="str">
        <f>IFERROR(__xludf.DUMMYFUNCTION("""COMPUTED_VALUE"""),"ID ")</f>
        <v>ID </v>
      </c>
    </row>
    <row r="5429">
      <c r="A5429" s="6" t="str">
        <f>IFERROR(__xludf.DUMMYFUNCTION("""COMPUTED_VALUE"""),"")</f>
        <v/>
      </c>
      <c r="C5429" t="str">
        <f>IFERROR(__xludf.DUMMYFUNCTION("""COMPUTED_VALUE"""),"")</f>
        <v/>
      </c>
      <c r="D5429" t="str">
        <f>IFERROR(__xludf.DUMMYFUNCTION("""COMPUTED_VALUE"""),"")</f>
        <v/>
      </c>
      <c r="E5429" t="str">
        <f>IFERROR(__xludf.DUMMYFUNCTION("""COMPUTED_VALUE"""),"")</f>
        <v/>
      </c>
      <c r="F5429" t="str">
        <f>IFERROR(__xludf.DUMMYFUNCTION("""COMPUTED_VALUE"""),"")</f>
        <v/>
      </c>
      <c r="G5429" t="str">
        <f>IFERROR(__xludf.DUMMYFUNCTION("""COMPUTED_VALUE"""),"")</f>
        <v/>
      </c>
      <c r="H5429" s="2" t="str">
        <f>IFERROR(__xludf.DUMMYFUNCTION("""COMPUTED_VALUE"""),"")</f>
        <v/>
      </c>
      <c r="I5429" s="2" t="str">
        <f>IFERROR(__xludf.DUMMYFUNCTION("""COMPUTED_VALUE"""),"")</f>
        <v/>
      </c>
      <c r="J5429" s="2">
        <f>IFERROR(__xludf.DUMMYFUNCTION("""COMPUTED_VALUE"""),0.0)</f>
        <v>0</v>
      </c>
      <c r="K5429" s="5" t="str">
        <f>IFERROR(__xludf.DUMMYFUNCTION("""COMPUTED_VALUE"""),"")</f>
        <v/>
      </c>
      <c r="L5429" t="str">
        <f>IFERROR(__xludf.DUMMYFUNCTION("""COMPUTED_VALUE"""),"")</f>
        <v/>
      </c>
      <c r="M5429" t="str">
        <f>IFERROR(__xludf.DUMMYFUNCTION("""COMPUTED_VALUE"""),"")</f>
        <v/>
      </c>
      <c r="N5429" t="str">
        <f>IFERROR(__xludf.DUMMYFUNCTION("""COMPUTED_VALUE"""),"")</f>
        <v/>
      </c>
      <c r="O5429" t="str">
        <f>IFERROR(__xludf.DUMMYFUNCTION("""COMPUTED_VALUE"""),"")</f>
        <v/>
      </c>
      <c r="P5429" t="str">
        <f>IFERROR(__xludf.DUMMYFUNCTION("""COMPUTED_VALUE"""),"ID ")</f>
        <v>ID </v>
      </c>
    </row>
    <row r="5430">
      <c r="A5430" s="6" t="str">
        <f>IFERROR(__xludf.DUMMYFUNCTION("""COMPUTED_VALUE"""),"")</f>
        <v/>
      </c>
      <c r="C5430" t="str">
        <f>IFERROR(__xludf.DUMMYFUNCTION("""COMPUTED_VALUE"""),"")</f>
        <v/>
      </c>
      <c r="D5430" t="str">
        <f>IFERROR(__xludf.DUMMYFUNCTION("""COMPUTED_VALUE"""),"")</f>
        <v/>
      </c>
      <c r="E5430" t="str">
        <f>IFERROR(__xludf.DUMMYFUNCTION("""COMPUTED_VALUE"""),"")</f>
        <v/>
      </c>
      <c r="F5430" t="str">
        <f>IFERROR(__xludf.DUMMYFUNCTION("""COMPUTED_VALUE"""),"")</f>
        <v/>
      </c>
      <c r="G5430" t="str">
        <f>IFERROR(__xludf.DUMMYFUNCTION("""COMPUTED_VALUE"""),"")</f>
        <v/>
      </c>
      <c r="H5430" s="2" t="str">
        <f>IFERROR(__xludf.DUMMYFUNCTION("""COMPUTED_VALUE"""),"")</f>
        <v/>
      </c>
      <c r="I5430" s="2" t="str">
        <f>IFERROR(__xludf.DUMMYFUNCTION("""COMPUTED_VALUE"""),"")</f>
        <v/>
      </c>
      <c r="J5430" s="2">
        <f>IFERROR(__xludf.DUMMYFUNCTION("""COMPUTED_VALUE"""),0.0)</f>
        <v>0</v>
      </c>
      <c r="K5430" s="5" t="str">
        <f>IFERROR(__xludf.DUMMYFUNCTION("""COMPUTED_VALUE"""),"")</f>
        <v/>
      </c>
      <c r="L5430" t="str">
        <f>IFERROR(__xludf.DUMMYFUNCTION("""COMPUTED_VALUE"""),"")</f>
        <v/>
      </c>
      <c r="M5430" t="str">
        <f>IFERROR(__xludf.DUMMYFUNCTION("""COMPUTED_VALUE"""),"")</f>
        <v/>
      </c>
      <c r="N5430" t="str">
        <f>IFERROR(__xludf.DUMMYFUNCTION("""COMPUTED_VALUE"""),"")</f>
        <v/>
      </c>
      <c r="O5430" t="str">
        <f>IFERROR(__xludf.DUMMYFUNCTION("""COMPUTED_VALUE"""),"")</f>
        <v/>
      </c>
      <c r="P5430" t="str">
        <f>IFERROR(__xludf.DUMMYFUNCTION("""COMPUTED_VALUE"""),"ID ")</f>
        <v>ID </v>
      </c>
    </row>
    <row r="5431">
      <c r="A5431" s="6" t="str">
        <f>IFERROR(__xludf.DUMMYFUNCTION("""COMPUTED_VALUE"""),"")</f>
        <v/>
      </c>
      <c r="C5431" t="str">
        <f>IFERROR(__xludf.DUMMYFUNCTION("""COMPUTED_VALUE"""),"")</f>
        <v/>
      </c>
      <c r="D5431" t="str">
        <f>IFERROR(__xludf.DUMMYFUNCTION("""COMPUTED_VALUE"""),"")</f>
        <v/>
      </c>
      <c r="E5431" t="str">
        <f>IFERROR(__xludf.DUMMYFUNCTION("""COMPUTED_VALUE"""),"")</f>
        <v/>
      </c>
      <c r="F5431" t="str">
        <f>IFERROR(__xludf.DUMMYFUNCTION("""COMPUTED_VALUE"""),"")</f>
        <v/>
      </c>
      <c r="G5431" t="str">
        <f>IFERROR(__xludf.DUMMYFUNCTION("""COMPUTED_VALUE"""),"")</f>
        <v/>
      </c>
      <c r="H5431" s="2" t="str">
        <f>IFERROR(__xludf.DUMMYFUNCTION("""COMPUTED_VALUE"""),"")</f>
        <v/>
      </c>
      <c r="I5431" s="2" t="str">
        <f>IFERROR(__xludf.DUMMYFUNCTION("""COMPUTED_VALUE"""),"")</f>
        <v/>
      </c>
      <c r="J5431" s="2">
        <f>IFERROR(__xludf.DUMMYFUNCTION("""COMPUTED_VALUE"""),0.0)</f>
        <v>0</v>
      </c>
      <c r="K5431" s="5" t="str">
        <f>IFERROR(__xludf.DUMMYFUNCTION("""COMPUTED_VALUE"""),"")</f>
        <v/>
      </c>
      <c r="L5431" t="str">
        <f>IFERROR(__xludf.DUMMYFUNCTION("""COMPUTED_VALUE"""),"")</f>
        <v/>
      </c>
      <c r="M5431" t="str">
        <f>IFERROR(__xludf.DUMMYFUNCTION("""COMPUTED_VALUE"""),"")</f>
        <v/>
      </c>
      <c r="N5431" t="str">
        <f>IFERROR(__xludf.DUMMYFUNCTION("""COMPUTED_VALUE"""),"")</f>
        <v/>
      </c>
      <c r="O5431" t="str">
        <f>IFERROR(__xludf.DUMMYFUNCTION("""COMPUTED_VALUE"""),"")</f>
        <v/>
      </c>
      <c r="P5431" t="str">
        <f>IFERROR(__xludf.DUMMYFUNCTION("""COMPUTED_VALUE"""),"ID ")</f>
        <v>ID </v>
      </c>
    </row>
    <row r="5432">
      <c r="A5432" s="6" t="str">
        <f>IFERROR(__xludf.DUMMYFUNCTION("""COMPUTED_VALUE"""),"")</f>
        <v/>
      </c>
      <c r="C5432" t="str">
        <f>IFERROR(__xludf.DUMMYFUNCTION("""COMPUTED_VALUE"""),"")</f>
        <v/>
      </c>
      <c r="D5432" t="str">
        <f>IFERROR(__xludf.DUMMYFUNCTION("""COMPUTED_VALUE"""),"")</f>
        <v/>
      </c>
      <c r="E5432" t="str">
        <f>IFERROR(__xludf.DUMMYFUNCTION("""COMPUTED_VALUE"""),"")</f>
        <v/>
      </c>
      <c r="F5432" t="str">
        <f>IFERROR(__xludf.DUMMYFUNCTION("""COMPUTED_VALUE"""),"")</f>
        <v/>
      </c>
      <c r="G5432" t="str">
        <f>IFERROR(__xludf.DUMMYFUNCTION("""COMPUTED_VALUE"""),"")</f>
        <v/>
      </c>
      <c r="H5432" s="2" t="str">
        <f>IFERROR(__xludf.DUMMYFUNCTION("""COMPUTED_VALUE"""),"")</f>
        <v/>
      </c>
      <c r="I5432" s="2" t="str">
        <f>IFERROR(__xludf.DUMMYFUNCTION("""COMPUTED_VALUE"""),"")</f>
        <v/>
      </c>
      <c r="J5432" s="2">
        <f>IFERROR(__xludf.DUMMYFUNCTION("""COMPUTED_VALUE"""),0.0)</f>
        <v>0</v>
      </c>
      <c r="K5432" s="5" t="str">
        <f>IFERROR(__xludf.DUMMYFUNCTION("""COMPUTED_VALUE"""),"")</f>
        <v/>
      </c>
      <c r="L5432" t="str">
        <f>IFERROR(__xludf.DUMMYFUNCTION("""COMPUTED_VALUE"""),"")</f>
        <v/>
      </c>
      <c r="M5432" t="str">
        <f>IFERROR(__xludf.DUMMYFUNCTION("""COMPUTED_VALUE"""),"")</f>
        <v/>
      </c>
      <c r="N5432" t="str">
        <f>IFERROR(__xludf.DUMMYFUNCTION("""COMPUTED_VALUE"""),"")</f>
        <v/>
      </c>
      <c r="O5432" t="str">
        <f>IFERROR(__xludf.DUMMYFUNCTION("""COMPUTED_VALUE"""),"")</f>
        <v/>
      </c>
      <c r="P5432" t="str">
        <f>IFERROR(__xludf.DUMMYFUNCTION("""COMPUTED_VALUE"""),"ID ")</f>
        <v>ID </v>
      </c>
    </row>
    <row r="5433">
      <c r="A5433" s="6" t="str">
        <f>IFERROR(__xludf.DUMMYFUNCTION("""COMPUTED_VALUE"""),"")</f>
        <v/>
      </c>
      <c r="C5433" t="str">
        <f>IFERROR(__xludf.DUMMYFUNCTION("""COMPUTED_VALUE"""),"")</f>
        <v/>
      </c>
      <c r="D5433" t="str">
        <f>IFERROR(__xludf.DUMMYFUNCTION("""COMPUTED_VALUE"""),"")</f>
        <v/>
      </c>
      <c r="E5433" t="str">
        <f>IFERROR(__xludf.DUMMYFUNCTION("""COMPUTED_VALUE"""),"")</f>
        <v/>
      </c>
      <c r="F5433" t="str">
        <f>IFERROR(__xludf.DUMMYFUNCTION("""COMPUTED_VALUE"""),"")</f>
        <v/>
      </c>
      <c r="G5433" t="str">
        <f>IFERROR(__xludf.DUMMYFUNCTION("""COMPUTED_VALUE"""),"")</f>
        <v/>
      </c>
      <c r="H5433" s="2" t="str">
        <f>IFERROR(__xludf.DUMMYFUNCTION("""COMPUTED_VALUE"""),"")</f>
        <v/>
      </c>
      <c r="I5433" s="2" t="str">
        <f>IFERROR(__xludf.DUMMYFUNCTION("""COMPUTED_VALUE"""),"")</f>
        <v/>
      </c>
      <c r="J5433" s="2">
        <f>IFERROR(__xludf.DUMMYFUNCTION("""COMPUTED_VALUE"""),0.0)</f>
        <v>0</v>
      </c>
      <c r="K5433" s="5" t="str">
        <f>IFERROR(__xludf.DUMMYFUNCTION("""COMPUTED_VALUE"""),"")</f>
        <v/>
      </c>
      <c r="L5433" t="str">
        <f>IFERROR(__xludf.DUMMYFUNCTION("""COMPUTED_VALUE"""),"")</f>
        <v/>
      </c>
      <c r="M5433" t="str">
        <f>IFERROR(__xludf.DUMMYFUNCTION("""COMPUTED_VALUE"""),"")</f>
        <v/>
      </c>
      <c r="N5433" t="str">
        <f>IFERROR(__xludf.DUMMYFUNCTION("""COMPUTED_VALUE"""),"")</f>
        <v/>
      </c>
      <c r="O5433" t="str">
        <f>IFERROR(__xludf.DUMMYFUNCTION("""COMPUTED_VALUE"""),"")</f>
        <v/>
      </c>
      <c r="P5433" t="str">
        <f>IFERROR(__xludf.DUMMYFUNCTION("""COMPUTED_VALUE"""),"ID ")</f>
        <v>ID </v>
      </c>
    </row>
    <row r="5434">
      <c r="A5434" s="6" t="str">
        <f>IFERROR(__xludf.DUMMYFUNCTION("""COMPUTED_VALUE"""),"")</f>
        <v/>
      </c>
      <c r="C5434" t="str">
        <f>IFERROR(__xludf.DUMMYFUNCTION("""COMPUTED_VALUE"""),"")</f>
        <v/>
      </c>
      <c r="D5434" t="str">
        <f>IFERROR(__xludf.DUMMYFUNCTION("""COMPUTED_VALUE"""),"")</f>
        <v/>
      </c>
      <c r="E5434" t="str">
        <f>IFERROR(__xludf.DUMMYFUNCTION("""COMPUTED_VALUE"""),"")</f>
        <v/>
      </c>
      <c r="F5434" t="str">
        <f>IFERROR(__xludf.DUMMYFUNCTION("""COMPUTED_VALUE"""),"")</f>
        <v/>
      </c>
      <c r="G5434" t="str">
        <f>IFERROR(__xludf.DUMMYFUNCTION("""COMPUTED_VALUE"""),"")</f>
        <v/>
      </c>
      <c r="H5434" s="2" t="str">
        <f>IFERROR(__xludf.DUMMYFUNCTION("""COMPUTED_VALUE"""),"")</f>
        <v/>
      </c>
      <c r="I5434" s="2" t="str">
        <f>IFERROR(__xludf.DUMMYFUNCTION("""COMPUTED_VALUE"""),"")</f>
        <v/>
      </c>
      <c r="J5434" s="2">
        <f>IFERROR(__xludf.DUMMYFUNCTION("""COMPUTED_VALUE"""),0.0)</f>
        <v>0</v>
      </c>
      <c r="K5434" s="5" t="str">
        <f>IFERROR(__xludf.DUMMYFUNCTION("""COMPUTED_VALUE"""),"")</f>
        <v/>
      </c>
      <c r="L5434" t="str">
        <f>IFERROR(__xludf.DUMMYFUNCTION("""COMPUTED_VALUE"""),"")</f>
        <v/>
      </c>
      <c r="M5434" t="str">
        <f>IFERROR(__xludf.DUMMYFUNCTION("""COMPUTED_VALUE"""),"")</f>
        <v/>
      </c>
      <c r="N5434" t="str">
        <f>IFERROR(__xludf.DUMMYFUNCTION("""COMPUTED_VALUE"""),"")</f>
        <v/>
      </c>
      <c r="O5434" t="str">
        <f>IFERROR(__xludf.DUMMYFUNCTION("""COMPUTED_VALUE"""),"")</f>
        <v/>
      </c>
      <c r="P5434" t="str">
        <f>IFERROR(__xludf.DUMMYFUNCTION("""COMPUTED_VALUE"""),"ID ")</f>
        <v>ID </v>
      </c>
    </row>
    <row r="5435">
      <c r="A5435" s="6" t="str">
        <f>IFERROR(__xludf.DUMMYFUNCTION("""COMPUTED_VALUE"""),"")</f>
        <v/>
      </c>
      <c r="C5435" t="str">
        <f>IFERROR(__xludf.DUMMYFUNCTION("""COMPUTED_VALUE"""),"")</f>
        <v/>
      </c>
      <c r="D5435" t="str">
        <f>IFERROR(__xludf.DUMMYFUNCTION("""COMPUTED_VALUE"""),"")</f>
        <v/>
      </c>
      <c r="E5435" t="str">
        <f>IFERROR(__xludf.DUMMYFUNCTION("""COMPUTED_VALUE"""),"")</f>
        <v/>
      </c>
      <c r="F5435" t="str">
        <f>IFERROR(__xludf.DUMMYFUNCTION("""COMPUTED_VALUE"""),"")</f>
        <v/>
      </c>
      <c r="G5435" t="str">
        <f>IFERROR(__xludf.DUMMYFUNCTION("""COMPUTED_VALUE"""),"")</f>
        <v/>
      </c>
      <c r="H5435" s="2" t="str">
        <f>IFERROR(__xludf.DUMMYFUNCTION("""COMPUTED_VALUE"""),"")</f>
        <v/>
      </c>
      <c r="I5435" s="2" t="str">
        <f>IFERROR(__xludf.DUMMYFUNCTION("""COMPUTED_VALUE"""),"")</f>
        <v/>
      </c>
      <c r="J5435" s="2">
        <f>IFERROR(__xludf.DUMMYFUNCTION("""COMPUTED_VALUE"""),0.0)</f>
        <v>0</v>
      </c>
      <c r="K5435" s="5" t="str">
        <f>IFERROR(__xludf.DUMMYFUNCTION("""COMPUTED_VALUE"""),"")</f>
        <v/>
      </c>
      <c r="L5435" t="str">
        <f>IFERROR(__xludf.DUMMYFUNCTION("""COMPUTED_VALUE"""),"")</f>
        <v/>
      </c>
      <c r="M5435" t="str">
        <f>IFERROR(__xludf.DUMMYFUNCTION("""COMPUTED_VALUE"""),"")</f>
        <v/>
      </c>
      <c r="N5435" t="str">
        <f>IFERROR(__xludf.DUMMYFUNCTION("""COMPUTED_VALUE"""),"")</f>
        <v/>
      </c>
      <c r="O5435" t="str">
        <f>IFERROR(__xludf.DUMMYFUNCTION("""COMPUTED_VALUE"""),"")</f>
        <v/>
      </c>
      <c r="P5435" t="str">
        <f>IFERROR(__xludf.DUMMYFUNCTION("""COMPUTED_VALUE"""),"ID ")</f>
        <v>ID </v>
      </c>
    </row>
    <row r="5436">
      <c r="A5436" s="6" t="str">
        <f>IFERROR(__xludf.DUMMYFUNCTION("""COMPUTED_VALUE"""),"")</f>
        <v/>
      </c>
      <c r="C5436" t="str">
        <f>IFERROR(__xludf.DUMMYFUNCTION("""COMPUTED_VALUE"""),"")</f>
        <v/>
      </c>
      <c r="D5436" t="str">
        <f>IFERROR(__xludf.DUMMYFUNCTION("""COMPUTED_VALUE"""),"")</f>
        <v/>
      </c>
      <c r="E5436" t="str">
        <f>IFERROR(__xludf.DUMMYFUNCTION("""COMPUTED_VALUE"""),"")</f>
        <v/>
      </c>
      <c r="F5436" t="str">
        <f>IFERROR(__xludf.DUMMYFUNCTION("""COMPUTED_VALUE"""),"")</f>
        <v/>
      </c>
      <c r="G5436" t="str">
        <f>IFERROR(__xludf.DUMMYFUNCTION("""COMPUTED_VALUE"""),"")</f>
        <v/>
      </c>
      <c r="H5436" s="2" t="str">
        <f>IFERROR(__xludf.DUMMYFUNCTION("""COMPUTED_VALUE"""),"")</f>
        <v/>
      </c>
      <c r="I5436" s="2" t="str">
        <f>IFERROR(__xludf.DUMMYFUNCTION("""COMPUTED_VALUE"""),"")</f>
        <v/>
      </c>
      <c r="J5436" s="2">
        <f>IFERROR(__xludf.DUMMYFUNCTION("""COMPUTED_VALUE"""),0.0)</f>
        <v>0</v>
      </c>
      <c r="K5436" s="5" t="str">
        <f>IFERROR(__xludf.DUMMYFUNCTION("""COMPUTED_VALUE"""),"")</f>
        <v/>
      </c>
      <c r="L5436" t="str">
        <f>IFERROR(__xludf.DUMMYFUNCTION("""COMPUTED_VALUE"""),"")</f>
        <v/>
      </c>
      <c r="M5436" t="str">
        <f>IFERROR(__xludf.DUMMYFUNCTION("""COMPUTED_VALUE"""),"")</f>
        <v/>
      </c>
      <c r="N5436" t="str">
        <f>IFERROR(__xludf.DUMMYFUNCTION("""COMPUTED_VALUE"""),"")</f>
        <v/>
      </c>
      <c r="O5436" t="str">
        <f>IFERROR(__xludf.DUMMYFUNCTION("""COMPUTED_VALUE"""),"")</f>
        <v/>
      </c>
      <c r="P5436" t="str">
        <f>IFERROR(__xludf.DUMMYFUNCTION("""COMPUTED_VALUE"""),"ID ")</f>
        <v>ID </v>
      </c>
    </row>
    <row r="5437">
      <c r="A5437" s="6" t="str">
        <f>IFERROR(__xludf.DUMMYFUNCTION("""COMPUTED_VALUE"""),"")</f>
        <v/>
      </c>
      <c r="C5437" t="str">
        <f>IFERROR(__xludf.DUMMYFUNCTION("""COMPUTED_VALUE"""),"")</f>
        <v/>
      </c>
      <c r="D5437" t="str">
        <f>IFERROR(__xludf.DUMMYFUNCTION("""COMPUTED_VALUE"""),"")</f>
        <v/>
      </c>
      <c r="E5437" t="str">
        <f>IFERROR(__xludf.DUMMYFUNCTION("""COMPUTED_VALUE"""),"")</f>
        <v/>
      </c>
      <c r="F5437" t="str">
        <f>IFERROR(__xludf.DUMMYFUNCTION("""COMPUTED_VALUE"""),"")</f>
        <v/>
      </c>
      <c r="G5437" t="str">
        <f>IFERROR(__xludf.DUMMYFUNCTION("""COMPUTED_VALUE"""),"")</f>
        <v/>
      </c>
      <c r="H5437" s="2" t="str">
        <f>IFERROR(__xludf.DUMMYFUNCTION("""COMPUTED_VALUE"""),"")</f>
        <v/>
      </c>
      <c r="I5437" s="2" t="str">
        <f>IFERROR(__xludf.DUMMYFUNCTION("""COMPUTED_VALUE"""),"")</f>
        <v/>
      </c>
      <c r="J5437" s="2">
        <f>IFERROR(__xludf.DUMMYFUNCTION("""COMPUTED_VALUE"""),0.0)</f>
        <v>0</v>
      </c>
      <c r="K5437" s="5" t="str">
        <f>IFERROR(__xludf.DUMMYFUNCTION("""COMPUTED_VALUE"""),"")</f>
        <v/>
      </c>
      <c r="L5437" t="str">
        <f>IFERROR(__xludf.DUMMYFUNCTION("""COMPUTED_VALUE"""),"")</f>
        <v/>
      </c>
      <c r="M5437" t="str">
        <f>IFERROR(__xludf.DUMMYFUNCTION("""COMPUTED_VALUE"""),"")</f>
        <v/>
      </c>
      <c r="N5437" t="str">
        <f>IFERROR(__xludf.DUMMYFUNCTION("""COMPUTED_VALUE"""),"")</f>
        <v/>
      </c>
      <c r="O5437" t="str">
        <f>IFERROR(__xludf.DUMMYFUNCTION("""COMPUTED_VALUE"""),"")</f>
        <v/>
      </c>
      <c r="P5437" t="str">
        <f>IFERROR(__xludf.DUMMYFUNCTION("""COMPUTED_VALUE"""),"ID ")</f>
        <v>ID </v>
      </c>
    </row>
    <row r="5438">
      <c r="A5438" s="6" t="str">
        <f>IFERROR(__xludf.DUMMYFUNCTION("""COMPUTED_VALUE"""),"")</f>
        <v/>
      </c>
      <c r="C5438" t="str">
        <f>IFERROR(__xludf.DUMMYFUNCTION("""COMPUTED_VALUE"""),"")</f>
        <v/>
      </c>
      <c r="D5438" t="str">
        <f>IFERROR(__xludf.DUMMYFUNCTION("""COMPUTED_VALUE"""),"")</f>
        <v/>
      </c>
      <c r="E5438" t="str">
        <f>IFERROR(__xludf.DUMMYFUNCTION("""COMPUTED_VALUE"""),"")</f>
        <v/>
      </c>
      <c r="F5438" t="str">
        <f>IFERROR(__xludf.DUMMYFUNCTION("""COMPUTED_VALUE"""),"")</f>
        <v/>
      </c>
      <c r="G5438" t="str">
        <f>IFERROR(__xludf.DUMMYFUNCTION("""COMPUTED_VALUE"""),"")</f>
        <v/>
      </c>
      <c r="H5438" s="2" t="str">
        <f>IFERROR(__xludf.DUMMYFUNCTION("""COMPUTED_VALUE"""),"")</f>
        <v/>
      </c>
      <c r="I5438" s="2" t="str">
        <f>IFERROR(__xludf.DUMMYFUNCTION("""COMPUTED_VALUE"""),"")</f>
        <v/>
      </c>
      <c r="J5438" s="2">
        <f>IFERROR(__xludf.DUMMYFUNCTION("""COMPUTED_VALUE"""),0.0)</f>
        <v>0</v>
      </c>
      <c r="K5438" s="5" t="str">
        <f>IFERROR(__xludf.DUMMYFUNCTION("""COMPUTED_VALUE"""),"")</f>
        <v/>
      </c>
      <c r="L5438" t="str">
        <f>IFERROR(__xludf.DUMMYFUNCTION("""COMPUTED_VALUE"""),"")</f>
        <v/>
      </c>
      <c r="M5438" t="str">
        <f>IFERROR(__xludf.DUMMYFUNCTION("""COMPUTED_VALUE"""),"")</f>
        <v/>
      </c>
      <c r="N5438" t="str">
        <f>IFERROR(__xludf.DUMMYFUNCTION("""COMPUTED_VALUE"""),"")</f>
        <v/>
      </c>
      <c r="O5438" t="str">
        <f>IFERROR(__xludf.DUMMYFUNCTION("""COMPUTED_VALUE"""),"")</f>
        <v/>
      </c>
      <c r="P5438" t="str">
        <f>IFERROR(__xludf.DUMMYFUNCTION("""COMPUTED_VALUE"""),"ID ")</f>
        <v>ID </v>
      </c>
    </row>
    <row r="5439">
      <c r="A5439" s="6" t="str">
        <f>IFERROR(__xludf.DUMMYFUNCTION("""COMPUTED_VALUE"""),"")</f>
        <v/>
      </c>
      <c r="C5439" t="str">
        <f>IFERROR(__xludf.DUMMYFUNCTION("""COMPUTED_VALUE"""),"")</f>
        <v/>
      </c>
      <c r="D5439" t="str">
        <f>IFERROR(__xludf.DUMMYFUNCTION("""COMPUTED_VALUE"""),"")</f>
        <v/>
      </c>
      <c r="E5439" t="str">
        <f>IFERROR(__xludf.DUMMYFUNCTION("""COMPUTED_VALUE"""),"")</f>
        <v/>
      </c>
      <c r="F5439" t="str">
        <f>IFERROR(__xludf.DUMMYFUNCTION("""COMPUTED_VALUE"""),"")</f>
        <v/>
      </c>
      <c r="G5439" t="str">
        <f>IFERROR(__xludf.DUMMYFUNCTION("""COMPUTED_VALUE"""),"")</f>
        <v/>
      </c>
      <c r="H5439" s="2" t="str">
        <f>IFERROR(__xludf.DUMMYFUNCTION("""COMPUTED_VALUE"""),"")</f>
        <v/>
      </c>
      <c r="I5439" s="2" t="str">
        <f>IFERROR(__xludf.DUMMYFUNCTION("""COMPUTED_VALUE"""),"")</f>
        <v/>
      </c>
      <c r="J5439" s="2">
        <f>IFERROR(__xludf.DUMMYFUNCTION("""COMPUTED_VALUE"""),0.0)</f>
        <v>0</v>
      </c>
      <c r="K5439" s="5" t="str">
        <f>IFERROR(__xludf.DUMMYFUNCTION("""COMPUTED_VALUE"""),"")</f>
        <v/>
      </c>
      <c r="L5439" t="str">
        <f>IFERROR(__xludf.DUMMYFUNCTION("""COMPUTED_VALUE"""),"")</f>
        <v/>
      </c>
      <c r="M5439" t="str">
        <f>IFERROR(__xludf.DUMMYFUNCTION("""COMPUTED_VALUE"""),"")</f>
        <v/>
      </c>
      <c r="N5439" t="str">
        <f>IFERROR(__xludf.DUMMYFUNCTION("""COMPUTED_VALUE"""),"")</f>
        <v/>
      </c>
      <c r="O5439" t="str">
        <f>IFERROR(__xludf.DUMMYFUNCTION("""COMPUTED_VALUE"""),"")</f>
        <v/>
      </c>
      <c r="P5439" t="str">
        <f>IFERROR(__xludf.DUMMYFUNCTION("""COMPUTED_VALUE"""),"ID ")</f>
        <v>ID </v>
      </c>
    </row>
    <row r="5440">
      <c r="A5440" s="6" t="str">
        <f>IFERROR(__xludf.DUMMYFUNCTION("""COMPUTED_VALUE"""),"")</f>
        <v/>
      </c>
      <c r="C5440" t="str">
        <f>IFERROR(__xludf.DUMMYFUNCTION("""COMPUTED_VALUE"""),"")</f>
        <v/>
      </c>
      <c r="D5440" t="str">
        <f>IFERROR(__xludf.DUMMYFUNCTION("""COMPUTED_VALUE"""),"")</f>
        <v/>
      </c>
      <c r="E5440" t="str">
        <f>IFERROR(__xludf.DUMMYFUNCTION("""COMPUTED_VALUE"""),"")</f>
        <v/>
      </c>
      <c r="F5440" t="str">
        <f>IFERROR(__xludf.DUMMYFUNCTION("""COMPUTED_VALUE"""),"")</f>
        <v/>
      </c>
      <c r="G5440" t="str">
        <f>IFERROR(__xludf.DUMMYFUNCTION("""COMPUTED_VALUE"""),"")</f>
        <v/>
      </c>
      <c r="H5440" s="2" t="str">
        <f>IFERROR(__xludf.DUMMYFUNCTION("""COMPUTED_VALUE"""),"")</f>
        <v/>
      </c>
      <c r="I5440" s="2" t="str">
        <f>IFERROR(__xludf.DUMMYFUNCTION("""COMPUTED_VALUE"""),"")</f>
        <v/>
      </c>
      <c r="J5440" s="2">
        <f>IFERROR(__xludf.DUMMYFUNCTION("""COMPUTED_VALUE"""),0.0)</f>
        <v>0</v>
      </c>
      <c r="K5440" s="5" t="str">
        <f>IFERROR(__xludf.DUMMYFUNCTION("""COMPUTED_VALUE"""),"")</f>
        <v/>
      </c>
      <c r="L5440" t="str">
        <f>IFERROR(__xludf.DUMMYFUNCTION("""COMPUTED_VALUE"""),"")</f>
        <v/>
      </c>
      <c r="M5440" t="str">
        <f>IFERROR(__xludf.DUMMYFUNCTION("""COMPUTED_VALUE"""),"")</f>
        <v/>
      </c>
      <c r="N5440" t="str">
        <f>IFERROR(__xludf.DUMMYFUNCTION("""COMPUTED_VALUE"""),"")</f>
        <v/>
      </c>
      <c r="O5440" t="str">
        <f>IFERROR(__xludf.DUMMYFUNCTION("""COMPUTED_VALUE"""),"")</f>
        <v/>
      </c>
      <c r="P5440" t="str">
        <f>IFERROR(__xludf.DUMMYFUNCTION("""COMPUTED_VALUE"""),"ID ")</f>
        <v>ID </v>
      </c>
    </row>
    <row r="5441">
      <c r="A5441" s="6" t="str">
        <f>IFERROR(__xludf.DUMMYFUNCTION("""COMPUTED_VALUE"""),"")</f>
        <v/>
      </c>
      <c r="C5441" t="str">
        <f>IFERROR(__xludf.DUMMYFUNCTION("""COMPUTED_VALUE"""),"")</f>
        <v/>
      </c>
      <c r="D5441" t="str">
        <f>IFERROR(__xludf.DUMMYFUNCTION("""COMPUTED_VALUE"""),"")</f>
        <v/>
      </c>
      <c r="E5441" t="str">
        <f>IFERROR(__xludf.DUMMYFUNCTION("""COMPUTED_VALUE"""),"")</f>
        <v/>
      </c>
      <c r="F5441" t="str">
        <f>IFERROR(__xludf.DUMMYFUNCTION("""COMPUTED_VALUE"""),"")</f>
        <v/>
      </c>
      <c r="G5441" t="str">
        <f>IFERROR(__xludf.DUMMYFUNCTION("""COMPUTED_VALUE"""),"")</f>
        <v/>
      </c>
      <c r="H5441" s="2" t="str">
        <f>IFERROR(__xludf.DUMMYFUNCTION("""COMPUTED_VALUE"""),"")</f>
        <v/>
      </c>
      <c r="I5441" s="2" t="str">
        <f>IFERROR(__xludf.DUMMYFUNCTION("""COMPUTED_VALUE"""),"")</f>
        <v/>
      </c>
      <c r="J5441" s="2">
        <f>IFERROR(__xludf.DUMMYFUNCTION("""COMPUTED_VALUE"""),0.0)</f>
        <v>0</v>
      </c>
      <c r="K5441" s="5" t="str">
        <f>IFERROR(__xludf.DUMMYFUNCTION("""COMPUTED_VALUE"""),"")</f>
        <v/>
      </c>
      <c r="L5441" t="str">
        <f>IFERROR(__xludf.DUMMYFUNCTION("""COMPUTED_VALUE"""),"")</f>
        <v/>
      </c>
      <c r="M5441" t="str">
        <f>IFERROR(__xludf.DUMMYFUNCTION("""COMPUTED_VALUE"""),"")</f>
        <v/>
      </c>
      <c r="N5441" t="str">
        <f>IFERROR(__xludf.DUMMYFUNCTION("""COMPUTED_VALUE"""),"")</f>
        <v/>
      </c>
      <c r="O5441" t="str">
        <f>IFERROR(__xludf.DUMMYFUNCTION("""COMPUTED_VALUE"""),"")</f>
        <v/>
      </c>
      <c r="P5441" t="str">
        <f>IFERROR(__xludf.DUMMYFUNCTION("""COMPUTED_VALUE"""),"ID ")</f>
        <v>ID </v>
      </c>
    </row>
    <row r="5442">
      <c r="A5442" s="6" t="str">
        <f>IFERROR(__xludf.DUMMYFUNCTION("""COMPUTED_VALUE"""),"")</f>
        <v/>
      </c>
      <c r="C5442" t="str">
        <f>IFERROR(__xludf.DUMMYFUNCTION("""COMPUTED_VALUE"""),"")</f>
        <v/>
      </c>
      <c r="D5442" t="str">
        <f>IFERROR(__xludf.DUMMYFUNCTION("""COMPUTED_VALUE"""),"")</f>
        <v/>
      </c>
      <c r="E5442" t="str">
        <f>IFERROR(__xludf.DUMMYFUNCTION("""COMPUTED_VALUE"""),"")</f>
        <v/>
      </c>
      <c r="F5442" t="str">
        <f>IFERROR(__xludf.DUMMYFUNCTION("""COMPUTED_VALUE"""),"")</f>
        <v/>
      </c>
      <c r="G5442" t="str">
        <f>IFERROR(__xludf.DUMMYFUNCTION("""COMPUTED_VALUE"""),"")</f>
        <v/>
      </c>
      <c r="H5442" s="2" t="str">
        <f>IFERROR(__xludf.DUMMYFUNCTION("""COMPUTED_VALUE"""),"")</f>
        <v/>
      </c>
      <c r="I5442" s="2" t="str">
        <f>IFERROR(__xludf.DUMMYFUNCTION("""COMPUTED_VALUE"""),"")</f>
        <v/>
      </c>
      <c r="J5442" s="2">
        <f>IFERROR(__xludf.DUMMYFUNCTION("""COMPUTED_VALUE"""),0.0)</f>
        <v>0</v>
      </c>
      <c r="K5442" s="5" t="str">
        <f>IFERROR(__xludf.DUMMYFUNCTION("""COMPUTED_VALUE"""),"")</f>
        <v/>
      </c>
      <c r="L5442" t="str">
        <f>IFERROR(__xludf.DUMMYFUNCTION("""COMPUTED_VALUE"""),"")</f>
        <v/>
      </c>
      <c r="M5442" t="str">
        <f>IFERROR(__xludf.DUMMYFUNCTION("""COMPUTED_VALUE"""),"")</f>
        <v/>
      </c>
      <c r="N5442" t="str">
        <f>IFERROR(__xludf.DUMMYFUNCTION("""COMPUTED_VALUE"""),"")</f>
        <v/>
      </c>
      <c r="O5442" t="str">
        <f>IFERROR(__xludf.DUMMYFUNCTION("""COMPUTED_VALUE"""),"")</f>
        <v/>
      </c>
      <c r="P5442" t="str">
        <f>IFERROR(__xludf.DUMMYFUNCTION("""COMPUTED_VALUE"""),"ID ")</f>
        <v>ID </v>
      </c>
    </row>
    <row r="5443">
      <c r="A5443" s="6" t="str">
        <f>IFERROR(__xludf.DUMMYFUNCTION("""COMPUTED_VALUE"""),"")</f>
        <v/>
      </c>
      <c r="C5443" t="str">
        <f>IFERROR(__xludf.DUMMYFUNCTION("""COMPUTED_VALUE"""),"")</f>
        <v/>
      </c>
      <c r="D5443" t="str">
        <f>IFERROR(__xludf.DUMMYFUNCTION("""COMPUTED_VALUE"""),"")</f>
        <v/>
      </c>
      <c r="E5443" t="str">
        <f>IFERROR(__xludf.DUMMYFUNCTION("""COMPUTED_VALUE"""),"")</f>
        <v/>
      </c>
      <c r="F5443" t="str">
        <f>IFERROR(__xludf.DUMMYFUNCTION("""COMPUTED_VALUE"""),"")</f>
        <v/>
      </c>
      <c r="G5443" t="str">
        <f>IFERROR(__xludf.DUMMYFUNCTION("""COMPUTED_VALUE"""),"")</f>
        <v/>
      </c>
      <c r="H5443" s="2" t="str">
        <f>IFERROR(__xludf.DUMMYFUNCTION("""COMPUTED_VALUE"""),"")</f>
        <v/>
      </c>
      <c r="I5443" s="2" t="str">
        <f>IFERROR(__xludf.DUMMYFUNCTION("""COMPUTED_VALUE"""),"")</f>
        <v/>
      </c>
      <c r="J5443" s="2">
        <f>IFERROR(__xludf.DUMMYFUNCTION("""COMPUTED_VALUE"""),0.0)</f>
        <v>0</v>
      </c>
      <c r="K5443" s="5" t="str">
        <f>IFERROR(__xludf.DUMMYFUNCTION("""COMPUTED_VALUE"""),"")</f>
        <v/>
      </c>
      <c r="L5443" t="str">
        <f>IFERROR(__xludf.DUMMYFUNCTION("""COMPUTED_VALUE"""),"")</f>
        <v/>
      </c>
      <c r="M5443" t="str">
        <f>IFERROR(__xludf.DUMMYFUNCTION("""COMPUTED_VALUE"""),"")</f>
        <v/>
      </c>
      <c r="N5443" t="str">
        <f>IFERROR(__xludf.DUMMYFUNCTION("""COMPUTED_VALUE"""),"")</f>
        <v/>
      </c>
      <c r="O5443" t="str">
        <f>IFERROR(__xludf.DUMMYFUNCTION("""COMPUTED_VALUE"""),"")</f>
        <v/>
      </c>
      <c r="P5443" t="str">
        <f>IFERROR(__xludf.DUMMYFUNCTION("""COMPUTED_VALUE"""),"ID ")</f>
        <v>ID </v>
      </c>
    </row>
    <row r="5444">
      <c r="A5444" s="6" t="str">
        <f>IFERROR(__xludf.DUMMYFUNCTION("""COMPUTED_VALUE"""),"")</f>
        <v/>
      </c>
      <c r="C5444" t="str">
        <f>IFERROR(__xludf.DUMMYFUNCTION("""COMPUTED_VALUE"""),"")</f>
        <v/>
      </c>
      <c r="D5444" t="str">
        <f>IFERROR(__xludf.DUMMYFUNCTION("""COMPUTED_VALUE"""),"")</f>
        <v/>
      </c>
      <c r="E5444" t="str">
        <f>IFERROR(__xludf.DUMMYFUNCTION("""COMPUTED_VALUE"""),"")</f>
        <v/>
      </c>
      <c r="F5444" t="str">
        <f>IFERROR(__xludf.DUMMYFUNCTION("""COMPUTED_VALUE"""),"")</f>
        <v/>
      </c>
      <c r="G5444" t="str">
        <f>IFERROR(__xludf.DUMMYFUNCTION("""COMPUTED_VALUE"""),"")</f>
        <v/>
      </c>
      <c r="H5444" s="2" t="str">
        <f>IFERROR(__xludf.DUMMYFUNCTION("""COMPUTED_VALUE"""),"")</f>
        <v/>
      </c>
      <c r="I5444" s="2" t="str">
        <f>IFERROR(__xludf.DUMMYFUNCTION("""COMPUTED_VALUE"""),"")</f>
        <v/>
      </c>
      <c r="J5444" s="2">
        <f>IFERROR(__xludf.DUMMYFUNCTION("""COMPUTED_VALUE"""),0.0)</f>
        <v>0</v>
      </c>
      <c r="K5444" s="5" t="str">
        <f>IFERROR(__xludf.DUMMYFUNCTION("""COMPUTED_VALUE"""),"")</f>
        <v/>
      </c>
      <c r="L5444" t="str">
        <f>IFERROR(__xludf.DUMMYFUNCTION("""COMPUTED_VALUE"""),"")</f>
        <v/>
      </c>
      <c r="M5444" t="str">
        <f>IFERROR(__xludf.DUMMYFUNCTION("""COMPUTED_VALUE"""),"")</f>
        <v/>
      </c>
      <c r="N5444" t="str">
        <f>IFERROR(__xludf.DUMMYFUNCTION("""COMPUTED_VALUE"""),"")</f>
        <v/>
      </c>
      <c r="O5444" t="str">
        <f>IFERROR(__xludf.DUMMYFUNCTION("""COMPUTED_VALUE"""),"")</f>
        <v/>
      </c>
      <c r="P5444" t="str">
        <f>IFERROR(__xludf.DUMMYFUNCTION("""COMPUTED_VALUE"""),"ID ")</f>
        <v>ID </v>
      </c>
    </row>
    <row r="5445">
      <c r="A5445" s="6" t="str">
        <f>IFERROR(__xludf.DUMMYFUNCTION("""COMPUTED_VALUE"""),"")</f>
        <v/>
      </c>
      <c r="C5445" t="str">
        <f>IFERROR(__xludf.DUMMYFUNCTION("""COMPUTED_VALUE"""),"")</f>
        <v/>
      </c>
      <c r="D5445" t="str">
        <f>IFERROR(__xludf.DUMMYFUNCTION("""COMPUTED_VALUE"""),"")</f>
        <v/>
      </c>
      <c r="E5445" t="str">
        <f>IFERROR(__xludf.DUMMYFUNCTION("""COMPUTED_VALUE"""),"")</f>
        <v/>
      </c>
      <c r="F5445" t="str">
        <f>IFERROR(__xludf.DUMMYFUNCTION("""COMPUTED_VALUE"""),"")</f>
        <v/>
      </c>
      <c r="G5445" t="str">
        <f>IFERROR(__xludf.DUMMYFUNCTION("""COMPUTED_VALUE"""),"")</f>
        <v/>
      </c>
      <c r="H5445" s="2" t="str">
        <f>IFERROR(__xludf.DUMMYFUNCTION("""COMPUTED_VALUE"""),"")</f>
        <v/>
      </c>
      <c r="I5445" s="2" t="str">
        <f>IFERROR(__xludf.DUMMYFUNCTION("""COMPUTED_VALUE"""),"")</f>
        <v/>
      </c>
      <c r="J5445" s="2">
        <f>IFERROR(__xludf.DUMMYFUNCTION("""COMPUTED_VALUE"""),0.0)</f>
        <v>0</v>
      </c>
      <c r="K5445" s="5" t="str">
        <f>IFERROR(__xludf.DUMMYFUNCTION("""COMPUTED_VALUE"""),"")</f>
        <v/>
      </c>
      <c r="L5445" t="str">
        <f>IFERROR(__xludf.DUMMYFUNCTION("""COMPUTED_VALUE"""),"")</f>
        <v/>
      </c>
      <c r="M5445" t="str">
        <f>IFERROR(__xludf.DUMMYFUNCTION("""COMPUTED_VALUE"""),"")</f>
        <v/>
      </c>
      <c r="N5445" t="str">
        <f>IFERROR(__xludf.DUMMYFUNCTION("""COMPUTED_VALUE"""),"")</f>
        <v/>
      </c>
      <c r="O5445" t="str">
        <f>IFERROR(__xludf.DUMMYFUNCTION("""COMPUTED_VALUE"""),"")</f>
        <v/>
      </c>
      <c r="P5445" t="str">
        <f>IFERROR(__xludf.DUMMYFUNCTION("""COMPUTED_VALUE"""),"ID ")</f>
        <v>ID </v>
      </c>
    </row>
    <row r="5446">
      <c r="A5446" s="6" t="str">
        <f>IFERROR(__xludf.DUMMYFUNCTION("""COMPUTED_VALUE"""),"")</f>
        <v/>
      </c>
      <c r="C5446" t="str">
        <f>IFERROR(__xludf.DUMMYFUNCTION("""COMPUTED_VALUE"""),"")</f>
        <v/>
      </c>
      <c r="D5446" t="str">
        <f>IFERROR(__xludf.DUMMYFUNCTION("""COMPUTED_VALUE"""),"")</f>
        <v/>
      </c>
      <c r="E5446" t="str">
        <f>IFERROR(__xludf.DUMMYFUNCTION("""COMPUTED_VALUE"""),"")</f>
        <v/>
      </c>
      <c r="F5446" t="str">
        <f>IFERROR(__xludf.DUMMYFUNCTION("""COMPUTED_VALUE"""),"")</f>
        <v/>
      </c>
      <c r="G5446" t="str">
        <f>IFERROR(__xludf.DUMMYFUNCTION("""COMPUTED_VALUE"""),"")</f>
        <v/>
      </c>
      <c r="H5446" s="2" t="str">
        <f>IFERROR(__xludf.DUMMYFUNCTION("""COMPUTED_VALUE"""),"")</f>
        <v/>
      </c>
      <c r="I5446" s="2" t="str">
        <f>IFERROR(__xludf.DUMMYFUNCTION("""COMPUTED_VALUE"""),"")</f>
        <v/>
      </c>
      <c r="J5446" s="2">
        <f>IFERROR(__xludf.DUMMYFUNCTION("""COMPUTED_VALUE"""),0.0)</f>
        <v>0</v>
      </c>
      <c r="K5446" s="5" t="str">
        <f>IFERROR(__xludf.DUMMYFUNCTION("""COMPUTED_VALUE"""),"")</f>
        <v/>
      </c>
      <c r="L5446" t="str">
        <f>IFERROR(__xludf.DUMMYFUNCTION("""COMPUTED_VALUE"""),"")</f>
        <v/>
      </c>
      <c r="M5446" t="str">
        <f>IFERROR(__xludf.DUMMYFUNCTION("""COMPUTED_VALUE"""),"")</f>
        <v/>
      </c>
      <c r="N5446" t="str">
        <f>IFERROR(__xludf.DUMMYFUNCTION("""COMPUTED_VALUE"""),"")</f>
        <v/>
      </c>
      <c r="O5446" t="str">
        <f>IFERROR(__xludf.DUMMYFUNCTION("""COMPUTED_VALUE"""),"")</f>
        <v/>
      </c>
      <c r="P5446" t="str">
        <f>IFERROR(__xludf.DUMMYFUNCTION("""COMPUTED_VALUE"""),"ID ")</f>
        <v>ID </v>
      </c>
    </row>
    <row r="5447">
      <c r="A5447" s="6" t="str">
        <f>IFERROR(__xludf.DUMMYFUNCTION("""COMPUTED_VALUE"""),"")</f>
        <v/>
      </c>
      <c r="C5447" t="str">
        <f>IFERROR(__xludf.DUMMYFUNCTION("""COMPUTED_VALUE"""),"")</f>
        <v/>
      </c>
      <c r="D5447" t="str">
        <f>IFERROR(__xludf.DUMMYFUNCTION("""COMPUTED_VALUE"""),"")</f>
        <v/>
      </c>
      <c r="E5447" t="str">
        <f>IFERROR(__xludf.DUMMYFUNCTION("""COMPUTED_VALUE"""),"")</f>
        <v/>
      </c>
      <c r="F5447" t="str">
        <f>IFERROR(__xludf.DUMMYFUNCTION("""COMPUTED_VALUE"""),"")</f>
        <v/>
      </c>
      <c r="G5447" t="str">
        <f>IFERROR(__xludf.DUMMYFUNCTION("""COMPUTED_VALUE"""),"")</f>
        <v/>
      </c>
      <c r="H5447" s="2" t="str">
        <f>IFERROR(__xludf.DUMMYFUNCTION("""COMPUTED_VALUE"""),"")</f>
        <v/>
      </c>
      <c r="I5447" s="2" t="str">
        <f>IFERROR(__xludf.DUMMYFUNCTION("""COMPUTED_VALUE"""),"")</f>
        <v/>
      </c>
      <c r="J5447" s="2">
        <f>IFERROR(__xludf.DUMMYFUNCTION("""COMPUTED_VALUE"""),0.0)</f>
        <v>0</v>
      </c>
      <c r="K5447" s="5" t="str">
        <f>IFERROR(__xludf.DUMMYFUNCTION("""COMPUTED_VALUE"""),"")</f>
        <v/>
      </c>
      <c r="L5447" t="str">
        <f>IFERROR(__xludf.DUMMYFUNCTION("""COMPUTED_VALUE"""),"")</f>
        <v/>
      </c>
      <c r="M5447" t="str">
        <f>IFERROR(__xludf.DUMMYFUNCTION("""COMPUTED_VALUE"""),"")</f>
        <v/>
      </c>
      <c r="N5447" t="str">
        <f>IFERROR(__xludf.DUMMYFUNCTION("""COMPUTED_VALUE"""),"")</f>
        <v/>
      </c>
      <c r="O5447" t="str">
        <f>IFERROR(__xludf.DUMMYFUNCTION("""COMPUTED_VALUE"""),"")</f>
        <v/>
      </c>
      <c r="P5447" t="str">
        <f>IFERROR(__xludf.DUMMYFUNCTION("""COMPUTED_VALUE"""),"ID ")</f>
        <v>ID </v>
      </c>
    </row>
    <row r="5448">
      <c r="A5448" s="6" t="str">
        <f>IFERROR(__xludf.DUMMYFUNCTION("""COMPUTED_VALUE"""),"")</f>
        <v/>
      </c>
      <c r="C5448" t="str">
        <f>IFERROR(__xludf.DUMMYFUNCTION("""COMPUTED_VALUE"""),"")</f>
        <v/>
      </c>
      <c r="D5448" t="str">
        <f>IFERROR(__xludf.DUMMYFUNCTION("""COMPUTED_VALUE"""),"")</f>
        <v/>
      </c>
      <c r="E5448" t="str">
        <f>IFERROR(__xludf.DUMMYFUNCTION("""COMPUTED_VALUE"""),"")</f>
        <v/>
      </c>
      <c r="F5448" t="str">
        <f>IFERROR(__xludf.DUMMYFUNCTION("""COMPUTED_VALUE"""),"")</f>
        <v/>
      </c>
      <c r="G5448" t="str">
        <f>IFERROR(__xludf.DUMMYFUNCTION("""COMPUTED_VALUE"""),"")</f>
        <v/>
      </c>
      <c r="H5448" s="2" t="str">
        <f>IFERROR(__xludf.DUMMYFUNCTION("""COMPUTED_VALUE"""),"")</f>
        <v/>
      </c>
      <c r="I5448" s="2" t="str">
        <f>IFERROR(__xludf.DUMMYFUNCTION("""COMPUTED_VALUE"""),"")</f>
        <v/>
      </c>
      <c r="J5448" s="2">
        <f>IFERROR(__xludf.DUMMYFUNCTION("""COMPUTED_VALUE"""),0.0)</f>
        <v>0</v>
      </c>
      <c r="K5448" s="5" t="str">
        <f>IFERROR(__xludf.DUMMYFUNCTION("""COMPUTED_VALUE"""),"")</f>
        <v/>
      </c>
      <c r="L5448" t="str">
        <f>IFERROR(__xludf.DUMMYFUNCTION("""COMPUTED_VALUE"""),"")</f>
        <v/>
      </c>
      <c r="M5448" t="str">
        <f>IFERROR(__xludf.DUMMYFUNCTION("""COMPUTED_VALUE"""),"")</f>
        <v/>
      </c>
      <c r="N5448" t="str">
        <f>IFERROR(__xludf.DUMMYFUNCTION("""COMPUTED_VALUE"""),"")</f>
        <v/>
      </c>
      <c r="O5448" t="str">
        <f>IFERROR(__xludf.DUMMYFUNCTION("""COMPUTED_VALUE"""),"")</f>
        <v/>
      </c>
      <c r="P5448" t="str">
        <f>IFERROR(__xludf.DUMMYFUNCTION("""COMPUTED_VALUE"""),"ID ")</f>
        <v>ID </v>
      </c>
    </row>
    <row r="5449">
      <c r="A5449" s="6" t="str">
        <f>IFERROR(__xludf.DUMMYFUNCTION("""COMPUTED_VALUE"""),"")</f>
        <v/>
      </c>
      <c r="C5449" t="str">
        <f>IFERROR(__xludf.DUMMYFUNCTION("""COMPUTED_VALUE"""),"")</f>
        <v/>
      </c>
      <c r="D5449" t="str">
        <f>IFERROR(__xludf.DUMMYFUNCTION("""COMPUTED_VALUE"""),"")</f>
        <v/>
      </c>
      <c r="E5449" t="str">
        <f>IFERROR(__xludf.DUMMYFUNCTION("""COMPUTED_VALUE"""),"")</f>
        <v/>
      </c>
      <c r="F5449" t="str">
        <f>IFERROR(__xludf.DUMMYFUNCTION("""COMPUTED_VALUE"""),"")</f>
        <v/>
      </c>
      <c r="G5449" t="str">
        <f>IFERROR(__xludf.DUMMYFUNCTION("""COMPUTED_VALUE"""),"")</f>
        <v/>
      </c>
      <c r="H5449" s="2" t="str">
        <f>IFERROR(__xludf.DUMMYFUNCTION("""COMPUTED_VALUE"""),"")</f>
        <v/>
      </c>
      <c r="I5449" s="2" t="str">
        <f>IFERROR(__xludf.DUMMYFUNCTION("""COMPUTED_VALUE"""),"")</f>
        <v/>
      </c>
      <c r="J5449" s="2">
        <f>IFERROR(__xludf.DUMMYFUNCTION("""COMPUTED_VALUE"""),0.0)</f>
        <v>0</v>
      </c>
      <c r="K5449" s="5" t="str">
        <f>IFERROR(__xludf.DUMMYFUNCTION("""COMPUTED_VALUE"""),"")</f>
        <v/>
      </c>
      <c r="L5449" t="str">
        <f>IFERROR(__xludf.DUMMYFUNCTION("""COMPUTED_VALUE"""),"")</f>
        <v/>
      </c>
      <c r="M5449" t="str">
        <f>IFERROR(__xludf.DUMMYFUNCTION("""COMPUTED_VALUE"""),"")</f>
        <v/>
      </c>
      <c r="N5449" t="str">
        <f>IFERROR(__xludf.DUMMYFUNCTION("""COMPUTED_VALUE"""),"")</f>
        <v/>
      </c>
      <c r="O5449" t="str">
        <f>IFERROR(__xludf.DUMMYFUNCTION("""COMPUTED_VALUE"""),"")</f>
        <v/>
      </c>
      <c r="P5449" t="str">
        <f>IFERROR(__xludf.DUMMYFUNCTION("""COMPUTED_VALUE"""),"ID ")</f>
        <v>ID </v>
      </c>
    </row>
    <row r="5450">
      <c r="A5450" s="6" t="str">
        <f>IFERROR(__xludf.DUMMYFUNCTION("""COMPUTED_VALUE"""),"")</f>
        <v/>
      </c>
      <c r="C5450" t="str">
        <f>IFERROR(__xludf.DUMMYFUNCTION("""COMPUTED_VALUE"""),"")</f>
        <v/>
      </c>
      <c r="D5450" t="str">
        <f>IFERROR(__xludf.DUMMYFUNCTION("""COMPUTED_VALUE"""),"")</f>
        <v/>
      </c>
      <c r="E5450" t="str">
        <f>IFERROR(__xludf.DUMMYFUNCTION("""COMPUTED_VALUE"""),"")</f>
        <v/>
      </c>
      <c r="F5450" t="str">
        <f>IFERROR(__xludf.DUMMYFUNCTION("""COMPUTED_VALUE"""),"")</f>
        <v/>
      </c>
      <c r="G5450" t="str">
        <f>IFERROR(__xludf.DUMMYFUNCTION("""COMPUTED_VALUE"""),"")</f>
        <v/>
      </c>
      <c r="H5450" s="2" t="str">
        <f>IFERROR(__xludf.DUMMYFUNCTION("""COMPUTED_VALUE"""),"")</f>
        <v/>
      </c>
      <c r="I5450" s="2" t="str">
        <f>IFERROR(__xludf.DUMMYFUNCTION("""COMPUTED_VALUE"""),"")</f>
        <v/>
      </c>
      <c r="J5450" s="2">
        <f>IFERROR(__xludf.DUMMYFUNCTION("""COMPUTED_VALUE"""),0.0)</f>
        <v>0</v>
      </c>
      <c r="K5450" s="5" t="str">
        <f>IFERROR(__xludf.DUMMYFUNCTION("""COMPUTED_VALUE"""),"")</f>
        <v/>
      </c>
      <c r="L5450" t="str">
        <f>IFERROR(__xludf.DUMMYFUNCTION("""COMPUTED_VALUE"""),"")</f>
        <v/>
      </c>
      <c r="M5450" t="str">
        <f>IFERROR(__xludf.DUMMYFUNCTION("""COMPUTED_VALUE"""),"")</f>
        <v/>
      </c>
      <c r="N5450" t="str">
        <f>IFERROR(__xludf.DUMMYFUNCTION("""COMPUTED_VALUE"""),"")</f>
        <v/>
      </c>
      <c r="O5450" t="str">
        <f>IFERROR(__xludf.DUMMYFUNCTION("""COMPUTED_VALUE"""),"")</f>
        <v/>
      </c>
      <c r="P5450" t="str">
        <f>IFERROR(__xludf.DUMMYFUNCTION("""COMPUTED_VALUE"""),"ID ")</f>
        <v>ID </v>
      </c>
    </row>
    <row r="5451">
      <c r="A5451" s="6" t="str">
        <f>IFERROR(__xludf.DUMMYFUNCTION("""COMPUTED_VALUE"""),"")</f>
        <v/>
      </c>
      <c r="C5451" t="str">
        <f>IFERROR(__xludf.DUMMYFUNCTION("""COMPUTED_VALUE"""),"")</f>
        <v/>
      </c>
      <c r="D5451" t="str">
        <f>IFERROR(__xludf.DUMMYFUNCTION("""COMPUTED_VALUE"""),"")</f>
        <v/>
      </c>
      <c r="E5451" t="str">
        <f>IFERROR(__xludf.DUMMYFUNCTION("""COMPUTED_VALUE"""),"")</f>
        <v/>
      </c>
      <c r="F5451" t="str">
        <f>IFERROR(__xludf.DUMMYFUNCTION("""COMPUTED_VALUE"""),"")</f>
        <v/>
      </c>
      <c r="G5451" t="str">
        <f>IFERROR(__xludf.DUMMYFUNCTION("""COMPUTED_VALUE"""),"")</f>
        <v/>
      </c>
      <c r="H5451" s="2" t="str">
        <f>IFERROR(__xludf.DUMMYFUNCTION("""COMPUTED_VALUE"""),"")</f>
        <v/>
      </c>
      <c r="I5451" s="2" t="str">
        <f>IFERROR(__xludf.DUMMYFUNCTION("""COMPUTED_VALUE"""),"")</f>
        <v/>
      </c>
      <c r="J5451" s="2">
        <f>IFERROR(__xludf.DUMMYFUNCTION("""COMPUTED_VALUE"""),0.0)</f>
        <v>0</v>
      </c>
      <c r="K5451" s="5" t="str">
        <f>IFERROR(__xludf.DUMMYFUNCTION("""COMPUTED_VALUE"""),"")</f>
        <v/>
      </c>
      <c r="L5451" t="str">
        <f>IFERROR(__xludf.DUMMYFUNCTION("""COMPUTED_VALUE"""),"")</f>
        <v/>
      </c>
      <c r="M5451" t="str">
        <f>IFERROR(__xludf.DUMMYFUNCTION("""COMPUTED_VALUE"""),"")</f>
        <v/>
      </c>
      <c r="N5451" t="str">
        <f>IFERROR(__xludf.DUMMYFUNCTION("""COMPUTED_VALUE"""),"")</f>
        <v/>
      </c>
      <c r="O5451" t="str">
        <f>IFERROR(__xludf.DUMMYFUNCTION("""COMPUTED_VALUE"""),"")</f>
        <v/>
      </c>
      <c r="P5451" t="str">
        <f>IFERROR(__xludf.DUMMYFUNCTION("""COMPUTED_VALUE"""),"ID ")</f>
        <v>ID </v>
      </c>
    </row>
    <row r="5452">
      <c r="A5452" s="6" t="str">
        <f>IFERROR(__xludf.DUMMYFUNCTION("""COMPUTED_VALUE"""),"")</f>
        <v/>
      </c>
      <c r="C5452" t="str">
        <f>IFERROR(__xludf.DUMMYFUNCTION("""COMPUTED_VALUE"""),"")</f>
        <v/>
      </c>
      <c r="D5452" t="str">
        <f>IFERROR(__xludf.DUMMYFUNCTION("""COMPUTED_VALUE"""),"")</f>
        <v/>
      </c>
      <c r="E5452" t="str">
        <f>IFERROR(__xludf.DUMMYFUNCTION("""COMPUTED_VALUE"""),"")</f>
        <v/>
      </c>
      <c r="F5452" t="str">
        <f>IFERROR(__xludf.DUMMYFUNCTION("""COMPUTED_VALUE"""),"")</f>
        <v/>
      </c>
      <c r="G5452" t="str">
        <f>IFERROR(__xludf.DUMMYFUNCTION("""COMPUTED_VALUE"""),"")</f>
        <v/>
      </c>
      <c r="H5452" s="2" t="str">
        <f>IFERROR(__xludf.DUMMYFUNCTION("""COMPUTED_VALUE"""),"")</f>
        <v/>
      </c>
      <c r="I5452" s="2" t="str">
        <f>IFERROR(__xludf.DUMMYFUNCTION("""COMPUTED_VALUE"""),"")</f>
        <v/>
      </c>
      <c r="J5452" s="2">
        <f>IFERROR(__xludf.DUMMYFUNCTION("""COMPUTED_VALUE"""),0.0)</f>
        <v>0</v>
      </c>
      <c r="K5452" s="5" t="str">
        <f>IFERROR(__xludf.DUMMYFUNCTION("""COMPUTED_VALUE"""),"")</f>
        <v/>
      </c>
      <c r="L5452" t="str">
        <f>IFERROR(__xludf.DUMMYFUNCTION("""COMPUTED_VALUE"""),"")</f>
        <v/>
      </c>
      <c r="M5452" t="str">
        <f>IFERROR(__xludf.DUMMYFUNCTION("""COMPUTED_VALUE"""),"")</f>
        <v/>
      </c>
      <c r="N5452" t="str">
        <f>IFERROR(__xludf.DUMMYFUNCTION("""COMPUTED_VALUE"""),"")</f>
        <v/>
      </c>
      <c r="O5452" t="str">
        <f>IFERROR(__xludf.DUMMYFUNCTION("""COMPUTED_VALUE"""),"")</f>
        <v/>
      </c>
      <c r="P5452" t="str">
        <f>IFERROR(__xludf.DUMMYFUNCTION("""COMPUTED_VALUE"""),"ID ")</f>
        <v>ID </v>
      </c>
    </row>
    <row r="5453">
      <c r="A5453" s="6" t="str">
        <f>IFERROR(__xludf.DUMMYFUNCTION("""COMPUTED_VALUE"""),"")</f>
        <v/>
      </c>
      <c r="C5453" t="str">
        <f>IFERROR(__xludf.DUMMYFUNCTION("""COMPUTED_VALUE"""),"")</f>
        <v/>
      </c>
      <c r="D5453" t="str">
        <f>IFERROR(__xludf.DUMMYFUNCTION("""COMPUTED_VALUE"""),"")</f>
        <v/>
      </c>
      <c r="E5453" t="str">
        <f>IFERROR(__xludf.DUMMYFUNCTION("""COMPUTED_VALUE"""),"")</f>
        <v/>
      </c>
      <c r="F5453" t="str">
        <f>IFERROR(__xludf.DUMMYFUNCTION("""COMPUTED_VALUE"""),"")</f>
        <v/>
      </c>
      <c r="G5453" t="str">
        <f>IFERROR(__xludf.DUMMYFUNCTION("""COMPUTED_VALUE"""),"")</f>
        <v/>
      </c>
      <c r="H5453" s="2" t="str">
        <f>IFERROR(__xludf.DUMMYFUNCTION("""COMPUTED_VALUE"""),"")</f>
        <v/>
      </c>
      <c r="I5453" s="2" t="str">
        <f>IFERROR(__xludf.DUMMYFUNCTION("""COMPUTED_VALUE"""),"")</f>
        <v/>
      </c>
      <c r="J5453" s="2">
        <f>IFERROR(__xludf.DUMMYFUNCTION("""COMPUTED_VALUE"""),0.0)</f>
        <v>0</v>
      </c>
      <c r="K5453" s="5" t="str">
        <f>IFERROR(__xludf.DUMMYFUNCTION("""COMPUTED_VALUE"""),"")</f>
        <v/>
      </c>
      <c r="L5453" t="str">
        <f>IFERROR(__xludf.DUMMYFUNCTION("""COMPUTED_VALUE"""),"")</f>
        <v/>
      </c>
      <c r="M5453" t="str">
        <f>IFERROR(__xludf.DUMMYFUNCTION("""COMPUTED_VALUE"""),"")</f>
        <v/>
      </c>
      <c r="N5453" t="str">
        <f>IFERROR(__xludf.DUMMYFUNCTION("""COMPUTED_VALUE"""),"")</f>
        <v/>
      </c>
      <c r="O5453" t="str">
        <f>IFERROR(__xludf.DUMMYFUNCTION("""COMPUTED_VALUE"""),"")</f>
        <v/>
      </c>
      <c r="P5453" t="str">
        <f>IFERROR(__xludf.DUMMYFUNCTION("""COMPUTED_VALUE"""),"ID ")</f>
        <v>ID </v>
      </c>
    </row>
    <row r="5454">
      <c r="A5454" s="6" t="str">
        <f>IFERROR(__xludf.DUMMYFUNCTION("""COMPUTED_VALUE"""),"")</f>
        <v/>
      </c>
      <c r="C5454" t="str">
        <f>IFERROR(__xludf.DUMMYFUNCTION("""COMPUTED_VALUE"""),"")</f>
        <v/>
      </c>
      <c r="D5454" t="str">
        <f>IFERROR(__xludf.DUMMYFUNCTION("""COMPUTED_VALUE"""),"")</f>
        <v/>
      </c>
      <c r="E5454" t="str">
        <f>IFERROR(__xludf.DUMMYFUNCTION("""COMPUTED_VALUE"""),"")</f>
        <v/>
      </c>
      <c r="F5454" t="str">
        <f>IFERROR(__xludf.DUMMYFUNCTION("""COMPUTED_VALUE"""),"")</f>
        <v/>
      </c>
      <c r="G5454" t="str">
        <f>IFERROR(__xludf.DUMMYFUNCTION("""COMPUTED_VALUE"""),"")</f>
        <v/>
      </c>
      <c r="H5454" s="2" t="str">
        <f>IFERROR(__xludf.DUMMYFUNCTION("""COMPUTED_VALUE"""),"")</f>
        <v/>
      </c>
      <c r="I5454" s="2" t="str">
        <f>IFERROR(__xludf.DUMMYFUNCTION("""COMPUTED_VALUE"""),"")</f>
        <v/>
      </c>
      <c r="J5454" s="2">
        <f>IFERROR(__xludf.DUMMYFUNCTION("""COMPUTED_VALUE"""),0.0)</f>
        <v>0</v>
      </c>
      <c r="K5454" s="5" t="str">
        <f>IFERROR(__xludf.DUMMYFUNCTION("""COMPUTED_VALUE"""),"")</f>
        <v/>
      </c>
      <c r="L5454" t="str">
        <f>IFERROR(__xludf.DUMMYFUNCTION("""COMPUTED_VALUE"""),"")</f>
        <v/>
      </c>
      <c r="M5454" t="str">
        <f>IFERROR(__xludf.DUMMYFUNCTION("""COMPUTED_VALUE"""),"")</f>
        <v/>
      </c>
      <c r="N5454" t="str">
        <f>IFERROR(__xludf.DUMMYFUNCTION("""COMPUTED_VALUE"""),"")</f>
        <v/>
      </c>
      <c r="O5454" t="str">
        <f>IFERROR(__xludf.DUMMYFUNCTION("""COMPUTED_VALUE"""),"")</f>
        <v/>
      </c>
      <c r="P5454" t="str">
        <f>IFERROR(__xludf.DUMMYFUNCTION("""COMPUTED_VALUE"""),"ID ")</f>
        <v>ID </v>
      </c>
    </row>
    <row r="5455">
      <c r="A5455" s="6" t="str">
        <f>IFERROR(__xludf.DUMMYFUNCTION("""COMPUTED_VALUE"""),"")</f>
        <v/>
      </c>
      <c r="C5455" t="str">
        <f>IFERROR(__xludf.DUMMYFUNCTION("""COMPUTED_VALUE"""),"")</f>
        <v/>
      </c>
      <c r="D5455" t="str">
        <f>IFERROR(__xludf.DUMMYFUNCTION("""COMPUTED_VALUE"""),"")</f>
        <v/>
      </c>
      <c r="E5455" t="str">
        <f>IFERROR(__xludf.DUMMYFUNCTION("""COMPUTED_VALUE"""),"")</f>
        <v/>
      </c>
      <c r="F5455" t="str">
        <f>IFERROR(__xludf.DUMMYFUNCTION("""COMPUTED_VALUE"""),"")</f>
        <v/>
      </c>
      <c r="G5455" t="str">
        <f>IFERROR(__xludf.DUMMYFUNCTION("""COMPUTED_VALUE"""),"")</f>
        <v/>
      </c>
      <c r="H5455" s="2" t="str">
        <f>IFERROR(__xludf.DUMMYFUNCTION("""COMPUTED_VALUE"""),"")</f>
        <v/>
      </c>
      <c r="I5455" s="2" t="str">
        <f>IFERROR(__xludf.DUMMYFUNCTION("""COMPUTED_VALUE"""),"")</f>
        <v/>
      </c>
      <c r="J5455" s="2">
        <f>IFERROR(__xludf.DUMMYFUNCTION("""COMPUTED_VALUE"""),0.0)</f>
        <v>0</v>
      </c>
      <c r="K5455" s="5" t="str">
        <f>IFERROR(__xludf.DUMMYFUNCTION("""COMPUTED_VALUE"""),"")</f>
        <v/>
      </c>
      <c r="L5455" t="str">
        <f>IFERROR(__xludf.DUMMYFUNCTION("""COMPUTED_VALUE"""),"")</f>
        <v/>
      </c>
      <c r="M5455" t="str">
        <f>IFERROR(__xludf.DUMMYFUNCTION("""COMPUTED_VALUE"""),"")</f>
        <v/>
      </c>
      <c r="N5455" t="str">
        <f>IFERROR(__xludf.DUMMYFUNCTION("""COMPUTED_VALUE"""),"")</f>
        <v/>
      </c>
      <c r="O5455" t="str">
        <f>IFERROR(__xludf.DUMMYFUNCTION("""COMPUTED_VALUE"""),"")</f>
        <v/>
      </c>
      <c r="P5455" t="str">
        <f>IFERROR(__xludf.DUMMYFUNCTION("""COMPUTED_VALUE"""),"ID ")</f>
        <v>ID </v>
      </c>
    </row>
    <row r="5456">
      <c r="A5456" s="6" t="str">
        <f>IFERROR(__xludf.DUMMYFUNCTION("""COMPUTED_VALUE"""),"")</f>
        <v/>
      </c>
      <c r="C5456" t="str">
        <f>IFERROR(__xludf.DUMMYFUNCTION("""COMPUTED_VALUE"""),"")</f>
        <v/>
      </c>
      <c r="D5456" t="str">
        <f>IFERROR(__xludf.DUMMYFUNCTION("""COMPUTED_VALUE"""),"")</f>
        <v/>
      </c>
      <c r="E5456" t="str">
        <f>IFERROR(__xludf.DUMMYFUNCTION("""COMPUTED_VALUE"""),"")</f>
        <v/>
      </c>
      <c r="F5456" t="str">
        <f>IFERROR(__xludf.DUMMYFUNCTION("""COMPUTED_VALUE"""),"")</f>
        <v/>
      </c>
      <c r="G5456" t="str">
        <f>IFERROR(__xludf.DUMMYFUNCTION("""COMPUTED_VALUE"""),"")</f>
        <v/>
      </c>
      <c r="H5456" s="2" t="str">
        <f>IFERROR(__xludf.DUMMYFUNCTION("""COMPUTED_VALUE"""),"")</f>
        <v/>
      </c>
      <c r="I5456" s="2" t="str">
        <f>IFERROR(__xludf.DUMMYFUNCTION("""COMPUTED_VALUE"""),"")</f>
        <v/>
      </c>
      <c r="J5456" s="2">
        <f>IFERROR(__xludf.DUMMYFUNCTION("""COMPUTED_VALUE"""),0.0)</f>
        <v>0</v>
      </c>
      <c r="K5456" s="5" t="str">
        <f>IFERROR(__xludf.DUMMYFUNCTION("""COMPUTED_VALUE"""),"")</f>
        <v/>
      </c>
      <c r="L5456" t="str">
        <f>IFERROR(__xludf.DUMMYFUNCTION("""COMPUTED_VALUE"""),"")</f>
        <v/>
      </c>
      <c r="M5456" t="str">
        <f>IFERROR(__xludf.DUMMYFUNCTION("""COMPUTED_VALUE"""),"")</f>
        <v/>
      </c>
      <c r="N5456" t="str">
        <f>IFERROR(__xludf.DUMMYFUNCTION("""COMPUTED_VALUE"""),"")</f>
        <v/>
      </c>
      <c r="O5456" t="str">
        <f>IFERROR(__xludf.DUMMYFUNCTION("""COMPUTED_VALUE"""),"")</f>
        <v/>
      </c>
      <c r="P5456" t="str">
        <f>IFERROR(__xludf.DUMMYFUNCTION("""COMPUTED_VALUE"""),"ID ")</f>
        <v>ID </v>
      </c>
    </row>
    <row r="5457">
      <c r="A5457" s="6" t="str">
        <f>IFERROR(__xludf.DUMMYFUNCTION("""COMPUTED_VALUE"""),"")</f>
        <v/>
      </c>
      <c r="C5457" t="str">
        <f>IFERROR(__xludf.DUMMYFUNCTION("""COMPUTED_VALUE"""),"")</f>
        <v/>
      </c>
      <c r="D5457" t="str">
        <f>IFERROR(__xludf.DUMMYFUNCTION("""COMPUTED_VALUE"""),"")</f>
        <v/>
      </c>
      <c r="E5457" t="str">
        <f>IFERROR(__xludf.DUMMYFUNCTION("""COMPUTED_VALUE"""),"")</f>
        <v/>
      </c>
      <c r="F5457" t="str">
        <f>IFERROR(__xludf.DUMMYFUNCTION("""COMPUTED_VALUE"""),"")</f>
        <v/>
      </c>
      <c r="G5457" t="str">
        <f>IFERROR(__xludf.DUMMYFUNCTION("""COMPUTED_VALUE"""),"")</f>
        <v/>
      </c>
      <c r="H5457" s="2" t="str">
        <f>IFERROR(__xludf.DUMMYFUNCTION("""COMPUTED_VALUE"""),"")</f>
        <v/>
      </c>
      <c r="I5457" s="2" t="str">
        <f>IFERROR(__xludf.DUMMYFUNCTION("""COMPUTED_VALUE"""),"")</f>
        <v/>
      </c>
      <c r="J5457" s="2">
        <f>IFERROR(__xludf.DUMMYFUNCTION("""COMPUTED_VALUE"""),0.0)</f>
        <v>0</v>
      </c>
      <c r="K5457" s="5" t="str">
        <f>IFERROR(__xludf.DUMMYFUNCTION("""COMPUTED_VALUE"""),"")</f>
        <v/>
      </c>
      <c r="L5457" t="str">
        <f>IFERROR(__xludf.DUMMYFUNCTION("""COMPUTED_VALUE"""),"")</f>
        <v/>
      </c>
      <c r="M5457" t="str">
        <f>IFERROR(__xludf.DUMMYFUNCTION("""COMPUTED_VALUE"""),"")</f>
        <v/>
      </c>
      <c r="N5457" t="str">
        <f>IFERROR(__xludf.DUMMYFUNCTION("""COMPUTED_VALUE"""),"")</f>
        <v/>
      </c>
      <c r="O5457" t="str">
        <f>IFERROR(__xludf.DUMMYFUNCTION("""COMPUTED_VALUE"""),"")</f>
        <v/>
      </c>
      <c r="P5457" t="str">
        <f>IFERROR(__xludf.DUMMYFUNCTION("""COMPUTED_VALUE"""),"ID ")</f>
        <v>ID </v>
      </c>
    </row>
    <row r="5458">
      <c r="A5458" s="6" t="str">
        <f>IFERROR(__xludf.DUMMYFUNCTION("""COMPUTED_VALUE"""),"")</f>
        <v/>
      </c>
      <c r="C5458" t="str">
        <f>IFERROR(__xludf.DUMMYFUNCTION("""COMPUTED_VALUE"""),"")</f>
        <v/>
      </c>
      <c r="D5458" t="str">
        <f>IFERROR(__xludf.DUMMYFUNCTION("""COMPUTED_VALUE"""),"")</f>
        <v/>
      </c>
      <c r="E5458" t="str">
        <f>IFERROR(__xludf.DUMMYFUNCTION("""COMPUTED_VALUE"""),"")</f>
        <v/>
      </c>
      <c r="F5458" t="str">
        <f>IFERROR(__xludf.DUMMYFUNCTION("""COMPUTED_VALUE"""),"")</f>
        <v/>
      </c>
      <c r="G5458" t="str">
        <f>IFERROR(__xludf.DUMMYFUNCTION("""COMPUTED_VALUE"""),"")</f>
        <v/>
      </c>
      <c r="H5458" s="2" t="str">
        <f>IFERROR(__xludf.DUMMYFUNCTION("""COMPUTED_VALUE"""),"")</f>
        <v/>
      </c>
      <c r="I5458" s="2" t="str">
        <f>IFERROR(__xludf.DUMMYFUNCTION("""COMPUTED_VALUE"""),"")</f>
        <v/>
      </c>
      <c r="J5458" s="2">
        <f>IFERROR(__xludf.DUMMYFUNCTION("""COMPUTED_VALUE"""),0.0)</f>
        <v>0</v>
      </c>
      <c r="K5458" s="5" t="str">
        <f>IFERROR(__xludf.DUMMYFUNCTION("""COMPUTED_VALUE"""),"")</f>
        <v/>
      </c>
      <c r="L5458" t="str">
        <f>IFERROR(__xludf.DUMMYFUNCTION("""COMPUTED_VALUE"""),"")</f>
        <v/>
      </c>
      <c r="M5458" t="str">
        <f>IFERROR(__xludf.DUMMYFUNCTION("""COMPUTED_VALUE"""),"")</f>
        <v/>
      </c>
      <c r="N5458" t="str">
        <f>IFERROR(__xludf.DUMMYFUNCTION("""COMPUTED_VALUE"""),"")</f>
        <v/>
      </c>
      <c r="O5458" t="str">
        <f>IFERROR(__xludf.DUMMYFUNCTION("""COMPUTED_VALUE"""),"")</f>
        <v/>
      </c>
      <c r="P5458" t="str">
        <f>IFERROR(__xludf.DUMMYFUNCTION("""COMPUTED_VALUE"""),"ID ")</f>
        <v>ID </v>
      </c>
    </row>
    <row r="5459">
      <c r="A5459" s="6" t="str">
        <f>IFERROR(__xludf.DUMMYFUNCTION("""COMPUTED_VALUE"""),"")</f>
        <v/>
      </c>
      <c r="C5459" t="str">
        <f>IFERROR(__xludf.DUMMYFUNCTION("""COMPUTED_VALUE"""),"")</f>
        <v/>
      </c>
      <c r="D5459" t="str">
        <f>IFERROR(__xludf.DUMMYFUNCTION("""COMPUTED_VALUE"""),"")</f>
        <v/>
      </c>
      <c r="E5459" t="str">
        <f>IFERROR(__xludf.DUMMYFUNCTION("""COMPUTED_VALUE"""),"")</f>
        <v/>
      </c>
      <c r="F5459" t="str">
        <f>IFERROR(__xludf.DUMMYFUNCTION("""COMPUTED_VALUE"""),"")</f>
        <v/>
      </c>
      <c r="G5459" t="str">
        <f>IFERROR(__xludf.DUMMYFUNCTION("""COMPUTED_VALUE"""),"")</f>
        <v/>
      </c>
      <c r="H5459" s="2" t="str">
        <f>IFERROR(__xludf.DUMMYFUNCTION("""COMPUTED_VALUE"""),"")</f>
        <v/>
      </c>
      <c r="I5459" s="2" t="str">
        <f>IFERROR(__xludf.DUMMYFUNCTION("""COMPUTED_VALUE"""),"")</f>
        <v/>
      </c>
      <c r="J5459" s="2">
        <f>IFERROR(__xludf.DUMMYFUNCTION("""COMPUTED_VALUE"""),0.0)</f>
        <v>0</v>
      </c>
      <c r="K5459" s="5" t="str">
        <f>IFERROR(__xludf.DUMMYFUNCTION("""COMPUTED_VALUE"""),"")</f>
        <v/>
      </c>
      <c r="L5459" t="str">
        <f>IFERROR(__xludf.DUMMYFUNCTION("""COMPUTED_VALUE"""),"")</f>
        <v/>
      </c>
      <c r="M5459" t="str">
        <f>IFERROR(__xludf.DUMMYFUNCTION("""COMPUTED_VALUE"""),"")</f>
        <v/>
      </c>
      <c r="N5459" t="str">
        <f>IFERROR(__xludf.DUMMYFUNCTION("""COMPUTED_VALUE"""),"")</f>
        <v/>
      </c>
      <c r="O5459" t="str">
        <f>IFERROR(__xludf.DUMMYFUNCTION("""COMPUTED_VALUE"""),"")</f>
        <v/>
      </c>
      <c r="P5459" t="str">
        <f>IFERROR(__xludf.DUMMYFUNCTION("""COMPUTED_VALUE"""),"ID ")</f>
        <v>ID </v>
      </c>
    </row>
    <row r="5460">
      <c r="A5460" s="6" t="str">
        <f>IFERROR(__xludf.DUMMYFUNCTION("""COMPUTED_VALUE"""),"")</f>
        <v/>
      </c>
      <c r="C5460" t="str">
        <f>IFERROR(__xludf.DUMMYFUNCTION("""COMPUTED_VALUE"""),"")</f>
        <v/>
      </c>
      <c r="D5460" t="str">
        <f>IFERROR(__xludf.DUMMYFUNCTION("""COMPUTED_VALUE"""),"")</f>
        <v/>
      </c>
      <c r="E5460" t="str">
        <f>IFERROR(__xludf.DUMMYFUNCTION("""COMPUTED_VALUE"""),"")</f>
        <v/>
      </c>
      <c r="F5460" t="str">
        <f>IFERROR(__xludf.DUMMYFUNCTION("""COMPUTED_VALUE"""),"")</f>
        <v/>
      </c>
      <c r="G5460" t="str">
        <f>IFERROR(__xludf.DUMMYFUNCTION("""COMPUTED_VALUE"""),"")</f>
        <v/>
      </c>
      <c r="H5460" s="2" t="str">
        <f>IFERROR(__xludf.DUMMYFUNCTION("""COMPUTED_VALUE"""),"")</f>
        <v/>
      </c>
      <c r="I5460" s="2" t="str">
        <f>IFERROR(__xludf.DUMMYFUNCTION("""COMPUTED_VALUE"""),"")</f>
        <v/>
      </c>
      <c r="J5460" s="2">
        <f>IFERROR(__xludf.DUMMYFUNCTION("""COMPUTED_VALUE"""),0.0)</f>
        <v>0</v>
      </c>
      <c r="K5460" s="5" t="str">
        <f>IFERROR(__xludf.DUMMYFUNCTION("""COMPUTED_VALUE"""),"")</f>
        <v/>
      </c>
      <c r="L5460" t="str">
        <f>IFERROR(__xludf.DUMMYFUNCTION("""COMPUTED_VALUE"""),"")</f>
        <v/>
      </c>
      <c r="M5460" t="str">
        <f>IFERROR(__xludf.DUMMYFUNCTION("""COMPUTED_VALUE"""),"")</f>
        <v/>
      </c>
      <c r="N5460" t="str">
        <f>IFERROR(__xludf.DUMMYFUNCTION("""COMPUTED_VALUE"""),"")</f>
        <v/>
      </c>
      <c r="O5460" t="str">
        <f>IFERROR(__xludf.DUMMYFUNCTION("""COMPUTED_VALUE"""),"")</f>
        <v/>
      </c>
      <c r="P5460" t="str">
        <f>IFERROR(__xludf.DUMMYFUNCTION("""COMPUTED_VALUE"""),"ID ")</f>
        <v>ID </v>
      </c>
    </row>
    <row r="5461">
      <c r="A5461" s="6" t="str">
        <f>IFERROR(__xludf.DUMMYFUNCTION("""COMPUTED_VALUE"""),"")</f>
        <v/>
      </c>
      <c r="C5461" t="str">
        <f>IFERROR(__xludf.DUMMYFUNCTION("""COMPUTED_VALUE"""),"")</f>
        <v/>
      </c>
      <c r="D5461" t="str">
        <f>IFERROR(__xludf.DUMMYFUNCTION("""COMPUTED_VALUE"""),"")</f>
        <v/>
      </c>
      <c r="E5461" t="str">
        <f>IFERROR(__xludf.DUMMYFUNCTION("""COMPUTED_VALUE"""),"")</f>
        <v/>
      </c>
      <c r="F5461" t="str">
        <f>IFERROR(__xludf.DUMMYFUNCTION("""COMPUTED_VALUE"""),"")</f>
        <v/>
      </c>
      <c r="G5461" t="str">
        <f>IFERROR(__xludf.DUMMYFUNCTION("""COMPUTED_VALUE"""),"")</f>
        <v/>
      </c>
      <c r="H5461" s="2" t="str">
        <f>IFERROR(__xludf.DUMMYFUNCTION("""COMPUTED_VALUE"""),"")</f>
        <v/>
      </c>
      <c r="I5461" s="2" t="str">
        <f>IFERROR(__xludf.DUMMYFUNCTION("""COMPUTED_VALUE"""),"")</f>
        <v/>
      </c>
      <c r="J5461" s="2">
        <f>IFERROR(__xludf.DUMMYFUNCTION("""COMPUTED_VALUE"""),0.0)</f>
        <v>0</v>
      </c>
      <c r="K5461" s="5" t="str">
        <f>IFERROR(__xludf.DUMMYFUNCTION("""COMPUTED_VALUE"""),"")</f>
        <v/>
      </c>
      <c r="L5461" t="str">
        <f>IFERROR(__xludf.DUMMYFUNCTION("""COMPUTED_VALUE"""),"")</f>
        <v/>
      </c>
      <c r="M5461" t="str">
        <f>IFERROR(__xludf.DUMMYFUNCTION("""COMPUTED_VALUE"""),"")</f>
        <v/>
      </c>
      <c r="N5461" t="str">
        <f>IFERROR(__xludf.DUMMYFUNCTION("""COMPUTED_VALUE"""),"")</f>
        <v/>
      </c>
      <c r="O5461" t="str">
        <f>IFERROR(__xludf.DUMMYFUNCTION("""COMPUTED_VALUE"""),"")</f>
        <v/>
      </c>
      <c r="P5461" t="str">
        <f>IFERROR(__xludf.DUMMYFUNCTION("""COMPUTED_VALUE"""),"ID ")</f>
        <v>ID </v>
      </c>
    </row>
    <row r="5462">
      <c r="A5462" s="6" t="str">
        <f>IFERROR(__xludf.DUMMYFUNCTION("""COMPUTED_VALUE"""),"")</f>
        <v/>
      </c>
      <c r="C5462" t="str">
        <f>IFERROR(__xludf.DUMMYFUNCTION("""COMPUTED_VALUE"""),"")</f>
        <v/>
      </c>
      <c r="D5462" t="str">
        <f>IFERROR(__xludf.DUMMYFUNCTION("""COMPUTED_VALUE"""),"")</f>
        <v/>
      </c>
      <c r="E5462" t="str">
        <f>IFERROR(__xludf.DUMMYFUNCTION("""COMPUTED_VALUE"""),"")</f>
        <v/>
      </c>
      <c r="F5462" t="str">
        <f>IFERROR(__xludf.DUMMYFUNCTION("""COMPUTED_VALUE"""),"")</f>
        <v/>
      </c>
      <c r="G5462" t="str">
        <f>IFERROR(__xludf.DUMMYFUNCTION("""COMPUTED_VALUE"""),"")</f>
        <v/>
      </c>
      <c r="H5462" s="2" t="str">
        <f>IFERROR(__xludf.DUMMYFUNCTION("""COMPUTED_VALUE"""),"")</f>
        <v/>
      </c>
      <c r="I5462" s="2" t="str">
        <f>IFERROR(__xludf.DUMMYFUNCTION("""COMPUTED_VALUE"""),"")</f>
        <v/>
      </c>
      <c r="J5462" s="2">
        <f>IFERROR(__xludf.DUMMYFUNCTION("""COMPUTED_VALUE"""),0.0)</f>
        <v>0</v>
      </c>
      <c r="K5462" s="5" t="str">
        <f>IFERROR(__xludf.DUMMYFUNCTION("""COMPUTED_VALUE"""),"")</f>
        <v/>
      </c>
      <c r="L5462" t="str">
        <f>IFERROR(__xludf.DUMMYFUNCTION("""COMPUTED_VALUE"""),"")</f>
        <v/>
      </c>
      <c r="M5462" t="str">
        <f>IFERROR(__xludf.DUMMYFUNCTION("""COMPUTED_VALUE"""),"")</f>
        <v/>
      </c>
      <c r="N5462" t="str">
        <f>IFERROR(__xludf.DUMMYFUNCTION("""COMPUTED_VALUE"""),"")</f>
        <v/>
      </c>
      <c r="O5462" t="str">
        <f>IFERROR(__xludf.DUMMYFUNCTION("""COMPUTED_VALUE"""),"")</f>
        <v/>
      </c>
      <c r="P5462" t="str">
        <f>IFERROR(__xludf.DUMMYFUNCTION("""COMPUTED_VALUE"""),"ID ")</f>
        <v>ID </v>
      </c>
    </row>
    <row r="5463">
      <c r="A5463" s="6" t="str">
        <f>IFERROR(__xludf.DUMMYFUNCTION("""COMPUTED_VALUE"""),"")</f>
        <v/>
      </c>
      <c r="C5463" t="str">
        <f>IFERROR(__xludf.DUMMYFUNCTION("""COMPUTED_VALUE"""),"")</f>
        <v/>
      </c>
      <c r="D5463" t="str">
        <f>IFERROR(__xludf.DUMMYFUNCTION("""COMPUTED_VALUE"""),"")</f>
        <v/>
      </c>
      <c r="E5463" t="str">
        <f>IFERROR(__xludf.DUMMYFUNCTION("""COMPUTED_VALUE"""),"")</f>
        <v/>
      </c>
      <c r="F5463" t="str">
        <f>IFERROR(__xludf.DUMMYFUNCTION("""COMPUTED_VALUE"""),"")</f>
        <v/>
      </c>
      <c r="G5463" t="str">
        <f>IFERROR(__xludf.DUMMYFUNCTION("""COMPUTED_VALUE"""),"")</f>
        <v/>
      </c>
      <c r="H5463" s="2" t="str">
        <f>IFERROR(__xludf.DUMMYFUNCTION("""COMPUTED_VALUE"""),"")</f>
        <v/>
      </c>
      <c r="I5463" s="2" t="str">
        <f>IFERROR(__xludf.DUMMYFUNCTION("""COMPUTED_VALUE"""),"")</f>
        <v/>
      </c>
      <c r="J5463" s="2">
        <f>IFERROR(__xludf.DUMMYFUNCTION("""COMPUTED_VALUE"""),0.0)</f>
        <v>0</v>
      </c>
      <c r="K5463" s="5" t="str">
        <f>IFERROR(__xludf.DUMMYFUNCTION("""COMPUTED_VALUE"""),"")</f>
        <v/>
      </c>
      <c r="L5463" t="str">
        <f>IFERROR(__xludf.DUMMYFUNCTION("""COMPUTED_VALUE"""),"")</f>
        <v/>
      </c>
      <c r="M5463" t="str">
        <f>IFERROR(__xludf.DUMMYFUNCTION("""COMPUTED_VALUE"""),"")</f>
        <v/>
      </c>
      <c r="N5463" t="str">
        <f>IFERROR(__xludf.DUMMYFUNCTION("""COMPUTED_VALUE"""),"")</f>
        <v/>
      </c>
      <c r="O5463" t="str">
        <f>IFERROR(__xludf.DUMMYFUNCTION("""COMPUTED_VALUE"""),"")</f>
        <v/>
      </c>
      <c r="P5463" t="str">
        <f>IFERROR(__xludf.DUMMYFUNCTION("""COMPUTED_VALUE"""),"ID ")</f>
        <v>ID </v>
      </c>
    </row>
    <row r="5464">
      <c r="A5464" s="6" t="str">
        <f>IFERROR(__xludf.DUMMYFUNCTION("""COMPUTED_VALUE"""),"")</f>
        <v/>
      </c>
      <c r="C5464" t="str">
        <f>IFERROR(__xludf.DUMMYFUNCTION("""COMPUTED_VALUE"""),"")</f>
        <v/>
      </c>
      <c r="D5464" t="str">
        <f>IFERROR(__xludf.DUMMYFUNCTION("""COMPUTED_VALUE"""),"")</f>
        <v/>
      </c>
      <c r="E5464" t="str">
        <f>IFERROR(__xludf.DUMMYFUNCTION("""COMPUTED_VALUE"""),"")</f>
        <v/>
      </c>
      <c r="F5464" t="str">
        <f>IFERROR(__xludf.DUMMYFUNCTION("""COMPUTED_VALUE"""),"")</f>
        <v/>
      </c>
      <c r="G5464" t="str">
        <f>IFERROR(__xludf.DUMMYFUNCTION("""COMPUTED_VALUE"""),"")</f>
        <v/>
      </c>
      <c r="H5464" s="2" t="str">
        <f>IFERROR(__xludf.DUMMYFUNCTION("""COMPUTED_VALUE"""),"")</f>
        <v/>
      </c>
      <c r="I5464" s="2" t="str">
        <f>IFERROR(__xludf.DUMMYFUNCTION("""COMPUTED_VALUE"""),"")</f>
        <v/>
      </c>
      <c r="J5464" s="2">
        <f>IFERROR(__xludf.DUMMYFUNCTION("""COMPUTED_VALUE"""),0.0)</f>
        <v>0</v>
      </c>
      <c r="K5464" s="5" t="str">
        <f>IFERROR(__xludf.DUMMYFUNCTION("""COMPUTED_VALUE"""),"")</f>
        <v/>
      </c>
      <c r="L5464" t="str">
        <f>IFERROR(__xludf.DUMMYFUNCTION("""COMPUTED_VALUE"""),"")</f>
        <v/>
      </c>
      <c r="M5464" t="str">
        <f>IFERROR(__xludf.DUMMYFUNCTION("""COMPUTED_VALUE"""),"")</f>
        <v/>
      </c>
      <c r="N5464" t="str">
        <f>IFERROR(__xludf.DUMMYFUNCTION("""COMPUTED_VALUE"""),"")</f>
        <v/>
      </c>
      <c r="O5464" t="str">
        <f>IFERROR(__xludf.DUMMYFUNCTION("""COMPUTED_VALUE"""),"")</f>
        <v/>
      </c>
      <c r="P5464" t="str">
        <f>IFERROR(__xludf.DUMMYFUNCTION("""COMPUTED_VALUE"""),"ID ")</f>
        <v>ID </v>
      </c>
    </row>
    <row r="5465">
      <c r="A5465" s="6" t="str">
        <f>IFERROR(__xludf.DUMMYFUNCTION("""COMPUTED_VALUE"""),"")</f>
        <v/>
      </c>
      <c r="C5465" t="str">
        <f>IFERROR(__xludf.DUMMYFUNCTION("""COMPUTED_VALUE"""),"")</f>
        <v/>
      </c>
      <c r="D5465" t="str">
        <f>IFERROR(__xludf.DUMMYFUNCTION("""COMPUTED_VALUE"""),"")</f>
        <v/>
      </c>
      <c r="E5465" t="str">
        <f>IFERROR(__xludf.DUMMYFUNCTION("""COMPUTED_VALUE"""),"")</f>
        <v/>
      </c>
      <c r="F5465" t="str">
        <f>IFERROR(__xludf.DUMMYFUNCTION("""COMPUTED_VALUE"""),"")</f>
        <v/>
      </c>
      <c r="G5465" t="str">
        <f>IFERROR(__xludf.DUMMYFUNCTION("""COMPUTED_VALUE"""),"")</f>
        <v/>
      </c>
      <c r="H5465" s="2" t="str">
        <f>IFERROR(__xludf.DUMMYFUNCTION("""COMPUTED_VALUE"""),"")</f>
        <v/>
      </c>
      <c r="I5465" s="2" t="str">
        <f>IFERROR(__xludf.DUMMYFUNCTION("""COMPUTED_VALUE"""),"")</f>
        <v/>
      </c>
      <c r="J5465" s="2">
        <f>IFERROR(__xludf.DUMMYFUNCTION("""COMPUTED_VALUE"""),0.0)</f>
        <v>0</v>
      </c>
      <c r="K5465" s="5" t="str">
        <f>IFERROR(__xludf.DUMMYFUNCTION("""COMPUTED_VALUE"""),"")</f>
        <v/>
      </c>
      <c r="L5465" t="str">
        <f>IFERROR(__xludf.DUMMYFUNCTION("""COMPUTED_VALUE"""),"")</f>
        <v/>
      </c>
      <c r="M5465" t="str">
        <f>IFERROR(__xludf.DUMMYFUNCTION("""COMPUTED_VALUE"""),"")</f>
        <v/>
      </c>
      <c r="N5465" t="str">
        <f>IFERROR(__xludf.DUMMYFUNCTION("""COMPUTED_VALUE"""),"")</f>
        <v/>
      </c>
      <c r="O5465" t="str">
        <f>IFERROR(__xludf.DUMMYFUNCTION("""COMPUTED_VALUE"""),"")</f>
        <v/>
      </c>
      <c r="P5465" t="str">
        <f>IFERROR(__xludf.DUMMYFUNCTION("""COMPUTED_VALUE"""),"ID ")</f>
        <v>ID </v>
      </c>
    </row>
    <row r="5466">
      <c r="A5466" s="6" t="str">
        <f>IFERROR(__xludf.DUMMYFUNCTION("""COMPUTED_VALUE"""),"")</f>
        <v/>
      </c>
      <c r="C5466" t="str">
        <f>IFERROR(__xludf.DUMMYFUNCTION("""COMPUTED_VALUE"""),"")</f>
        <v/>
      </c>
      <c r="D5466" t="str">
        <f>IFERROR(__xludf.DUMMYFUNCTION("""COMPUTED_VALUE"""),"")</f>
        <v/>
      </c>
      <c r="E5466" t="str">
        <f>IFERROR(__xludf.DUMMYFUNCTION("""COMPUTED_VALUE"""),"")</f>
        <v/>
      </c>
      <c r="F5466" t="str">
        <f>IFERROR(__xludf.DUMMYFUNCTION("""COMPUTED_VALUE"""),"")</f>
        <v/>
      </c>
      <c r="G5466" t="str">
        <f>IFERROR(__xludf.DUMMYFUNCTION("""COMPUTED_VALUE"""),"")</f>
        <v/>
      </c>
      <c r="H5466" s="2" t="str">
        <f>IFERROR(__xludf.DUMMYFUNCTION("""COMPUTED_VALUE"""),"")</f>
        <v/>
      </c>
      <c r="I5466" s="2" t="str">
        <f>IFERROR(__xludf.DUMMYFUNCTION("""COMPUTED_VALUE"""),"")</f>
        <v/>
      </c>
      <c r="J5466" s="2">
        <f>IFERROR(__xludf.DUMMYFUNCTION("""COMPUTED_VALUE"""),0.0)</f>
        <v>0</v>
      </c>
      <c r="K5466" s="5" t="str">
        <f>IFERROR(__xludf.DUMMYFUNCTION("""COMPUTED_VALUE"""),"")</f>
        <v/>
      </c>
      <c r="L5466" t="str">
        <f>IFERROR(__xludf.DUMMYFUNCTION("""COMPUTED_VALUE"""),"")</f>
        <v/>
      </c>
      <c r="M5466" t="str">
        <f>IFERROR(__xludf.DUMMYFUNCTION("""COMPUTED_VALUE"""),"")</f>
        <v/>
      </c>
      <c r="N5466" t="str">
        <f>IFERROR(__xludf.DUMMYFUNCTION("""COMPUTED_VALUE"""),"")</f>
        <v/>
      </c>
      <c r="O5466" t="str">
        <f>IFERROR(__xludf.DUMMYFUNCTION("""COMPUTED_VALUE"""),"")</f>
        <v/>
      </c>
      <c r="P5466" t="str">
        <f>IFERROR(__xludf.DUMMYFUNCTION("""COMPUTED_VALUE"""),"ID ")</f>
        <v>ID </v>
      </c>
    </row>
    <row r="5467">
      <c r="A5467" s="6" t="str">
        <f>IFERROR(__xludf.DUMMYFUNCTION("""COMPUTED_VALUE"""),"")</f>
        <v/>
      </c>
      <c r="C5467" t="str">
        <f>IFERROR(__xludf.DUMMYFUNCTION("""COMPUTED_VALUE"""),"")</f>
        <v/>
      </c>
      <c r="D5467" t="str">
        <f>IFERROR(__xludf.DUMMYFUNCTION("""COMPUTED_VALUE"""),"")</f>
        <v/>
      </c>
      <c r="E5467" t="str">
        <f>IFERROR(__xludf.DUMMYFUNCTION("""COMPUTED_VALUE"""),"")</f>
        <v/>
      </c>
      <c r="F5467" t="str">
        <f>IFERROR(__xludf.DUMMYFUNCTION("""COMPUTED_VALUE"""),"")</f>
        <v/>
      </c>
      <c r="G5467" t="str">
        <f>IFERROR(__xludf.DUMMYFUNCTION("""COMPUTED_VALUE"""),"")</f>
        <v/>
      </c>
      <c r="H5467" s="2" t="str">
        <f>IFERROR(__xludf.DUMMYFUNCTION("""COMPUTED_VALUE"""),"")</f>
        <v/>
      </c>
      <c r="I5467" s="2" t="str">
        <f>IFERROR(__xludf.DUMMYFUNCTION("""COMPUTED_VALUE"""),"")</f>
        <v/>
      </c>
      <c r="J5467" s="2">
        <f>IFERROR(__xludf.DUMMYFUNCTION("""COMPUTED_VALUE"""),0.0)</f>
        <v>0</v>
      </c>
      <c r="K5467" s="5" t="str">
        <f>IFERROR(__xludf.DUMMYFUNCTION("""COMPUTED_VALUE"""),"")</f>
        <v/>
      </c>
      <c r="L5467" t="str">
        <f>IFERROR(__xludf.DUMMYFUNCTION("""COMPUTED_VALUE"""),"")</f>
        <v/>
      </c>
      <c r="M5467" t="str">
        <f>IFERROR(__xludf.DUMMYFUNCTION("""COMPUTED_VALUE"""),"")</f>
        <v/>
      </c>
      <c r="N5467" t="str">
        <f>IFERROR(__xludf.DUMMYFUNCTION("""COMPUTED_VALUE"""),"")</f>
        <v/>
      </c>
      <c r="O5467" t="str">
        <f>IFERROR(__xludf.DUMMYFUNCTION("""COMPUTED_VALUE"""),"")</f>
        <v/>
      </c>
      <c r="P5467" t="str">
        <f>IFERROR(__xludf.DUMMYFUNCTION("""COMPUTED_VALUE"""),"ID ")</f>
        <v>ID </v>
      </c>
    </row>
    <row r="5468">
      <c r="A5468" s="6" t="str">
        <f>IFERROR(__xludf.DUMMYFUNCTION("""COMPUTED_VALUE"""),"")</f>
        <v/>
      </c>
      <c r="C5468" t="str">
        <f>IFERROR(__xludf.DUMMYFUNCTION("""COMPUTED_VALUE"""),"")</f>
        <v/>
      </c>
      <c r="D5468" t="str">
        <f>IFERROR(__xludf.DUMMYFUNCTION("""COMPUTED_VALUE"""),"")</f>
        <v/>
      </c>
      <c r="E5468" t="str">
        <f>IFERROR(__xludf.DUMMYFUNCTION("""COMPUTED_VALUE"""),"")</f>
        <v/>
      </c>
      <c r="F5468" t="str">
        <f>IFERROR(__xludf.DUMMYFUNCTION("""COMPUTED_VALUE"""),"")</f>
        <v/>
      </c>
      <c r="G5468" t="str">
        <f>IFERROR(__xludf.DUMMYFUNCTION("""COMPUTED_VALUE"""),"")</f>
        <v/>
      </c>
      <c r="H5468" s="2" t="str">
        <f>IFERROR(__xludf.DUMMYFUNCTION("""COMPUTED_VALUE"""),"")</f>
        <v/>
      </c>
      <c r="I5468" s="2" t="str">
        <f>IFERROR(__xludf.DUMMYFUNCTION("""COMPUTED_VALUE"""),"")</f>
        <v/>
      </c>
      <c r="J5468" s="2">
        <f>IFERROR(__xludf.DUMMYFUNCTION("""COMPUTED_VALUE"""),0.0)</f>
        <v>0</v>
      </c>
      <c r="K5468" s="5" t="str">
        <f>IFERROR(__xludf.DUMMYFUNCTION("""COMPUTED_VALUE"""),"")</f>
        <v/>
      </c>
      <c r="L5468" t="str">
        <f>IFERROR(__xludf.DUMMYFUNCTION("""COMPUTED_VALUE"""),"")</f>
        <v/>
      </c>
      <c r="M5468" t="str">
        <f>IFERROR(__xludf.DUMMYFUNCTION("""COMPUTED_VALUE"""),"")</f>
        <v/>
      </c>
      <c r="N5468" t="str">
        <f>IFERROR(__xludf.DUMMYFUNCTION("""COMPUTED_VALUE"""),"")</f>
        <v/>
      </c>
      <c r="O5468" t="str">
        <f>IFERROR(__xludf.DUMMYFUNCTION("""COMPUTED_VALUE"""),"")</f>
        <v/>
      </c>
      <c r="P5468" t="str">
        <f>IFERROR(__xludf.DUMMYFUNCTION("""COMPUTED_VALUE"""),"ID ")</f>
        <v>ID </v>
      </c>
    </row>
    <row r="5469">
      <c r="A5469" s="6" t="str">
        <f>IFERROR(__xludf.DUMMYFUNCTION("""COMPUTED_VALUE"""),"")</f>
        <v/>
      </c>
      <c r="C5469" t="str">
        <f>IFERROR(__xludf.DUMMYFUNCTION("""COMPUTED_VALUE"""),"")</f>
        <v/>
      </c>
      <c r="D5469" t="str">
        <f>IFERROR(__xludf.DUMMYFUNCTION("""COMPUTED_VALUE"""),"")</f>
        <v/>
      </c>
      <c r="E5469" t="str">
        <f>IFERROR(__xludf.DUMMYFUNCTION("""COMPUTED_VALUE"""),"")</f>
        <v/>
      </c>
      <c r="F5469" t="str">
        <f>IFERROR(__xludf.DUMMYFUNCTION("""COMPUTED_VALUE"""),"")</f>
        <v/>
      </c>
      <c r="G5469" t="str">
        <f>IFERROR(__xludf.DUMMYFUNCTION("""COMPUTED_VALUE"""),"")</f>
        <v/>
      </c>
      <c r="H5469" s="2" t="str">
        <f>IFERROR(__xludf.DUMMYFUNCTION("""COMPUTED_VALUE"""),"")</f>
        <v/>
      </c>
      <c r="I5469" s="2" t="str">
        <f>IFERROR(__xludf.DUMMYFUNCTION("""COMPUTED_VALUE"""),"")</f>
        <v/>
      </c>
      <c r="J5469" s="2">
        <f>IFERROR(__xludf.DUMMYFUNCTION("""COMPUTED_VALUE"""),0.0)</f>
        <v>0</v>
      </c>
      <c r="K5469" s="5" t="str">
        <f>IFERROR(__xludf.DUMMYFUNCTION("""COMPUTED_VALUE"""),"")</f>
        <v/>
      </c>
      <c r="L5469" t="str">
        <f>IFERROR(__xludf.DUMMYFUNCTION("""COMPUTED_VALUE"""),"")</f>
        <v/>
      </c>
      <c r="M5469" t="str">
        <f>IFERROR(__xludf.DUMMYFUNCTION("""COMPUTED_VALUE"""),"")</f>
        <v/>
      </c>
      <c r="N5469" t="str">
        <f>IFERROR(__xludf.DUMMYFUNCTION("""COMPUTED_VALUE"""),"")</f>
        <v/>
      </c>
      <c r="O5469" t="str">
        <f>IFERROR(__xludf.DUMMYFUNCTION("""COMPUTED_VALUE"""),"")</f>
        <v/>
      </c>
      <c r="P5469" t="str">
        <f>IFERROR(__xludf.DUMMYFUNCTION("""COMPUTED_VALUE"""),"ID ")</f>
        <v>ID </v>
      </c>
    </row>
    <row r="5470">
      <c r="A5470" s="6" t="str">
        <f>IFERROR(__xludf.DUMMYFUNCTION("""COMPUTED_VALUE"""),"")</f>
        <v/>
      </c>
      <c r="C5470" t="str">
        <f>IFERROR(__xludf.DUMMYFUNCTION("""COMPUTED_VALUE"""),"")</f>
        <v/>
      </c>
      <c r="D5470" t="str">
        <f>IFERROR(__xludf.DUMMYFUNCTION("""COMPUTED_VALUE"""),"")</f>
        <v/>
      </c>
      <c r="E5470" t="str">
        <f>IFERROR(__xludf.DUMMYFUNCTION("""COMPUTED_VALUE"""),"")</f>
        <v/>
      </c>
      <c r="F5470" t="str">
        <f>IFERROR(__xludf.DUMMYFUNCTION("""COMPUTED_VALUE"""),"")</f>
        <v/>
      </c>
      <c r="G5470" t="str">
        <f>IFERROR(__xludf.DUMMYFUNCTION("""COMPUTED_VALUE"""),"")</f>
        <v/>
      </c>
      <c r="H5470" s="2" t="str">
        <f>IFERROR(__xludf.DUMMYFUNCTION("""COMPUTED_VALUE"""),"")</f>
        <v/>
      </c>
      <c r="I5470" s="2" t="str">
        <f>IFERROR(__xludf.DUMMYFUNCTION("""COMPUTED_VALUE"""),"")</f>
        <v/>
      </c>
      <c r="J5470" s="2">
        <f>IFERROR(__xludf.DUMMYFUNCTION("""COMPUTED_VALUE"""),0.0)</f>
        <v>0</v>
      </c>
      <c r="K5470" s="5" t="str">
        <f>IFERROR(__xludf.DUMMYFUNCTION("""COMPUTED_VALUE"""),"")</f>
        <v/>
      </c>
      <c r="L5470" t="str">
        <f>IFERROR(__xludf.DUMMYFUNCTION("""COMPUTED_VALUE"""),"")</f>
        <v/>
      </c>
      <c r="M5470" t="str">
        <f>IFERROR(__xludf.DUMMYFUNCTION("""COMPUTED_VALUE"""),"")</f>
        <v/>
      </c>
      <c r="N5470" t="str">
        <f>IFERROR(__xludf.DUMMYFUNCTION("""COMPUTED_VALUE"""),"")</f>
        <v/>
      </c>
      <c r="O5470" t="str">
        <f>IFERROR(__xludf.DUMMYFUNCTION("""COMPUTED_VALUE"""),"")</f>
        <v/>
      </c>
      <c r="P5470" t="str">
        <f>IFERROR(__xludf.DUMMYFUNCTION("""COMPUTED_VALUE"""),"ID ")</f>
        <v>ID </v>
      </c>
    </row>
    <row r="5471">
      <c r="A5471" s="6" t="str">
        <f>IFERROR(__xludf.DUMMYFUNCTION("""COMPUTED_VALUE"""),"")</f>
        <v/>
      </c>
      <c r="C5471" t="str">
        <f>IFERROR(__xludf.DUMMYFUNCTION("""COMPUTED_VALUE"""),"")</f>
        <v/>
      </c>
      <c r="D5471" t="str">
        <f>IFERROR(__xludf.DUMMYFUNCTION("""COMPUTED_VALUE"""),"")</f>
        <v/>
      </c>
      <c r="E5471" t="str">
        <f>IFERROR(__xludf.DUMMYFUNCTION("""COMPUTED_VALUE"""),"")</f>
        <v/>
      </c>
      <c r="F5471" t="str">
        <f>IFERROR(__xludf.DUMMYFUNCTION("""COMPUTED_VALUE"""),"")</f>
        <v/>
      </c>
      <c r="G5471" t="str">
        <f>IFERROR(__xludf.DUMMYFUNCTION("""COMPUTED_VALUE"""),"")</f>
        <v/>
      </c>
      <c r="H5471" s="2" t="str">
        <f>IFERROR(__xludf.DUMMYFUNCTION("""COMPUTED_VALUE"""),"")</f>
        <v/>
      </c>
      <c r="I5471" s="2" t="str">
        <f>IFERROR(__xludf.DUMMYFUNCTION("""COMPUTED_VALUE"""),"")</f>
        <v/>
      </c>
      <c r="J5471" s="2">
        <f>IFERROR(__xludf.DUMMYFUNCTION("""COMPUTED_VALUE"""),0.0)</f>
        <v>0</v>
      </c>
      <c r="K5471" s="5" t="str">
        <f>IFERROR(__xludf.DUMMYFUNCTION("""COMPUTED_VALUE"""),"")</f>
        <v/>
      </c>
      <c r="L5471" t="str">
        <f>IFERROR(__xludf.DUMMYFUNCTION("""COMPUTED_VALUE"""),"")</f>
        <v/>
      </c>
      <c r="M5471" t="str">
        <f>IFERROR(__xludf.DUMMYFUNCTION("""COMPUTED_VALUE"""),"")</f>
        <v/>
      </c>
      <c r="N5471" t="str">
        <f>IFERROR(__xludf.DUMMYFUNCTION("""COMPUTED_VALUE"""),"")</f>
        <v/>
      </c>
      <c r="O5471" t="str">
        <f>IFERROR(__xludf.DUMMYFUNCTION("""COMPUTED_VALUE"""),"")</f>
        <v/>
      </c>
      <c r="P5471" t="str">
        <f>IFERROR(__xludf.DUMMYFUNCTION("""COMPUTED_VALUE"""),"ID ")</f>
        <v>ID </v>
      </c>
    </row>
    <row r="5472">
      <c r="A5472" s="6" t="str">
        <f>IFERROR(__xludf.DUMMYFUNCTION("""COMPUTED_VALUE"""),"")</f>
        <v/>
      </c>
      <c r="C5472" t="str">
        <f>IFERROR(__xludf.DUMMYFUNCTION("""COMPUTED_VALUE"""),"")</f>
        <v/>
      </c>
      <c r="D5472" t="str">
        <f>IFERROR(__xludf.DUMMYFUNCTION("""COMPUTED_VALUE"""),"")</f>
        <v/>
      </c>
      <c r="E5472" t="str">
        <f>IFERROR(__xludf.DUMMYFUNCTION("""COMPUTED_VALUE"""),"")</f>
        <v/>
      </c>
      <c r="F5472" t="str">
        <f>IFERROR(__xludf.DUMMYFUNCTION("""COMPUTED_VALUE"""),"")</f>
        <v/>
      </c>
      <c r="G5472" t="str">
        <f>IFERROR(__xludf.DUMMYFUNCTION("""COMPUTED_VALUE"""),"")</f>
        <v/>
      </c>
      <c r="H5472" s="2" t="str">
        <f>IFERROR(__xludf.DUMMYFUNCTION("""COMPUTED_VALUE"""),"")</f>
        <v/>
      </c>
      <c r="I5472" s="2" t="str">
        <f>IFERROR(__xludf.DUMMYFUNCTION("""COMPUTED_VALUE"""),"")</f>
        <v/>
      </c>
      <c r="J5472" s="2">
        <f>IFERROR(__xludf.DUMMYFUNCTION("""COMPUTED_VALUE"""),0.0)</f>
        <v>0</v>
      </c>
      <c r="K5472" s="5" t="str">
        <f>IFERROR(__xludf.DUMMYFUNCTION("""COMPUTED_VALUE"""),"")</f>
        <v/>
      </c>
      <c r="L5472" t="str">
        <f>IFERROR(__xludf.DUMMYFUNCTION("""COMPUTED_VALUE"""),"")</f>
        <v/>
      </c>
      <c r="M5472" t="str">
        <f>IFERROR(__xludf.DUMMYFUNCTION("""COMPUTED_VALUE"""),"")</f>
        <v/>
      </c>
      <c r="N5472" t="str">
        <f>IFERROR(__xludf.DUMMYFUNCTION("""COMPUTED_VALUE"""),"")</f>
        <v/>
      </c>
      <c r="O5472" t="str">
        <f>IFERROR(__xludf.DUMMYFUNCTION("""COMPUTED_VALUE"""),"")</f>
        <v/>
      </c>
      <c r="P5472" t="str">
        <f>IFERROR(__xludf.DUMMYFUNCTION("""COMPUTED_VALUE"""),"ID ")</f>
        <v>ID </v>
      </c>
    </row>
    <row r="5473">
      <c r="A5473" s="6" t="str">
        <f>IFERROR(__xludf.DUMMYFUNCTION("""COMPUTED_VALUE"""),"")</f>
        <v/>
      </c>
      <c r="C5473" t="str">
        <f>IFERROR(__xludf.DUMMYFUNCTION("""COMPUTED_VALUE"""),"")</f>
        <v/>
      </c>
      <c r="D5473" t="str">
        <f>IFERROR(__xludf.DUMMYFUNCTION("""COMPUTED_VALUE"""),"")</f>
        <v/>
      </c>
      <c r="E5473" t="str">
        <f>IFERROR(__xludf.DUMMYFUNCTION("""COMPUTED_VALUE"""),"")</f>
        <v/>
      </c>
      <c r="F5473" t="str">
        <f>IFERROR(__xludf.DUMMYFUNCTION("""COMPUTED_VALUE"""),"")</f>
        <v/>
      </c>
      <c r="G5473" t="str">
        <f>IFERROR(__xludf.DUMMYFUNCTION("""COMPUTED_VALUE"""),"")</f>
        <v/>
      </c>
      <c r="H5473" s="2" t="str">
        <f>IFERROR(__xludf.DUMMYFUNCTION("""COMPUTED_VALUE"""),"")</f>
        <v/>
      </c>
      <c r="I5473" s="2" t="str">
        <f>IFERROR(__xludf.DUMMYFUNCTION("""COMPUTED_VALUE"""),"")</f>
        <v/>
      </c>
      <c r="J5473" s="2">
        <f>IFERROR(__xludf.DUMMYFUNCTION("""COMPUTED_VALUE"""),0.0)</f>
        <v>0</v>
      </c>
      <c r="K5473" s="5" t="str">
        <f>IFERROR(__xludf.DUMMYFUNCTION("""COMPUTED_VALUE"""),"")</f>
        <v/>
      </c>
      <c r="L5473" t="str">
        <f>IFERROR(__xludf.DUMMYFUNCTION("""COMPUTED_VALUE"""),"")</f>
        <v/>
      </c>
      <c r="M5473" t="str">
        <f>IFERROR(__xludf.DUMMYFUNCTION("""COMPUTED_VALUE"""),"")</f>
        <v/>
      </c>
      <c r="N5473" t="str">
        <f>IFERROR(__xludf.DUMMYFUNCTION("""COMPUTED_VALUE"""),"")</f>
        <v/>
      </c>
      <c r="O5473" t="str">
        <f>IFERROR(__xludf.DUMMYFUNCTION("""COMPUTED_VALUE"""),"")</f>
        <v/>
      </c>
      <c r="P5473" t="str">
        <f>IFERROR(__xludf.DUMMYFUNCTION("""COMPUTED_VALUE"""),"ID ")</f>
        <v>ID </v>
      </c>
    </row>
    <row r="5474">
      <c r="A5474" s="6" t="str">
        <f>IFERROR(__xludf.DUMMYFUNCTION("""COMPUTED_VALUE"""),"")</f>
        <v/>
      </c>
      <c r="C5474" t="str">
        <f>IFERROR(__xludf.DUMMYFUNCTION("""COMPUTED_VALUE"""),"")</f>
        <v/>
      </c>
      <c r="D5474" t="str">
        <f>IFERROR(__xludf.DUMMYFUNCTION("""COMPUTED_VALUE"""),"")</f>
        <v/>
      </c>
      <c r="E5474" t="str">
        <f>IFERROR(__xludf.DUMMYFUNCTION("""COMPUTED_VALUE"""),"")</f>
        <v/>
      </c>
      <c r="F5474" t="str">
        <f>IFERROR(__xludf.DUMMYFUNCTION("""COMPUTED_VALUE"""),"")</f>
        <v/>
      </c>
      <c r="G5474" t="str">
        <f>IFERROR(__xludf.DUMMYFUNCTION("""COMPUTED_VALUE"""),"")</f>
        <v/>
      </c>
      <c r="H5474" s="2" t="str">
        <f>IFERROR(__xludf.DUMMYFUNCTION("""COMPUTED_VALUE"""),"")</f>
        <v/>
      </c>
      <c r="I5474" s="2" t="str">
        <f>IFERROR(__xludf.DUMMYFUNCTION("""COMPUTED_VALUE"""),"")</f>
        <v/>
      </c>
      <c r="J5474" s="2">
        <f>IFERROR(__xludf.DUMMYFUNCTION("""COMPUTED_VALUE"""),0.0)</f>
        <v>0</v>
      </c>
      <c r="K5474" s="5" t="str">
        <f>IFERROR(__xludf.DUMMYFUNCTION("""COMPUTED_VALUE"""),"")</f>
        <v/>
      </c>
      <c r="L5474" t="str">
        <f>IFERROR(__xludf.DUMMYFUNCTION("""COMPUTED_VALUE"""),"")</f>
        <v/>
      </c>
      <c r="M5474" t="str">
        <f>IFERROR(__xludf.DUMMYFUNCTION("""COMPUTED_VALUE"""),"")</f>
        <v/>
      </c>
      <c r="N5474" t="str">
        <f>IFERROR(__xludf.DUMMYFUNCTION("""COMPUTED_VALUE"""),"")</f>
        <v/>
      </c>
      <c r="O5474" t="str">
        <f>IFERROR(__xludf.DUMMYFUNCTION("""COMPUTED_VALUE"""),"")</f>
        <v/>
      </c>
      <c r="P5474" t="str">
        <f>IFERROR(__xludf.DUMMYFUNCTION("""COMPUTED_VALUE"""),"ID ")</f>
        <v>ID </v>
      </c>
    </row>
    <row r="5475">
      <c r="A5475" s="6" t="str">
        <f>IFERROR(__xludf.DUMMYFUNCTION("""COMPUTED_VALUE"""),"")</f>
        <v/>
      </c>
      <c r="C5475" t="str">
        <f>IFERROR(__xludf.DUMMYFUNCTION("""COMPUTED_VALUE"""),"")</f>
        <v/>
      </c>
      <c r="D5475" t="str">
        <f>IFERROR(__xludf.DUMMYFUNCTION("""COMPUTED_VALUE"""),"")</f>
        <v/>
      </c>
      <c r="E5475" t="str">
        <f>IFERROR(__xludf.DUMMYFUNCTION("""COMPUTED_VALUE"""),"")</f>
        <v/>
      </c>
      <c r="F5475" t="str">
        <f>IFERROR(__xludf.DUMMYFUNCTION("""COMPUTED_VALUE"""),"")</f>
        <v/>
      </c>
      <c r="G5475" t="str">
        <f>IFERROR(__xludf.DUMMYFUNCTION("""COMPUTED_VALUE"""),"")</f>
        <v/>
      </c>
      <c r="H5475" s="2" t="str">
        <f>IFERROR(__xludf.DUMMYFUNCTION("""COMPUTED_VALUE"""),"")</f>
        <v/>
      </c>
      <c r="I5475" s="2" t="str">
        <f>IFERROR(__xludf.DUMMYFUNCTION("""COMPUTED_VALUE"""),"")</f>
        <v/>
      </c>
      <c r="J5475" s="2">
        <f>IFERROR(__xludf.DUMMYFUNCTION("""COMPUTED_VALUE"""),0.0)</f>
        <v>0</v>
      </c>
      <c r="K5475" s="5" t="str">
        <f>IFERROR(__xludf.DUMMYFUNCTION("""COMPUTED_VALUE"""),"")</f>
        <v/>
      </c>
      <c r="L5475" t="str">
        <f>IFERROR(__xludf.DUMMYFUNCTION("""COMPUTED_VALUE"""),"")</f>
        <v/>
      </c>
      <c r="M5475" t="str">
        <f>IFERROR(__xludf.DUMMYFUNCTION("""COMPUTED_VALUE"""),"")</f>
        <v/>
      </c>
      <c r="N5475" t="str">
        <f>IFERROR(__xludf.DUMMYFUNCTION("""COMPUTED_VALUE"""),"")</f>
        <v/>
      </c>
      <c r="O5475" t="str">
        <f>IFERROR(__xludf.DUMMYFUNCTION("""COMPUTED_VALUE"""),"")</f>
        <v/>
      </c>
      <c r="P5475" t="str">
        <f>IFERROR(__xludf.DUMMYFUNCTION("""COMPUTED_VALUE"""),"ID ")</f>
        <v>ID </v>
      </c>
    </row>
    <row r="5476">
      <c r="A5476" s="6" t="str">
        <f>IFERROR(__xludf.DUMMYFUNCTION("""COMPUTED_VALUE"""),"")</f>
        <v/>
      </c>
      <c r="C5476" t="str">
        <f>IFERROR(__xludf.DUMMYFUNCTION("""COMPUTED_VALUE"""),"")</f>
        <v/>
      </c>
      <c r="D5476" t="str">
        <f>IFERROR(__xludf.DUMMYFUNCTION("""COMPUTED_VALUE"""),"")</f>
        <v/>
      </c>
      <c r="E5476" t="str">
        <f>IFERROR(__xludf.DUMMYFUNCTION("""COMPUTED_VALUE"""),"")</f>
        <v/>
      </c>
      <c r="F5476" t="str">
        <f>IFERROR(__xludf.DUMMYFUNCTION("""COMPUTED_VALUE"""),"")</f>
        <v/>
      </c>
      <c r="G5476" t="str">
        <f>IFERROR(__xludf.DUMMYFUNCTION("""COMPUTED_VALUE"""),"")</f>
        <v/>
      </c>
      <c r="H5476" s="2" t="str">
        <f>IFERROR(__xludf.DUMMYFUNCTION("""COMPUTED_VALUE"""),"")</f>
        <v/>
      </c>
      <c r="I5476" s="2" t="str">
        <f>IFERROR(__xludf.DUMMYFUNCTION("""COMPUTED_VALUE"""),"")</f>
        <v/>
      </c>
      <c r="J5476" s="2">
        <f>IFERROR(__xludf.DUMMYFUNCTION("""COMPUTED_VALUE"""),0.0)</f>
        <v>0</v>
      </c>
      <c r="K5476" s="5" t="str">
        <f>IFERROR(__xludf.DUMMYFUNCTION("""COMPUTED_VALUE"""),"")</f>
        <v/>
      </c>
      <c r="L5476" t="str">
        <f>IFERROR(__xludf.DUMMYFUNCTION("""COMPUTED_VALUE"""),"")</f>
        <v/>
      </c>
      <c r="M5476" t="str">
        <f>IFERROR(__xludf.DUMMYFUNCTION("""COMPUTED_VALUE"""),"")</f>
        <v/>
      </c>
      <c r="N5476" t="str">
        <f>IFERROR(__xludf.DUMMYFUNCTION("""COMPUTED_VALUE"""),"")</f>
        <v/>
      </c>
      <c r="O5476" t="str">
        <f>IFERROR(__xludf.DUMMYFUNCTION("""COMPUTED_VALUE"""),"")</f>
        <v/>
      </c>
      <c r="P5476" t="str">
        <f>IFERROR(__xludf.DUMMYFUNCTION("""COMPUTED_VALUE"""),"ID ")</f>
        <v>ID </v>
      </c>
    </row>
    <row r="5477">
      <c r="A5477" s="6" t="str">
        <f>IFERROR(__xludf.DUMMYFUNCTION("""COMPUTED_VALUE"""),"")</f>
        <v/>
      </c>
      <c r="C5477" t="str">
        <f>IFERROR(__xludf.DUMMYFUNCTION("""COMPUTED_VALUE"""),"")</f>
        <v/>
      </c>
      <c r="D5477" t="str">
        <f>IFERROR(__xludf.DUMMYFUNCTION("""COMPUTED_VALUE"""),"")</f>
        <v/>
      </c>
      <c r="E5477" t="str">
        <f>IFERROR(__xludf.DUMMYFUNCTION("""COMPUTED_VALUE"""),"")</f>
        <v/>
      </c>
      <c r="F5477" t="str">
        <f>IFERROR(__xludf.DUMMYFUNCTION("""COMPUTED_VALUE"""),"")</f>
        <v/>
      </c>
      <c r="G5477" t="str">
        <f>IFERROR(__xludf.DUMMYFUNCTION("""COMPUTED_VALUE"""),"")</f>
        <v/>
      </c>
      <c r="H5477" s="2" t="str">
        <f>IFERROR(__xludf.DUMMYFUNCTION("""COMPUTED_VALUE"""),"")</f>
        <v/>
      </c>
      <c r="I5477" s="2" t="str">
        <f>IFERROR(__xludf.DUMMYFUNCTION("""COMPUTED_VALUE"""),"")</f>
        <v/>
      </c>
      <c r="J5477" s="2">
        <f>IFERROR(__xludf.DUMMYFUNCTION("""COMPUTED_VALUE"""),0.0)</f>
        <v>0</v>
      </c>
      <c r="K5477" s="5" t="str">
        <f>IFERROR(__xludf.DUMMYFUNCTION("""COMPUTED_VALUE"""),"")</f>
        <v/>
      </c>
      <c r="L5477" t="str">
        <f>IFERROR(__xludf.DUMMYFUNCTION("""COMPUTED_VALUE"""),"")</f>
        <v/>
      </c>
      <c r="M5477" t="str">
        <f>IFERROR(__xludf.DUMMYFUNCTION("""COMPUTED_VALUE"""),"")</f>
        <v/>
      </c>
      <c r="N5477" t="str">
        <f>IFERROR(__xludf.DUMMYFUNCTION("""COMPUTED_VALUE"""),"")</f>
        <v/>
      </c>
      <c r="O5477" t="str">
        <f>IFERROR(__xludf.DUMMYFUNCTION("""COMPUTED_VALUE"""),"")</f>
        <v/>
      </c>
      <c r="P5477" t="str">
        <f>IFERROR(__xludf.DUMMYFUNCTION("""COMPUTED_VALUE"""),"ID ")</f>
        <v>ID </v>
      </c>
    </row>
    <row r="5478">
      <c r="A5478" s="6" t="str">
        <f>IFERROR(__xludf.DUMMYFUNCTION("""COMPUTED_VALUE"""),"")</f>
        <v/>
      </c>
      <c r="C5478" t="str">
        <f>IFERROR(__xludf.DUMMYFUNCTION("""COMPUTED_VALUE"""),"")</f>
        <v/>
      </c>
      <c r="D5478" t="str">
        <f>IFERROR(__xludf.DUMMYFUNCTION("""COMPUTED_VALUE"""),"")</f>
        <v/>
      </c>
      <c r="E5478" t="str">
        <f>IFERROR(__xludf.DUMMYFUNCTION("""COMPUTED_VALUE"""),"")</f>
        <v/>
      </c>
      <c r="F5478" t="str">
        <f>IFERROR(__xludf.DUMMYFUNCTION("""COMPUTED_VALUE"""),"")</f>
        <v/>
      </c>
      <c r="G5478" t="str">
        <f>IFERROR(__xludf.DUMMYFUNCTION("""COMPUTED_VALUE"""),"")</f>
        <v/>
      </c>
      <c r="H5478" s="2" t="str">
        <f>IFERROR(__xludf.DUMMYFUNCTION("""COMPUTED_VALUE"""),"")</f>
        <v/>
      </c>
      <c r="I5478" s="2" t="str">
        <f>IFERROR(__xludf.DUMMYFUNCTION("""COMPUTED_VALUE"""),"")</f>
        <v/>
      </c>
      <c r="J5478" s="2">
        <f>IFERROR(__xludf.DUMMYFUNCTION("""COMPUTED_VALUE"""),0.0)</f>
        <v>0</v>
      </c>
      <c r="K5478" s="5" t="str">
        <f>IFERROR(__xludf.DUMMYFUNCTION("""COMPUTED_VALUE"""),"")</f>
        <v/>
      </c>
      <c r="L5478" t="str">
        <f>IFERROR(__xludf.DUMMYFUNCTION("""COMPUTED_VALUE"""),"")</f>
        <v/>
      </c>
      <c r="M5478" t="str">
        <f>IFERROR(__xludf.DUMMYFUNCTION("""COMPUTED_VALUE"""),"")</f>
        <v/>
      </c>
      <c r="N5478" t="str">
        <f>IFERROR(__xludf.DUMMYFUNCTION("""COMPUTED_VALUE"""),"")</f>
        <v/>
      </c>
      <c r="O5478" t="str">
        <f>IFERROR(__xludf.DUMMYFUNCTION("""COMPUTED_VALUE"""),"")</f>
        <v/>
      </c>
      <c r="P5478" t="str">
        <f>IFERROR(__xludf.DUMMYFUNCTION("""COMPUTED_VALUE"""),"ID ")</f>
        <v>ID </v>
      </c>
    </row>
    <row r="5479">
      <c r="A5479" s="6" t="str">
        <f>IFERROR(__xludf.DUMMYFUNCTION("""COMPUTED_VALUE"""),"")</f>
        <v/>
      </c>
      <c r="C5479" t="str">
        <f>IFERROR(__xludf.DUMMYFUNCTION("""COMPUTED_VALUE"""),"")</f>
        <v/>
      </c>
      <c r="D5479" t="str">
        <f>IFERROR(__xludf.DUMMYFUNCTION("""COMPUTED_VALUE"""),"")</f>
        <v/>
      </c>
      <c r="E5479" t="str">
        <f>IFERROR(__xludf.DUMMYFUNCTION("""COMPUTED_VALUE"""),"")</f>
        <v/>
      </c>
      <c r="F5479" t="str">
        <f>IFERROR(__xludf.DUMMYFUNCTION("""COMPUTED_VALUE"""),"")</f>
        <v/>
      </c>
      <c r="G5479" t="str">
        <f>IFERROR(__xludf.DUMMYFUNCTION("""COMPUTED_VALUE"""),"")</f>
        <v/>
      </c>
      <c r="H5479" s="2" t="str">
        <f>IFERROR(__xludf.DUMMYFUNCTION("""COMPUTED_VALUE"""),"")</f>
        <v/>
      </c>
      <c r="I5479" s="2" t="str">
        <f>IFERROR(__xludf.DUMMYFUNCTION("""COMPUTED_VALUE"""),"")</f>
        <v/>
      </c>
      <c r="J5479" s="2">
        <f>IFERROR(__xludf.DUMMYFUNCTION("""COMPUTED_VALUE"""),0.0)</f>
        <v>0</v>
      </c>
      <c r="K5479" s="5" t="str">
        <f>IFERROR(__xludf.DUMMYFUNCTION("""COMPUTED_VALUE"""),"")</f>
        <v/>
      </c>
      <c r="L5479" t="str">
        <f>IFERROR(__xludf.DUMMYFUNCTION("""COMPUTED_VALUE"""),"")</f>
        <v/>
      </c>
      <c r="M5479" t="str">
        <f>IFERROR(__xludf.DUMMYFUNCTION("""COMPUTED_VALUE"""),"")</f>
        <v/>
      </c>
      <c r="N5479" t="str">
        <f>IFERROR(__xludf.DUMMYFUNCTION("""COMPUTED_VALUE"""),"")</f>
        <v/>
      </c>
      <c r="O5479" t="str">
        <f>IFERROR(__xludf.DUMMYFUNCTION("""COMPUTED_VALUE"""),"")</f>
        <v/>
      </c>
      <c r="P5479" t="str">
        <f>IFERROR(__xludf.DUMMYFUNCTION("""COMPUTED_VALUE"""),"ID ")</f>
        <v>ID </v>
      </c>
    </row>
    <row r="5480">
      <c r="A5480" s="6" t="str">
        <f>IFERROR(__xludf.DUMMYFUNCTION("""COMPUTED_VALUE"""),"")</f>
        <v/>
      </c>
      <c r="C5480" t="str">
        <f>IFERROR(__xludf.DUMMYFUNCTION("""COMPUTED_VALUE"""),"")</f>
        <v/>
      </c>
      <c r="D5480" t="str">
        <f>IFERROR(__xludf.DUMMYFUNCTION("""COMPUTED_VALUE"""),"")</f>
        <v/>
      </c>
      <c r="E5480" t="str">
        <f>IFERROR(__xludf.DUMMYFUNCTION("""COMPUTED_VALUE"""),"")</f>
        <v/>
      </c>
      <c r="F5480" t="str">
        <f>IFERROR(__xludf.DUMMYFUNCTION("""COMPUTED_VALUE"""),"")</f>
        <v/>
      </c>
      <c r="G5480" t="str">
        <f>IFERROR(__xludf.DUMMYFUNCTION("""COMPUTED_VALUE"""),"")</f>
        <v/>
      </c>
      <c r="H5480" s="2" t="str">
        <f>IFERROR(__xludf.DUMMYFUNCTION("""COMPUTED_VALUE"""),"")</f>
        <v/>
      </c>
      <c r="I5480" s="2" t="str">
        <f>IFERROR(__xludf.DUMMYFUNCTION("""COMPUTED_VALUE"""),"")</f>
        <v/>
      </c>
      <c r="J5480" s="2">
        <f>IFERROR(__xludf.DUMMYFUNCTION("""COMPUTED_VALUE"""),0.0)</f>
        <v>0</v>
      </c>
      <c r="K5480" s="5" t="str">
        <f>IFERROR(__xludf.DUMMYFUNCTION("""COMPUTED_VALUE"""),"")</f>
        <v/>
      </c>
      <c r="L5480" t="str">
        <f>IFERROR(__xludf.DUMMYFUNCTION("""COMPUTED_VALUE"""),"")</f>
        <v/>
      </c>
      <c r="M5480" t="str">
        <f>IFERROR(__xludf.DUMMYFUNCTION("""COMPUTED_VALUE"""),"")</f>
        <v/>
      </c>
      <c r="N5480" t="str">
        <f>IFERROR(__xludf.DUMMYFUNCTION("""COMPUTED_VALUE"""),"")</f>
        <v/>
      </c>
      <c r="O5480" t="str">
        <f>IFERROR(__xludf.DUMMYFUNCTION("""COMPUTED_VALUE"""),"")</f>
        <v/>
      </c>
      <c r="P5480" t="str">
        <f>IFERROR(__xludf.DUMMYFUNCTION("""COMPUTED_VALUE"""),"ID ")</f>
        <v>ID </v>
      </c>
    </row>
    <row r="5481">
      <c r="A5481" s="6" t="str">
        <f>IFERROR(__xludf.DUMMYFUNCTION("""COMPUTED_VALUE"""),"")</f>
        <v/>
      </c>
      <c r="C5481" t="str">
        <f>IFERROR(__xludf.DUMMYFUNCTION("""COMPUTED_VALUE"""),"")</f>
        <v/>
      </c>
      <c r="D5481" t="str">
        <f>IFERROR(__xludf.DUMMYFUNCTION("""COMPUTED_VALUE"""),"")</f>
        <v/>
      </c>
      <c r="E5481" t="str">
        <f>IFERROR(__xludf.DUMMYFUNCTION("""COMPUTED_VALUE"""),"")</f>
        <v/>
      </c>
      <c r="F5481" t="str">
        <f>IFERROR(__xludf.DUMMYFUNCTION("""COMPUTED_VALUE"""),"")</f>
        <v/>
      </c>
      <c r="G5481" t="str">
        <f>IFERROR(__xludf.DUMMYFUNCTION("""COMPUTED_VALUE"""),"")</f>
        <v/>
      </c>
      <c r="H5481" s="2" t="str">
        <f>IFERROR(__xludf.DUMMYFUNCTION("""COMPUTED_VALUE"""),"")</f>
        <v/>
      </c>
      <c r="I5481" s="2" t="str">
        <f>IFERROR(__xludf.DUMMYFUNCTION("""COMPUTED_VALUE"""),"")</f>
        <v/>
      </c>
      <c r="J5481" s="2">
        <f>IFERROR(__xludf.DUMMYFUNCTION("""COMPUTED_VALUE"""),0.0)</f>
        <v>0</v>
      </c>
      <c r="K5481" s="5" t="str">
        <f>IFERROR(__xludf.DUMMYFUNCTION("""COMPUTED_VALUE"""),"")</f>
        <v/>
      </c>
      <c r="L5481" t="str">
        <f>IFERROR(__xludf.DUMMYFUNCTION("""COMPUTED_VALUE"""),"")</f>
        <v/>
      </c>
      <c r="M5481" t="str">
        <f>IFERROR(__xludf.DUMMYFUNCTION("""COMPUTED_VALUE"""),"")</f>
        <v/>
      </c>
      <c r="N5481" t="str">
        <f>IFERROR(__xludf.DUMMYFUNCTION("""COMPUTED_VALUE"""),"")</f>
        <v/>
      </c>
      <c r="O5481" t="str">
        <f>IFERROR(__xludf.DUMMYFUNCTION("""COMPUTED_VALUE"""),"")</f>
        <v/>
      </c>
      <c r="P5481" t="str">
        <f>IFERROR(__xludf.DUMMYFUNCTION("""COMPUTED_VALUE"""),"ID ")</f>
        <v>ID </v>
      </c>
    </row>
    <row r="5482">
      <c r="A5482" s="6" t="str">
        <f>IFERROR(__xludf.DUMMYFUNCTION("""COMPUTED_VALUE"""),"")</f>
        <v/>
      </c>
      <c r="C5482" t="str">
        <f>IFERROR(__xludf.DUMMYFUNCTION("""COMPUTED_VALUE"""),"")</f>
        <v/>
      </c>
      <c r="D5482" t="str">
        <f>IFERROR(__xludf.DUMMYFUNCTION("""COMPUTED_VALUE"""),"")</f>
        <v/>
      </c>
      <c r="E5482" t="str">
        <f>IFERROR(__xludf.DUMMYFUNCTION("""COMPUTED_VALUE"""),"")</f>
        <v/>
      </c>
      <c r="F5482" t="str">
        <f>IFERROR(__xludf.DUMMYFUNCTION("""COMPUTED_VALUE"""),"")</f>
        <v/>
      </c>
      <c r="G5482" t="str">
        <f>IFERROR(__xludf.DUMMYFUNCTION("""COMPUTED_VALUE"""),"")</f>
        <v/>
      </c>
      <c r="H5482" s="2" t="str">
        <f>IFERROR(__xludf.DUMMYFUNCTION("""COMPUTED_VALUE"""),"")</f>
        <v/>
      </c>
      <c r="I5482" s="2" t="str">
        <f>IFERROR(__xludf.DUMMYFUNCTION("""COMPUTED_VALUE"""),"")</f>
        <v/>
      </c>
      <c r="J5482" s="2">
        <f>IFERROR(__xludf.DUMMYFUNCTION("""COMPUTED_VALUE"""),0.0)</f>
        <v>0</v>
      </c>
      <c r="K5482" s="5" t="str">
        <f>IFERROR(__xludf.DUMMYFUNCTION("""COMPUTED_VALUE"""),"")</f>
        <v/>
      </c>
      <c r="L5482" t="str">
        <f>IFERROR(__xludf.DUMMYFUNCTION("""COMPUTED_VALUE"""),"")</f>
        <v/>
      </c>
      <c r="M5482" t="str">
        <f>IFERROR(__xludf.DUMMYFUNCTION("""COMPUTED_VALUE"""),"")</f>
        <v/>
      </c>
      <c r="N5482" t="str">
        <f>IFERROR(__xludf.DUMMYFUNCTION("""COMPUTED_VALUE"""),"")</f>
        <v/>
      </c>
      <c r="O5482" t="str">
        <f>IFERROR(__xludf.DUMMYFUNCTION("""COMPUTED_VALUE"""),"")</f>
        <v/>
      </c>
      <c r="P5482" t="str">
        <f>IFERROR(__xludf.DUMMYFUNCTION("""COMPUTED_VALUE"""),"ID ")</f>
        <v>ID </v>
      </c>
    </row>
    <row r="5483">
      <c r="A5483" s="6" t="str">
        <f>IFERROR(__xludf.DUMMYFUNCTION("""COMPUTED_VALUE"""),"")</f>
        <v/>
      </c>
      <c r="C5483" t="str">
        <f>IFERROR(__xludf.DUMMYFUNCTION("""COMPUTED_VALUE"""),"")</f>
        <v/>
      </c>
      <c r="D5483" t="str">
        <f>IFERROR(__xludf.DUMMYFUNCTION("""COMPUTED_VALUE"""),"")</f>
        <v/>
      </c>
      <c r="E5483" t="str">
        <f>IFERROR(__xludf.DUMMYFUNCTION("""COMPUTED_VALUE"""),"")</f>
        <v/>
      </c>
      <c r="F5483" t="str">
        <f>IFERROR(__xludf.DUMMYFUNCTION("""COMPUTED_VALUE"""),"")</f>
        <v/>
      </c>
      <c r="G5483" t="str">
        <f>IFERROR(__xludf.DUMMYFUNCTION("""COMPUTED_VALUE"""),"")</f>
        <v/>
      </c>
      <c r="H5483" s="2" t="str">
        <f>IFERROR(__xludf.DUMMYFUNCTION("""COMPUTED_VALUE"""),"")</f>
        <v/>
      </c>
      <c r="I5483" s="2" t="str">
        <f>IFERROR(__xludf.DUMMYFUNCTION("""COMPUTED_VALUE"""),"")</f>
        <v/>
      </c>
      <c r="J5483" s="2">
        <f>IFERROR(__xludf.DUMMYFUNCTION("""COMPUTED_VALUE"""),0.0)</f>
        <v>0</v>
      </c>
      <c r="K5483" s="5" t="str">
        <f>IFERROR(__xludf.DUMMYFUNCTION("""COMPUTED_VALUE"""),"")</f>
        <v/>
      </c>
      <c r="L5483" t="str">
        <f>IFERROR(__xludf.DUMMYFUNCTION("""COMPUTED_VALUE"""),"")</f>
        <v/>
      </c>
      <c r="M5483" t="str">
        <f>IFERROR(__xludf.DUMMYFUNCTION("""COMPUTED_VALUE"""),"")</f>
        <v/>
      </c>
      <c r="N5483" t="str">
        <f>IFERROR(__xludf.DUMMYFUNCTION("""COMPUTED_VALUE"""),"")</f>
        <v/>
      </c>
      <c r="O5483" t="str">
        <f>IFERROR(__xludf.DUMMYFUNCTION("""COMPUTED_VALUE"""),"")</f>
        <v/>
      </c>
      <c r="P5483" t="str">
        <f>IFERROR(__xludf.DUMMYFUNCTION("""COMPUTED_VALUE"""),"ID ")</f>
        <v>ID </v>
      </c>
    </row>
    <row r="5484">
      <c r="A5484" s="6" t="str">
        <f>IFERROR(__xludf.DUMMYFUNCTION("""COMPUTED_VALUE"""),"")</f>
        <v/>
      </c>
      <c r="C5484" t="str">
        <f>IFERROR(__xludf.DUMMYFUNCTION("""COMPUTED_VALUE"""),"")</f>
        <v/>
      </c>
      <c r="D5484" t="str">
        <f>IFERROR(__xludf.DUMMYFUNCTION("""COMPUTED_VALUE"""),"")</f>
        <v/>
      </c>
      <c r="E5484" t="str">
        <f>IFERROR(__xludf.DUMMYFUNCTION("""COMPUTED_VALUE"""),"")</f>
        <v/>
      </c>
      <c r="F5484" t="str">
        <f>IFERROR(__xludf.DUMMYFUNCTION("""COMPUTED_VALUE"""),"")</f>
        <v/>
      </c>
      <c r="G5484" t="str">
        <f>IFERROR(__xludf.DUMMYFUNCTION("""COMPUTED_VALUE"""),"")</f>
        <v/>
      </c>
      <c r="H5484" s="2" t="str">
        <f>IFERROR(__xludf.DUMMYFUNCTION("""COMPUTED_VALUE"""),"")</f>
        <v/>
      </c>
      <c r="I5484" s="2" t="str">
        <f>IFERROR(__xludf.DUMMYFUNCTION("""COMPUTED_VALUE"""),"")</f>
        <v/>
      </c>
      <c r="J5484" s="2">
        <f>IFERROR(__xludf.DUMMYFUNCTION("""COMPUTED_VALUE"""),0.0)</f>
        <v>0</v>
      </c>
      <c r="K5484" s="5" t="str">
        <f>IFERROR(__xludf.DUMMYFUNCTION("""COMPUTED_VALUE"""),"")</f>
        <v/>
      </c>
      <c r="L5484" t="str">
        <f>IFERROR(__xludf.DUMMYFUNCTION("""COMPUTED_VALUE"""),"")</f>
        <v/>
      </c>
      <c r="M5484" t="str">
        <f>IFERROR(__xludf.DUMMYFUNCTION("""COMPUTED_VALUE"""),"")</f>
        <v/>
      </c>
      <c r="N5484" t="str">
        <f>IFERROR(__xludf.DUMMYFUNCTION("""COMPUTED_VALUE"""),"")</f>
        <v/>
      </c>
      <c r="O5484" t="str">
        <f>IFERROR(__xludf.DUMMYFUNCTION("""COMPUTED_VALUE"""),"")</f>
        <v/>
      </c>
      <c r="P5484" t="str">
        <f>IFERROR(__xludf.DUMMYFUNCTION("""COMPUTED_VALUE"""),"ID ")</f>
        <v>ID </v>
      </c>
    </row>
    <row r="5485">
      <c r="A5485" s="6" t="str">
        <f>IFERROR(__xludf.DUMMYFUNCTION("""COMPUTED_VALUE"""),"")</f>
        <v/>
      </c>
      <c r="C5485" t="str">
        <f>IFERROR(__xludf.DUMMYFUNCTION("""COMPUTED_VALUE"""),"")</f>
        <v/>
      </c>
      <c r="D5485" t="str">
        <f>IFERROR(__xludf.DUMMYFUNCTION("""COMPUTED_VALUE"""),"")</f>
        <v/>
      </c>
      <c r="E5485" t="str">
        <f>IFERROR(__xludf.DUMMYFUNCTION("""COMPUTED_VALUE"""),"")</f>
        <v/>
      </c>
      <c r="F5485" t="str">
        <f>IFERROR(__xludf.DUMMYFUNCTION("""COMPUTED_VALUE"""),"")</f>
        <v/>
      </c>
      <c r="G5485" t="str">
        <f>IFERROR(__xludf.DUMMYFUNCTION("""COMPUTED_VALUE"""),"")</f>
        <v/>
      </c>
      <c r="H5485" s="2" t="str">
        <f>IFERROR(__xludf.DUMMYFUNCTION("""COMPUTED_VALUE"""),"")</f>
        <v/>
      </c>
      <c r="I5485" s="2" t="str">
        <f>IFERROR(__xludf.DUMMYFUNCTION("""COMPUTED_VALUE"""),"")</f>
        <v/>
      </c>
      <c r="J5485" s="2">
        <f>IFERROR(__xludf.DUMMYFUNCTION("""COMPUTED_VALUE"""),0.0)</f>
        <v>0</v>
      </c>
      <c r="K5485" s="5" t="str">
        <f>IFERROR(__xludf.DUMMYFUNCTION("""COMPUTED_VALUE"""),"")</f>
        <v/>
      </c>
      <c r="L5485" t="str">
        <f>IFERROR(__xludf.DUMMYFUNCTION("""COMPUTED_VALUE"""),"")</f>
        <v/>
      </c>
      <c r="M5485" t="str">
        <f>IFERROR(__xludf.DUMMYFUNCTION("""COMPUTED_VALUE"""),"")</f>
        <v/>
      </c>
      <c r="N5485" t="str">
        <f>IFERROR(__xludf.DUMMYFUNCTION("""COMPUTED_VALUE"""),"")</f>
        <v/>
      </c>
      <c r="O5485" t="str">
        <f>IFERROR(__xludf.DUMMYFUNCTION("""COMPUTED_VALUE"""),"")</f>
        <v/>
      </c>
      <c r="P5485" t="str">
        <f>IFERROR(__xludf.DUMMYFUNCTION("""COMPUTED_VALUE"""),"ID ")</f>
        <v>ID </v>
      </c>
    </row>
    <row r="5486">
      <c r="A5486" s="6" t="str">
        <f>IFERROR(__xludf.DUMMYFUNCTION("""COMPUTED_VALUE"""),"")</f>
        <v/>
      </c>
      <c r="C5486" t="str">
        <f>IFERROR(__xludf.DUMMYFUNCTION("""COMPUTED_VALUE"""),"")</f>
        <v/>
      </c>
      <c r="D5486" t="str">
        <f>IFERROR(__xludf.DUMMYFUNCTION("""COMPUTED_VALUE"""),"")</f>
        <v/>
      </c>
      <c r="E5486" t="str">
        <f>IFERROR(__xludf.DUMMYFUNCTION("""COMPUTED_VALUE"""),"")</f>
        <v/>
      </c>
      <c r="F5486" t="str">
        <f>IFERROR(__xludf.DUMMYFUNCTION("""COMPUTED_VALUE"""),"")</f>
        <v/>
      </c>
      <c r="G5486" t="str">
        <f>IFERROR(__xludf.DUMMYFUNCTION("""COMPUTED_VALUE"""),"")</f>
        <v/>
      </c>
      <c r="H5486" s="2" t="str">
        <f>IFERROR(__xludf.DUMMYFUNCTION("""COMPUTED_VALUE"""),"")</f>
        <v/>
      </c>
      <c r="I5486" s="2" t="str">
        <f>IFERROR(__xludf.DUMMYFUNCTION("""COMPUTED_VALUE"""),"")</f>
        <v/>
      </c>
      <c r="J5486" s="2">
        <f>IFERROR(__xludf.DUMMYFUNCTION("""COMPUTED_VALUE"""),0.0)</f>
        <v>0</v>
      </c>
      <c r="K5486" s="5" t="str">
        <f>IFERROR(__xludf.DUMMYFUNCTION("""COMPUTED_VALUE"""),"")</f>
        <v/>
      </c>
      <c r="L5486" t="str">
        <f>IFERROR(__xludf.DUMMYFUNCTION("""COMPUTED_VALUE"""),"")</f>
        <v/>
      </c>
      <c r="M5486" t="str">
        <f>IFERROR(__xludf.DUMMYFUNCTION("""COMPUTED_VALUE"""),"")</f>
        <v/>
      </c>
      <c r="N5486" t="str">
        <f>IFERROR(__xludf.DUMMYFUNCTION("""COMPUTED_VALUE"""),"")</f>
        <v/>
      </c>
      <c r="O5486" t="str">
        <f>IFERROR(__xludf.DUMMYFUNCTION("""COMPUTED_VALUE"""),"")</f>
        <v/>
      </c>
      <c r="P5486" t="str">
        <f>IFERROR(__xludf.DUMMYFUNCTION("""COMPUTED_VALUE"""),"ID ")</f>
        <v>ID </v>
      </c>
    </row>
    <row r="5487">
      <c r="A5487" s="6" t="str">
        <f>IFERROR(__xludf.DUMMYFUNCTION("""COMPUTED_VALUE"""),"")</f>
        <v/>
      </c>
      <c r="C5487" t="str">
        <f>IFERROR(__xludf.DUMMYFUNCTION("""COMPUTED_VALUE"""),"")</f>
        <v/>
      </c>
      <c r="D5487" t="str">
        <f>IFERROR(__xludf.DUMMYFUNCTION("""COMPUTED_VALUE"""),"")</f>
        <v/>
      </c>
      <c r="E5487" t="str">
        <f>IFERROR(__xludf.DUMMYFUNCTION("""COMPUTED_VALUE"""),"")</f>
        <v/>
      </c>
      <c r="F5487" t="str">
        <f>IFERROR(__xludf.DUMMYFUNCTION("""COMPUTED_VALUE"""),"")</f>
        <v/>
      </c>
      <c r="G5487" t="str">
        <f>IFERROR(__xludf.DUMMYFUNCTION("""COMPUTED_VALUE"""),"")</f>
        <v/>
      </c>
      <c r="H5487" s="2" t="str">
        <f>IFERROR(__xludf.DUMMYFUNCTION("""COMPUTED_VALUE"""),"")</f>
        <v/>
      </c>
      <c r="I5487" s="2" t="str">
        <f>IFERROR(__xludf.DUMMYFUNCTION("""COMPUTED_VALUE"""),"")</f>
        <v/>
      </c>
      <c r="J5487" s="2">
        <f>IFERROR(__xludf.DUMMYFUNCTION("""COMPUTED_VALUE"""),0.0)</f>
        <v>0</v>
      </c>
      <c r="K5487" s="5" t="str">
        <f>IFERROR(__xludf.DUMMYFUNCTION("""COMPUTED_VALUE"""),"")</f>
        <v/>
      </c>
      <c r="L5487" t="str">
        <f>IFERROR(__xludf.DUMMYFUNCTION("""COMPUTED_VALUE"""),"")</f>
        <v/>
      </c>
      <c r="M5487" t="str">
        <f>IFERROR(__xludf.DUMMYFUNCTION("""COMPUTED_VALUE"""),"")</f>
        <v/>
      </c>
      <c r="N5487" t="str">
        <f>IFERROR(__xludf.DUMMYFUNCTION("""COMPUTED_VALUE"""),"")</f>
        <v/>
      </c>
      <c r="O5487" t="str">
        <f>IFERROR(__xludf.DUMMYFUNCTION("""COMPUTED_VALUE"""),"")</f>
        <v/>
      </c>
      <c r="P5487" t="str">
        <f>IFERROR(__xludf.DUMMYFUNCTION("""COMPUTED_VALUE"""),"ID ")</f>
        <v>ID </v>
      </c>
    </row>
    <row r="5488">
      <c r="A5488" s="6" t="str">
        <f>IFERROR(__xludf.DUMMYFUNCTION("""COMPUTED_VALUE"""),"")</f>
        <v/>
      </c>
      <c r="C5488" t="str">
        <f>IFERROR(__xludf.DUMMYFUNCTION("""COMPUTED_VALUE"""),"")</f>
        <v/>
      </c>
      <c r="D5488" t="str">
        <f>IFERROR(__xludf.DUMMYFUNCTION("""COMPUTED_VALUE"""),"")</f>
        <v/>
      </c>
      <c r="E5488" t="str">
        <f>IFERROR(__xludf.DUMMYFUNCTION("""COMPUTED_VALUE"""),"")</f>
        <v/>
      </c>
      <c r="F5488" t="str">
        <f>IFERROR(__xludf.DUMMYFUNCTION("""COMPUTED_VALUE"""),"")</f>
        <v/>
      </c>
      <c r="G5488" t="str">
        <f>IFERROR(__xludf.DUMMYFUNCTION("""COMPUTED_VALUE"""),"")</f>
        <v/>
      </c>
      <c r="H5488" s="2" t="str">
        <f>IFERROR(__xludf.DUMMYFUNCTION("""COMPUTED_VALUE"""),"")</f>
        <v/>
      </c>
      <c r="I5488" s="2" t="str">
        <f>IFERROR(__xludf.DUMMYFUNCTION("""COMPUTED_VALUE"""),"")</f>
        <v/>
      </c>
      <c r="J5488" s="2">
        <f>IFERROR(__xludf.DUMMYFUNCTION("""COMPUTED_VALUE"""),0.0)</f>
        <v>0</v>
      </c>
      <c r="K5488" s="5" t="str">
        <f>IFERROR(__xludf.DUMMYFUNCTION("""COMPUTED_VALUE"""),"")</f>
        <v/>
      </c>
      <c r="L5488" t="str">
        <f>IFERROR(__xludf.DUMMYFUNCTION("""COMPUTED_VALUE"""),"")</f>
        <v/>
      </c>
      <c r="M5488" t="str">
        <f>IFERROR(__xludf.DUMMYFUNCTION("""COMPUTED_VALUE"""),"")</f>
        <v/>
      </c>
      <c r="N5488" t="str">
        <f>IFERROR(__xludf.DUMMYFUNCTION("""COMPUTED_VALUE"""),"")</f>
        <v/>
      </c>
      <c r="O5488" t="str">
        <f>IFERROR(__xludf.DUMMYFUNCTION("""COMPUTED_VALUE"""),"")</f>
        <v/>
      </c>
      <c r="P5488" t="str">
        <f>IFERROR(__xludf.DUMMYFUNCTION("""COMPUTED_VALUE"""),"ID ")</f>
        <v>ID </v>
      </c>
    </row>
    <row r="5489">
      <c r="A5489" s="6" t="str">
        <f>IFERROR(__xludf.DUMMYFUNCTION("""COMPUTED_VALUE"""),"")</f>
        <v/>
      </c>
      <c r="C5489" t="str">
        <f>IFERROR(__xludf.DUMMYFUNCTION("""COMPUTED_VALUE"""),"")</f>
        <v/>
      </c>
      <c r="D5489" t="str">
        <f>IFERROR(__xludf.DUMMYFUNCTION("""COMPUTED_VALUE"""),"")</f>
        <v/>
      </c>
      <c r="E5489" t="str">
        <f>IFERROR(__xludf.DUMMYFUNCTION("""COMPUTED_VALUE"""),"")</f>
        <v/>
      </c>
      <c r="F5489" t="str">
        <f>IFERROR(__xludf.DUMMYFUNCTION("""COMPUTED_VALUE"""),"")</f>
        <v/>
      </c>
      <c r="G5489" t="str">
        <f>IFERROR(__xludf.DUMMYFUNCTION("""COMPUTED_VALUE"""),"")</f>
        <v/>
      </c>
      <c r="H5489" s="2" t="str">
        <f>IFERROR(__xludf.DUMMYFUNCTION("""COMPUTED_VALUE"""),"")</f>
        <v/>
      </c>
      <c r="I5489" s="2" t="str">
        <f>IFERROR(__xludf.DUMMYFUNCTION("""COMPUTED_VALUE"""),"")</f>
        <v/>
      </c>
      <c r="J5489" s="2">
        <f>IFERROR(__xludf.DUMMYFUNCTION("""COMPUTED_VALUE"""),0.0)</f>
        <v>0</v>
      </c>
      <c r="K5489" s="5" t="str">
        <f>IFERROR(__xludf.DUMMYFUNCTION("""COMPUTED_VALUE"""),"")</f>
        <v/>
      </c>
      <c r="L5489" t="str">
        <f>IFERROR(__xludf.DUMMYFUNCTION("""COMPUTED_VALUE"""),"")</f>
        <v/>
      </c>
      <c r="M5489" t="str">
        <f>IFERROR(__xludf.DUMMYFUNCTION("""COMPUTED_VALUE"""),"")</f>
        <v/>
      </c>
      <c r="N5489" t="str">
        <f>IFERROR(__xludf.DUMMYFUNCTION("""COMPUTED_VALUE"""),"")</f>
        <v/>
      </c>
      <c r="O5489" t="str">
        <f>IFERROR(__xludf.DUMMYFUNCTION("""COMPUTED_VALUE"""),"")</f>
        <v/>
      </c>
      <c r="P5489" t="str">
        <f>IFERROR(__xludf.DUMMYFUNCTION("""COMPUTED_VALUE"""),"ID ")</f>
        <v>ID </v>
      </c>
    </row>
    <row r="5490">
      <c r="A5490" s="6" t="str">
        <f>IFERROR(__xludf.DUMMYFUNCTION("""COMPUTED_VALUE"""),"")</f>
        <v/>
      </c>
      <c r="C5490" t="str">
        <f>IFERROR(__xludf.DUMMYFUNCTION("""COMPUTED_VALUE"""),"")</f>
        <v/>
      </c>
      <c r="D5490" t="str">
        <f>IFERROR(__xludf.DUMMYFUNCTION("""COMPUTED_VALUE"""),"")</f>
        <v/>
      </c>
      <c r="E5490" t="str">
        <f>IFERROR(__xludf.DUMMYFUNCTION("""COMPUTED_VALUE"""),"")</f>
        <v/>
      </c>
      <c r="F5490" t="str">
        <f>IFERROR(__xludf.DUMMYFUNCTION("""COMPUTED_VALUE"""),"")</f>
        <v/>
      </c>
      <c r="G5490" t="str">
        <f>IFERROR(__xludf.DUMMYFUNCTION("""COMPUTED_VALUE"""),"")</f>
        <v/>
      </c>
      <c r="H5490" s="2" t="str">
        <f>IFERROR(__xludf.DUMMYFUNCTION("""COMPUTED_VALUE"""),"")</f>
        <v/>
      </c>
      <c r="I5490" s="2" t="str">
        <f>IFERROR(__xludf.DUMMYFUNCTION("""COMPUTED_VALUE"""),"")</f>
        <v/>
      </c>
      <c r="J5490" s="2">
        <f>IFERROR(__xludf.DUMMYFUNCTION("""COMPUTED_VALUE"""),0.0)</f>
        <v>0</v>
      </c>
      <c r="K5490" s="5" t="str">
        <f>IFERROR(__xludf.DUMMYFUNCTION("""COMPUTED_VALUE"""),"")</f>
        <v/>
      </c>
      <c r="L5490" t="str">
        <f>IFERROR(__xludf.DUMMYFUNCTION("""COMPUTED_VALUE"""),"")</f>
        <v/>
      </c>
      <c r="M5490" t="str">
        <f>IFERROR(__xludf.DUMMYFUNCTION("""COMPUTED_VALUE"""),"")</f>
        <v/>
      </c>
      <c r="N5490" t="str">
        <f>IFERROR(__xludf.DUMMYFUNCTION("""COMPUTED_VALUE"""),"")</f>
        <v/>
      </c>
      <c r="O5490" t="str">
        <f>IFERROR(__xludf.DUMMYFUNCTION("""COMPUTED_VALUE"""),"")</f>
        <v/>
      </c>
      <c r="P5490" t="str">
        <f>IFERROR(__xludf.DUMMYFUNCTION("""COMPUTED_VALUE"""),"ID ")</f>
        <v>ID </v>
      </c>
    </row>
    <row r="5491">
      <c r="A5491" s="6" t="str">
        <f>IFERROR(__xludf.DUMMYFUNCTION("""COMPUTED_VALUE"""),"")</f>
        <v/>
      </c>
      <c r="C5491" t="str">
        <f>IFERROR(__xludf.DUMMYFUNCTION("""COMPUTED_VALUE"""),"")</f>
        <v/>
      </c>
      <c r="D5491" t="str">
        <f>IFERROR(__xludf.DUMMYFUNCTION("""COMPUTED_VALUE"""),"")</f>
        <v/>
      </c>
      <c r="E5491" t="str">
        <f>IFERROR(__xludf.DUMMYFUNCTION("""COMPUTED_VALUE"""),"")</f>
        <v/>
      </c>
      <c r="F5491" t="str">
        <f>IFERROR(__xludf.DUMMYFUNCTION("""COMPUTED_VALUE"""),"")</f>
        <v/>
      </c>
      <c r="G5491" t="str">
        <f>IFERROR(__xludf.DUMMYFUNCTION("""COMPUTED_VALUE"""),"")</f>
        <v/>
      </c>
      <c r="H5491" s="2" t="str">
        <f>IFERROR(__xludf.DUMMYFUNCTION("""COMPUTED_VALUE"""),"")</f>
        <v/>
      </c>
      <c r="I5491" s="2" t="str">
        <f>IFERROR(__xludf.DUMMYFUNCTION("""COMPUTED_VALUE"""),"")</f>
        <v/>
      </c>
      <c r="J5491" s="2">
        <f>IFERROR(__xludf.DUMMYFUNCTION("""COMPUTED_VALUE"""),0.0)</f>
        <v>0</v>
      </c>
      <c r="K5491" s="5" t="str">
        <f>IFERROR(__xludf.DUMMYFUNCTION("""COMPUTED_VALUE"""),"")</f>
        <v/>
      </c>
      <c r="L5491" t="str">
        <f>IFERROR(__xludf.DUMMYFUNCTION("""COMPUTED_VALUE"""),"")</f>
        <v/>
      </c>
      <c r="M5491" t="str">
        <f>IFERROR(__xludf.DUMMYFUNCTION("""COMPUTED_VALUE"""),"")</f>
        <v/>
      </c>
      <c r="N5491" t="str">
        <f>IFERROR(__xludf.DUMMYFUNCTION("""COMPUTED_VALUE"""),"")</f>
        <v/>
      </c>
      <c r="O5491" t="str">
        <f>IFERROR(__xludf.DUMMYFUNCTION("""COMPUTED_VALUE"""),"")</f>
        <v/>
      </c>
      <c r="P5491" t="str">
        <f>IFERROR(__xludf.DUMMYFUNCTION("""COMPUTED_VALUE"""),"ID ")</f>
        <v>ID </v>
      </c>
    </row>
    <row r="5492">
      <c r="A5492" s="6" t="str">
        <f>IFERROR(__xludf.DUMMYFUNCTION("""COMPUTED_VALUE"""),"")</f>
        <v/>
      </c>
      <c r="C5492" t="str">
        <f>IFERROR(__xludf.DUMMYFUNCTION("""COMPUTED_VALUE"""),"")</f>
        <v/>
      </c>
      <c r="D5492" t="str">
        <f>IFERROR(__xludf.DUMMYFUNCTION("""COMPUTED_VALUE"""),"")</f>
        <v/>
      </c>
      <c r="E5492" t="str">
        <f>IFERROR(__xludf.DUMMYFUNCTION("""COMPUTED_VALUE"""),"")</f>
        <v/>
      </c>
      <c r="F5492" t="str">
        <f>IFERROR(__xludf.DUMMYFUNCTION("""COMPUTED_VALUE"""),"")</f>
        <v/>
      </c>
      <c r="G5492" t="str">
        <f>IFERROR(__xludf.DUMMYFUNCTION("""COMPUTED_VALUE"""),"")</f>
        <v/>
      </c>
      <c r="H5492" s="2" t="str">
        <f>IFERROR(__xludf.DUMMYFUNCTION("""COMPUTED_VALUE"""),"")</f>
        <v/>
      </c>
      <c r="I5492" s="2" t="str">
        <f>IFERROR(__xludf.DUMMYFUNCTION("""COMPUTED_VALUE"""),"")</f>
        <v/>
      </c>
      <c r="J5492" s="2">
        <f>IFERROR(__xludf.DUMMYFUNCTION("""COMPUTED_VALUE"""),0.0)</f>
        <v>0</v>
      </c>
      <c r="K5492" s="5" t="str">
        <f>IFERROR(__xludf.DUMMYFUNCTION("""COMPUTED_VALUE"""),"")</f>
        <v/>
      </c>
      <c r="L5492" t="str">
        <f>IFERROR(__xludf.DUMMYFUNCTION("""COMPUTED_VALUE"""),"")</f>
        <v/>
      </c>
      <c r="M5492" t="str">
        <f>IFERROR(__xludf.DUMMYFUNCTION("""COMPUTED_VALUE"""),"")</f>
        <v/>
      </c>
      <c r="N5492" t="str">
        <f>IFERROR(__xludf.DUMMYFUNCTION("""COMPUTED_VALUE"""),"")</f>
        <v/>
      </c>
      <c r="O5492" t="str">
        <f>IFERROR(__xludf.DUMMYFUNCTION("""COMPUTED_VALUE"""),"")</f>
        <v/>
      </c>
      <c r="P5492" t="str">
        <f>IFERROR(__xludf.DUMMYFUNCTION("""COMPUTED_VALUE"""),"ID ")</f>
        <v>ID </v>
      </c>
    </row>
    <row r="5493">
      <c r="A5493" s="6" t="str">
        <f>IFERROR(__xludf.DUMMYFUNCTION("""COMPUTED_VALUE"""),"")</f>
        <v/>
      </c>
      <c r="C5493" t="str">
        <f>IFERROR(__xludf.DUMMYFUNCTION("""COMPUTED_VALUE"""),"")</f>
        <v/>
      </c>
      <c r="D5493" t="str">
        <f>IFERROR(__xludf.DUMMYFUNCTION("""COMPUTED_VALUE"""),"")</f>
        <v/>
      </c>
      <c r="E5493" t="str">
        <f>IFERROR(__xludf.DUMMYFUNCTION("""COMPUTED_VALUE"""),"")</f>
        <v/>
      </c>
      <c r="F5493" t="str">
        <f>IFERROR(__xludf.DUMMYFUNCTION("""COMPUTED_VALUE"""),"")</f>
        <v/>
      </c>
      <c r="G5493" t="str">
        <f>IFERROR(__xludf.DUMMYFUNCTION("""COMPUTED_VALUE"""),"")</f>
        <v/>
      </c>
      <c r="H5493" s="2" t="str">
        <f>IFERROR(__xludf.DUMMYFUNCTION("""COMPUTED_VALUE"""),"")</f>
        <v/>
      </c>
      <c r="I5493" s="2" t="str">
        <f>IFERROR(__xludf.DUMMYFUNCTION("""COMPUTED_VALUE"""),"")</f>
        <v/>
      </c>
      <c r="J5493" s="2">
        <f>IFERROR(__xludf.DUMMYFUNCTION("""COMPUTED_VALUE"""),0.0)</f>
        <v>0</v>
      </c>
      <c r="K5493" s="5" t="str">
        <f>IFERROR(__xludf.DUMMYFUNCTION("""COMPUTED_VALUE"""),"")</f>
        <v/>
      </c>
      <c r="L5493" t="str">
        <f>IFERROR(__xludf.DUMMYFUNCTION("""COMPUTED_VALUE"""),"")</f>
        <v/>
      </c>
      <c r="M5493" t="str">
        <f>IFERROR(__xludf.DUMMYFUNCTION("""COMPUTED_VALUE"""),"")</f>
        <v/>
      </c>
      <c r="N5493" t="str">
        <f>IFERROR(__xludf.DUMMYFUNCTION("""COMPUTED_VALUE"""),"")</f>
        <v/>
      </c>
      <c r="O5493" t="str">
        <f>IFERROR(__xludf.DUMMYFUNCTION("""COMPUTED_VALUE"""),"")</f>
        <v/>
      </c>
      <c r="P5493" t="str">
        <f>IFERROR(__xludf.DUMMYFUNCTION("""COMPUTED_VALUE"""),"ID ")</f>
        <v>ID </v>
      </c>
    </row>
    <row r="5494">
      <c r="A5494" s="6" t="str">
        <f>IFERROR(__xludf.DUMMYFUNCTION("""COMPUTED_VALUE"""),"")</f>
        <v/>
      </c>
      <c r="C5494" t="str">
        <f>IFERROR(__xludf.DUMMYFUNCTION("""COMPUTED_VALUE"""),"")</f>
        <v/>
      </c>
      <c r="D5494" t="str">
        <f>IFERROR(__xludf.DUMMYFUNCTION("""COMPUTED_VALUE"""),"")</f>
        <v/>
      </c>
      <c r="E5494" t="str">
        <f>IFERROR(__xludf.DUMMYFUNCTION("""COMPUTED_VALUE"""),"")</f>
        <v/>
      </c>
      <c r="F5494" t="str">
        <f>IFERROR(__xludf.DUMMYFUNCTION("""COMPUTED_VALUE"""),"")</f>
        <v/>
      </c>
      <c r="G5494" t="str">
        <f>IFERROR(__xludf.DUMMYFUNCTION("""COMPUTED_VALUE"""),"")</f>
        <v/>
      </c>
      <c r="H5494" s="2" t="str">
        <f>IFERROR(__xludf.DUMMYFUNCTION("""COMPUTED_VALUE"""),"")</f>
        <v/>
      </c>
      <c r="I5494" s="2" t="str">
        <f>IFERROR(__xludf.DUMMYFUNCTION("""COMPUTED_VALUE"""),"")</f>
        <v/>
      </c>
      <c r="J5494" s="2">
        <f>IFERROR(__xludf.DUMMYFUNCTION("""COMPUTED_VALUE"""),0.0)</f>
        <v>0</v>
      </c>
      <c r="K5494" s="5" t="str">
        <f>IFERROR(__xludf.DUMMYFUNCTION("""COMPUTED_VALUE"""),"")</f>
        <v/>
      </c>
      <c r="L5494" t="str">
        <f>IFERROR(__xludf.DUMMYFUNCTION("""COMPUTED_VALUE"""),"")</f>
        <v/>
      </c>
      <c r="M5494" t="str">
        <f>IFERROR(__xludf.DUMMYFUNCTION("""COMPUTED_VALUE"""),"")</f>
        <v/>
      </c>
      <c r="N5494" t="str">
        <f>IFERROR(__xludf.DUMMYFUNCTION("""COMPUTED_VALUE"""),"")</f>
        <v/>
      </c>
      <c r="O5494" t="str">
        <f>IFERROR(__xludf.DUMMYFUNCTION("""COMPUTED_VALUE"""),"")</f>
        <v/>
      </c>
      <c r="P5494" t="str">
        <f>IFERROR(__xludf.DUMMYFUNCTION("""COMPUTED_VALUE"""),"ID ")</f>
        <v>ID </v>
      </c>
    </row>
    <row r="5495">
      <c r="A5495" s="6" t="str">
        <f>IFERROR(__xludf.DUMMYFUNCTION("""COMPUTED_VALUE"""),"")</f>
        <v/>
      </c>
      <c r="C5495" t="str">
        <f>IFERROR(__xludf.DUMMYFUNCTION("""COMPUTED_VALUE"""),"")</f>
        <v/>
      </c>
      <c r="D5495" t="str">
        <f>IFERROR(__xludf.DUMMYFUNCTION("""COMPUTED_VALUE"""),"")</f>
        <v/>
      </c>
      <c r="E5495" t="str">
        <f>IFERROR(__xludf.DUMMYFUNCTION("""COMPUTED_VALUE"""),"")</f>
        <v/>
      </c>
      <c r="F5495" t="str">
        <f>IFERROR(__xludf.DUMMYFUNCTION("""COMPUTED_VALUE"""),"")</f>
        <v/>
      </c>
      <c r="G5495" t="str">
        <f>IFERROR(__xludf.DUMMYFUNCTION("""COMPUTED_VALUE"""),"")</f>
        <v/>
      </c>
      <c r="H5495" s="2" t="str">
        <f>IFERROR(__xludf.DUMMYFUNCTION("""COMPUTED_VALUE"""),"")</f>
        <v/>
      </c>
      <c r="I5495" s="2" t="str">
        <f>IFERROR(__xludf.DUMMYFUNCTION("""COMPUTED_VALUE"""),"")</f>
        <v/>
      </c>
      <c r="J5495" s="2">
        <f>IFERROR(__xludf.DUMMYFUNCTION("""COMPUTED_VALUE"""),0.0)</f>
        <v>0</v>
      </c>
      <c r="K5495" s="5" t="str">
        <f>IFERROR(__xludf.DUMMYFUNCTION("""COMPUTED_VALUE"""),"")</f>
        <v/>
      </c>
      <c r="L5495" t="str">
        <f>IFERROR(__xludf.DUMMYFUNCTION("""COMPUTED_VALUE"""),"")</f>
        <v/>
      </c>
      <c r="M5495" t="str">
        <f>IFERROR(__xludf.DUMMYFUNCTION("""COMPUTED_VALUE"""),"")</f>
        <v/>
      </c>
      <c r="N5495" t="str">
        <f>IFERROR(__xludf.DUMMYFUNCTION("""COMPUTED_VALUE"""),"")</f>
        <v/>
      </c>
      <c r="O5495" t="str">
        <f>IFERROR(__xludf.DUMMYFUNCTION("""COMPUTED_VALUE"""),"")</f>
        <v/>
      </c>
      <c r="P5495" t="str">
        <f>IFERROR(__xludf.DUMMYFUNCTION("""COMPUTED_VALUE"""),"ID ")</f>
        <v>ID </v>
      </c>
    </row>
    <row r="5496">
      <c r="A5496" s="6" t="str">
        <f>IFERROR(__xludf.DUMMYFUNCTION("""COMPUTED_VALUE"""),"")</f>
        <v/>
      </c>
      <c r="C5496" t="str">
        <f>IFERROR(__xludf.DUMMYFUNCTION("""COMPUTED_VALUE"""),"")</f>
        <v/>
      </c>
      <c r="D5496" t="str">
        <f>IFERROR(__xludf.DUMMYFUNCTION("""COMPUTED_VALUE"""),"")</f>
        <v/>
      </c>
      <c r="E5496" t="str">
        <f>IFERROR(__xludf.DUMMYFUNCTION("""COMPUTED_VALUE"""),"")</f>
        <v/>
      </c>
      <c r="F5496" t="str">
        <f>IFERROR(__xludf.DUMMYFUNCTION("""COMPUTED_VALUE"""),"")</f>
        <v/>
      </c>
      <c r="G5496" t="str">
        <f>IFERROR(__xludf.DUMMYFUNCTION("""COMPUTED_VALUE"""),"")</f>
        <v/>
      </c>
      <c r="H5496" s="2" t="str">
        <f>IFERROR(__xludf.DUMMYFUNCTION("""COMPUTED_VALUE"""),"")</f>
        <v/>
      </c>
      <c r="I5496" s="2" t="str">
        <f>IFERROR(__xludf.DUMMYFUNCTION("""COMPUTED_VALUE"""),"")</f>
        <v/>
      </c>
      <c r="J5496" s="2">
        <f>IFERROR(__xludf.DUMMYFUNCTION("""COMPUTED_VALUE"""),0.0)</f>
        <v>0</v>
      </c>
      <c r="K5496" s="5" t="str">
        <f>IFERROR(__xludf.DUMMYFUNCTION("""COMPUTED_VALUE"""),"")</f>
        <v/>
      </c>
      <c r="L5496" t="str">
        <f>IFERROR(__xludf.DUMMYFUNCTION("""COMPUTED_VALUE"""),"")</f>
        <v/>
      </c>
      <c r="M5496" t="str">
        <f>IFERROR(__xludf.DUMMYFUNCTION("""COMPUTED_VALUE"""),"")</f>
        <v/>
      </c>
      <c r="N5496" t="str">
        <f>IFERROR(__xludf.DUMMYFUNCTION("""COMPUTED_VALUE"""),"")</f>
        <v/>
      </c>
      <c r="O5496" t="str">
        <f>IFERROR(__xludf.DUMMYFUNCTION("""COMPUTED_VALUE"""),"")</f>
        <v/>
      </c>
      <c r="P5496" t="str">
        <f>IFERROR(__xludf.DUMMYFUNCTION("""COMPUTED_VALUE"""),"ID ")</f>
        <v>ID </v>
      </c>
    </row>
    <row r="5497">
      <c r="A5497" s="6" t="str">
        <f>IFERROR(__xludf.DUMMYFUNCTION("""COMPUTED_VALUE"""),"")</f>
        <v/>
      </c>
      <c r="C5497" t="str">
        <f>IFERROR(__xludf.DUMMYFUNCTION("""COMPUTED_VALUE"""),"")</f>
        <v/>
      </c>
      <c r="D5497" t="str">
        <f>IFERROR(__xludf.DUMMYFUNCTION("""COMPUTED_VALUE"""),"")</f>
        <v/>
      </c>
      <c r="E5497" t="str">
        <f>IFERROR(__xludf.DUMMYFUNCTION("""COMPUTED_VALUE"""),"")</f>
        <v/>
      </c>
      <c r="F5497" t="str">
        <f>IFERROR(__xludf.DUMMYFUNCTION("""COMPUTED_VALUE"""),"")</f>
        <v/>
      </c>
      <c r="G5497" t="str">
        <f>IFERROR(__xludf.DUMMYFUNCTION("""COMPUTED_VALUE"""),"")</f>
        <v/>
      </c>
      <c r="H5497" s="2" t="str">
        <f>IFERROR(__xludf.DUMMYFUNCTION("""COMPUTED_VALUE"""),"")</f>
        <v/>
      </c>
      <c r="I5497" s="2" t="str">
        <f>IFERROR(__xludf.DUMMYFUNCTION("""COMPUTED_VALUE"""),"")</f>
        <v/>
      </c>
      <c r="J5497" s="2">
        <f>IFERROR(__xludf.DUMMYFUNCTION("""COMPUTED_VALUE"""),0.0)</f>
        <v>0</v>
      </c>
      <c r="K5497" s="5" t="str">
        <f>IFERROR(__xludf.DUMMYFUNCTION("""COMPUTED_VALUE"""),"")</f>
        <v/>
      </c>
      <c r="L5497" t="str">
        <f>IFERROR(__xludf.DUMMYFUNCTION("""COMPUTED_VALUE"""),"")</f>
        <v/>
      </c>
      <c r="M5497" t="str">
        <f>IFERROR(__xludf.DUMMYFUNCTION("""COMPUTED_VALUE"""),"")</f>
        <v/>
      </c>
      <c r="N5497" t="str">
        <f>IFERROR(__xludf.DUMMYFUNCTION("""COMPUTED_VALUE"""),"")</f>
        <v/>
      </c>
      <c r="O5497" t="str">
        <f>IFERROR(__xludf.DUMMYFUNCTION("""COMPUTED_VALUE"""),"")</f>
        <v/>
      </c>
      <c r="P5497" t="str">
        <f>IFERROR(__xludf.DUMMYFUNCTION("""COMPUTED_VALUE"""),"ID ")</f>
        <v>ID </v>
      </c>
    </row>
    <row r="5498">
      <c r="A5498" s="6" t="str">
        <f>IFERROR(__xludf.DUMMYFUNCTION("""COMPUTED_VALUE"""),"")</f>
        <v/>
      </c>
      <c r="C5498" t="str">
        <f>IFERROR(__xludf.DUMMYFUNCTION("""COMPUTED_VALUE"""),"")</f>
        <v/>
      </c>
      <c r="D5498" t="str">
        <f>IFERROR(__xludf.DUMMYFUNCTION("""COMPUTED_VALUE"""),"")</f>
        <v/>
      </c>
      <c r="E5498" t="str">
        <f>IFERROR(__xludf.DUMMYFUNCTION("""COMPUTED_VALUE"""),"")</f>
        <v/>
      </c>
      <c r="F5498" t="str">
        <f>IFERROR(__xludf.DUMMYFUNCTION("""COMPUTED_VALUE"""),"")</f>
        <v/>
      </c>
      <c r="G5498" t="str">
        <f>IFERROR(__xludf.DUMMYFUNCTION("""COMPUTED_VALUE"""),"")</f>
        <v/>
      </c>
      <c r="H5498" s="2" t="str">
        <f>IFERROR(__xludf.DUMMYFUNCTION("""COMPUTED_VALUE"""),"")</f>
        <v/>
      </c>
      <c r="I5498" s="2" t="str">
        <f>IFERROR(__xludf.DUMMYFUNCTION("""COMPUTED_VALUE"""),"")</f>
        <v/>
      </c>
      <c r="J5498" s="2">
        <f>IFERROR(__xludf.DUMMYFUNCTION("""COMPUTED_VALUE"""),0.0)</f>
        <v>0</v>
      </c>
      <c r="K5498" s="5" t="str">
        <f>IFERROR(__xludf.DUMMYFUNCTION("""COMPUTED_VALUE"""),"")</f>
        <v/>
      </c>
      <c r="L5498" t="str">
        <f>IFERROR(__xludf.DUMMYFUNCTION("""COMPUTED_VALUE"""),"")</f>
        <v/>
      </c>
      <c r="M5498" t="str">
        <f>IFERROR(__xludf.DUMMYFUNCTION("""COMPUTED_VALUE"""),"")</f>
        <v/>
      </c>
      <c r="N5498" t="str">
        <f>IFERROR(__xludf.DUMMYFUNCTION("""COMPUTED_VALUE"""),"")</f>
        <v/>
      </c>
      <c r="O5498" t="str">
        <f>IFERROR(__xludf.DUMMYFUNCTION("""COMPUTED_VALUE"""),"")</f>
        <v/>
      </c>
      <c r="P5498" t="str">
        <f>IFERROR(__xludf.DUMMYFUNCTION("""COMPUTED_VALUE"""),"ID ")</f>
        <v>ID </v>
      </c>
    </row>
    <row r="5499">
      <c r="A5499" s="6" t="str">
        <f>IFERROR(__xludf.DUMMYFUNCTION("""COMPUTED_VALUE"""),"")</f>
        <v/>
      </c>
      <c r="C5499" t="str">
        <f>IFERROR(__xludf.DUMMYFUNCTION("""COMPUTED_VALUE"""),"")</f>
        <v/>
      </c>
      <c r="D5499" t="str">
        <f>IFERROR(__xludf.DUMMYFUNCTION("""COMPUTED_VALUE"""),"")</f>
        <v/>
      </c>
      <c r="E5499" t="str">
        <f>IFERROR(__xludf.DUMMYFUNCTION("""COMPUTED_VALUE"""),"")</f>
        <v/>
      </c>
      <c r="F5499" t="str">
        <f>IFERROR(__xludf.DUMMYFUNCTION("""COMPUTED_VALUE"""),"")</f>
        <v/>
      </c>
      <c r="G5499" t="str">
        <f>IFERROR(__xludf.DUMMYFUNCTION("""COMPUTED_VALUE"""),"")</f>
        <v/>
      </c>
      <c r="H5499" s="2" t="str">
        <f>IFERROR(__xludf.DUMMYFUNCTION("""COMPUTED_VALUE"""),"")</f>
        <v/>
      </c>
      <c r="I5499" s="2" t="str">
        <f>IFERROR(__xludf.DUMMYFUNCTION("""COMPUTED_VALUE"""),"")</f>
        <v/>
      </c>
      <c r="J5499" s="2">
        <f>IFERROR(__xludf.DUMMYFUNCTION("""COMPUTED_VALUE"""),0.0)</f>
        <v>0</v>
      </c>
      <c r="K5499" s="5" t="str">
        <f>IFERROR(__xludf.DUMMYFUNCTION("""COMPUTED_VALUE"""),"")</f>
        <v/>
      </c>
      <c r="L5499" t="str">
        <f>IFERROR(__xludf.DUMMYFUNCTION("""COMPUTED_VALUE"""),"")</f>
        <v/>
      </c>
      <c r="M5499" t="str">
        <f>IFERROR(__xludf.DUMMYFUNCTION("""COMPUTED_VALUE"""),"")</f>
        <v/>
      </c>
      <c r="N5499" t="str">
        <f>IFERROR(__xludf.DUMMYFUNCTION("""COMPUTED_VALUE"""),"")</f>
        <v/>
      </c>
      <c r="O5499" t="str">
        <f>IFERROR(__xludf.DUMMYFUNCTION("""COMPUTED_VALUE"""),"")</f>
        <v/>
      </c>
      <c r="P5499" t="str">
        <f>IFERROR(__xludf.DUMMYFUNCTION("""COMPUTED_VALUE"""),"ID ")</f>
        <v>ID </v>
      </c>
    </row>
    <row r="5500">
      <c r="A5500" s="6" t="str">
        <f>IFERROR(__xludf.DUMMYFUNCTION("""COMPUTED_VALUE"""),"")</f>
        <v/>
      </c>
      <c r="C5500" t="str">
        <f>IFERROR(__xludf.DUMMYFUNCTION("""COMPUTED_VALUE"""),"")</f>
        <v/>
      </c>
      <c r="D5500" t="str">
        <f>IFERROR(__xludf.DUMMYFUNCTION("""COMPUTED_VALUE"""),"")</f>
        <v/>
      </c>
      <c r="E5500" t="str">
        <f>IFERROR(__xludf.DUMMYFUNCTION("""COMPUTED_VALUE"""),"")</f>
        <v/>
      </c>
      <c r="F5500" t="str">
        <f>IFERROR(__xludf.DUMMYFUNCTION("""COMPUTED_VALUE"""),"")</f>
        <v/>
      </c>
      <c r="G5500" t="str">
        <f>IFERROR(__xludf.DUMMYFUNCTION("""COMPUTED_VALUE"""),"")</f>
        <v/>
      </c>
      <c r="H5500" s="2" t="str">
        <f>IFERROR(__xludf.DUMMYFUNCTION("""COMPUTED_VALUE"""),"")</f>
        <v/>
      </c>
      <c r="I5500" s="2" t="str">
        <f>IFERROR(__xludf.DUMMYFUNCTION("""COMPUTED_VALUE"""),"")</f>
        <v/>
      </c>
      <c r="J5500" s="2">
        <f>IFERROR(__xludf.DUMMYFUNCTION("""COMPUTED_VALUE"""),0.0)</f>
        <v>0</v>
      </c>
      <c r="K5500" s="5" t="str">
        <f>IFERROR(__xludf.DUMMYFUNCTION("""COMPUTED_VALUE"""),"")</f>
        <v/>
      </c>
      <c r="L5500" t="str">
        <f>IFERROR(__xludf.DUMMYFUNCTION("""COMPUTED_VALUE"""),"")</f>
        <v/>
      </c>
      <c r="M5500" t="str">
        <f>IFERROR(__xludf.DUMMYFUNCTION("""COMPUTED_VALUE"""),"")</f>
        <v/>
      </c>
      <c r="N5500" t="str">
        <f>IFERROR(__xludf.DUMMYFUNCTION("""COMPUTED_VALUE"""),"")</f>
        <v/>
      </c>
      <c r="O5500" t="str">
        <f>IFERROR(__xludf.DUMMYFUNCTION("""COMPUTED_VALUE"""),"")</f>
        <v/>
      </c>
      <c r="P5500" t="str">
        <f>IFERROR(__xludf.DUMMYFUNCTION("""COMPUTED_VALUE"""),"ID ")</f>
        <v>ID </v>
      </c>
    </row>
    <row r="5501">
      <c r="A5501" s="6" t="str">
        <f>IFERROR(__xludf.DUMMYFUNCTION("""COMPUTED_VALUE"""),"")</f>
        <v/>
      </c>
      <c r="C5501" t="str">
        <f>IFERROR(__xludf.DUMMYFUNCTION("""COMPUTED_VALUE"""),"")</f>
        <v/>
      </c>
      <c r="D5501" t="str">
        <f>IFERROR(__xludf.DUMMYFUNCTION("""COMPUTED_VALUE"""),"")</f>
        <v/>
      </c>
      <c r="E5501" t="str">
        <f>IFERROR(__xludf.DUMMYFUNCTION("""COMPUTED_VALUE"""),"")</f>
        <v/>
      </c>
      <c r="F5501" t="str">
        <f>IFERROR(__xludf.DUMMYFUNCTION("""COMPUTED_VALUE"""),"")</f>
        <v/>
      </c>
      <c r="G5501" t="str">
        <f>IFERROR(__xludf.DUMMYFUNCTION("""COMPUTED_VALUE"""),"")</f>
        <v/>
      </c>
      <c r="H5501" s="2" t="str">
        <f>IFERROR(__xludf.DUMMYFUNCTION("""COMPUTED_VALUE"""),"")</f>
        <v/>
      </c>
      <c r="I5501" s="2" t="str">
        <f>IFERROR(__xludf.DUMMYFUNCTION("""COMPUTED_VALUE"""),"")</f>
        <v/>
      </c>
      <c r="J5501" s="2">
        <f>IFERROR(__xludf.DUMMYFUNCTION("""COMPUTED_VALUE"""),0.0)</f>
        <v>0</v>
      </c>
      <c r="K5501" s="5" t="str">
        <f>IFERROR(__xludf.DUMMYFUNCTION("""COMPUTED_VALUE"""),"")</f>
        <v/>
      </c>
      <c r="L5501" t="str">
        <f>IFERROR(__xludf.DUMMYFUNCTION("""COMPUTED_VALUE"""),"")</f>
        <v/>
      </c>
      <c r="M5501" t="str">
        <f>IFERROR(__xludf.DUMMYFUNCTION("""COMPUTED_VALUE"""),"")</f>
        <v/>
      </c>
      <c r="N5501" t="str">
        <f>IFERROR(__xludf.DUMMYFUNCTION("""COMPUTED_VALUE"""),"")</f>
        <v/>
      </c>
      <c r="O5501" t="str">
        <f>IFERROR(__xludf.DUMMYFUNCTION("""COMPUTED_VALUE"""),"")</f>
        <v/>
      </c>
      <c r="P5501" t="str">
        <f>IFERROR(__xludf.DUMMYFUNCTION("""COMPUTED_VALUE"""),"ID ")</f>
        <v>ID </v>
      </c>
    </row>
    <row r="5502">
      <c r="A5502" s="6" t="str">
        <f>IFERROR(__xludf.DUMMYFUNCTION("""COMPUTED_VALUE"""),"")</f>
        <v/>
      </c>
      <c r="C5502" t="str">
        <f>IFERROR(__xludf.DUMMYFUNCTION("""COMPUTED_VALUE"""),"")</f>
        <v/>
      </c>
      <c r="D5502" t="str">
        <f>IFERROR(__xludf.DUMMYFUNCTION("""COMPUTED_VALUE"""),"")</f>
        <v/>
      </c>
      <c r="E5502" t="str">
        <f>IFERROR(__xludf.DUMMYFUNCTION("""COMPUTED_VALUE"""),"")</f>
        <v/>
      </c>
      <c r="F5502" t="str">
        <f>IFERROR(__xludf.DUMMYFUNCTION("""COMPUTED_VALUE"""),"")</f>
        <v/>
      </c>
      <c r="G5502" t="str">
        <f>IFERROR(__xludf.DUMMYFUNCTION("""COMPUTED_VALUE"""),"")</f>
        <v/>
      </c>
      <c r="H5502" s="2" t="str">
        <f>IFERROR(__xludf.DUMMYFUNCTION("""COMPUTED_VALUE"""),"")</f>
        <v/>
      </c>
      <c r="I5502" s="2" t="str">
        <f>IFERROR(__xludf.DUMMYFUNCTION("""COMPUTED_VALUE"""),"")</f>
        <v/>
      </c>
      <c r="J5502" s="2">
        <f>IFERROR(__xludf.DUMMYFUNCTION("""COMPUTED_VALUE"""),0.0)</f>
        <v>0</v>
      </c>
      <c r="K5502" s="5" t="str">
        <f>IFERROR(__xludf.DUMMYFUNCTION("""COMPUTED_VALUE"""),"")</f>
        <v/>
      </c>
      <c r="L5502" t="str">
        <f>IFERROR(__xludf.DUMMYFUNCTION("""COMPUTED_VALUE"""),"")</f>
        <v/>
      </c>
      <c r="M5502" t="str">
        <f>IFERROR(__xludf.DUMMYFUNCTION("""COMPUTED_VALUE"""),"")</f>
        <v/>
      </c>
      <c r="N5502" t="str">
        <f>IFERROR(__xludf.DUMMYFUNCTION("""COMPUTED_VALUE"""),"")</f>
        <v/>
      </c>
      <c r="O5502" t="str">
        <f>IFERROR(__xludf.DUMMYFUNCTION("""COMPUTED_VALUE"""),"")</f>
        <v/>
      </c>
      <c r="P5502" t="str">
        <f>IFERROR(__xludf.DUMMYFUNCTION("""COMPUTED_VALUE"""),"ID ")</f>
        <v>ID </v>
      </c>
    </row>
    <row r="5503">
      <c r="A5503" s="6" t="str">
        <f>IFERROR(__xludf.DUMMYFUNCTION("""COMPUTED_VALUE"""),"")</f>
        <v/>
      </c>
      <c r="C5503" t="str">
        <f>IFERROR(__xludf.DUMMYFUNCTION("""COMPUTED_VALUE"""),"")</f>
        <v/>
      </c>
      <c r="D5503" t="str">
        <f>IFERROR(__xludf.DUMMYFUNCTION("""COMPUTED_VALUE"""),"")</f>
        <v/>
      </c>
      <c r="E5503" t="str">
        <f>IFERROR(__xludf.DUMMYFUNCTION("""COMPUTED_VALUE"""),"")</f>
        <v/>
      </c>
      <c r="F5503" t="str">
        <f>IFERROR(__xludf.DUMMYFUNCTION("""COMPUTED_VALUE"""),"")</f>
        <v/>
      </c>
      <c r="G5503" t="str">
        <f>IFERROR(__xludf.DUMMYFUNCTION("""COMPUTED_VALUE"""),"")</f>
        <v/>
      </c>
      <c r="H5503" s="2" t="str">
        <f>IFERROR(__xludf.DUMMYFUNCTION("""COMPUTED_VALUE"""),"")</f>
        <v/>
      </c>
      <c r="I5503" s="2" t="str">
        <f>IFERROR(__xludf.DUMMYFUNCTION("""COMPUTED_VALUE"""),"")</f>
        <v/>
      </c>
      <c r="J5503" s="2">
        <f>IFERROR(__xludf.DUMMYFUNCTION("""COMPUTED_VALUE"""),0.0)</f>
        <v>0</v>
      </c>
      <c r="K5503" s="5" t="str">
        <f>IFERROR(__xludf.DUMMYFUNCTION("""COMPUTED_VALUE"""),"")</f>
        <v/>
      </c>
      <c r="L5503" t="str">
        <f>IFERROR(__xludf.DUMMYFUNCTION("""COMPUTED_VALUE"""),"")</f>
        <v/>
      </c>
      <c r="M5503" t="str">
        <f>IFERROR(__xludf.DUMMYFUNCTION("""COMPUTED_VALUE"""),"")</f>
        <v/>
      </c>
      <c r="N5503" t="str">
        <f>IFERROR(__xludf.DUMMYFUNCTION("""COMPUTED_VALUE"""),"")</f>
        <v/>
      </c>
      <c r="O5503" t="str">
        <f>IFERROR(__xludf.DUMMYFUNCTION("""COMPUTED_VALUE"""),"")</f>
        <v/>
      </c>
      <c r="P5503" t="str">
        <f>IFERROR(__xludf.DUMMYFUNCTION("""COMPUTED_VALUE"""),"ID ")</f>
        <v>ID </v>
      </c>
    </row>
    <row r="5504">
      <c r="A5504" s="6" t="str">
        <f>IFERROR(__xludf.DUMMYFUNCTION("""COMPUTED_VALUE"""),"")</f>
        <v/>
      </c>
      <c r="C5504" t="str">
        <f>IFERROR(__xludf.DUMMYFUNCTION("""COMPUTED_VALUE"""),"")</f>
        <v/>
      </c>
      <c r="D5504" t="str">
        <f>IFERROR(__xludf.DUMMYFUNCTION("""COMPUTED_VALUE"""),"")</f>
        <v/>
      </c>
      <c r="E5504" t="str">
        <f>IFERROR(__xludf.DUMMYFUNCTION("""COMPUTED_VALUE"""),"")</f>
        <v/>
      </c>
      <c r="F5504" t="str">
        <f>IFERROR(__xludf.DUMMYFUNCTION("""COMPUTED_VALUE"""),"")</f>
        <v/>
      </c>
      <c r="G5504" t="str">
        <f>IFERROR(__xludf.DUMMYFUNCTION("""COMPUTED_VALUE"""),"")</f>
        <v/>
      </c>
      <c r="H5504" s="2" t="str">
        <f>IFERROR(__xludf.DUMMYFUNCTION("""COMPUTED_VALUE"""),"")</f>
        <v/>
      </c>
      <c r="I5504" s="2" t="str">
        <f>IFERROR(__xludf.DUMMYFUNCTION("""COMPUTED_VALUE"""),"")</f>
        <v/>
      </c>
      <c r="J5504" s="2">
        <f>IFERROR(__xludf.DUMMYFUNCTION("""COMPUTED_VALUE"""),0.0)</f>
        <v>0</v>
      </c>
      <c r="K5504" s="5" t="str">
        <f>IFERROR(__xludf.DUMMYFUNCTION("""COMPUTED_VALUE"""),"")</f>
        <v/>
      </c>
      <c r="L5504" t="str">
        <f>IFERROR(__xludf.DUMMYFUNCTION("""COMPUTED_VALUE"""),"")</f>
        <v/>
      </c>
      <c r="M5504" t="str">
        <f>IFERROR(__xludf.DUMMYFUNCTION("""COMPUTED_VALUE"""),"")</f>
        <v/>
      </c>
      <c r="N5504" t="str">
        <f>IFERROR(__xludf.DUMMYFUNCTION("""COMPUTED_VALUE"""),"")</f>
        <v/>
      </c>
      <c r="O5504" t="str">
        <f>IFERROR(__xludf.DUMMYFUNCTION("""COMPUTED_VALUE"""),"")</f>
        <v/>
      </c>
      <c r="P5504" t="str">
        <f>IFERROR(__xludf.DUMMYFUNCTION("""COMPUTED_VALUE"""),"ID ")</f>
        <v>ID </v>
      </c>
    </row>
    <row r="5505">
      <c r="A5505" s="6" t="str">
        <f>IFERROR(__xludf.DUMMYFUNCTION("""COMPUTED_VALUE"""),"")</f>
        <v/>
      </c>
      <c r="C5505" t="str">
        <f>IFERROR(__xludf.DUMMYFUNCTION("""COMPUTED_VALUE"""),"")</f>
        <v/>
      </c>
      <c r="D5505" t="str">
        <f>IFERROR(__xludf.DUMMYFUNCTION("""COMPUTED_VALUE"""),"")</f>
        <v/>
      </c>
      <c r="E5505" t="str">
        <f>IFERROR(__xludf.DUMMYFUNCTION("""COMPUTED_VALUE"""),"")</f>
        <v/>
      </c>
      <c r="F5505" t="str">
        <f>IFERROR(__xludf.DUMMYFUNCTION("""COMPUTED_VALUE"""),"")</f>
        <v/>
      </c>
      <c r="G5505" t="str">
        <f>IFERROR(__xludf.DUMMYFUNCTION("""COMPUTED_VALUE"""),"")</f>
        <v/>
      </c>
      <c r="H5505" s="2" t="str">
        <f>IFERROR(__xludf.DUMMYFUNCTION("""COMPUTED_VALUE"""),"")</f>
        <v/>
      </c>
      <c r="I5505" s="2" t="str">
        <f>IFERROR(__xludf.DUMMYFUNCTION("""COMPUTED_VALUE"""),"")</f>
        <v/>
      </c>
      <c r="J5505" s="2">
        <f>IFERROR(__xludf.DUMMYFUNCTION("""COMPUTED_VALUE"""),0.0)</f>
        <v>0</v>
      </c>
      <c r="K5505" s="5" t="str">
        <f>IFERROR(__xludf.DUMMYFUNCTION("""COMPUTED_VALUE"""),"")</f>
        <v/>
      </c>
      <c r="L5505" t="str">
        <f>IFERROR(__xludf.DUMMYFUNCTION("""COMPUTED_VALUE"""),"")</f>
        <v/>
      </c>
      <c r="M5505" t="str">
        <f>IFERROR(__xludf.DUMMYFUNCTION("""COMPUTED_VALUE"""),"")</f>
        <v/>
      </c>
      <c r="N5505" t="str">
        <f>IFERROR(__xludf.DUMMYFUNCTION("""COMPUTED_VALUE"""),"")</f>
        <v/>
      </c>
      <c r="O5505" t="str">
        <f>IFERROR(__xludf.DUMMYFUNCTION("""COMPUTED_VALUE"""),"")</f>
        <v/>
      </c>
      <c r="P5505" t="str">
        <f>IFERROR(__xludf.DUMMYFUNCTION("""COMPUTED_VALUE"""),"ID ")</f>
        <v>ID </v>
      </c>
    </row>
    <row r="5506">
      <c r="A5506" s="6" t="str">
        <f>IFERROR(__xludf.DUMMYFUNCTION("""COMPUTED_VALUE"""),"")</f>
        <v/>
      </c>
      <c r="C5506" t="str">
        <f>IFERROR(__xludf.DUMMYFUNCTION("""COMPUTED_VALUE"""),"")</f>
        <v/>
      </c>
      <c r="D5506" t="str">
        <f>IFERROR(__xludf.DUMMYFUNCTION("""COMPUTED_VALUE"""),"")</f>
        <v/>
      </c>
      <c r="E5506" t="str">
        <f>IFERROR(__xludf.DUMMYFUNCTION("""COMPUTED_VALUE"""),"")</f>
        <v/>
      </c>
      <c r="F5506" t="str">
        <f>IFERROR(__xludf.DUMMYFUNCTION("""COMPUTED_VALUE"""),"")</f>
        <v/>
      </c>
      <c r="G5506" t="str">
        <f>IFERROR(__xludf.DUMMYFUNCTION("""COMPUTED_VALUE"""),"")</f>
        <v/>
      </c>
      <c r="H5506" s="2" t="str">
        <f>IFERROR(__xludf.DUMMYFUNCTION("""COMPUTED_VALUE"""),"")</f>
        <v/>
      </c>
      <c r="I5506" s="2" t="str">
        <f>IFERROR(__xludf.DUMMYFUNCTION("""COMPUTED_VALUE"""),"")</f>
        <v/>
      </c>
      <c r="J5506" s="2">
        <f>IFERROR(__xludf.DUMMYFUNCTION("""COMPUTED_VALUE"""),0.0)</f>
        <v>0</v>
      </c>
      <c r="K5506" s="5" t="str">
        <f>IFERROR(__xludf.DUMMYFUNCTION("""COMPUTED_VALUE"""),"")</f>
        <v/>
      </c>
      <c r="L5506" t="str">
        <f>IFERROR(__xludf.DUMMYFUNCTION("""COMPUTED_VALUE"""),"")</f>
        <v/>
      </c>
      <c r="M5506" t="str">
        <f>IFERROR(__xludf.DUMMYFUNCTION("""COMPUTED_VALUE"""),"")</f>
        <v/>
      </c>
      <c r="N5506" t="str">
        <f>IFERROR(__xludf.DUMMYFUNCTION("""COMPUTED_VALUE"""),"")</f>
        <v/>
      </c>
      <c r="O5506" t="str">
        <f>IFERROR(__xludf.DUMMYFUNCTION("""COMPUTED_VALUE"""),"")</f>
        <v/>
      </c>
      <c r="P5506" t="str">
        <f>IFERROR(__xludf.DUMMYFUNCTION("""COMPUTED_VALUE"""),"ID ")</f>
        <v>ID </v>
      </c>
    </row>
    <row r="5507">
      <c r="A5507" s="6" t="str">
        <f>IFERROR(__xludf.DUMMYFUNCTION("""COMPUTED_VALUE"""),"")</f>
        <v/>
      </c>
      <c r="C5507" t="str">
        <f>IFERROR(__xludf.DUMMYFUNCTION("""COMPUTED_VALUE"""),"")</f>
        <v/>
      </c>
      <c r="D5507" t="str">
        <f>IFERROR(__xludf.DUMMYFUNCTION("""COMPUTED_VALUE"""),"")</f>
        <v/>
      </c>
      <c r="E5507" t="str">
        <f>IFERROR(__xludf.DUMMYFUNCTION("""COMPUTED_VALUE"""),"")</f>
        <v/>
      </c>
      <c r="F5507" t="str">
        <f>IFERROR(__xludf.DUMMYFUNCTION("""COMPUTED_VALUE"""),"")</f>
        <v/>
      </c>
      <c r="G5507" t="str">
        <f>IFERROR(__xludf.DUMMYFUNCTION("""COMPUTED_VALUE"""),"")</f>
        <v/>
      </c>
      <c r="H5507" s="2" t="str">
        <f>IFERROR(__xludf.DUMMYFUNCTION("""COMPUTED_VALUE"""),"")</f>
        <v/>
      </c>
      <c r="I5507" s="2" t="str">
        <f>IFERROR(__xludf.DUMMYFUNCTION("""COMPUTED_VALUE"""),"")</f>
        <v/>
      </c>
      <c r="J5507" s="2">
        <f>IFERROR(__xludf.DUMMYFUNCTION("""COMPUTED_VALUE"""),0.0)</f>
        <v>0</v>
      </c>
      <c r="K5507" s="5" t="str">
        <f>IFERROR(__xludf.DUMMYFUNCTION("""COMPUTED_VALUE"""),"")</f>
        <v/>
      </c>
      <c r="L5507" t="str">
        <f>IFERROR(__xludf.DUMMYFUNCTION("""COMPUTED_VALUE"""),"")</f>
        <v/>
      </c>
      <c r="M5507" t="str">
        <f>IFERROR(__xludf.DUMMYFUNCTION("""COMPUTED_VALUE"""),"")</f>
        <v/>
      </c>
      <c r="N5507" t="str">
        <f>IFERROR(__xludf.DUMMYFUNCTION("""COMPUTED_VALUE"""),"")</f>
        <v/>
      </c>
      <c r="O5507" t="str">
        <f>IFERROR(__xludf.DUMMYFUNCTION("""COMPUTED_VALUE"""),"")</f>
        <v/>
      </c>
      <c r="P5507" t="str">
        <f>IFERROR(__xludf.DUMMYFUNCTION("""COMPUTED_VALUE"""),"ID ")</f>
        <v>ID </v>
      </c>
    </row>
    <row r="5508">
      <c r="A5508" s="6" t="str">
        <f>IFERROR(__xludf.DUMMYFUNCTION("""COMPUTED_VALUE"""),"")</f>
        <v/>
      </c>
      <c r="C5508" t="str">
        <f>IFERROR(__xludf.DUMMYFUNCTION("""COMPUTED_VALUE"""),"")</f>
        <v/>
      </c>
      <c r="D5508" t="str">
        <f>IFERROR(__xludf.DUMMYFUNCTION("""COMPUTED_VALUE"""),"")</f>
        <v/>
      </c>
      <c r="E5508" t="str">
        <f>IFERROR(__xludf.DUMMYFUNCTION("""COMPUTED_VALUE"""),"")</f>
        <v/>
      </c>
      <c r="F5508" t="str">
        <f>IFERROR(__xludf.DUMMYFUNCTION("""COMPUTED_VALUE"""),"")</f>
        <v/>
      </c>
      <c r="G5508" t="str">
        <f>IFERROR(__xludf.DUMMYFUNCTION("""COMPUTED_VALUE"""),"")</f>
        <v/>
      </c>
      <c r="H5508" s="2" t="str">
        <f>IFERROR(__xludf.DUMMYFUNCTION("""COMPUTED_VALUE"""),"")</f>
        <v/>
      </c>
      <c r="I5508" s="2" t="str">
        <f>IFERROR(__xludf.DUMMYFUNCTION("""COMPUTED_VALUE"""),"")</f>
        <v/>
      </c>
      <c r="J5508" s="2">
        <f>IFERROR(__xludf.DUMMYFUNCTION("""COMPUTED_VALUE"""),0.0)</f>
        <v>0</v>
      </c>
      <c r="K5508" s="5" t="str">
        <f>IFERROR(__xludf.DUMMYFUNCTION("""COMPUTED_VALUE"""),"")</f>
        <v/>
      </c>
      <c r="L5508" t="str">
        <f>IFERROR(__xludf.DUMMYFUNCTION("""COMPUTED_VALUE"""),"")</f>
        <v/>
      </c>
      <c r="M5508" t="str">
        <f>IFERROR(__xludf.DUMMYFUNCTION("""COMPUTED_VALUE"""),"")</f>
        <v/>
      </c>
      <c r="N5508" t="str">
        <f>IFERROR(__xludf.DUMMYFUNCTION("""COMPUTED_VALUE"""),"")</f>
        <v/>
      </c>
      <c r="O5508" t="str">
        <f>IFERROR(__xludf.DUMMYFUNCTION("""COMPUTED_VALUE"""),"")</f>
        <v/>
      </c>
      <c r="P5508" t="str">
        <f>IFERROR(__xludf.DUMMYFUNCTION("""COMPUTED_VALUE"""),"ID ")</f>
        <v>ID </v>
      </c>
    </row>
    <row r="5509">
      <c r="A5509" s="6" t="str">
        <f>IFERROR(__xludf.DUMMYFUNCTION("""COMPUTED_VALUE"""),"")</f>
        <v/>
      </c>
      <c r="C5509" t="str">
        <f>IFERROR(__xludf.DUMMYFUNCTION("""COMPUTED_VALUE"""),"")</f>
        <v/>
      </c>
      <c r="D5509" t="str">
        <f>IFERROR(__xludf.DUMMYFUNCTION("""COMPUTED_VALUE"""),"")</f>
        <v/>
      </c>
      <c r="E5509" t="str">
        <f>IFERROR(__xludf.DUMMYFUNCTION("""COMPUTED_VALUE"""),"")</f>
        <v/>
      </c>
      <c r="F5509" t="str">
        <f>IFERROR(__xludf.DUMMYFUNCTION("""COMPUTED_VALUE"""),"")</f>
        <v/>
      </c>
      <c r="G5509" t="str">
        <f>IFERROR(__xludf.DUMMYFUNCTION("""COMPUTED_VALUE"""),"")</f>
        <v/>
      </c>
      <c r="H5509" s="2" t="str">
        <f>IFERROR(__xludf.DUMMYFUNCTION("""COMPUTED_VALUE"""),"")</f>
        <v/>
      </c>
      <c r="I5509" s="2" t="str">
        <f>IFERROR(__xludf.DUMMYFUNCTION("""COMPUTED_VALUE"""),"")</f>
        <v/>
      </c>
      <c r="J5509" s="2">
        <f>IFERROR(__xludf.DUMMYFUNCTION("""COMPUTED_VALUE"""),0.0)</f>
        <v>0</v>
      </c>
      <c r="K5509" s="5" t="str">
        <f>IFERROR(__xludf.DUMMYFUNCTION("""COMPUTED_VALUE"""),"")</f>
        <v/>
      </c>
      <c r="L5509" t="str">
        <f>IFERROR(__xludf.DUMMYFUNCTION("""COMPUTED_VALUE"""),"")</f>
        <v/>
      </c>
      <c r="M5509" t="str">
        <f>IFERROR(__xludf.DUMMYFUNCTION("""COMPUTED_VALUE"""),"")</f>
        <v/>
      </c>
      <c r="N5509" t="str">
        <f>IFERROR(__xludf.DUMMYFUNCTION("""COMPUTED_VALUE"""),"")</f>
        <v/>
      </c>
      <c r="O5509" t="str">
        <f>IFERROR(__xludf.DUMMYFUNCTION("""COMPUTED_VALUE"""),"")</f>
        <v/>
      </c>
      <c r="P5509" t="str">
        <f>IFERROR(__xludf.DUMMYFUNCTION("""COMPUTED_VALUE"""),"ID ")</f>
        <v>ID </v>
      </c>
    </row>
    <row r="5510">
      <c r="A5510" s="6" t="str">
        <f>IFERROR(__xludf.DUMMYFUNCTION("""COMPUTED_VALUE"""),"")</f>
        <v/>
      </c>
      <c r="C5510" t="str">
        <f>IFERROR(__xludf.DUMMYFUNCTION("""COMPUTED_VALUE"""),"")</f>
        <v/>
      </c>
      <c r="D5510" t="str">
        <f>IFERROR(__xludf.DUMMYFUNCTION("""COMPUTED_VALUE"""),"")</f>
        <v/>
      </c>
      <c r="E5510" t="str">
        <f>IFERROR(__xludf.DUMMYFUNCTION("""COMPUTED_VALUE"""),"")</f>
        <v/>
      </c>
      <c r="F5510" t="str">
        <f>IFERROR(__xludf.DUMMYFUNCTION("""COMPUTED_VALUE"""),"")</f>
        <v/>
      </c>
      <c r="G5510" t="str">
        <f>IFERROR(__xludf.DUMMYFUNCTION("""COMPUTED_VALUE"""),"")</f>
        <v/>
      </c>
      <c r="H5510" s="2" t="str">
        <f>IFERROR(__xludf.DUMMYFUNCTION("""COMPUTED_VALUE"""),"")</f>
        <v/>
      </c>
      <c r="I5510" s="2" t="str">
        <f>IFERROR(__xludf.DUMMYFUNCTION("""COMPUTED_VALUE"""),"")</f>
        <v/>
      </c>
      <c r="J5510" s="2">
        <f>IFERROR(__xludf.DUMMYFUNCTION("""COMPUTED_VALUE"""),0.0)</f>
        <v>0</v>
      </c>
      <c r="K5510" s="5" t="str">
        <f>IFERROR(__xludf.DUMMYFUNCTION("""COMPUTED_VALUE"""),"")</f>
        <v/>
      </c>
      <c r="L5510" t="str">
        <f>IFERROR(__xludf.DUMMYFUNCTION("""COMPUTED_VALUE"""),"")</f>
        <v/>
      </c>
      <c r="M5510" t="str">
        <f>IFERROR(__xludf.DUMMYFUNCTION("""COMPUTED_VALUE"""),"")</f>
        <v/>
      </c>
      <c r="N5510" t="str">
        <f>IFERROR(__xludf.DUMMYFUNCTION("""COMPUTED_VALUE"""),"")</f>
        <v/>
      </c>
      <c r="O5510" t="str">
        <f>IFERROR(__xludf.DUMMYFUNCTION("""COMPUTED_VALUE"""),"")</f>
        <v/>
      </c>
      <c r="P5510" t="str">
        <f>IFERROR(__xludf.DUMMYFUNCTION("""COMPUTED_VALUE"""),"ID ")</f>
        <v>ID </v>
      </c>
    </row>
    <row r="5511">
      <c r="A5511" s="6" t="str">
        <f>IFERROR(__xludf.DUMMYFUNCTION("""COMPUTED_VALUE"""),"")</f>
        <v/>
      </c>
      <c r="C5511" t="str">
        <f>IFERROR(__xludf.DUMMYFUNCTION("""COMPUTED_VALUE"""),"")</f>
        <v/>
      </c>
      <c r="D5511" t="str">
        <f>IFERROR(__xludf.DUMMYFUNCTION("""COMPUTED_VALUE"""),"")</f>
        <v/>
      </c>
      <c r="E5511" t="str">
        <f>IFERROR(__xludf.DUMMYFUNCTION("""COMPUTED_VALUE"""),"")</f>
        <v/>
      </c>
      <c r="F5511" t="str">
        <f>IFERROR(__xludf.DUMMYFUNCTION("""COMPUTED_VALUE"""),"")</f>
        <v/>
      </c>
      <c r="G5511" t="str">
        <f>IFERROR(__xludf.DUMMYFUNCTION("""COMPUTED_VALUE"""),"")</f>
        <v/>
      </c>
      <c r="H5511" s="2" t="str">
        <f>IFERROR(__xludf.DUMMYFUNCTION("""COMPUTED_VALUE"""),"")</f>
        <v/>
      </c>
      <c r="I5511" s="2" t="str">
        <f>IFERROR(__xludf.DUMMYFUNCTION("""COMPUTED_VALUE"""),"")</f>
        <v/>
      </c>
      <c r="J5511" s="2">
        <f>IFERROR(__xludf.DUMMYFUNCTION("""COMPUTED_VALUE"""),0.0)</f>
        <v>0</v>
      </c>
      <c r="K5511" s="5" t="str">
        <f>IFERROR(__xludf.DUMMYFUNCTION("""COMPUTED_VALUE"""),"")</f>
        <v/>
      </c>
      <c r="L5511" t="str">
        <f>IFERROR(__xludf.DUMMYFUNCTION("""COMPUTED_VALUE"""),"")</f>
        <v/>
      </c>
      <c r="M5511" t="str">
        <f>IFERROR(__xludf.DUMMYFUNCTION("""COMPUTED_VALUE"""),"")</f>
        <v/>
      </c>
      <c r="N5511" t="str">
        <f>IFERROR(__xludf.DUMMYFUNCTION("""COMPUTED_VALUE"""),"")</f>
        <v/>
      </c>
      <c r="O5511" t="str">
        <f>IFERROR(__xludf.DUMMYFUNCTION("""COMPUTED_VALUE"""),"")</f>
        <v/>
      </c>
      <c r="P5511" t="str">
        <f>IFERROR(__xludf.DUMMYFUNCTION("""COMPUTED_VALUE"""),"ID ")</f>
        <v>ID </v>
      </c>
    </row>
    <row r="5512">
      <c r="A5512" s="6" t="str">
        <f>IFERROR(__xludf.DUMMYFUNCTION("""COMPUTED_VALUE"""),"")</f>
        <v/>
      </c>
      <c r="C5512" t="str">
        <f>IFERROR(__xludf.DUMMYFUNCTION("""COMPUTED_VALUE"""),"")</f>
        <v/>
      </c>
      <c r="D5512" t="str">
        <f>IFERROR(__xludf.DUMMYFUNCTION("""COMPUTED_VALUE"""),"")</f>
        <v/>
      </c>
      <c r="E5512" t="str">
        <f>IFERROR(__xludf.DUMMYFUNCTION("""COMPUTED_VALUE"""),"")</f>
        <v/>
      </c>
      <c r="F5512" t="str">
        <f>IFERROR(__xludf.DUMMYFUNCTION("""COMPUTED_VALUE"""),"")</f>
        <v/>
      </c>
      <c r="G5512" t="str">
        <f>IFERROR(__xludf.DUMMYFUNCTION("""COMPUTED_VALUE"""),"")</f>
        <v/>
      </c>
      <c r="H5512" s="2" t="str">
        <f>IFERROR(__xludf.DUMMYFUNCTION("""COMPUTED_VALUE"""),"")</f>
        <v/>
      </c>
      <c r="I5512" s="2" t="str">
        <f>IFERROR(__xludf.DUMMYFUNCTION("""COMPUTED_VALUE"""),"")</f>
        <v/>
      </c>
      <c r="J5512" s="2">
        <f>IFERROR(__xludf.DUMMYFUNCTION("""COMPUTED_VALUE"""),0.0)</f>
        <v>0</v>
      </c>
      <c r="K5512" s="5" t="str">
        <f>IFERROR(__xludf.DUMMYFUNCTION("""COMPUTED_VALUE"""),"")</f>
        <v/>
      </c>
      <c r="L5512" t="str">
        <f>IFERROR(__xludf.DUMMYFUNCTION("""COMPUTED_VALUE"""),"")</f>
        <v/>
      </c>
      <c r="M5512" t="str">
        <f>IFERROR(__xludf.DUMMYFUNCTION("""COMPUTED_VALUE"""),"")</f>
        <v/>
      </c>
      <c r="N5512" t="str">
        <f>IFERROR(__xludf.DUMMYFUNCTION("""COMPUTED_VALUE"""),"")</f>
        <v/>
      </c>
      <c r="O5512" t="str">
        <f>IFERROR(__xludf.DUMMYFUNCTION("""COMPUTED_VALUE"""),"")</f>
        <v/>
      </c>
      <c r="P5512" t="str">
        <f>IFERROR(__xludf.DUMMYFUNCTION("""COMPUTED_VALUE"""),"ID ")</f>
        <v>ID </v>
      </c>
    </row>
    <row r="5513">
      <c r="A5513" s="6" t="str">
        <f>IFERROR(__xludf.DUMMYFUNCTION("""COMPUTED_VALUE"""),"")</f>
        <v/>
      </c>
      <c r="C5513" t="str">
        <f>IFERROR(__xludf.DUMMYFUNCTION("""COMPUTED_VALUE"""),"")</f>
        <v/>
      </c>
      <c r="D5513" t="str">
        <f>IFERROR(__xludf.DUMMYFUNCTION("""COMPUTED_VALUE"""),"")</f>
        <v/>
      </c>
      <c r="E5513" t="str">
        <f>IFERROR(__xludf.DUMMYFUNCTION("""COMPUTED_VALUE"""),"")</f>
        <v/>
      </c>
      <c r="F5513" t="str">
        <f>IFERROR(__xludf.DUMMYFUNCTION("""COMPUTED_VALUE"""),"")</f>
        <v/>
      </c>
      <c r="G5513" t="str">
        <f>IFERROR(__xludf.DUMMYFUNCTION("""COMPUTED_VALUE"""),"")</f>
        <v/>
      </c>
      <c r="H5513" s="2" t="str">
        <f>IFERROR(__xludf.DUMMYFUNCTION("""COMPUTED_VALUE"""),"")</f>
        <v/>
      </c>
      <c r="I5513" s="2" t="str">
        <f>IFERROR(__xludf.DUMMYFUNCTION("""COMPUTED_VALUE"""),"")</f>
        <v/>
      </c>
      <c r="J5513" s="2">
        <f>IFERROR(__xludf.DUMMYFUNCTION("""COMPUTED_VALUE"""),0.0)</f>
        <v>0</v>
      </c>
      <c r="K5513" s="5" t="str">
        <f>IFERROR(__xludf.DUMMYFUNCTION("""COMPUTED_VALUE"""),"")</f>
        <v/>
      </c>
      <c r="L5513" t="str">
        <f>IFERROR(__xludf.DUMMYFUNCTION("""COMPUTED_VALUE"""),"")</f>
        <v/>
      </c>
      <c r="M5513" t="str">
        <f>IFERROR(__xludf.DUMMYFUNCTION("""COMPUTED_VALUE"""),"")</f>
        <v/>
      </c>
      <c r="N5513" t="str">
        <f>IFERROR(__xludf.DUMMYFUNCTION("""COMPUTED_VALUE"""),"")</f>
        <v/>
      </c>
      <c r="O5513" t="str">
        <f>IFERROR(__xludf.DUMMYFUNCTION("""COMPUTED_VALUE"""),"")</f>
        <v/>
      </c>
      <c r="P5513" t="str">
        <f>IFERROR(__xludf.DUMMYFUNCTION("""COMPUTED_VALUE"""),"ID ")</f>
        <v>ID </v>
      </c>
    </row>
    <row r="5514">
      <c r="A5514" s="6" t="str">
        <f>IFERROR(__xludf.DUMMYFUNCTION("""COMPUTED_VALUE"""),"")</f>
        <v/>
      </c>
      <c r="C5514" t="str">
        <f>IFERROR(__xludf.DUMMYFUNCTION("""COMPUTED_VALUE"""),"")</f>
        <v/>
      </c>
      <c r="D5514" t="str">
        <f>IFERROR(__xludf.DUMMYFUNCTION("""COMPUTED_VALUE"""),"")</f>
        <v/>
      </c>
      <c r="E5514" t="str">
        <f>IFERROR(__xludf.DUMMYFUNCTION("""COMPUTED_VALUE"""),"")</f>
        <v/>
      </c>
      <c r="F5514" t="str">
        <f>IFERROR(__xludf.DUMMYFUNCTION("""COMPUTED_VALUE"""),"")</f>
        <v/>
      </c>
      <c r="G5514" t="str">
        <f>IFERROR(__xludf.DUMMYFUNCTION("""COMPUTED_VALUE"""),"")</f>
        <v/>
      </c>
      <c r="H5514" s="2" t="str">
        <f>IFERROR(__xludf.DUMMYFUNCTION("""COMPUTED_VALUE"""),"")</f>
        <v/>
      </c>
      <c r="I5514" s="2" t="str">
        <f>IFERROR(__xludf.DUMMYFUNCTION("""COMPUTED_VALUE"""),"")</f>
        <v/>
      </c>
      <c r="J5514" s="2">
        <f>IFERROR(__xludf.DUMMYFUNCTION("""COMPUTED_VALUE"""),0.0)</f>
        <v>0</v>
      </c>
      <c r="K5514" s="5" t="str">
        <f>IFERROR(__xludf.DUMMYFUNCTION("""COMPUTED_VALUE"""),"")</f>
        <v/>
      </c>
      <c r="L5514" t="str">
        <f>IFERROR(__xludf.DUMMYFUNCTION("""COMPUTED_VALUE"""),"")</f>
        <v/>
      </c>
      <c r="M5514" t="str">
        <f>IFERROR(__xludf.DUMMYFUNCTION("""COMPUTED_VALUE"""),"")</f>
        <v/>
      </c>
      <c r="N5514" t="str">
        <f>IFERROR(__xludf.DUMMYFUNCTION("""COMPUTED_VALUE"""),"")</f>
        <v/>
      </c>
      <c r="O5514" t="str">
        <f>IFERROR(__xludf.DUMMYFUNCTION("""COMPUTED_VALUE"""),"")</f>
        <v/>
      </c>
      <c r="P5514" t="str">
        <f>IFERROR(__xludf.DUMMYFUNCTION("""COMPUTED_VALUE"""),"ID ")</f>
        <v>ID </v>
      </c>
    </row>
    <row r="5515">
      <c r="A5515" s="6" t="str">
        <f>IFERROR(__xludf.DUMMYFUNCTION("""COMPUTED_VALUE"""),"")</f>
        <v/>
      </c>
      <c r="C5515" t="str">
        <f>IFERROR(__xludf.DUMMYFUNCTION("""COMPUTED_VALUE"""),"")</f>
        <v/>
      </c>
      <c r="D5515" t="str">
        <f>IFERROR(__xludf.DUMMYFUNCTION("""COMPUTED_VALUE"""),"")</f>
        <v/>
      </c>
      <c r="E5515" t="str">
        <f>IFERROR(__xludf.DUMMYFUNCTION("""COMPUTED_VALUE"""),"")</f>
        <v/>
      </c>
      <c r="F5515" t="str">
        <f>IFERROR(__xludf.DUMMYFUNCTION("""COMPUTED_VALUE"""),"")</f>
        <v/>
      </c>
      <c r="G5515" t="str">
        <f>IFERROR(__xludf.DUMMYFUNCTION("""COMPUTED_VALUE"""),"")</f>
        <v/>
      </c>
      <c r="H5515" s="2" t="str">
        <f>IFERROR(__xludf.DUMMYFUNCTION("""COMPUTED_VALUE"""),"")</f>
        <v/>
      </c>
      <c r="I5515" s="2" t="str">
        <f>IFERROR(__xludf.DUMMYFUNCTION("""COMPUTED_VALUE"""),"")</f>
        <v/>
      </c>
      <c r="J5515" s="2">
        <f>IFERROR(__xludf.DUMMYFUNCTION("""COMPUTED_VALUE"""),0.0)</f>
        <v>0</v>
      </c>
      <c r="K5515" s="5" t="str">
        <f>IFERROR(__xludf.DUMMYFUNCTION("""COMPUTED_VALUE"""),"")</f>
        <v/>
      </c>
      <c r="L5515" t="str">
        <f>IFERROR(__xludf.DUMMYFUNCTION("""COMPUTED_VALUE"""),"")</f>
        <v/>
      </c>
      <c r="M5515" t="str">
        <f>IFERROR(__xludf.DUMMYFUNCTION("""COMPUTED_VALUE"""),"")</f>
        <v/>
      </c>
      <c r="N5515" t="str">
        <f>IFERROR(__xludf.DUMMYFUNCTION("""COMPUTED_VALUE"""),"")</f>
        <v/>
      </c>
      <c r="O5515" t="str">
        <f>IFERROR(__xludf.DUMMYFUNCTION("""COMPUTED_VALUE"""),"")</f>
        <v/>
      </c>
      <c r="P5515" t="str">
        <f>IFERROR(__xludf.DUMMYFUNCTION("""COMPUTED_VALUE"""),"ID ")</f>
        <v>ID </v>
      </c>
    </row>
    <row r="5516">
      <c r="A5516" s="6" t="str">
        <f>IFERROR(__xludf.DUMMYFUNCTION("""COMPUTED_VALUE"""),"")</f>
        <v/>
      </c>
      <c r="C5516" t="str">
        <f>IFERROR(__xludf.DUMMYFUNCTION("""COMPUTED_VALUE"""),"")</f>
        <v/>
      </c>
      <c r="D5516" t="str">
        <f>IFERROR(__xludf.DUMMYFUNCTION("""COMPUTED_VALUE"""),"")</f>
        <v/>
      </c>
      <c r="E5516" t="str">
        <f>IFERROR(__xludf.DUMMYFUNCTION("""COMPUTED_VALUE"""),"")</f>
        <v/>
      </c>
      <c r="F5516" t="str">
        <f>IFERROR(__xludf.DUMMYFUNCTION("""COMPUTED_VALUE"""),"")</f>
        <v/>
      </c>
      <c r="G5516" t="str">
        <f>IFERROR(__xludf.DUMMYFUNCTION("""COMPUTED_VALUE"""),"")</f>
        <v/>
      </c>
      <c r="H5516" s="2" t="str">
        <f>IFERROR(__xludf.DUMMYFUNCTION("""COMPUTED_VALUE"""),"")</f>
        <v/>
      </c>
      <c r="I5516" s="2" t="str">
        <f>IFERROR(__xludf.DUMMYFUNCTION("""COMPUTED_VALUE"""),"")</f>
        <v/>
      </c>
      <c r="J5516" s="2">
        <f>IFERROR(__xludf.DUMMYFUNCTION("""COMPUTED_VALUE"""),0.0)</f>
        <v>0</v>
      </c>
      <c r="K5516" s="5" t="str">
        <f>IFERROR(__xludf.DUMMYFUNCTION("""COMPUTED_VALUE"""),"")</f>
        <v/>
      </c>
      <c r="L5516" t="str">
        <f>IFERROR(__xludf.DUMMYFUNCTION("""COMPUTED_VALUE"""),"")</f>
        <v/>
      </c>
      <c r="M5516" t="str">
        <f>IFERROR(__xludf.DUMMYFUNCTION("""COMPUTED_VALUE"""),"")</f>
        <v/>
      </c>
      <c r="N5516" t="str">
        <f>IFERROR(__xludf.DUMMYFUNCTION("""COMPUTED_VALUE"""),"")</f>
        <v/>
      </c>
      <c r="O5516" t="str">
        <f>IFERROR(__xludf.DUMMYFUNCTION("""COMPUTED_VALUE"""),"")</f>
        <v/>
      </c>
      <c r="P5516" t="str">
        <f>IFERROR(__xludf.DUMMYFUNCTION("""COMPUTED_VALUE"""),"ID ")</f>
        <v>ID </v>
      </c>
    </row>
    <row r="5517">
      <c r="A5517" s="6" t="str">
        <f>IFERROR(__xludf.DUMMYFUNCTION("""COMPUTED_VALUE"""),"")</f>
        <v/>
      </c>
      <c r="C5517" t="str">
        <f>IFERROR(__xludf.DUMMYFUNCTION("""COMPUTED_VALUE"""),"")</f>
        <v/>
      </c>
      <c r="D5517" t="str">
        <f>IFERROR(__xludf.DUMMYFUNCTION("""COMPUTED_VALUE"""),"")</f>
        <v/>
      </c>
      <c r="E5517" t="str">
        <f>IFERROR(__xludf.DUMMYFUNCTION("""COMPUTED_VALUE"""),"")</f>
        <v/>
      </c>
      <c r="F5517" t="str">
        <f>IFERROR(__xludf.DUMMYFUNCTION("""COMPUTED_VALUE"""),"")</f>
        <v/>
      </c>
      <c r="G5517" t="str">
        <f>IFERROR(__xludf.DUMMYFUNCTION("""COMPUTED_VALUE"""),"")</f>
        <v/>
      </c>
      <c r="H5517" s="2" t="str">
        <f>IFERROR(__xludf.DUMMYFUNCTION("""COMPUTED_VALUE"""),"")</f>
        <v/>
      </c>
      <c r="I5517" s="2" t="str">
        <f>IFERROR(__xludf.DUMMYFUNCTION("""COMPUTED_VALUE"""),"")</f>
        <v/>
      </c>
      <c r="J5517" s="2">
        <f>IFERROR(__xludf.DUMMYFUNCTION("""COMPUTED_VALUE"""),0.0)</f>
        <v>0</v>
      </c>
      <c r="K5517" s="5" t="str">
        <f>IFERROR(__xludf.DUMMYFUNCTION("""COMPUTED_VALUE"""),"")</f>
        <v/>
      </c>
      <c r="L5517" t="str">
        <f>IFERROR(__xludf.DUMMYFUNCTION("""COMPUTED_VALUE"""),"")</f>
        <v/>
      </c>
      <c r="M5517" t="str">
        <f>IFERROR(__xludf.DUMMYFUNCTION("""COMPUTED_VALUE"""),"")</f>
        <v/>
      </c>
      <c r="N5517" t="str">
        <f>IFERROR(__xludf.DUMMYFUNCTION("""COMPUTED_VALUE"""),"")</f>
        <v/>
      </c>
      <c r="O5517" t="str">
        <f>IFERROR(__xludf.DUMMYFUNCTION("""COMPUTED_VALUE"""),"")</f>
        <v/>
      </c>
      <c r="P5517" t="str">
        <f>IFERROR(__xludf.DUMMYFUNCTION("""COMPUTED_VALUE"""),"ID ")</f>
        <v>ID </v>
      </c>
    </row>
    <row r="5518">
      <c r="A5518" s="6" t="str">
        <f>IFERROR(__xludf.DUMMYFUNCTION("""COMPUTED_VALUE"""),"")</f>
        <v/>
      </c>
      <c r="C5518" t="str">
        <f>IFERROR(__xludf.DUMMYFUNCTION("""COMPUTED_VALUE"""),"")</f>
        <v/>
      </c>
      <c r="D5518" t="str">
        <f>IFERROR(__xludf.DUMMYFUNCTION("""COMPUTED_VALUE"""),"")</f>
        <v/>
      </c>
      <c r="E5518" t="str">
        <f>IFERROR(__xludf.DUMMYFUNCTION("""COMPUTED_VALUE"""),"")</f>
        <v/>
      </c>
      <c r="F5518" t="str">
        <f>IFERROR(__xludf.DUMMYFUNCTION("""COMPUTED_VALUE"""),"")</f>
        <v/>
      </c>
      <c r="G5518" t="str">
        <f>IFERROR(__xludf.DUMMYFUNCTION("""COMPUTED_VALUE"""),"")</f>
        <v/>
      </c>
      <c r="H5518" s="2" t="str">
        <f>IFERROR(__xludf.DUMMYFUNCTION("""COMPUTED_VALUE"""),"")</f>
        <v/>
      </c>
      <c r="I5518" s="2" t="str">
        <f>IFERROR(__xludf.DUMMYFUNCTION("""COMPUTED_VALUE"""),"")</f>
        <v/>
      </c>
      <c r="J5518" s="2">
        <f>IFERROR(__xludf.DUMMYFUNCTION("""COMPUTED_VALUE"""),0.0)</f>
        <v>0</v>
      </c>
      <c r="K5518" s="5" t="str">
        <f>IFERROR(__xludf.DUMMYFUNCTION("""COMPUTED_VALUE"""),"")</f>
        <v/>
      </c>
      <c r="L5518" t="str">
        <f>IFERROR(__xludf.DUMMYFUNCTION("""COMPUTED_VALUE"""),"")</f>
        <v/>
      </c>
      <c r="M5518" t="str">
        <f>IFERROR(__xludf.DUMMYFUNCTION("""COMPUTED_VALUE"""),"")</f>
        <v/>
      </c>
      <c r="N5518" t="str">
        <f>IFERROR(__xludf.DUMMYFUNCTION("""COMPUTED_VALUE"""),"")</f>
        <v/>
      </c>
      <c r="O5518" t="str">
        <f>IFERROR(__xludf.DUMMYFUNCTION("""COMPUTED_VALUE"""),"")</f>
        <v/>
      </c>
      <c r="P5518" t="str">
        <f>IFERROR(__xludf.DUMMYFUNCTION("""COMPUTED_VALUE"""),"ID ")</f>
        <v>ID </v>
      </c>
    </row>
    <row r="5519">
      <c r="A5519" s="6" t="str">
        <f>IFERROR(__xludf.DUMMYFUNCTION("""COMPUTED_VALUE"""),"")</f>
        <v/>
      </c>
      <c r="C5519" t="str">
        <f>IFERROR(__xludf.DUMMYFUNCTION("""COMPUTED_VALUE"""),"")</f>
        <v/>
      </c>
      <c r="D5519" t="str">
        <f>IFERROR(__xludf.DUMMYFUNCTION("""COMPUTED_VALUE"""),"")</f>
        <v/>
      </c>
      <c r="E5519" t="str">
        <f>IFERROR(__xludf.DUMMYFUNCTION("""COMPUTED_VALUE"""),"")</f>
        <v/>
      </c>
      <c r="F5519" t="str">
        <f>IFERROR(__xludf.DUMMYFUNCTION("""COMPUTED_VALUE"""),"")</f>
        <v/>
      </c>
      <c r="G5519" t="str">
        <f>IFERROR(__xludf.DUMMYFUNCTION("""COMPUTED_VALUE"""),"")</f>
        <v/>
      </c>
      <c r="H5519" s="2" t="str">
        <f>IFERROR(__xludf.DUMMYFUNCTION("""COMPUTED_VALUE"""),"")</f>
        <v/>
      </c>
      <c r="I5519" s="2" t="str">
        <f>IFERROR(__xludf.DUMMYFUNCTION("""COMPUTED_VALUE"""),"")</f>
        <v/>
      </c>
      <c r="J5519" s="2">
        <f>IFERROR(__xludf.DUMMYFUNCTION("""COMPUTED_VALUE"""),0.0)</f>
        <v>0</v>
      </c>
      <c r="K5519" s="5" t="str">
        <f>IFERROR(__xludf.DUMMYFUNCTION("""COMPUTED_VALUE"""),"")</f>
        <v/>
      </c>
      <c r="L5519" t="str">
        <f>IFERROR(__xludf.DUMMYFUNCTION("""COMPUTED_VALUE"""),"")</f>
        <v/>
      </c>
      <c r="M5519" t="str">
        <f>IFERROR(__xludf.DUMMYFUNCTION("""COMPUTED_VALUE"""),"")</f>
        <v/>
      </c>
      <c r="N5519" t="str">
        <f>IFERROR(__xludf.DUMMYFUNCTION("""COMPUTED_VALUE"""),"")</f>
        <v/>
      </c>
      <c r="O5519" t="str">
        <f>IFERROR(__xludf.DUMMYFUNCTION("""COMPUTED_VALUE"""),"")</f>
        <v/>
      </c>
      <c r="P5519" t="str">
        <f>IFERROR(__xludf.DUMMYFUNCTION("""COMPUTED_VALUE"""),"ID ")</f>
        <v>ID </v>
      </c>
    </row>
    <row r="5520">
      <c r="A5520" s="6" t="str">
        <f>IFERROR(__xludf.DUMMYFUNCTION("""COMPUTED_VALUE"""),"")</f>
        <v/>
      </c>
      <c r="C5520" t="str">
        <f>IFERROR(__xludf.DUMMYFUNCTION("""COMPUTED_VALUE"""),"")</f>
        <v/>
      </c>
      <c r="D5520" t="str">
        <f>IFERROR(__xludf.DUMMYFUNCTION("""COMPUTED_VALUE"""),"")</f>
        <v/>
      </c>
      <c r="E5520" t="str">
        <f>IFERROR(__xludf.DUMMYFUNCTION("""COMPUTED_VALUE"""),"")</f>
        <v/>
      </c>
      <c r="F5520" t="str">
        <f>IFERROR(__xludf.DUMMYFUNCTION("""COMPUTED_VALUE"""),"")</f>
        <v/>
      </c>
      <c r="G5520" t="str">
        <f>IFERROR(__xludf.DUMMYFUNCTION("""COMPUTED_VALUE"""),"")</f>
        <v/>
      </c>
      <c r="H5520" s="2" t="str">
        <f>IFERROR(__xludf.DUMMYFUNCTION("""COMPUTED_VALUE"""),"")</f>
        <v/>
      </c>
      <c r="I5520" s="2" t="str">
        <f>IFERROR(__xludf.DUMMYFUNCTION("""COMPUTED_VALUE"""),"")</f>
        <v/>
      </c>
      <c r="J5520" s="2">
        <f>IFERROR(__xludf.DUMMYFUNCTION("""COMPUTED_VALUE"""),0.0)</f>
        <v>0</v>
      </c>
      <c r="K5520" s="5" t="str">
        <f>IFERROR(__xludf.DUMMYFUNCTION("""COMPUTED_VALUE"""),"")</f>
        <v/>
      </c>
      <c r="L5520" t="str">
        <f>IFERROR(__xludf.DUMMYFUNCTION("""COMPUTED_VALUE"""),"")</f>
        <v/>
      </c>
      <c r="M5520" t="str">
        <f>IFERROR(__xludf.DUMMYFUNCTION("""COMPUTED_VALUE"""),"")</f>
        <v/>
      </c>
      <c r="N5520" t="str">
        <f>IFERROR(__xludf.DUMMYFUNCTION("""COMPUTED_VALUE"""),"")</f>
        <v/>
      </c>
      <c r="O5520" t="str">
        <f>IFERROR(__xludf.DUMMYFUNCTION("""COMPUTED_VALUE"""),"")</f>
        <v/>
      </c>
      <c r="P5520" t="str">
        <f>IFERROR(__xludf.DUMMYFUNCTION("""COMPUTED_VALUE"""),"ID ")</f>
        <v>ID </v>
      </c>
    </row>
    <row r="5521">
      <c r="A5521" s="6" t="str">
        <f>IFERROR(__xludf.DUMMYFUNCTION("""COMPUTED_VALUE"""),"")</f>
        <v/>
      </c>
      <c r="C5521" t="str">
        <f>IFERROR(__xludf.DUMMYFUNCTION("""COMPUTED_VALUE"""),"")</f>
        <v/>
      </c>
      <c r="D5521" t="str">
        <f>IFERROR(__xludf.DUMMYFUNCTION("""COMPUTED_VALUE"""),"")</f>
        <v/>
      </c>
      <c r="E5521" t="str">
        <f>IFERROR(__xludf.DUMMYFUNCTION("""COMPUTED_VALUE"""),"")</f>
        <v/>
      </c>
      <c r="F5521" t="str">
        <f>IFERROR(__xludf.DUMMYFUNCTION("""COMPUTED_VALUE"""),"")</f>
        <v/>
      </c>
      <c r="G5521" t="str">
        <f>IFERROR(__xludf.DUMMYFUNCTION("""COMPUTED_VALUE"""),"")</f>
        <v/>
      </c>
      <c r="H5521" s="2" t="str">
        <f>IFERROR(__xludf.DUMMYFUNCTION("""COMPUTED_VALUE"""),"")</f>
        <v/>
      </c>
      <c r="I5521" s="2" t="str">
        <f>IFERROR(__xludf.DUMMYFUNCTION("""COMPUTED_VALUE"""),"")</f>
        <v/>
      </c>
      <c r="J5521" s="2">
        <f>IFERROR(__xludf.DUMMYFUNCTION("""COMPUTED_VALUE"""),0.0)</f>
        <v>0</v>
      </c>
      <c r="K5521" s="5" t="str">
        <f>IFERROR(__xludf.DUMMYFUNCTION("""COMPUTED_VALUE"""),"")</f>
        <v/>
      </c>
      <c r="L5521" t="str">
        <f>IFERROR(__xludf.DUMMYFUNCTION("""COMPUTED_VALUE"""),"")</f>
        <v/>
      </c>
      <c r="M5521" t="str">
        <f>IFERROR(__xludf.DUMMYFUNCTION("""COMPUTED_VALUE"""),"")</f>
        <v/>
      </c>
      <c r="N5521" t="str">
        <f>IFERROR(__xludf.DUMMYFUNCTION("""COMPUTED_VALUE"""),"")</f>
        <v/>
      </c>
      <c r="O5521" t="str">
        <f>IFERROR(__xludf.DUMMYFUNCTION("""COMPUTED_VALUE"""),"")</f>
        <v/>
      </c>
      <c r="P5521" t="str">
        <f>IFERROR(__xludf.DUMMYFUNCTION("""COMPUTED_VALUE"""),"ID ")</f>
        <v>ID </v>
      </c>
    </row>
    <row r="5522">
      <c r="A5522" s="6" t="str">
        <f>IFERROR(__xludf.DUMMYFUNCTION("""COMPUTED_VALUE"""),"")</f>
        <v/>
      </c>
      <c r="C5522" t="str">
        <f>IFERROR(__xludf.DUMMYFUNCTION("""COMPUTED_VALUE"""),"")</f>
        <v/>
      </c>
      <c r="D5522" t="str">
        <f>IFERROR(__xludf.DUMMYFUNCTION("""COMPUTED_VALUE"""),"")</f>
        <v/>
      </c>
      <c r="E5522" t="str">
        <f>IFERROR(__xludf.DUMMYFUNCTION("""COMPUTED_VALUE"""),"")</f>
        <v/>
      </c>
      <c r="F5522" t="str">
        <f>IFERROR(__xludf.DUMMYFUNCTION("""COMPUTED_VALUE"""),"")</f>
        <v/>
      </c>
      <c r="G5522" t="str">
        <f>IFERROR(__xludf.DUMMYFUNCTION("""COMPUTED_VALUE"""),"")</f>
        <v/>
      </c>
      <c r="H5522" s="2" t="str">
        <f>IFERROR(__xludf.DUMMYFUNCTION("""COMPUTED_VALUE"""),"")</f>
        <v/>
      </c>
      <c r="I5522" s="2" t="str">
        <f>IFERROR(__xludf.DUMMYFUNCTION("""COMPUTED_VALUE"""),"")</f>
        <v/>
      </c>
      <c r="J5522" s="2">
        <f>IFERROR(__xludf.DUMMYFUNCTION("""COMPUTED_VALUE"""),0.0)</f>
        <v>0</v>
      </c>
      <c r="K5522" s="5" t="str">
        <f>IFERROR(__xludf.DUMMYFUNCTION("""COMPUTED_VALUE"""),"")</f>
        <v/>
      </c>
      <c r="L5522" t="str">
        <f>IFERROR(__xludf.DUMMYFUNCTION("""COMPUTED_VALUE"""),"")</f>
        <v/>
      </c>
      <c r="M5522" t="str">
        <f>IFERROR(__xludf.DUMMYFUNCTION("""COMPUTED_VALUE"""),"")</f>
        <v/>
      </c>
      <c r="N5522" t="str">
        <f>IFERROR(__xludf.DUMMYFUNCTION("""COMPUTED_VALUE"""),"")</f>
        <v/>
      </c>
      <c r="O5522" t="str">
        <f>IFERROR(__xludf.DUMMYFUNCTION("""COMPUTED_VALUE"""),"")</f>
        <v/>
      </c>
      <c r="P5522" t="str">
        <f>IFERROR(__xludf.DUMMYFUNCTION("""COMPUTED_VALUE"""),"ID ")</f>
        <v>ID </v>
      </c>
    </row>
    <row r="5523">
      <c r="A5523" s="6" t="str">
        <f>IFERROR(__xludf.DUMMYFUNCTION("""COMPUTED_VALUE"""),"")</f>
        <v/>
      </c>
      <c r="C5523" t="str">
        <f>IFERROR(__xludf.DUMMYFUNCTION("""COMPUTED_VALUE"""),"")</f>
        <v/>
      </c>
      <c r="D5523" t="str">
        <f>IFERROR(__xludf.DUMMYFUNCTION("""COMPUTED_VALUE"""),"")</f>
        <v/>
      </c>
      <c r="E5523" t="str">
        <f>IFERROR(__xludf.DUMMYFUNCTION("""COMPUTED_VALUE"""),"")</f>
        <v/>
      </c>
      <c r="F5523" t="str">
        <f>IFERROR(__xludf.DUMMYFUNCTION("""COMPUTED_VALUE"""),"")</f>
        <v/>
      </c>
      <c r="G5523" t="str">
        <f>IFERROR(__xludf.DUMMYFUNCTION("""COMPUTED_VALUE"""),"")</f>
        <v/>
      </c>
      <c r="H5523" s="2" t="str">
        <f>IFERROR(__xludf.DUMMYFUNCTION("""COMPUTED_VALUE"""),"")</f>
        <v/>
      </c>
      <c r="I5523" s="2" t="str">
        <f>IFERROR(__xludf.DUMMYFUNCTION("""COMPUTED_VALUE"""),"")</f>
        <v/>
      </c>
      <c r="J5523" s="2">
        <f>IFERROR(__xludf.DUMMYFUNCTION("""COMPUTED_VALUE"""),0.0)</f>
        <v>0</v>
      </c>
      <c r="K5523" s="5" t="str">
        <f>IFERROR(__xludf.DUMMYFUNCTION("""COMPUTED_VALUE"""),"")</f>
        <v/>
      </c>
      <c r="L5523" t="str">
        <f>IFERROR(__xludf.DUMMYFUNCTION("""COMPUTED_VALUE"""),"")</f>
        <v/>
      </c>
      <c r="M5523" t="str">
        <f>IFERROR(__xludf.DUMMYFUNCTION("""COMPUTED_VALUE"""),"")</f>
        <v/>
      </c>
      <c r="N5523" t="str">
        <f>IFERROR(__xludf.DUMMYFUNCTION("""COMPUTED_VALUE"""),"")</f>
        <v/>
      </c>
      <c r="O5523" t="str">
        <f>IFERROR(__xludf.DUMMYFUNCTION("""COMPUTED_VALUE"""),"")</f>
        <v/>
      </c>
      <c r="P5523" t="str">
        <f>IFERROR(__xludf.DUMMYFUNCTION("""COMPUTED_VALUE"""),"ID ")</f>
        <v>ID </v>
      </c>
    </row>
    <row r="5524">
      <c r="A5524" s="6" t="str">
        <f>IFERROR(__xludf.DUMMYFUNCTION("""COMPUTED_VALUE"""),"")</f>
        <v/>
      </c>
      <c r="C5524" t="str">
        <f>IFERROR(__xludf.DUMMYFUNCTION("""COMPUTED_VALUE"""),"")</f>
        <v/>
      </c>
      <c r="D5524" t="str">
        <f>IFERROR(__xludf.DUMMYFUNCTION("""COMPUTED_VALUE"""),"")</f>
        <v/>
      </c>
      <c r="E5524" t="str">
        <f>IFERROR(__xludf.DUMMYFUNCTION("""COMPUTED_VALUE"""),"")</f>
        <v/>
      </c>
      <c r="F5524" t="str">
        <f>IFERROR(__xludf.DUMMYFUNCTION("""COMPUTED_VALUE"""),"")</f>
        <v/>
      </c>
      <c r="G5524" t="str">
        <f>IFERROR(__xludf.DUMMYFUNCTION("""COMPUTED_VALUE"""),"")</f>
        <v/>
      </c>
      <c r="H5524" s="2" t="str">
        <f>IFERROR(__xludf.DUMMYFUNCTION("""COMPUTED_VALUE"""),"")</f>
        <v/>
      </c>
      <c r="I5524" s="2" t="str">
        <f>IFERROR(__xludf.DUMMYFUNCTION("""COMPUTED_VALUE"""),"")</f>
        <v/>
      </c>
      <c r="J5524" s="2">
        <f>IFERROR(__xludf.DUMMYFUNCTION("""COMPUTED_VALUE"""),0.0)</f>
        <v>0</v>
      </c>
      <c r="K5524" s="5" t="str">
        <f>IFERROR(__xludf.DUMMYFUNCTION("""COMPUTED_VALUE"""),"")</f>
        <v/>
      </c>
      <c r="L5524" t="str">
        <f>IFERROR(__xludf.DUMMYFUNCTION("""COMPUTED_VALUE"""),"")</f>
        <v/>
      </c>
      <c r="M5524" t="str">
        <f>IFERROR(__xludf.DUMMYFUNCTION("""COMPUTED_VALUE"""),"")</f>
        <v/>
      </c>
      <c r="N5524" t="str">
        <f>IFERROR(__xludf.DUMMYFUNCTION("""COMPUTED_VALUE"""),"")</f>
        <v/>
      </c>
      <c r="O5524" t="str">
        <f>IFERROR(__xludf.DUMMYFUNCTION("""COMPUTED_VALUE"""),"")</f>
        <v/>
      </c>
      <c r="P5524" t="str">
        <f>IFERROR(__xludf.DUMMYFUNCTION("""COMPUTED_VALUE"""),"ID ")</f>
        <v>ID </v>
      </c>
    </row>
    <row r="5525">
      <c r="A5525" s="6" t="str">
        <f>IFERROR(__xludf.DUMMYFUNCTION("""COMPUTED_VALUE"""),"")</f>
        <v/>
      </c>
      <c r="C5525" t="str">
        <f>IFERROR(__xludf.DUMMYFUNCTION("""COMPUTED_VALUE"""),"")</f>
        <v/>
      </c>
      <c r="D5525" t="str">
        <f>IFERROR(__xludf.DUMMYFUNCTION("""COMPUTED_VALUE"""),"")</f>
        <v/>
      </c>
      <c r="E5525" t="str">
        <f>IFERROR(__xludf.DUMMYFUNCTION("""COMPUTED_VALUE"""),"")</f>
        <v/>
      </c>
      <c r="F5525" t="str">
        <f>IFERROR(__xludf.DUMMYFUNCTION("""COMPUTED_VALUE"""),"")</f>
        <v/>
      </c>
      <c r="G5525" t="str">
        <f>IFERROR(__xludf.DUMMYFUNCTION("""COMPUTED_VALUE"""),"")</f>
        <v/>
      </c>
      <c r="H5525" s="2" t="str">
        <f>IFERROR(__xludf.DUMMYFUNCTION("""COMPUTED_VALUE"""),"")</f>
        <v/>
      </c>
      <c r="I5525" s="2" t="str">
        <f>IFERROR(__xludf.DUMMYFUNCTION("""COMPUTED_VALUE"""),"")</f>
        <v/>
      </c>
      <c r="J5525" s="2">
        <f>IFERROR(__xludf.DUMMYFUNCTION("""COMPUTED_VALUE"""),0.0)</f>
        <v>0</v>
      </c>
      <c r="K5525" s="5" t="str">
        <f>IFERROR(__xludf.DUMMYFUNCTION("""COMPUTED_VALUE"""),"")</f>
        <v/>
      </c>
      <c r="L5525" t="str">
        <f>IFERROR(__xludf.DUMMYFUNCTION("""COMPUTED_VALUE"""),"")</f>
        <v/>
      </c>
      <c r="M5525" t="str">
        <f>IFERROR(__xludf.DUMMYFUNCTION("""COMPUTED_VALUE"""),"")</f>
        <v/>
      </c>
      <c r="N5525" t="str">
        <f>IFERROR(__xludf.DUMMYFUNCTION("""COMPUTED_VALUE"""),"")</f>
        <v/>
      </c>
      <c r="O5525" t="str">
        <f>IFERROR(__xludf.DUMMYFUNCTION("""COMPUTED_VALUE"""),"")</f>
        <v/>
      </c>
      <c r="P5525" t="str">
        <f>IFERROR(__xludf.DUMMYFUNCTION("""COMPUTED_VALUE"""),"ID ")</f>
        <v>ID </v>
      </c>
    </row>
    <row r="5526">
      <c r="A5526" s="6" t="str">
        <f>IFERROR(__xludf.DUMMYFUNCTION("""COMPUTED_VALUE"""),"")</f>
        <v/>
      </c>
      <c r="C5526" t="str">
        <f>IFERROR(__xludf.DUMMYFUNCTION("""COMPUTED_VALUE"""),"")</f>
        <v/>
      </c>
      <c r="D5526" t="str">
        <f>IFERROR(__xludf.DUMMYFUNCTION("""COMPUTED_VALUE"""),"")</f>
        <v/>
      </c>
      <c r="E5526" t="str">
        <f>IFERROR(__xludf.DUMMYFUNCTION("""COMPUTED_VALUE"""),"")</f>
        <v/>
      </c>
      <c r="F5526" t="str">
        <f>IFERROR(__xludf.DUMMYFUNCTION("""COMPUTED_VALUE"""),"")</f>
        <v/>
      </c>
      <c r="G5526" t="str">
        <f>IFERROR(__xludf.DUMMYFUNCTION("""COMPUTED_VALUE"""),"")</f>
        <v/>
      </c>
      <c r="H5526" s="2" t="str">
        <f>IFERROR(__xludf.DUMMYFUNCTION("""COMPUTED_VALUE"""),"")</f>
        <v/>
      </c>
      <c r="I5526" s="2" t="str">
        <f>IFERROR(__xludf.DUMMYFUNCTION("""COMPUTED_VALUE"""),"")</f>
        <v/>
      </c>
      <c r="J5526" s="2">
        <f>IFERROR(__xludf.DUMMYFUNCTION("""COMPUTED_VALUE"""),0.0)</f>
        <v>0</v>
      </c>
      <c r="K5526" s="5" t="str">
        <f>IFERROR(__xludf.DUMMYFUNCTION("""COMPUTED_VALUE"""),"")</f>
        <v/>
      </c>
      <c r="L5526" t="str">
        <f>IFERROR(__xludf.DUMMYFUNCTION("""COMPUTED_VALUE"""),"")</f>
        <v/>
      </c>
      <c r="M5526" t="str">
        <f>IFERROR(__xludf.DUMMYFUNCTION("""COMPUTED_VALUE"""),"")</f>
        <v/>
      </c>
      <c r="N5526" t="str">
        <f>IFERROR(__xludf.DUMMYFUNCTION("""COMPUTED_VALUE"""),"")</f>
        <v/>
      </c>
      <c r="O5526" t="str">
        <f>IFERROR(__xludf.DUMMYFUNCTION("""COMPUTED_VALUE"""),"")</f>
        <v/>
      </c>
      <c r="P5526" t="str">
        <f>IFERROR(__xludf.DUMMYFUNCTION("""COMPUTED_VALUE"""),"ID ")</f>
        <v>ID </v>
      </c>
    </row>
    <row r="5527">
      <c r="A5527" s="6" t="str">
        <f>IFERROR(__xludf.DUMMYFUNCTION("""COMPUTED_VALUE"""),"")</f>
        <v/>
      </c>
      <c r="C5527" t="str">
        <f>IFERROR(__xludf.DUMMYFUNCTION("""COMPUTED_VALUE"""),"")</f>
        <v/>
      </c>
      <c r="D5527" t="str">
        <f>IFERROR(__xludf.DUMMYFUNCTION("""COMPUTED_VALUE"""),"")</f>
        <v/>
      </c>
      <c r="E5527" t="str">
        <f>IFERROR(__xludf.DUMMYFUNCTION("""COMPUTED_VALUE"""),"")</f>
        <v/>
      </c>
      <c r="F5527" t="str">
        <f>IFERROR(__xludf.DUMMYFUNCTION("""COMPUTED_VALUE"""),"")</f>
        <v/>
      </c>
      <c r="G5527" t="str">
        <f>IFERROR(__xludf.DUMMYFUNCTION("""COMPUTED_VALUE"""),"")</f>
        <v/>
      </c>
      <c r="H5527" s="2" t="str">
        <f>IFERROR(__xludf.DUMMYFUNCTION("""COMPUTED_VALUE"""),"")</f>
        <v/>
      </c>
      <c r="I5527" s="2" t="str">
        <f>IFERROR(__xludf.DUMMYFUNCTION("""COMPUTED_VALUE"""),"")</f>
        <v/>
      </c>
      <c r="J5527" s="2">
        <f>IFERROR(__xludf.DUMMYFUNCTION("""COMPUTED_VALUE"""),0.0)</f>
        <v>0</v>
      </c>
      <c r="K5527" s="5" t="str">
        <f>IFERROR(__xludf.DUMMYFUNCTION("""COMPUTED_VALUE"""),"")</f>
        <v/>
      </c>
      <c r="L5527" t="str">
        <f>IFERROR(__xludf.DUMMYFUNCTION("""COMPUTED_VALUE"""),"")</f>
        <v/>
      </c>
      <c r="M5527" t="str">
        <f>IFERROR(__xludf.DUMMYFUNCTION("""COMPUTED_VALUE"""),"")</f>
        <v/>
      </c>
      <c r="N5527" t="str">
        <f>IFERROR(__xludf.DUMMYFUNCTION("""COMPUTED_VALUE"""),"")</f>
        <v/>
      </c>
      <c r="O5527" t="str">
        <f>IFERROR(__xludf.DUMMYFUNCTION("""COMPUTED_VALUE"""),"")</f>
        <v/>
      </c>
      <c r="P5527" t="str">
        <f>IFERROR(__xludf.DUMMYFUNCTION("""COMPUTED_VALUE"""),"ID ")</f>
        <v>ID </v>
      </c>
    </row>
    <row r="5528">
      <c r="A5528" s="6" t="str">
        <f>IFERROR(__xludf.DUMMYFUNCTION("""COMPUTED_VALUE"""),"")</f>
        <v/>
      </c>
      <c r="C5528" t="str">
        <f>IFERROR(__xludf.DUMMYFUNCTION("""COMPUTED_VALUE"""),"")</f>
        <v/>
      </c>
      <c r="D5528" t="str">
        <f>IFERROR(__xludf.DUMMYFUNCTION("""COMPUTED_VALUE"""),"")</f>
        <v/>
      </c>
      <c r="E5528" t="str">
        <f>IFERROR(__xludf.DUMMYFUNCTION("""COMPUTED_VALUE"""),"")</f>
        <v/>
      </c>
      <c r="F5528" t="str">
        <f>IFERROR(__xludf.DUMMYFUNCTION("""COMPUTED_VALUE"""),"")</f>
        <v/>
      </c>
      <c r="G5528" t="str">
        <f>IFERROR(__xludf.DUMMYFUNCTION("""COMPUTED_VALUE"""),"")</f>
        <v/>
      </c>
      <c r="H5528" s="2" t="str">
        <f>IFERROR(__xludf.DUMMYFUNCTION("""COMPUTED_VALUE"""),"")</f>
        <v/>
      </c>
      <c r="I5528" s="2" t="str">
        <f>IFERROR(__xludf.DUMMYFUNCTION("""COMPUTED_VALUE"""),"")</f>
        <v/>
      </c>
      <c r="J5528" s="2">
        <f>IFERROR(__xludf.DUMMYFUNCTION("""COMPUTED_VALUE"""),0.0)</f>
        <v>0</v>
      </c>
      <c r="K5528" s="5" t="str">
        <f>IFERROR(__xludf.DUMMYFUNCTION("""COMPUTED_VALUE"""),"")</f>
        <v/>
      </c>
      <c r="L5528" t="str">
        <f>IFERROR(__xludf.DUMMYFUNCTION("""COMPUTED_VALUE"""),"")</f>
        <v/>
      </c>
      <c r="M5528" t="str">
        <f>IFERROR(__xludf.DUMMYFUNCTION("""COMPUTED_VALUE"""),"")</f>
        <v/>
      </c>
      <c r="N5528" t="str">
        <f>IFERROR(__xludf.DUMMYFUNCTION("""COMPUTED_VALUE"""),"")</f>
        <v/>
      </c>
      <c r="O5528" t="str">
        <f>IFERROR(__xludf.DUMMYFUNCTION("""COMPUTED_VALUE"""),"")</f>
        <v/>
      </c>
      <c r="P5528" t="str">
        <f>IFERROR(__xludf.DUMMYFUNCTION("""COMPUTED_VALUE"""),"ID ")</f>
        <v>ID </v>
      </c>
    </row>
    <row r="5529">
      <c r="A5529" s="6" t="str">
        <f>IFERROR(__xludf.DUMMYFUNCTION("""COMPUTED_VALUE"""),"")</f>
        <v/>
      </c>
      <c r="C5529" t="str">
        <f>IFERROR(__xludf.DUMMYFUNCTION("""COMPUTED_VALUE"""),"")</f>
        <v/>
      </c>
      <c r="D5529" t="str">
        <f>IFERROR(__xludf.DUMMYFUNCTION("""COMPUTED_VALUE"""),"")</f>
        <v/>
      </c>
      <c r="E5529" t="str">
        <f>IFERROR(__xludf.DUMMYFUNCTION("""COMPUTED_VALUE"""),"")</f>
        <v/>
      </c>
      <c r="F5529" t="str">
        <f>IFERROR(__xludf.DUMMYFUNCTION("""COMPUTED_VALUE"""),"")</f>
        <v/>
      </c>
      <c r="G5529" t="str">
        <f>IFERROR(__xludf.DUMMYFUNCTION("""COMPUTED_VALUE"""),"")</f>
        <v/>
      </c>
      <c r="H5529" s="2" t="str">
        <f>IFERROR(__xludf.DUMMYFUNCTION("""COMPUTED_VALUE"""),"")</f>
        <v/>
      </c>
      <c r="I5529" s="2" t="str">
        <f>IFERROR(__xludf.DUMMYFUNCTION("""COMPUTED_VALUE"""),"")</f>
        <v/>
      </c>
      <c r="J5529" s="2">
        <f>IFERROR(__xludf.DUMMYFUNCTION("""COMPUTED_VALUE"""),0.0)</f>
        <v>0</v>
      </c>
      <c r="K5529" s="5" t="str">
        <f>IFERROR(__xludf.DUMMYFUNCTION("""COMPUTED_VALUE"""),"")</f>
        <v/>
      </c>
      <c r="L5529" t="str">
        <f>IFERROR(__xludf.DUMMYFUNCTION("""COMPUTED_VALUE"""),"")</f>
        <v/>
      </c>
      <c r="M5529" t="str">
        <f>IFERROR(__xludf.DUMMYFUNCTION("""COMPUTED_VALUE"""),"")</f>
        <v/>
      </c>
      <c r="N5529" t="str">
        <f>IFERROR(__xludf.DUMMYFUNCTION("""COMPUTED_VALUE"""),"")</f>
        <v/>
      </c>
      <c r="O5529" t="str">
        <f>IFERROR(__xludf.DUMMYFUNCTION("""COMPUTED_VALUE"""),"")</f>
        <v/>
      </c>
      <c r="P5529" t="str">
        <f>IFERROR(__xludf.DUMMYFUNCTION("""COMPUTED_VALUE"""),"ID ")</f>
        <v>ID </v>
      </c>
    </row>
    <row r="5530">
      <c r="A5530" s="6" t="str">
        <f>IFERROR(__xludf.DUMMYFUNCTION("""COMPUTED_VALUE"""),"")</f>
        <v/>
      </c>
      <c r="C5530" t="str">
        <f>IFERROR(__xludf.DUMMYFUNCTION("""COMPUTED_VALUE"""),"")</f>
        <v/>
      </c>
      <c r="D5530" t="str">
        <f>IFERROR(__xludf.DUMMYFUNCTION("""COMPUTED_VALUE"""),"")</f>
        <v/>
      </c>
      <c r="E5530" t="str">
        <f>IFERROR(__xludf.DUMMYFUNCTION("""COMPUTED_VALUE"""),"")</f>
        <v/>
      </c>
      <c r="F5530" t="str">
        <f>IFERROR(__xludf.DUMMYFUNCTION("""COMPUTED_VALUE"""),"")</f>
        <v/>
      </c>
      <c r="G5530" t="str">
        <f>IFERROR(__xludf.DUMMYFUNCTION("""COMPUTED_VALUE"""),"")</f>
        <v/>
      </c>
      <c r="H5530" s="2" t="str">
        <f>IFERROR(__xludf.DUMMYFUNCTION("""COMPUTED_VALUE"""),"")</f>
        <v/>
      </c>
      <c r="I5530" s="2" t="str">
        <f>IFERROR(__xludf.DUMMYFUNCTION("""COMPUTED_VALUE"""),"")</f>
        <v/>
      </c>
      <c r="J5530" s="2">
        <f>IFERROR(__xludf.DUMMYFUNCTION("""COMPUTED_VALUE"""),0.0)</f>
        <v>0</v>
      </c>
      <c r="K5530" s="5" t="str">
        <f>IFERROR(__xludf.DUMMYFUNCTION("""COMPUTED_VALUE"""),"")</f>
        <v/>
      </c>
      <c r="L5530" t="str">
        <f>IFERROR(__xludf.DUMMYFUNCTION("""COMPUTED_VALUE"""),"")</f>
        <v/>
      </c>
      <c r="M5530" t="str">
        <f>IFERROR(__xludf.DUMMYFUNCTION("""COMPUTED_VALUE"""),"")</f>
        <v/>
      </c>
      <c r="N5530" t="str">
        <f>IFERROR(__xludf.DUMMYFUNCTION("""COMPUTED_VALUE"""),"")</f>
        <v/>
      </c>
      <c r="O5530" t="str">
        <f>IFERROR(__xludf.DUMMYFUNCTION("""COMPUTED_VALUE"""),"")</f>
        <v/>
      </c>
      <c r="P5530" t="str">
        <f>IFERROR(__xludf.DUMMYFUNCTION("""COMPUTED_VALUE"""),"ID ")</f>
        <v>ID </v>
      </c>
    </row>
    <row r="5531">
      <c r="A5531" s="6" t="str">
        <f>IFERROR(__xludf.DUMMYFUNCTION("""COMPUTED_VALUE"""),"")</f>
        <v/>
      </c>
      <c r="C5531" t="str">
        <f>IFERROR(__xludf.DUMMYFUNCTION("""COMPUTED_VALUE"""),"")</f>
        <v/>
      </c>
      <c r="D5531" t="str">
        <f>IFERROR(__xludf.DUMMYFUNCTION("""COMPUTED_VALUE"""),"")</f>
        <v/>
      </c>
      <c r="E5531" t="str">
        <f>IFERROR(__xludf.DUMMYFUNCTION("""COMPUTED_VALUE"""),"")</f>
        <v/>
      </c>
      <c r="F5531" t="str">
        <f>IFERROR(__xludf.DUMMYFUNCTION("""COMPUTED_VALUE"""),"")</f>
        <v/>
      </c>
      <c r="G5531" t="str">
        <f>IFERROR(__xludf.DUMMYFUNCTION("""COMPUTED_VALUE"""),"")</f>
        <v/>
      </c>
      <c r="H5531" s="2" t="str">
        <f>IFERROR(__xludf.DUMMYFUNCTION("""COMPUTED_VALUE"""),"")</f>
        <v/>
      </c>
      <c r="I5531" s="2" t="str">
        <f>IFERROR(__xludf.DUMMYFUNCTION("""COMPUTED_VALUE"""),"")</f>
        <v/>
      </c>
      <c r="J5531" s="2">
        <f>IFERROR(__xludf.DUMMYFUNCTION("""COMPUTED_VALUE"""),0.0)</f>
        <v>0</v>
      </c>
      <c r="K5531" s="5" t="str">
        <f>IFERROR(__xludf.DUMMYFUNCTION("""COMPUTED_VALUE"""),"")</f>
        <v/>
      </c>
      <c r="L5531" t="str">
        <f>IFERROR(__xludf.DUMMYFUNCTION("""COMPUTED_VALUE"""),"")</f>
        <v/>
      </c>
      <c r="M5531" t="str">
        <f>IFERROR(__xludf.DUMMYFUNCTION("""COMPUTED_VALUE"""),"")</f>
        <v/>
      </c>
      <c r="N5531" t="str">
        <f>IFERROR(__xludf.DUMMYFUNCTION("""COMPUTED_VALUE"""),"")</f>
        <v/>
      </c>
      <c r="O5531" t="str">
        <f>IFERROR(__xludf.DUMMYFUNCTION("""COMPUTED_VALUE"""),"")</f>
        <v/>
      </c>
      <c r="P5531" t="str">
        <f>IFERROR(__xludf.DUMMYFUNCTION("""COMPUTED_VALUE"""),"ID ")</f>
        <v>ID </v>
      </c>
    </row>
  </sheetData>
  <hyperlinks>
    <hyperlink r:id="rId1" ref="C1"/>
    <hyperlink r:id="rId2" ref="D1"/>
    <hyperlink r:id="rId3" ref="F1"/>
    <hyperlink r:id="rId4" ref="H1"/>
    <hyperlink r:id="rId5" ref="K1"/>
    <hyperlink r:id="rId6" ref="P3"/>
    <hyperlink r:id="rId7" ref="Q3"/>
    <hyperlink r:id="rId8" ref="P4"/>
    <hyperlink r:id="rId9" ref="Q4"/>
    <hyperlink r:id="rId10" ref="P5"/>
    <hyperlink r:id="rId11" ref="Q5"/>
    <hyperlink r:id="rId12" ref="P6"/>
    <hyperlink r:id="rId13" ref="Q6"/>
    <hyperlink r:id="rId14" ref="P7"/>
    <hyperlink r:id="rId15" ref="Q7"/>
    <hyperlink r:id="rId16" ref="P8"/>
    <hyperlink r:id="rId17" ref="Q8"/>
    <hyperlink r:id="rId18" ref="P9"/>
    <hyperlink r:id="rId19" ref="Q9"/>
    <hyperlink r:id="rId20" ref="P10"/>
    <hyperlink r:id="rId21" ref="Q10"/>
    <hyperlink r:id="rId22" ref="P11"/>
    <hyperlink r:id="rId23" ref="Q11"/>
    <hyperlink r:id="rId24" ref="P12"/>
    <hyperlink r:id="rId25" ref="Q12"/>
    <hyperlink r:id="rId26" ref="P13"/>
    <hyperlink r:id="rId27" ref="Q13"/>
    <hyperlink r:id="rId28" ref="P14"/>
    <hyperlink r:id="rId29" ref="Q14"/>
    <hyperlink r:id="rId30" ref="P15"/>
    <hyperlink r:id="rId31" ref="Q15"/>
    <hyperlink r:id="rId32" ref="P16"/>
    <hyperlink r:id="rId33" ref="Q16"/>
    <hyperlink r:id="rId34" ref="P17"/>
    <hyperlink r:id="rId35" ref="Q17"/>
    <hyperlink r:id="rId36" ref="P18"/>
    <hyperlink r:id="rId37" ref="Q18"/>
    <hyperlink r:id="rId38" ref="P19"/>
    <hyperlink r:id="rId39" ref="Q19"/>
    <hyperlink r:id="rId40" ref="P20"/>
    <hyperlink r:id="rId41" ref="Q20"/>
    <hyperlink r:id="rId42" ref="P21"/>
    <hyperlink r:id="rId43" ref="Q21"/>
    <hyperlink r:id="rId44" ref="P22"/>
    <hyperlink r:id="rId45" ref="Q22"/>
    <hyperlink r:id="rId46" ref="P23"/>
    <hyperlink r:id="rId47" ref="Q23"/>
    <hyperlink r:id="rId48" ref="P24"/>
    <hyperlink r:id="rId49" ref="Q24"/>
    <hyperlink r:id="rId50" ref="P25"/>
    <hyperlink r:id="rId51" ref="Q25"/>
    <hyperlink r:id="rId52" ref="P26"/>
    <hyperlink r:id="rId53" ref="Q26"/>
    <hyperlink r:id="rId54" ref="P27"/>
    <hyperlink r:id="rId55" ref="Q27"/>
    <hyperlink r:id="rId56" ref="P28"/>
    <hyperlink r:id="rId57" ref="Q28"/>
    <hyperlink r:id="rId58" ref="P29"/>
    <hyperlink r:id="rId59" ref="Q29"/>
    <hyperlink r:id="rId60" ref="P30"/>
    <hyperlink r:id="rId61" ref="Q30"/>
    <hyperlink r:id="rId62" ref="P31"/>
    <hyperlink r:id="rId63" ref="Q31"/>
    <hyperlink r:id="rId64" ref="P32"/>
    <hyperlink r:id="rId65" ref="Q32"/>
    <hyperlink r:id="rId66" ref="P33"/>
    <hyperlink r:id="rId67" ref="Q33"/>
    <hyperlink r:id="rId68" ref="P34"/>
    <hyperlink r:id="rId69" ref="Q34"/>
    <hyperlink r:id="rId70" ref="P35"/>
    <hyperlink r:id="rId71" ref="Q35"/>
    <hyperlink r:id="rId72" ref="P36"/>
    <hyperlink r:id="rId73" ref="Q36"/>
    <hyperlink r:id="rId74" ref="P37"/>
    <hyperlink r:id="rId75" ref="Q37"/>
    <hyperlink r:id="rId76" ref="P38"/>
    <hyperlink r:id="rId77" ref="Q38"/>
    <hyperlink r:id="rId78" ref="P39"/>
    <hyperlink r:id="rId79" ref="Q39"/>
    <hyperlink r:id="rId80" ref="P40"/>
    <hyperlink r:id="rId81" ref="Q40"/>
    <hyperlink r:id="rId82" ref="P41"/>
    <hyperlink r:id="rId83" ref="Q41"/>
    <hyperlink r:id="rId84" ref="P42"/>
    <hyperlink r:id="rId85" ref="Q42"/>
    <hyperlink r:id="rId86" ref="P43"/>
    <hyperlink r:id="rId87" ref="Q43"/>
    <hyperlink r:id="rId88" ref="P44"/>
    <hyperlink r:id="rId89" ref="Q44"/>
    <hyperlink r:id="rId90" ref="P45"/>
    <hyperlink r:id="rId91" ref="Q45"/>
    <hyperlink r:id="rId92" ref="P46"/>
    <hyperlink r:id="rId93" ref="Q46"/>
    <hyperlink r:id="rId94" ref="P47"/>
    <hyperlink r:id="rId95" ref="Q47"/>
    <hyperlink r:id="rId96" ref="P48"/>
    <hyperlink r:id="rId97" ref="Q48"/>
    <hyperlink r:id="rId98" ref="P49"/>
    <hyperlink r:id="rId99" ref="Q49"/>
    <hyperlink r:id="rId100" ref="P50"/>
    <hyperlink r:id="rId101" ref="Q50"/>
    <hyperlink r:id="rId102" ref="P51"/>
    <hyperlink r:id="rId103" ref="Q51"/>
    <hyperlink r:id="rId104" ref="P52"/>
    <hyperlink r:id="rId105" ref="Q52"/>
    <hyperlink r:id="rId106" ref="P53"/>
    <hyperlink r:id="rId107" ref="Q53"/>
    <hyperlink r:id="rId108" ref="P54"/>
    <hyperlink r:id="rId109" ref="Q54"/>
    <hyperlink r:id="rId110" ref="P55"/>
    <hyperlink r:id="rId111" ref="Q55"/>
    <hyperlink r:id="rId112" ref="P56"/>
    <hyperlink r:id="rId113" ref="Q56"/>
    <hyperlink r:id="rId114" ref="P57"/>
    <hyperlink r:id="rId115" ref="Q57"/>
    <hyperlink r:id="rId116" ref="P58"/>
    <hyperlink r:id="rId117" ref="Q58"/>
    <hyperlink r:id="rId118" ref="P59"/>
    <hyperlink r:id="rId119" ref="Q59"/>
    <hyperlink r:id="rId120" ref="P60"/>
    <hyperlink r:id="rId121" ref="Q60"/>
    <hyperlink r:id="rId122" ref="P61"/>
    <hyperlink r:id="rId123" ref="Q61"/>
    <hyperlink r:id="rId124" ref="P62"/>
    <hyperlink r:id="rId125" ref="Q62"/>
    <hyperlink r:id="rId126" ref="P63"/>
    <hyperlink r:id="rId127" ref="Q63"/>
    <hyperlink r:id="rId128" ref="P64"/>
    <hyperlink r:id="rId129" ref="Q64"/>
    <hyperlink r:id="rId130" ref="P65"/>
    <hyperlink r:id="rId131" ref="Q65"/>
    <hyperlink r:id="rId132" ref="P66"/>
    <hyperlink r:id="rId133" ref="Q66"/>
    <hyperlink r:id="rId134" ref="P67"/>
    <hyperlink r:id="rId135" ref="Q67"/>
    <hyperlink r:id="rId136" ref="P68"/>
    <hyperlink r:id="rId137" ref="Q68"/>
    <hyperlink r:id="rId138" ref="P69"/>
    <hyperlink r:id="rId139" ref="Q69"/>
    <hyperlink r:id="rId140" ref="P70"/>
    <hyperlink r:id="rId141" ref="Q70"/>
    <hyperlink r:id="rId142" ref="P71"/>
    <hyperlink r:id="rId143" ref="Q71"/>
    <hyperlink r:id="rId144" ref="P72"/>
    <hyperlink r:id="rId145" ref="Q72"/>
    <hyperlink r:id="rId146" ref="P73"/>
    <hyperlink r:id="rId147" ref="Q73"/>
    <hyperlink r:id="rId148" ref="P74"/>
    <hyperlink r:id="rId149" ref="Q74"/>
    <hyperlink r:id="rId150" ref="P75"/>
    <hyperlink r:id="rId151" ref="Q75"/>
    <hyperlink r:id="rId152" ref="P76"/>
    <hyperlink r:id="rId153" ref="Q76"/>
    <hyperlink r:id="rId154" ref="P77"/>
    <hyperlink r:id="rId155" ref="Q77"/>
    <hyperlink r:id="rId156" ref="P78"/>
    <hyperlink r:id="rId157" ref="Q78"/>
    <hyperlink r:id="rId158" ref="P79"/>
    <hyperlink r:id="rId159" ref="Q79"/>
    <hyperlink r:id="rId160" ref="P80"/>
    <hyperlink r:id="rId161" ref="Q80"/>
    <hyperlink r:id="rId162" ref="P81"/>
    <hyperlink r:id="rId163" ref="Q81"/>
    <hyperlink r:id="rId164" ref="P82"/>
    <hyperlink r:id="rId165" ref="Q82"/>
    <hyperlink r:id="rId166" ref="P83"/>
    <hyperlink r:id="rId167" ref="Q83"/>
    <hyperlink r:id="rId168" ref="P84"/>
    <hyperlink r:id="rId169" ref="Q84"/>
    <hyperlink r:id="rId170" ref="P85"/>
    <hyperlink r:id="rId171" ref="Q85"/>
    <hyperlink r:id="rId172" ref="P86"/>
    <hyperlink r:id="rId173" ref="Q86"/>
    <hyperlink r:id="rId174" ref="P87"/>
    <hyperlink r:id="rId175" ref="Q87"/>
    <hyperlink r:id="rId176" ref="P88"/>
    <hyperlink r:id="rId177" ref="Q88"/>
    <hyperlink r:id="rId178" ref="P89"/>
    <hyperlink r:id="rId179" ref="Q89"/>
    <hyperlink r:id="rId180" ref="P90"/>
    <hyperlink r:id="rId181" ref="Q90"/>
    <hyperlink r:id="rId182" ref="P91"/>
    <hyperlink r:id="rId183" ref="Q91"/>
    <hyperlink r:id="rId184" ref="P92"/>
    <hyperlink r:id="rId185" ref="Q92"/>
    <hyperlink r:id="rId186" ref="P93"/>
    <hyperlink r:id="rId187" ref="Q93"/>
    <hyperlink r:id="rId188" ref="P94"/>
    <hyperlink r:id="rId189" ref="Q94"/>
    <hyperlink r:id="rId190" ref="P95"/>
    <hyperlink r:id="rId191" ref="Q95"/>
    <hyperlink r:id="rId192" ref="P96"/>
    <hyperlink r:id="rId193" ref="Q96"/>
    <hyperlink r:id="rId194" ref="P97"/>
    <hyperlink r:id="rId195" ref="Q97"/>
    <hyperlink r:id="rId196" ref="P98"/>
    <hyperlink r:id="rId197" ref="Q98"/>
    <hyperlink r:id="rId198" ref="P99"/>
    <hyperlink r:id="rId199" ref="Q99"/>
    <hyperlink r:id="rId200" ref="P100"/>
    <hyperlink r:id="rId201" ref="Q100"/>
    <hyperlink r:id="rId202" ref="P101"/>
    <hyperlink r:id="rId203" ref="Q101"/>
    <hyperlink r:id="rId204" ref="P102"/>
    <hyperlink r:id="rId205" ref="Q102"/>
    <hyperlink r:id="rId206" ref="P103"/>
    <hyperlink r:id="rId207" ref="Q103"/>
    <hyperlink r:id="rId208" ref="P104"/>
    <hyperlink r:id="rId209" ref="Q104"/>
    <hyperlink r:id="rId210" ref="P105"/>
    <hyperlink r:id="rId211" ref="Q105"/>
    <hyperlink r:id="rId212" ref="P106"/>
    <hyperlink r:id="rId213" ref="Q106"/>
    <hyperlink r:id="rId214" ref="P107"/>
    <hyperlink r:id="rId215" ref="Q107"/>
    <hyperlink r:id="rId216" ref="P108"/>
    <hyperlink r:id="rId217" ref="Q108"/>
    <hyperlink r:id="rId218" ref="P109"/>
    <hyperlink r:id="rId219" ref="Q109"/>
    <hyperlink r:id="rId220" ref="P110"/>
    <hyperlink r:id="rId221" ref="Q110"/>
    <hyperlink r:id="rId222" ref="P111"/>
    <hyperlink r:id="rId223" ref="Q111"/>
    <hyperlink r:id="rId224" ref="P112"/>
    <hyperlink r:id="rId225" ref="Q112"/>
    <hyperlink r:id="rId226" ref="P113"/>
    <hyperlink r:id="rId227" ref="Q113"/>
    <hyperlink r:id="rId228" ref="P114"/>
    <hyperlink r:id="rId229" ref="Q114"/>
    <hyperlink r:id="rId230" ref="P115"/>
    <hyperlink r:id="rId231" ref="Q115"/>
    <hyperlink r:id="rId232" ref="P116"/>
    <hyperlink r:id="rId233" ref="Q116"/>
    <hyperlink r:id="rId234" ref="P117"/>
    <hyperlink r:id="rId235" ref="Q117"/>
    <hyperlink r:id="rId236" ref="P118"/>
    <hyperlink r:id="rId237" ref="Q118"/>
    <hyperlink r:id="rId238" ref="P119"/>
    <hyperlink r:id="rId239" ref="Q119"/>
    <hyperlink r:id="rId240" ref="P120"/>
    <hyperlink r:id="rId241" ref="Q120"/>
    <hyperlink r:id="rId242" ref="P121"/>
    <hyperlink r:id="rId243" ref="Q121"/>
    <hyperlink r:id="rId244" ref="P122"/>
    <hyperlink r:id="rId245" ref="Q122"/>
    <hyperlink r:id="rId246" ref="P123"/>
    <hyperlink r:id="rId247" ref="Q123"/>
    <hyperlink r:id="rId248" ref="P124"/>
    <hyperlink r:id="rId249" ref="Q124"/>
    <hyperlink r:id="rId250" ref="P125"/>
    <hyperlink r:id="rId251" ref="Q125"/>
    <hyperlink r:id="rId252" ref="P126"/>
    <hyperlink r:id="rId253" ref="Q126"/>
    <hyperlink r:id="rId254" ref="P127"/>
    <hyperlink r:id="rId255" ref="Q127"/>
    <hyperlink r:id="rId256" ref="P128"/>
    <hyperlink r:id="rId257" ref="Q128"/>
    <hyperlink r:id="rId258" ref="P129"/>
    <hyperlink r:id="rId259" ref="Q129"/>
    <hyperlink r:id="rId260" ref="P130"/>
    <hyperlink r:id="rId261" ref="Q130"/>
    <hyperlink r:id="rId262" ref="P131"/>
    <hyperlink r:id="rId263" ref="Q131"/>
    <hyperlink r:id="rId264" ref="P132"/>
    <hyperlink r:id="rId265" ref="Q132"/>
    <hyperlink r:id="rId266" ref="P133"/>
    <hyperlink r:id="rId267" ref="Q133"/>
    <hyperlink r:id="rId268" ref="P134"/>
    <hyperlink r:id="rId269" ref="Q134"/>
    <hyperlink r:id="rId270" ref="P135"/>
    <hyperlink r:id="rId271" ref="Q135"/>
    <hyperlink r:id="rId272" ref="P136"/>
    <hyperlink r:id="rId273" ref="Q136"/>
    <hyperlink r:id="rId274" ref="P137"/>
    <hyperlink r:id="rId275" ref="Q137"/>
    <hyperlink r:id="rId276" ref="P138"/>
    <hyperlink r:id="rId277" ref="Q138"/>
    <hyperlink r:id="rId278" ref="P139"/>
    <hyperlink r:id="rId279" ref="Q139"/>
    <hyperlink r:id="rId280" ref="P140"/>
    <hyperlink r:id="rId281" ref="Q140"/>
    <hyperlink r:id="rId282" ref="P141"/>
    <hyperlink r:id="rId283" ref="Q141"/>
    <hyperlink r:id="rId284" ref="P142"/>
    <hyperlink r:id="rId285" ref="Q142"/>
    <hyperlink r:id="rId286" ref="P143"/>
    <hyperlink r:id="rId287" ref="Q143"/>
    <hyperlink r:id="rId288" ref="P144"/>
    <hyperlink r:id="rId289" ref="Q144"/>
    <hyperlink r:id="rId290" ref="P145"/>
    <hyperlink r:id="rId291" ref="Q145"/>
    <hyperlink r:id="rId292" ref="P146"/>
    <hyperlink r:id="rId293" ref="Q146"/>
    <hyperlink r:id="rId294" ref="P147"/>
    <hyperlink r:id="rId295" ref="Q147"/>
    <hyperlink r:id="rId296" ref="P148"/>
    <hyperlink r:id="rId297" ref="Q148"/>
    <hyperlink r:id="rId298" ref="P149"/>
    <hyperlink r:id="rId299" ref="Q149"/>
    <hyperlink r:id="rId300" ref="P150"/>
    <hyperlink r:id="rId301" ref="Q150"/>
    <hyperlink r:id="rId302" ref="P151"/>
    <hyperlink r:id="rId303" ref="Q151"/>
    <hyperlink r:id="rId304" ref="P152"/>
    <hyperlink r:id="rId305" ref="Q152"/>
    <hyperlink r:id="rId306" ref="P153"/>
    <hyperlink r:id="rId307" ref="Q153"/>
    <hyperlink r:id="rId308" ref="P154"/>
    <hyperlink r:id="rId309" ref="Q154"/>
    <hyperlink r:id="rId310" ref="P155"/>
    <hyperlink r:id="rId311" ref="Q155"/>
    <hyperlink r:id="rId312" ref="P156"/>
    <hyperlink r:id="rId313" ref="Q156"/>
    <hyperlink r:id="rId314" ref="P157"/>
    <hyperlink r:id="rId315" ref="Q157"/>
    <hyperlink r:id="rId316" ref="P158"/>
    <hyperlink r:id="rId317" ref="Q158"/>
    <hyperlink r:id="rId318" ref="P159"/>
    <hyperlink r:id="rId319" ref="Q159"/>
    <hyperlink r:id="rId320" ref="P160"/>
    <hyperlink r:id="rId321" ref="Q160"/>
    <hyperlink r:id="rId322" ref="P161"/>
    <hyperlink r:id="rId323" ref="Q161"/>
    <hyperlink r:id="rId324" ref="P162"/>
    <hyperlink r:id="rId325" ref="Q162"/>
    <hyperlink r:id="rId326" ref="P163"/>
    <hyperlink r:id="rId327" ref="Q163"/>
    <hyperlink r:id="rId328" ref="P164"/>
    <hyperlink r:id="rId329" ref="Q164"/>
    <hyperlink r:id="rId330" ref="P165"/>
    <hyperlink r:id="rId331" ref="Q165"/>
    <hyperlink r:id="rId332" ref="P166"/>
    <hyperlink r:id="rId333" ref="Q166"/>
    <hyperlink r:id="rId334" ref="P167"/>
    <hyperlink r:id="rId335" ref="Q167"/>
    <hyperlink r:id="rId336" ref="P168"/>
    <hyperlink r:id="rId337" ref="Q168"/>
    <hyperlink r:id="rId338" ref="P169"/>
    <hyperlink r:id="rId339" ref="Q169"/>
    <hyperlink r:id="rId340" ref="P170"/>
    <hyperlink r:id="rId341" ref="Q170"/>
    <hyperlink r:id="rId342" ref="P171"/>
    <hyperlink r:id="rId343" ref="Q171"/>
    <hyperlink r:id="rId344" ref="P172"/>
    <hyperlink r:id="rId345" ref="Q172"/>
    <hyperlink r:id="rId346" ref="P173"/>
    <hyperlink r:id="rId347" ref="Q173"/>
    <hyperlink r:id="rId348" ref="P174"/>
    <hyperlink r:id="rId349" ref="Q174"/>
    <hyperlink r:id="rId350" ref="P175"/>
    <hyperlink r:id="rId351" ref="Q175"/>
    <hyperlink r:id="rId352" ref="P176"/>
    <hyperlink r:id="rId353" ref="Q176"/>
    <hyperlink r:id="rId354" ref="P177"/>
    <hyperlink r:id="rId355" ref="Q177"/>
    <hyperlink r:id="rId356" ref="P178"/>
    <hyperlink r:id="rId357" ref="Q178"/>
    <hyperlink r:id="rId358" ref="P179"/>
    <hyperlink r:id="rId359" ref="Q179"/>
    <hyperlink r:id="rId360" ref="P180"/>
    <hyperlink r:id="rId361" ref="Q180"/>
    <hyperlink r:id="rId362" ref="P181"/>
    <hyperlink r:id="rId363" ref="Q181"/>
    <hyperlink r:id="rId364" ref="P182"/>
    <hyperlink r:id="rId365" ref="Q182"/>
    <hyperlink r:id="rId366" ref="P183"/>
    <hyperlink r:id="rId367" ref="Q183"/>
    <hyperlink r:id="rId368" ref="P184"/>
    <hyperlink r:id="rId369" ref="Q184"/>
    <hyperlink r:id="rId370" ref="P185"/>
    <hyperlink r:id="rId371" ref="Q185"/>
    <hyperlink r:id="rId372" ref="P186"/>
    <hyperlink r:id="rId373" ref="Q186"/>
    <hyperlink r:id="rId374" ref="P187"/>
    <hyperlink r:id="rId375" ref="Q187"/>
    <hyperlink r:id="rId376" ref="P188"/>
    <hyperlink r:id="rId377" ref="Q188"/>
    <hyperlink r:id="rId378" ref="P189"/>
    <hyperlink r:id="rId379" ref="Q189"/>
    <hyperlink r:id="rId380" ref="P190"/>
    <hyperlink r:id="rId381" ref="Q190"/>
    <hyperlink r:id="rId382" ref="P191"/>
    <hyperlink r:id="rId383" ref="Q191"/>
    <hyperlink r:id="rId384" ref="P192"/>
    <hyperlink r:id="rId385" ref="Q192"/>
    <hyperlink r:id="rId386" ref="P193"/>
    <hyperlink r:id="rId387" ref="Q193"/>
    <hyperlink r:id="rId388" ref="P194"/>
    <hyperlink r:id="rId389" ref="Q194"/>
    <hyperlink r:id="rId390" ref="P195"/>
    <hyperlink r:id="rId391" ref="Q195"/>
    <hyperlink r:id="rId392" ref="P196"/>
    <hyperlink r:id="rId393" ref="Q196"/>
    <hyperlink r:id="rId394" ref="P197"/>
    <hyperlink r:id="rId395" ref="Q197"/>
    <hyperlink r:id="rId396" ref="P198"/>
    <hyperlink r:id="rId397" ref="Q198"/>
    <hyperlink r:id="rId398" ref="P199"/>
    <hyperlink r:id="rId399" ref="Q199"/>
    <hyperlink r:id="rId400" ref="P200"/>
    <hyperlink r:id="rId401" ref="Q200"/>
    <hyperlink r:id="rId402" ref="P201"/>
    <hyperlink r:id="rId403" ref="Q201"/>
    <hyperlink r:id="rId404" ref="P202"/>
    <hyperlink r:id="rId405" ref="Q202"/>
    <hyperlink r:id="rId406" ref="P203"/>
    <hyperlink r:id="rId407" ref="Q203"/>
    <hyperlink r:id="rId408" ref="P204"/>
    <hyperlink r:id="rId409" ref="Q204"/>
    <hyperlink r:id="rId410" ref="P205"/>
    <hyperlink r:id="rId411" ref="Q205"/>
    <hyperlink r:id="rId412" ref="P206"/>
    <hyperlink r:id="rId413" ref="Q206"/>
    <hyperlink r:id="rId414" ref="P207"/>
    <hyperlink r:id="rId415" ref="Q207"/>
    <hyperlink r:id="rId416" ref="P208"/>
    <hyperlink r:id="rId417" ref="Q208"/>
    <hyperlink r:id="rId418" ref="P209"/>
    <hyperlink r:id="rId419" ref="Q209"/>
    <hyperlink r:id="rId420" ref="P210"/>
    <hyperlink r:id="rId421" ref="Q210"/>
    <hyperlink r:id="rId422" ref="P211"/>
    <hyperlink r:id="rId423" ref="Q211"/>
    <hyperlink r:id="rId424" ref="P212"/>
    <hyperlink r:id="rId425" ref="Q212"/>
    <hyperlink r:id="rId426" ref="P213"/>
    <hyperlink r:id="rId427" ref="Q213"/>
    <hyperlink r:id="rId428" ref="P214"/>
    <hyperlink r:id="rId429" ref="Q214"/>
    <hyperlink r:id="rId430" ref="P215"/>
    <hyperlink r:id="rId431" ref="Q215"/>
    <hyperlink r:id="rId432" ref="P216"/>
    <hyperlink r:id="rId433" ref="Q216"/>
    <hyperlink r:id="rId434" ref="P217"/>
    <hyperlink r:id="rId435" ref="Q217"/>
    <hyperlink r:id="rId436" ref="P218"/>
    <hyperlink r:id="rId437" ref="Q218"/>
    <hyperlink r:id="rId438" ref="P219"/>
    <hyperlink r:id="rId439" ref="Q219"/>
    <hyperlink r:id="rId440" ref="P220"/>
    <hyperlink r:id="rId441" ref="Q220"/>
    <hyperlink r:id="rId442" ref="P221"/>
    <hyperlink r:id="rId443" ref="Q221"/>
    <hyperlink r:id="rId444" ref="P222"/>
    <hyperlink r:id="rId445" ref="Q222"/>
    <hyperlink r:id="rId446" ref="P223"/>
    <hyperlink r:id="rId447" ref="Q223"/>
    <hyperlink r:id="rId448" ref="P224"/>
    <hyperlink r:id="rId449" ref="Q224"/>
    <hyperlink r:id="rId450" ref="P225"/>
    <hyperlink r:id="rId451" ref="Q225"/>
    <hyperlink r:id="rId452" ref="P226"/>
    <hyperlink r:id="rId453" ref="Q226"/>
    <hyperlink r:id="rId454" ref="P227"/>
    <hyperlink r:id="rId455" ref="Q227"/>
    <hyperlink r:id="rId456" ref="P228"/>
    <hyperlink r:id="rId457" ref="Q228"/>
    <hyperlink r:id="rId458" ref="P229"/>
    <hyperlink r:id="rId459" ref="Q229"/>
    <hyperlink r:id="rId460" ref="P230"/>
    <hyperlink r:id="rId461" ref="Q230"/>
    <hyperlink r:id="rId462" ref="P231"/>
    <hyperlink r:id="rId463" ref="Q231"/>
    <hyperlink r:id="rId464" ref="P232"/>
    <hyperlink r:id="rId465" ref="Q232"/>
    <hyperlink r:id="rId466" ref="P233"/>
    <hyperlink r:id="rId467" ref="Q233"/>
    <hyperlink r:id="rId468" ref="P234"/>
    <hyperlink r:id="rId469" ref="Q234"/>
    <hyperlink r:id="rId470" ref="P235"/>
    <hyperlink r:id="rId471" ref="Q235"/>
    <hyperlink r:id="rId472" ref="P236"/>
    <hyperlink r:id="rId473" ref="Q236"/>
    <hyperlink r:id="rId474" ref="P237"/>
    <hyperlink r:id="rId475" ref="Q237"/>
    <hyperlink r:id="rId476" ref="P238"/>
    <hyperlink r:id="rId477" ref="Q238"/>
    <hyperlink r:id="rId478" ref="P239"/>
    <hyperlink r:id="rId479" ref="Q239"/>
    <hyperlink r:id="rId480" ref="P240"/>
    <hyperlink r:id="rId481" ref="Q240"/>
    <hyperlink r:id="rId482" ref="P241"/>
    <hyperlink r:id="rId483" ref="Q241"/>
    <hyperlink r:id="rId484" ref="P242"/>
    <hyperlink r:id="rId485" ref="Q242"/>
    <hyperlink r:id="rId486" ref="P243"/>
    <hyperlink r:id="rId487" ref="Q243"/>
    <hyperlink r:id="rId488" ref="P244"/>
    <hyperlink r:id="rId489" ref="Q244"/>
    <hyperlink r:id="rId490" ref="P245"/>
    <hyperlink r:id="rId491" ref="Q245"/>
    <hyperlink r:id="rId492" ref="P246"/>
    <hyperlink r:id="rId493" ref="Q246"/>
    <hyperlink r:id="rId494" ref="P247"/>
    <hyperlink r:id="rId495" ref="Q247"/>
    <hyperlink r:id="rId496" ref="P248"/>
    <hyperlink r:id="rId497" ref="Q248"/>
    <hyperlink r:id="rId498" ref="P249"/>
    <hyperlink r:id="rId499" ref="Q249"/>
    <hyperlink r:id="rId500" ref="P250"/>
    <hyperlink r:id="rId501" ref="Q250"/>
    <hyperlink r:id="rId502" ref="P251"/>
    <hyperlink r:id="rId503" ref="Q251"/>
    <hyperlink r:id="rId504" ref="P252"/>
    <hyperlink r:id="rId505" ref="Q252"/>
    <hyperlink r:id="rId506" ref="P253"/>
    <hyperlink r:id="rId507" ref="Q253"/>
    <hyperlink r:id="rId508" ref="P254"/>
    <hyperlink r:id="rId509" ref="Q254"/>
    <hyperlink r:id="rId510" ref="P255"/>
    <hyperlink r:id="rId511" ref="Q255"/>
    <hyperlink r:id="rId512" ref="P256"/>
    <hyperlink r:id="rId513" ref="Q256"/>
    <hyperlink r:id="rId514" ref="P257"/>
    <hyperlink r:id="rId515" ref="Q257"/>
    <hyperlink r:id="rId516" ref="P258"/>
    <hyperlink r:id="rId517" ref="Q258"/>
    <hyperlink r:id="rId518" ref="P259"/>
    <hyperlink r:id="rId519" ref="Q259"/>
    <hyperlink r:id="rId520" ref="P260"/>
    <hyperlink r:id="rId521" ref="Q260"/>
    <hyperlink r:id="rId522" ref="P261"/>
    <hyperlink r:id="rId523" ref="Q261"/>
    <hyperlink r:id="rId524" ref="P262"/>
    <hyperlink r:id="rId525" ref="Q262"/>
    <hyperlink r:id="rId526" ref="P263"/>
    <hyperlink r:id="rId527" ref="Q263"/>
    <hyperlink r:id="rId528" ref="P264"/>
    <hyperlink r:id="rId529" ref="Q264"/>
    <hyperlink r:id="rId530" ref="P265"/>
    <hyperlink r:id="rId531" ref="Q265"/>
    <hyperlink r:id="rId532" ref="P266"/>
    <hyperlink r:id="rId533" ref="Q266"/>
    <hyperlink r:id="rId534" ref="P267"/>
    <hyperlink r:id="rId535" ref="Q267"/>
    <hyperlink r:id="rId536" ref="P268"/>
    <hyperlink r:id="rId537" ref="Q268"/>
    <hyperlink r:id="rId538" ref="P269"/>
    <hyperlink r:id="rId539" ref="Q269"/>
    <hyperlink r:id="rId540" ref="P270"/>
    <hyperlink r:id="rId541" ref="Q270"/>
    <hyperlink r:id="rId542" ref="P271"/>
    <hyperlink r:id="rId543" ref="Q271"/>
    <hyperlink r:id="rId544" ref="P272"/>
    <hyperlink r:id="rId545" ref="Q272"/>
    <hyperlink r:id="rId546" ref="P273"/>
    <hyperlink r:id="rId547" ref="Q273"/>
    <hyperlink r:id="rId548" ref="P274"/>
    <hyperlink r:id="rId549" ref="Q274"/>
    <hyperlink r:id="rId550" ref="P275"/>
    <hyperlink r:id="rId551" ref="Q275"/>
    <hyperlink r:id="rId552" ref="P276"/>
    <hyperlink r:id="rId553" ref="Q276"/>
    <hyperlink r:id="rId554" ref="P277"/>
    <hyperlink r:id="rId555" ref="Q277"/>
    <hyperlink r:id="rId556" ref="P278"/>
    <hyperlink r:id="rId557" ref="Q278"/>
    <hyperlink r:id="rId558" ref="P279"/>
    <hyperlink r:id="rId559" ref="Q279"/>
    <hyperlink r:id="rId560" ref="P280"/>
    <hyperlink r:id="rId561" ref="Q280"/>
    <hyperlink r:id="rId562" ref="P281"/>
    <hyperlink r:id="rId563" ref="Q281"/>
    <hyperlink r:id="rId564" ref="P282"/>
    <hyperlink r:id="rId565" ref="Q282"/>
    <hyperlink r:id="rId566" ref="P283"/>
    <hyperlink r:id="rId567" ref="Q283"/>
    <hyperlink r:id="rId568" ref="P284"/>
    <hyperlink r:id="rId569" ref="Q284"/>
    <hyperlink r:id="rId570" ref="P285"/>
    <hyperlink r:id="rId571" ref="Q285"/>
    <hyperlink r:id="rId572" ref="P286"/>
    <hyperlink r:id="rId573" ref="Q286"/>
    <hyperlink r:id="rId574" ref="P287"/>
    <hyperlink r:id="rId575" ref="Q287"/>
    <hyperlink r:id="rId576" ref="P288"/>
    <hyperlink r:id="rId577" ref="Q288"/>
    <hyperlink r:id="rId578" ref="P289"/>
    <hyperlink r:id="rId579" ref="Q289"/>
    <hyperlink r:id="rId580" ref="P290"/>
    <hyperlink r:id="rId581" ref="Q290"/>
    <hyperlink r:id="rId582" ref="P291"/>
    <hyperlink r:id="rId583" ref="Q291"/>
    <hyperlink r:id="rId584" ref="P292"/>
    <hyperlink r:id="rId585" ref="Q292"/>
    <hyperlink r:id="rId586" ref="P293"/>
    <hyperlink r:id="rId587" ref="Q293"/>
    <hyperlink r:id="rId588" ref="P294"/>
    <hyperlink r:id="rId589" ref="Q294"/>
    <hyperlink r:id="rId590" ref="P295"/>
    <hyperlink r:id="rId591" ref="Q295"/>
    <hyperlink r:id="rId592" ref="P296"/>
    <hyperlink r:id="rId593" ref="Q296"/>
    <hyperlink r:id="rId594" ref="P297"/>
    <hyperlink r:id="rId595" ref="Q297"/>
    <hyperlink r:id="rId596" ref="P298"/>
    <hyperlink r:id="rId597" ref="Q298"/>
    <hyperlink r:id="rId598" ref="P299"/>
    <hyperlink r:id="rId599" ref="Q299"/>
    <hyperlink r:id="rId600" ref="P300"/>
    <hyperlink r:id="rId601" ref="Q300"/>
    <hyperlink r:id="rId602" ref="P301"/>
    <hyperlink r:id="rId603" ref="Q301"/>
    <hyperlink r:id="rId604" ref="P302"/>
    <hyperlink r:id="rId605" ref="Q302"/>
    <hyperlink r:id="rId606" ref="P303"/>
    <hyperlink r:id="rId607" ref="Q303"/>
    <hyperlink r:id="rId608" ref="P304"/>
    <hyperlink r:id="rId609" ref="Q304"/>
    <hyperlink r:id="rId610" ref="P305"/>
    <hyperlink r:id="rId611" ref="Q305"/>
    <hyperlink r:id="rId612" ref="P306"/>
    <hyperlink r:id="rId613" ref="Q306"/>
    <hyperlink r:id="rId614" ref="P307"/>
    <hyperlink r:id="rId615" ref="Q307"/>
    <hyperlink r:id="rId616" ref="P308"/>
    <hyperlink r:id="rId617" ref="Q308"/>
    <hyperlink r:id="rId618" ref="P309"/>
    <hyperlink r:id="rId619" ref="Q309"/>
    <hyperlink r:id="rId620" ref="P310"/>
    <hyperlink r:id="rId621" ref="Q310"/>
    <hyperlink r:id="rId622" ref="P311"/>
    <hyperlink r:id="rId623" ref="Q311"/>
    <hyperlink r:id="rId624" ref="P312"/>
    <hyperlink r:id="rId625" ref="Q312"/>
    <hyperlink r:id="rId626" ref="P313"/>
    <hyperlink r:id="rId627" ref="Q313"/>
    <hyperlink r:id="rId628" ref="P314"/>
    <hyperlink r:id="rId629" ref="Q314"/>
    <hyperlink r:id="rId630" ref="P315"/>
    <hyperlink r:id="rId631" ref="Q315"/>
    <hyperlink r:id="rId632" ref="P316"/>
    <hyperlink r:id="rId633" ref="Q316"/>
    <hyperlink r:id="rId634" ref="P317"/>
    <hyperlink r:id="rId635" ref="Q317"/>
    <hyperlink r:id="rId636" ref="P318"/>
    <hyperlink r:id="rId637" ref="Q318"/>
    <hyperlink r:id="rId638" ref="P319"/>
    <hyperlink r:id="rId639" ref="Q319"/>
    <hyperlink r:id="rId640" ref="P320"/>
    <hyperlink r:id="rId641" ref="Q320"/>
    <hyperlink r:id="rId642" ref="P321"/>
    <hyperlink r:id="rId643" ref="Q321"/>
    <hyperlink r:id="rId644" ref="P322"/>
    <hyperlink r:id="rId645" ref="Q322"/>
    <hyperlink r:id="rId646" ref="P323"/>
    <hyperlink r:id="rId647" ref="Q323"/>
    <hyperlink r:id="rId648" ref="P324"/>
    <hyperlink r:id="rId649" ref="Q324"/>
    <hyperlink r:id="rId650" ref="P325"/>
    <hyperlink r:id="rId651" ref="Q325"/>
    <hyperlink r:id="rId652" ref="P326"/>
    <hyperlink r:id="rId653" ref="Q326"/>
    <hyperlink r:id="rId654" ref="P327"/>
    <hyperlink r:id="rId655" ref="Q327"/>
    <hyperlink r:id="rId656" ref="P328"/>
    <hyperlink r:id="rId657" ref="Q328"/>
    <hyperlink r:id="rId658" ref="P329"/>
    <hyperlink r:id="rId659" ref="Q329"/>
    <hyperlink r:id="rId660" ref="P330"/>
    <hyperlink r:id="rId661" ref="Q330"/>
    <hyperlink r:id="rId662" ref="P331"/>
    <hyperlink r:id="rId663" ref="Q331"/>
    <hyperlink r:id="rId664" ref="P332"/>
    <hyperlink r:id="rId665" ref="Q332"/>
    <hyperlink r:id="rId666" ref="P333"/>
    <hyperlink r:id="rId667" ref="Q333"/>
    <hyperlink r:id="rId668" ref="P334"/>
    <hyperlink r:id="rId669" ref="Q334"/>
    <hyperlink r:id="rId670" ref="P335"/>
    <hyperlink r:id="rId671" ref="Q335"/>
    <hyperlink r:id="rId672" ref="P336"/>
    <hyperlink r:id="rId673" ref="Q336"/>
    <hyperlink r:id="rId674" ref="P337"/>
    <hyperlink r:id="rId675" ref="Q337"/>
    <hyperlink r:id="rId676" ref="P338"/>
    <hyperlink r:id="rId677" ref="Q338"/>
    <hyperlink r:id="rId678" ref="P339"/>
    <hyperlink r:id="rId679" ref="Q339"/>
    <hyperlink r:id="rId680" ref="P340"/>
    <hyperlink r:id="rId681" ref="Q340"/>
    <hyperlink r:id="rId682" ref="P341"/>
    <hyperlink r:id="rId683" ref="Q341"/>
    <hyperlink r:id="rId684" ref="P342"/>
    <hyperlink r:id="rId685" ref="Q342"/>
    <hyperlink r:id="rId686" ref="P343"/>
    <hyperlink r:id="rId687" ref="Q343"/>
    <hyperlink r:id="rId688" ref="P344"/>
    <hyperlink r:id="rId689" ref="Q344"/>
    <hyperlink r:id="rId690" ref="P345"/>
    <hyperlink r:id="rId691" ref="Q345"/>
    <hyperlink r:id="rId692" ref="P346"/>
    <hyperlink r:id="rId693" ref="Q346"/>
    <hyperlink r:id="rId694" ref="P347"/>
    <hyperlink r:id="rId695" ref="Q347"/>
    <hyperlink r:id="rId696" ref="P348"/>
    <hyperlink r:id="rId697" ref="Q348"/>
    <hyperlink r:id="rId698" ref="P349"/>
    <hyperlink r:id="rId699" ref="Q349"/>
    <hyperlink r:id="rId700" ref="P350"/>
    <hyperlink r:id="rId701" ref="Q350"/>
    <hyperlink r:id="rId702" ref="P351"/>
    <hyperlink r:id="rId703" ref="Q351"/>
    <hyperlink r:id="rId704" ref="P352"/>
    <hyperlink r:id="rId705" ref="Q352"/>
    <hyperlink r:id="rId706" ref="P353"/>
    <hyperlink r:id="rId707" ref="Q353"/>
    <hyperlink r:id="rId708" ref="P354"/>
    <hyperlink r:id="rId709" ref="Q354"/>
    <hyperlink r:id="rId710" ref="P355"/>
    <hyperlink r:id="rId711" ref="Q355"/>
    <hyperlink r:id="rId712" ref="P356"/>
    <hyperlink r:id="rId713" ref="Q356"/>
    <hyperlink r:id="rId714" ref="P357"/>
    <hyperlink r:id="rId715" ref="Q357"/>
    <hyperlink r:id="rId716" ref="P358"/>
    <hyperlink r:id="rId717" ref="Q358"/>
    <hyperlink r:id="rId718" ref="P359"/>
    <hyperlink r:id="rId719" ref="Q359"/>
    <hyperlink r:id="rId720" ref="P360"/>
    <hyperlink r:id="rId721" ref="Q360"/>
    <hyperlink r:id="rId722" ref="P361"/>
    <hyperlink r:id="rId723" ref="Q361"/>
    <hyperlink r:id="rId724" ref="P362"/>
    <hyperlink r:id="rId725" ref="Q362"/>
    <hyperlink r:id="rId726" ref="P363"/>
    <hyperlink r:id="rId727" ref="Q363"/>
    <hyperlink r:id="rId728" ref="P364"/>
    <hyperlink r:id="rId729" ref="Q364"/>
    <hyperlink r:id="rId730" ref="P365"/>
    <hyperlink r:id="rId731" ref="Q365"/>
    <hyperlink r:id="rId732" ref="P366"/>
    <hyperlink r:id="rId733" ref="Q366"/>
    <hyperlink r:id="rId734" ref="P367"/>
    <hyperlink r:id="rId735" ref="Q367"/>
    <hyperlink r:id="rId736" ref="P368"/>
    <hyperlink r:id="rId737" ref="Q368"/>
    <hyperlink r:id="rId738" ref="P369"/>
    <hyperlink r:id="rId739" ref="Q369"/>
    <hyperlink r:id="rId740" ref="P370"/>
    <hyperlink r:id="rId741" ref="Q370"/>
    <hyperlink r:id="rId742" ref="P371"/>
    <hyperlink r:id="rId743" ref="Q371"/>
    <hyperlink r:id="rId744" ref="P372"/>
    <hyperlink r:id="rId745" ref="Q372"/>
    <hyperlink r:id="rId746" ref="P373"/>
    <hyperlink r:id="rId747" ref="Q373"/>
    <hyperlink r:id="rId748" ref="P374"/>
    <hyperlink r:id="rId749" ref="Q374"/>
    <hyperlink r:id="rId750" ref="P375"/>
    <hyperlink r:id="rId751" ref="Q375"/>
    <hyperlink r:id="rId752" ref="P376"/>
    <hyperlink r:id="rId753" ref="Q376"/>
    <hyperlink r:id="rId754" ref="P377"/>
    <hyperlink r:id="rId755" ref="Q377"/>
    <hyperlink r:id="rId756" ref="P378"/>
    <hyperlink r:id="rId757" ref="Q378"/>
    <hyperlink r:id="rId758" ref="P379"/>
    <hyperlink r:id="rId759" ref="Q379"/>
    <hyperlink r:id="rId760" ref="P380"/>
    <hyperlink r:id="rId761" ref="Q380"/>
    <hyperlink r:id="rId762" ref="P381"/>
    <hyperlink r:id="rId763" ref="Q381"/>
    <hyperlink r:id="rId764" ref="P382"/>
    <hyperlink r:id="rId765" ref="Q382"/>
    <hyperlink r:id="rId766" ref="P383"/>
    <hyperlink r:id="rId767" ref="Q383"/>
    <hyperlink r:id="rId768" ref="P384"/>
    <hyperlink r:id="rId769" ref="Q384"/>
    <hyperlink r:id="rId770" ref="P385"/>
    <hyperlink r:id="rId771" ref="Q385"/>
    <hyperlink r:id="rId772" ref="P386"/>
    <hyperlink r:id="rId773" ref="Q386"/>
    <hyperlink r:id="rId774" ref="P387"/>
    <hyperlink r:id="rId775" ref="Q387"/>
    <hyperlink r:id="rId776" ref="P388"/>
    <hyperlink r:id="rId777" ref="Q388"/>
    <hyperlink r:id="rId778" ref="P389"/>
    <hyperlink r:id="rId779" ref="Q389"/>
    <hyperlink r:id="rId780" ref="P390"/>
    <hyperlink r:id="rId781" ref="Q390"/>
    <hyperlink r:id="rId782" ref="P391"/>
    <hyperlink r:id="rId783" ref="Q391"/>
    <hyperlink r:id="rId784" ref="P392"/>
    <hyperlink r:id="rId785" ref="Q392"/>
    <hyperlink r:id="rId786" ref="P393"/>
    <hyperlink r:id="rId787" ref="Q393"/>
    <hyperlink r:id="rId788" ref="P394"/>
    <hyperlink r:id="rId789" ref="Q394"/>
    <hyperlink r:id="rId790" ref="P395"/>
    <hyperlink r:id="rId791" ref="Q395"/>
    <hyperlink r:id="rId792" ref="P396"/>
    <hyperlink r:id="rId793" ref="Q396"/>
    <hyperlink r:id="rId794" ref="P397"/>
    <hyperlink r:id="rId795" ref="Q397"/>
    <hyperlink r:id="rId796" ref="P398"/>
    <hyperlink r:id="rId797" ref="Q398"/>
    <hyperlink r:id="rId798" ref="P399"/>
    <hyperlink r:id="rId799" ref="Q399"/>
    <hyperlink r:id="rId800" ref="P400"/>
    <hyperlink r:id="rId801" ref="Q400"/>
    <hyperlink r:id="rId802" ref="P401"/>
    <hyperlink r:id="rId803" ref="Q401"/>
    <hyperlink r:id="rId804" ref="P402"/>
    <hyperlink r:id="rId805" ref="Q402"/>
    <hyperlink r:id="rId806" ref="P403"/>
    <hyperlink r:id="rId807" ref="Q403"/>
    <hyperlink r:id="rId808" ref="P404"/>
    <hyperlink r:id="rId809" ref="Q404"/>
    <hyperlink r:id="rId810" ref="P405"/>
    <hyperlink r:id="rId811" ref="Q405"/>
    <hyperlink r:id="rId812" ref="P406"/>
    <hyperlink r:id="rId813" ref="Q406"/>
    <hyperlink r:id="rId814" ref="P407"/>
    <hyperlink r:id="rId815" ref="Q407"/>
    <hyperlink r:id="rId816" ref="P408"/>
    <hyperlink r:id="rId817" ref="Q408"/>
    <hyperlink r:id="rId818" ref="P409"/>
    <hyperlink r:id="rId819" ref="Q409"/>
    <hyperlink r:id="rId820" ref="P410"/>
    <hyperlink r:id="rId821" ref="Q410"/>
    <hyperlink r:id="rId822" ref="P411"/>
    <hyperlink r:id="rId823" ref="Q411"/>
    <hyperlink r:id="rId824" ref="P412"/>
    <hyperlink r:id="rId825" ref="Q412"/>
    <hyperlink r:id="rId826" ref="P413"/>
    <hyperlink r:id="rId827" ref="Q413"/>
    <hyperlink r:id="rId828" ref="P414"/>
    <hyperlink r:id="rId829" ref="Q414"/>
    <hyperlink r:id="rId830" ref="P415"/>
    <hyperlink r:id="rId831" ref="Q415"/>
    <hyperlink r:id="rId832" ref="P416"/>
    <hyperlink r:id="rId833" ref="Q416"/>
    <hyperlink r:id="rId834" ref="P417"/>
    <hyperlink r:id="rId835" ref="Q417"/>
    <hyperlink r:id="rId836" ref="P418"/>
    <hyperlink r:id="rId837" ref="Q418"/>
    <hyperlink r:id="rId838" ref="P419"/>
    <hyperlink r:id="rId839" ref="Q419"/>
    <hyperlink r:id="rId840" ref="P420"/>
    <hyperlink r:id="rId841" ref="Q420"/>
    <hyperlink r:id="rId842" ref="P421"/>
    <hyperlink r:id="rId843" ref="Q421"/>
    <hyperlink r:id="rId844" ref="P422"/>
    <hyperlink r:id="rId845" ref="Q422"/>
    <hyperlink r:id="rId846" ref="P423"/>
    <hyperlink r:id="rId847" ref="Q423"/>
    <hyperlink r:id="rId848" ref="P424"/>
    <hyperlink r:id="rId849" ref="Q424"/>
    <hyperlink r:id="rId850" ref="P425"/>
    <hyperlink r:id="rId851" ref="Q425"/>
    <hyperlink r:id="rId852" ref="P426"/>
    <hyperlink r:id="rId853" ref="Q426"/>
    <hyperlink r:id="rId854" ref="P427"/>
    <hyperlink r:id="rId855" ref="Q427"/>
    <hyperlink r:id="rId856" ref="P428"/>
    <hyperlink r:id="rId857" ref="Q428"/>
    <hyperlink r:id="rId858" ref="P429"/>
    <hyperlink r:id="rId859" ref="Q429"/>
    <hyperlink r:id="rId860" ref="P430"/>
    <hyperlink r:id="rId861" ref="Q430"/>
    <hyperlink r:id="rId862" ref="P431"/>
    <hyperlink r:id="rId863" ref="Q431"/>
    <hyperlink r:id="rId864" ref="P432"/>
    <hyperlink r:id="rId865" ref="Q432"/>
    <hyperlink r:id="rId866" ref="P433"/>
    <hyperlink r:id="rId867" ref="Q433"/>
    <hyperlink r:id="rId868" ref="P434"/>
    <hyperlink r:id="rId869" ref="Q434"/>
    <hyperlink r:id="rId870" ref="P435"/>
    <hyperlink r:id="rId871" ref="Q435"/>
    <hyperlink r:id="rId872" ref="P436"/>
    <hyperlink r:id="rId873" ref="Q436"/>
    <hyperlink r:id="rId874" ref="P437"/>
    <hyperlink r:id="rId875" ref="Q437"/>
    <hyperlink r:id="rId876" ref="P438"/>
    <hyperlink r:id="rId877" ref="Q438"/>
    <hyperlink r:id="rId878" ref="P439"/>
    <hyperlink r:id="rId879" ref="Q439"/>
    <hyperlink r:id="rId880" ref="P440"/>
    <hyperlink r:id="rId881" ref="Q440"/>
    <hyperlink r:id="rId882" ref="P441"/>
    <hyperlink r:id="rId883" ref="Q441"/>
    <hyperlink r:id="rId884" ref="P442"/>
    <hyperlink r:id="rId885" ref="Q442"/>
    <hyperlink r:id="rId886" ref="P443"/>
    <hyperlink r:id="rId887" ref="Q443"/>
    <hyperlink r:id="rId888" ref="P444"/>
    <hyperlink r:id="rId889" ref="Q444"/>
    <hyperlink r:id="rId890" ref="P445"/>
    <hyperlink r:id="rId891" ref="Q445"/>
    <hyperlink r:id="rId892" ref="P446"/>
    <hyperlink r:id="rId893" ref="Q446"/>
    <hyperlink r:id="rId894" ref="P447"/>
    <hyperlink r:id="rId895" ref="Q447"/>
    <hyperlink r:id="rId896" ref="P448"/>
    <hyperlink r:id="rId897" ref="Q448"/>
    <hyperlink r:id="rId898" ref="P449"/>
    <hyperlink r:id="rId899" ref="Q449"/>
    <hyperlink r:id="rId900" ref="P450"/>
    <hyperlink r:id="rId901" ref="Q450"/>
    <hyperlink r:id="rId902" ref="P451"/>
    <hyperlink r:id="rId903" ref="Q451"/>
    <hyperlink r:id="rId904" ref="P452"/>
    <hyperlink r:id="rId905" ref="Q452"/>
    <hyperlink r:id="rId906" ref="P453"/>
    <hyperlink r:id="rId907" ref="Q453"/>
    <hyperlink r:id="rId908" ref="P454"/>
    <hyperlink r:id="rId909" ref="Q454"/>
    <hyperlink r:id="rId910" ref="P455"/>
    <hyperlink r:id="rId911" ref="Q455"/>
    <hyperlink r:id="rId912" ref="P456"/>
    <hyperlink r:id="rId913" ref="Q456"/>
    <hyperlink r:id="rId914" ref="P457"/>
    <hyperlink r:id="rId915" ref="Q457"/>
    <hyperlink r:id="rId916" ref="P458"/>
    <hyperlink r:id="rId917" ref="Q458"/>
    <hyperlink r:id="rId918" ref="P459"/>
    <hyperlink r:id="rId919" ref="Q459"/>
    <hyperlink r:id="rId920" ref="P460"/>
    <hyperlink r:id="rId921" ref="Q460"/>
    <hyperlink r:id="rId922" ref="P461"/>
    <hyperlink r:id="rId923" ref="Q461"/>
    <hyperlink r:id="rId924" ref="P462"/>
    <hyperlink r:id="rId925" ref="Q462"/>
    <hyperlink r:id="rId926" ref="P463"/>
    <hyperlink r:id="rId927" ref="Q463"/>
    <hyperlink r:id="rId928" ref="P464"/>
    <hyperlink r:id="rId929" ref="Q464"/>
    <hyperlink r:id="rId930" ref="P465"/>
    <hyperlink r:id="rId931" ref="Q465"/>
    <hyperlink r:id="rId932" ref="P466"/>
    <hyperlink r:id="rId933" ref="Q466"/>
    <hyperlink r:id="rId934" ref="P467"/>
    <hyperlink r:id="rId935" ref="Q467"/>
    <hyperlink r:id="rId936" ref="P468"/>
    <hyperlink r:id="rId937" ref="Q468"/>
    <hyperlink r:id="rId938" ref="P469"/>
    <hyperlink r:id="rId939" ref="Q469"/>
    <hyperlink r:id="rId940" ref="P470"/>
    <hyperlink r:id="rId941" ref="Q470"/>
    <hyperlink r:id="rId942" ref="P471"/>
    <hyperlink r:id="rId943" ref="Q471"/>
    <hyperlink r:id="rId944" ref="P472"/>
    <hyperlink r:id="rId945" ref="Q472"/>
    <hyperlink r:id="rId946" ref="P473"/>
    <hyperlink r:id="rId947" ref="Q473"/>
    <hyperlink r:id="rId948" ref="P474"/>
    <hyperlink r:id="rId949" ref="Q474"/>
    <hyperlink r:id="rId950" ref="P475"/>
    <hyperlink r:id="rId951" ref="Q475"/>
    <hyperlink r:id="rId952" ref="P476"/>
    <hyperlink r:id="rId953" ref="Q476"/>
    <hyperlink r:id="rId954" ref="P477"/>
    <hyperlink r:id="rId955" ref="Q477"/>
    <hyperlink r:id="rId956" ref="P478"/>
    <hyperlink r:id="rId957" ref="Q478"/>
    <hyperlink r:id="rId958" ref="P479"/>
    <hyperlink r:id="rId959" ref="Q479"/>
    <hyperlink r:id="rId960" ref="P480"/>
    <hyperlink r:id="rId961" ref="Q480"/>
    <hyperlink r:id="rId962" ref="P481"/>
    <hyperlink r:id="rId963" ref="Q481"/>
    <hyperlink r:id="rId964" ref="P482"/>
    <hyperlink r:id="rId965" ref="Q482"/>
    <hyperlink r:id="rId966" ref="P483"/>
    <hyperlink r:id="rId967" ref="Q483"/>
    <hyperlink r:id="rId968" ref="P484"/>
    <hyperlink r:id="rId969" ref="Q484"/>
    <hyperlink r:id="rId970" ref="P485"/>
    <hyperlink r:id="rId971" ref="Q485"/>
    <hyperlink r:id="rId972" ref="P486"/>
    <hyperlink r:id="rId973" ref="Q486"/>
    <hyperlink r:id="rId974" ref="P487"/>
    <hyperlink r:id="rId975" ref="Q487"/>
    <hyperlink r:id="rId976" ref="P488"/>
    <hyperlink r:id="rId977" ref="Q488"/>
    <hyperlink r:id="rId978" ref="P489"/>
    <hyperlink r:id="rId979" ref="Q489"/>
    <hyperlink r:id="rId980" ref="P490"/>
    <hyperlink r:id="rId981" ref="Q490"/>
    <hyperlink r:id="rId982" ref="P491"/>
    <hyperlink r:id="rId983" ref="Q491"/>
    <hyperlink r:id="rId984" ref="P492"/>
    <hyperlink r:id="rId985" ref="Q492"/>
    <hyperlink r:id="rId986" ref="P493"/>
    <hyperlink r:id="rId987" ref="Q493"/>
    <hyperlink r:id="rId988" ref="P494"/>
    <hyperlink r:id="rId989" ref="Q494"/>
    <hyperlink r:id="rId990" ref="P495"/>
    <hyperlink r:id="rId991" ref="Q495"/>
    <hyperlink r:id="rId992" ref="P496"/>
    <hyperlink r:id="rId993" ref="Q496"/>
    <hyperlink r:id="rId994" ref="P497"/>
    <hyperlink r:id="rId995" ref="Q497"/>
    <hyperlink r:id="rId996" ref="P498"/>
    <hyperlink r:id="rId997" ref="Q498"/>
    <hyperlink r:id="rId998" ref="P499"/>
    <hyperlink r:id="rId999" ref="Q499"/>
    <hyperlink r:id="rId1000" ref="P500"/>
    <hyperlink r:id="rId1001" ref="Q500"/>
    <hyperlink r:id="rId1002" ref="P501"/>
    <hyperlink r:id="rId1003" ref="Q501"/>
    <hyperlink r:id="rId1004" ref="P502"/>
    <hyperlink r:id="rId1005" ref="Q502"/>
    <hyperlink r:id="rId1006" ref="P503"/>
    <hyperlink r:id="rId1007" ref="Q503"/>
    <hyperlink r:id="rId1008" ref="P504"/>
    <hyperlink r:id="rId1009" ref="Q504"/>
    <hyperlink r:id="rId1010" ref="P505"/>
    <hyperlink r:id="rId1011" ref="Q505"/>
    <hyperlink r:id="rId1012" ref="P506"/>
    <hyperlink r:id="rId1013" ref="Q506"/>
    <hyperlink r:id="rId1014" ref="P507"/>
    <hyperlink r:id="rId1015" ref="Q507"/>
    <hyperlink r:id="rId1016" ref="P508"/>
    <hyperlink r:id="rId1017" ref="Q508"/>
    <hyperlink r:id="rId1018" ref="P509"/>
    <hyperlink r:id="rId1019" ref="Q509"/>
    <hyperlink r:id="rId1020" ref="P510"/>
    <hyperlink r:id="rId1021" ref="Q510"/>
    <hyperlink r:id="rId1022" ref="P511"/>
    <hyperlink r:id="rId1023" ref="Q511"/>
    <hyperlink r:id="rId1024" ref="P512"/>
    <hyperlink r:id="rId1025" ref="Q512"/>
    <hyperlink r:id="rId1026" ref="P513"/>
    <hyperlink r:id="rId1027" ref="Q513"/>
    <hyperlink r:id="rId1028" ref="P514"/>
    <hyperlink r:id="rId1029" ref="Q514"/>
    <hyperlink r:id="rId1030" ref="P515"/>
    <hyperlink r:id="rId1031" ref="Q515"/>
    <hyperlink r:id="rId1032" ref="P516"/>
    <hyperlink r:id="rId1033" ref="Q516"/>
    <hyperlink r:id="rId1034" ref="P517"/>
    <hyperlink r:id="rId1035" ref="Q517"/>
    <hyperlink r:id="rId1036" ref="P518"/>
    <hyperlink r:id="rId1037" ref="Q518"/>
    <hyperlink r:id="rId1038" ref="P519"/>
    <hyperlink r:id="rId1039" ref="Q519"/>
    <hyperlink r:id="rId1040" ref="P520"/>
    <hyperlink r:id="rId1041" ref="Q520"/>
    <hyperlink r:id="rId1042" ref="P521"/>
    <hyperlink r:id="rId1043" ref="Q521"/>
    <hyperlink r:id="rId1044" ref="P522"/>
    <hyperlink r:id="rId1045" ref="Q522"/>
    <hyperlink r:id="rId1046" ref="P523"/>
    <hyperlink r:id="rId1047" ref="Q523"/>
    <hyperlink r:id="rId1048" ref="P524"/>
    <hyperlink r:id="rId1049" ref="Q524"/>
    <hyperlink r:id="rId1050" ref="P525"/>
    <hyperlink r:id="rId1051" ref="Q525"/>
    <hyperlink r:id="rId1052" ref="P526"/>
    <hyperlink r:id="rId1053" ref="Q526"/>
    <hyperlink r:id="rId1054" ref="P527"/>
    <hyperlink r:id="rId1055" ref="Q527"/>
    <hyperlink r:id="rId1056" ref="P528"/>
    <hyperlink r:id="rId1057" ref="Q528"/>
    <hyperlink r:id="rId1058" ref="P529"/>
    <hyperlink r:id="rId1059" ref="Q529"/>
    <hyperlink r:id="rId1060" ref="P530"/>
    <hyperlink r:id="rId1061" ref="Q530"/>
    <hyperlink r:id="rId1062" ref="P531"/>
    <hyperlink r:id="rId1063" ref="Q531"/>
    <hyperlink r:id="rId1064" ref="P532"/>
    <hyperlink r:id="rId1065" ref="Q532"/>
    <hyperlink r:id="rId1066" ref="P533"/>
    <hyperlink r:id="rId1067" ref="Q533"/>
    <hyperlink r:id="rId1068" ref="P534"/>
    <hyperlink r:id="rId1069" ref="Q534"/>
    <hyperlink r:id="rId1070" ref="P535"/>
    <hyperlink r:id="rId1071" ref="Q535"/>
    <hyperlink r:id="rId1072" ref="P536"/>
    <hyperlink r:id="rId1073" ref="Q536"/>
    <hyperlink r:id="rId1074" ref="P537"/>
    <hyperlink r:id="rId1075" ref="Q537"/>
    <hyperlink r:id="rId1076" ref="P538"/>
    <hyperlink r:id="rId1077" ref="Q538"/>
    <hyperlink r:id="rId1078" ref="P539"/>
    <hyperlink r:id="rId1079" ref="Q539"/>
    <hyperlink r:id="rId1080" ref="P540"/>
    <hyperlink r:id="rId1081" ref="Q540"/>
    <hyperlink r:id="rId1082" ref="P541"/>
    <hyperlink r:id="rId1083" ref="Q541"/>
    <hyperlink r:id="rId1084" ref="P542"/>
    <hyperlink r:id="rId1085" ref="Q542"/>
    <hyperlink r:id="rId1086" ref="P543"/>
    <hyperlink r:id="rId1087" ref="Q543"/>
    <hyperlink r:id="rId1088" ref="P544"/>
    <hyperlink r:id="rId1089" ref="Q544"/>
    <hyperlink r:id="rId1090" ref="P545"/>
    <hyperlink r:id="rId1091" ref="Q545"/>
    <hyperlink r:id="rId1092" ref="P546"/>
    <hyperlink r:id="rId1093" ref="Q546"/>
    <hyperlink r:id="rId1094" ref="P547"/>
    <hyperlink r:id="rId1095" ref="Q547"/>
    <hyperlink r:id="rId1096" ref="P548"/>
    <hyperlink r:id="rId1097" ref="Q548"/>
    <hyperlink r:id="rId1098" ref="P549"/>
    <hyperlink r:id="rId1099" ref="Q549"/>
    <hyperlink r:id="rId1100" ref="P550"/>
    <hyperlink r:id="rId1101" ref="Q550"/>
    <hyperlink r:id="rId1102" ref="P551"/>
    <hyperlink r:id="rId1103" ref="Q551"/>
    <hyperlink r:id="rId1104" ref="P552"/>
    <hyperlink r:id="rId1105" ref="Q552"/>
    <hyperlink r:id="rId1106" ref="P553"/>
    <hyperlink r:id="rId1107" ref="Q553"/>
    <hyperlink r:id="rId1108" ref="P554"/>
    <hyperlink r:id="rId1109" ref="Q554"/>
    <hyperlink r:id="rId1110" ref="P555"/>
    <hyperlink r:id="rId1111" ref="Q555"/>
    <hyperlink r:id="rId1112" ref="P556"/>
    <hyperlink r:id="rId1113" ref="Q556"/>
    <hyperlink r:id="rId1114" ref="P557"/>
    <hyperlink r:id="rId1115" ref="Q557"/>
    <hyperlink r:id="rId1116" ref="P558"/>
    <hyperlink r:id="rId1117" ref="Q558"/>
    <hyperlink r:id="rId1118" ref="P559"/>
    <hyperlink r:id="rId1119" ref="Q559"/>
    <hyperlink r:id="rId1120" ref="P560"/>
    <hyperlink r:id="rId1121" ref="Q560"/>
    <hyperlink r:id="rId1122" ref="P561"/>
    <hyperlink r:id="rId1123" ref="Q561"/>
    <hyperlink r:id="rId1124" ref="P562"/>
    <hyperlink r:id="rId1125" ref="Q562"/>
    <hyperlink r:id="rId1126" ref="P563"/>
    <hyperlink r:id="rId1127" ref="Q563"/>
    <hyperlink r:id="rId1128" ref="P564"/>
    <hyperlink r:id="rId1129" ref="Q564"/>
    <hyperlink r:id="rId1130" ref="P565"/>
    <hyperlink r:id="rId1131" ref="Q565"/>
    <hyperlink r:id="rId1132" ref="P566"/>
    <hyperlink r:id="rId1133" ref="Q566"/>
    <hyperlink r:id="rId1134" ref="P567"/>
    <hyperlink r:id="rId1135" ref="Q567"/>
    <hyperlink r:id="rId1136" ref="P568"/>
    <hyperlink r:id="rId1137" ref="Q568"/>
    <hyperlink r:id="rId1138" ref="P569"/>
    <hyperlink r:id="rId1139" ref="Q569"/>
    <hyperlink r:id="rId1140" ref="P570"/>
    <hyperlink r:id="rId1141" ref="Q570"/>
    <hyperlink r:id="rId1142" ref="P571"/>
    <hyperlink r:id="rId1143" ref="Q571"/>
    <hyperlink r:id="rId1144" ref="P572"/>
    <hyperlink r:id="rId1145" ref="Q572"/>
    <hyperlink r:id="rId1146" ref="P573"/>
    <hyperlink r:id="rId1147" ref="Q573"/>
    <hyperlink r:id="rId1148" ref="P574"/>
    <hyperlink r:id="rId1149" ref="Q574"/>
    <hyperlink r:id="rId1150" ref="P575"/>
    <hyperlink r:id="rId1151" ref="Q575"/>
    <hyperlink r:id="rId1152" ref="P576"/>
    <hyperlink r:id="rId1153" ref="Q576"/>
    <hyperlink r:id="rId1154" ref="P577"/>
    <hyperlink r:id="rId1155" ref="Q577"/>
    <hyperlink r:id="rId1156" ref="P578"/>
    <hyperlink r:id="rId1157" ref="Q578"/>
    <hyperlink r:id="rId1158" ref="P579"/>
    <hyperlink r:id="rId1159" ref="Q579"/>
    <hyperlink r:id="rId1160" ref="P580"/>
    <hyperlink r:id="rId1161" ref="Q580"/>
    <hyperlink r:id="rId1162" ref="P581"/>
    <hyperlink r:id="rId1163" ref="Q581"/>
    <hyperlink r:id="rId1164" ref="P582"/>
    <hyperlink r:id="rId1165" ref="Q582"/>
    <hyperlink r:id="rId1166" ref="P583"/>
    <hyperlink r:id="rId1167" ref="Q583"/>
    <hyperlink r:id="rId1168" ref="P584"/>
    <hyperlink r:id="rId1169" ref="Q584"/>
    <hyperlink r:id="rId1170" ref="P585"/>
    <hyperlink r:id="rId1171" ref="Q585"/>
    <hyperlink r:id="rId1172" ref="P586"/>
    <hyperlink r:id="rId1173" ref="Q586"/>
    <hyperlink r:id="rId1174" ref="P587"/>
    <hyperlink r:id="rId1175" ref="Q587"/>
    <hyperlink r:id="rId1176" ref="P588"/>
    <hyperlink r:id="rId1177" ref="Q588"/>
    <hyperlink r:id="rId1178" ref="P589"/>
    <hyperlink r:id="rId1179" ref="Q589"/>
    <hyperlink r:id="rId1180" ref="P590"/>
    <hyperlink r:id="rId1181" ref="Q590"/>
    <hyperlink r:id="rId1182" ref="P591"/>
    <hyperlink r:id="rId1183" ref="Q591"/>
    <hyperlink r:id="rId1184" ref="P592"/>
    <hyperlink r:id="rId1185" ref="Q592"/>
    <hyperlink r:id="rId1186" ref="P593"/>
    <hyperlink r:id="rId1187" ref="Q593"/>
    <hyperlink r:id="rId1188" ref="P594"/>
    <hyperlink r:id="rId1189" ref="Q594"/>
    <hyperlink r:id="rId1190" ref="P595"/>
    <hyperlink r:id="rId1191" ref="Q595"/>
    <hyperlink r:id="rId1192" ref="P596"/>
    <hyperlink r:id="rId1193" ref="Q596"/>
    <hyperlink r:id="rId1194" ref="P597"/>
    <hyperlink r:id="rId1195" ref="Q597"/>
    <hyperlink r:id="rId1196" ref="P598"/>
    <hyperlink r:id="rId1197" ref="Q598"/>
    <hyperlink r:id="rId1198" ref="P599"/>
    <hyperlink r:id="rId1199" ref="Q599"/>
    <hyperlink r:id="rId1200" ref="P600"/>
    <hyperlink r:id="rId1201" ref="Q600"/>
    <hyperlink r:id="rId1202" ref="P601"/>
    <hyperlink r:id="rId1203" ref="Q601"/>
    <hyperlink r:id="rId1204" ref="P602"/>
    <hyperlink r:id="rId1205" ref="Q602"/>
    <hyperlink r:id="rId1206" ref="P603"/>
    <hyperlink r:id="rId1207" ref="Q603"/>
    <hyperlink r:id="rId1208" ref="P604"/>
    <hyperlink r:id="rId1209" ref="Q604"/>
    <hyperlink r:id="rId1210" ref="P605"/>
    <hyperlink r:id="rId1211" ref="Q605"/>
    <hyperlink r:id="rId1212" ref="P606"/>
    <hyperlink r:id="rId1213" ref="Q606"/>
    <hyperlink r:id="rId1214" ref="P607"/>
    <hyperlink r:id="rId1215" ref="Q607"/>
    <hyperlink r:id="rId1216" ref="P608"/>
    <hyperlink r:id="rId1217" ref="Q608"/>
    <hyperlink r:id="rId1218" ref="P609"/>
    <hyperlink r:id="rId1219" ref="Q609"/>
    <hyperlink r:id="rId1220" ref="P610"/>
    <hyperlink r:id="rId1221" ref="Q610"/>
    <hyperlink r:id="rId1222" ref="P611"/>
    <hyperlink r:id="rId1223" ref="Q611"/>
    <hyperlink r:id="rId1224" ref="P612"/>
    <hyperlink r:id="rId1225" ref="Q612"/>
    <hyperlink r:id="rId1226" ref="P613"/>
    <hyperlink r:id="rId1227" ref="Q613"/>
    <hyperlink r:id="rId1228" ref="P614"/>
    <hyperlink r:id="rId1229" ref="Q614"/>
    <hyperlink r:id="rId1230" ref="P615"/>
    <hyperlink r:id="rId1231" ref="Q615"/>
    <hyperlink r:id="rId1232" ref="P616"/>
    <hyperlink r:id="rId1233" ref="Q616"/>
    <hyperlink r:id="rId1234" ref="P617"/>
    <hyperlink r:id="rId1235" ref="Q617"/>
    <hyperlink r:id="rId1236" ref="P618"/>
    <hyperlink r:id="rId1237" ref="Q618"/>
    <hyperlink r:id="rId1238" ref="P619"/>
    <hyperlink r:id="rId1239" ref="Q619"/>
    <hyperlink r:id="rId1240" ref="P620"/>
    <hyperlink r:id="rId1241" ref="Q620"/>
    <hyperlink r:id="rId1242" ref="P621"/>
    <hyperlink r:id="rId1243" ref="Q621"/>
    <hyperlink r:id="rId1244" ref="P622"/>
    <hyperlink r:id="rId1245" ref="Q622"/>
    <hyperlink r:id="rId1246" ref="P623"/>
    <hyperlink r:id="rId1247" ref="Q623"/>
    <hyperlink r:id="rId1248" ref="P624"/>
    <hyperlink r:id="rId1249" ref="Q624"/>
    <hyperlink r:id="rId1250" ref="P625"/>
    <hyperlink r:id="rId1251" ref="Q625"/>
    <hyperlink r:id="rId1252" ref="P626"/>
    <hyperlink r:id="rId1253" ref="Q626"/>
    <hyperlink r:id="rId1254" ref="P627"/>
    <hyperlink r:id="rId1255" ref="Q627"/>
    <hyperlink r:id="rId1256" ref="P628"/>
    <hyperlink r:id="rId1257" ref="Q628"/>
    <hyperlink r:id="rId1258" ref="P629"/>
    <hyperlink r:id="rId1259" ref="Q629"/>
    <hyperlink r:id="rId1260" ref="P630"/>
    <hyperlink r:id="rId1261" ref="Q630"/>
    <hyperlink r:id="rId1262" ref="P631"/>
    <hyperlink r:id="rId1263" ref="Q631"/>
    <hyperlink r:id="rId1264" ref="P632"/>
    <hyperlink r:id="rId1265" ref="Q632"/>
    <hyperlink r:id="rId1266" ref="P633"/>
    <hyperlink r:id="rId1267" ref="Q633"/>
    <hyperlink r:id="rId1268" ref="P634"/>
    <hyperlink r:id="rId1269" ref="Q634"/>
    <hyperlink r:id="rId1270" ref="P635"/>
    <hyperlink r:id="rId1271" ref="Q635"/>
    <hyperlink r:id="rId1272" ref="P636"/>
    <hyperlink r:id="rId1273" ref="Q636"/>
    <hyperlink r:id="rId1274" ref="P637"/>
    <hyperlink r:id="rId1275" ref="Q637"/>
    <hyperlink r:id="rId1276" ref="P638"/>
    <hyperlink r:id="rId1277" ref="Q638"/>
    <hyperlink r:id="rId1278" ref="P639"/>
    <hyperlink r:id="rId1279" ref="Q639"/>
    <hyperlink r:id="rId1280" ref="P640"/>
    <hyperlink r:id="rId1281" ref="Q640"/>
    <hyperlink r:id="rId1282" ref="P641"/>
    <hyperlink r:id="rId1283" ref="Q641"/>
    <hyperlink r:id="rId1284" ref="P642"/>
    <hyperlink r:id="rId1285" ref="Q642"/>
    <hyperlink r:id="rId1286" ref="P643"/>
    <hyperlink r:id="rId1287" ref="Q643"/>
    <hyperlink r:id="rId1288" ref="P644"/>
    <hyperlink r:id="rId1289" ref="Q644"/>
    <hyperlink r:id="rId1290" ref="P645"/>
    <hyperlink r:id="rId1291" ref="Q645"/>
    <hyperlink r:id="rId1292" ref="P646"/>
    <hyperlink r:id="rId1293" ref="Q646"/>
    <hyperlink r:id="rId1294" ref="P647"/>
    <hyperlink r:id="rId1295" ref="Q647"/>
    <hyperlink r:id="rId1296" ref="P648"/>
    <hyperlink r:id="rId1297" ref="Q648"/>
    <hyperlink r:id="rId1298" ref="P649"/>
    <hyperlink r:id="rId1299" ref="Q649"/>
    <hyperlink r:id="rId1300" ref="P650"/>
    <hyperlink r:id="rId1301" ref="Q650"/>
    <hyperlink r:id="rId1302" ref="P651"/>
    <hyperlink r:id="rId1303" ref="Q651"/>
    <hyperlink r:id="rId1304" ref="P652"/>
    <hyperlink r:id="rId1305" ref="Q652"/>
    <hyperlink r:id="rId1306" ref="P653"/>
    <hyperlink r:id="rId1307" ref="Q653"/>
    <hyperlink r:id="rId1308" ref="P654"/>
    <hyperlink r:id="rId1309" ref="Q654"/>
    <hyperlink r:id="rId1310" ref="P655"/>
    <hyperlink r:id="rId1311" ref="Q655"/>
    <hyperlink r:id="rId1312" ref="P656"/>
    <hyperlink r:id="rId1313" ref="Q656"/>
    <hyperlink r:id="rId1314" ref="P657"/>
    <hyperlink r:id="rId1315" ref="Q657"/>
    <hyperlink r:id="rId1316" ref="P658"/>
    <hyperlink r:id="rId1317" ref="Q658"/>
    <hyperlink r:id="rId1318" ref="P659"/>
    <hyperlink r:id="rId1319" ref="Q659"/>
    <hyperlink r:id="rId1320" ref="P660"/>
    <hyperlink r:id="rId1321" ref="Q660"/>
    <hyperlink r:id="rId1322" ref="P661"/>
    <hyperlink r:id="rId1323" ref="Q661"/>
    <hyperlink r:id="rId1324" ref="P662"/>
    <hyperlink r:id="rId1325" ref="Q662"/>
    <hyperlink r:id="rId1326" ref="P663"/>
    <hyperlink r:id="rId1327" ref="Q663"/>
    <hyperlink r:id="rId1328" ref="P664"/>
    <hyperlink r:id="rId1329" ref="Q664"/>
    <hyperlink r:id="rId1330" ref="P665"/>
    <hyperlink r:id="rId1331" ref="Q665"/>
    <hyperlink r:id="rId1332" ref="P666"/>
    <hyperlink r:id="rId1333" ref="Q666"/>
    <hyperlink r:id="rId1334" ref="P667"/>
    <hyperlink r:id="rId1335" ref="Q667"/>
    <hyperlink r:id="rId1336" ref="P668"/>
    <hyperlink r:id="rId1337" ref="Q668"/>
    <hyperlink r:id="rId1338" ref="P669"/>
    <hyperlink r:id="rId1339" ref="Q669"/>
    <hyperlink r:id="rId1340" ref="P670"/>
    <hyperlink r:id="rId1341" ref="Q670"/>
    <hyperlink r:id="rId1342" ref="P671"/>
    <hyperlink r:id="rId1343" ref="Q671"/>
    <hyperlink r:id="rId1344" ref="P672"/>
    <hyperlink r:id="rId1345" ref="Q672"/>
    <hyperlink r:id="rId1346" ref="P673"/>
    <hyperlink r:id="rId1347" ref="Q673"/>
    <hyperlink r:id="rId1348" ref="P674"/>
    <hyperlink r:id="rId1349" ref="Q674"/>
    <hyperlink r:id="rId1350" ref="P675"/>
    <hyperlink r:id="rId1351" ref="Q675"/>
    <hyperlink r:id="rId1352" ref="P676"/>
    <hyperlink r:id="rId1353" ref="Q676"/>
    <hyperlink r:id="rId1354" ref="P677"/>
    <hyperlink r:id="rId1355" ref="Q677"/>
    <hyperlink r:id="rId1356" ref="P678"/>
    <hyperlink r:id="rId1357" ref="Q678"/>
    <hyperlink r:id="rId1358" ref="P679"/>
    <hyperlink r:id="rId1359" ref="Q679"/>
    <hyperlink r:id="rId1360" ref="P680"/>
    <hyperlink r:id="rId1361" ref="Q680"/>
    <hyperlink r:id="rId1362" ref="P681"/>
    <hyperlink r:id="rId1363" ref="Q681"/>
    <hyperlink r:id="rId1364" ref="P682"/>
    <hyperlink r:id="rId1365" ref="Q682"/>
    <hyperlink r:id="rId1366" ref="P683"/>
    <hyperlink r:id="rId1367" ref="Q683"/>
    <hyperlink r:id="rId1368" ref="P684"/>
    <hyperlink r:id="rId1369" ref="Q684"/>
    <hyperlink r:id="rId1370" ref="P685"/>
    <hyperlink r:id="rId1371" ref="Q685"/>
    <hyperlink r:id="rId1372" ref="P686"/>
    <hyperlink r:id="rId1373" ref="Q686"/>
    <hyperlink r:id="rId1374" ref="P687"/>
    <hyperlink r:id="rId1375" ref="Q687"/>
    <hyperlink r:id="rId1376" ref="P688"/>
    <hyperlink r:id="rId1377" ref="Q688"/>
    <hyperlink r:id="rId1378" ref="P689"/>
    <hyperlink r:id="rId1379" ref="Q689"/>
    <hyperlink r:id="rId1380" ref="P690"/>
    <hyperlink r:id="rId1381" ref="Q690"/>
    <hyperlink r:id="rId1382" ref="P691"/>
    <hyperlink r:id="rId1383" ref="Q691"/>
    <hyperlink r:id="rId1384" ref="P692"/>
    <hyperlink r:id="rId1385" ref="Q692"/>
    <hyperlink r:id="rId1386" ref="P693"/>
    <hyperlink r:id="rId1387" ref="Q693"/>
    <hyperlink r:id="rId1388" ref="P694"/>
    <hyperlink r:id="rId1389" ref="Q694"/>
    <hyperlink r:id="rId1390" ref="P695"/>
    <hyperlink r:id="rId1391" ref="Q695"/>
    <hyperlink r:id="rId1392" ref="P696"/>
    <hyperlink r:id="rId1393" ref="Q696"/>
    <hyperlink r:id="rId1394" ref="P697"/>
    <hyperlink r:id="rId1395" ref="Q697"/>
    <hyperlink r:id="rId1396" ref="P698"/>
    <hyperlink r:id="rId1397" ref="Q698"/>
    <hyperlink r:id="rId1398" ref="P699"/>
    <hyperlink r:id="rId1399" ref="Q699"/>
    <hyperlink r:id="rId1400" ref="P700"/>
    <hyperlink r:id="rId1401" ref="Q700"/>
    <hyperlink r:id="rId1402" ref="P701"/>
    <hyperlink r:id="rId1403" ref="Q701"/>
    <hyperlink r:id="rId1404" ref="P702"/>
    <hyperlink r:id="rId1405" ref="Q702"/>
    <hyperlink r:id="rId1406" ref="P703"/>
    <hyperlink r:id="rId1407" ref="Q703"/>
    <hyperlink r:id="rId1408" ref="P704"/>
    <hyperlink r:id="rId1409" ref="Q704"/>
    <hyperlink r:id="rId1410" ref="P705"/>
    <hyperlink r:id="rId1411" ref="Q705"/>
    <hyperlink r:id="rId1412" ref="P706"/>
    <hyperlink r:id="rId1413" ref="Q706"/>
    <hyperlink r:id="rId1414" ref="P707"/>
    <hyperlink r:id="rId1415" ref="Q707"/>
    <hyperlink r:id="rId1416" ref="P708"/>
    <hyperlink r:id="rId1417" ref="Q708"/>
    <hyperlink r:id="rId1418" ref="P709"/>
    <hyperlink r:id="rId1419" ref="Q709"/>
    <hyperlink r:id="rId1420" ref="P710"/>
    <hyperlink r:id="rId1421" ref="Q710"/>
    <hyperlink r:id="rId1422" ref="P711"/>
    <hyperlink r:id="rId1423" ref="Q711"/>
    <hyperlink r:id="rId1424" ref="P712"/>
    <hyperlink r:id="rId1425" ref="Q712"/>
    <hyperlink r:id="rId1426" ref="P713"/>
    <hyperlink r:id="rId1427" ref="Q713"/>
    <hyperlink r:id="rId1428" ref="P714"/>
    <hyperlink r:id="rId1429" ref="Q714"/>
    <hyperlink r:id="rId1430" ref="P715"/>
    <hyperlink r:id="rId1431" ref="Q715"/>
    <hyperlink r:id="rId1432" ref="P716"/>
    <hyperlink r:id="rId1433" ref="Q716"/>
    <hyperlink r:id="rId1434" ref="P717"/>
    <hyperlink r:id="rId1435" ref="Q717"/>
    <hyperlink r:id="rId1436" ref="P718"/>
    <hyperlink r:id="rId1437" ref="Q718"/>
    <hyperlink r:id="rId1438" ref="P719"/>
    <hyperlink r:id="rId1439" ref="Q719"/>
    <hyperlink r:id="rId1440" ref="P720"/>
    <hyperlink r:id="rId1441" ref="Q720"/>
    <hyperlink r:id="rId1442" ref="P721"/>
    <hyperlink r:id="rId1443" ref="Q721"/>
    <hyperlink r:id="rId1444" ref="P722"/>
    <hyperlink r:id="rId1445" ref="Q722"/>
    <hyperlink r:id="rId1446" ref="P723"/>
    <hyperlink r:id="rId1447" ref="Q723"/>
    <hyperlink r:id="rId1448" ref="P724"/>
    <hyperlink r:id="rId1449" ref="Q724"/>
    <hyperlink r:id="rId1450" ref="P725"/>
    <hyperlink r:id="rId1451" ref="Q725"/>
    <hyperlink r:id="rId1452" ref="P726"/>
    <hyperlink r:id="rId1453" ref="Q726"/>
    <hyperlink r:id="rId1454" ref="P727"/>
    <hyperlink r:id="rId1455" ref="Q727"/>
    <hyperlink r:id="rId1456" ref="P728"/>
    <hyperlink r:id="rId1457" ref="Q728"/>
    <hyperlink r:id="rId1458" ref="P729"/>
    <hyperlink r:id="rId1459" ref="Q729"/>
    <hyperlink r:id="rId1460" ref="P730"/>
    <hyperlink r:id="rId1461" ref="Q730"/>
    <hyperlink r:id="rId1462" ref="P731"/>
    <hyperlink r:id="rId1463" ref="Q731"/>
    <hyperlink r:id="rId1464" ref="P732"/>
    <hyperlink r:id="rId1465" ref="Q732"/>
    <hyperlink r:id="rId1466" ref="P733"/>
    <hyperlink r:id="rId1467" ref="Q733"/>
    <hyperlink r:id="rId1468" ref="P734"/>
    <hyperlink r:id="rId1469" ref="Q734"/>
    <hyperlink r:id="rId1470" ref="P735"/>
    <hyperlink r:id="rId1471" ref="Q735"/>
    <hyperlink r:id="rId1472" ref="P736"/>
    <hyperlink r:id="rId1473" ref="Q736"/>
    <hyperlink r:id="rId1474" ref="P737"/>
    <hyperlink r:id="rId1475" ref="Q737"/>
    <hyperlink r:id="rId1476" ref="P738"/>
    <hyperlink r:id="rId1477" ref="Q738"/>
    <hyperlink r:id="rId1478" ref="P739"/>
    <hyperlink r:id="rId1479" ref="Q739"/>
    <hyperlink r:id="rId1480" ref="P740"/>
    <hyperlink r:id="rId1481" ref="Q740"/>
    <hyperlink r:id="rId1482" ref="P741"/>
    <hyperlink r:id="rId1483" ref="Q741"/>
    <hyperlink r:id="rId1484" ref="P742"/>
    <hyperlink r:id="rId1485" ref="Q742"/>
    <hyperlink r:id="rId1486" ref="P743"/>
    <hyperlink r:id="rId1487" ref="Q743"/>
    <hyperlink r:id="rId1488" ref="P744"/>
    <hyperlink r:id="rId1489" ref="Q744"/>
    <hyperlink r:id="rId1490" ref="P745"/>
    <hyperlink r:id="rId1491" ref="Q745"/>
    <hyperlink r:id="rId1492" ref="P746"/>
    <hyperlink r:id="rId1493" ref="Q746"/>
    <hyperlink r:id="rId1494" ref="P747"/>
    <hyperlink r:id="rId1495" ref="Q747"/>
    <hyperlink r:id="rId1496" ref="P748"/>
    <hyperlink r:id="rId1497" ref="Q748"/>
    <hyperlink r:id="rId1498" ref="P749"/>
    <hyperlink r:id="rId1499" ref="Q749"/>
    <hyperlink r:id="rId1500" ref="P750"/>
    <hyperlink r:id="rId1501" ref="Q750"/>
    <hyperlink r:id="rId1502" ref="P751"/>
    <hyperlink r:id="rId1503" ref="Q751"/>
    <hyperlink r:id="rId1504" ref="P752"/>
    <hyperlink r:id="rId1505" ref="Q752"/>
    <hyperlink r:id="rId1506" ref="P753"/>
    <hyperlink r:id="rId1507" ref="Q753"/>
    <hyperlink r:id="rId1508" ref="P754"/>
    <hyperlink r:id="rId1509" ref="Q754"/>
    <hyperlink r:id="rId1510" ref="P755"/>
    <hyperlink r:id="rId1511" ref="Q755"/>
    <hyperlink r:id="rId1512" ref="P756"/>
    <hyperlink r:id="rId1513" ref="Q756"/>
    <hyperlink r:id="rId1514" ref="P757"/>
    <hyperlink r:id="rId1515" ref="Q757"/>
    <hyperlink r:id="rId1516" ref="P758"/>
    <hyperlink r:id="rId1517" ref="Q758"/>
    <hyperlink r:id="rId1518" ref="P759"/>
    <hyperlink r:id="rId1519" ref="Q759"/>
    <hyperlink r:id="rId1520" ref="P760"/>
    <hyperlink r:id="rId1521" ref="Q760"/>
    <hyperlink r:id="rId1522" ref="P761"/>
    <hyperlink r:id="rId1523" ref="Q761"/>
    <hyperlink r:id="rId1524" ref="P762"/>
    <hyperlink r:id="rId1525" ref="Q762"/>
    <hyperlink r:id="rId1526" ref="P763"/>
    <hyperlink r:id="rId1527" ref="Q763"/>
    <hyperlink r:id="rId1528" ref="P764"/>
    <hyperlink r:id="rId1529" ref="Q764"/>
    <hyperlink r:id="rId1530" ref="P765"/>
    <hyperlink r:id="rId1531" ref="Q765"/>
    <hyperlink r:id="rId1532" ref="P766"/>
    <hyperlink r:id="rId1533" ref="Q766"/>
    <hyperlink r:id="rId1534" ref="P767"/>
    <hyperlink r:id="rId1535" ref="Q767"/>
    <hyperlink r:id="rId1536" ref="P768"/>
    <hyperlink r:id="rId1537" ref="Q768"/>
    <hyperlink r:id="rId1538" ref="P769"/>
    <hyperlink r:id="rId1539" ref="Q769"/>
    <hyperlink r:id="rId1540" ref="P770"/>
    <hyperlink r:id="rId1541" ref="Q770"/>
    <hyperlink r:id="rId1542" ref="P771"/>
    <hyperlink r:id="rId1543" ref="Q771"/>
    <hyperlink r:id="rId1544" ref="P772"/>
    <hyperlink r:id="rId1545" ref="Q772"/>
    <hyperlink r:id="rId1546" ref="P773"/>
    <hyperlink r:id="rId1547" ref="Q773"/>
    <hyperlink r:id="rId1548" ref="P774"/>
    <hyperlink r:id="rId1549" ref="Q774"/>
    <hyperlink r:id="rId1550" ref="P775"/>
    <hyperlink r:id="rId1551" ref="Q775"/>
    <hyperlink r:id="rId1552" ref="P776"/>
    <hyperlink r:id="rId1553" ref="Q776"/>
    <hyperlink r:id="rId1554" ref="P777"/>
    <hyperlink r:id="rId1555" ref="Q777"/>
    <hyperlink r:id="rId1556" ref="P778"/>
    <hyperlink r:id="rId1557" ref="Q778"/>
    <hyperlink r:id="rId1558" ref="P779"/>
    <hyperlink r:id="rId1559" ref="Q779"/>
    <hyperlink r:id="rId1560" ref="P780"/>
    <hyperlink r:id="rId1561" ref="Q780"/>
    <hyperlink r:id="rId1562" ref="P781"/>
    <hyperlink r:id="rId1563" ref="Q781"/>
    <hyperlink r:id="rId1564" ref="P782"/>
    <hyperlink r:id="rId1565" ref="Q782"/>
    <hyperlink r:id="rId1566" ref="P783"/>
    <hyperlink r:id="rId1567" ref="Q783"/>
    <hyperlink r:id="rId1568" ref="P784"/>
    <hyperlink r:id="rId1569" ref="Q784"/>
    <hyperlink r:id="rId1570" ref="P785"/>
    <hyperlink r:id="rId1571" ref="Q785"/>
    <hyperlink r:id="rId1572" ref="P786"/>
    <hyperlink r:id="rId1573" ref="Q786"/>
    <hyperlink r:id="rId1574" ref="P787"/>
    <hyperlink r:id="rId1575" ref="Q787"/>
    <hyperlink r:id="rId1576" ref="P788"/>
    <hyperlink r:id="rId1577" ref="Q788"/>
    <hyperlink r:id="rId1578" ref="P789"/>
    <hyperlink r:id="rId1579" ref="Q789"/>
    <hyperlink r:id="rId1580" ref="P790"/>
    <hyperlink r:id="rId1581" ref="Q790"/>
    <hyperlink r:id="rId1582" ref="P791"/>
    <hyperlink r:id="rId1583" ref="Q791"/>
    <hyperlink r:id="rId1584" ref="P792"/>
    <hyperlink r:id="rId1585" ref="Q792"/>
    <hyperlink r:id="rId1586" ref="P793"/>
    <hyperlink r:id="rId1587" ref="Q793"/>
    <hyperlink r:id="rId1588" ref="P794"/>
    <hyperlink r:id="rId1589" ref="Q794"/>
    <hyperlink r:id="rId1590" ref="P795"/>
    <hyperlink r:id="rId1591" ref="Q795"/>
    <hyperlink r:id="rId1592" ref="P796"/>
    <hyperlink r:id="rId1593" ref="Q796"/>
    <hyperlink r:id="rId1594" ref="P797"/>
    <hyperlink r:id="rId1595" ref="Q797"/>
    <hyperlink r:id="rId1596" ref="P798"/>
    <hyperlink r:id="rId1597" ref="Q798"/>
    <hyperlink r:id="rId1598" ref="P799"/>
    <hyperlink r:id="rId1599" ref="Q799"/>
    <hyperlink r:id="rId1600" ref="P800"/>
    <hyperlink r:id="rId1601" ref="Q800"/>
    <hyperlink r:id="rId1602" ref="P801"/>
    <hyperlink r:id="rId1603" ref="Q801"/>
    <hyperlink r:id="rId1604" ref="P802"/>
    <hyperlink r:id="rId1605" ref="Q802"/>
    <hyperlink r:id="rId1606" ref="P803"/>
    <hyperlink r:id="rId1607" ref="Q803"/>
    <hyperlink r:id="rId1608" ref="P804"/>
    <hyperlink r:id="rId1609" ref="Q804"/>
    <hyperlink r:id="rId1610" ref="P805"/>
    <hyperlink r:id="rId1611" ref="Q805"/>
    <hyperlink r:id="rId1612" ref="P806"/>
    <hyperlink r:id="rId1613" ref="Q806"/>
    <hyperlink r:id="rId1614" ref="P807"/>
    <hyperlink r:id="rId1615" ref="Q807"/>
    <hyperlink r:id="rId1616" ref="P808"/>
    <hyperlink r:id="rId1617" ref="Q808"/>
    <hyperlink r:id="rId1618" ref="P809"/>
    <hyperlink r:id="rId1619" ref="Q809"/>
    <hyperlink r:id="rId1620" ref="P810"/>
    <hyperlink r:id="rId1621" ref="Q810"/>
    <hyperlink r:id="rId1622" ref="P811"/>
    <hyperlink r:id="rId1623" ref="Q811"/>
    <hyperlink r:id="rId1624" ref="P812"/>
    <hyperlink r:id="rId1625" ref="Q812"/>
    <hyperlink r:id="rId1626" ref="P813"/>
    <hyperlink r:id="rId1627" ref="Q813"/>
    <hyperlink r:id="rId1628" ref="P814"/>
    <hyperlink r:id="rId1629" ref="Q814"/>
    <hyperlink r:id="rId1630" ref="P815"/>
    <hyperlink r:id="rId1631" ref="Q815"/>
    <hyperlink r:id="rId1632" ref="P816"/>
    <hyperlink r:id="rId1633" ref="Q816"/>
    <hyperlink r:id="rId1634" ref="P817"/>
    <hyperlink r:id="rId1635" ref="Q817"/>
    <hyperlink r:id="rId1636" ref="P818"/>
    <hyperlink r:id="rId1637" ref="Q818"/>
    <hyperlink r:id="rId1638" ref="P819"/>
    <hyperlink r:id="rId1639" ref="Q819"/>
    <hyperlink r:id="rId1640" ref="P820"/>
    <hyperlink r:id="rId1641" ref="Q820"/>
    <hyperlink r:id="rId1642" ref="P821"/>
    <hyperlink r:id="rId1643" ref="Q821"/>
    <hyperlink r:id="rId1644" ref="P822"/>
    <hyperlink r:id="rId1645" ref="Q822"/>
    <hyperlink r:id="rId1646" ref="P823"/>
    <hyperlink r:id="rId1647" ref="Q823"/>
    <hyperlink r:id="rId1648" ref="P824"/>
    <hyperlink r:id="rId1649" ref="Q824"/>
    <hyperlink r:id="rId1650" ref="P825"/>
    <hyperlink r:id="rId1651" ref="Q825"/>
    <hyperlink r:id="rId1652" ref="P826"/>
    <hyperlink r:id="rId1653" ref="Q826"/>
    <hyperlink r:id="rId1654" ref="P827"/>
    <hyperlink r:id="rId1655" ref="Q827"/>
    <hyperlink r:id="rId1656" ref="P828"/>
    <hyperlink r:id="rId1657" ref="Q828"/>
    <hyperlink r:id="rId1658" ref="P829"/>
    <hyperlink r:id="rId1659" ref="Q829"/>
    <hyperlink r:id="rId1660" ref="P830"/>
    <hyperlink r:id="rId1661" ref="Q830"/>
    <hyperlink r:id="rId1662" ref="P831"/>
    <hyperlink r:id="rId1663" ref="Q831"/>
    <hyperlink r:id="rId1664" ref="P832"/>
    <hyperlink r:id="rId1665" ref="Q832"/>
    <hyperlink r:id="rId1666" ref="P833"/>
    <hyperlink r:id="rId1667" ref="Q833"/>
    <hyperlink r:id="rId1668" ref="P834"/>
    <hyperlink r:id="rId1669" ref="Q834"/>
    <hyperlink r:id="rId1670" ref="P835"/>
    <hyperlink r:id="rId1671" ref="Q835"/>
    <hyperlink r:id="rId1672" ref="P836"/>
    <hyperlink r:id="rId1673" ref="Q836"/>
    <hyperlink r:id="rId1674" ref="P837"/>
    <hyperlink r:id="rId1675" ref="Q837"/>
    <hyperlink r:id="rId1676" ref="P838"/>
    <hyperlink r:id="rId1677" ref="Q838"/>
    <hyperlink r:id="rId1678" ref="P839"/>
    <hyperlink r:id="rId1679" ref="Q839"/>
    <hyperlink r:id="rId1680" ref="P840"/>
    <hyperlink r:id="rId1681" ref="Q840"/>
    <hyperlink r:id="rId1682" ref="P841"/>
    <hyperlink r:id="rId1683" ref="Q841"/>
    <hyperlink r:id="rId1684" ref="P842"/>
    <hyperlink r:id="rId1685" ref="Q842"/>
    <hyperlink r:id="rId1686" ref="P843"/>
    <hyperlink r:id="rId1687" ref="Q843"/>
    <hyperlink r:id="rId1688" ref="P844"/>
    <hyperlink r:id="rId1689" ref="Q844"/>
    <hyperlink r:id="rId1690" ref="P845"/>
    <hyperlink r:id="rId1691" ref="Q845"/>
    <hyperlink r:id="rId1692" ref="P846"/>
    <hyperlink r:id="rId1693" ref="Q846"/>
    <hyperlink r:id="rId1694" ref="P847"/>
    <hyperlink r:id="rId1695" ref="Q847"/>
    <hyperlink r:id="rId1696" ref="P848"/>
    <hyperlink r:id="rId1697" ref="Q848"/>
    <hyperlink r:id="rId1698" ref="P849"/>
    <hyperlink r:id="rId1699" ref="Q849"/>
    <hyperlink r:id="rId1700" ref="P850"/>
    <hyperlink r:id="rId1701" ref="Q850"/>
    <hyperlink r:id="rId1702" ref="P851"/>
    <hyperlink r:id="rId1703" ref="Q851"/>
    <hyperlink r:id="rId1704" ref="P852"/>
    <hyperlink r:id="rId1705" ref="Q852"/>
    <hyperlink r:id="rId1706" ref="P853"/>
    <hyperlink r:id="rId1707" ref="Q853"/>
    <hyperlink r:id="rId1708" ref="P854"/>
    <hyperlink r:id="rId1709" ref="Q854"/>
    <hyperlink r:id="rId1710" ref="P855"/>
    <hyperlink r:id="rId1711" ref="Q855"/>
    <hyperlink r:id="rId1712" ref="P856"/>
    <hyperlink r:id="rId1713" ref="Q856"/>
    <hyperlink r:id="rId1714" ref="P857"/>
    <hyperlink r:id="rId1715" ref="Q857"/>
    <hyperlink r:id="rId1716" ref="P858"/>
    <hyperlink r:id="rId1717" ref="Q858"/>
    <hyperlink r:id="rId1718" ref="P859"/>
    <hyperlink r:id="rId1719" ref="Q859"/>
    <hyperlink r:id="rId1720" ref="P860"/>
    <hyperlink r:id="rId1721" ref="Q860"/>
    <hyperlink r:id="rId1722" ref="P861"/>
    <hyperlink r:id="rId1723" ref="Q861"/>
    <hyperlink r:id="rId1724" ref="P862"/>
    <hyperlink r:id="rId1725" ref="Q862"/>
    <hyperlink r:id="rId1726" ref="P863"/>
    <hyperlink r:id="rId1727" ref="Q863"/>
    <hyperlink r:id="rId1728" ref="P864"/>
    <hyperlink r:id="rId1729" ref="Q864"/>
    <hyperlink r:id="rId1730" ref="P865"/>
    <hyperlink r:id="rId1731" ref="Q865"/>
    <hyperlink r:id="rId1732" ref="P866"/>
    <hyperlink r:id="rId1733" ref="Q866"/>
    <hyperlink r:id="rId1734" ref="P867"/>
    <hyperlink r:id="rId1735" ref="Q867"/>
    <hyperlink r:id="rId1736" ref="P868"/>
    <hyperlink r:id="rId1737" ref="Q868"/>
    <hyperlink r:id="rId1738" ref="P869"/>
    <hyperlink r:id="rId1739" ref="Q869"/>
    <hyperlink r:id="rId1740" ref="P870"/>
    <hyperlink r:id="rId1741" ref="Q870"/>
    <hyperlink r:id="rId1742" ref="P871"/>
    <hyperlink r:id="rId1743" ref="Q871"/>
    <hyperlink r:id="rId1744" ref="P872"/>
    <hyperlink r:id="rId1745" ref="Q872"/>
    <hyperlink r:id="rId1746" ref="P873"/>
    <hyperlink r:id="rId1747" ref="Q873"/>
    <hyperlink r:id="rId1748" ref="P874"/>
    <hyperlink r:id="rId1749" ref="Q874"/>
    <hyperlink r:id="rId1750" ref="P875"/>
    <hyperlink r:id="rId1751" ref="Q875"/>
    <hyperlink r:id="rId1752" ref="P876"/>
    <hyperlink r:id="rId1753" ref="Q876"/>
    <hyperlink r:id="rId1754" ref="P877"/>
    <hyperlink r:id="rId1755" ref="Q877"/>
    <hyperlink r:id="rId1756" ref="P878"/>
    <hyperlink r:id="rId1757" ref="Q878"/>
    <hyperlink r:id="rId1758" ref="P879"/>
    <hyperlink r:id="rId1759" ref="Q879"/>
    <hyperlink r:id="rId1760" ref="P880"/>
    <hyperlink r:id="rId1761" ref="Q880"/>
    <hyperlink r:id="rId1762" ref="P881"/>
    <hyperlink r:id="rId1763" ref="Q881"/>
    <hyperlink r:id="rId1764" ref="P882"/>
    <hyperlink r:id="rId1765" ref="Q882"/>
    <hyperlink r:id="rId1766" ref="P883"/>
    <hyperlink r:id="rId1767" ref="Q883"/>
    <hyperlink r:id="rId1768" ref="P884"/>
    <hyperlink r:id="rId1769" ref="Q884"/>
    <hyperlink r:id="rId1770" ref="P885"/>
    <hyperlink r:id="rId1771" ref="Q885"/>
    <hyperlink r:id="rId1772" ref="P886"/>
    <hyperlink r:id="rId1773" ref="Q886"/>
    <hyperlink r:id="rId1774" ref="P887"/>
    <hyperlink r:id="rId1775" ref="Q887"/>
    <hyperlink r:id="rId1776" ref="P888"/>
    <hyperlink r:id="rId1777" ref="Q888"/>
    <hyperlink r:id="rId1778" ref="P889"/>
    <hyperlink r:id="rId1779" ref="Q889"/>
    <hyperlink r:id="rId1780" ref="P890"/>
    <hyperlink r:id="rId1781" ref="Q890"/>
    <hyperlink r:id="rId1782" ref="P891"/>
    <hyperlink r:id="rId1783" ref="Q891"/>
    <hyperlink r:id="rId1784" ref="P892"/>
    <hyperlink r:id="rId1785" ref="Q892"/>
    <hyperlink r:id="rId1786" ref="P893"/>
    <hyperlink r:id="rId1787" ref="Q893"/>
    <hyperlink r:id="rId1788" ref="P894"/>
    <hyperlink r:id="rId1789" ref="Q894"/>
    <hyperlink r:id="rId1790" ref="P895"/>
    <hyperlink r:id="rId1791" ref="Q895"/>
    <hyperlink r:id="rId1792" ref="P896"/>
    <hyperlink r:id="rId1793" ref="Q896"/>
    <hyperlink r:id="rId1794" ref="P897"/>
    <hyperlink r:id="rId1795" ref="Q897"/>
    <hyperlink r:id="rId1796" ref="P898"/>
    <hyperlink r:id="rId1797" ref="Q898"/>
    <hyperlink r:id="rId1798" ref="P899"/>
    <hyperlink r:id="rId1799" ref="Q899"/>
    <hyperlink r:id="rId1800" ref="P900"/>
    <hyperlink r:id="rId1801" ref="Q900"/>
    <hyperlink r:id="rId1802" ref="P901"/>
    <hyperlink r:id="rId1803" ref="Q901"/>
    <hyperlink r:id="rId1804" ref="P902"/>
    <hyperlink r:id="rId1805" ref="Q902"/>
    <hyperlink r:id="rId1806" ref="P903"/>
    <hyperlink r:id="rId1807" ref="Q903"/>
    <hyperlink r:id="rId1808" ref="P904"/>
    <hyperlink r:id="rId1809" ref="Q904"/>
    <hyperlink r:id="rId1810" ref="P905"/>
    <hyperlink r:id="rId1811" ref="Q905"/>
    <hyperlink r:id="rId1812" ref="P906"/>
    <hyperlink r:id="rId1813" ref="Q906"/>
    <hyperlink r:id="rId1814" ref="P907"/>
    <hyperlink r:id="rId1815" ref="Q907"/>
    <hyperlink r:id="rId1816" ref="P908"/>
    <hyperlink r:id="rId1817" ref="Q908"/>
    <hyperlink r:id="rId1818" ref="P909"/>
    <hyperlink r:id="rId1819" ref="Q909"/>
    <hyperlink r:id="rId1820" ref="P910"/>
    <hyperlink r:id="rId1821" ref="Q910"/>
    <hyperlink r:id="rId1822" ref="P911"/>
    <hyperlink r:id="rId1823" ref="Q911"/>
    <hyperlink r:id="rId1824" ref="P912"/>
    <hyperlink r:id="rId1825" ref="Q912"/>
    <hyperlink r:id="rId1826" ref="P913"/>
    <hyperlink r:id="rId1827" ref="Q913"/>
    <hyperlink r:id="rId1828" ref="P914"/>
    <hyperlink r:id="rId1829" ref="Q914"/>
    <hyperlink r:id="rId1830" ref="P915"/>
    <hyperlink r:id="rId1831" ref="Q915"/>
    <hyperlink r:id="rId1832" ref="P916"/>
    <hyperlink r:id="rId1833" ref="Q916"/>
    <hyperlink r:id="rId1834" ref="P917"/>
    <hyperlink r:id="rId1835" ref="Q917"/>
    <hyperlink r:id="rId1836" ref="P918"/>
    <hyperlink r:id="rId1837" ref="Q918"/>
    <hyperlink r:id="rId1838" ref="P919"/>
    <hyperlink r:id="rId1839" ref="Q919"/>
    <hyperlink r:id="rId1840" ref="P920"/>
    <hyperlink r:id="rId1841" ref="Q920"/>
    <hyperlink r:id="rId1842" ref="P921"/>
    <hyperlink r:id="rId1843" ref="Q921"/>
    <hyperlink r:id="rId1844" ref="P922"/>
    <hyperlink r:id="rId1845" ref="Q922"/>
    <hyperlink r:id="rId1846" ref="P923"/>
    <hyperlink r:id="rId1847" ref="Q923"/>
    <hyperlink r:id="rId1848" ref="P924"/>
    <hyperlink r:id="rId1849" ref="Q924"/>
    <hyperlink r:id="rId1850" ref="P925"/>
    <hyperlink r:id="rId1851" ref="Q925"/>
    <hyperlink r:id="rId1852" ref="P926"/>
    <hyperlink r:id="rId1853" ref="Q926"/>
    <hyperlink r:id="rId1854" ref="P927"/>
    <hyperlink r:id="rId1855" ref="Q927"/>
    <hyperlink r:id="rId1856" ref="P928"/>
    <hyperlink r:id="rId1857" ref="Q928"/>
    <hyperlink r:id="rId1858" ref="P929"/>
    <hyperlink r:id="rId1859" ref="Q929"/>
    <hyperlink r:id="rId1860" ref="P930"/>
    <hyperlink r:id="rId1861" ref="Q930"/>
    <hyperlink r:id="rId1862" ref="P931"/>
    <hyperlink r:id="rId1863" ref="Q931"/>
    <hyperlink r:id="rId1864" ref="P932"/>
    <hyperlink r:id="rId1865" ref="Q932"/>
    <hyperlink r:id="rId1866" ref="P933"/>
    <hyperlink r:id="rId1867" ref="Q933"/>
    <hyperlink r:id="rId1868" ref="P934"/>
    <hyperlink r:id="rId1869" ref="Q934"/>
    <hyperlink r:id="rId1870" ref="P935"/>
    <hyperlink r:id="rId1871" ref="Q935"/>
    <hyperlink r:id="rId1872" ref="P936"/>
    <hyperlink r:id="rId1873" ref="Q936"/>
    <hyperlink r:id="rId1874" ref="P937"/>
    <hyperlink r:id="rId1875" ref="Q937"/>
    <hyperlink r:id="rId1876" ref="P938"/>
    <hyperlink r:id="rId1877" ref="Q938"/>
    <hyperlink r:id="rId1878" ref="P939"/>
    <hyperlink r:id="rId1879" ref="Q939"/>
    <hyperlink r:id="rId1880" ref="P940"/>
    <hyperlink r:id="rId1881" ref="Q940"/>
    <hyperlink r:id="rId1882" ref="P941"/>
    <hyperlink r:id="rId1883" ref="Q941"/>
    <hyperlink r:id="rId1884" ref="P942"/>
    <hyperlink r:id="rId1885" ref="Q942"/>
    <hyperlink r:id="rId1886" ref="P943"/>
    <hyperlink r:id="rId1887" ref="Q943"/>
    <hyperlink r:id="rId1888" ref="P944"/>
    <hyperlink r:id="rId1889" ref="Q944"/>
    <hyperlink r:id="rId1890" ref="P945"/>
    <hyperlink r:id="rId1891" ref="Q945"/>
    <hyperlink r:id="rId1892" ref="P946"/>
    <hyperlink r:id="rId1893" ref="Q946"/>
    <hyperlink r:id="rId1894" ref="P947"/>
    <hyperlink r:id="rId1895" ref="Q947"/>
    <hyperlink r:id="rId1896" ref="P948"/>
    <hyperlink r:id="rId1897" ref="Q948"/>
    <hyperlink r:id="rId1898" ref="P949"/>
    <hyperlink r:id="rId1899" ref="Q949"/>
    <hyperlink r:id="rId1900" ref="P950"/>
    <hyperlink r:id="rId1901" ref="Q950"/>
    <hyperlink r:id="rId1902" ref="P951"/>
    <hyperlink r:id="rId1903" ref="Q951"/>
    <hyperlink r:id="rId1904" ref="P952"/>
    <hyperlink r:id="rId1905" ref="Q952"/>
    <hyperlink r:id="rId1906" ref="P953"/>
    <hyperlink r:id="rId1907" ref="Q953"/>
    <hyperlink r:id="rId1908" ref="P954"/>
    <hyperlink r:id="rId1909" ref="Q954"/>
    <hyperlink r:id="rId1910" ref="P955"/>
    <hyperlink r:id="rId1911" ref="Q955"/>
    <hyperlink r:id="rId1912" ref="P956"/>
    <hyperlink r:id="rId1913" ref="Q956"/>
    <hyperlink r:id="rId1914" ref="P957"/>
    <hyperlink r:id="rId1915" ref="Q957"/>
    <hyperlink r:id="rId1916" ref="P958"/>
    <hyperlink r:id="rId1917" ref="Q958"/>
    <hyperlink r:id="rId1918" ref="P959"/>
    <hyperlink r:id="rId1919" ref="Q959"/>
    <hyperlink r:id="rId1920" ref="P960"/>
    <hyperlink r:id="rId1921" ref="Q960"/>
    <hyperlink r:id="rId1922" ref="P961"/>
    <hyperlink r:id="rId1923" ref="Q961"/>
    <hyperlink r:id="rId1924" ref="P962"/>
    <hyperlink r:id="rId1925" ref="Q962"/>
    <hyperlink r:id="rId1926" ref="P963"/>
    <hyperlink r:id="rId1927" ref="Q963"/>
    <hyperlink r:id="rId1928" ref="P964"/>
    <hyperlink r:id="rId1929" ref="Q964"/>
    <hyperlink r:id="rId1930" ref="P965"/>
    <hyperlink r:id="rId1931" ref="Q965"/>
    <hyperlink r:id="rId1932" ref="P966"/>
    <hyperlink r:id="rId1933" ref="Q966"/>
    <hyperlink r:id="rId1934" ref="P967"/>
    <hyperlink r:id="rId1935" ref="Q967"/>
    <hyperlink r:id="rId1936" ref="P968"/>
    <hyperlink r:id="rId1937" ref="Q968"/>
    <hyperlink r:id="rId1938" ref="P969"/>
    <hyperlink r:id="rId1939" ref="Q969"/>
    <hyperlink r:id="rId1940" ref="P970"/>
    <hyperlink r:id="rId1941" ref="Q970"/>
    <hyperlink r:id="rId1942" ref="P971"/>
    <hyperlink r:id="rId1943" ref="Q971"/>
    <hyperlink r:id="rId1944" ref="P972"/>
    <hyperlink r:id="rId1945" ref="Q972"/>
    <hyperlink r:id="rId1946" ref="P973"/>
    <hyperlink r:id="rId1947" ref="Q973"/>
    <hyperlink r:id="rId1948" ref="P974"/>
    <hyperlink r:id="rId1949" ref="Q974"/>
    <hyperlink r:id="rId1950" ref="P975"/>
    <hyperlink r:id="rId1951" ref="Q975"/>
    <hyperlink r:id="rId1952" ref="P976"/>
    <hyperlink r:id="rId1953" ref="Q976"/>
    <hyperlink r:id="rId1954" ref="P977"/>
    <hyperlink r:id="rId1955" ref="Q977"/>
    <hyperlink r:id="rId1956" ref="P978"/>
    <hyperlink r:id="rId1957" ref="Q978"/>
    <hyperlink r:id="rId1958" ref="P979"/>
    <hyperlink r:id="rId1959" ref="Q979"/>
    <hyperlink r:id="rId1960" ref="P980"/>
    <hyperlink r:id="rId1961" ref="Q980"/>
    <hyperlink r:id="rId1962" ref="P981"/>
    <hyperlink r:id="rId1963" ref="Q981"/>
    <hyperlink r:id="rId1964" ref="P982"/>
    <hyperlink r:id="rId1965" ref="Q982"/>
    <hyperlink r:id="rId1966" ref="P983"/>
    <hyperlink r:id="rId1967" ref="Q983"/>
    <hyperlink r:id="rId1968" ref="P984"/>
    <hyperlink r:id="rId1969" ref="Q984"/>
    <hyperlink r:id="rId1970" ref="P985"/>
    <hyperlink r:id="rId1971" ref="Q985"/>
    <hyperlink r:id="rId1972" ref="P986"/>
    <hyperlink r:id="rId1973" ref="Q986"/>
    <hyperlink r:id="rId1974" ref="P987"/>
    <hyperlink r:id="rId1975" ref="Q987"/>
    <hyperlink r:id="rId1976" ref="P988"/>
    <hyperlink r:id="rId1977" ref="Q988"/>
    <hyperlink r:id="rId1978" ref="P989"/>
    <hyperlink r:id="rId1979" ref="Q989"/>
    <hyperlink r:id="rId1980" ref="P990"/>
    <hyperlink r:id="rId1981" ref="Q990"/>
    <hyperlink r:id="rId1982" ref="P991"/>
    <hyperlink r:id="rId1983" ref="Q991"/>
    <hyperlink r:id="rId1984" ref="P992"/>
    <hyperlink r:id="rId1985" ref="Q992"/>
    <hyperlink r:id="rId1986" ref="P993"/>
    <hyperlink r:id="rId1987" ref="Q993"/>
    <hyperlink r:id="rId1988" ref="P994"/>
    <hyperlink r:id="rId1989" ref="Q994"/>
    <hyperlink r:id="rId1990" ref="P995"/>
    <hyperlink r:id="rId1991" ref="Q995"/>
    <hyperlink r:id="rId1992" ref="P996"/>
    <hyperlink r:id="rId1993" ref="P997"/>
    <hyperlink r:id="rId1994" ref="P998"/>
    <hyperlink r:id="rId1995" ref="P999"/>
    <hyperlink r:id="rId1996" ref="P1000"/>
    <hyperlink r:id="rId1997" ref="P1001"/>
    <hyperlink r:id="rId1998" ref="P1002"/>
    <hyperlink r:id="rId1999" ref="P1003"/>
    <hyperlink r:id="rId2000" ref="P1004"/>
    <hyperlink r:id="rId2001" ref="P1005"/>
    <hyperlink r:id="rId2002" ref="P1006"/>
    <hyperlink r:id="rId2003" ref="P1007"/>
    <hyperlink r:id="rId2004" ref="P1008"/>
    <hyperlink r:id="rId2005" ref="P1009"/>
    <hyperlink r:id="rId2006" ref="P1010"/>
    <hyperlink r:id="rId2007" ref="P1011"/>
    <hyperlink r:id="rId2008" ref="P1012"/>
    <hyperlink r:id="rId2009" ref="P1013"/>
    <hyperlink r:id="rId2010" ref="P1014"/>
    <hyperlink r:id="rId2011" ref="P1015"/>
    <hyperlink r:id="rId2012" ref="P1016"/>
    <hyperlink r:id="rId2013" ref="P1017"/>
    <hyperlink r:id="rId2014" ref="P1018"/>
    <hyperlink r:id="rId2015" ref="P1019"/>
    <hyperlink r:id="rId2016" ref="P1020"/>
    <hyperlink r:id="rId2017" ref="P1021"/>
    <hyperlink r:id="rId2018" ref="P1022"/>
    <hyperlink r:id="rId2019" ref="P1023"/>
    <hyperlink r:id="rId2020" ref="P1024"/>
    <hyperlink r:id="rId2021" ref="P1025"/>
    <hyperlink r:id="rId2022" ref="P1026"/>
    <hyperlink r:id="rId2023" ref="P1027"/>
    <hyperlink r:id="rId2024" ref="P1028"/>
    <hyperlink r:id="rId2025" ref="P1029"/>
    <hyperlink r:id="rId2026" ref="P1030"/>
    <hyperlink r:id="rId2027" ref="P1031"/>
    <hyperlink r:id="rId2028" ref="P1032"/>
    <hyperlink r:id="rId2029" ref="P1033"/>
    <hyperlink r:id="rId2030" ref="P1034"/>
    <hyperlink r:id="rId2031" ref="P1035"/>
    <hyperlink r:id="rId2032" ref="P1036"/>
    <hyperlink r:id="rId2033" ref="P1037"/>
    <hyperlink r:id="rId2034" ref="P1038"/>
    <hyperlink r:id="rId2035" ref="P1039"/>
    <hyperlink r:id="rId2036" ref="P1040"/>
    <hyperlink r:id="rId2037" ref="P1041"/>
    <hyperlink r:id="rId2038" ref="P1042"/>
    <hyperlink r:id="rId2039" ref="P1043"/>
    <hyperlink r:id="rId2040" ref="P1044"/>
    <hyperlink r:id="rId2041" ref="P1045"/>
    <hyperlink r:id="rId2042" ref="P1046"/>
    <hyperlink r:id="rId2043" ref="P1047"/>
    <hyperlink r:id="rId2044" ref="P1048"/>
    <hyperlink r:id="rId2045" ref="P1049"/>
    <hyperlink r:id="rId2046" ref="P1050"/>
    <hyperlink r:id="rId2047" ref="P1051"/>
    <hyperlink r:id="rId2048" ref="P1052"/>
    <hyperlink r:id="rId2049" ref="P1053"/>
    <hyperlink r:id="rId2050" ref="P1054"/>
    <hyperlink r:id="rId2051" ref="P1055"/>
    <hyperlink r:id="rId2052" ref="P1056"/>
    <hyperlink r:id="rId2053" ref="P1057"/>
    <hyperlink r:id="rId2054" ref="P1058"/>
    <hyperlink r:id="rId2055" ref="P1059"/>
    <hyperlink r:id="rId2056" ref="P1060"/>
    <hyperlink r:id="rId2057" ref="P1061"/>
    <hyperlink r:id="rId2058" ref="P1062"/>
    <hyperlink r:id="rId2059" ref="P1063"/>
    <hyperlink r:id="rId2060" ref="P1064"/>
    <hyperlink r:id="rId2061" ref="P1065"/>
    <hyperlink r:id="rId2062" ref="P1066"/>
    <hyperlink r:id="rId2063" ref="P1067"/>
    <hyperlink r:id="rId2064" ref="P1068"/>
    <hyperlink r:id="rId2065" ref="P1069"/>
    <hyperlink r:id="rId2066" ref="P1070"/>
    <hyperlink r:id="rId2067" ref="P1071"/>
    <hyperlink r:id="rId2068" ref="P1072"/>
    <hyperlink r:id="rId2069" ref="P1073"/>
    <hyperlink r:id="rId2070" ref="P1074"/>
    <hyperlink r:id="rId2071" ref="P1075"/>
    <hyperlink r:id="rId2072" ref="P1076"/>
    <hyperlink r:id="rId2073" ref="P1077"/>
    <hyperlink r:id="rId2074" ref="P1078"/>
    <hyperlink r:id="rId2075" ref="P1079"/>
    <hyperlink r:id="rId2076" ref="P1080"/>
    <hyperlink r:id="rId2077" ref="P1081"/>
    <hyperlink r:id="rId2078" ref="P1082"/>
    <hyperlink r:id="rId2079" ref="P1083"/>
    <hyperlink r:id="rId2080" ref="P1084"/>
    <hyperlink r:id="rId2081" ref="P1085"/>
    <hyperlink r:id="rId2082" ref="P1086"/>
    <hyperlink r:id="rId2083" ref="P1087"/>
    <hyperlink r:id="rId2084" ref="P1088"/>
    <hyperlink r:id="rId2085" ref="P1089"/>
    <hyperlink r:id="rId2086" ref="P1090"/>
    <hyperlink r:id="rId2087" ref="P1091"/>
    <hyperlink r:id="rId2088" ref="P1092"/>
    <hyperlink r:id="rId2089" ref="P1093"/>
    <hyperlink r:id="rId2090" ref="P1094"/>
    <hyperlink r:id="rId2091" ref="P1095"/>
    <hyperlink r:id="rId2092" ref="P1096"/>
    <hyperlink r:id="rId2093" ref="P1097"/>
    <hyperlink r:id="rId2094" ref="P1098"/>
    <hyperlink r:id="rId2095" ref="P1099"/>
    <hyperlink r:id="rId2096" ref="P1100"/>
    <hyperlink r:id="rId2097" ref="P1101"/>
    <hyperlink r:id="rId2098" ref="P1102"/>
    <hyperlink r:id="rId2099" ref="P1103"/>
    <hyperlink r:id="rId2100" ref="P1104"/>
    <hyperlink r:id="rId2101" ref="P1105"/>
    <hyperlink r:id="rId2102" ref="P1106"/>
    <hyperlink r:id="rId2103" ref="P1107"/>
    <hyperlink r:id="rId2104" ref="P1108"/>
    <hyperlink r:id="rId2105" ref="P1109"/>
    <hyperlink r:id="rId2106" ref="P1110"/>
    <hyperlink r:id="rId2107" ref="P1111"/>
    <hyperlink r:id="rId2108" ref="P1112"/>
    <hyperlink r:id="rId2109" ref="P1113"/>
    <hyperlink r:id="rId2110" ref="P1114"/>
    <hyperlink r:id="rId2111" ref="P1115"/>
    <hyperlink r:id="rId2112" ref="P1116"/>
    <hyperlink r:id="rId2113" ref="P1117"/>
    <hyperlink r:id="rId2114" ref="P1118"/>
    <hyperlink r:id="rId2115" ref="P1119"/>
    <hyperlink r:id="rId2116" ref="P1120"/>
    <hyperlink r:id="rId2117" ref="P1121"/>
    <hyperlink r:id="rId2118" ref="P1122"/>
    <hyperlink r:id="rId2119" ref="P1123"/>
    <hyperlink r:id="rId2120" ref="P1124"/>
    <hyperlink r:id="rId2121" ref="P1125"/>
    <hyperlink r:id="rId2122" ref="P1126"/>
    <hyperlink r:id="rId2123" ref="P1127"/>
    <hyperlink r:id="rId2124" ref="P1128"/>
    <hyperlink r:id="rId2125" ref="P1129"/>
    <hyperlink r:id="rId2126" ref="P1130"/>
    <hyperlink r:id="rId2127" ref="P1131"/>
    <hyperlink r:id="rId2128" ref="P1132"/>
    <hyperlink r:id="rId2129" ref="P1133"/>
    <hyperlink r:id="rId2130" ref="P1134"/>
    <hyperlink r:id="rId2131" ref="P1135"/>
    <hyperlink r:id="rId2132" ref="P1136"/>
    <hyperlink r:id="rId2133" ref="P1137"/>
    <hyperlink r:id="rId2134" ref="P1138"/>
    <hyperlink r:id="rId2135" ref="P1139"/>
    <hyperlink r:id="rId2136" ref="P1140"/>
    <hyperlink r:id="rId2137" ref="P1141"/>
    <hyperlink r:id="rId2138" ref="P1142"/>
    <hyperlink r:id="rId2139" ref="P1143"/>
    <hyperlink r:id="rId2140" ref="P1144"/>
    <hyperlink r:id="rId2141" ref="P1145"/>
    <hyperlink r:id="rId2142" ref="P1146"/>
    <hyperlink r:id="rId2143" ref="P1147"/>
    <hyperlink r:id="rId2144" ref="P1148"/>
    <hyperlink r:id="rId2145" ref="P1149"/>
    <hyperlink r:id="rId2146" ref="P1150"/>
    <hyperlink r:id="rId2147" ref="P1151"/>
    <hyperlink r:id="rId2148" ref="P1152"/>
    <hyperlink r:id="rId2149" ref="P1153"/>
    <hyperlink r:id="rId2150" ref="P1154"/>
    <hyperlink r:id="rId2151" ref="P1155"/>
    <hyperlink r:id="rId2152" ref="P1156"/>
    <hyperlink r:id="rId2153" ref="P1157"/>
    <hyperlink r:id="rId2154" ref="P1158"/>
    <hyperlink r:id="rId2155" ref="P1159"/>
    <hyperlink r:id="rId2156" ref="P1160"/>
    <hyperlink r:id="rId2157" ref="P1161"/>
    <hyperlink r:id="rId2158" ref="P1162"/>
    <hyperlink r:id="rId2159" ref="P1163"/>
    <hyperlink r:id="rId2160" ref="P1164"/>
    <hyperlink r:id="rId2161" ref="P1165"/>
    <hyperlink r:id="rId2162" ref="P1166"/>
    <hyperlink r:id="rId2163" ref="P1167"/>
    <hyperlink r:id="rId2164" ref="P1168"/>
    <hyperlink r:id="rId2165" ref="P1169"/>
    <hyperlink r:id="rId2166" ref="P1170"/>
    <hyperlink r:id="rId2167" ref="P1171"/>
    <hyperlink r:id="rId2168" ref="P1172"/>
    <hyperlink r:id="rId2169" ref="P1173"/>
    <hyperlink r:id="rId2170" ref="P1174"/>
    <hyperlink r:id="rId2171" ref="P1175"/>
    <hyperlink r:id="rId2172" ref="P1176"/>
    <hyperlink r:id="rId2173" ref="P1177"/>
    <hyperlink r:id="rId2174" ref="P1178"/>
    <hyperlink r:id="rId2175" ref="P1179"/>
    <hyperlink r:id="rId2176" ref="P1180"/>
    <hyperlink r:id="rId2177" ref="P1181"/>
    <hyperlink r:id="rId2178" ref="P1182"/>
    <hyperlink r:id="rId2179" ref="P1183"/>
    <hyperlink r:id="rId2180" ref="P1184"/>
    <hyperlink r:id="rId2181" ref="P1185"/>
    <hyperlink r:id="rId2182" ref="P1186"/>
    <hyperlink r:id="rId2183" ref="P1187"/>
    <hyperlink r:id="rId2184" ref="P1188"/>
    <hyperlink r:id="rId2185" ref="P1189"/>
    <hyperlink r:id="rId2186" ref="P1190"/>
    <hyperlink r:id="rId2187" ref="P1191"/>
    <hyperlink r:id="rId2188" ref="P1192"/>
    <hyperlink r:id="rId2189" ref="P1193"/>
    <hyperlink r:id="rId2190" ref="P1194"/>
    <hyperlink r:id="rId2191" ref="P1195"/>
    <hyperlink r:id="rId2192" ref="P1196"/>
    <hyperlink r:id="rId2193" ref="P1197"/>
    <hyperlink r:id="rId2194" ref="P1198"/>
    <hyperlink r:id="rId2195" ref="P1199"/>
    <hyperlink r:id="rId2196" ref="P1200"/>
    <hyperlink r:id="rId2197" ref="P1201"/>
    <hyperlink r:id="rId2198" ref="P1202"/>
    <hyperlink r:id="rId2199" ref="P1203"/>
    <hyperlink r:id="rId2200" ref="P1204"/>
    <hyperlink r:id="rId2201" ref="P1205"/>
    <hyperlink r:id="rId2202" ref="P1206"/>
    <hyperlink r:id="rId2203" ref="P1207"/>
    <hyperlink r:id="rId2204" ref="P1208"/>
    <hyperlink r:id="rId2205" ref="P1209"/>
    <hyperlink r:id="rId2206" ref="P1210"/>
    <hyperlink r:id="rId2207" ref="P1211"/>
    <hyperlink r:id="rId2208" ref="P1212"/>
    <hyperlink r:id="rId2209" ref="P1213"/>
    <hyperlink r:id="rId2210" ref="P1214"/>
    <hyperlink r:id="rId2211" ref="P1215"/>
    <hyperlink r:id="rId2212" ref="P1216"/>
    <hyperlink r:id="rId2213" ref="P1217"/>
    <hyperlink r:id="rId2214" ref="P1218"/>
    <hyperlink r:id="rId2215" ref="P1219"/>
    <hyperlink r:id="rId2216" ref="P1220"/>
    <hyperlink r:id="rId2217" ref="P1221"/>
    <hyperlink r:id="rId2218" ref="P1222"/>
    <hyperlink r:id="rId2219" ref="P1223"/>
    <hyperlink r:id="rId2220" ref="P1224"/>
    <hyperlink r:id="rId2221" ref="P1225"/>
    <hyperlink r:id="rId2222" ref="P1226"/>
    <hyperlink r:id="rId2223" ref="P1227"/>
    <hyperlink r:id="rId2224" ref="P1228"/>
    <hyperlink r:id="rId2225" ref="P1229"/>
    <hyperlink r:id="rId2226" ref="P1230"/>
    <hyperlink r:id="rId2227" ref="P1231"/>
    <hyperlink r:id="rId2228" ref="P1232"/>
    <hyperlink r:id="rId2229" ref="P1233"/>
    <hyperlink r:id="rId2230" ref="P1234"/>
    <hyperlink r:id="rId2231" ref="P1235"/>
    <hyperlink r:id="rId2232" ref="P1236"/>
    <hyperlink r:id="rId2233" ref="P1237"/>
    <hyperlink r:id="rId2234" ref="P1238"/>
    <hyperlink r:id="rId2235" ref="P1239"/>
    <hyperlink r:id="rId2236" ref="P1240"/>
    <hyperlink r:id="rId2237" ref="P1241"/>
    <hyperlink r:id="rId2238" ref="P1242"/>
    <hyperlink r:id="rId2239" ref="P1243"/>
    <hyperlink r:id="rId2240" ref="P1244"/>
    <hyperlink r:id="rId2241" ref="P1245"/>
    <hyperlink r:id="rId2242" ref="P1246"/>
    <hyperlink r:id="rId2243" ref="P1247"/>
    <hyperlink r:id="rId2244" ref="P1248"/>
    <hyperlink r:id="rId2245" ref="P1249"/>
    <hyperlink r:id="rId2246" ref="P1250"/>
    <hyperlink r:id="rId2247" ref="P1251"/>
    <hyperlink r:id="rId2248" ref="P1252"/>
    <hyperlink r:id="rId2249" ref="P1253"/>
    <hyperlink r:id="rId2250" ref="P1254"/>
    <hyperlink r:id="rId2251" ref="P1255"/>
    <hyperlink r:id="rId2252" ref="P1256"/>
    <hyperlink r:id="rId2253" ref="P1257"/>
    <hyperlink r:id="rId2254" ref="P1258"/>
    <hyperlink r:id="rId2255" ref="P1259"/>
    <hyperlink r:id="rId2256" ref="P1260"/>
    <hyperlink r:id="rId2257" ref="P1261"/>
    <hyperlink r:id="rId2258" ref="P1262"/>
    <hyperlink r:id="rId2259" ref="P1263"/>
  </hyperlinks>
  <drawing r:id="rId2260"/>
</worksheet>
</file>